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codeName="ThisWorkbook" defaultThemeVersion="124226"/>
  <xr:revisionPtr revIDLastSave="0" documentId="13_ncr:1_{29DAEC2B-AB21-490F-BA31-715BE65218A8}" xr6:coauthVersionLast="47" xr6:coauthVersionMax="47" xr10:uidLastSave="{00000000-0000-0000-0000-000000000000}"/>
  <bookViews>
    <workbookView xWindow="1788" yWindow="432" windowWidth="10800" windowHeight="11796" tabRatio="901" firstSheet="6" activeTab="8" xr2:uid="{00000000-000D-0000-FFFF-FFFF00000000}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GRD SUMM RCL 150X150 " sheetId="71" r:id="rId17"/>
    <sheet name="GRD SUMM RCL CASTER 3" sheetId="72" r:id="rId18"/>
    <sheet name="150x150 saleable grades" sheetId="90" state="hidden" r:id="rId19"/>
    <sheet name="Value added steel " sheetId="50" r:id="rId20"/>
    <sheet name="POWER DISTRIBUTION" sheetId="38" r:id="rId21"/>
    <sheet name="PBS" sheetId="17" r:id="rId22"/>
    <sheet name="ECD" sheetId="15" r:id="rId23"/>
    <sheet name="EMD" sheetId="26" r:id="rId24"/>
    <sheet name="LDCP" sheetId="22" r:id="rId25"/>
    <sheet name="OXY PL" sheetId="27" r:id="rId26"/>
    <sheet name="SEQR  Prod &amp; Dispatch" sheetId="52" r:id="rId27"/>
    <sheet name="High carbon grades" sheetId="61" r:id="rId28"/>
    <sheet name="SHOPS" sheetId="24" r:id="rId29"/>
    <sheet name="Quality Iron ore sinter pellet" sheetId="104" r:id="rId30"/>
    <sheet name="Special steel " sheetId="83" state="hidden" r:id="rId31"/>
    <sheet name="Slag Analysis" sheetId="87" state="hidden" r:id="rId32"/>
    <sheet name="Delay Analysis " sheetId="105" r:id="rId33"/>
    <sheet name="Capital Repair" sheetId="97" r:id="rId34"/>
    <sheet name="Shopwise Refractory consumption" sheetId="106" r:id="rId35"/>
    <sheet name="CHM" sheetId="107" state="hidden" r:id="rId36"/>
    <sheet name="Sheet2" sheetId="109" state="hidden" r:id="rId37"/>
    <sheet name="Make up water" sheetId="110" r:id="rId38"/>
  </sheets>
  <externalReferences>
    <externalReference r:id="rId39"/>
    <externalReference r:id="rId40"/>
    <externalReference r:id="rId41"/>
  </externalReferences>
  <definedNames>
    <definedName name="_1" localSheetId="18">#REF!</definedName>
    <definedName name="_1" localSheetId="4">#REF!</definedName>
    <definedName name="_1" localSheetId="16">#REF!</definedName>
    <definedName name="_1" localSheetId="17">#REF!</definedName>
    <definedName name="_1" localSheetId="29">#REF!</definedName>
    <definedName name="_1" localSheetId="7">#REF!</definedName>
    <definedName name="_1" localSheetId="30">#REF!</definedName>
    <definedName name="_1">#REF!</definedName>
    <definedName name="_2" localSheetId="18">#REF!</definedName>
    <definedName name="_2" localSheetId="4">#REF!</definedName>
    <definedName name="_2" localSheetId="16">#REF!</definedName>
    <definedName name="_2" localSheetId="17">#REF!</definedName>
    <definedName name="_2" localSheetId="29">#REF!</definedName>
    <definedName name="_2" localSheetId="7">#REF!</definedName>
    <definedName name="_2" localSheetId="30">#REF!</definedName>
    <definedName name="_2">#REF!</definedName>
    <definedName name="_3" localSheetId="18">#REF!</definedName>
    <definedName name="_3" localSheetId="16">#REF!</definedName>
    <definedName name="_3" localSheetId="17">#REF!</definedName>
    <definedName name="_3" localSheetId="29">#REF!</definedName>
    <definedName name="_3" localSheetId="7">#REF!</definedName>
    <definedName name="_3" localSheetId="30">#REF!</definedName>
    <definedName name="_3">#REF!</definedName>
    <definedName name="_4" localSheetId="30">#REF!</definedName>
    <definedName name="_4">#REF!</definedName>
    <definedName name="_xlnm._FilterDatabase" localSheetId="14" hidden="1">BM!$A$1:$BF$79</definedName>
    <definedName name="_xlnm._FilterDatabase" localSheetId="6" hidden="1">'DETAIL DESP  '!$A$3:$BH$594</definedName>
    <definedName name="_xlnm._FilterDatabase" localSheetId="4" hidden="1">'Direct sales IPT details'!$B$136:$AA$136</definedName>
    <definedName name="_xlnm._FilterDatabase" localSheetId="16" hidden="1">'GRD SUMM RCL 150X150 '!$D$5:$AR$59</definedName>
    <definedName name="_xlnm._FilterDatabase" localSheetId="15" hidden="1">USM!$C$7:$C$144</definedName>
    <definedName name="_xlnm._FilterDatabase" localSheetId="13" hidden="1">WRM!$A$1:$BG$178</definedName>
    <definedName name="a" localSheetId="4">#REF!</definedName>
    <definedName name="a" localSheetId="7">#REF!</definedName>
    <definedName name="a" localSheetId="30">#REF!</definedName>
    <definedName name="a">#REF!</definedName>
    <definedName name="AA" localSheetId="4">#REF!</definedName>
    <definedName name="AA" localSheetId="30">#REF!</definedName>
    <definedName name="AA">#REF!</definedName>
    <definedName name="AB" localSheetId="4">#REF!</definedName>
    <definedName name="AB" localSheetId="30">#REF!</definedName>
    <definedName name="AB">#REF!</definedName>
    <definedName name="AC" localSheetId="30">#REF!</definedName>
    <definedName name="AC">#REF!</definedName>
    <definedName name="AD" localSheetId="30">#REF!</definedName>
    <definedName name="AD">#REF!</definedName>
    <definedName name="AE" localSheetId="30">#REF!</definedName>
    <definedName name="AE">#REF!</definedName>
    <definedName name="AF" localSheetId="30">#REF!</definedName>
    <definedName name="AF">#REF!</definedName>
    <definedName name="AG" localSheetId="30">#REF!</definedName>
    <definedName name="AG">#REF!</definedName>
    <definedName name="AH" localSheetId="30">#REF!</definedName>
    <definedName name="AH">#REF!</definedName>
    <definedName name="AI" localSheetId="30">#REF!</definedName>
    <definedName name="AI">#REF!</definedName>
    <definedName name="AK" localSheetId="30">#REF!</definedName>
    <definedName name="AK">#REF!</definedName>
    <definedName name="AL" localSheetId="30">#REF!</definedName>
    <definedName name="AL">#REF!</definedName>
    <definedName name="AM" localSheetId="30">#REF!</definedName>
    <definedName name="AM">#REF!</definedName>
    <definedName name="AN" localSheetId="30">#REF!</definedName>
    <definedName name="AN">#REF!</definedName>
    <definedName name="AS" localSheetId="30">#REF!</definedName>
    <definedName name="AS">#REF!</definedName>
    <definedName name="CL" localSheetId="30">#REF!</definedName>
    <definedName name="CL">#REF!</definedName>
    <definedName name="D" localSheetId="30">#REF!</definedName>
    <definedName name="D">#REF!</definedName>
    <definedName name="E" localSheetId="30">#REF!</definedName>
    <definedName name="E">#REF!</definedName>
    <definedName name="F" localSheetId="30">#REF!</definedName>
    <definedName name="F">#REF!</definedName>
    <definedName name="G" localSheetId="30">#REF!</definedName>
    <definedName name="G">#REF!</definedName>
    <definedName name="H" localSheetId="30">#REF!</definedName>
    <definedName name="H">#REF!</definedName>
    <definedName name="I" localSheetId="30">#REF!</definedName>
    <definedName name="I">#REF!</definedName>
    <definedName name="J" localSheetId="30">#REF!</definedName>
    <definedName name="J">#REF!</definedName>
    <definedName name="K" localSheetId="30">#REF!</definedName>
    <definedName name="K">#REF!</definedName>
    <definedName name="L" localSheetId="30">#REF!</definedName>
    <definedName name="L">#REF!</definedName>
    <definedName name="M" localSheetId="30">#REF!</definedName>
    <definedName name="M">#REF!</definedName>
    <definedName name="N" localSheetId="30">#REF!</definedName>
    <definedName name="N">#REF!</definedName>
    <definedName name="O" localSheetId="30">#REF!</definedName>
    <definedName name="O">#REF!</definedName>
    <definedName name="P" localSheetId="30">#REF!</definedName>
    <definedName name="P">#REF!</definedName>
    <definedName name="_xlnm.Print_Area" localSheetId="18">'150x150 saleable grades'!$C$66:$BE$129</definedName>
    <definedName name="_xlnm.Print_Area" localSheetId="11">'B-FCE'!$B$4:$AJ$93</definedName>
    <definedName name="_xlnm.Print_Area" localSheetId="14">BM!$B$1:$V$95</definedName>
    <definedName name="_xlnm.Print_Area" localSheetId="35">CHM!$A$1:$B$29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'!$B$3:$F$98</definedName>
    <definedName name="_xlnm.Print_Area" localSheetId="4">'Direct sales IPT details'!$B$2:$U$131</definedName>
    <definedName name="_xlnm.Print_Area" localSheetId="22">ECD!#REF!</definedName>
    <definedName name="_xlnm.Print_Area" localSheetId="23">EMD!$B$1:$M$130</definedName>
    <definedName name="_xlnm.Print_Area" localSheetId="16">'GRD SUMM RCL 150X150 '!$E$2:$CU$59</definedName>
    <definedName name="_xlnm.Print_Area" localSheetId="17">'GRD SUMM RCL CASTER 3'!$A$2:$Y$49</definedName>
    <definedName name="_xlnm.Print_Area" localSheetId="24">LDCP!$C$2:$N$33</definedName>
    <definedName name="_xlnm.Print_Area" localSheetId="1">'Maj Despatch Summ'!$B$1:$BR$28</definedName>
    <definedName name="_xlnm.Print_Area" localSheetId="0">'Maj Production Summ'!$B$3:$BK$49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5">'OXY PL'!$B$1:$M$39</definedName>
    <definedName name="_xlnm.Print_Area" localSheetId="21">PBS!$B$1:$M$119</definedName>
    <definedName name="_xlnm.Print_Area" localSheetId="20">'POWER DISTRIBUTION'!$B$46:$C$83</definedName>
    <definedName name="_xlnm.Print_Area" localSheetId="29">'Quality Iron ore sinter pellet'!$D$5:$U$50</definedName>
    <definedName name="_xlnm.Print_Area" localSheetId="9">RMHP!$C$1:$Q$47</definedName>
    <definedName name="_xlnm.Print_Area" localSheetId="26">'SEQR  Prod &amp; Dispatch'!$C$1:$T$31</definedName>
    <definedName name="_xlnm.Print_Area" localSheetId="28">SHOPS!$C$2:$N$8</definedName>
    <definedName name="_xlnm.Print_Area" localSheetId="10">SINTER!$B$1:$V$115</definedName>
    <definedName name="_xlnm.Print_Area" localSheetId="12">SMS!$B$1:$V$139</definedName>
    <definedName name="_xlnm.Print_Area" localSheetId="30">'Special steel '!$C$1:$O$80</definedName>
    <definedName name="_xlnm.Print_Area" localSheetId="15">USM!$B$1:$O$144</definedName>
    <definedName name="_xlnm.Print_Area" localSheetId="19">'Value added steel '!$C$1:$O$97</definedName>
    <definedName name="_xlnm.Print_Area" localSheetId="13">WRM!$B$1:$N$194</definedName>
    <definedName name="Q" localSheetId="4">#REF!</definedName>
    <definedName name="Q" localSheetId="29">#REF!</definedName>
    <definedName name="Q" localSheetId="7">#REF!</definedName>
    <definedName name="Q" localSheetId="30">#REF!</definedName>
    <definedName name="Q">#REF!</definedName>
    <definedName name="RL" localSheetId="4">#REF!</definedName>
    <definedName name="RL" localSheetId="29">#REF!</definedName>
    <definedName name="RL" localSheetId="30">#REF!</definedName>
    <definedName name="RL">#REF!</definedName>
    <definedName name="RM" localSheetId="4">#REF!</definedName>
    <definedName name="RM" localSheetId="29">#REF!</definedName>
    <definedName name="RM" localSheetId="30">#REF!</definedName>
    <definedName name="RM">#REF!</definedName>
    <definedName name="rmisp" localSheetId="30">#REF!</definedName>
    <definedName name="rmisp">#REF!</definedName>
    <definedName name="S" localSheetId="30">#REF!</definedName>
    <definedName name="S">#REF!</definedName>
    <definedName name="T" localSheetId="30">#REF!</definedName>
    <definedName name="T">#REF!</definedName>
    <definedName name="U" localSheetId="30">#REF!</definedName>
    <definedName name="U">#REF!</definedName>
    <definedName name="V" localSheetId="30">#REF!</definedName>
    <definedName name="V">#REF!</definedName>
    <definedName name="W" localSheetId="30">#REF!</definedName>
    <definedName name="W">#REF!</definedName>
    <definedName name="X" localSheetId="30">#REF!</definedName>
    <definedName name="X">#REF!</definedName>
    <definedName name="Y" localSheetId="30">#REF!</definedName>
    <definedName name="Y">#REF!</definedName>
    <definedName name="Z" localSheetId="30">#REF!</definedName>
    <definedName name="Z">#REF!</definedName>
  </definedNames>
  <calcPr calcId="181029"/>
</workbook>
</file>

<file path=xl/calcChain.xml><?xml version="1.0" encoding="utf-8"?>
<calcChain xmlns="http://schemas.openxmlformats.org/spreadsheetml/2006/main">
  <c r="E183" i="9" l="1"/>
  <c r="E184" i="9"/>
  <c r="E185" i="9"/>
  <c r="E182" i="9"/>
  <c r="C185" i="9"/>
  <c r="D185" i="9"/>
  <c r="E130" i="26"/>
  <c r="AZ1" i="9" l="1"/>
  <c r="P23" i="110" l="1"/>
  <c r="O23" i="110"/>
  <c r="N23" i="110"/>
  <c r="M23" i="110"/>
  <c r="L23" i="110"/>
  <c r="K23" i="110"/>
  <c r="J23" i="110"/>
  <c r="I23" i="110"/>
  <c r="H23" i="110"/>
  <c r="G23" i="110"/>
  <c r="F23" i="110"/>
  <c r="E23" i="110"/>
  <c r="Q22" i="110"/>
  <c r="Q21" i="110"/>
  <c r="Q20" i="110"/>
  <c r="Q19" i="110"/>
  <c r="Q18" i="110"/>
  <c r="Q17" i="110"/>
  <c r="Q16" i="110"/>
  <c r="Q15" i="110"/>
  <c r="Q14" i="110"/>
  <c r="Q13" i="110"/>
  <c r="Q12" i="110"/>
  <c r="Q11" i="110"/>
  <c r="Q10" i="110"/>
  <c r="Q9" i="110"/>
  <c r="Q8" i="110"/>
  <c r="BB45" i="28"/>
  <c r="BD45" i="28" s="1"/>
  <c r="Z45" i="28"/>
  <c r="J45" i="28"/>
  <c r="N45" i="28" s="1"/>
  <c r="E66" i="28"/>
  <c r="BA26" i="28"/>
  <c r="BB26" i="28"/>
  <c r="AM26" i="28"/>
  <c r="AN26" i="28"/>
  <c r="BD26" i="28" s="1"/>
  <c r="Y26" i="28"/>
  <c r="Z26" i="28"/>
  <c r="M26" i="28"/>
  <c r="Q26" i="28" s="1"/>
  <c r="U26" i="28" s="1"/>
  <c r="I26" i="28"/>
  <c r="J26" i="28"/>
  <c r="N26" i="28" s="1"/>
  <c r="R26" i="28" s="1"/>
  <c r="V26" i="28" s="1"/>
  <c r="BD18" i="28"/>
  <c r="BA18" i="28"/>
  <c r="BB18" i="28"/>
  <c r="AM18" i="28"/>
  <c r="BC18" i="28" s="1"/>
  <c r="AN18" i="28"/>
  <c r="Y18" i="28"/>
  <c r="Z18" i="28"/>
  <c r="N18" i="28"/>
  <c r="R18" i="28" s="1"/>
  <c r="V18" i="28" s="1"/>
  <c r="I18" i="28"/>
  <c r="M18" i="28" s="1"/>
  <c r="Q18" i="28" s="1"/>
  <c r="U18" i="28" s="1"/>
  <c r="J18" i="28"/>
  <c r="BA10" i="28"/>
  <c r="BB10" i="28"/>
  <c r="AM10" i="28"/>
  <c r="AN10" i="28"/>
  <c r="Y10" i="28"/>
  <c r="Z10" i="28"/>
  <c r="I10" i="28"/>
  <c r="M10" i="28" s="1"/>
  <c r="J10" i="28"/>
  <c r="N10" i="28" s="1"/>
  <c r="AB45" i="28" l="1"/>
  <c r="AF45" i="28" s="1"/>
  <c r="AJ45" i="28" s="1"/>
  <c r="AP45" i="28" s="1"/>
  <c r="AT45" i="28" s="1"/>
  <c r="AX45" i="28" s="1"/>
  <c r="BF45" i="28" s="1"/>
  <c r="R45" i="28"/>
  <c r="V45" i="28" s="1"/>
  <c r="AB10" i="28"/>
  <c r="AF10" i="28" s="1"/>
  <c r="AJ10" i="28" s="1"/>
  <c r="AP10" i="28" s="1"/>
  <c r="AT10" i="28" s="1"/>
  <c r="AX10" i="28" s="1"/>
  <c r="BF10" i="28" s="1"/>
  <c r="R10" i="28"/>
  <c r="V10" i="28" s="1"/>
  <c r="AA10" i="28"/>
  <c r="AE10" i="28" s="1"/>
  <c r="AI10" i="28" s="1"/>
  <c r="AO10" i="28" s="1"/>
  <c r="AS10" i="28" s="1"/>
  <c r="AW10" i="28" s="1"/>
  <c r="BE10" i="28" s="1"/>
  <c r="Q10" i="28"/>
  <c r="U10" i="28" s="1"/>
  <c r="BD10" i="28"/>
  <c r="Q23" i="110"/>
  <c r="AB18" i="28"/>
  <c r="AF18" i="28" s="1"/>
  <c r="AJ18" i="28" s="1"/>
  <c r="AP18" i="28" s="1"/>
  <c r="AT18" i="28" s="1"/>
  <c r="AX18" i="28" s="1"/>
  <c r="BF18" i="28" s="1"/>
  <c r="AA18" i="28"/>
  <c r="AE18" i="28" s="1"/>
  <c r="AI18" i="28" s="1"/>
  <c r="AO18" i="28" s="1"/>
  <c r="AS18" i="28" s="1"/>
  <c r="AW18" i="28" s="1"/>
  <c r="BE18" i="28" s="1"/>
  <c r="BC26" i="28"/>
  <c r="AB26" i="28"/>
  <c r="AF26" i="28" s="1"/>
  <c r="AJ26" i="28" s="1"/>
  <c r="AP26" i="28" s="1"/>
  <c r="AT26" i="28" s="1"/>
  <c r="AX26" i="28" s="1"/>
  <c r="BF26" i="28" s="1"/>
  <c r="AA26" i="28"/>
  <c r="AE26" i="28" s="1"/>
  <c r="AI26" i="28" s="1"/>
  <c r="AO26" i="28" s="1"/>
  <c r="AS26" i="28" s="1"/>
  <c r="AW26" i="28" s="1"/>
  <c r="BE26" i="28" s="1"/>
  <c r="BC10" i="28"/>
  <c r="AZ55" i="11"/>
  <c r="AZ92" i="11" l="1"/>
  <c r="AZ91" i="11"/>
  <c r="AZ89" i="11"/>
  <c r="AZ83" i="11"/>
  <c r="AZ84" i="11" s="1"/>
  <c r="AZ59" i="11"/>
  <c r="AZ57" i="11"/>
  <c r="AZ93" i="11" s="1"/>
  <c r="AZ56" i="11"/>
  <c r="AZ58" i="11" s="1"/>
  <c r="B18" i="107"/>
  <c r="B20" i="107" s="1"/>
  <c r="B22" i="107" s="1"/>
  <c r="B25" i="107" s="1"/>
  <c r="B13" i="107"/>
  <c r="B8" i="107"/>
  <c r="AZ60" i="11" l="1"/>
  <c r="B26" i="107"/>
  <c r="B28" i="107" s="1"/>
  <c r="AZ85" i="11"/>
  <c r="AZ90" i="11"/>
  <c r="AZ94" i="11"/>
  <c r="AZ119" i="8" l="1"/>
  <c r="BF117" i="8"/>
  <c r="AZ118" i="8" l="1"/>
  <c r="AZ117" i="8"/>
  <c r="AV119" i="8"/>
  <c r="BB119" i="8" s="1"/>
  <c r="AV118" i="8"/>
  <c r="AV117" i="8"/>
  <c r="BB117" i="8" s="1"/>
  <c r="AR119" i="8"/>
  <c r="AR118" i="8"/>
  <c r="BB118" i="8" s="1"/>
  <c r="AR117" i="8"/>
  <c r="F33" i="28" l="1"/>
  <c r="F65" i="28" s="1"/>
  <c r="F32" i="28"/>
  <c r="F64" i="28" s="1"/>
  <c r="AZ31" i="28"/>
  <c r="AZ63" i="28" s="1"/>
  <c r="AV31" i="28"/>
  <c r="AR31" i="28"/>
  <c r="AR63" i="28" s="1"/>
  <c r="AL31" i="28"/>
  <c r="AL63" i="28" s="1"/>
  <c r="AH31" i="28"/>
  <c r="AH63" i="28" s="1"/>
  <c r="AD31" i="28"/>
  <c r="X31" i="28"/>
  <c r="X63" i="28" s="1"/>
  <c r="T31" i="28"/>
  <c r="T63" i="28" s="1"/>
  <c r="P31" i="28"/>
  <c r="P63" i="28" s="1"/>
  <c r="L31" i="28"/>
  <c r="H31" i="28"/>
  <c r="H63" i="28" s="1"/>
  <c r="F31" i="28"/>
  <c r="J31" i="28" s="1"/>
  <c r="F193" i="73"/>
  <c r="G193" i="73"/>
  <c r="H53" i="28" s="1"/>
  <c r="H34" i="28" s="1"/>
  <c r="H66" i="28" s="1"/>
  <c r="H193" i="73"/>
  <c r="I193" i="73"/>
  <c r="J193" i="73"/>
  <c r="K193" i="73"/>
  <c r="L53" i="28" s="1"/>
  <c r="L193" i="73"/>
  <c r="M193" i="73"/>
  <c r="N193" i="73"/>
  <c r="O193" i="73"/>
  <c r="P53" i="28" s="1"/>
  <c r="P193" i="73"/>
  <c r="Q193" i="73"/>
  <c r="R193" i="73"/>
  <c r="S193" i="73"/>
  <c r="T53" i="28" s="1"/>
  <c r="T193" i="73"/>
  <c r="U193" i="73"/>
  <c r="V193" i="73"/>
  <c r="W193" i="73"/>
  <c r="X53" i="28" s="1"/>
  <c r="X193" i="73"/>
  <c r="Y193" i="73"/>
  <c r="Z193" i="73"/>
  <c r="AA193" i="73"/>
  <c r="AB193" i="73"/>
  <c r="AC193" i="73"/>
  <c r="AD53" i="28" s="1"/>
  <c r="AD193" i="73"/>
  <c r="AE193" i="73"/>
  <c r="AF193" i="73"/>
  <c r="AG193" i="73"/>
  <c r="AH53" i="28" s="1"/>
  <c r="AH193" i="73"/>
  <c r="AI193" i="73"/>
  <c r="AJ193" i="73"/>
  <c r="AK193" i="73"/>
  <c r="AL53" i="28" s="1"/>
  <c r="AL34" i="28" s="1"/>
  <c r="AL66" i="28" s="1"/>
  <c r="AL193" i="73"/>
  <c r="AM193" i="73"/>
  <c r="AN193" i="73"/>
  <c r="AO193" i="73"/>
  <c r="AP193" i="73"/>
  <c r="AQ193" i="73"/>
  <c r="AR53" i="28" s="1"/>
  <c r="AR34" i="28" s="1"/>
  <c r="AR66" i="28" s="1"/>
  <c r="AR193" i="73"/>
  <c r="AS193" i="73"/>
  <c r="AT193" i="73"/>
  <c r="AU193" i="73"/>
  <c r="AV53" i="28" s="1"/>
  <c r="AV193" i="73"/>
  <c r="AX193" i="73"/>
  <c r="AY193" i="73"/>
  <c r="AZ53" i="28" s="1"/>
  <c r="AZ193" i="73"/>
  <c r="BB193" i="73"/>
  <c r="BD193" i="73"/>
  <c r="E193" i="73"/>
  <c r="F53" i="28" s="1"/>
  <c r="F34" i="28" s="1"/>
  <c r="F66" i="28" s="1"/>
  <c r="AZ47" i="28"/>
  <c r="AV47" i="28"/>
  <c r="AR47" i="28"/>
  <c r="AL47" i="28"/>
  <c r="AH47" i="28"/>
  <c r="AD47" i="28"/>
  <c r="X47" i="28"/>
  <c r="T47" i="28"/>
  <c r="P47" i="28"/>
  <c r="L47" i="28"/>
  <c r="H47" i="28"/>
  <c r="F47" i="28"/>
  <c r="BB8" i="28"/>
  <c r="BB9" i="28"/>
  <c r="BB11" i="28"/>
  <c r="BB12" i="28"/>
  <c r="BB15" i="28"/>
  <c r="BB16" i="28"/>
  <c r="BB17" i="28"/>
  <c r="BB19" i="28"/>
  <c r="BB20" i="28"/>
  <c r="BB22" i="28"/>
  <c r="BB23" i="28"/>
  <c r="BB24" i="28"/>
  <c r="BB25" i="28"/>
  <c r="BB27" i="28"/>
  <c r="BB28" i="28"/>
  <c r="BB30" i="28"/>
  <c r="BB31" i="28"/>
  <c r="BB38" i="28"/>
  <c r="BB39" i="28"/>
  <c r="BB41" i="28"/>
  <c r="BB42" i="28"/>
  <c r="BB43" i="28"/>
  <c r="BB44" i="28"/>
  <c r="BB49" i="28"/>
  <c r="BB50" i="28"/>
  <c r="BB51" i="28"/>
  <c r="BB52" i="28"/>
  <c r="BB57" i="28"/>
  <c r="BB61" i="28"/>
  <c r="BB62" i="28"/>
  <c r="AN8" i="28"/>
  <c r="AN9" i="28"/>
  <c r="AN11" i="28"/>
  <c r="AN12" i="28"/>
  <c r="AN15" i="28"/>
  <c r="AN16" i="28"/>
  <c r="AN17" i="28"/>
  <c r="BD17" i="28" s="1"/>
  <c r="AN19" i="28"/>
  <c r="AN20" i="28"/>
  <c r="AN22" i="28"/>
  <c r="AN23" i="28"/>
  <c r="AN24" i="28"/>
  <c r="AN25" i="28"/>
  <c r="AN27" i="28"/>
  <c r="AN28" i="28"/>
  <c r="AN30" i="28"/>
  <c r="AN38" i="28"/>
  <c r="AN39" i="28"/>
  <c r="AN40" i="28"/>
  <c r="AN41" i="28"/>
  <c r="AN42" i="28"/>
  <c r="AN43" i="28"/>
  <c r="BD43" i="28" s="1"/>
  <c r="AN44" i="28"/>
  <c r="AN49" i="28"/>
  <c r="AN50" i="28"/>
  <c r="AN51" i="28"/>
  <c r="AN52" i="28"/>
  <c r="AN57" i="28"/>
  <c r="AN61" i="28"/>
  <c r="AN62" i="28"/>
  <c r="Z8" i="28"/>
  <c r="Z9" i="28"/>
  <c r="Z11" i="28"/>
  <c r="Z12" i="28"/>
  <c r="Z15" i="28"/>
  <c r="Z16" i="28"/>
  <c r="Z17" i="28"/>
  <c r="Z19" i="28"/>
  <c r="Z20" i="28"/>
  <c r="Z22" i="28"/>
  <c r="Z23" i="28"/>
  <c r="Z24" i="28"/>
  <c r="Z25" i="28"/>
  <c r="Z27" i="28"/>
  <c r="Z28" i="28"/>
  <c r="Z30" i="28"/>
  <c r="Z38" i="28"/>
  <c r="Z39" i="28"/>
  <c r="Z40" i="28"/>
  <c r="Z41" i="28"/>
  <c r="Z42" i="28"/>
  <c r="Z43" i="28"/>
  <c r="Z44" i="28"/>
  <c r="Z49" i="28"/>
  <c r="Z50" i="28"/>
  <c r="Z51" i="28"/>
  <c r="Z52" i="28"/>
  <c r="Z57" i="28"/>
  <c r="Z61" i="28"/>
  <c r="Z62" i="28"/>
  <c r="J8" i="28"/>
  <c r="N8" i="28" s="1"/>
  <c r="R8" i="28" s="1"/>
  <c r="V8" i="28" s="1"/>
  <c r="J9" i="28"/>
  <c r="N9" i="28" s="1"/>
  <c r="J11" i="28"/>
  <c r="N11" i="28" s="1"/>
  <c r="R11" i="28" s="1"/>
  <c r="V11" i="28" s="1"/>
  <c r="J12" i="28"/>
  <c r="N12" i="28" s="1"/>
  <c r="J15" i="28"/>
  <c r="N15" i="28" s="1"/>
  <c r="J16" i="28"/>
  <c r="N16" i="28" s="1"/>
  <c r="J17" i="28"/>
  <c r="N17" i="28" s="1"/>
  <c r="J19" i="28"/>
  <c r="N19" i="28" s="1"/>
  <c r="J20" i="28"/>
  <c r="N20" i="28" s="1"/>
  <c r="J22" i="28"/>
  <c r="N22" i="28" s="1"/>
  <c r="R22" i="28" s="1"/>
  <c r="V22" i="28" s="1"/>
  <c r="J23" i="28"/>
  <c r="N23" i="28" s="1"/>
  <c r="J24" i="28"/>
  <c r="N24" i="28" s="1"/>
  <c r="R24" i="28" s="1"/>
  <c r="V24" i="28" s="1"/>
  <c r="J25" i="28"/>
  <c r="N25" i="28" s="1"/>
  <c r="J27" i="28"/>
  <c r="N27" i="28" s="1"/>
  <c r="J28" i="28"/>
  <c r="N28" i="28" s="1"/>
  <c r="J30" i="28"/>
  <c r="N30" i="28" s="1"/>
  <c r="J38" i="28"/>
  <c r="N38" i="28" s="1"/>
  <c r="J39" i="28"/>
  <c r="N39" i="28" s="1"/>
  <c r="J40" i="28"/>
  <c r="N40" i="28" s="1"/>
  <c r="J41" i="28"/>
  <c r="N41" i="28" s="1"/>
  <c r="R41" i="28" s="1"/>
  <c r="V41" i="28" s="1"/>
  <c r="J42" i="28"/>
  <c r="N42" i="28" s="1"/>
  <c r="R42" i="28" s="1"/>
  <c r="V42" i="28" s="1"/>
  <c r="J43" i="28"/>
  <c r="N43" i="28" s="1"/>
  <c r="J44" i="28"/>
  <c r="N44" i="28" s="1"/>
  <c r="R44" i="28" s="1"/>
  <c r="V44" i="28" s="1"/>
  <c r="J49" i="28"/>
  <c r="N49" i="28" s="1"/>
  <c r="J50" i="28"/>
  <c r="N50" i="28" s="1"/>
  <c r="J51" i="28"/>
  <c r="N51" i="28" s="1"/>
  <c r="J52" i="28"/>
  <c r="N52" i="28" s="1"/>
  <c r="J57" i="28"/>
  <c r="N57" i="28" s="1"/>
  <c r="J61" i="28"/>
  <c r="N61" i="28" s="1"/>
  <c r="J62" i="28"/>
  <c r="N62" i="28" s="1"/>
  <c r="AZ33" i="28"/>
  <c r="AZ65" i="28" s="1"/>
  <c r="AZ32" i="28"/>
  <c r="AZ64" i="28" s="1"/>
  <c r="AV33" i="28"/>
  <c r="AV65" i="28" s="1"/>
  <c r="AV32" i="28"/>
  <c r="AV64" i="28" s="1"/>
  <c r="AR33" i="28"/>
  <c r="AR65" i="28" s="1"/>
  <c r="AR32" i="28"/>
  <c r="AR64" i="28" s="1"/>
  <c r="AL33" i="28"/>
  <c r="AL65" i="28" s="1"/>
  <c r="AL32" i="28"/>
  <c r="AL64" i="28" s="1"/>
  <c r="AH33" i="28"/>
  <c r="AH65" i="28" s="1"/>
  <c r="AH32" i="28"/>
  <c r="AH64" i="28" s="1"/>
  <c r="AD33" i="28"/>
  <c r="AD65" i="28" s="1"/>
  <c r="AD32" i="28"/>
  <c r="AD64" i="28" s="1"/>
  <c r="X33" i="28"/>
  <c r="X65" i="28" s="1"/>
  <c r="X32" i="28"/>
  <c r="X64" i="28" s="1"/>
  <c r="T33" i="28"/>
  <c r="T65" i="28" s="1"/>
  <c r="T32" i="28"/>
  <c r="T64" i="28" s="1"/>
  <c r="P33" i="28"/>
  <c r="P65" i="28" s="1"/>
  <c r="P32" i="28"/>
  <c r="P64" i="28" s="1"/>
  <c r="L33" i="28"/>
  <c r="L65" i="28" s="1"/>
  <c r="L32" i="28"/>
  <c r="L64" i="28" s="1"/>
  <c r="H33" i="28"/>
  <c r="H65" i="28" s="1"/>
  <c r="H32" i="28"/>
  <c r="H64" i="28" s="1"/>
  <c r="BG34" i="28"/>
  <c r="BH34" i="28"/>
  <c r="BI34" i="28"/>
  <c r="BJ34" i="28"/>
  <c r="BK34" i="28"/>
  <c r="BL34" i="28"/>
  <c r="BM34" i="28"/>
  <c r="BN34" i="28"/>
  <c r="BO34" i="28"/>
  <c r="G53" i="28"/>
  <c r="G34" i="28" s="1"/>
  <c r="G66" i="28" s="1"/>
  <c r="I53" i="28"/>
  <c r="I34" i="28" s="1"/>
  <c r="K53" i="28"/>
  <c r="K34" i="28" s="1"/>
  <c r="K66" i="28" s="1"/>
  <c r="M53" i="28"/>
  <c r="M34" i="28" s="1"/>
  <c r="O53" i="28"/>
  <c r="O34" i="28" s="1"/>
  <c r="O66" i="28" s="1"/>
  <c r="Q53" i="28"/>
  <c r="Q34" i="28" s="1"/>
  <c r="S53" i="28"/>
  <c r="S34" i="28" s="1"/>
  <c r="S66" i="28" s="1"/>
  <c r="U53" i="28"/>
  <c r="U34" i="28" s="1"/>
  <c r="W53" i="28"/>
  <c r="W34" i="28" s="1"/>
  <c r="W66" i="28" s="1"/>
  <c r="Y53" i="28"/>
  <c r="Y34" i="28" s="1"/>
  <c r="AA53" i="28"/>
  <c r="AA34" i="28" s="1"/>
  <c r="AC53" i="28"/>
  <c r="AC34" i="28" s="1"/>
  <c r="AC66" i="28" s="1"/>
  <c r="AE53" i="28"/>
  <c r="AE34" i="28" s="1"/>
  <c r="AG53" i="28"/>
  <c r="AG34" i="28" s="1"/>
  <c r="AG66" i="28" s="1"/>
  <c r="AI53" i="28"/>
  <c r="AI34" i="28" s="1"/>
  <c r="AK53" i="28"/>
  <c r="AK34" i="28" s="1"/>
  <c r="AK66" i="28" s="1"/>
  <c r="AM53" i="28"/>
  <c r="AM34" i="28" s="1"/>
  <c r="AO53" i="28"/>
  <c r="AO34" i="28" s="1"/>
  <c r="AQ53" i="28"/>
  <c r="AQ34" i="28" s="1"/>
  <c r="AQ66" i="28" s="1"/>
  <c r="AS53" i="28"/>
  <c r="AS34" i="28" s="1"/>
  <c r="AU53" i="28"/>
  <c r="AU34" i="28" s="1"/>
  <c r="AU66" i="28" s="1"/>
  <c r="AW53" i="28"/>
  <c r="AW34" i="28" s="1"/>
  <c r="AY53" i="28"/>
  <c r="AY34" i="28" s="1"/>
  <c r="AY66" i="28" s="1"/>
  <c r="BA53" i="28"/>
  <c r="BA34" i="28" s="1"/>
  <c r="BC53" i="28"/>
  <c r="BC34" i="28" s="1"/>
  <c r="BE53" i="28"/>
  <c r="BE34" i="28" s="1"/>
  <c r="G55" i="28"/>
  <c r="H55" i="28"/>
  <c r="I55" i="28"/>
  <c r="K55" i="28"/>
  <c r="L55" i="28"/>
  <c r="M55" i="28"/>
  <c r="O55" i="28"/>
  <c r="P55" i="28"/>
  <c r="Q55" i="28"/>
  <c r="S55" i="28"/>
  <c r="T55" i="28"/>
  <c r="U55" i="28"/>
  <c r="W55" i="28"/>
  <c r="X55" i="28"/>
  <c r="Y55" i="28"/>
  <c r="AA55" i="28"/>
  <c r="AC55" i="28"/>
  <c r="AD55" i="28"/>
  <c r="AE55" i="28"/>
  <c r="AG55" i="28"/>
  <c r="AH55" i="28"/>
  <c r="AI55" i="28"/>
  <c r="AK55" i="28"/>
  <c r="AL55" i="28"/>
  <c r="AM55" i="28"/>
  <c r="AO55" i="28"/>
  <c r="AQ55" i="28"/>
  <c r="AR55" i="28"/>
  <c r="AS55" i="28"/>
  <c r="AU55" i="28"/>
  <c r="AV55" i="28"/>
  <c r="AW55" i="28"/>
  <c r="AY55" i="28"/>
  <c r="AZ55" i="28"/>
  <c r="BA55" i="28"/>
  <c r="BC55" i="28"/>
  <c r="BE55" i="28"/>
  <c r="F55" i="28"/>
  <c r="H59" i="28"/>
  <c r="I59" i="28"/>
  <c r="L59" i="28"/>
  <c r="P59" i="28"/>
  <c r="T59" i="28"/>
  <c r="X59" i="28"/>
  <c r="AD59" i="28"/>
  <c r="AH59" i="28"/>
  <c r="AL59" i="28"/>
  <c r="AR59" i="28"/>
  <c r="AV59" i="28"/>
  <c r="AZ59" i="28"/>
  <c r="F59" i="28"/>
  <c r="BG58" i="28"/>
  <c r="BH58" i="28"/>
  <c r="BI58" i="28"/>
  <c r="BJ58" i="28"/>
  <c r="BK58" i="28"/>
  <c r="BL58" i="28"/>
  <c r="BM58" i="28"/>
  <c r="BN58" i="28"/>
  <c r="BO58" i="28"/>
  <c r="BD42" i="28" l="1"/>
  <c r="BD22" i="28"/>
  <c r="J55" i="28"/>
  <c r="BD20" i="28"/>
  <c r="AV36" i="28"/>
  <c r="AZ34" i="28"/>
  <c r="AZ66" i="28" s="1"/>
  <c r="AD34" i="28"/>
  <c r="AD66" i="28" s="1"/>
  <c r="AL36" i="28"/>
  <c r="AR36" i="28"/>
  <c r="AN53" i="28"/>
  <c r="AH34" i="28"/>
  <c r="AH66" i="28" s="1"/>
  <c r="AZ36" i="28"/>
  <c r="AZ68" i="28" s="1"/>
  <c r="T34" i="28"/>
  <c r="F36" i="28"/>
  <c r="F68" i="28" s="1"/>
  <c r="H36" i="28"/>
  <c r="H68" i="28" s="1"/>
  <c r="L36" i="28"/>
  <c r="L68" i="28" s="1"/>
  <c r="P36" i="28"/>
  <c r="P34" i="28"/>
  <c r="P66" i="28" s="1"/>
  <c r="T36" i="28"/>
  <c r="T68" i="28" s="1"/>
  <c r="X36" i="28"/>
  <c r="AD36" i="28"/>
  <c r="AH36" i="28"/>
  <c r="AH68" i="28" s="1"/>
  <c r="AV34" i="28"/>
  <c r="BB34" i="28" s="1"/>
  <c r="X34" i="28"/>
  <c r="X66" i="28" s="1"/>
  <c r="L34" i="28"/>
  <c r="L66" i="28" s="1"/>
  <c r="BD23" i="28"/>
  <c r="Z47" i="28"/>
  <c r="J59" i="28"/>
  <c r="N59" i="28" s="1"/>
  <c r="BD49" i="28"/>
  <c r="BD24" i="28"/>
  <c r="N31" i="28"/>
  <c r="BD15" i="28"/>
  <c r="BB53" i="28"/>
  <c r="BD50" i="28"/>
  <c r="BD25" i="28"/>
  <c r="BD8" i="28"/>
  <c r="N55" i="28"/>
  <c r="R55" i="28" s="1"/>
  <c r="V55" i="28" s="1"/>
  <c r="BD41" i="28"/>
  <c r="BD19" i="28"/>
  <c r="BD62" i="28"/>
  <c r="BD16" i="28"/>
  <c r="BD38" i="28"/>
  <c r="BD30" i="28"/>
  <c r="J53" i="28"/>
  <c r="N53" i="28" s="1"/>
  <c r="R53" i="28" s="1"/>
  <c r="V53" i="28" s="1"/>
  <c r="AN31" i="28"/>
  <c r="BD31" i="28" s="1"/>
  <c r="Z55" i="28"/>
  <c r="BD39" i="28"/>
  <c r="BD61" i="28"/>
  <c r="F63" i="28"/>
  <c r="L63" i="28"/>
  <c r="AD63" i="28"/>
  <c r="AV63" i="28"/>
  <c r="Z59" i="28"/>
  <c r="BD57" i="28"/>
  <c r="BD12" i="28"/>
  <c r="AN33" i="28"/>
  <c r="BD28" i="28"/>
  <c r="BD11" i="28"/>
  <c r="BD27" i="28"/>
  <c r="BD9" i="28"/>
  <c r="Z31" i="28"/>
  <c r="AB30" i="28"/>
  <c r="AF30" i="28" s="1"/>
  <c r="AJ30" i="28" s="1"/>
  <c r="AP30" i="28" s="1"/>
  <c r="AT30" i="28" s="1"/>
  <c r="AX30" i="28" s="1"/>
  <c r="BF30" i="28" s="1"/>
  <c r="R30" i="28"/>
  <c r="V30" i="28" s="1"/>
  <c r="R49" i="28"/>
  <c r="V49" i="28" s="1"/>
  <c r="AB49" i="28"/>
  <c r="AF49" i="28" s="1"/>
  <c r="AJ49" i="28" s="1"/>
  <c r="AP49" i="28" s="1"/>
  <c r="AT49" i="28" s="1"/>
  <c r="AX49" i="28" s="1"/>
  <c r="BF49" i="28" s="1"/>
  <c r="AB25" i="28"/>
  <c r="AF25" i="28" s="1"/>
  <c r="AJ25" i="28" s="1"/>
  <c r="AP25" i="28" s="1"/>
  <c r="AT25" i="28" s="1"/>
  <c r="AX25" i="28" s="1"/>
  <c r="BF25" i="28" s="1"/>
  <c r="R25" i="28"/>
  <c r="V25" i="28" s="1"/>
  <c r="R9" i="28"/>
  <c r="V9" i="28" s="1"/>
  <c r="AB9" i="28"/>
  <c r="AF9" i="28" s="1"/>
  <c r="AJ9" i="28" s="1"/>
  <c r="AP9" i="28" s="1"/>
  <c r="AT9" i="28" s="1"/>
  <c r="AX9" i="28" s="1"/>
  <c r="BF9" i="28" s="1"/>
  <c r="R28" i="28"/>
  <c r="V28" i="28" s="1"/>
  <c r="AB28" i="28"/>
  <c r="AF28" i="28" s="1"/>
  <c r="AJ28" i="28" s="1"/>
  <c r="AP28" i="28" s="1"/>
  <c r="AT28" i="28" s="1"/>
  <c r="AX28" i="28" s="1"/>
  <c r="BF28" i="28" s="1"/>
  <c r="R15" i="28"/>
  <c r="V15" i="28" s="1"/>
  <c r="AB15" i="28"/>
  <c r="AF15" i="28" s="1"/>
  <c r="AJ15" i="28" s="1"/>
  <c r="AP15" i="28" s="1"/>
  <c r="AT15" i="28" s="1"/>
  <c r="AX15" i="28" s="1"/>
  <c r="BF15" i="28" s="1"/>
  <c r="AB27" i="28"/>
  <c r="AF27" i="28" s="1"/>
  <c r="AJ27" i="28" s="1"/>
  <c r="AP27" i="28" s="1"/>
  <c r="AT27" i="28" s="1"/>
  <c r="AX27" i="28" s="1"/>
  <c r="BF27" i="28" s="1"/>
  <c r="R27" i="28"/>
  <c r="V27" i="28" s="1"/>
  <c r="R43" i="28"/>
  <c r="V43" i="28" s="1"/>
  <c r="AB43" i="28"/>
  <c r="AF43" i="28" s="1"/>
  <c r="AJ43" i="28" s="1"/>
  <c r="AP43" i="28" s="1"/>
  <c r="AT43" i="28" s="1"/>
  <c r="AX43" i="28" s="1"/>
  <c r="BF43" i="28" s="1"/>
  <c r="R20" i="28"/>
  <c r="V20" i="28" s="1"/>
  <c r="AB20" i="28"/>
  <c r="AF20" i="28" s="1"/>
  <c r="AJ20" i="28" s="1"/>
  <c r="AP20" i="28" s="1"/>
  <c r="AT20" i="28" s="1"/>
  <c r="AX20" i="28" s="1"/>
  <c r="BF20" i="28" s="1"/>
  <c r="AB62" i="28"/>
  <c r="AF62" i="28" s="1"/>
  <c r="AJ62" i="28" s="1"/>
  <c r="AP62" i="28" s="1"/>
  <c r="AT62" i="28" s="1"/>
  <c r="AX62" i="28" s="1"/>
  <c r="BF62" i="28" s="1"/>
  <c r="R62" i="28"/>
  <c r="V62" i="28" s="1"/>
  <c r="R19" i="28"/>
  <c r="V19" i="28" s="1"/>
  <c r="AB19" i="28"/>
  <c r="AF19" i="28" s="1"/>
  <c r="AJ19" i="28" s="1"/>
  <c r="AP19" i="28" s="1"/>
  <c r="AT19" i="28" s="1"/>
  <c r="AX19" i="28" s="1"/>
  <c r="BF19" i="28" s="1"/>
  <c r="AB61" i="28"/>
  <c r="AF61" i="28" s="1"/>
  <c r="AJ61" i="28" s="1"/>
  <c r="AP61" i="28" s="1"/>
  <c r="AT61" i="28" s="1"/>
  <c r="AX61" i="28" s="1"/>
  <c r="BF61" i="28" s="1"/>
  <c r="R61" i="28"/>
  <c r="V61" i="28" s="1"/>
  <c r="R17" i="28"/>
  <c r="V17" i="28" s="1"/>
  <c r="AB17" i="28"/>
  <c r="AF17" i="28" s="1"/>
  <c r="AJ17" i="28" s="1"/>
  <c r="AP17" i="28" s="1"/>
  <c r="AT17" i="28" s="1"/>
  <c r="AX17" i="28" s="1"/>
  <c r="BF17" i="28" s="1"/>
  <c r="AB12" i="28"/>
  <c r="AF12" i="28" s="1"/>
  <c r="AJ12" i="28" s="1"/>
  <c r="AP12" i="28" s="1"/>
  <c r="AT12" i="28" s="1"/>
  <c r="AX12" i="28" s="1"/>
  <c r="BF12" i="28" s="1"/>
  <c r="R12" i="28"/>
  <c r="V12" i="28" s="1"/>
  <c r="R50" i="28"/>
  <c r="V50" i="28" s="1"/>
  <c r="AB50" i="28"/>
  <c r="AF50" i="28" s="1"/>
  <c r="AJ50" i="28" s="1"/>
  <c r="AP50" i="28" s="1"/>
  <c r="AT50" i="28" s="1"/>
  <c r="AX50" i="28" s="1"/>
  <c r="BF50" i="28" s="1"/>
  <c r="R23" i="28"/>
  <c r="V23" i="28" s="1"/>
  <c r="AB23" i="28"/>
  <c r="AF23" i="28" s="1"/>
  <c r="AJ23" i="28" s="1"/>
  <c r="AP23" i="28" s="1"/>
  <c r="AT23" i="28" s="1"/>
  <c r="AX23" i="28" s="1"/>
  <c r="BF23" i="28" s="1"/>
  <c r="R57" i="28"/>
  <c r="V57" i="28" s="1"/>
  <c r="AB57" i="28"/>
  <c r="AF57" i="28" s="1"/>
  <c r="AJ57" i="28" s="1"/>
  <c r="AP57" i="28" s="1"/>
  <c r="AT57" i="28" s="1"/>
  <c r="AX57" i="28" s="1"/>
  <c r="BF57" i="28" s="1"/>
  <c r="R38" i="28"/>
  <c r="V38" i="28" s="1"/>
  <c r="AB38" i="28"/>
  <c r="AF38" i="28" s="1"/>
  <c r="AJ38" i="28" s="1"/>
  <c r="AP38" i="28" s="1"/>
  <c r="AT38" i="28" s="1"/>
  <c r="AX38" i="28" s="1"/>
  <c r="BF38" i="28" s="1"/>
  <c r="AB16" i="28"/>
  <c r="AF16" i="28" s="1"/>
  <c r="AJ16" i="28" s="1"/>
  <c r="AP16" i="28" s="1"/>
  <c r="AT16" i="28" s="1"/>
  <c r="AX16" i="28" s="1"/>
  <c r="BF16" i="28" s="1"/>
  <c r="R16" i="28"/>
  <c r="V16" i="28" s="1"/>
  <c r="BD44" i="28"/>
  <c r="BB59" i="28"/>
  <c r="AL68" i="28"/>
  <c r="AN59" i="28"/>
  <c r="AB24" i="28"/>
  <c r="AF24" i="28" s="1"/>
  <c r="AJ24" i="28" s="1"/>
  <c r="AP24" i="28" s="1"/>
  <c r="AT24" i="28" s="1"/>
  <c r="AX24" i="28" s="1"/>
  <c r="BF24" i="28" s="1"/>
  <c r="AB11" i="28"/>
  <c r="AF11" i="28" s="1"/>
  <c r="AJ11" i="28" s="1"/>
  <c r="AP11" i="28" s="1"/>
  <c r="AT11" i="28" s="1"/>
  <c r="AX11" i="28" s="1"/>
  <c r="BF11" i="28" s="1"/>
  <c r="P68" i="28"/>
  <c r="AV68" i="28"/>
  <c r="AB22" i="28"/>
  <c r="AF22" i="28" s="1"/>
  <c r="AJ22" i="28" s="1"/>
  <c r="AP22" i="28" s="1"/>
  <c r="AT22" i="28" s="1"/>
  <c r="AX22" i="28" s="1"/>
  <c r="BF22" i="28" s="1"/>
  <c r="AB8" i="28"/>
  <c r="AF8" i="28" s="1"/>
  <c r="AJ8" i="28" s="1"/>
  <c r="AP8" i="28" s="1"/>
  <c r="AT8" i="28" s="1"/>
  <c r="AX8" i="28" s="1"/>
  <c r="BF8" i="28" s="1"/>
  <c r="AN55" i="28"/>
  <c r="Z32" i="28"/>
  <c r="AB42" i="28"/>
  <c r="AF42" i="28" s="1"/>
  <c r="AJ42" i="28" s="1"/>
  <c r="AP42" i="28" s="1"/>
  <c r="AT42" i="28" s="1"/>
  <c r="AX42" i="28" s="1"/>
  <c r="BF42" i="28" s="1"/>
  <c r="AB41" i="28"/>
  <c r="AF41" i="28" s="1"/>
  <c r="AJ41" i="28" s="1"/>
  <c r="AP41" i="28" s="1"/>
  <c r="AT41" i="28" s="1"/>
  <c r="AX41" i="28" s="1"/>
  <c r="BF41" i="28" s="1"/>
  <c r="AB44" i="28"/>
  <c r="AF44" i="28" s="1"/>
  <c r="AJ44" i="28" s="1"/>
  <c r="AP44" i="28" s="1"/>
  <c r="AT44" i="28" s="1"/>
  <c r="AX44" i="28" s="1"/>
  <c r="BF44" i="28" s="1"/>
  <c r="BB55" i="28"/>
  <c r="J47" i="28"/>
  <c r="N47" i="28" s="1"/>
  <c r="R47" i="28" s="1"/>
  <c r="V47" i="28" s="1"/>
  <c r="Z53" i="28"/>
  <c r="BB33" i="28"/>
  <c r="BD52" i="28"/>
  <c r="AB52" i="28"/>
  <c r="AF52" i="28" s="1"/>
  <c r="AJ52" i="28" s="1"/>
  <c r="AP52" i="28" s="1"/>
  <c r="AT52" i="28" s="1"/>
  <c r="AX52" i="28" s="1"/>
  <c r="BF52" i="28" s="1"/>
  <c r="R52" i="28"/>
  <c r="V52" i="28" s="1"/>
  <c r="BB32" i="28"/>
  <c r="BD51" i="28"/>
  <c r="AN32" i="28"/>
  <c r="R51" i="28"/>
  <c r="V51" i="28" s="1"/>
  <c r="AB51" i="28"/>
  <c r="AF51" i="28" s="1"/>
  <c r="AJ51" i="28" s="1"/>
  <c r="AP51" i="28" s="1"/>
  <c r="AT51" i="28" s="1"/>
  <c r="AX51" i="28" s="1"/>
  <c r="BF51" i="28" s="1"/>
  <c r="Z33" i="28"/>
  <c r="BB47" i="28"/>
  <c r="AN47" i="28"/>
  <c r="AB40" i="28"/>
  <c r="AF40" i="28" s="1"/>
  <c r="AJ40" i="28" s="1"/>
  <c r="AP40" i="28" s="1"/>
  <c r="AT40" i="28" s="1"/>
  <c r="AX40" i="28" s="1"/>
  <c r="R40" i="28"/>
  <c r="V40" i="28" s="1"/>
  <c r="AB39" i="28"/>
  <c r="AF39" i="28" s="1"/>
  <c r="AJ39" i="28" s="1"/>
  <c r="AP39" i="28" s="1"/>
  <c r="AT39" i="28" s="1"/>
  <c r="AX39" i="28" s="1"/>
  <c r="BF39" i="28" s="1"/>
  <c r="R39" i="28"/>
  <c r="V39" i="28" s="1"/>
  <c r="AB31" i="28" l="1"/>
  <c r="AF31" i="28" s="1"/>
  <c r="AJ31" i="28" s="1"/>
  <c r="AP31" i="28" s="1"/>
  <c r="AT31" i="28" s="1"/>
  <c r="AX31" i="28" s="1"/>
  <c r="BF31" i="28" s="1"/>
  <c r="BD53" i="28"/>
  <c r="AB59" i="28"/>
  <c r="AF59" i="28" s="1"/>
  <c r="AJ59" i="28" s="1"/>
  <c r="AP59" i="28" s="1"/>
  <c r="AT59" i="28" s="1"/>
  <c r="AX59" i="28" s="1"/>
  <c r="BF59" i="28" s="1"/>
  <c r="AV66" i="28"/>
  <c r="BB66" i="28" s="1"/>
  <c r="BD47" i="28"/>
  <c r="Z34" i="28"/>
  <c r="T66" i="28"/>
  <c r="Z66" i="28" s="1"/>
  <c r="R31" i="28"/>
  <c r="V31" i="28" s="1"/>
  <c r="J36" i="28"/>
  <c r="R59" i="28"/>
  <c r="V59" i="28" s="1"/>
  <c r="J34" i="28"/>
  <c r="N34" i="28" s="1"/>
  <c r="AB55" i="28"/>
  <c r="AF55" i="28" s="1"/>
  <c r="AJ55" i="28" s="1"/>
  <c r="AP55" i="28" s="1"/>
  <c r="AT55" i="28" s="1"/>
  <c r="AX55" i="28" s="1"/>
  <c r="BF55" i="28" s="1"/>
  <c r="BD59" i="28"/>
  <c r="BD33" i="28"/>
  <c r="BD55" i="28"/>
  <c r="AB53" i="28"/>
  <c r="AF53" i="28" s="1"/>
  <c r="AJ53" i="28" s="1"/>
  <c r="AP53" i="28" s="1"/>
  <c r="AT53" i="28" s="1"/>
  <c r="AX53" i="28" s="1"/>
  <c r="BF53" i="28" s="1"/>
  <c r="J66" i="28"/>
  <c r="N66" i="28" s="1"/>
  <c r="R66" i="28" s="1"/>
  <c r="Z36" i="28"/>
  <c r="X68" i="28"/>
  <c r="AB47" i="28"/>
  <c r="AF47" i="28" s="1"/>
  <c r="AJ47" i="28" s="1"/>
  <c r="AP47" i="28" s="1"/>
  <c r="AT47" i="28" s="1"/>
  <c r="AX47" i="28" s="1"/>
  <c r="BF47" i="28" s="1"/>
  <c r="BB36" i="28"/>
  <c r="AR68" i="28"/>
  <c r="AN36" i="28"/>
  <c r="BD36" i="28" s="1"/>
  <c r="AD68" i="28"/>
  <c r="AN34" i="28"/>
  <c r="BD34" i="28" s="1"/>
  <c r="AN66" i="28"/>
  <c r="N36" i="28"/>
  <c r="R36" i="28" s="1"/>
  <c r="V36" i="28" s="1"/>
  <c r="R34" i="28"/>
  <c r="V34" i="28" s="1"/>
  <c r="BD32" i="28"/>
  <c r="V66" i="28" l="1"/>
  <c r="AB34" i="28"/>
  <c r="AF34" i="28" s="1"/>
  <c r="AJ34" i="28" s="1"/>
  <c r="AP34" i="28" s="1"/>
  <c r="AT34" i="28" s="1"/>
  <c r="AX34" i="28" s="1"/>
  <c r="BF34" i="28" s="1"/>
  <c r="BD66" i="28"/>
  <c r="AB66" i="28"/>
  <c r="AF66" i="28" s="1"/>
  <c r="AJ66" i="28" s="1"/>
  <c r="AP66" i="28" s="1"/>
  <c r="AT66" i="28" s="1"/>
  <c r="AX66" i="28" s="1"/>
  <c r="BF66" i="28" s="1"/>
  <c r="AB36" i="28"/>
  <c r="AF36" i="28" s="1"/>
  <c r="AJ36" i="28" s="1"/>
  <c r="AP36" i="28" s="1"/>
  <c r="AT36" i="28" s="1"/>
  <c r="AX36" i="28" s="1"/>
  <c r="BF36" i="28" s="1"/>
  <c r="G179" i="73"/>
  <c r="F179" i="73"/>
  <c r="E179" i="73"/>
  <c r="K179" i="73"/>
  <c r="V179" i="73"/>
  <c r="X179" i="73"/>
  <c r="W179" i="73"/>
  <c r="M181" i="73"/>
  <c r="Q181" i="73" s="1"/>
  <c r="U181" i="73" s="1"/>
  <c r="M180" i="73"/>
  <c r="Q180" i="73" s="1"/>
  <c r="U180" i="73" s="1"/>
  <c r="Y181" i="73"/>
  <c r="Y180" i="73"/>
  <c r="AM181" i="73"/>
  <c r="AM180" i="73"/>
  <c r="BA181" i="73"/>
  <c r="BA180" i="73"/>
  <c r="AZ179" i="73"/>
  <c r="AY179" i="73"/>
  <c r="AX179" i="73"/>
  <c r="AV179" i="73"/>
  <c r="AU179" i="73"/>
  <c r="AT179" i="73"/>
  <c r="AR179" i="73"/>
  <c r="AQ179" i="73"/>
  <c r="AP179" i="73"/>
  <c r="AN179" i="73"/>
  <c r="AL179" i="73"/>
  <c r="AK179" i="73"/>
  <c r="AJ179" i="73"/>
  <c r="AH179" i="73"/>
  <c r="AG179" i="73"/>
  <c r="AF179" i="73"/>
  <c r="AD179" i="73"/>
  <c r="AC179" i="73"/>
  <c r="AB179" i="73"/>
  <c r="AM192" i="73"/>
  <c r="AM191" i="73"/>
  <c r="AM189" i="73"/>
  <c r="AM188" i="73"/>
  <c r="AM186" i="73"/>
  <c r="AM185" i="73"/>
  <c r="AM184" i="73"/>
  <c r="AM183" i="73"/>
  <c r="M192" i="73"/>
  <c r="Q192" i="73" s="1"/>
  <c r="U192" i="73" s="1"/>
  <c r="M191" i="73"/>
  <c r="Q191" i="73" s="1"/>
  <c r="U191" i="73" s="1"/>
  <c r="M189" i="73"/>
  <c r="M188" i="73"/>
  <c r="Q188" i="73" s="1"/>
  <c r="U188" i="73" s="1"/>
  <c r="M186" i="73"/>
  <c r="Q186" i="73" s="1"/>
  <c r="U186" i="73" s="1"/>
  <c r="M185" i="73"/>
  <c r="Q185" i="73" s="1"/>
  <c r="U185" i="73" s="1"/>
  <c r="M184" i="73"/>
  <c r="M183" i="73"/>
  <c r="Q183" i="73" s="1"/>
  <c r="U183" i="73" s="1"/>
  <c r="Y192" i="73"/>
  <c r="Y191" i="73"/>
  <c r="Y189" i="73"/>
  <c r="Y188" i="73"/>
  <c r="Y186" i="73"/>
  <c r="Y185" i="73"/>
  <c r="Y184" i="73"/>
  <c r="Y183" i="73"/>
  <c r="BB192" i="73"/>
  <c r="BB191" i="73" s="1"/>
  <c r="BB190" i="73" s="1"/>
  <c r="BB189" i="73" s="1"/>
  <c r="BB188" i="73" s="1"/>
  <c r="BB187" i="73" s="1"/>
  <c r="BB186" i="73" s="1"/>
  <c r="BB185" i="73" s="1"/>
  <c r="BB184" i="73" s="1"/>
  <c r="BB183" i="73" s="1"/>
  <c r="BB182" i="73" s="1"/>
  <c r="BA192" i="73"/>
  <c r="BA191" i="73"/>
  <c r="BA189" i="73"/>
  <c r="BA188" i="73"/>
  <c r="BA186" i="73"/>
  <c r="BC186" i="73" s="1"/>
  <c r="BA185" i="73"/>
  <c r="BA184" i="73"/>
  <c r="BA183" i="73"/>
  <c r="BC183" i="73" s="1"/>
  <c r="BD190" i="73"/>
  <c r="AZ190" i="73"/>
  <c r="AY190" i="73"/>
  <c r="AX190" i="73"/>
  <c r="AV190" i="73"/>
  <c r="AU190" i="73"/>
  <c r="AT190" i="73"/>
  <c r="AR190" i="73"/>
  <c r="AQ190" i="73"/>
  <c r="AP190" i="73"/>
  <c r="AN190" i="73"/>
  <c r="AL190" i="73"/>
  <c r="AK190" i="73"/>
  <c r="AJ190" i="73"/>
  <c r="AH190" i="73"/>
  <c r="AG190" i="73"/>
  <c r="AF190" i="73"/>
  <c r="AD190" i="73"/>
  <c r="AC190" i="73"/>
  <c r="AB190" i="73"/>
  <c r="Z190" i="73"/>
  <c r="X190" i="73"/>
  <c r="W190" i="73"/>
  <c r="V190" i="73"/>
  <c r="T190" i="73"/>
  <c r="S190" i="73"/>
  <c r="R190" i="73"/>
  <c r="P190" i="73"/>
  <c r="O190" i="73"/>
  <c r="N190" i="73"/>
  <c r="L190" i="73"/>
  <c r="K190" i="73"/>
  <c r="J190" i="73"/>
  <c r="I190" i="73"/>
  <c r="H190" i="73"/>
  <c r="G190" i="73"/>
  <c r="E190" i="73"/>
  <c r="BD187" i="73"/>
  <c r="AZ187" i="73"/>
  <c r="AY187" i="73"/>
  <c r="AY182" i="73" s="1"/>
  <c r="AX187" i="73"/>
  <c r="AV187" i="73"/>
  <c r="AU187" i="73"/>
  <c r="AT187" i="73"/>
  <c r="AR187" i="73"/>
  <c r="AQ187" i="73"/>
  <c r="AP187" i="73"/>
  <c r="AN187" i="73"/>
  <c r="AN182" i="73" s="1"/>
  <c r="AL187" i="73"/>
  <c r="AK187" i="73"/>
  <c r="AJ187" i="73"/>
  <c r="AH187" i="73"/>
  <c r="AG187" i="73"/>
  <c r="AF187" i="73"/>
  <c r="AD187" i="73"/>
  <c r="AC187" i="73"/>
  <c r="AB187" i="73"/>
  <c r="Z187" i="73"/>
  <c r="X187" i="73"/>
  <c r="W187" i="73"/>
  <c r="V187" i="73"/>
  <c r="T187" i="73"/>
  <c r="S187" i="73"/>
  <c r="R187" i="73"/>
  <c r="R182" i="73" s="1"/>
  <c r="P187" i="73"/>
  <c r="O187" i="73"/>
  <c r="N187" i="73"/>
  <c r="L187" i="73"/>
  <c r="K187" i="73"/>
  <c r="J187" i="73"/>
  <c r="I187" i="73"/>
  <c r="H187" i="73"/>
  <c r="H182" i="73" s="1"/>
  <c r="G187" i="73"/>
  <c r="E187" i="73"/>
  <c r="W182" i="73" l="1"/>
  <c r="L182" i="73"/>
  <c r="AH182" i="73"/>
  <c r="G182" i="73"/>
  <c r="AL182" i="73"/>
  <c r="V182" i="73"/>
  <c r="AA184" i="73"/>
  <c r="AE184" i="73" s="1"/>
  <c r="AI184" i="73" s="1"/>
  <c r="AO184" i="73" s="1"/>
  <c r="AS184" i="73" s="1"/>
  <c r="AW184" i="73" s="1"/>
  <c r="BE184" i="73" s="1"/>
  <c r="AA191" i="73"/>
  <c r="AE191" i="73" s="1"/>
  <c r="AI191" i="73" s="1"/>
  <c r="AO191" i="73" s="1"/>
  <c r="AS191" i="73" s="1"/>
  <c r="AW191" i="73" s="1"/>
  <c r="BE191" i="73" s="1"/>
  <c r="BE190" i="73" s="1"/>
  <c r="AA192" i="73"/>
  <c r="AE192" i="73" s="1"/>
  <c r="AI192" i="73" s="1"/>
  <c r="AO192" i="73" s="1"/>
  <c r="AS192" i="73" s="1"/>
  <c r="AW192" i="73" s="1"/>
  <c r="BE192" i="73" s="1"/>
  <c r="AA186" i="73"/>
  <c r="AE186" i="73" s="1"/>
  <c r="AI186" i="73" s="1"/>
  <c r="AO186" i="73" s="1"/>
  <c r="AS186" i="73" s="1"/>
  <c r="AW186" i="73" s="1"/>
  <c r="BE186" i="73" s="1"/>
  <c r="AT182" i="73"/>
  <c r="BC189" i="73"/>
  <c r="AA183" i="73"/>
  <c r="AE183" i="73" s="1"/>
  <c r="AI183" i="73" s="1"/>
  <c r="AO183" i="73" s="1"/>
  <c r="AS183" i="73" s="1"/>
  <c r="AW183" i="73" s="1"/>
  <c r="BE183" i="73" s="1"/>
  <c r="Q184" i="73"/>
  <c r="U184" i="73" s="1"/>
  <c r="BC188" i="73"/>
  <c r="BC187" i="73" s="1"/>
  <c r="E182" i="73"/>
  <c r="BC192" i="73"/>
  <c r="AA189" i="73"/>
  <c r="AE189" i="73" s="1"/>
  <c r="AI189" i="73" s="1"/>
  <c r="AO189" i="73" s="1"/>
  <c r="AS189" i="73" s="1"/>
  <c r="AW189" i="73" s="1"/>
  <c r="BE189" i="73" s="1"/>
  <c r="Q189" i="73"/>
  <c r="U189" i="73" s="1"/>
  <c r="K182" i="73"/>
  <c r="AB182" i="73"/>
  <c r="AR182" i="73"/>
  <c r="AA188" i="73"/>
  <c r="AE188" i="73" s="1"/>
  <c r="AI188" i="73" s="1"/>
  <c r="AO188" i="73" s="1"/>
  <c r="AS188" i="73" s="1"/>
  <c r="AW188" i="73" s="1"/>
  <c r="BE188" i="73" s="1"/>
  <c r="BA190" i="73"/>
  <c r="BC184" i="73"/>
  <c r="P182" i="73"/>
  <c r="AG182" i="73"/>
  <c r="AX182" i="73"/>
  <c r="BC185" i="73"/>
  <c r="BC191" i="73"/>
  <c r="AA185" i="73"/>
  <c r="AE185" i="73" s="1"/>
  <c r="AI185" i="73" s="1"/>
  <c r="AO185" i="73" s="1"/>
  <c r="AS185" i="73" s="1"/>
  <c r="AW185" i="73" s="1"/>
  <c r="BE185" i="73" s="1"/>
  <c r="BC180" i="73"/>
  <c r="AA180" i="73"/>
  <c r="AE180" i="73" s="1"/>
  <c r="AI180" i="73" s="1"/>
  <c r="AO180" i="73" s="1"/>
  <c r="AS180" i="73" s="1"/>
  <c r="AW180" i="73" s="1"/>
  <c r="BE180" i="73" s="1"/>
  <c r="J182" i="73"/>
  <c r="T182" i="73"/>
  <c r="Z182" i="73"/>
  <c r="AF182" i="73"/>
  <c r="AK182" i="73"/>
  <c r="BA187" i="73"/>
  <c r="BC181" i="73"/>
  <c r="AA181" i="73"/>
  <c r="AE181" i="73" s="1"/>
  <c r="AI181" i="73" s="1"/>
  <c r="AO181" i="73" s="1"/>
  <c r="AS181" i="73" s="1"/>
  <c r="AW181" i="73" s="1"/>
  <c r="BE181" i="73" s="1"/>
  <c r="I182" i="73"/>
  <c r="S182" i="73"/>
  <c r="AD182" i="73"/>
  <c r="AU182" i="73"/>
  <c r="AM187" i="73"/>
  <c r="M190" i="73"/>
  <c r="Q190" i="73" s="1"/>
  <c r="U190" i="73" s="1"/>
  <c r="Y190" i="73"/>
  <c r="N182" i="73"/>
  <c r="X182" i="73"/>
  <c r="AJ182" i="73"/>
  <c r="AP182" i="73"/>
  <c r="AZ182" i="73"/>
  <c r="M187" i="73"/>
  <c r="Q187" i="73" s="1"/>
  <c r="U187" i="73" s="1"/>
  <c r="Y187" i="73"/>
  <c r="AQ182" i="73"/>
  <c r="AV182" i="73"/>
  <c r="AM190" i="73"/>
  <c r="O182" i="73"/>
  <c r="AC182" i="73"/>
  <c r="AA187" i="73" l="1"/>
  <c r="AE187" i="73" s="1"/>
  <c r="AI187" i="73" s="1"/>
  <c r="AO187" i="73" s="1"/>
  <c r="AS187" i="73" s="1"/>
  <c r="AW187" i="73" s="1"/>
  <c r="M182" i="73"/>
  <c r="Q182" i="73" s="1"/>
  <c r="U182" i="73" s="1"/>
  <c r="AM182" i="73"/>
  <c r="BC190" i="73"/>
  <c r="BE187" i="73"/>
  <c r="Y182" i="73"/>
  <c r="AA182" i="73" s="1"/>
  <c r="AE182" i="73" s="1"/>
  <c r="AI182" i="73" s="1"/>
  <c r="AO182" i="73" s="1"/>
  <c r="AS182" i="73" s="1"/>
  <c r="AW182" i="73" s="1"/>
  <c r="BE182" i="73" s="1"/>
  <c r="AA190" i="73"/>
  <c r="AE190" i="73" s="1"/>
  <c r="AI190" i="73" s="1"/>
  <c r="AO190" i="73" s="1"/>
  <c r="AS190" i="73" s="1"/>
  <c r="AW190" i="73" s="1"/>
  <c r="BA182" i="73"/>
  <c r="N17" i="106"/>
  <c r="M17" i="106"/>
  <c r="L17" i="106"/>
  <c r="K17" i="106"/>
  <c r="J17" i="106"/>
  <c r="I17" i="106"/>
  <c r="H17" i="106"/>
  <c r="G17" i="106"/>
  <c r="F17" i="106"/>
  <c r="E17" i="106"/>
  <c r="D17" i="106"/>
  <c r="C17" i="106"/>
  <c r="BC182" i="73" l="1"/>
  <c r="BA39" i="77"/>
  <c r="BA38" i="77"/>
  <c r="AM39" i="77"/>
  <c r="BC39" i="77" s="1"/>
  <c r="AM38" i="77"/>
  <c r="AA39" i="77"/>
  <c r="AA38" i="77"/>
  <c r="Y39" i="77"/>
  <c r="Y38" i="77"/>
  <c r="M39" i="77"/>
  <c r="M38" i="77"/>
  <c r="BE39" i="77" l="1"/>
  <c r="BC38" i="77"/>
  <c r="BE38" i="77" s="1"/>
  <c r="BA41" i="77"/>
  <c r="AZ41" i="77"/>
  <c r="AW41" i="77"/>
  <c r="AS41" i="77"/>
  <c r="AO41" i="77"/>
  <c r="AM41" i="77"/>
  <c r="AL41" i="77"/>
  <c r="AI41" i="77"/>
  <c r="AE41" i="77"/>
  <c r="AA41" i="77"/>
  <c r="Y41" i="77"/>
  <c r="X41" i="77"/>
  <c r="U41" i="77"/>
  <c r="Q41" i="77"/>
  <c r="M41" i="77"/>
  <c r="L41" i="77"/>
  <c r="P41" i="77" s="1"/>
  <c r="I41" i="77"/>
  <c r="H41" i="77"/>
  <c r="F42" i="77"/>
  <c r="H42" i="77" s="1"/>
  <c r="H37" i="77" s="1"/>
  <c r="Z41" i="77" l="1"/>
  <c r="F37" i="77"/>
  <c r="T41" i="77"/>
  <c r="AD41" i="77"/>
  <c r="BB41" i="77"/>
  <c r="BC41" i="77"/>
  <c r="BE41" i="77" s="1"/>
  <c r="BA55" i="50"/>
  <c r="AZ34" i="35"/>
  <c r="AZ35" i="35"/>
  <c r="AH41" i="77" l="1"/>
  <c r="BF109" i="9"/>
  <c r="AN41" i="77" l="1"/>
  <c r="I66" i="71"/>
  <c r="O57" i="73"/>
  <c r="AK48" i="72"/>
  <c r="K48" i="72"/>
  <c r="W48" i="72"/>
  <c r="I54" i="72"/>
  <c r="AR41" i="77" l="1"/>
  <c r="Y48" i="72"/>
  <c r="AC48" i="72" s="1"/>
  <c r="AG48" i="72" s="1"/>
  <c r="AY48" i="72"/>
  <c r="BA48" i="72" s="1"/>
  <c r="AV41" i="77" l="1"/>
  <c r="G114" i="50"/>
  <c r="I114" i="50"/>
  <c r="J114" i="50"/>
  <c r="L114" i="50"/>
  <c r="M114" i="50"/>
  <c r="Q114" i="50"/>
  <c r="R114" i="50"/>
  <c r="T114" i="50"/>
  <c r="U114" i="50"/>
  <c r="V114" i="50"/>
  <c r="X114" i="50"/>
  <c r="Y114" i="50"/>
  <c r="AE114" i="50"/>
  <c r="AF114" i="50"/>
  <c r="AH114" i="50"/>
  <c r="AI114" i="50"/>
  <c r="AL114" i="50"/>
  <c r="AM114" i="50"/>
  <c r="AR114" i="50"/>
  <c r="AS114" i="50"/>
  <c r="AV114" i="50"/>
  <c r="AW114" i="50"/>
  <c r="AZ114" i="50"/>
  <c r="BA114" i="50"/>
  <c r="G113" i="50"/>
  <c r="I113" i="50"/>
  <c r="J113" i="50"/>
  <c r="L113" i="50"/>
  <c r="M113" i="50"/>
  <c r="Q113" i="50"/>
  <c r="R113" i="50"/>
  <c r="T113" i="50"/>
  <c r="U113" i="50"/>
  <c r="V113" i="50"/>
  <c r="X113" i="50"/>
  <c r="AE113" i="50"/>
  <c r="AF113" i="50"/>
  <c r="AH113" i="50"/>
  <c r="AI113" i="50"/>
  <c r="AL113" i="50"/>
  <c r="AM113" i="50"/>
  <c r="AR113" i="50"/>
  <c r="AS113" i="50"/>
  <c r="AV113" i="50"/>
  <c r="AW113" i="50"/>
  <c r="AZ113" i="50"/>
  <c r="BA113" i="50"/>
  <c r="O113" i="50" l="1"/>
  <c r="K114" i="50"/>
  <c r="BC113" i="50"/>
  <c r="AO113" i="50"/>
  <c r="AA114" i="50"/>
  <c r="BD41" i="77"/>
  <c r="BE113" i="50"/>
  <c r="O114" i="50"/>
  <c r="AC114" i="50" s="1"/>
  <c r="AG114" i="50" s="1"/>
  <c r="AK114" i="50" s="1"/>
  <c r="AQ114" i="50" s="1"/>
  <c r="AU114" i="50" s="1"/>
  <c r="AY114" i="50" s="1"/>
  <c r="BG114" i="50" s="1"/>
  <c r="K113" i="50"/>
  <c r="AO114" i="50"/>
  <c r="BC114" i="50"/>
  <c r="BE114" i="50" s="1"/>
  <c r="S113" i="50"/>
  <c r="W113" i="50" s="1"/>
  <c r="BB126" i="9"/>
  <c r="S114" i="50" l="1"/>
  <c r="W114" i="50" s="1"/>
  <c r="AZ157" i="8"/>
  <c r="AZ156" i="8"/>
  <c r="AZ155" i="8"/>
  <c r="AZ154" i="8"/>
  <c r="AZ153" i="8"/>
  <c r="AZ152" i="8"/>
  <c r="AZ151" i="8"/>
  <c r="AZ150" i="8"/>
  <c r="AZ149" i="8"/>
  <c r="AV157" i="8"/>
  <c r="AV156" i="8"/>
  <c r="AV155" i="8"/>
  <c r="AV154" i="8"/>
  <c r="AV153" i="8"/>
  <c r="AV152" i="8"/>
  <c r="AV151" i="8"/>
  <c r="AV150" i="8"/>
  <c r="AV149" i="8"/>
  <c r="AR157" i="8"/>
  <c r="AR156" i="8"/>
  <c r="AR155" i="8"/>
  <c r="AR154" i="8"/>
  <c r="AR153" i="8"/>
  <c r="AR152" i="8"/>
  <c r="AR151" i="8"/>
  <c r="AR150" i="8"/>
  <c r="AR149" i="8"/>
  <c r="AL157" i="8"/>
  <c r="AL156" i="8"/>
  <c r="AL155" i="8"/>
  <c r="AL154" i="8"/>
  <c r="AL153" i="8"/>
  <c r="AL152" i="8"/>
  <c r="AL151" i="8"/>
  <c r="AL150" i="8"/>
  <c r="AL149" i="8"/>
  <c r="AH157" i="8"/>
  <c r="AH156" i="8"/>
  <c r="AH155" i="8"/>
  <c r="AH154" i="8"/>
  <c r="AH153" i="8"/>
  <c r="AH152" i="8"/>
  <c r="AH151" i="8"/>
  <c r="AH150" i="8"/>
  <c r="AH149" i="8"/>
  <c r="AD157" i="8"/>
  <c r="AD156" i="8"/>
  <c r="AD155" i="8"/>
  <c r="AD154" i="8"/>
  <c r="AD153" i="8"/>
  <c r="AD152" i="8"/>
  <c r="AD151" i="8"/>
  <c r="AD150" i="8"/>
  <c r="AD149" i="8"/>
  <c r="X157" i="8"/>
  <c r="X156" i="8"/>
  <c r="X155" i="8"/>
  <c r="X154" i="8"/>
  <c r="X153" i="8"/>
  <c r="X152" i="8"/>
  <c r="X151" i="8"/>
  <c r="X150" i="8"/>
  <c r="X149" i="8"/>
  <c r="T157" i="8"/>
  <c r="T156" i="8"/>
  <c r="T155" i="8"/>
  <c r="T154" i="8"/>
  <c r="T153" i="8"/>
  <c r="T152" i="8"/>
  <c r="T151" i="8"/>
  <c r="T150" i="8"/>
  <c r="T149" i="8"/>
  <c r="P157" i="8"/>
  <c r="P156" i="8"/>
  <c r="P155" i="8"/>
  <c r="P154" i="8"/>
  <c r="P153" i="8"/>
  <c r="P152" i="8"/>
  <c r="P151" i="8"/>
  <c r="P150" i="8"/>
  <c r="P149" i="8"/>
  <c r="L157" i="8"/>
  <c r="L156" i="8"/>
  <c r="L155" i="8"/>
  <c r="L154" i="8"/>
  <c r="L153" i="8"/>
  <c r="L152" i="8"/>
  <c r="L151" i="8"/>
  <c r="L150" i="8"/>
  <c r="L149" i="8"/>
  <c r="H157" i="8"/>
  <c r="H156" i="8"/>
  <c r="H155" i="8"/>
  <c r="H154" i="8"/>
  <c r="H153" i="8"/>
  <c r="H152" i="8"/>
  <c r="H151" i="8"/>
  <c r="H150" i="8"/>
  <c r="H149" i="8"/>
  <c r="F157" i="8"/>
  <c r="F156" i="8"/>
  <c r="F155" i="8"/>
  <c r="F154" i="8"/>
  <c r="F153" i="8"/>
  <c r="F152" i="8"/>
  <c r="F151" i="8"/>
  <c r="F150" i="8"/>
  <c r="BI149" i="8"/>
  <c r="BJ149" i="8"/>
  <c r="BK149" i="8"/>
  <c r="BL149" i="8"/>
  <c r="BM149" i="8"/>
  <c r="BN149" i="8"/>
  <c r="F149" i="8"/>
  <c r="Q176" i="73" l="1"/>
  <c r="U176" i="73" s="1"/>
  <c r="AE176" i="73"/>
  <c r="AI176" i="73" s="1"/>
  <c r="AO176" i="73" s="1"/>
  <c r="AS176" i="73" s="1"/>
  <c r="AW176" i="73" s="1"/>
  <c r="BE176" i="73" s="1"/>
  <c r="AM176" i="73"/>
  <c r="BA176" i="73"/>
  <c r="E98" i="73"/>
  <c r="BC176" i="73" l="1"/>
  <c r="BB114" i="73"/>
  <c r="AZ114" i="73"/>
  <c r="AX114" i="73"/>
  <c r="AT114" i="73"/>
  <c r="AL114" i="73"/>
  <c r="AF114" i="73"/>
  <c r="AB114" i="73"/>
  <c r="Z114" i="73"/>
  <c r="X114" i="73"/>
  <c r="N114" i="73"/>
  <c r="L114" i="73"/>
  <c r="J114" i="73"/>
  <c r="I106" i="73"/>
  <c r="M106" i="73"/>
  <c r="Q106" i="73" s="1"/>
  <c r="U106" i="73" s="1"/>
  <c r="Y106" i="73"/>
  <c r="AM106" i="73"/>
  <c r="BA106" i="73"/>
  <c r="BB42" i="36"/>
  <c r="AN42" i="36"/>
  <c r="D34" i="35"/>
  <c r="BD42" i="36" l="1"/>
  <c r="AA106" i="73"/>
  <c r="AE106" i="73" s="1"/>
  <c r="AI106" i="73" s="1"/>
  <c r="AO106" i="73" s="1"/>
  <c r="AS106" i="73" s="1"/>
  <c r="AW106" i="73" s="1"/>
  <c r="BE106" i="73" s="1"/>
  <c r="BC106" i="73"/>
  <c r="M39" i="105"/>
  <c r="M59" i="105" s="1"/>
  <c r="L39" i="105"/>
  <c r="L59" i="105" s="1"/>
  <c r="K39" i="105"/>
  <c r="K59" i="105" s="1"/>
  <c r="I39" i="105"/>
  <c r="I59" i="105" s="1"/>
  <c r="G39" i="105"/>
  <c r="G59" i="105" s="1"/>
  <c r="E39" i="105"/>
  <c r="E59" i="105" s="1"/>
  <c r="D39" i="105"/>
  <c r="D59" i="105" s="1"/>
  <c r="M38" i="105"/>
  <c r="M58" i="105" s="1"/>
  <c r="L38" i="105"/>
  <c r="L58" i="105" s="1"/>
  <c r="K38" i="105"/>
  <c r="K58" i="105" s="1"/>
  <c r="I38" i="105"/>
  <c r="I58" i="105" s="1"/>
  <c r="G38" i="105"/>
  <c r="G58" i="105" s="1"/>
  <c r="E38" i="105"/>
  <c r="E58" i="105" s="1"/>
  <c r="D38" i="105"/>
  <c r="D58" i="105" s="1"/>
  <c r="M37" i="105"/>
  <c r="M57" i="105" s="1"/>
  <c r="L37" i="105"/>
  <c r="L57" i="105" s="1"/>
  <c r="K37" i="105"/>
  <c r="I37" i="105"/>
  <c r="G37" i="105"/>
  <c r="G57" i="105" s="1"/>
  <c r="E37" i="105"/>
  <c r="E57" i="105" s="1"/>
  <c r="D37" i="105"/>
  <c r="M35" i="105"/>
  <c r="M55" i="105" s="1"/>
  <c r="L35" i="105"/>
  <c r="L55" i="105" s="1"/>
  <c r="K35" i="105"/>
  <c r="K55" i="105" s="1"/>
  <c r="I35" i="105"/>
  <c r="I55" i="105" s="1"/>
  <c r="G35" i="105"/>
  <c r="G55" i="105" s="1"/>
  <c r="E35" i="105"/>
  <c r="E55" i="105" s="1"/>
  <c r="D35" i="105"/>
  <c r="D55" i="105" s="1"/>
  <c r="M34" i="105"/>
  <c r="M54" i="105" s="1"/>
  <c r="L34" i="105"/>
  <c r="L54" i="105" s="1"/>
  <c r="K34" i="105"/>
  <c r="K54" i="105" s="1"/>
  <c r="I34" i="105"/>
  <c r="I54" i="105" s="1"/>
  <c r="G34" i="105"/>
  <c r="G54" i="105" s="1"/>
  <c r="E34" i="105"/>
  <c r="E54" i="105" s="1"/>
  <c r="D34" i="105"/>
  <c r="D54" i="105" s="1"/>
  <c r="M33" i="105"/>
  <c r="M53" i="105" s="1"/>
  <c r="L33" i="105"/>
  <c r="L53" i="105" s="1"/>
  <c r="K33" i="105"/>
  <c r="I33" i="105"/>
  <c r="G33" i="105"/>
  <c r="G53" i="105" s="1"/>
  <c r="E33" i="105"/>
  <c r="E53" i="105" s="1"/>
  <c r="D33" i="105"/>
  <c r="M31" i="105"/>
  <c r="M51" i="105" s="1"/>
  <c r="L31" i="105"/>
  <c r="L51" i="105" s="1"/>
  <c r="K31" i="105"/>
  <c r="K51" i="105" s="1"/>
  <c r="I31" i="105"/>
  <c r="I51" i="105" s="1"/>
  <c r="G31" i="105"/>
  <c r="G51" i="105" s="1"/>
  <c r="E31" i="105"/>
  <c r="E51" i="105" s="1"/>
  <c r="D31" i="105"/>
  <c r="D51" i="105" s="1"/>
  <c r="M30" i="105"/>
  <c r="M50" i="105" s="1"/>
  <c r="L30" i="105"/>
  <c r="L50" i="105" s="1"/>
  <c r="K30" i="105"/>
  <c r="K50" i="105" s="1"/>
  <c r="I30" i="105"/>
  <c r="I50" i="105" s="1"/>
  <c r="G30" i="105"/>
  <c r="G50" i="105" s="1"/>
  <c r="E30" i="105"/>
  <c r="E50" i="105" s="1"/>
  <c r="D30" i="105"/>
  <c r="D50" i="105" s="1"/>
  <c r="M29" i="105"/>
  <c r="M49" i="105" s="1"/>
  <c r="L29" i="105"/>
  <c r="L49" i="105" s="1"/>
  <c r="K29" i="105"/>
  <c r="I29" i="105"/>
  <c r="G29" i="105"/>
  <c r="G49" i="105" s="1"/>
  <c r="E29" i="105"/>
  <c r="E49" i="105" s="1"/>
  <c r="D29" i="105"/>
  <c r="M27" i="105"/>
  <c r="M47" i="105" s="1"/>
  <c r="L27" i="105"/>
  <c r="L47" i="105" s="1"/>
  <c r="K27" i="105"/>
  <c r="K47" i="105" s="1"/>
  <c r="I27" i="105"/>
  <c r="I47" i="105" s="1"/>
  <c r="G27" i="105"/>
  <c r="G47" i="105" s="1"/>
  <c r="E27" i="105"/>
  <c r="E47" i="105" s="1"/>
  <c r="D27" i="105"/>
  <c r="D47" i="105" s="1"/>
  <c r="M26" i="105"/>
  <c r="M46" i="105" s="1"/>
  <c r="L26" i="105"/>
  <c r="L46" i="105" s="1"/>
  <c r="K26" i="105"/>
  <c r="K46" i="105" s="1"/>
  <c r="I26" i="105"/>
  <c r="I46" i="105" s="1"/>
  <c r="G26" i="105"/>
  <c r="G46" i="105" s="1"/>
  <c r="E26" i="105"/>
  <c r="E46" i="105" s="1"/>
  <c r="D26" i="105"/>
  <c r="D46" i="105" s="1"/>
  <c r="M25" i="105"/>
  <c r="M45" i="105" s="1"/>
  <c r="L25" i="105"/>
  <c r="L45" i="105" s="1"/>
  <c r="K25" i="105"/>
  <c r="I25" i="105"/>
  <c r="G25" i="105"/>
  <c r="G45" i="105" s="1"/>
  <c r="E25" i="105"/>
  <c r="E45" i="105" s="1"/>
  <c r="D25" i="105"/>
  <c r="M20" i="105"/>
  <c r="L20" i="105"/>
  <c r="K20" i="105"/>
  <c r="I20" i="105"/>
  <c r="G20" i="105"/>
  <c r="E20" i="105"/>
  <c r="D20" i="105"/>
  <c r="M16" i="105"/>
  <c r="L16" i="105"/>
  <c r="K16" i="105"/>
  <c r="I16" i="105"/>
  <c r="G16" i="105"/>
  <c r="E16" i="105"/>
  <c r="D16" i="105"/>
  <c r="M12" i="105"/>
  <c r="L12" i="105"/>
  <c r="K12" i="105"/>
  <c r="I12" i="105"/>
  <c r="G12" i="105"/>
  <c r="E12" i="105"/>
  <c r="D12" i="105"/>
  <c r="M8" i="105"/>
  <c r="L8" i="105"/>
  <c r="K8" i="105"/>
  <c r="I8" i="105"/>
  <c r="G8" i="105"/>
  <c r="E8" i="105"/>
  <c r="D8" i="105"/>
  <c r="K28" i="105" l="1"/>
  <c r="I28" i="105"/>
  <c r="E60" i="105"/>
  <c r="D28" i="105"/>
  <c r="I32" i="105"/>
  <c r="K32" i="105"/>
  <c r="M56" i="105"/>
  <c r="M52" i="105"/>
  <c r="D40" i="105"/>
  <c r="E21" i="105"/>
  <c r="D36" i="105"/>
  <c r="I40" i="105"/>
  <c r="G21" i="105"/>
  <c r="E56" i="105"/>
  <c r="K40" i="105"/>
  <c r="I21" i="105"/>
  <c r="G56" i="105"/>
  <c r="L60" i="105"/>
  <c r="K21" i="105"/>
  <c r="D32" i="105"/>
  <c r="I36" i="105"/>
  <c r="L21" i="105"/>
  <c r="K36" i="105"/>
  <c r="D21" i="105"/>
  <c r="M21" i="105"/>
  <c r="G52" i="105"/>
  <c r="L56" i="105"/>
  <c r="E48" i="105"/>
  <c r="L48" i="105"/>
  <c r="G60" i="105"/>
  <c r="M60" i="105"/>
  <c r="G48" i="105"/>
  <c r="M48" i="105"/>
  <c r="E52" i="105"/>
  <c r="L52" i="105"/>
  <c r="D41" i="105"/>
  <c r="E28" i="105"/>
  <c r="L28" i="105"/>
  <c r="E32" i="105"/>
  <c r="L32" i="105"/>
  <c r="E36" i="105"/>
  <c r="L36" i="105"/>
  <c r="E40" i="105"/>
  <c r="L40" i="105"/>
  <c r="I45" i="105"/>
  <c r="I48" i="105" s="1"/>
  <c r="I49" i="105"/>
  <c r="I52" i="105" s="1"/>
  <c r="I53" i="105"/>
  <c r="I56" i="105" s="1"/>
  <c r="I57" i="105"/>
  <c r="I60" i="105" s="1"/>
  <c r="G28" i="105"/>
  <c r="M28" i="105"/>
  <c r="G32" i="105"/>
  <c r="M32" i="105"/>
  <c r="G36" i="105"/>
  <c r="M36" i="105"/>
  <c r="G40" i="105"/>
  <c r="M40" i="105"/>
  <c r="D45" i="105"/>
  <c r="D48" i="105" s="1"/>
  <c r="K45" i="105"/>
  <c r="K48" i="105" s="1"/>
  <c r="D49" i="105"/>
  <c r="D52" i="105" s="1"/>
  <c r="K49" i="105"/>
  <c r="K52" i="105" s="1"/>
  <c r="D53" i="105"/>
  <c r="D56" i="105" s="1"/>
  <c r="K53" i="105"/>
  <c r="K56" i="105" s="1"/>
  <c r="D57" i="105"/>
  <c r="D60" i="105" s="1"/>
  <c r="K57" i="105"/>
  <c r="K60" i="105" s="1"/>
  <c r="I41" i="105" l="1"/>
  <c r="K41" i="105"/>
  <c r="D61" i="105"/>
  <c r="L61" i="105"/>
  <c r="E61" i="105"/>
  <c r="G41" i="105"/>
  <c r="E41" i="105"/>
  <c r="G61" i="105"/>
  <c r="K61" i="105"/>
  <c r="M41" i="105"/>
  <c r="I61" i="105"/>
  <c r="L41" i="105"/>
  <c r="M61" i="105"/>
  <c r="AL145" i="10" l="1"/>
  <c r="AL47" i="10"/>
  <c r="AD146" i="10"/>
  <c r="AD67" i="10"/>
  <c r="T143" i="10"/>
  <c r="T20" i="10"/>
  <c r="P90" i="10" l="1"/>
  <c r="L143" i="10" l="1"/>
  <c r="L15" i="10"/>
  <c r="H90" i="10"/>
  <c r="H94" i="10"/>
  <c r="H95" i="10"/>
  <c r="H86" i="10"/>
  <c r="H67" i="10"/>
  <c r="H60" i="10"/>
  <c r="H25" i="10"/>
  <c r="H24" i="10"/>
  <c r="H32" i="10"/>
  <c r="H23" i="10"/>
  <c r="H13" i="10"/>
  <c r="H151" i="10"/>
  <c r="H88" i="10"/>
  <c r="H143" i="10"/>
  <c r="H20" i="10"/>
  <c r="H156" i="10"/>
  <c r="H146" i="10"/>
  <c r="H115" i="10"/>
  <c r="H55" i="10"/>
  <c r="F67" i="10" l="1"/>
  <c r="F146" i="10"/>
  <c r="AV218" i="73" l="1"/>
  <c r="AX218" i="73"/>
  <c r="AX42" i="77" s="1"/>
  <c r="AX37" i="77" s="1"/>
  <c r="AY218" i="73"/>
  <c r="AY42" i="77" s="1"/>
  <c r="AY37" i="77" s="1"/>
  <c r="AU218" i="73"/>
  <c r="AU42" i="77" s="1"/>
  <c r="BE220" i="73"/>
  <c r="BA220" i="73"/>
  <c r="BC220" i="73" s="1"/>
  <c r="AU37" i="77" l="1"/>
  <c r="AR103" i="9"/>
  <c r="AV103" i="9"/>
  <c r="AZ103" i="9"/>
  <c r="BD11" i="15" l="1"/>
  <c r="BB11" i="15"/>
  <c r="AZ11" i="15"/>
  <c r="AY130" i="26" l="1"/>
  <c r="AG94" i="45" l="1"/>
  <c r="AG79" i="45"/>
  <c r="AG80" i="45"/>
  <c r="AG81" i="45"/>
  <c r="O117" i="45"/>
  <c r="AA117" i="45"/>
  <c r="AC117" i="45" l="1"/>
  <c r="AG117" i="45" s="1"/>
  <c r="Y84" i="45"/>
  <c r="Y82" i="45"/>
  <c r="AS105" i="45" l="1"/>
  <c r="AS25" i="45"/>
  <c r="AL52" i="10"/>
  <c r="L148" i="10"/>
  <c r="L125" i="10"/>
  <c r="AZ55" i="10" l="1"/>
  <c r="AZ60" i="10"/>
  <c r="AZ56" i="10"/>
  <c r="AZ32" i="10"/>
  <c r="AZ108" i="10"/>
  <c r="AZ115" i="10"/>
  <c r="AZ113" i="10" l="1"/>
  <c r="AZ67" i="10"/>
  <c r="BG7" i="8"/>
  <c r="BH7" i="8"/>
  <c r="BG12" i="8"/>
  <c r="BH12" i="8"/>
  <c r="BG22" i="8"/>
  <c r="BH22" i="8"/>
  <c r="BG32" i="8"/>
  <c r="BH32" i="8"/>
  <c r="BG38" i="8"/>
  <c r="BH38" i="8"/>
  <c r="BG60" i="8"/>
  <c r="BG66" i="8"/>
  <c r="BG70" i="8"/>
  <c r="BG94" i="8"/>
  <c r="BG95" i="8"/>
  <c r="BH95" i="8"/>
  <c r="BG96" i="8"/>
  <c r="BH96" i="8"/>
  <c r="BG97" i="8"/>
  <c r="BH97" i="8"/>
  <c r="BG98" i="8"/>
  <c r="BG99" i="8"/>
  <c r="BG100" i="8"/>
  <c r="BG101" i="8"/>
  <c r="BG102" i="8"/>
  <c r="BG103" i="8"/>
  <c r="BG104" i="8"/>
  <c r="BG105" i="8"/>
  <c r="BG106" i="8"/>
  <c r="BG107" i="8"/>
  <c r="BA71" i="83" l="1"/>
  <c r="BG17" i="52"/>
  <c r="BH17" i="52"/>
  <c r="BH96" i="50" l="1"/>
  <c r="BH98" i="50"/>
  <c r="BH99" i="50"/>
  <c r="BH105" i="50"/>
  <c r="BH106" i="50"/>
  <c r="BH118" i="50"/>
  <c r="BH122" i="50"/>
  <c r="BH126" i="50"/>
  <c r="BH136" i="50"/>
  <c r="BC85" i="50"/>
  <c r="BC86" i="50"/>
  <c r="BC61" i="50"/>
  <c r="AM55" i="50" l="1"/>
  <c r="AI55" i="50"/>
  <c r="AE55" i="50"/>
  <c r="Y55" i="50"/>
  <c r="U55" i="50"/>
  <c r="Q55" i="50"/>
  <c r="M55" i="50"/>
  <c r="I55" i="50"/>
  <c r="G55" i="50"/>
  <c r="O67" i="50"/>
  <c r="S67" i="50" s="1"/>
  <c r="K67" i="50"/>
  <c r="BC67" i="50"/>
  <c r="AA67" i="50"/>
  <c r="AO67" i="50"/>
  <c r="AC67" i="50" l="1"/>
  <c r="AG67" i="50" s="1"/>
  <c r="AK67" i="50" s="1"/>
  <c r="AQ67" i="50" s="1"/>
  <c r="AU67" i="50" s="1"/>
  <c r="AY67" i="50" s="1"/>
  <c r="BG67" i="50" s="1"/>
  <c r="BH67" i="50" s="1"/>
  <c r="BE67" i="50"/>
  <c r="BF105" i="10" l="1"/>
  <c r="BB105" i="10"/>
  <c r="BD105" i="10" s="1"/>
  <c r="BB53" i="11" l="1"/>
  <c r="BD53" i="11" s="1"/>
  <c r="BB54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42" i="11"/>
  <c r="BH18" i="7" l="1"/>
  <c r="BG22" i="7"/>
  <c r="BH22" i="7"/>
  <c r="BG52" i="7"/>
  <c r="BH52" i="7"/>
  <c r="BG64" i="7"/>
  <c r="BH64" i="7"/>
  <c r="AY37" i="27" l="1"/>
  <c r="AY35" i="27"/>
  <c r="AY29" i="27"/>
  <c r="AY28" i="27"/>
  <c r="AY27" i="27"/>
  <c r="AY20" i="27"/>
  <c r="AY19" i="27"/>
  <c r="AY18" i="27"/>
  <c r="BA15" i="27"/>
  <c r="AZ15" i="27"/>
  <c r="BA14" i="27"/>
  <c r="AZ14" i="27"/>
  <c r="AX33" i="27" l="1"/>
  <c r="BI16" i="27"/>
  <c r="BJ16" i="27"/>
  <c r="BI17" i="27"/>
  <c r="BJ17" i="27"/>
  <c r="BI25" i="27"/>
  <c r="BJ25" i="27"/>
  <c r="BJ30" i="27"/>
  <c r="BI34" i="27"/>
  <c r="BJ34" i="27"/>
  <c r="BF15" i="27"/>
  <c r="BF14" i="27"/>
  <c r="BF25" i="39" l="1"/>
  <c r="BF26" i="39"/>
  <c r="BF27" i="39"/>
  <c r="BF32" i="39"/>
  <c r="BF33" i="39"/>
  <c r="BF35" i="39"/>
  <c r="BF36" i="39"/>
  <c r="BF40" i="39"/>
  <c r="BF41" i="39"/>
  <c r="BF44" i="39"/>
  <c r="BF52" i="39"/>
  <c r="BF53" i="39"/>
  <c r="BF63" i="39"/>
  <c r="BF65" i="39"/>
  <c r="BI25" i="39"/>
  <c r="BI26" i="39"/>
  <c r="BI27" i="39"/>
  <c r="BI32" i="39"/>
  <c r="BI33" i="39"/>
  <c r="BI35" i="39"/>
  <c r="BI36" i="39"/>
  <c r="BI40" i="39"/>
  <c r="BI41" i="39"/>
  <c r="BI44" i="39"/>
  <c r="BI52" i="39"/>
  <c r="BI53" i="39"/>
  <c r="BI63" i="39"/>
  <c r="BI65" i="39"/>
  <c r="BJ11" i="6"/>
  <c r="BK11" i="6"/>
  <c r="BJ14" i="6"/>
  <c r="BK14" i="6"/>
  <c r="BJ20" i="6"/>
  <c r="BK20" i="6"/>
  <c r="BJ36" i="6"/>
  <c r="BK36" i="6"/>
  <c r="BJ42" i="6"/>
  <c r="BK42" i="6"/>
  <c r="BJ43" i="6"/>
  <c r="BJ44" i="6"/>
  <c r="BJ45" i="6"/>
  <c r="BJ46" i="6"/>
  <c r="BJ47" i="6"/>
  <c r="BJ48" i="6"/>
  <c r="BJ49" i="6"/>
  <c r="BJ50" i="6"/>
  <c r="BJ51" i="6"/>
  <c r="BJ52" i="6"/>
  <c r="BJ53" i="6"/>
  <c r="BJ54" i="6"/>
  <c r="BJ55" i="6"/>
  <c r="BJ56" i="6"/>
  <c r="BJ57" i="6"/>
  <c r="BJ58" i="6"/>
  <c r="BK58" i="6"/>
  <c r="BJ59" i="6"/>
  <c r="BK59" i="6"/>
  <c r="BJ62" i="6"/>
  <c r="BK62" i="6"/>
  <c r="BJ63" i="6"/>
  <c r="BK63" i="6"/>
  <c r="BJ71" i="6"/>
  <c r="BK71" i="6"/>
  <c r="BJ78" i="6"/>
  <c r="BK78" i="6"/>
  <c r="BJ89" i="6"/>
  <c r="BK89" i="6"/>
  <c r="BJ90" i="6"/>
  <c r="BK90" i="6"/>
  <c r="BJ105" i="6"/>
  <c r="BJ106" i="6"/>
  <c r="BJ108" i="6"/>
  <c r="BK108" i="6"/>
  <c r="BJ123" i="6"/>
  <c r="BJ124" i="6"/>
  <c r="BJ126" i="6"/>
  <c r="BK126" i="6"/>
  <c r="BJ141" i="6"/>
  <c r="BJ142" i="6"/>
  <c r="BJ144" i="6"/>
  <c r="BK144" i="6"/>
  <c r="BJ145" i="6"/>
  <c r="BK145" i="6"/>
  <c r="BJ146" i="6"/>
  <c r="BK146" i="6"/>
  <c r="BJ155" i="6"/>
  <c r="BK155" i="6"/>
  <c r="BJ162" i="6"/>
  <c r="BK162" i="6"/>
  <c r="BJ187" i="6"/>
  <c r="BK187" i="6"/>
  <c r="BJ196" i="6"/>
  <c r="BK196" i="6"/>
  <c r="BJ225" i="6"/>
  <c r="BG11" i="6" l="1"/>
  <c r="BH11" i="6"/>
  <c r="BG14" i="6"/>
  <c r="BH14" i="6"/>
  <c r="BG20" i="6"/>
  <c r="BH20" i="6"/>
  <c r="BG36" i="6"/>
  <c r="BH36" i="6"/>
  <c r="BG42" i="6"/>
  <c r="BH42" i="6"/>
  <c r="BG43" i="6"/>
  <c r="BG44" i="6"/>
  <c r="BG45" i="6"/>
  <c r="BG46" i="6"/>
  <c r="BG47" i="6"/>
  <c r="BG48" i="6"/>
  <c r="BG49" i="6"/>
  <c r="BG50" i="6"/>
  <c r="BG51" i="6"/>
  <c r="BG52" i="6"/>
  <c r="BG53" i="6"/>
  <c r="BG54" i="6"/>
  <c r="BG55" i="6"/>
  <c r="BG56" i="6"/>
  <c r="BG57" i="6"/>
  <c r="BG58" i="6"/>
  <c r="BH58" i="6"/>
  <c r="BG59" i="6"/>
  <c r="BH59" i="6"/>
  <c r="BG62" i="6"/>
  <c r="BH62" i="6"/>
  <c r="BG63" i="6"/>
  <c r="BH63" i="6"/>
  <c r="BG71" i="6"/>
  <c r="BH71" i="6"/>
  <c r="BG78" i="6"/>
  <c r="BH78" i="6"/>
  <c r="BG89" i="6"/>
  <c r="BH89" i="6"/>
  <c r="BG90" i="6"/>
  <c r="BH90" i="6"/>
  <c r="BG105" i="6"/>
  <c r="BG106" i="6"/>
  <c r="BG108" i="6"/>
  <c r="BH108" i="6"/>
  <c r="BG123" i="6"/>
  <c r="BG124" i="6"/>
  <c r="BG126" i="6"/>
  <c r="BH126" i="6"/>
  <c r="BG141" i="6"/>
  <c r="BG142" i="6"/>
  <c r="BG144" i="6"/>
  <c r="BH144" i="6"/>
  <c r="BG145" i="6"/>
  <c r="BH145" i="6"/>
  <c r="BG146" i="6"/>
  <c r="BH146" i="6"/>
  <c r="BG155" i="6"/>
  <c r="BH155" i="6"/>
  <c r="BG162" i="6"/>
  <c r="BH162" i="6"/>
  <c r="BG187" i="6"/>
  <c r="BH187" i="6"/>
  <c r="BG196" i="6"/>
  <c r="BH196" i="6"/>
  <c r="BG225" i="6"/>
  <c r="AZ29" i="28"/>
  <c r="BB107" i="28"/>
  <c r="BB108" i="28"/>
  <c r="BB109" i="28"/>
  <c r="BD109" i="28" s="1"/>
  <c r="BK109" i="28" s="1"/>
  <c r="BB110" i="28"/>
  <c r="BB111" i="28"/>
  <c r="BB112" i="28"/>
  <c r="BB113" i="28"/>
  <c r="BB114" i="28"/>
  <c r="BB115" i="28"/>
  <c r="BB116" i="28"/>
  <c r="BB117" i="28"/>
  <c r="BB118" i="28"/>
  <c r="BB119" i="28"/>
  <c r="BB179" i="28"/>
  <c r="BB180" i="28"/>
  <c r="BB181" i="28"/>
  <c r="BB182" i="28"/>
  <c r="BD182" i="28" s="1"/>
  <c r="BK182" i="28" s="1"/>
  <c r="BB183" i="28"/>
  <c r="BB184" i="28"/>
  <c r="BB185" i="28"/>
  <c r="BB186" i="28"/>
  <c r="BB192" i="28"/>
  <c r="BB193" i="28"/>
  <c r="BB194" i="28"/>
  <c r="BB189" i="28"/>
  <c r="BB228" i="28"/>
  <c r="BB229" i="28"/>
  <c r="BB230" i="28"/>
  <c r="BB231" i="28"/>
  <c r="BB232" i="28"/>
  <c r="BB234" i="28"/>
  <c r="BD234" i="28" s="1"/>
  <c r="BK234" i="28" s="1"/>
  <c r="BJ8" i="28"/>
  <c r="BJ16" i="28"/>
  <c r="BJ22" i="28"/>
  <c r="BK22" i="28"/>
  <c r="BJ24" i="28"/>
  <c r="BJ30" i="28"/>
  <c r="BK30" i="28"/>
  <c r="BJ32" i="28"/>
  <c r="BJ38" i="28"/>
  <c r="BK38" i="28"/>
  <c r="BJ39" i="28"/>
  <c r="BJ40" i="28"/>
  <c r="BJ41" i="28"/>
  <c r="BK41" i="28"/>
  <c r="BJ42" i="28"/>
  <c r="BJ43" i="28"/>
  <c r="BJ44" i="28"/>
  <c r="BJ46" i="28"/>
  <c r="BJ47" i="28"/>
  <c r="BJ48" i="28"/>
  <c r="BJ49" i="28"/>
  <c r="BK49" i="28"/>
  <c r="BJ50" i="28"/>
  <c r="BJ51" i="28"/>
  <c r="BJ52" i="28"/>
  <c r="BJ55" i="28"/>
  <c r="BJ56" i="28"/>
  <c r="BJ57" i="28"/>
  <c r="BK57" i="28"/>
  <c r="BJ62" i="28"/>
  <c r="BK62" i="28"/>
  <c r="BJ64" i="28"/>
  <c r="BJ71" i="28"/>
  <c r="BK71" i="28"/>
  <c r="BJ77" i="28"/>
  <c r="BK77" i="28"/>
  <c r="BJ78" i="28"/>
  <c r="BK78" i="28"/>
  <c r="BJ80" i="28"/>
  <c r="BJ81" i="28"/>
  <c r="BJ82" i="28"/>
  <c r="BK82" i="28"/>
  <c r="BJ84" i="28"/>
  <c r="BJ85" i="28"/>
  <c r="BJ86" i="28"/>
  <c r="BK86" i="28"/>
  <c r="BJ88" i="28"/>
  <c r="BJ89" i="28"/>
  <c r="BJ90" i="28"/>
  <c r="BK90" i="28"/>
  <c r="BJ92" i="28"/>
  <c r="BJ93" i="28"/>
  <c r="BJ94" i="28"/>
  <c r="BK94" i="28"/>
  <c r="BJ96" i="28"/>
  <c r="BJ97" i="28"/>
  <c r="BJ99" i="28"/>
  <c r="BK99" i="28"/>
  <c r="BJ100" i="28"/>
  <c r="BJ101" i="28"/>
  <c r="BJ102" i="28"/>
  <c r="BJ103" i="28"/>
  <c r="BJ104" i="28"/>
  <c r="BJ105" i="28"/>
  <c r="BJ106" i="28"/>
  <c r="BJ107" i="28"/>
  <c r="BJ108" i="28"/>
  <c r="BJ109" i="28"/>
  <c r="BJ110" i="28"/>
  <c r="BJ111" i="28"/>
  <c r="BJ112" i="28"/>
  <c r="BJ113" i="28"/>
  <c r="BJ114" i="28"/>
  <c r="BJ115" i="28"/>
  <c r="BJ116" i="28"/>
  <c r="BJ117" i="28"/>
  <c r="BJ118" i="28"/>
  <c r="BJ119" i="28"/>
  <c r="BJ120" i="28"/>
  <c r="BJ121" i="28"/>
  <c r="BJ122" i="28"/>
  <c r="BJ123" i="28"/>
  <c r="BJ124" i="28"/>
  <c r="BJ125" i="28"/>
  <c r="BJ126" i="28"/>
  <c r="BJ127" i="28"/>
  <c r="BJ128" i="28"/>
  <c r="BJ129" i="28"/>
  <c r="BJ130" i="28"/>
  <c r="BJ131" i="28"/>
  <c r="BJ132" i="28"/>
  <c r="BJ133" i="28"/>
  <c r="BJ134" i="28"/>
  <c r="BJ135" i="28"/>
  <c r="BJ136" i="28"/>
  <c r="BJ137" i="28"/>
  <c r="BJ138" i="28"/>
  <c r="BJ139" i="28"/>
  <c r="BJ140" i="28"/>
  <c r="BJ141" i="28"/>
  <c r="BJ142" i="28"/>
  <c r="BK142" i="28"/>
  <c r="BJ143" i="28"/>
  <c r="BJ144" i="28"/>
  <c r="BJ145" i="28"/>
  <c r="BJ146" i="28"/>
  <c r="BJ147" i="28"/>
  <c r="BJ148" i="28"/>
  <c r="BJ149" i="28"/>
  <c r="BJ150" i="28"/>
  <c r="BJ151" i="28"/>
  <c r="BJ152" i="28"/>
  <c r="BJ153" i="28"/>
  <c r="BJ154" i="28"/>
  <c r="BJ155" i="28"/>
  <c r="BJ156" i="28"/>
  <c r="BJ157" i="28"/>
  <c r="BJ158" i="28"/>
  <c r="BJ159" i="28"/>
  <c r="BJ160" i="28"/>
  <c r="BJ161" i="28"/>
  <c r="BJ162" i="28"/>
  <c r="BJ163" i="28"/>
  <c r="BJ164" i="28"/>
  <c r="BJ165" i="28"/>
  <c r="BJ166" i="28"/>
  <c r="BJ167" i="28"/>
  <c r="BJ168" i="28"/>
  <c r="BJ169" i="28"/>
  <c r="BJ170" i="28"/>
  <c r="BJ171" i="28"/>
  <c r="BJ172" i="28"/>
  <c r="BJ173" i="28"/>
  <c r="BJ174" i="28"/>
  <c r="BJ175" i="28"/>
  <c r="BJ176" i="28"/>
  <c r="BJ177" i="28"/>
  <c r="BJ178" i="28"/>
  <c r="BJ179" i="28"/>
  <c r="BJ180" i="28"/>
  <c r="BJ181" i="28"/>
  <c r="BJ182" i="28"/>
  <c r="BJ183" i="28"/>
  <c r="BJ184" i="28"/>
  <c r="BJ185" i="28"/>
  <c r="BJ186" i="28"/>
  <c r="BJ187" i="28"/>
  <c r="BJ188" i="28"/>
  <c r="BJ189" i="28"/>
  <c r="BJ190" i="28"/>
  <c r="BJ191" i="28"/>
  <c r="BJ192" i="28"/>
  <c r="BJ193" i="28"/>
  <c r="BJ194" i="28"/>
  <c r="BJ195" i="28"/>
  <c r="BJ196" i="28"/>
  <c r="BJ197" i="28"/>
  <c r="BJ198" i="28"/>
  <c r="BJ199" i="28"/>
  <c r="BJ200" i="28"/>
  <c r="BJ201" i="28"/>
  <c r="BJ202" i="28"/>
  <c r="BJ203" i="28"/>
  <c r="BJ204" i="28"/>
  <c r="BJ205" i="28"/>
  <c r="BJ206" i="28"/>
  <c r="BJ207" i="28"/>
  <c r="BJ208" i="28"/>
  <c r="BJ209" i="28"/>
  <c r="BJ210" i="28"/>
  <c r="BJ211" i="28"/>
  <c r="BJ212" i="28"/>
  <c r="BJ213" i="28"/>
  <c r="BJ214" i="28"/>
  <c r="BJ215" i="28"/>
  <c r="BJ216" i="28"/>
  <c r="BJ217" i="28"/>
  <c r="BJ218" i="28"/>
  <c r="BJ219" i="28"/>
  <c r="BJ220" i="28"/>
  <c r="BJ221" i="28"/>
  <c r="BJ222" i="28"/>
  <c r="BJ223" i="28"/>
  <c r="BJ224" i="28"/>
  <c r="BJ225" i="28"/>
  <c r="BJ226" i="28"/>
  <c r="BJ227" i="28"/>
  <c r="BJ228" i="28"/>
  <c r="BJ229" i="28"/>
  <c r="BJ230" i="28"/>
  <c r="BJ231" i="28"/>
  <c r="BJ232" i="28"/>
  <c r="BJ233" i="28"/>
  <c r="BJ234" i="28"/>
  <c r="BJ235" i="28"/>
  <c r="BJ237" i="28"/>
  <c r="BK237" i="28"/>
  <c r="BJ238" i="28"/>
  <c r="BK238" i="28"/>
  <c r="BJ239" i="28"/>
  <c r="BJ240" i="28"/>
  <c r="BK240" i="28"/>
  <c r="BJ241" i="28"/>
  <c r="BJ242" i="28"/>
  <c r="BK242" i="28"/>
  <c r="BJ243" i="28"/>
  <c r="BJ244" i="28"/>
  <c r="BK244" i="28"/>
  <c r="BJ245" i="28"/>
  <c r="BJ246" i="28"/>
  <c r="BK246" i="28"/>
  <c r="BJ247" i="28"/>
  <c r="BJ248" i="28"/>
  <c r="BK248" i="28"/>
  <c r="BJ249" i="28"/>
  <c r="BJ250" i="28"/>
  <c r="BK250" i="28"/>
  <c r="BJ251" i="28"/>
  <c r="BJ252" i="28"/>
  <c r="BK252" i="28"/>
  <c r="BJ253" i="28"/>
  <c r="BJ254" i="28"/>
  <c r="BJ255" i="28"/>
  <c r="BJ257" i="28"/>
  <c r="BK257" i="28"/>
  <c r="BJ258" i="28"/>
  <c r="BK258" i="28"/>
  <c r="BJ259" i="28"/>
  <c r="BJ260" i="28"/>
  <c r="BJ261" i="28"/>
  <c r="BJ262" i="28"/>
  <c r="BJ263" i="28"/>
  <c r="BJ264" i="28"/>
  <c r="BJ265" i="28"/>
  <c r="BJ266" i="28"/>
  <c r="BJ267" i="28"/>
  <c r="BJ268" i="28"/>
  <c r="BJ269" i="28"/>
  <c r="BJ270" i="28"/>
  <c r="BJ271" i="28"/>
  <c r="BJ272" i="28"/>
  <c r="BJ273" i="28"/>
  <c r="BJ274" i="28"/>
  <c r="BJ275" i="28"/>
  <c r="BJ276" i="28"/>
  <c r="BJ277" i="28"/>
  <c r="BJ278" i="28"/>
  <c r="BJ279" i="28"/>
  <c r="BJ280" i="28"/>
  <c r="BJ281" i="28"/>
  <c r="BJ282" i="28"/>
  <c r="BJ283" i="28"/>
  <c r="BJ284" i="28"/>
  <c r="BJ285" i="28"/>
  <c r="BJ286" i="28"/>
  <c r="BJ287" i="28"/>
  <c r="BJ288" i="28"/>
  <c r="BJ289" i="28"/>
  <c r="BJ290" i="28"/>
  <c r="BJ291" i="28"/>
  <c r="BJ292" i="28"/>
  <c r="BJ293" i="28"/>
  <c r="BJ294" i="28"/>
  <c r="BJ295" i="28"/>
  <c r="BJ296" i="28"/>
  <c r="BJ300" i="28"/>
  <c r="BK300" i="28"/>
  <c r="BJ301" i="28"/>
  <c r="BJ302" i="28"/>
  <c r="BJ303" i="28"/>
  <c r="BJ305" i="28"/>
  <c r="BK305" i="28"/>
  <c r="BJ306" i="28"/>
  <c r="BK306" i="28"/>
  <c r="BJ307" i="28"/>
  <c r="BJ308" i="28"/>
  <c r="BJ309" i="28"/>
  <c r="BJ310" i="28"/>
  <c r="BJ311" i="28"/>
  <c r="BJ312" i="28"/>
  <c r="BJ313" i="28"/>
  <c r="BJ314" i="28"/>
  <c r="BJ315" i="28"/>
  <c r="BJ316" i="28"/>
  <c r="BJ317" i="28"/>
  <c r="BJ318" i="28"/>
  <c r="BJ319" i="28"/>
  <c r="BJ320" i="28"/>
  <c r="BJ321" i="28"/>
  <c r="BJ322" i="28"/>
  <c r="BJ323" i="28"/>
  <c r="BJ324" i="28"/>
  <c r="BJ325" i="28"/>
  <c r="BJ326" i="28"/>
  <c r="BJ327" i="28"/>
  <c r="BJ328" i="28"/>
  <c r="BJ329" i="28"/>
  <c r="BJ330" i="28"/>
  <c r="BJ331" i="28"/>
  <c r="BJ332" i="28"/>
  <c r="BJ333" i="28"/>
  <c r="BJ334" i="28"/>
  <c r="BJ335" i="28"/>
  <c r="BJ336" i="28"/>
  <c r="BJ337" i="28"/>
  <c r="BJ338" i="28"/>
  <c r="BJ339" i="28"/>
  <c r="BJ340" i="28"/>
  <c r="BJ341" i="28"/>
  <c r="BJ342" i="28"/>
  <c r="BJ343" i="28"/>
  <c r="BJ344" i="28"/>
  <c r="BJ345" i="28"/>
  <c r="BJ346" i="28"/>
  <c r="BJ347" i="28"/>
  <c r="BJ348" i="28"/>
  <c r="BJ349" i="28"/>
  <c r="BJ350" i="28"/>
  <c r="BJ351" i="28"/>
  <c r="BJ352" i="28"/>
  <c r="BJ353" i="28"/>
  <c r="BJ354" i="28"/>
  <c r="BJ355" i="28"/>
  <c r="BJ356" i="28"/>
  <c r="BJ357" i="28"/>
  <c r="BJ358" i="28"/>
  <c r="BJ359" i="28"/>
  <c r="BJ360" i="28"/>
  <c r="BJ361" i="28"/>
  <c r="BJ362" i="28"/>
  <c r="BJ363" i="28"/>
  <c r="BJ364" i="28"/>
  <c r="BJ365" i="28"/>
  <c r="BJ366" i="28"/>
  <c r="BJ367" i="28"/>
  <c r="BJ368" i="28"/>
  <c r="BJ369" i="28"/>
  <c r="BJ370" i="28"/>
  <c r="BJ371" i="28"/>
  <c r="BJ372" i="28"/>
  <c r="BJ373" i="28"/>
  <c r="BJ374" i="28"/>
  <c r="BJ375" i="28"/>
  <c r="BJ376" i="28"/>
  <c r="BJ377" i="28"/>
  <c r="BJ378" i="28"/>
  <c r="BJ379" i="28"/>
  <c r="BJ380" i="28"/>
  <c r="BJ381" i="28"/>
  <c r="BJ382" i="28"/>
  <c r="BJ383" i="28"/>
  <c r="BJ384" i="28"/>
  <c r="BJ385" i="28"/>
  <c r="BJ386" i="28"/>
  <c r="BJ387" i="28"/>
  <c r="BJ388" i="28"/>
  <c r="BJ389" i="28"/>
  <c r="BJ390" i="28"/>
  <c r="BJ391" i="28"/>
  <c r="BJ392" i="28"/>
  <c r="BJ393" i="28"/>
  <c r="BJ394" i="28"/>
  <c r="BJ395" i="28"/>
  <c r="BJ396" i="28"/>
  <c r="BJ397" i="28"/>
  <c r="BJ398" i="28"/>
  <c r="BJ399" i="28"/>
  <c r="BJ400" i="28"/>
  <c r="BJ401" i="28"/>
  <c r="BJ402" i="28"/>
  <c r="BJ403" i="28"/>
  <c r="BJ404" i="28"/>
  <c r="BJ405" i="28"/>
  <c r="BJ406" i="28"/>
  <c r="BJ407" i="28"/>
  <c r="BJ408" i="28"/>
  <c r="BJ409" i="28"/>
  <c r="BJ410" i="28"/>
  <c r="BJ411" i="28"/>
  <c r="BJ412" i="28"/>
  <c r="BJ413" i="28"/>
  <c r="BJ415" i="28"/>
  <c r="BK415" i="28"/>
  <c r="BJ416" i="28"/>
  <c r="BJ417" i="28"/>
  <c r="BJ418" i="28"/>
  <c r="BJ419" i="28"/>
  <c r="BJ420" i="28"/>
  <c r="BJ421" i="28"/>
  <c r="BJ422" i="28"/>
  <c r="BJ423" i="28"/>
  <c r="BJ424" i="28"/>
  <c r="BJ425" i="28"/>
  <c r="BJ426" i="28"/>
  <c r="BJ427" i="28"/>
  <c r="BJ428" i="28"/>
  <c r="BJ430" i="28"/>
  <c r="BK430" i="28"/>
  <c r="BJ431" i="28"/>
  <c r="BK431" i="28"/>
  <c r="BJ432" i="28"/>
  <c r="BK432" i="28"/>
  <c r="BJ433" i="28"/>
  <c r="BK433" i="28"/>
  <c r="BJ434" i="28"/>
  <c r="BJ435" i="28"/>
  <c r="BK435" i="28"/>
  <c r="BJ436" i="28"/>
  <c r="BK436" i="28"/>
  <c r="BJ437" i="28"/>
  <c r="BK437" i="28"/>
  <c r="BJ438" i="28"/>
  <c r="BJ439" i="28"/>
  <c r="BJ440" i="28"/>
  <c r="BJ441" i="28"/>
  <c r="BJ442" i="28"/>
  <c r="BJ443" i="28"/>
  <c r="BJ444" i="28"/>
  <c r="BJ445" i="28"/>
  <c r="BJ446" i="28"/>
  <c r="BJ447" i="28"/>
  <c r="BJ448" i="28"/>
  <c r="BJ449" i="28"/>
  <c r="BJ450" i="28"/>
  <c r="BJ451" i="28"/>
  <c r="BJ452" i="28"/>
  <c r="BJ453" i="28"/>
  <c r="BJ454" i="28"/>
  <c r="BJ455" i="28"/>
  <c r="BJ456" i="28"/>
  <c r="BJ457" i="28"/>
  <c r="BJ458" i="28"/>
  <c r="BJ459" i="28"/>
  <c r="BJ460" i="28"/>
  <c r="BJ461" i="28"/>
  <c r="BJ462" i="28"/>
  <c r="BJ463" i="28"/>
  <c r="BJ464" i="28"/>
  <c r="BJ465" i="28"/>
  <c r="BJ466" i="28"/>
  <c r="BJ467" i="28"/>
  <c r="BJ468" i="28"/>
  <c r="BJ469" i="28"/>
  <c r="BJ470" i="28"/>
  <c r="BJ471" i="28"/>
  <c r="BJ472" i="28"/>
  <c r="BK472" i="28"/>
  <c r="BJ473" i="28"/>
  <c r="BJ474" i="28"/>
  <c r="BJ475" i="28"/>
  <c r="BJ476" i="28"/>
  <c r="BJ477" i="28"/>
  <c r="BJ478" i="28"/>
  <c r="BJ479" i="28"/>
  <c r="BJ480" i="28"/>
  <c r="BJ481" i="28"/>
  <c r="BJ482" i="28"/>
  <c r="BK482" i="28"/>
  <c r="BJ483" i="28"/>
  <c r="BJ484" i="28"/>
  <c r="BJ485" i="28"/>
  <c r="BJ486" i="28"/>
  <c r="BJ487" i="28"/>
  <c r="BJ488" i="28"/>
  <c r="BJ489" i="28"/>
  <c r="BJ490" i="28"/>
  <c r="BJ492" i="28"/>
  <c r="BK492" i="28"/>
  <c r="BJ493" i="28"/>
  <c r="BK493" i="28"/>
  <c r="BJ496" i="28"/>
  <c r="BK496" i="28"/>
  <c r="BJ497" i="28"/>
  <c r="BK497" i="28"/>
  <c r="BJ498" i="28"/>
  <c r="BK498" i="28"/>
  <c r="BJ499" i="28"/>
  <c r="BK499" i="28"/>
  <c r="BJ502" i="28"/>
  <c r="BK502" i="28"/>
  <c r="BJ506" i="28"/>
  <c r="BJ510" i="28"/>
  <c r="BJ514" i="28"/>
  <c r="BJ518" i="28"/>
  <c r="BK518" i="28"/>
  <c r="BJ519" i="28"/>
  <c r="BK519" i="28"/>
  <c r="BJ524" i="28"/>
  <c r="BK524" i="28"/>
  <c r="BJ525" i="28"/>
  <c r="BK525" i="28"/>
  <c r="BJ526" i="28"/>
  <c r="BK526" i="28"/>
  <c r="BJ527" i="28"/>
  <c r="BK527" i="28"/>
  <c r="BJ528" i="28"/>
  <c r="BK528" i="28"/>
  <c r="BJ529" i="28"/>
  <c r="BK529" i="28"/>
  <c r="BJ530" i="28"/>
  <c r="BK530" i="28"/>
  <c r="BJ531" i="28"/>
  <c r="BK531" i="28"/>
  <c r="BJ532" i="28"/>
  <c r="BK532" i="28"/>
  <c r="BJ533" i="28"/>
  <c r="BK533" i="28"/>
  <c r="BJ534" i="28"/>
  <c r="BK534" i="28"/>
  <c r="BJ535" i="28"/>
  <c r="BK535" i="28"/>
  <c r="BJ536" i="28"/>
  <c r="BK536" i="28"/>
  <c r="BJ537" i="28"/>
  <c r="BK537" i="28"/>
  <c r="BJ538" i="28"/>
  <c r="BK538" i="28"/>
  <c r="BJ539" i="28"/>
  <c r="BK539" i="28"/>
  <c r="BJ540" i="28"/>
  <c r="BK540" i="28"/>
  <c r="BJ541" i="28"/>
  <c r="BK541" i="28"/>
  <c r="BJ542" i="28"/>
  <c r="BK542" i="28"/>
  <c r="BJ543" i="28"/>
  <c r="BK543" i="28"/>
  <c r="BJ544" i="28"/>
  <c r="BK544" i="28"/>
  <c r="BJ545" i="28"/>
  <c r="BK545" i="28"/>
  <c r="BJ546" i="28"/>
  <c r="BK546" i="28"/>
  <c r="BJ547" i="28"/>
  <c r="BK547" i="28"/>
  <c r="BJ548" i="28"/>
  <c r="BK548" i="28"/>
  <c r="BJ549" i="28"/>
  <c r="BK549" i="28"/>
  <c r="BJ550" i="28"/>
  <c r="BK550" i="28"/>
  <c r="BJ551" i="28"/>
  <c r="BK551" i="28"/>
  <c r="BJ552" i="28"/>
  <c r="BK552" i="28"/>
  <c r="BJ553" i="28"/>
  <c r="BK553" i="28"/>
  <c r="BJ554" i="28"/>
  <c r="BK554" i="28"/>
  <c r="BJ555" i="28"/>
  <c r="BK555" i="28"/>
  <c r="BJ556" i="28"/>
  <c r="BK556" i="28"/>
  <c r="BJ557" i="28"/>
  <c r="BK557" i="28"/>
  <c r="BJ558" i="28"/>
  <c r="BK558" i="28"/>
  <c r="BJ559" i="28"/>
  <c r="BK559" i="28"/>
  <c r="BJ560" i="28"/>
  <c r="BK560" i="28"/>
  <c r="BJ561" i="28"/>
  <c r="BK561" i="28"/>
  <c r="BJ562" i="28"/>
  <c r="BK562" i="28"/>
  <c r="BJ563" i="28"/>
  <c r="BK563" i="28"/>
  <c r="BJ564" i="28"/>
  <c r="BK564" i="28"/>
  <c r="BJ565" i="28"/>
  <c r="BK565" i="28"/>
  <c r="BJ566" i="28"/>
  <c r="BK566" i="28"/>
  <c r="BJ567" i="28"/>
  <c r="BK567" i="28"/>
  <c r="BJ568" i="28"/>
  <c r="BK568" i="28"/>
  <c r="BJ569" i="28"/>
  <c r="BK569" i="28"/>
  <c r="BJ570" i="28"/>
  <c r="BK570" i="28"/>
  <c r="BJ571" i="28"/>
  <c r="BK571" i="28"/>
  <c r="BJ572" i="28"/>
  <c r="BK572" i="28"/>
  <c r="BJ573" i="28"/>
  <c r="BK573" i="28"/>
  <c r="BJ574" i="28"/>
  <c r="BK574" i="28"/>
  <c r="BJ575" i="28"/>
  <c r="BK575" i="28"/>
  <c r="BJ576" i="28"/>
  <c r="BK576" i="28"/>
  <c r="BJ577" i="28"/>
  <c r="BK577" i="28"/>
  <c r="BJ578" i="28"/>
  <c r="BK578" i="28"/>
  <c r="BJ579" i="28"/>
  <c r="BK579" i="28"/>
  <c r="BJ580" i="28"/>
  <c r="BK580" i="28"/>
  <c r="BJ581" i="28"/>
  <c r="BK581" i="28"/>
  <c r="BJ582" i="28"/>
  <c r="BK582" i="28"/>
  <c r="BJ583" i="28"/>
  <c r="BK583" i="28"/>
  <c r="BJ584" i="28"/>
  <c r="BK584" i="28"/>
  <c r="BJ585" i="28"/>
  <c r="BK585" i="28"/>
  <c r="BJ586" i="28"/>
  <c r="BK586" i="28"/>
  <c r="BJ587" i="28"/>
  <c r="BK587" i="28"/>
  <c r="BJ588" i="28"/>
  <c r="BK588" i="28"/>
  <c r="BJ589" i="28"/>
  <c r="BK589" i="28"/>
  <c r="BJ590" i="28"/>
  <c r="BK590" i="28"/>
  <c r="BJ591" i="28"/>
  <c r="BK591" i="28"/>
  <c r="BJ592" i="28"/>
  <c r="BK592" i="28"/>
  <c r="BB308" i="28"/>
  <c r="BB309" i="28"/>
  <c r="BB310" i="28"/>
  <c r="BB311" i="28"/>
  <c r="BB312" i="28"/>
  <c r="BB313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D337" i="28" s="1"/>
  <c r="BK337" i="28" s="1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D349" i="28" s="1"/>
  <c r="BK349" i="28" s="1"/>
  <c r="BB350" i="28"/>
  <c r="BB351" i="28"/>
  <c r="BB352" i="28"/>
  <c r="BB353" i="28"/>
  <c r="BB354" i="28"/>
  <c r="BB355" i="28"/>
  <c r="BB356" i="28"/>
  <c r="BB357" i="28"/>
  <c r="BB358" i="28"/>
  <c r="BB359" i="28"/>
  <c r="BB360" i="28"/>
  <c r="BB361" i="28"/>
  <c r="BB362" i="28"/>
  <c r="BB363" i="28"/>
  <c r="BB364" i="28"/>
  <c r="BB365" i="28"/>
  <c r="BB366" i="28"/>
  <c r="BB367" i="28"/>
  <c r="BB368" i="28"/>
  <c r="BB369" i="28"/>
  <c r="BB370" i="28"/>
  <c r="BB371" i="28"/>
  <c r="BB372" i="28"/>
  <c r="BB373" i="28"/>
  <c r="BB374" i="28"/>
  <c r="BB375" i="28"/>
  <c r="BB376" i="28"/>
  <c r="BB377" i="28"/>
  <c r="BB378" i="28"/>
  <c r="BB379" i="28"/>
  <c r="BB380" i="28"/>
  <c r="BB381" i="28"/>
  <c r="BB382" i="28"/>
  <c r="BB383" i="28"/>
  <c r="BB384" i="28"/>
  <c r="BB385" i="28"/>
  <c r="BB386" i="28"/>
  <c r="BB387" i="28"/>
  <c r="BB388" i="28"/>
  <c r="BD388" i="28" s="1"/>
  <c r="BK388" i="28" s="1"/>
  <c r="BB389" i="28"/>
  <c r="BB390" i="28"/>
  <c r="BB391" i="28"/>
  <c r="BB392" i="28"/>
  <c r="BB393" i="28"/>
  <c r="BB394" i="28"/>
  <c r="BB395" i="28"/>
  <c r="BB396" i="28"/>
  <c r="BB397" i="28"/>
  <c r="BB398" i="28"/>
  <c r="BB399" i="28"/>
  <c r="BB400" i="28"/>
  <c r="BB401" i="28"/>
  <c r="BB402" i="28"/>
  <c r="BB403" i="28"/>
  <c r="BB404" i="28"/>
  <c r="BD404" i="28" s="1"/>
  <c r="BK404" i="28" s="1"/>
  <c r="BB405" i="28"/>
  <c r="BB406" i="28"/>
  <c r="BB407" i="28"/>
  <c r="BB408" i="28"/>
  <c r="BB409" i="28"/>
  <c r="BB410" i="28"/>
  <c r="BB411" i="28"/>
  <c r="BB412" i="28"/>
  <c r="BB416" i="28"/>
  <c r="BB417" i="28"/>
  <c r="BB418" i="28"/>
  <c r="BB419" i="28"/>
  <c r="BB420" i="28"/>
  <c r="BB421" i="28"/>
  <c r="BB422" i="28"/>
  <c r="BB423" i="28"/>
  <c r="BB424" i="28"/>
  <c r="BB425" i="28"/>
  <c r="BB426" i="28"/>
  <c r="BB427" i="28"/>
  <c r="BB428" i="28"/>
  <c r="BE594" i="28"/>
  <c r="BB594" i="28"/>
  <c r="BA594" i="28"/>
  <c r="BC594" i="28" s="1"/>
  <c r="BJ594" i="28" s="1"/>
  <c r="BE593" i="28"/>
  <c r="BG593" i="28" s="1"/>
  <c r="BB593" i="28"/>
  <c r="BA593" i="28"/>
  <c r="BC593" i="28" s="1"/>
  <c r="BJ593" i="28" s="1"/>
  <c r="AX404" i="28"/>
  <c r="BF404" i="28" s="1"/>
  <c r="BH404" i="28" s="1"/>
  <c r="BB295" i="28"/>
  <c r="BD295" i="28" s="1"/>
  <c r="BK295" i="28" s="1"/>
  <c r="BB272" i="28"/>
  <c r="BF243" i="28"/>
  <c r="BH243" i="28" s="1"/>
  <c r="BB243" i="28"/>
  <c r="BD243" i="28" s="1"/>
  <c r="BK243" i="28" s="1"/>
  <c r="BF241" i="28"/>
  <c r="BH241" i="28" s="1"/>
  <c r="BB241" i="28"/>
  <c r="BD241" i="28" s="1"/>
  <c r="BK241" i="28" s="1"/>
  <c r="AX234" i="28"/>
  <c r="BG42" i="28"/>
  <c r="BG47" i="28"/>
  <c r="BG8" i="28"/>
  <c r="BG16" i="28"/>
  <c r="BG22" i="28"/>
  <c r="BH22" i="28"/>
  <c r="BG24" i="28"/>
  <c r="BG30" i="28"/>
  <c r="BH30" i="28"/>
  <c r="BG32" i="28"/>
  <c r="BG38" i="28"/>
  <c r="BH38" i="28"/>
  <c r="BG39" i="28"/>
  <c r="BG40" i="28"/>
  <c r="BG41" i="28"/>
  <c r="BH41" i="28"/>
  <c r="BG43" i="28"/>
  <c r="BG44" i="28"/>
  <c r="BG46" i="28"/>
  <c r="BG49" i="28"/>
  <c r="BH49" i="28"/>
  <c r="BG50" i="28"/>
  <c r="BG51" i="28"/>
  <c r="BG52" i="28"/>
  <c r="BG55" i="28"/>
  <c r="BG57" i="28"/>
  <c r="BH57" i="28"/>
  <c r="BG62" i="28"/>
  <c r="BH62" i="28"/>
  <c r="BG64" i="28"/>
  <c r="BG71" i="28"/>
  <c r="BH71" i="28"/>
  <c r="BG77" i="28"/>
  <c r="BH77" i="28"/>
  <c r="BG78" i="28"/>
  <c r="BH78" i="28"/>
  <c r="BG80" i="28"/>
  <c r="BG81" i="28"/>
  <c r="BG82" i="28"/>
  <c r="BH82" i="28"/>
  <c r="BG84" i="28"/>
  <c r="BG85" i="28"/>
  <c r="BG86" i="28"/>
  <c r="BH86" i="28"/>
  <c r="BG88" i="28"/>
  <c r="BG89" i="28"/>
  <c r="BG90" i="28"/>
  <c r="BH90" i="28"/>
  <c r="BG92" i="28"/>
  <c r="BG93" i="28"/>
  <c r="BG94" i="28"/>
  <c r="BH94" i="28"/>
  <c r="BG96" i="28"/>
  <c r="BG97" i="28"/>
  <c r="BG99" i="28"/>
  <c r="BH99" i="28"/>
  <c r="BG100" i="28"/>
  <c r="BG101" i="28"/>
  <c r="BG102" i="28"/>
  <c r="BG103" i="28"/>
  <c r="BG104" i="28"/>
  <c r="BG105" i="28"/>
  <c r="BG106" i="28"/>
  <c r="BG107" i="28"/>
  <c r="BG108" i="28"/>
  <c r="BG109" i="28"/>
  <c r="BG110" i="28"/>
  <c r="BG111" i="28"/>
  <c r="BG112" i="28"/>
  <c r="BG113" i="28"/>
  <c r="BG114" i="28"/>
  <c r="BG115" i="28"/>
  <c r="BG116" i="28"/>
  <c r="BG117" i="28"/>
  <c r="BG118" i="28"/>
  <c r="BG119" i="28"/>
  <c r="BG120" i="28"/>
  <c r="BG121" i="28"/>
  <c r="BG122" i="28"/>
  <c r="BG123" i="28"/>
  <c r="BG124" i="28"/>
  <c r="BG125" i="28"/>
  <c r="BG126" i="28"/>
  <c r="BG127" i="28"/>
  <c r="BG128" i="28"/>
  <c r="BG129" i="28"/>
  <c r="BG130" i="28"/>
  <c r="BG131" i="28"/>
  <c r="BG132" i="28"/>
  <c r="BG133" i="28"/>
  <c r="BG134" i="28"/>
  <c r="BG135" i="28"/>
  <c r="BG136" i="28"/>
  <c r="BG137" i="28"/>
  <c r="BG138" i="28"/>
  <c r="BG139" i="28"/>
  <c r="BG140" i="28"/>
  <c r="BG141" i="28"/>
  <c r="BG142" i="28"/>
  <c r="BG143" i="28"/>
  <c r="BG144" i="28"/>
  <c r="BG145" i="28"/>
  <c r="BG146" i="28"/>
  <c r="BG147" i="28"/>
  <c r="BG148" i="28"/>
  <c r="BG149" i="28"/>
  <c r="BG150" i="28"/>
  <c r="BG151" i="28"/>
  <c r="BG152" i="28"/>
  <c r="BG153" i="28"/>
  <c r="BG154" i="28"/>
  <c r="BG155" i="28"/>
  <c r="BG156" i="28"/>
  <c r="BG157" i="28"/>
  <c r="BG158" i="28"/>
  <c r="BG159" i="28"/>
  <c r="BG160" i="28"/>
  <c r="BG161" i="28"/>
  <c r="BG162" i="28"/>
  <c r="BG163" i="28"/>
  <c r="BG164" i="28"/>
  <c r="BG165" i="28"/>
  <c r="BG166" i="28"/>
  <c r="BG167" i="28"/>
  <c r="BG168" i="28"/>
  <c r="BG169" i="28"/>
  <c r="BG170" i="28"/>
  <c r="BG171" i="28"/>
  <c r="BG172" i="28"/>
  <c r="BG173" i="28"/>
  <c r="BG174" i="28"/>
  <c r="BG175" i="28"/>
  <c r="BG176" i="28"/>
  <c r="BG177" i="28"/>
  <c r="BG178" i="28"/>
  <c r="BG179" i="28"/>
  <c r="BG180" i="28"/>
  <c r="BG181" i="28"/>
  <c r="BG182" i="28"/>
  <c r="BG183" i="28"/>
  <c r="BG184" i="28"/>
  <c r="BG185" i="28"/>
  <c r="BG186" i="28"/>
  <c r="BG187" i="28"/>
  <c r="BG188" i="28"/>
  <c r="BG189" i="28"/>
  <c r="BG190" i="28"/>
  <c r="BG191" i="28"/>
  <c r="BG192" i="28"/>
  <c r="BG193" i="28"/>
  <c r="BG194" i="28"/>
  <c r="BG195" i="28"/>
  <c r="BG196" i="28"/>
  <c r="BG197" i="28"/>
  <c r="BG198" i="28"/>
  <c r="BG199" i="28"/>
  <c r="BG200" i="28"/>
  <c r="BG201" i="28"/>
  <c r="BG202" i="28"/>
  <c r="BG203" i="28"/>
  <c r="BG204" i="28"/>
  <c r="BG205" i="28"/>
  <c r="BG206" i="28"/>
  <c r="BG207" i="28"/>
  <c r="BG208" i="28"/>
  <c r="BG209" i="28"/>
  <c r="BG210" i="28"/>
  <c r="BG211" i="28"/>
  <c r="BG212" i="28"/>
  <c r="BG213" i="28"/>
  <c r="BG214" i="28"/>
  <c r="BG215" i="28"/>
  <c r="BG216" i="28"/>
  <c r="BG217" i="28"/>
  <c r="BG218" i="28"/>
  <c r="BG219" i="28"/>
  <c r="BG220" i="28"/>
  <c r="BG221" i="28"/>
  <c r="BG222" i="28"/>
  <c r="BG223" i="28"/>
  <c r="BG224" i="28"/>
  <c r="BG225" i="28"/>
  <c r="BG226" i="28"/>
  <c r="BG227" i="28"/>
  <c r="BG228" i="28"/>
  <c r="BG229" i="28"/>
  <c r="BG230" i="28"/>
  <c r="BG231" i="28"/>
  <c r="BG232" i="28"/>
  <c r="BG233" i="28"/>
  <c r="BG234" i="28"/>
  <c r="BG235" i="28"/>
  <c r="BG237" i="28"/>
  <c r="BH237" i="28"/>
  <c r="BG238" i="28"/>
  <c r="BH238" i="28"/>
  <c r="BG239" i="28"/>
  <c r="BG240" i="28"/>
  <c r="BH240" i="28"/>
  <c r="BG241" i="28"/>
  <c r="BG242" i="28"/>
  <c r="BH242" i="28"/>
  <c r="BG243" i="28"/>
  <c r="BG244" i="28"/>
  <c r="BH244" i="28"/>
  <c r="BG245" i="28"/>
  <c r="BG246" i="28"/>
  <c r="BH246" i="28"/>
  <c r="BG247" i="28"/>
  <c r="BG248" i="28"/>
  <c r="BH248" i="28"/>
  <c r="BG249" i="28"/>
  <c r="BG250" i="28"/>
  <c r="BH250" i="28"/>
  <c r="BG251" i="28"/>
  <c r="BG252" i="28"/>
  <c r="BH252" i="28"/>
  <c r="BG253" i="28"/>
  <c r="BG254" i="28"/>
  <c r="BG255" i="28"/>
  <c r="BG257" i="28"/>
  <c r="BH257" i="28"/>
  <c r="BG258" i="28"/>
  <c r="BH258" i="28"/>
  <c r="BG259" i="28"/>
  <c r="BG260" i="28"/>
  <c r="BG261" i="28"/>
  <c r="BG262" i="28"/>
  <c r="BG263" i="28"/>
  <c r="BG264" i="28"/>
  <c r="BG265" i="28"/>
  <c r="BG266" i="28"/>
  <c r="BG267" i="28"/>
  <c r="BG268" i="28"/>
  <c r="BG269" i="28"/>
  <c r="BG270" i="28"/>
  <c r="BG271" i="28"/>
  <c r="BG272" i="28"/>
  <c r="BG273" i="28"/>
  <c r="BG274" i="28"/>
  <c r="BG275" i="28"/>
  <c r="BG276" i="28"/>
  <c r="BG277" i="28"/>
  <c r="BG278" i="28"/>
  <c r="BG279" i="28"/>
  <c r="BG280" i="28"/>
  <c r="BG281" i="28"/>
  <c r="BG282" i="28"/>
  <c r="BG283" i="28"/>
  <c r="BG284" i="28"/>
  <c r="BG285" i="28"/>
  <c r="BG286" i="28"/>
  <c r="BG287" i="28"/>
  <c r="BG288" i="28"/>
  <c r="BG289" i="28"/>
  <c r="BG290" i="28"/>
  <c r="BG291" i="28"/>
  <c r="BG292" i="28"/>
  <c r="BG293" i="28"/>
  <c r="BG294" i="28"/>
  <c r="BG295" i="28"/>
  <c r="BG296" i="28"/>
  <c r="BG300" i="28"/>
  <c r="BH300" i="28"/>
  <c r="BG301" i="28"/>
  <c r="BG302" i="28"/>
  <c r="BG303" i="28"/>
  <c r="BG305" i="28"/>
  <c r="BH305" i="28"/>
  <c r="BG306" i="28"/>
  <c r="BH306" i="28"/>
  <c r="BG307" i="28"/>
  <c r="BG308" i="28"/>
  <c r="BG309" i="28"/>
  <c r="BG310" i="28"/>
  <c r="BG311" i="28"/>
  <c r="BG312" i="28"/>
  <c r="BG313" i="28"/>
  <c r="BG314" i="28"/>
  <c r="BG315" i="28"/>
  <c r="BG316" i="28"/>
  <c r="BG317" i="28"/>
  <c r="BG318" i="28"/>
  <c r="BG319" i="28"/>
  <c r="BG320" i="28"/>
  <c r="BG321" i="28"/>
  <c r="BG322" i="28"/>
  <c r="BG323" i="28"/>
  <c r="BG324" i="28"/>
  <c r="BG325" i="28"/>
  <c r="BG326" i="28"/>
  <c r="BG327" i="28"/>
  <c r="BG328" i="28"/>
  <c r="BG329" i="28"/>
  <c r="BG330" i="28"/>
  <c r="BG331" i="28"/>
  <c r="BG332" i="28"/>
  <c r="BG333" i="28"/>
  <c r="BG334" i="28"/>
  <c r="BG335" i="28"/>
  <c r="BG336" i="28"/>
  <c r="BG337" i="28"/>
  <c r="BG338" i="28"/>
  <c r="BG339" i="28"/>
  <c r="BG340" i="28"/>
  <c r="BG341" i="28"/>
  <c r="BG342" i="28"/>
  <c r="BG343" i="28"/>
  <c r="BG344" i="28"/>
  <c r="BG345" i="28"/>
  <c r="BG346" i="28"/>
  <c r="BG347" i="28"/>
  <c r="BG348" i="28"/>
  <c r="BG349" i="28"/>
  <c r="BG350" i="28"/>
  <c r="BG351" i="28"/>
  <c r="BG352" i="28"/>
  <c r="BG353" i="28"/>
  <c r="BG354" i="28"/>
  <c r="BG355" i="28"/>
  <c r="BG356" i="28"/>
  <c r="BG357" i="28"/>
  <c r="BG358" i="28"/>
  <c r="BG359" i="28"/>
  <c r="BG360" i="28"/>
  <c r="BG361" i="28"/>
  <c r="BG362" i="28"/>
  <c r="BG363" i="28"/>
  <c r="BG364" i="28"/>
  <c r="BG365" i="28"/>
  <c r="BG366" i="28"/>
  <c r="BG367" i="28"/>
  <c r="BG368" i="28"/>
  <c r="BG369" i="28"/>
  <c r="BG370" i="28"/>
  <c r="BG371" i="28"/>
  <c r="BG372" i="28"/>
  <c r="BG373" i="28"/>
  <c r="BG374" i="28"/>
  <c r="BG375" i="28"/>
  <c r="BG376" i="28"/>
  <c r="BG377" i="28"/>
  <c r="BG378" i="28"/>
  <c r="BG379" i="28"/>
  <c r="BG380" i="28"/>
  <c r="BG381" i="28"/>
  <c r="BG382" i="28"/>
  <c r="BG383" i="28"/>
  <c r="BG384" i="28"/>
  <c r="BG385" i="28"/>
  <c r="BG386" i="28"/>
  <c r="BG387" i="28"/>
  <c r="BG388" i="28"/>
  <c r="BG389" i="28"/>
  <c r="BG390" i="28"/>
  <c r="BG391" i="28"/>
  <c r="BG392" i="28"/>
  <c r="BG393" i="28"/>
  <c r="BG394" i="28"/>
  <c r="BG395" i="28"/>
  <c r="BG396" i="28"/>
  <c r="BG397" i="28"/>
  <c r="BG398" i="28"/>
  <c r="BG399" i="28"/>
  <c r="BG400" i="28"/>
  <c r="BG401" i="28"/>
  <c r="BG402" i="28"/>
  <c r="BG403" i="28"/>
  <c r="BG404" i="28"/>
  <c r="BG405" i="28"/>
  <c r="BG406" i="28"/>
  <c r="BG407" i="28"/>
  <c r="BG408" i="28"/>
  <c r="BG409" i="28"/>
  <c r="BG410" i="28"/>
  <c r="BG411" i="28"/>
  <c r="BG412" i="28"/>
  <c r="BG413" i="28"/>
  <c r="BG415" i="28"/>
  <c r="BG416" i="28"/>
  <c r="BG417" i="28"/>
  <c r="BG418" i="28"/>
  <c r="BG419" i="28"/>
  <c r="BG420" i="28"/>
  <c r="BG421" i="28"/>
  <c r="BG422" i="28"/>
  <c r="BG423" i="28"/>
  <c r="BG424" i="28"/>
  <c r="BG425" i="28"/>
  <c r="BG426" i="28"/>
  <c r="BG427" i="28"/>
  <c r="BG428" i="28"/>
  <c r="BG430" i="28"/>
  <c r="BH430" i="28"/>
  <c r="BG431" i="28"/>
  <c r="BH431" i="28"/>
  <c r="BG432" i="28"/>
  <c r="BH432" i="28"/>
  <c r="BG433" i="28"/>
  <c r="BH433" i="28"/>
  <c r="BG434" i="28"/>
  <c r="BG435" i="28"/>
  <c r="BH435" i="28"/>
  <c r="BG436" i="28"/>
  <c r="BH436" i="28"/>
  <c r="BG437" i="28"/>
  <c r="BH437" i="28"/>
  <c r="BG438" i="28"/>
  <c r="BG439" i="28"/>
  <c r="BG440" i="28"/>
  <c r="BG441" i="28"/>
  <c r="BG442" i="28"/>
  <c r="BG443" i="28"/>
  <c r="BG444" i="28"/>
  <c r="BG445" i="28"/>
  <c r="BG446" i="28"/>
  <c r="BG447" i="28"/>
  <c r="BG448" i="28"/>
  <c r="BG449" i="28"/>
  <c r="BG450" i="28"/>
  <c r="BG451" i="28"/>
  <c r="BG452" i="28"/>
  <c r="BG453" i="28"/>
  <c r="BG454" i="28"/>
  <c r="BG455" i="28"/>
  <c r="BG456" i="28"/>
  <c r="BG457" i="28"/>
  <c r="BG458" i="28"/>
  <c r="BG459" i="28"/>
  <c r="BG460" i="28"/>
  <c r="BG461" i="28"/>
  <c r="BG462" i="28"/>
  <c r="BG463" i="28"/>
  <c r="BG464" i="28"/>
  <c r="BG465" i="28"/>
  <c r="BG466" i="28"/>
  <c r="BG467" i="28"/>
  <c r="BG468" i="28"/>
  <c r="BG469" i="28"/>
  <c r="BG470" i="28"/>
  <c r="BG471" i="28"/>
  <c r="BG472" i="28"/>
  <c r="BH472" i="28"/>
  <c r="BG473" i="28"/>
  <c r="BG474" i="28"/>
  <c r="BG475" i="28"/>
  <c r="BG476" i="28"/>
  <c r="BG477" i="28"/>
  <c r="BG478" i="28"/>
  <c r="BG479" i="28"/>
  <c r="BG480" i="28"/>
  <c r="BG481" i="28"/>
  <c r="BG482" i="28"/>
  <c r="BH482" i="28"/>
  <c r="BG483" i="28"/>
  <c r="BG484" i="28"/>
  <c r="BG485" i="28"/>
  <c r="BG486" i="28"/>
  <c r="BG487" i="28"/>
  <c r="BG488" i="28"/>
  <c r="BG489" i="28"/>
  <c r="BG490" i="28"/>
  <c r="BG492" i="28"/>
  <c r="BH492" i="28"/>
  <c r="BG493" i="28"/>
  <c r="BH493" i="28"/>
  <c r="BG496" i="28"/>
  <c r="BH496" i="28"/>
  <c r="BG497" i="28"/>
  <c r="BH497" i="28"/>
  <c r="BG498" i="28"/>
  <c r="BH498" i="28"/>
  <c r="BG499" i="28"/>
  <c r="BH499" i="28"/>
  <c r="BG502" i="28"/>
  <c r="BH502" i="28"/>
  <c r="BG506" i="28"/>
  <c r="BG510" i="28"/>
  <c r="BG514" i="28"/>
  <c r="BG518" i="28"/>
  <c r="BH518" i="28"/>
  <c r="BG519" i="28"/>
  <c r="BH519" i="28"/>
  <c r="BG523" i="28"/>
  <c r="BG524" i="28"/>
  <c r="BH524" i="28"/>
  <c r="BG525" i="28"/>
  <c r="BH525" i="28"/>
  <c r="BG526" i="28"/>
  <c r="BH526" i="28"/>
  <c r="BG527" i="28"/>
  <c r="BH527" i="28"/>
  <c r="BG528" i="28"/>
  <c r="BH528" i="28"/>
  <c r="BG529" i="28"/>
  <c r="BH529" i="28"/>
  <c r="BG530" i="28"/>
  <c r="BH530" i="28"/>
  <c r="BG531" i="28"/>
  <c r="BH531" i="28"/>
  <c r="BG532" i="28"/>
  <c r="BH532" i="28"/>
  <c r="BG533" i="28"/>
  <c r="BH533" i="28"/>
  <c r="BG534" i="28"/>
  <c r="BH534" i="28"/>
  <c r="BG535" i="28"/>
  <c r="BH535" i="28"/>
  <c r="BG536" i="28"/>
  <c r="BH536" i="28"/>
  <c r="BG537" i="28"/>
  <c r="BH537" i="28"/>
  <c r="BG538" i="28"/>
  <c r="BH538" i="28"/>
  <c r="BG539" i="28"/>
  <c r="BH539" i="28"/>
  <c r="BG540" i="28"/>
  <c r="BH540" i="28"/>
  <c r="BG541" i="28"/>
  <c r="BH541" i="28"/>
  <c r="BG542" i="28"/>
  <c r="BH542" i="28"/>
  <c r="BG543" i="28"/>
  <c r="BH543" i="28"/>
  <c r="BG544" i="28"/>
  <c r="BH544" i="28"/>
  <c r="BG545" i="28"/>
  <c r="BH545" i="28"/>
  <c r="BG546" i="28"/>
  <c r="BH546" i="28"/>
  <c r="BG547" i="28"/>
  <c r="BH547" i="28"/>
  <c r="BG548" i="28"/>
  <c r="BH548" i="28"/>
  <c r="BG549" i="28"/>
  <c r="BH549" i="28"/>
  <c r="BG550" i="28"/>
  <c r="BH550" i="28"/>
  <c r="BG551" i="28"/>
  <c r="BH551" i="28"/>
  <c r="BG552" i="28"/>
  <c r="BH552" i="28"/>
  <c r="BG553" i="28"/>
  <c r="BH553" i="28"/>
  <c r="BG554" i="28"/>
  <c r="BH554" i="28"/>
  <c r="BG555" i="28"/>
  <c r="BH555" i="28"/>
  <c r="BG556" i="28"/>
  <c r="BH556" i="28"/>
  <c r="BG557" i="28"/>
  <c r="BH557" i="28"/>
  <c r="BG558" i="28"/>
  <c r="BH558" i="28"/>
  <c r="BG559" i="28"/>
  <c r="BH559" i="28"/>
  <c r="BG560" i="28"/>
  <c r="BH560" i="28"/>
  <c r="BG561" i="28"/>
  <c r="BH561" i="28"/>
  <c r="BG562" i="28"/>
  <c r="BH562" i="28"/>
  <c r="BG563" i="28"/>
  <c r="BH563" i="28"/>
  <c r="BG564" i="28"/>
  <c r="BH564" i="28"/>
  <c r="BG565" i="28"/>
  <c r="BH565" i="28"/>
  <c r="BG566" i="28"/>
  <c r="BH566" i="28"/>
  <c r="BG567" i="28"/>
  <c r="BH567" i="28"/>
  <c r="BG568" i="28"/>
  <c r="BH568" i="28"/>
  <c r="BG569" i="28"/>
  <c r="BH569" i="28"/>
  <c r="BG570" i="28"/>
  <c r="BH570" i="28"/>
  <c r="BG571" i="28"/>
  <c r="BH571" i="28"/>
  <c r="BG572" i="28"/>
  <c r="BH572" i="28"/>
  <c r="BG573" i="28"/>
  <c r="BH573" i="28"/>
  <c r="BG574" i="28"/>
  <c r="BH574" i="28"/>
  <c r="BG575" i="28"/>
  <c r="BH575" i="28"/>
  <c r="BG576" i="28"/>
  <c r="BH576" i="28"/>
  <c r="BG577" i="28"/>
  <c r="BH577" i="28"/>
  <c r="BG578" i="28"/>
  <c r="BH578" i="28"/>
  <c r="BG579" i="28"/>
  <c r="BH579" i="28"/>
  <c r="BG580" i="28"/>
  <c r="BH580" i="28"/>
  <c r="BG581" i="28"/>
  <c r="BH581" i="28"/>
  <c r="BG582" i="28"/>
  <c r="BH582" i="28"/>
  <c r="BG583" i="28"/>
  <c r="BH583" i="28"/>
  <c r="BG584" i="28"/>
  <c r="BH584" i="28"/>
  <c r="BG585" i="28"/>
  <c r="BH585" i="28"/>
  <c r="BG586" i="28"/>
  <c r="BH586" i="28"/>
  <c r="BG587" i="28"/>
  <c r="BH587" i="28"/>
  <c r="BG588" i="28"/>
  <c r="BH588" i="28"/>
  <c r="BG589" i="28"/>
  <c r="BH589" i="28"/>
  <c r="BG590" i="28"/>
  <c r="BH590" i="28"/>
  <c r="BG591" i="28"/>
  <c r="BH591" i="28"/>
  <c r="BG592" i="28"/>
  <c r="BH592" i="28"/>
  <c r="BG594" i="28"/>
  <c r="BK8" i="45" l="1"/>
  <c r="BK9" i="45"/>
  <c r="BK10" i="45"/>
  <c r="BK11" i="45"/>
  <c r="BK12" i="45"/>
  <c r="BK13" i="45"/>
  <c r="BK14" i="45"/>
  <c r="BK15" i="45"/>
  <c r="BK16" i="45"/>
  <c r="BK17" i="45"/>
  <c r="BK18" i="45"/>
  <c r="BK19" i="45"/>
  <c r="BK20" i="45"/>
  <c r="BK21" i="45"/>
  <c r="BK22" i="45"/>
  <c r="BK23" i="45"/>
  <c r="BK24" i="45"/>
  <c r="BK25" i="45"/>
  <c r="BK26" i="45"/>
  <c r="BK27" i="45"/>
  <c r="BK28" i="45"/>
  <c r="BK29" i="45"/>
  <c r="BK30" i="45"/>
  <c r="BK31" i="45"/>
  <c r="BK32" i="45"/>
  <c r="BK33" i="45"/>
  <c r="BK34" i="45"/>
  <c r="BK35" i="45"/>
  <c r="BK36" i="45"/>
  <c r="BK37" i="45"/>
  <c r="BK38" i="45"/>
  <c r="BK39" i="45"/>
  <c r="BK40" i="45"/>
  <c r="BK41" i="45"/>
  <c r="BK42" i="45"/>
  <c r="BK43" i="45"/>
  <c r="BK44" i="45"/>
  <c r="BK45" i="45"/>
  <c r="BK46" i="45"/>
  <c r="BK47" i="45"/>
  <c r="BK48" i="45"/>
  <c r="BK49" i="45"/>
  <c r="BK50" i="45"/>
  <c r="BK51" i="45"/>
  <c r="BK52" i="45"/>
  <c r="BK53" i="45"/>
  <c r="BK54" i="45"/>
  <c r="BK55" i="45"/>
  <c r="BK56" i="45"/>
  <c r="BK57" i="45"/>
  <c r="BK58" i="45"/>
  <c r="BK59" i="45"/>
  <c r="BK60" i="45"/>
  <c r="BK61" i="45"/>
  <c r="BK62" i="45"/>
  <c r="BK63" i="45"/>
  <c r="BK64" i="45"/>
  <c r="BK65" i="45"/>
  <c r="BK66" i="45"/>
  <c r="BK67" i="45"/>
  <c r="BK68" i="45"/>
  <c r="BK69" i="45"/>
  <c r="BK70" i="45"/>
  <c r="BK71" i="45"/>
  <c r="BK72" i="45"/>
  <c r="BK73" i="45"/>
  <c r="BK74" i="45"/>
  <c r="BK75" i="45"/>
  <c r="BK76" i="45"/>
  <c r="BK77" i="45"/>
  <c r="BK78" i="45"/>
  <c r="BK79" i="45"/>
  <c r="BK80" i="45"/>
  <c r="BK81" i="45"/>
  <c r="BK82" i="45"/>
  <c r="BK83" i="45"/>
  <c r="BK84" i="45"/>
  <c r="BK85" i="45"/>
  <c r="BK86" i="45"/>
  <c r="BK87" i="45"/>
  <c r="BK88" i="45"/>
  <c r="BK89" i="45"/>
  <c r="BK90" i="45"/>
  <c r="BK91" i="45"/>
  <c r="BK92" i="45"/>
  <c r="BK93" i="45"/>
  <c r="BK94" i="45"/>
  <c r="BK95" i="45"/>
  <c r="BK96" i="45"/>
  <c r="BK97" i="45"/>
  <c r="BK98" i="45"/>
  <c r="BK99" i="45"/>
  <c r="BK100" i="45"/>
  <c r="BK101" i="45"/>
  <c r="BK102" i="45"/>
  <c r="BK103" i="45"/>
  <c r="BK104" i="45"/>
  <c r="BK105" i="45"/>
  <c r="BK106" i="45"/>
  <c r="BK107" i="45"/>
  <c r="BK108" i="45"/>
  <c r="BK109" i="45"/>
  <c r="BK110" i="45"/>
  <c r="BK111" i="45"/>
  <c r="BK112" i="45"/>
  <c r="BK113" i="45"/>
  <c r="BK114" i="45"/>
  <c r="BK115" i="45"/>
  <c r="BK116" i="45"/>
  <c r="BK117" i="45"/>
  <c r="BK118" i="45"/>
  <c r="BK119" i="45"/>
  <c r="BK122" i="45"/>
  <c r="BK126" i="45"/>
  <c r="BK127" i="45"/>
  <c r="BK128" i="45"/>
  <c r="BK129" i="45"/>
  <c r="BK130" i="45"/>
  <c r="BL130" i="45"/>
  <c r="BK146" i="45"/>
  <c r="BK147" i="45"/>
  <c r="BK148" i="45"/>
  <c r="BK149" i="45"/>
  <c r="BK150" i="45"/>
  <c r="BK151" i="45"/>
  <c r="BK152" i="45"/>
  <c r="BK153" i="45"/>
  <c r="BL153" i="45"/>
  <c r="BK154" i="45"/>
  <c r="BK155" i="45"/>
  <c r="BK156" i="45"/>
  <c r="BK157" i="45"/>
  <c r="BK158" i="45"/>
  <c r="BK159" i="45"/>
  <c r="BK160" i="45"/>
  <c r="BK161" i="45"/>
  <c r="BL161" i="45"/>
  <c r="BL6" i="10"/>
  <c r="BM6" i="10"/>
  <c r="BL7" i="10"/>
  <c r="BL8" i="10"/>
  <c r="BL9" i="10"/>
  <c r="BL10" i="10"/>
  <c r="BL11" i="10"/>
  <c r="BL12" i="10"/>
  <c r="BL13" i="10"/>
  <c r="BL14" i="10"/>
  <c r="BL15" i="10"/>
  <c r="BL16" i="10"/>
  <c r="BL17" i="10"/>
  <c r="BL18" i="10"/>
  <c r="BL19" i="10"/>
  <c r="BL20" i="10"/>
  <c r="BL21" i="10"/>
  <c r="BL22" i="10"/>
  <c r="BL23" i="10"/>
  <c r="BL24" i="10"/>
  <c r="BL25" i="10"/>
  <c r="BL26" i="10"/>
  <c r="BL27" i="10"/>
  <c r="BL28" i="10"/>
  <c r="BL29" i="10"/>
  <c r="BL30" i="10"/>
  <c r="BL31" i="10"/>
  <c r="BL32" i="10"/>
  <c r="BL33" i="10"/>
  <c r="BL34" i="10"/>
  <c r="BL35" i="10"/>
  <c r="BL36" i="10"/>
  <c r="BL37" i="10"/>
  <c r="BL38" i="10"/>
  <c r="BL39" i="10"/>
  <c r="BL40" i="10"/>
  <c r="BL41" i="10"/>
  <c r="BL42" i="10"/>
  <c r="BL43" i="10"/>
  <c r="BL44" i="10"/>
  <c r="BL45" i="10"/>
  <c r="BL46" i="10"/>
  <c r="BL47" i="10"/>
  <c r="BL48" i="10"/>
  <c r="BL49" i="10"/>
  <c r="BL50" i="10"/>
  <c r="BL51" i="10"/>
  <c r="BL52" i="10"/>
  <c r="BL53" i="10"/>
  <c r="BL54" i="10"/>
  <c r="BL55" i="10"/>
  <c r="BL56" i="10"/>
  <c r="BL57" i="10"/>
  <c r="BL58" i="10"/>
  <c r="BL59" i="10"/>
  <c r="BL60" i="10"/>
  <c r="BL61" i="10"/>
  <c r="BL62" i="10"/>
  <c r="BL63" i="10"/>
  <c r="BL64" i="10"/>
  <c r="BL65" i="10"/>
  <c r="BL66" i="10"/>
  <c r="BL67" i="10"/>
  <c r="BL68" i="10"/>
  <c r="BL69" i="10"/>
  <c r="BL70" i="10"/>
  <c r="BL71" i="10"/>
  <c r="BL72" i="10"/>
  <c r="BL73" i="10"/>
  <c r="BL74" i="10"/>
  <c r="BL75" i="10"/>
  <c r="BL76" i="10"/>
  <c r="BL77" i="10"/>
  <c r="BL78" i="10"/>
  <c r="BL79" i="10"/>
  <c r="BL80" i="10"/>
  <c r="BL81" i="10"/>
  <c r="BL82" i="10"/>
  <c r="BL83" i="10"/>
  <c r="BL84" i="10"/>
  <c r="BL85" i="10"/>
  <c r="BL86" i="10"/>
  <c r="BL87" i="10"/>
  <c r="BL88" i="10"/>
  <c r="BL89" i="10"/>
  <c r="BL90" i="10"/>
  <c r="BL91" i="10"/>
  <c r="BL92" i="10"/>
  <c r="BL93" i="10"/>
  <c r="BL94" i="10"/>
  <c r="BL95" i="10"/>
  <c r="BL96" i="10"/>
  <c r="BL97" i="10"/>
  <c r="BL98" i="10"/>
  <c r="BL99" i="10"/>
  <c r="BL100" i="10"/>
  <c r="BL101" i="10"/>
  <c r="BL102" i="10"/>
  <c r="BL103" i="10"/>
  <c r="BL104" i="10"/>
  <c r="BL106" i="10"/>
  <c r="BL107" i="10"/>
  <c r="BL108" i="10"/>
  <c r="BL109" i="10"/>
  <c r="BL110" i="10"/>
  <c r="BL111" i="10"/>
  <c r="BL112" i="10"/>
  <c r="BL113" i="10"/>
  <c r="BL114" i="10"/>
  <c r="BL115" i="10"/>
  <c r="BL116" i="10"/>
  <c r="BL117" i="10"/>
  <c r="BL118" i="10"/>
  <c r="BL119" i="10"/>
  <c r="BL120" i="10"/>
  <c r="BL121" i="10"/>
  <c r="BL122" i="10"/>
  <c r="BL123" i="10"/>
  <c r="BL124" i="10"/>
  <c r="BL125" i="10"/>
  <c r="BL126" i="10"/>
  <c r="BL127" i="10"/>
  <c r="BL128" i="10"/>
  <c r="BM128" i="10"/>
  <c r="BL129" i="10"/>
  <c r="BL130" i="10"/>
  <c r="BL131" i="10"/>
  <c r="BL132" i="10"/>
  <c r="BL133" i="10"/>
  <c r="BL134" i="10"/>
  <c r="BL135" i="10"/>
  <c r="BL136" i="10"/>
  <c r="BL137" i="10"/>
  <c r="BL138" i="10"/>
  <c r="BL139" i="10"/>
  <c r="BL140" i="10"/>
  <c r="BL141" i="10"/>
  <c r="BL142" i="10"/>
  <c r="BL143" i="10"/>
  <c r="BL144" i="10"/>
  <c r="BL145" i="10"/>
  <c r="BL146" i="10"/>
  <c r="BL147" i="10"/>
  <c r="BL148" i="10"/>
  <c r="BL149" i="10"/>
  <c r="BL150" i="10"/>
  <c r="BL151" i="10"/>
  <c r="BL152" i="10"/>
  <c r="BL153" i="10"/>
  <c r="BL154" i="10"/>
  <c r="BL155" i="10"/>
  <c r="BL156" i="10"/>
  <c r="BL157" i="10"/>
  <c r="BL160" i="10"/>
  <c r="BL162" i="10"/>
  <c r="BL164" i="10"/>
  <c r="BM164" i="10"/>
  <c r="BL180" i="10"/>
  <c r="BL181" i="10"/>
  <c r="BL182" i="10"/>
  <c r="BL183" i="10"/>
  <c r="BL184" i="10"/>
  <c r="BL185" i="10"/>
  <c r="BL186" i="10"/>
  <c r="BL187" i="10"/>
  <c r="BM187" i="10"/>
  <c r="BL188" i="10"/>
  <c r="BL189" i="10"/>
  <c r="BL190" i="10"/>
  <c r="BL191" i="10"/>
  <c r="BL192" i="10"/>
  <c r="BL193" i="10"/>
  <c r="BL194" i="10"/>
  <c r="BM194" i="10"/>
  <c r="BL195" i="10"/>
  <c r="BM195" i="10"/>
  <c r="BL196" i="10"/>
  <c r="BL197" i="10"/>
  <c r="BM197" i="10"/>
  <c r="BL198" i="10"/>
  <c r="BM198" i="10"/>
  <c r="BL199" i="10"/>
  <c r="BL200" i="10"/>
  <c r="BL201" i="10"/>
  <c r="BM201" i="10"/>
  <c r="BL202" i="10"/>
  <c r="BM202" i="10"/>
  <c r="BJ6" i="10"/>
  <c r="BK6" i="10"/>
  <c r="BJ7" i="10"/>
  <c r="BJ8" i="10"/>
  <c r="BJ9" i="10"/>
  <c r="BJ10" i="10"/>
  <c r="BJ11" i="10"/>
  <c r="BJ12" i="10"/>
  <c r="BJ13" i="10"/>
  <c r="BJ14" i="10"/>
  <c r="BJ15" i="10"/>
  <c r="BJ16" i="10"/>
  <c r="BJ17" i="10"/>
  <c r="BJ18" i="10"/>
  <c r="BJ19" i="10"/>
  <c r="BJ20" i="10"/>
  <c r="BJ21" i="10"/>
  <c r="BJ22" i="10"/>
  <c r="BJ23" i="10"/>
  <c r="BJ24" i="10"/>
  <c r="BJ25" i="10"/>
  <c r="BJ26" i="10"/>
  <c r="BJ27" i="10"/>
  <c r="BJ28" i="10"/>
  <c r="BJ29" i="10"/>
  <c r="BJ30" i="10"/>
  <c r="BJ31" i="10"/>
  <c r="BJ32" i="10"/>
  <c r="BJ33" i="10"/>
  <c r="BJ34" i="10"/>
  <c r="BJ35" i="10"/>
  <c r="BJ36" i="10"/>
  <c r="BJ37" i="10"/>
  <c r="BJ38" i="10"/>
  <c r="BJ39" i="10"/>
  <c r="BJ40" i="10"/>
  <c r="BJ41" i="10"/>
  <c r="BJ42" i="10"/>
  <c r="BJ43" i="10"/>
  <c r="BJ44" i="10"/>
  <c r="BJ45" i="10"/>
  <c r="BJ46" i="10"/>
  <c r="BJ47" i="10"/>
  <c r="BJ48" i="10"/>
  <c r="BJ49" i="10"/>
  <c r="BJ50" i="10"/>
  <c r="BJ51" i="10"/>
  <c r="BJ52" i="10"/>
  <c r="BJ53" i="10"/>
  <c r="BJ54" i="10"/>
  <c r="BJ55" i="10"/>
  <c r="BJ56" i="10"/>
  <c r="BJ57" i="10"/>
  <c r="BJ58" i="10"/>
  <c r="BJ59" i="10"/>
  <c r="BJ60" i="10"/>
  <c r="BJ61" i="10"/>
  <c r="BJ62" i="10"/>
  <c r="BJ63" i="10"/>
  <c r="BJ64" i="10"/>
  <c r="BJ65" i="10"/>
  <c r="BJ66" i="10"/>
  <c r="BJ67" i="10"/>
  <c r="BJ68" i="10"/>
  <c r="BJ69" i="10"/>
  <c r="BJ70" i="10"/>
  <c r="BJ71" i="10"/>
  <c r="BJ72" i="10"/>
  <c r="BJ73" i="10"/>
  <c r="BJ74" i="10"/>
  <c r="BJ75" i="10"/>
  <c r="BJ76" i="10"/>
  <c r="BJ77" i="10"/>
  <c r="BJ78" i="10"/>
  <c r="BJ79" i="10"/>
  <c r="BJ80" i="10"/>
  <c r="BJ81" i="10"/>
  <c r="BJ82" i="10"/>
  <c r="BJ83" i="10"/>
  <c r="BJ84" i="10"/>
  <c r="BJ85" i="10"/>
  <c r="BJ86" i="10"/>
  <c r="BJ87" i="10"/>
  <c r="BJ88" i="10"/>
  <c r="BJ89" i="10"/>
  <c r="BJ90" i="10"/>
  <c r="BJ91" i="10"/>
  <c r="BJ92" i="10"/>
  <c r="BJ93" i="10"/>
  <c r="BJ94" i="10"/>
  <c r="BJ95" i="10"/>
  <c r="BJ96" i="10"/>
  <c r="BJ97" i="10"/>
  <c r="BJ98" i="10"/>
  <c r="BJ99" i="10"/>
  <c r="BJ100" i="10"/>
  <c r="BJ101" i="10"/>
  <c r="BJ102" i="10"/>
  <c r="BJ103" i="10"/>
  <c r="BJ104" i="10"/>
  <c r="BJ106" i="10"/>
  <c r="BJ107" i="10"/>
  <c r="BJ108" i="10"/>
  <c r="BJ109" i="10"/>
  <c r="BJ110" i="10"/>
  <c r="BJ111" i="10"/>
  <c r="BJ112" i="10"/>
  <c r="BJ113" i="10"/>
  <c r="BJ114" i="10"/>
  <c r="BJ115" i="10"/>
  <c r="BJ116" i="10"/>
  <c r="BJ117" i="10"/>
  <c r="BJ118" i="10"/>
  <c r="BJ119" i="10"/>
  <c r="BJ120" i="10"/>
  <c r="BJ121" i="10"/>
  <c r="BJ122" i="10"/>
  <c r="BJ123" i="10"/>
  <c r="BJ124" i="10"/>
  <c r="BJ125" i="10"/>
  <c r="BJ126" i="10"/>
  <c r="BJ127" i="10"/>
  <c r="BJ128" i="10"/>
  <c r="BK128" i="10"/>
  <c r="BJ129" i="10"/>
  <c r="BJ130" i="10"/>
  <c r="BJ131" i="10"/>
  <c r="BJ132" i="10"/>
  <c r="BJ133" i="10"/>
  <c r="BJ134" i="10"/>
  <c r="BJ135" i="10"/>
  <c r="BJ136" i="10"/>
  <c r="BJ137" i="10"/>
  <c r="BJ138" i="10"/>
  <c r="BJ139" i="10"/>
  <c r="BJ140" i="10"/>
  <c r="BJ141" i="10"/>
  <c r="BJ142" i="10"/>
  <c r="BJ143" i="10"/>
  <c r="BJ144" i="10"/>
  <c r="BJ145" i="10"/>
  <c r="BJ146" i="10"/>
  <c r="BJ147" i="10"/>
  <c r="BJ148" i="10"/>
  <c r="BJ149" i="10"/>
  <c r="BJ150" i="10"/>
  <c r="BJ151" i="10"/>
  <c r="BJ152" i="10"/>
  <c r="BJ153" i="10"/>
  <c r="BJ154" i="10"/>
  <c r="BJ155" i="10"/>
  <c r="BJ156" i="10"/>
  <c r="BJ157" i="10"/>
  <c r="BJ160" i="10"/>
  <c r="BJ162" i="10"/>
  <c r="BJ164" i="10"/>
  <c r="BK164" i="10"/>
  <c r="BJ180" i="10"/>
  <c r="BJ181" i="10"/>
  <c r="BJ182" i="10"/>
  <c r="BJ183" i="10"/>
  <c r="BJ184" i="10"/>
  <c r="BJ185" i="10"/>
  <c r="BJ186" i="10"/>
  <c r="BJ187" i="10"/>
  <c r="BK187" i="10"/>
  <c r="BJ188" i="10"/>
  <c r="BJ189" i="10"/>
  <c r="BJ190" i="10"/>
  <c r="BJ191" i="10"/>
  <c r="BJ192" i="10"/>
  <c r="BJ193" i="10"/>
  <c r="BJ194" i="10"/>
  <c r="BK194" i="10"/>
  <c r="BJ195" i="10"/>
  <c r="BK195" i="10"/>
  <c r="BJ196" i="10"/>
  <c r="BJ197" i="10"/>
  <c r="BK197" i="10"/>
  <c r="BJ198" i="10"/>
  <c r="BK198" i="10"/>
  <c r="BJ199" i="10"/>
  <c r="BJ200" i="10"/>
  <c r="BJ201" i="10"/>
  <c r="BK201" i="10"/>
  <c r="BJ202" i="10"/>
  <c r="BK202" i="10"/>
  <c r="BH6" i="10"/>
  <c r="BI6" i="10"/>
  <c r="BH7" i="10"/>
  <c r="BH8" i="10"/>
  <c r="BH9" i="10"/>
  <c r="BH10" i="10"/>
  <c r="BH11" i="10"/>
  <c r="BH12" i="10"/>
  <c r="BH13" i="10"/>
  <c r="BH14" i="10"/>
  <c r="BH15" i="10"/>
  <c r="BH16" i="10"/>
  <c r="BH17" i="10"/>
  <c r="BH18" i="10"/>
  <c r="BH19" i="10"/>
  <c r="BH20" i="10"/>
  <c r="BH21" i="10"/>
  <c r="BH22" i="10"/>
  <c r="BH23" i="10"/>
  <c r="BH24" i="10"/>
  <c r="BH25" i="10"/>
  <c r="BH26" i="10"/>
  <c r="BH27" i="10"/>
  <c r="BH28" i="10"/>
  <c r="BH29" i="10"/>
  <c r="BH30" i="10"/>
  <c r="BH31" i="10"/>
  <c r="BH32" i="10"/>
  <c r="BH33" i="10"/>
  <c r="BH34" i="10"/>
  <c r="BH35" i="10"/>
  <c r="BH36" i="10"/>
  <c r="BH37" i="10"/>
  <c r="BH38" i="10"/>
  <c r="BH39" i="10"/>
  <c r="BH40" i="10"/>
  <c r="BH41" i="10"/>
  <c r="BH42" i="10"/>
  <c r="BH43" i="10"/>
  <c r="BH44" i="10"/>
  <c r="BH45" i="10"/>
  <c r="BH46" i="10"/>
  <c r="BH47" i="10"/>
  <c r="BH48" i="10"/>
  <c r="BH49" i="10"/>
  <c r="BH50" i="10"/>
  <c r="BH51" i="10"/>
  <c r="BH52" i="10"/>
  <c r="BH53" i="10"/>
  <c r="BH54" i="10"/>
  <c r="BH55" i="10"/>
  <c r="BH56" i="10"/>
  <c r="BH57" i="10"/>
  <c r="BH58" i="10"/>
  <c r="BH59" i="10"/>
  <c r="BH60" i="10"/>
  <c r="BH61" i="10"/>
  <c r="BH62" i="10"/>
  <c r="BH63" i="10"/>
  <c r="BH64" i="10"/>
  <c r="BH65" i="10"/>
  <c r="BH66" i="10"/>
  <c r="BH67" i="10"/>
  <c r="BH68" i="10"/>
  <c r="BH69" i="10"/>
  <c r="BH70" i="10"/>
  <c r="BH71" i="10"/>
  <c r="BH72" i="10"/>
  <c r="BH73" i="10"/>
  <c r="BH74" i="10"/>
  <c r="BH75" i="10"/>
  <c r="BH76" i="10"/>
  <c r="BH77" i="10"/>
  <c r="BH78" i="10"/>
  <c r="BH79" i="10"/>
  <c r="BH80" i="10"/>
  <c r="BH81" i="10"/>
  <c r="BH82" i="10"/>
  <c r="BH83" i="10"/>
  <c r="BH84" i="10"/>
  <c r="BH85" i="10"/>
  <c r="BH86" i="10"/>
  <c r="BH87" i="10"/>
  <c r="BH88" i="10"/>
  <c r="BH89" i="10"/>
  <c r="BH90" i="10"/>
  <c r="BH91" i="10"/>
  <c r="BH92" i="10"/>
  <c r="BH93" i="10"/>
  <c r="BH94" i="10"/>
  <c r="BH95" i="10"/>
  <c r="BH96" i="10"/>
  <c r="BH97" i="10"/>
  <c r="BH98" i="10"/>
  <c r="BH99" i="10"/>
  <c r="BH100" i="10"/>
  <c r="BH101" i="10"/>
  <c r="BH102" i="10"/>
  <c r="BH103" i="10"/>
  <c r="BH104" i="10"/>
  <c r="BH106" i="10"/>
  <c r="BH107" i="10"/>
  <c r="BH108" i="10"/>
  <c r="BH109" i="10"/>
  <c r="BH110" i="10"/>
  <c r="BH111" i="10"/>
  <c r="BH112" i="10"/>
  <c r="BH113" i="10"/>
  <c r="BH114" i="10"/>
  <c r="BH115" i="10"/>
  <c r="BH116" i="10"/>
  <c r="BH117" i="10"/>
  <c r="BH118" i="10"/>
  <c r="BH119" i="10"/>
  <c r="BH120" i="10"/>
  <c r="BH121" i="10"/>
  <c r="BH122" i="10"/>
  <c r="BH123" i="10"/>
  <c r="BH124" i="10"/>
  <c r="BH125" i="10"/>
  <c r="BH126" i="10"/>
  <c r="BH127" i="10"/>
  <c r="BH128" i="10"/>
  <c r="BI128" i="10"/>
  <c r="BH129" i="10"/>
  <c r="BH130" i="10"/>
  <c r="BH131" i="10"/>
  <c r="BH132" i="10"/>
  <c r="BH133" i="10"/>
  <c r="BH134" i="10"/>
  <c r="BH135" i="10"/>
  <c r="BH136" i="10"/>
  <c r="BH137" i="10"/>
  <c r="BH138" i="10"/>
  <c r="BH139" i="10"/>
  <c r="BH140" i="10"/>
  <c r="BH141" i="10"/>
  <c r="BH142" i="10"/>
  <c r="BH143" i="10"/>
  <c r="BH144" i="10"/>
  <c r="BH145" i="10"/>
  <c r="BH146" i="10"/>
  <c r="BH147" i="10"/>
  <c r="BH148" i="10"/>
  <c r="BH149" i="10"/>
  <c r="BH150" i="10"/>
  <c r="BH151" i="10"/>
  <c r="BH152" i="10"/>
  <c r="BH153" i="10"/>
  <c r="BH154" i="10"/>
  <c r="BH155" i="10"/>
  <c r="BH156" i="10"/>
  <c r="BH157" i="10"/>
  <c r="BH160" i="10"/>
  <c r="BH162" i="10"/>
  <c r="BH180" i="10"/>
  <c r="BH181" i="10"/>
  <c r="BH182" i="10"/>
  <c r="BH183" i="10"/>
  <c r="BH184" i="10"/>
  <c r="BH185" i="10"/>
  <c r="BH186" i="10"/>
  <c r="BH187" i="10"/>
  <c r="BI187" i="10"/>
  <c r="BH188" i="10"/>
  <c r="BH189" i="10"/>
  <c r="BH190" i="10"/>
  <c r="BH191" i="10"/>
  <c r="BH192" i="10"/>
  <c r="BH193" i="10"/>
  <c r="BH194" i="10"/>
  <c r="BI194" i="10"/>
  <c r="BH195" i="10"/>
  <c r="BI195" i="10"/>
  <c r="BH196" i="10"/>
  <c r="BH197" i="10"/>
  <c r="BI197" i="10"/>
  <c r="BH198" i="10"/>
  <c r="BI198" i="10"/>
  <c r="BH199" i="10"/>
  <c r="BH200" i="10"/>
  <c r="BH201" i="10"/>
  <c r="BI201" i="10"/>
  <c r="BH202" i="10"/>
  <c r="BI202" i="10"/>
  <c r="BA129" i="45"/>
  <c r="BH8" i="45"/>
  <c r="BH9" i="45"/>
  <c r="BH10" i="45"/>
  <c r="BH11" i="45"/>
  <c r="BH12" i="45"/>
  <c r="BH13" i="45"/>
  <c r="BH14" i="45"/>
  <c r="BH15" i="45"/>
  <c r="BH16" i="45"/>
  <c r="BH17" i="45"/>
  <c r="BH18" i="45"/>
  <c r="BH19" i="45"/>
  <c r="BH20" i="45"/>
  <c r="BH21" i="45"/>
  <c r="BH22" i="45"/>
  <c r="BH23" i="45"/>
  <c r="BH24" i="45"/>
  <c r="BH25" i="45"/>
  <c r="BH26" i="45"/>
  <c r="BH27" i="45"/>
  <c r="BH28" i="45"/>
  <c r="BH29" i="45"/>
  <c r="BH30" i="45"/>
  <c r="BH31" i="45"/>
  <c r="BH32" i="45"/>
  <c r="BH33" i="45"/>
  <c r="BH34" i="45"/>
  <c r="BH35" i="45"/>
  <c r="BH36" i="45"/>
  <c r="BH37" i="45"/>
  <c r="BH38" i="45"/>
  <c r="BH39" i="45"/>
  <c r="BH40" i="45"/>
  <c r="BH41" i="45"/>
  <c r="BH42" i="45"/>
  <c r="BH43" i="45"/>
  <c r="BH44" i="45"/>
  <c r="BH45" i="45"/>
  <c r="BH46" i="45"/>
  <c r="BH47" i="45"/>
  <c r="BH48" i="45"/>
  <c r="BH49" i="45"/>
  <c r="BH50" i="45"/>
  <c r="BH51" i="45"/>
  <c r="BH52" i="45"/>
  <c r="BH53" i="45"/>
  <c r="BH54" i="45"/>
  <c r="BH55" i="45"/>
  <c r="BH56" i="45"/>
  <c r="BH57" i="45"/>
  <c r="BH58" i="45"/>
  <c r="BH59" i="45"/>
  <c r="BH60" i="45"/>
  <c r="BH61" i="45"/>
  <c r="BH62" i="45"/>
  <c r="BH63" i="45"/>
  <c r="BH64" i="45"/>
  <c r="BH65" i="45"/>
  <c r="BH66" i="45"/>
  <c r="BH67" i="45"/>
  <c r="BH68" i="45"/>
  <c r="BH69" i="45"/>
  <c r="BH70" i="45"/>
  <c r="BH71" i="45"/>
  <c r="BH72" i="45"/>
  <c r="BH73" i="45"/>
  <c r="BH74" i="45"/>
  <c r="BH75" i="45"/>
  <c r="BH76" i="45"/>
  <c r="BH77" i="45"/>
  <c r="BH78" i="45"/>
  <c r="BH79" i="45"/>
  <c r="BH80" i="45"/>
  <c r="BH81" i="45"/>
  <c r="BH82" i="45"/>
  <c r="BH83" i="45"/>
  <c r="BH84" i="45"/>
  <c r="BH85" i="45"/>
  <c r="BH86" i="45"/>
  <c r="BH87" i="45"/>
  <c r="BH88" i="45"/>
  <c r="BH89" i="45"/>
  <c r="BH90" i="45"/>
  <c r="BH91" i="45"/>
  <c r="BH92" i="45"/>
  <c r="BH93" i="45"/>
  <c r="BH94" i="45"/>
  <c r="BH95" i="45"/>
  <c r="BH96" i="45"/>
  <c r="BH97" i="45"/>
  <c r="BH98" i="45"/>
  <c r="BH99" i="45"/>
  <c r="BH100" i="45"/>
  <c r="BH101" i="45"/>
  <c r="BH102" i="45"/>
  <c r="BH103" i="45"/>
  <c r="BH104" i="45"/>
  <c r="BH105" i="45"/>
  <c r="BH106" i="45"/>
  <c r="BH107" i="45"/>
  <c r="BH108" i="45"/>
  <c r="BH109" i="45"/>
  <c r="BH110" i="45"/>
  <c r="BH111" i="45"/>
  <c r="BH112" i="45"/>
  <c r="BH113" i="45"/>
  <c r="BH114" i="45"/>
  <c r="BH115" i="45"/>
  <c r="BH116" i="45"/>
  <c r="BH117" i="45"/>
  <c r="BH118" i="45"/>
  <c r="BH119" i="45"/>
  <c r="BH122" i="45"/>
  <c r="BH126" i="45"/>
  <c r="BH127" i="45"/>
  <c r="BH128" i="45"/>
  <c r="BH129" i="45"/>
  <c r="BH130" i="45"/>
  <c r="BI130" i="45"/>
  <c r="BH146" i="45"/>
  <c r="BH147" i="45"/>
  <c r="BH148" i="45"/>
  <c r="BH150" i="45"/>
  <c r="BH151" i="45"/>
  <c r="BH152" i="45"/>
  <c r="BH153" i="45"/>
  <c r="BI153" i="45"/>
  <c r="BH154" i="45"/>
  <c r="BH155" i="45"/>
  <c r="BH156" i="45"/>
  <c r="BH157" i="45"/>
  <c r="BH158" i="45"/>
  <c r="BH159" i="45"/>
  <c r="BH160" i="45"/>
  <c r="BH161" i="45"/>
  <c r="BI161" i="45"/>
  <c r="AY94" i="45"/>
  <c r="BG94" i="45" s="1"/>
  <c r="BI94" i="45" s="1"/>
  <c r="BA233" i="73" l="1"/>
  <c r="BE232" i="73"/>
  <c r="BA232" i="73"/>
  <c r="BA230" i="73"/>
  <c r="BA228" i="73"/>
  <c r="BA227" i="73"/>
  <c r="BA226" i="73"/>
  <c r="BA225" i="73"/>
  <c r="BE224" i="73"/>
  <c r="BA224" i="73"/>
  <c r="BE223" i="73"/>
  <c r="BA223" i="73"/>
  <c r="BE222" i="73"/>
  <c r="BA222" i="73"/>
  <c r="BA221" i="73"/>
  <c r="BC221" i="73" s="1"/>
  <c r="BA219" i="73"/>
  <c r="BA217" i="73"/>
  <c r="BE215" i="73"/>
  <c r="BA215" i="73"/>
  <c r="BA214" i="73"/>
  <c r="BA213" i="73"/>
  <c r="BA212" i="73"/>
  <c r="BE211" i="73"/>
  <c r="BA211" i="73"/>
  <c r="BE210" i="73"/>
  <c r="BA210" i="73"/>
  <c r="BE208" i="73"/>
  <c r="BA208" i="73"/>
  <c r="BE207" i="73"/>
  <c r="BA207" i="73"/>
  <c r="BA206" i="73"/>
  <c r="BA205" i="73"/>
  <c r="BA204" i="73"/>
  <c r="BA202" i="73"/>
  <c r="BA201" i="73"/>
  <c r="BA200" i="73"/>
  <c r="BA199" i="73"/>
  <c r="BA153" i="73"/>
  <c r="BC153" i="73" s="1"/>
  <c r="BA151" i="73"/>
  <c r="BC151" i="73" s="1"/>
  <c r="BA147" i="73"/>
  <c r="BC147" i="73" s="1"/>
  <c r="BA146" i="73"/>
  <c r="BC146" i="73" s="1"/>
  <c r="BA145" i="73"/>
  <c r="BC145" i="73" s="1"/>
  <c r="BA129" i="73"/>
  <c r="BA125" i="73"/>
  <c r="BA108" i="73"/>
  <c r="BA11" i="15" s="1"/>
  <c r="AW70" i="73"/>
  <c r="BA53" i="73"/>
  <c r="BC53" i="73" s="1"/>
  <c r="BA38" i="73"/>
  <c r="BC38" i="73" s="1"/>
  <c r="BA34" i="73"/>
  <c r="BC34" i="73" s="1"/>
  <c r="BF234" i="28"/>
  <c r="BH234" i="28" s="1"/>
  <c r="BF219" i="28"/>
  <c r="BH219" i="28" s="1"/>
  <c r="BF218" i="28"/>
  <c r="BH218" i="28" s="1"/>
  <c r="AZ202" i="28"/>
  <c r="BB219" i="28"/>
  <c r="BD219" i="28" s="1"/>
  <c r="BK219" i="28" s="1"/>
  <c r="BB218" i="28"/>
  <c r="BD218" i="28" s="1"/>
  <c r="BK218" i="28" s="1"/>
  <c r="BB476" i="28" l="1"/>
  <c r="BD476" i="28" s="1"/>
  <c r="BK476" i="28" s="1"/>
  <c r="BB475" i="28"/>
  <c r="BD475" i="28" s="1"/>
  <c r="BK475" i="28" s="1"/>
  <c r="AZ40" i="28"/>
  <c r="BF434" i="28"/>
  <c r="BH434" i="28" s="1"/>
  <c r="BB434" i="28"/>
  <c r="BD434" i="28" s="1"/>
  <c r="BK434" i="28" s="1"/>
  <c r="BB40" i="28" l="1"/>
  <c r="BD40" i="28" s="1"/>
  <c r="BF40" i="28"/>
  <c r="BH40" i="28"/>
  <c r="BH39" i="28"/>
  <c r="BK39" i="28"/>
  <c r="BB457" i="28"/>
  <c r="BB455" i="28"/>
  <c r="BF349" i="28"/>
  <c r="BH349" i="28" s="1"/>
  <c r="BK40" i="28" l="1"/>
  <c r="G161" i="7"/>
  <c r="H161" i="7"/>
  <c r="K161" i="7"/>
  <c r="L161" i="7"/>
  <c r="O161" i="7"/>
  <c r="P161" i="7"/>
  <c r="S161" i="7"/>
  <c r="T161" i="7"/>
  <c r="W161" i="7"/>
  <c r="X161" i="7"/>
  <c r="AC161" i="7"/>
  <c r="AD161" i="7"/>
  <c r="AG161" i="7"/>
  <c r="AH161" i="7"/>
  <c r="AK161" i="7"/>
  <c r="AL161" i="7"/>
  <c r="AQ161" i="7"/>
  <c r="AR161" i="7"/>
  <c r="AU161" i="7"/>
  <c r="AV161" i="7"/>
  <c r="AY161" i="7"/>
  <c r="AZ161" i="7"/>
  <c r="F161" i="7"/>
  <c r="BE75" i="90" l="1"/>
  <c r="BE91" i="90"/>
  <c r="BE92" i="90"/>
  <c r="BE93" i="90"/>
  <c r="BE94" i="90"/>
  <c r="BE97" i="90"/>
  <c r="BE98" i="90"/>
  <c r="BA98" i="90"/>
  <c r="BA97" i="90"/>
  <c r="BA94" i="90"/>
  <c r="BA93" i="90"/>
  <c r="BA92" i="90"/>
  <c r="BA91" i="90"/>
  <c r="BA75" i="90"/>
  <c r="AY122" i="90"/>
  <c r="AY117" i="90"/>
  <c r="AY114" i="90"/>
  <c r="AY113" i="90"/>
  <c r="AY112" i="90"/>
  <c r="AY111" i="90"/>
  <c r="AY110" i="90"/>
  <c r="AY109" i="90"/>
  <c r="AY108" i="90"/>
  <c r="AY107" i="90"/>
  <c r="AY106" i="90"/>
  <c r="AY99" i="90"/>
  <c r="AY90" i="90"/>
  <c r="CO7" i="71"/>
  <c r="CO8" i="71"/>
  <c r="CO9" i="71"/>
  <c r="AY68" i="90" s="1"/>
  <c r="CO10" i="71"/>
  <c r="CO11" i="71"/>
  <c r="CO12" i="71"/>
  <c r="CO13" i="71"/>
  <c r="CO14" i="71"/>
  <c r="CO15" i="71"/>
  <c r="CO16" i="71"/>
  <c r="CO17" i="71"/>
  <c r="CO18" i="71"/>
  <c r="CO19" i="71"/>
  <c r="AY69" i="90" s="1"/>
  <c r="CO20" i="71"/>
  <c r="AY70" i="90" s="1"/>
  <c r="CO21" i="71"/>
  <c r="AY71" i="90" s="1"/>
  <c r="CO22" i="71"/>
  <c r="AY72" i="90" s="1"/>
  <c r="CO23" i="71"/>
  <c r="CO24" i="71"/>
  <c r="CO25" i="71"/>
  <c r="CO26" i="71"/>
  <c r="AY73" i="90" s="1"/>
  <c r="CO27" i="71"/>
  <c r="CO28" i="71"/>
  <c r="CO29" i="71"/>
  <c r="CO30" i="71"/>
  <c r="CO31" i="71"/>
  <c r="CO32" i="71"/>
  <c r="CO33" i="71"/>
  <c r="CO34" i="71"/>
  <c r="CO35" i="71"/>
  <c r="CO36" i="71"/>
  <c r="CO37" i="71"/>
  <c r="AY74" i="90" s="1"/>
  <c r="CO38" i="71"/>
  <c r="CO39" i="71"/>
  <c r="CO40" i="71"/>
  <c r="CO41" i="71"/>
  <c r="AY76" i="90" s="1"/>
  <c r="CO42" i="71"/>
  <c r="AY77" i="90" s="1"/>
  <c r="CO43" i="71"/>
  <c r="CO44" i="71"/>
  <c r="AY78" i="90" s="1"/>
  <c r="CO45" i="71"/>
  <c r="CO46" i="71"/>
  <c r="AY79" i="90" s="1"/>
  <c r="CO47" i="71"/>
  <c r="AY80" i="90" s="1"/>
  <c r="CO48" i="71"/>
  <c r="AY81" i="90" s="1"/>
  <c r="CO49" i="71"/>
  <c r="AY82" i="90" s="1"/>
  <c r="CO50" i="71"/>
  <c r="AY83" i="90" s="1"/>
  <c r="CO51" i="71"/>
  <c r="CO52" i="71"/>
  <c r="CO53" i="71"/>
  <c r="CO54" i="71"/>
  <c r="AY84" i="90" s="1"/>
  <c r="CO55" i="71"/>
  <c r="AY127" i="90" l="1"/>
  <c r="AY115" i="90"/>
  <c r="BA20" i="39"/>
  <c r="BB20" i="39"/>
  <c r="BD20" i="39"/>
  <c r="AM7" i="7"/>
  <c r="AN7" i="7"/>
  <c r="AM8" i="7"/>
  <c r="AN8" i="7"/>
  <c r="AM9" i="7"/>
  <c r="AN9" i="7"/>
  <c r="AM10" i="7"/>
  <c r="AN10" i="7"/>
  <c r="AM11" i="7"/>
  <c r="AN11" i="7"/>
  <c r="AM12" i="7"/>
  <c r="AN12" i="7"/>
  <c r="AM13" i="7"/>
  <c r="AN13" i="7"/>
  <c r="AM14" i="7"/>
  <c r="AN14" i="7"/>
  <c r="AM15" i="7"/>
  <c r="AN15" i="7"/>
  <c r="AM16" i="7"/>
  <c r="AN16" i="7"/>
  <c r="AM17" i="7"/>
  <c r="AN17" i="7"/>
  <c r="AM18" i="7"/>
  <c r="AN18" i="7"/>
  <c r="AM19" i="7"/>
  <c r="AN19" i="7"/>
  <c r="AM20" i="7"/>
  <c r="AN20" i="7"/>
  <c r="AW18" i="7"/>
  <c r="BE18" i="7" s="1"/>
  <c r="BG18" i="7" s="1"/>
  <c r="AX18" i="7"/>
  <c r="BA7" i="7"/>
  <c r="BB7" i="7"/>
  <c r="BA8" i="7"/>
  <c r="BB8" i="7"/>
  <c r="BA9" i="7"/>
  <c r="BB9" i="7"/>
  <c r="BA10" i="7"/>
  <c r="BB10" i="7"/>
  <c r="BA11" i="7"/>
  <c r="BB11" i="7"/>
  <c r="BA12" i="7"/>
  <c r="BB12" i="7"/>
  <c r="BA13" i="7"/>
  <c r="BB13" i="7"/>
  <c r="BA14" i="7"/>
  <c r="BB14" i="7"/>
  <c r="BA15" i="7"/>
  <c r="BB15" i="7"/>
  <c r="BA16" i="7"/>
  <c r="BB16" i="7"/>
  <c r="BA17" i="7"/>
  <c r="BC17" i="7" s="1"/>
  <c r="BB17" i="7"/>
  <c r="BA18" i="7"/>
  <c r="BB18" i="7"/>
  <c r="BA19" i="7"/>
  <c r="BB19" i="7"/>
  <c r="BA20" i="7"/>
  <c r="BB20" i="7"/>
  <c r="BA6" i="7"/>
  <c r="BB6" i="7"/>
  <c r="AM67" i="39"/>
  <c r="AM66" i="39"/>
  <c r="BC11" i="7" l="1"/>
  <c r="BD17" i="7"/>
  <c r="BD10" i="7"/>
  <c r="BC16" i="7"/>
  <c r="BD16" i="7"/>
  <c r="BC10" i="7"/>
  <c r="BD20" i="7"/>
  <c r="BC15" i="7"/>
  <c r="BD8" i="7"/>
  <c r="BD15" i="7"/>
  <c r="BD14" i="7"/>
  <c r="BC9" i="7"/>
  <c r="BD9" i="7"/>
  <c r="BC8" i="7"/>
  <c r="BC20" i="7"/>
  <c r="BC14" i="7"/>
  <c r="BD19" i="7"/>
  <c r="BD13" i="7"/>
  <c r="BD7" i="7"/>
  <c r="BC19" i="7"/>
  <c r="BC7" i="7"/>
  <c r="BD18" i="7"/>
  <c r="BD12" i="7"/>
  <c r="BC13" i="7"/>
  <c r="BC18" i="7"/>
  <c r="BC12" i="7"/>
  <c r="BD11" i="7"/>
  <c r="BE166" i="73"/>
  <c r="BA166" i="73"/>
  <c r="BC166" i="73" s="1"/>
  <c r="BA158" i="73"/>
  <c r="BC158" i="73" s="1"/>
  <c r="BE158" i="73"/>
  <c r="BA163" i="73"/>
  <c r="BC163" i="73" s="1"/>
  <c r="BE163" i="73"/>
  <c r="BA148" i="73"/>
  <c r="BC148" i="73" s="1"/>
  <c r="BA194" i="73"/>
  <c r="BA195" i="73"/>
  <c r="BC195" i="73" s="1"/>
  <c r="BC194" i="73" l="1"/>
  <c r="BC193" i="73" s="1"/>
  <c r="BA193" i="73"/>
  <c r="BE47" i="35"/>
  <c r="BE46" i="35"/>
  <c r="BB53" i="35"/>
  <c r="BA53" i="35"/>
  <c r="BB51" i="35"/>
  <c r="BA51" i="35"/>
  <c r="BB50" i="35"/>
  <c r="BA50" i="35"/>
  <c r="BA47" i="35"/>
  <c r="BC47" i="35" s="1"/>
  <c r="BA46" i="35"/>
  <c r="BC46" i="35" s="1"/>
  <c r="BA45" i="35"/>
  <c r="BC45" i="35" s="1"/>
  <c r="BA44" i="35"/>
  <c r="BC44" i="35" s="1"/>
  <c r="BA43" i="35"/>
  <c r="BC43" i="35" s="1"/>
  <c r="BA40" i="35"/>
  <c r="BC40" i="35" s="1"/>
  <c r="BB35" i="35"/>
  <c r="BA35" i="35"/>
  <c r="BB34" i="35"/>
  <c r="BA34" i="35"/>
  <c r="BA32" i="35"/>
  <c r="BA31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0" i="35"/>
  <c r="BA70" i="73" l="1"/>
  <c r="BC70" i="73" s="1"/>
  <c r="BE70" i="73"/>
  <c r="BA71" i="73"/>
  <c r="BA72" i="73"/>
  <c r="BC72" i="73" s="1"/>
  <c r="BE72" i="73"/>
  <c r="BA73" i="73"/>
  <c r="BC73" i="73" s="1"/>
  <c r="BA74" i="73"/>
  <c r="BC74" i="73" s="1"/>
  <c r="BA82" i="73"/>
  <c r="BC82" i="73" s="1"/>
  <c r="BA85" i="73"/>
  <c r="BC85" i="73" s="1"/>
  <c r="BA88" i="73"/>
  <c r="BC88" i="73" s="1"/>
  <c r="BA87" i="73"/>
  <c r="BC87" i="73" s="1"/>
  <c r="BE12" i="73" l="1"/>
  <c r="BA12" i="73"/>
  <c r="BC12" i="73" s="1"/>
  <c r="AX130" i="26" l="1"/>
  <c r="AY114" i="26"/>
  <c r="AX112" i="26"/>
  <c r="AX110" i="26"/>
  <c r="AX108" i="26"/>
  <c r="AX106" i="26"/>
  <c r="AX104" i="26"/>
  <c r="AX102" i="26"/>
  <c r="AX100" i="26"/>
  <c r="AX98" i="26"/>
  <c r="AY94" i="26"/>
  <c r="AX91" i="26"/>
  <c r="AX89" i="26"/>
  <c r="AX87" i="26"/>
  <c r="AX85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X48" i="26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X11" i="26"/>
  <c r="AX9" i="26"/>
  <c r="AY31" i="15"/>
  <c r="AY30" i="15"/>
  <c r="AY29" i="15"/>
  <c r="AY25" i="15"/>
  <c r="AY24" i="15"/>
  <c r="AY23" i="15"/>
  <c r="AY22" i="15"/>
  <c r="AY21" i="15"/>
  <c r="AX19" i="15"/>
  <c r="AY18" i="15"/>
  <c r="AX18" i="15"/>
  <c r="AY15" i="15"/>
  <c r="AX12" i="15"/>
  <c r="AX13" i="15" s="1"/>
  <c r="AY11" i="15"/>
  <c r="AY10" i="15"/>
  <c r="AY9" i="15"/>
  <c r="AX9" i="15"/>
  <c r="AY8" i="15"/>
  <c r="AX8" i="15"/>
  <c r="AY7" i="15"/>
  <c r="AY6" i="15"/>
  <c r="AY5" i="15"/>
  <c r="AX5" i="15"/>
  <c r="AY57" i="26" l="1"/>
  <c r="AY19" i="26"/>
  <c r="AX50" i="26"/>
  <c r="AX51" i="26" s="1"/>
  <c r="AX15" i="15"/>
  <c r="AX16" i="15" s="1"/>
  <c r="AX83" i="26"/>
  <c r="AX94" i="26"/>
  <c r="AX82" i="26"/>
  <c r="AY32" i="15"/>
  <c r="AX114" i="26"/>
  <c r="AX75" i="26"/>
  <c r="AY56" i="26"/>
  <c r="AY51" i="26"/>
  <c r="AX45" i="26"/>
  <c r="AX12" i="26"/>
  <c r="AY13" i="26"/>
  <c r="AX57" i="26"/>
  <c r="AY18" i="26"/>
  <c r="AX117" i="17"/>
  <c r="AX115" i="17"/>
  <c r="AY87" i="17"/>
  <c r="AY86" i="17"/>
  <c r="AY85" i="17"/>
  <c r="AY84" i="17"/>
  <c r="AY83" i="17"/>
  <c r="AX83" i="17"/>
  <c r="AY79" i="17"/>
  <c r="AX79" i="17"/>
  <c r="AY74" i="17"/>
  <c r="AX74" i="17"/>
  <c r="AY67" i="17"/>
  <c r="AY69" i="17" s="1"/>
  <c r="AX67" i="17"/>
  <c r="AX69" i="17" s="1"/>
  <c r="AX61" i="17"/>
  <c r="AY59" i="17"/>
  <c r="AY60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45" i="17" s="1"/>
  <c r="AX44" i="17"/>
  <c r="AY43" i="17"/>
  <c r="AY41" i="17"/>
  <c r="AY39" i="17"/>
  <c r="AY26" i="17"/>
  <c r="AY22" i="17"/>
  <c r="AY16" i="17" s="1"/>
  <c r="AX21" i="17"/>
  <c r="AX19" i="17"/>
  <c r="AX18" i="17"/>
  <c r="AX16" i="17"/>
  <c r="AX30" i="17" s="1"/>
  <c r="AX15" i="17"/>
  <c r="AY14" i="17"/>
  <c r="AY12" i="17"/>
  <c r="AY9" i="17"/>
  <c r="AX9" i="17"/>
  <c r="AX56" i="26" l="1"/>
  <c r="AY36" i="15"/>
  <c r="AY16" i="15" s="1"/>
  <c r="AY17" i="15" s="1"/>
  <c r="AX13" i="26"/>
  <c r="AX59" i="17"/>
  <c r="AX60" i="17" s="1"/>
  <c r="AX18" i="26"/>
  <c r="AY34" i="17"/>
  <c r="AY31" i="17"/>
  <c r="AY116" i="17"/>
  <c r="AY33" i="17"/>
  <c r="AX19" i="26"/>
  <c r="AX22" i="17"/>
  <c r="AX32" i="17" s="1"/>
  <c r="AY62" i="17"/>
  <c r="AX116" i="17"/>
  <c r="AX50" i="17"/>
  <c r="AX114" i="17" s="1"/>
  <c r="AX119" i="17"/>
  <c r="AY13" i="17"/>
  <c r="AY117" i="17" s="1"/>
  <c r="AX11" i="17"/>
  <c r="AY11" i="17"/>
  <c r="AY30" i="17"/>
  <c r="AY32" i="17"/>
  <c r="AY50" i="17"/>
  <c r="AY43" i="72"/>
  <c r="AY29" i="72"/>
  <c r="AY30" i="72"/>
  <c r="AY31" i="72"/>
  <c r="AY32" i="72"/>
  <c r="AY33" i="72"/>
  <c r="AY34" i="72"/>
  <c r="AY15" i="72"/>
  <c r="BA15" i="72" s="1"/>
  <c r="AY9" i="72"/>
  <c r="BA9" i="72" s="1"/>
  <c r="AY10" i="72"/>
  <c r="BA10" i="72" s="1"/>
  <c r="AY11" i="72"/>
  <c r="BA11" i="72" s="1"/>
  <c r="V58" i="71"/>
  <c r="V57" i="71"/>
  <c r="V56" i="71"/>
  <c r="V7" i="71"/>
  <c r="V8" i="71"/>
  <c r="V9" i="71"/>
  <c r="V10" i="71"/>
  <c r="V11" i="71"/>
  <c r="V12" i="71"/>
  <c r="V13" i="71"/>
  <c r="V14" i="71"/>
  <c r="V15" i="71"/>
  <c r="V16" i="71"/>
  <c r="V17" i="71"/>
  <c r="V18" i="71"/>
  <c r="V19" i="71"/>
  <c r="V20" i="71"/>
  <c r="V21" i="71"/>
  <c r="V22" i="71"/>
  <c r="V23" i="71"/>
  <c r="V24" i="71"/>
  <c r="V25" i="71"/>
  <c r="V26" i="71"/>
  <c r="V27" i="71"/>
  <c r="V28" i="71"/>
  <c r="V29" i="71"/>
  <c r="V30" i="71"/>
  <c r="W30" i="71" s="1"/>
  <c r="V31" i="71"/>
  <c r="V32" i="71"/>
  <c r="V33" i="71"/>
  <c r="V34" i="71"/>
  <c r="V35" i="71"/>
  <c r="V36" i="71"/>
  <c r="V37" i="71"/>
  <c r="V38" i="71"/>
  <c r="V39" i="71"/>
  <c r="V40" i="71"/>
  <c r="V41" i="71"/>
  <c r="V42" i="71"/>
  <c r="V43" i="71"/>
  <c r="V44" i="71"/>
  <c r="V45" i="71"/>
  <c r="V46" i="71"/>
  <c r="V47" i="71"/>
  <c r="V48" i="71"/>
  <c r="V49" i="71"/>
  <c r="V50" i="71"/>
  <c r="V51" i="71"/>
  <c r="V52" i="71"/>
  <c r="V53" i="71"/>
  <c r="V54" i="71"/>
  <c r="V55" i="71"/>
  <c r="V6" i="71"/>
  <c r="AX34" i="17" l="1"/>
  <c r="AX31" i="17"/>
  <c r="AX62" i="17"/>
  <c r="AX54" i="17"/>
  <c r="AX118" i="17"/>
  <c r="AY54" i="17"/>
  <c r="AY51" i="17"/>
  <c r="AY114" i="17"/>
  <c r="AY118" i="17" s="1"/>
  <c r="AY15" i="17"/>
  <c r="AY55" i="17" l="1"/>
  <c r="AY115" i="17"/>
  <c r="AY119" i="17" s="1"/>
  <c r="BC100" i="45" l="1"/>
  <c r="BC99" i="45"/>
  <c r="BC98" i="45"/>
  <c r="BC95" i="45"/>
  <c r="BC94" i="45"/>
  <c r="BE94" i="45" s="1"/>
  <c r="BL94" i="45" s="1"/>
  <c r="BC87" i="45"/>
  <c r="BC86" i="45"/>
  <c r="BC85" i="45"/>
  <c r="BC84" i="45"/>
  <c r="BC83" i="45"/>
  <c r="BC82" i="45"/>
  <c r="BC81" i="45"/>
  <c r="BC80" i="45"/>
  <c r="BC79" i="45"/>
  <c r="BC78" i="45"/>
  <c r="BC77" i="45"/>
  <c r="BC76" i="45"/>
  <c r="BC75" i="45"/>
  <c r="BC74" i="45"/>
  <c r="BC71" i="45"/>
  <c r="BC70" i="45"/>
  <c r="BC62" i="45"/>
  <c r="BC49" i="45"/>
  <c r="BC30" i="45"/>
  <c r="BC29" i="45"/>
  <c r="BC28" i="45"/>
  <c r="BA157" i="45"/>
  <c r="BA156" i="45"/>
  <c r="BA154" i="45"/>
  <c r="BA148" i="45"/>
  <c r="BA143" i="45"/>
  <c r="BA142" i="45"/>
  <c r="AZ142" i="45"/>
  <c r="BA141" i="45"/>
  <c r="BA140" i="45"/>
  <c r="BA138" i="45"/>
  <c r="BA136" i="45"/>
  <c r="AZ136" i="45"/>
  <c r="BA134" i="45"/>
  <c r="AZ134" i="45"/>
  <c r="BA131" i="45"/>
  <c r="AZ131" i="45"/>
  <c r="BA126" i="45"/>
  <c r="BA122" i="45"/>
  <c r="BA150" i="45" s="1"/>
  <c r="BA121" i="45"/>
  <c r="BA124" i="45" s="1"/>
  <c r="BA125" i="45" s="1"/>
  <c r="AZ121" i="45"/>
  <c r="AZ120" i="45" s="1"/>
  <c r="BA120" i="45"/>
  <c r="BA158" i="45" s="1"/>
  <c r="BB126" i="10"/>
  <c r="BM126" i="10" s="1"/>
  <c r="BB124" i="10"/>
  <c r="BM124" i="10" s="1"/>
  <c r="BB123" i="10"/>
  <c r="BM123" i="10" s="1"/>
  <c r="BB106" i="10"/>
  <c r="BM106" i="10" s="1"/>
  <c r="BB86" i="10"/>
  <c r="BM86" i="10" s="1"/>
  <c r="BB22" i="10"/>
  <c r="BM22" i="10" s="1"/>
  <c r="BB21" i="10"/>
  <c r="BM21" i="10" s="1"/>
  <c r="BD22" i="10"/>
  <c r="BK22" i="10" s="1"/>
  <c r="BD21" i="10"/>
  <c r="BK21" i="10" s="1"/>
  <c r="BB186" i="10"/>
  <c r="BM186" i="10" s="1"/>
  <c r="AZ78" i="11"/>
  <c r="AZ77" i="11"/>
  <c r="AY77" i="11"/>
  <c r="AZ76" i="11"/>
  <c r="AZ75" i="11"/>
  <c r="AZ73" i="11"/>
  <c r="AZ71" i="11"/>
  <c r="AY71" i="11"/>
  <c r="AZ69" i="11"/>
  <c r="AY69" i="11"/>
  <c r="AZ66" i="11"/>
  <c r="AZ67" i="11" s="1"/>
  <c r="AY66" i="11"/>
  <c r="AY67" i="11" s="1"/>
  <c r="AZ64" i="11"/>
  <c r="AZ61" i="11" s="1"/>
  <c r="AY56" i="11"/>
  <c r="AY55" i="11" s="1"/>
  <c r="BA149" i="45" l="1"/>
  <c r="AZ144" i="45"/>
  <c r="AZ132" i="45"/>
  <c r="BA132" i="45"/>
  <c r="AY58" i="11"/>
  <c r="BA139" i="45"/>
  <c r="AZ123" i="45"/>
  <c r="BA144" i="45"/>
  <c r="BA123" i="45"/>
  <c r="BA155" i="45"/>
  <c r="BA159" i="45"/>
  <c r="AZ124" i="45"/>
  <c r="AZ74" i="11"/>
  <c r="AY79" i="11"/>
  <c r="AY97" i="11"/>
  <c r="AZ79" i="11"/>
  <c r="BA160" i="45" l="1"/>
  <c r="AZ190" i="10"/>
  <c r="AZ188" i="10"/>
  <c r="AZ182" i="10"/>
  <c r="AZ177" i="10"/>
  <c r="AZ176" i="10"/>
  <c r="AY176" i="10"/>
  <c r="AZ175" i="10"/>
  <c r="AZ174" i="10"/>
  <c r="AZ172" i="10"/>
  <c r="AZ170" i="10"/>
  <c r="AY170" i="10"/>
  <c r="AZ168" i="10"/>
  <c r="AY168" i="10"/>
  <c r="AZ165" i="10"/>
  <c r="AY165" i="10"/>
  <c r="AZ160" i="10"/>
  <c r="AZ184" i="10" s="1"/>
  <c r="AY159" i="10"/>
  <c r="AZ158" i="10"/>
  <c r="AZ196" i="10" s="1"/>
  <c r="AZ159" i="10"/>
  <c r="AZ183" i="10" l="1"/>
  <c r="AZ166" i="10"/>
  <c r="AY166" i="10"/>
  <c r="AY158" i="10"/>
  <c r="AY161" i="10"/>
  <c r="AY178" i="10"/>
  <c r="AZ192" i="10"/>
  <c r="AZ173" i="10"/>
  <c r="AZ178" i="10"/>
  <c r="AZ161" i="10"/>
  <c r="AZ199" i="10"/>
  <c r="AZ200" i="10" s="1"/>
  <c r="AZ191" i="10"/>
  <c r="AZ189" i="10"/>
  <c r="AZ193" i="10" l="1"/>
  <c r="AY104" i="9" l="1"/>
  <c r="AY102" i="9"/>
  <c r="AY101" i="9"/>
  <c r="AZ99" i="9"/>
  <c r="AZ98" i="9"/>
  <c r="AZ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Z35" i="9"/>
  <c r="AZ47" i="9" s="1"/>
  <c r="AZ34" i="9"/>
  <c r="AZ31" i="9"/>
  <c r="AZ25" i="9"/>
  <c r="AY24" i="9"/>
  <c r="AY22" i="9"/>
  <c r="AZ19" i="9"/>
  <c r="AZ10" i="9"/>
  <c r="AZ5" i="9"/>
  <c r="AY5" i="9"/>
  <c r="AZ48" i="9" l="1"/>
  <c r="AY89" i="90"/>
  <c r="AZ14" i="9"/>
  <c r="AY92" i="9"/>
  <c r="AX132" i="26"/>
  <c r="AZ96" i="9"/>
  <c r="AY132" i="26"/>
  <c r="AZ100" i="9"/>
  <c r="AZ62" i="9"/>
  <c r="AY25" i="9"/>
  <c r="AY88" i="9" s="1"/>
  <c r="AZ37" i="9"/>
  <c r="AZ49" i="9"/>
  <c r="AZ90" i="9"/>
  <c r="AY58" i="9"/>
  <c r="AZ94" i="9"/>
  <c r="AY19" i="15" s="1"/>
  <c r="AY67" i="9"/>
  <c r="AY55" i="9"/>
  <c r="AY64" i="9"/>
  <c r="AY68" i="9"/>
  <c r="AY7" i="9"/>
  <c r="AY56" i="9"/>
  <c r="AY59" i="9"/>
  <c r="AY65" i="9"/>
  <c r="AY69" i="9"/>
  <c r="AZ89" i="9"/>
  <c r="AY95" i="9"/>
  <c r="AY63" i="9"/>
  <c r="AY27" i="9"/>
  <c r="AY61" i="9"/>
  <c r="AY66" i="9"/>
  <c r="AY70" i="9"/>
  <c r="AZ109" i="8"/>
  <c r="AZ111" i="8" s="1"/>
  <c r="AZ94" i="8"/>
  <c r="AZ91" i="8"/>
  <c r="AZ89" i="8"/>
  <c r="AZ88" i="8"/>
  <c r="AY87" i="8"/>
  <c r="AY82" i="8"/>
  <c r="AZ80" i="8"/>
  <c r="AZ76" i="8"/>
  <c r="AY75" i="8"/>
  <c r="AY74" i="8"/>
  <c r="AY73" i="8"/>
  <c r="AY72" i="8"/>
  <c r="AY71" i="8"/>
  <c r="AZ68" i="8"/>
  <c r="AZ66" i="8"/>
  <c r="AZ64" i="8"/>
  <c r="AZ61" i="8"/>
  <c r="AZ58" i="8"/>
  <c r="AZ62" i="8" s="1"/>
  <c r="AY52" i="8"/>
  <c r="AZ49" i="8"/>
  <c r="AY49" i="8"/>
  <c r="AY46" i="8"/>
  <c r="AY45" i="8"/>
  <c r="AY44" i="8"/>
  <c r="AY43" i="8"/>
  <c r="AY41" i="8"/>
  <c r="AY40" i="8"/>
  <c r="AY39" i="8"/>
  <c r="AZ26" i="8"/>
  <c r="AZ17" i="8"/>
  <c r="AY17" i="8"/>
  <c r="AY15" i="8"/>
  <c r="AY14" i="8"/>
  <c r="AZ13" i="8"/>
  <c r="AY13" i="8"/>
  <c r="AZ6" i="8"/>
  <c r="AY6" i="8"/>
  <c r="AY113" i="7"/>
  <c r="AY112" i="7"/>
  <c r="AY111" i="7"/>
  <c r="AY110" i="7"/>
  <c r="AY109" i="7"/>
  <c r="AY108" i="7"/>
  <c r="AY107" i="7"/>
  <c r="AY106" i="7"/>
  <c r="AZ84" i="7"/>
  <c r="AZ82" i="7"/>
  <c r="AZ75" i="7"/>
  <c r="AY75" i="7"/>
  <c r="AZ71" i="7"/>
  <c r="AY71" i="7"/>
  <c r="AZ67" i="7"/>
  <c r="AZ31" i="7" s="1"/>
  <c r="AZ95" i="7" s="1"/>
  <c r="AY67" i="7"/>
  <c r="AZ21" i="7"/>
  <c r="AZ41" i="7" s="1"/>
  <c r="AZ51" i="7" s="1"/>
  <c r="AY21" i="7"/>
  <c r="AY41" i="7" s="1"/>
  <c r="AY51" i="7" s="1"/>
  <c r="AZ28" i="7" l="1"/>
  <c r="AZ92" i="7" s="1"/>
  <c r="AZ29" i="7"/>
  <c r="AZ93" i="7" s="1"/>
  <c r="AZ23" i="7"/>
  <c r="AZ87" i="7" s="1"/>
  <c r="AZ30" i="7"/>
  <c r="AZ94" i="7" s="1"/>
  <c r="AZ67" i="8"/>
  <c r="AZ37" i="8" s="1"/>
  <c r="AY73" i="7"/>
  <c r="AZ16" i="8"/>
  <c r="AZ69" i="8"/>
  <c r="AZ65" i="8"/>
  <c r="AZ34" i="8" s="1"/>
  <c r="AY29" i="8"/>
  <c r="AZ86" i="8"/>
  <c r="AY16" i="8"/>
  <c r="AZ73" i="7"/>
  <c r="AZ32" i="7"/>
  <c r="AZ98" i="7" s="1"/>
  <c r="AY31" i="8"/>
  <c r="AY42" i="8"/>
  <c r="AY60" i="7"/>
  <c r="AY26" i="7"/>
  <c r="AY27" i="7"/>
  <c r="AY91" i="7" s="1"/>
  <c r="AY28" i="7"/>
  <c r="AY92" i="7" s="1"/>
  <c r="AY29" i="7"/>
  <c r="AY93" i="7" s="1"/>
  <c r="AY30" i="7"/>
  <c r="AY94" i="7" s="1"/>
  <c r="AY23" i="7"/>
  <c r="AY87" i="7" s="1"/>
  <c r="AY31" i="7"/>
  <c r="AY95" i="7" s="1"/>
  <c r="AY33" i="7"/>
  <c r="AY99" i="7" s="1"/>
  <c r="AY34" i="7"/>
  <c r="AY32" i="7"/>
  <c r="AY98" i="7" s="1"/>
  <c r="AY35" i="7"/>
  <c r="AY100" i="7" s="1"/>
  <c r="AY24" i="7"/>
  <c r="AY36" i="7"/>
  <c r="AY90" i="7" s="1"/>
  <c r="AY25" i="7"/>
  <c r="AY37" i="7"/>
  <c r="AY103" i="7" s="1"/>
  <c r="AY24" i="8"/>
  <c r="AZ55" i="7"/>
  <c r="AZ27" i="7"/>
  <c r="AZ91" i="7" s="1"/>
  <c r="AZ26" i="7"/>
  <c r="AZ35" i="7"/>
  <c r="AZ100" i="7" s="1"/>
  <c r="AY50" i="8"/>
  <c r="AY51" i="8" s="1"/>
  <c r="AY27" i="8"/>
  <c r="AZ33" i="7"/>
  <c r="AZ99" i="7" s="1"/>
  <c r="AY56" i="7"/>
  <c r="AY96" i="7" s="1"/>
  <c r="AZ81" i="7"/>
  <c r="AZ25" i="7"/>
  <c r="AZ24" i="7"/>
  <c r="AZ37" i="7"/>
  <c r="AZ103" i="7" s="1"/>
  <c r="AZ34" i="7"/>
  <c r="AZ97" i="7" s="1"/>
  <c r="AZ58" i="7"/>
  <c r="AZ91" i="9"/>
  <c r="AZ40" i="8"/>
  <c r="AZ44" i="8"/>
  <c r="AZ137" i="8" s="1"/>
  <c r="AZ47" i="8"/>
  <c r="AZ46" i="8"/>
  <c r="AZ138" i="8" s="1"/>
  <c r="AZ50" i="8"/>
  <c r="AZ78" i="8" s="1"/>
  <c r="AZ82" i="8"/>
  <c r="AZ92" i="8"/>
  <c r="AY57" i="9"/>
  <c r="AY60" i="9"/>
  <c r="AZ87" i="9"/>
  <c r="AZ83" i="9"/>
  <c r="AZ78" i="9"/>
  <c r="AZ84" i="9"/>
  <c r="AZ72" i="9"/>
  <c r="AZ53" i="9"/>
  <c r="AZ86" i="9"/>
  <c r="AZ82" i="9"/>
  <c r="AZ76" i="9"/>
  <c r="AZ52" i="9"/>
  <c r="AZ80" i="9"/>
  <c r="AZ75" i="9"/>
  <c r="AZ85" i="9"/>
  <c r="AZ81" i="9"/>
  <c r="AZ73" i="9"/>
  <c r="AZ110" i="8"/>
  <c r="AZ52" i="8" s="1"/>
  <c r="AZ121" i="8" s="1"/>
  <c r="AY23" i="8"/>
  <c r="AY30" i="8"/>
  <c r="AZ59" i="8"/>
  <c r="AY25" i="8"/>
  <c r="AY28" i="8"/>
  <c r="AY85" i="8"/>
  <c r="AZ39" i="8"/>
  <c r="AZ41" i="8"/>
  <c r="AZ43" i="8"/>
  <c r="AZ136" i="8" s="1"/>
  <c r="AZ45" i="8"/>
  <c r="AY61" i="7"/>
  <c r="AY102" i="7" s="1"/>
  <c r="AY58" i="7"/>
  <c r="AY54" i="7"/>
  <c r="AY88" i="7" s="1"/>
  <c r="AZ60" i="7"/>
  <c r="AY76" i="7"/>
  <c r="AZ83" i="7"/>
  <c r="AY78" i="7"/>
  <c r="AZ36" i="7"/>
  <c r="AZ90" i="7" s="1"/>
  <c r="AZ54" i="7"/>
  <c r="AZ56" i="7"/>
  <c r="AZ96" i="7" s="1"/>
  <c r="AY59" i="7"/>
  <c r="AY62" i="7"/>
  <c r="AY68" i="7"/>
  <c r="AY81" i="7"/>
  <c r="AY97" i="7"/>
  <c r="AY55" i="7"/>
  <c r="AY57" i="7"/>
  <c r="AY101" i="7" s="1"/>
  <c r="AZ62" i="7"/>
  <c r="AZ57" i="7"/>
  <c r="AZ59" i="7"/>
  <c r="AZ61" i="7"/>
  <c r="AZ102" i="7" s="1"/>
  <c r="AZ69" i="7"/>
  <c r="AZ76" i="7"/>
  <c r="AZ78" i="7"/>
  <c r="AY89" i="7" l="1"/>
  <c r="AY6" i="26"/>
  <c r="AZ139" i="8"/>
  <c r="AZ51" i="8"/>
  <c r="AZ72" i="8"/>
  <c r="AZ36" i="8"/>
  <c r="AY59" i="8"/>
  <c r="AZ74" i="8"/>
  <c r="AZ73" i="8"/>
  <c r="AZ38" i="7"/>
  <c r="AZ53" i="7" s="1"/>
  <c r="AZ77" i="7" s="1"/>
  <c r="AY109" i="8"/>
  <c r="AY110" i="8" s="1"/>
  <c r="AZ89" i="7"/>
  <c r="AZ101" i="7"/>
  <c r="AZ88" i="7"/>
  <c r="AZ112" i="8"/>
  <c r="AZ53" i="8" s="1"/>
  <c r="AZ123" i="8" s="1"/>
  <c r="AZ122" i="8" s="1"/>
  <c r="AZ126" i="8" s="1"/>
  <c r="AZ127" i="8" s="1"/>
  <c r="AZ42" i="8"/>
  <c r="AZ74" i="9"/>
  <c r="AZ77" i="9"/>
  <c r="AY62" i="9"/>
  <c r="AY67" i="8"/>
  <c r="AY26" i="8"/>
  <c r="AY65" i="8"/>
  <c r="AY69" i="8"/>
  <c r="AZ63" i="8"/>
  <c r="AY38" i="7"/>
  <c r="AY53" i="7" s="1"/>
  <c r="AY63" i="7" s="1"/>
  <c r="AY104" i="7"/>
  <c r="AZ130" i="8" l="1"/>
  <c r="AZ132" i="8"/>
  <c r="AZ145" i="8" s="1"/>
  <c r="AZ131" i="8"/>
  <c r="AZ144" i="8" s="1"/>
  <c r="AZ124" i="8"/>
  <c r="AZ104" i="7"/>
  <c r="AZ63" i="7"/>
  <c r="AY37" i="8"/>
  <c r="AY34" i="8"/>
  <c r="AY63" i="8"/>
  <c r="AZ71" i="8"/>
  <c r="AY36" i="8"/>
  <c r="AY111" i="8"/>
  <c r="AY112" i="8" s="1"/>
  <c r="AY77" i="7"/>
  <c r="AZ79" i="9"/>
  <c r="AZ35" i="8"/>
  <c r="AZ70" i="8"/>
  <c r="AZ133" i="8" l="1"/>
  <c r="AZ146" i="8" s="1"/>
  <c r="AZ143" i="8"/>
  <c r="AY35" i="8"/>
  <c r="AY61" i="39" l="1"/>
  <c r="AY60" i="39"/>
  <c r="AY49" i="39"/>
  <c r="AY48" i="39"/>
  <c r="AY47" i="39"/>
  <c r="AY46" i="39"/>
  <c r="AY43" i="39"/>
  <c r="AY42" i="39"/>
  <c r="AY8" i="39"/>
  <c r="AY22" i="39" l="1"/>
  <c r="AY45" i="39"/>
  <c r="AY23" i="39"/>
  <c r="AY50" i="39"/>
  <c r="AZ9" i="6"/>
  <c r="AZ8" i="6"/>
  <c r="AY7" i="6"/>
  <c r="AZ223" i="6"/>
  <c r="AY223" i="6"/>
  <c r="AZ222" i="6"/>
  <c r="AY222" i="6"/>
  <c r="AY199" i="6"/>
  <c r="AZ198" i="6"/>
  <c r="AY198" i="6"/>
  <c r="AY197" i="6"/>
  <c r="AZ193" i="6"/>
  <c r="AZ192" i="6"/>
  <c r="AZ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31" i="6"/>
  <c r="AY131" i="6"/>
  <c r="AZ130" i="6"/>
  <c r="AY130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17" i="6"/>
  <c r="AY16" i="6"/>
  <c r="AY15" i="6"/>
  <c r="AY91" i="77"/>
  <c r="AY90" i="77"/>
  <c r="AX90" i="77"/>
  <c r="AY89" i="77"/>
  <c r="AX89" i="77"/>
  <c r="AY85" i="77"/>
  <c r="AX85" i="77"/>
  <c r="AX83" i="77"/>
  <c r="AY82" i="77"/>
  <c r="AY81" i="77"/>
  <c r="AY80" i="77"/>
  <c r="AY70" i="77"/>
  <c r="AX70" i="77"/>
  <c r="AY53" i="77"/>
  <c r="AX53" i="77"/>
  <c r="AY36" i="77"/>
  <c r="AX36" i="77"/>
  <c r="AY32" i="77"/>
  <c r="AX32" i="77"/>
  <c r="AY26" i="77"/>
  <c r="AX26" i="77"/>
  <c r="AY21" i="77"/>
  <c r="AX21" i="77"/>
  <c r="AY13" i="77"/>
  <c r="AX13" i="77"/>
  <c r="AY7" i="77"/>
  <c r="AX7" i="77"/>
  <c r="AX88" i="77" l="1"/>
  <c r="AZ121" i="6"/>
  <c r="AY30" i="6"/>
  <c r="AY31" i="6"/>
  <c r="AZ57" i="6"/>
  <c r="AY51" i="39"/>
  <c r="AY24" i="39"/>
  <c r="AZ35" i="6"/>
  <c r="AY88" i="77"/>
  <c r="AY94" i="77" s="1"/>
  <c r="AY34" i="39"/>
  <c r="AZ138" i="6"/>
  <c r="AY83" i="77"/>
  <c r="AX94" i="77"/>
  <c r="AY103" i="6"/>
  <c r="AY138" i="6"/>
  <c r="AY133" i="6"/>
  <c r="AY188" i="6"/>
  <c r="AY121" i="6"/>
  <c r="AZ103" i="6"/>
  <c r="AZ133" i="6"/>
  <c r="AY163" i="6"/>
  <c r="AY19" i="6"/>
  <c r="AY21" i="6"/>
  <c r="AY24" i="6"/>
  <c r="AY27" i="6"/>
  <c r="AY22" i="6"/>
  <c r="AY25" i="6"/>
  <c r="AY28" i="6"/>
  <c r="AY125" i="6" l="1"/>
  <c r="AY172" i="6" s="1"/>
  <c r="AZ107" i="6"/>
  <c r="AY84" i="6"/>
  <c r="AY107" i="6"/>
  <c r="AZ139" i="6"/>
  <c r="AY32" i="6"/>
  <c r="AZ125" i="6"/>
  <c r="AY139" i="6"/>
  <c r="AY26" i="6"/>
  <c r="AY34" i="6"/>
  <c r="AY29" i="6"/>
  <c r="AY33" i="6"/>
  <c r="AY23" i="6"/>
  <c r="AY81" i="6"/>
  <c r="AY173" i="6" l="1"/>
  <c r="AY150" i="6"/>
  <c r="AZ147" i="6"/>
  <c r="AY143" i="6"/>
  <c r="AY147" i="6"/>
  <c r="AZ172" i="6"/>
  <c r="AZ175" i="6"/>
  <c r="AZ173" i="6"/>
  <c r="AZ150" i="6"/>
  <c r="AZ148" i="6"/>
  <c r="AY175" i="6"/>
  <c r="AY148" i="6"/>
  <c r="AZ143" i="6"/>
  <c r="AZ203" i="6" s="1"/>
  <c r="AY174" i="6"/>
  <c r="AY35" i="6"/>
  <c r="AZ149" i="6" l="1"/>
  <c r="AY149" i="6"/>
  <c r="AZ208" i="6"/>
  <c r="AZ216" i="6"/>
  <c r="AZ212" i="6"/>
  <c r="AZ204" i="6"/>
  <c r="AZ210" i="6"/>
  <c r="AY212" i="6"/>
  <c r="AY204" i="6"/>
  <c r="AY213" i="6"/>
  <c r="AY210" i="6"/>
  <c r="AY206" i="6"/>
  <c r="AY216" i="6"/>
  <c r="AY219" i="6" s="1"/>
  <c r="AY207" i="6"/>
  <c r="AY205" i="6"/>
  <c r="AY208" i="6"/>
  <c r="AZ218" i="6"/>
  <c r="AZ217" i="6"/>
  <c r="AZ197" i="6"/>
  <c r="AZ174" i="6"/>
  <c r="AZ199" i="6"/>
  <c r="AZ206" i="6"/>
  <c r="AZ207" i="6"/>
  <c r="AZ205" i="6"/>
  <c r="AZ213" i="6"/>
  <c r="AY211" i="6"/>
  <c r="AZ211" i="6"/>
  <c r="AY203" i="6"/>
  <c r="AZ219" i="6" l="1"/>
  <c r="AY214" i="6"/>
  <c r="AZ214" i="6"/>
  <c r="AZ209" i="6"/>
  <c r="AY209" i="6"/>
  <c r="AY215" i="6" s="1"/>
  <c r="AY220" i="6" s="1"/>
  <c r="AZ215" i="6"/>
  <c r="AZ220" i="6" s="1"/>
  <c r="AY522" i="28" l="1"/>
  <c r="AZ479" i="28"/>
  <c r="AZ473" i="28"/>
  <c r="AZ441" i="28"/>
  <c r="AZ429" i="28"/>
  <c r="AY429" i="28"/>
  <c r="AZ413" i="28"/>
  <c r="AZ304" i="28"/>
  <c r="AY304" i="28"/>
  <c r="AZ298" i="28"/>
  <c r="AY298" i="28"/>
  <c r="AZ297" i="28"/>
  <c r="AY297" i="28"/>
  <c r="AZ256" i="28"/>
  <c r="AY256" i="28"/>
  <c r="AZ235" i="28"/>
  <c r="AZ236" i="28" s="1"/>
  <c r="AZ96" i="28"/>
  <c r="AZ95" i="28"/>
  <c r="AZ93" i="28"/>
  <c r="AZ89" i="28"/>
  <c r="AZ85" i="28"/>
  <c r="AZ81" i="28"/>
  <c r="AY68" i="28"/>
  <c r="AY67" i="28"/>
  <c r="AY65" i="28"/>
  <c r="AZ56" i="28"/>
  <c r="AZ74" i="28"/>
  <c r="AY23" i="28"/>
  <c r="AZ21" i="28"/>
  <c r="AY15" i="28"/>
  <c r="AZ13" i="28"/>
  <c r="AY7" i="28"/>
  <c r="AZ17" i="49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AY231" i="73"/>
  <c r="AX231" i="73"/>
  <c r="AY229" i="73"/>
  <c r="AX229" i="73"/>
  <c r="AY216" i="73"/>
  <c r="AY209" i="73"/>
  <c r="AY203" i="73"/>
  <c r="AX203" i="73"/>
  <c r="AY198" i="73"/>
  <c r="AX198" i="73"/>
  <c r="AY173" i="73"/>
  <c r="AX171" i="73"/>
  <c r="AY160" i="73"/>
  <c r="AY171" i="73" s="1"/>
  <c r="AY130" i="73"/>
  <c r="AX130" i="73"/>
  <c r="AY128" i="73"/>
  <c r="AY126" i="73"/>
  <c r="AX126" i="73"/>
  <c r="AY122" i="73"/>
  <c r="AX122" i="73"/>
  <c r="AY118" i="73"/>
  <c r="AY109" i="73"/>
  <c r="AY102" i="73"/>
  <c r="AY98" i="73"/>
  <c r="AY57" i="73"/>
  <c r="AY51" i="73"/>
  <c r="AY46" i="73"/>
  <c r="AY41" i="73"/>
  <c r="AY30" i="73"/>
  <c r="AY25" i="73"/>
  <c r="AY18" i="73"/>
  <c r="AZ58" i="28" s="1"/>
  <c r="AZ60" i="28" s="1"/>
  <c r="AX18" i="73"/>
  <c r="AY16" i="73"/>
  <c r="AY118" i="90" s="1"/>
  <c r="AY120" i="90" s="1"/>
  <c r="AY8" i="73"/>
  <c r="AX8" i="73"/>
  <c r="AX6" i="73" s="1"/>
  <c r="BC79" i="59"/>
  <c r="BC78" i="59"/>
  <c r="BC77" i="59"/>
  <c r="BB77" i="59"/>
  <c r="BB76" i="59"/>
  <c r="BC75" i="59"/>
  <c r="BB75" i="59"/>
  <c r="BC74" i="59"/>
  <c r="BB74" i="59"/>
  <c r="BC73" i="59"/>
  <c r="BB73" i="59"/>
  <c r="BC70" i="59"/>
  <c r="BB70" i="59"/>
  <c r="BC69" i="59"/>
  <c r="BB69" i="59"/>
  <c r="BC66" i="59"/>
  <c r="BB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B42" i="59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AY6" i="73" l="1"/>
  <c r="AZ46" i="28"/>
  <c r="AZ35" i="28" s="1"/>
  <c r="AY12" i="15"/>
  <c r="AY114" i="73"/>
  <c r="BB44" i="59"/>
  <c r="AX133" i="73"/>
  <c r="AZ414" i="28"/>
  <c r="AZ514" i="28"/>
  <c r="AY13" i="28"/>
  <c r="AY236" i="28" s="1"/>
  <c r="AZ506" i="28"/>
  <c r="AY21" i="28"/>
  <c r="AZ510" i="28"/>
  <c r="AY29" i="28"/>
  <c r="AY74" i="28" s="1"/>
  <c r="AY124" i="90"/>
  <c r="BB49" i="59"/>
  <c r="AY5" i="73"/>
  <c r="AY12" i="49"/>
  <c r="AZ299" i="28"/>
  <c r="BC49" i="59"/>
  <c r="AY133" i="73"/>
  <c r="BC44" i="59"/>
  <c r="AZ490" i="28"/>
  <c r="AZ505" i="28"/>
  <c r="AZ504" i="28"/>
  <c r="AZ97" i="28"/>
  <c r="AZ73" i="28"/>
  <c r="AZ511" i="28"/>
  <c r="AZ72" i="28"/>
  <c r="AZ507" i="28"/>
  <c r="AZ503" i="28"/>
  <c r="AZ67" i="28" l="1"/>
  <c r="AZ37" i="28"/>
  <c r="AZ75" i="28" s="1"/>
  <c r="AZ76" i="28" s="1"/>
  <c r="AZ48" i="28"/>
  <c r="AZ440" i="28"/>
  <c r="AZ471" i="28" s="1"/>
  <c r="AZ523" i="28" s="1"/>
  <c r="AY13" i="15"/>
  <c r="AY14" i="15" s="1"/>
  <c r="AY72" i="28"/>
  <c r="AY79" i="28" s="1"/>
  <c r="AY87" i="28"/>
  <c r="AY511" i="28" s="1"/>
  <c r="AY73" i="28"/>
  <c r="AZ522" i="28"/>
  <c r="AZ513" i="28"/>
  <c r="AZ98" i="28"/>
  <c r="AY299" i="28"/>
  <c r="AY414" i="28"/>
  <c r="AY505" i="28"/>
  <c r="AZ512" i="28"/>
  <c r="AZ69" i="28"/>
  <c r="AZ508" i="28"/>
  <c r="AZ501" i="28"/>
  <c r="AZ509" i="28"/>
  <c r="AZ500" i="28"/>
  <c r="AZ491" i="28" l="1"/>
  <c r="AZ515" i="28"/>
  <c r="AZ70" i="28"/>
  <c r="AY509" i="28"/>
  <c r="AZ494" i="28"/>
  <c r="AY83" i="28"/>
  <c r="AY501" i="28"/>
  <c r="AY500" i="28"/>
  <c r="AZ516" i="28"/>
  <c r="AY513" i="28"/>
  <c r="AY512" i="28"/>
  <c r="AZ495" i="28"/>
  <c r="AZ517" i="28"/>
  <c r="AY504" i="28"/>
  <c r="AY503" i="28"/>
  <c r="AY507" i="28" l="1"/>
  <c r="AY508" i="28"/>
  <c r="AY72" i="36"/>
  <c r="AY64" i="36" s="1"/>
  <c r="AY71" i="36"/>
  <c r="AY69" i="36"/>
  <c r="AY61" i="36" s="1"/>
  <c r="AY63" i="36" s="1"/>
  <c r="AY67" i="36"/>
  <c r="AY59" i="36" s="1"/>
  <c r="AY66" i="36"/>
  <c r="AZ64" i="36"/>
  <c r="AZ72" i="36" s="1"/>
  <c r="AZ62" i="36"/>
  <c r="AZ70" i="36" s="1"/>
  <c r="AZ61" i="36"/>
  <c r="AZ59" i="36"/>
  <c r="AZ67" i="36" s="1"/>
  <c r="AZ58" i="36"/>
  <c r="AZ66" i="36" s="1"/>
  <c r="AZ57" i="36"/>
  <c r="AZ17" i="36" s="1"/>
  <c r="BC55" i="59" s="1"/>
  <c r="AZ56" i="36"/>
  <c r="AZ16" i="36" s="1"/>
  <c r="AZ33" i="36"/>
  <c r="AZ40" i="36" s="1"/>
  <c r="AY33" i="36"/>
  <c r="AY29" i="36"/>
  <c r="AY28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Y68" i="36" l="1"/>
  <c r="AX7" i="15"/>
  <c r="BB79" i="59"/>
  <c r="AY56" i="36"/>
  <c r="AY89" i="9"/>
  <c r="BB54" i="59"/>
  <c r="BB6" i="59"/>
  <c r="AY13" i="49"/>
  <c r="AY14" i="49" s="1"/>
  <c r="AY15" i="49" s="1"/>
  <c r="AY16" i="49" s="1"/>
  <c r="AY19" i="49" s="1"/>
  <c r="AY20" i="49" s="1"/>
  <c r="AY57" i="36"/>
  <c r="AY90" i="9"/>
  <c r="AY19" i="9" s="1"/>
  <c r="BB55" i="59"/>
  <c r="AY58" i="36"/>
  <c r="AY60" i="36" s="1"/>
  <c r="AX6" i="15"/>
  <c r="BB78" i="59"/>
  <c r="AZ68" i="36"/>
  <c r="AZ63" i="36"/>
  <c r="AZ18" i="36"/>
  <c r="BC56" i="59" s="1"/>
  <c r="BC54" i="59"/>
  <c r="AZ13" i="36"/>
  <c r="BC40" i="59" s="1"/>
  <c r="BC37" i="59"/>
  <c r="AZ69" i="36"/>
  <c r="AZ71" i="36" s="1"/>
  <c r="AZ60" i="36"/>
  <c r="AZ28" i="21"/>
  <c r="AY27" i="21"/>
  <c r="AZ24" i="21"/>
  <c r="AZ25" i="21" s="1"/>
  <c r="AZ18" i="21"/>
  <c r="AZ15" i="21"/>
  <c r="AZ12" i="21"/>
  <c r="AY12" i="21"/>
  <c r="AY15" i="21" s="1"/>
  <c r="AZ19" i="36" l="1"/>
  <c r="BC57" i="59" s="1"/>
  <c r="AZ520" i="28"/>
  <c r="AZ521" i="28"/>
  <c r="AY91" i="9"/>
  <c r="AZ20" i="21"/>
  <c r="AY22" i="21"/>
  <c r="AY42" i="35" l="1"/>
  <c r="AY41" i="35"/>
  <c r="AZ40" i="35"/>
  <c r="AZ39" i="35"/>
  <c r="AY39" i="35"/>
  <c r="AZ36" i="35"/>
  <c r="AZ48" i="35" s="1"/>
  <c r="AY36" i="35"/>
  <c r="AY33" i="35"/>
  <c r="AZ32" i="35"/>
  <c r="AZ31" i="35"/>
  <c r="AZ30" i="35"/>
  <c r="AZ26" i="35"/>
  <c r="AZ34" i="36" s="1"/>
  <c r="AY26" i="35"/>
  <c r="AY21" i="35"/>
  <c r="AY26" i="9" s="1"/>
  <c r="AZ20" i="35"/>
  <c r="AY20" i="35"/>
  <c r="AZ19" i="35"/>
  <c r="AY19" i="35"/>
  <c r="AZ14" i="35"/>
  <c r="AZ5" i="36" s="1"/>
  <c r="AZ13" i="35"/>
  <c r="AZ11" i="35"/>
  <c r="AZ10" i="6" s="1"/>
  <c r="AY10" i="35"/>
  <c r="AY9" i="35"/>
  <c r="AY8" i="35"/>
  <c r="AZ7" i="35"/>
  <c r="AZ6" i="6" s="1"/>
  <c r="AZ6" i="35"/>
  <c r="AZ15" i="35" l="1"/>
  <c r="AY13" i="35"/>
  <c r="AY8" i="6"/>
  <c r="AY14" i="35"/>
  <c r="AY9" i="6"/>
  <c r="AY48" i="35"/>
  <c r="AY49" i="35" s="1"/>
  <c r="AY55" i="35" s="1"/>
  <c r="AY31" i="28"/>
  <c r="AY34" i="36"/>
  <c r="AY35" i="36" s="1"/>
  <c r="AY36" i="36" s="1"/>
  <c r="AY38" i="36" s="1"/>
  <c r="AY30" i="36" s="1"/>
  <c r="BB80" i="59" s="1"/>
  <c r="AY26" i="21"/>
  <c r="AY28" i="21" s="1"/>
  <c r="AZ41" i="36"/>
  <c r="AZ43" i="36" s="1"/>
  <c r="AZ31" i="36" s="1"/>
  <c r="AZ35" i="36"/>
  <c r="AZ36" i="36" s="1"/>
  <c r="AZ38" i="36" s="1"/>
  <c r="AZ30" i="36" s="1"/>
  <c r="BC80" i="59" s="1"/>
  <c r="AZ18" i="6"/>
  <c r="AZ16" i="6"/>
  <c r="AZ8" i="35"/>
  <c r="AZ5" i="6"/>
  <c r="AZ41" i="35"/>
  <c r="AZ97" i="11"/>
  <c r="AZ33" i="35"/>
  <c r="AZ37" i="35" s="1"/>
  <c r="AZ13" i="49"/>
  <c r="BC6" i="59"/>
  <c r="AY37" i="35"/>
  <c r="AY11" i="35"/>
  <c r="AY10" i="6" s="1"/>
  <c r="G157" i="7"/>
  <c r="G159" i="7" s="1"/>
  <c r="H157" i="7"/>
  <c r="H159" i="7" s="1"/>
  <c r="K157" i="7"/>
  <c r="K159" i="7" s="1"/>
  <c r="L157" i="7"/>
  <c r="L159" i="7" s="1"/>
  <c r="O157" i="7"/>
  <c r="O159" i="7" s="1"/>
  <c r="P157" i="7"/>
  <c r="P159" i="7" s="1"/>
  <c r="S157" i="7"/>
  <c r="S159" i="7" s="1"/>
  <c r="T157" i="7"/>
  <c r="T159" i="7" s="1"/>
  <c r="W157" i="7"/>
  <c r="W159" i="7" s="1"/>
  <c r="X157" i="7"/>
  <c r="X159" i="7" s="1"/>
  <c r="AC157" i="7"/>
  <c r="AC159" i="7" s="1"/>
  <c r="AD157" i="7"/>
  <c r="AD159" i="7" s="1"/>
  <c r="AG157" i="7"/>
  <c r="AG159" i="7" s="1"/>
  <c r="AH157" i="7"/>
  <c r="AH159" i="7" s="1"/>
  <c r="AK157" i="7"/>
  <c r="AK159" i="7" s="1"/>
  <c r="AL157" i="7"/>
  <c r="AL159" i="7" s="1"/>
  <c r="AQ157" i="7"/>
  <c r="AQ159" i="7" s="1"/>
  <c r="AR157" i="7"/>
  <c r="AR159" i="7" s="1"/>
  <c r="AU157" i="7"/>
  <c r="AU159" i="7" s="1"/>
  <c r="AV157" i="7"/>
  <c r="AV159" i="7" s="1"/>
  <c r="F157" i="7"/>
  <c r="F159" i="7" s="1"/>
  <c r="AY37" i="28" l="1"/>
  <c r="AY63" i="28"/>
  <c r="AY15" i="35"/>
  <c r="AZ7" i="6"/>
  <c r="AZ15" i="6"/>
  <c r="AZ17" i="6"/>
  <c r="AZ189" i="6"/>
  <c r="AZ194" i="6"/>
  <c r="F122" i="90"/>
  <c r="G122" i="90"/>
  <c r="J122" i="90"/>
  <c r="K122" i="90"/>
  <c r="N122" i="90"/>
  <c r="O122" i="90"/>
  <c r="R122" i="90"/>
  <c r="S122" i="90"/>
  <c r="V122" i="90"/>
  <c r="W122" i="90"/>
  <c r="AB122" i="90"/>
  <c r="AF122" i="90"/>
  <c r="AG122" i="90"/>
  <c r="AJ122" i="90"/>
  <c r="AK122" i="90"/>
  <c r="AP122" i="90"/>
  <c r="AQ122" i="90"/>
  <c r="AT122" i="90"/>
  <c r="AU122" i="90"/>
  <c r="BA122" i="90" s="1"/>
  <c r="AX122" i="90"/>
  <c r="F117" i="90"/>
  <c r="G117" i="90"/>
  <c r="H117" i="90"/>
  <c r="J117" i="90"/>
  <c r="K117" i="90"/>
  <c r="L117" i="90"/>
  <c r="N117" i="90"/>
  <c r="O117" i="90"/>
  <c r="P117" i="90"/>
  <c r="R117" i="90"/>
  <c r="S117" i="90"/>
  <c r="T117" i="90"/>
  <c r="V117" i="90"/>
  <c r="W117" i="90"/>
  <c r="X117" i="90"/>
  <c r="Z117" i="90"/>
  <c r="AB117" i="90"/>
  <c r="AC117" i="90"/>
  <c r="AD117" i="90"/>
  <c r="AF117" i="90"/>
  <c r="AG117" i="90"/>
  <c r="AH117" i="90"/>
  <c r="AJ117" i="90"/>
  <c r="AK117" i="90"/>
  <c r="AL117" i="90"/>
  <c r="AN117" i="90"/>
  <c r="AP117" i="90"/>
  <c r="AQ117" i="90"/>
  <c r="AR117" i="90"/>
  <c r="AT117" i="90"/>
  <c r="AU117" i="90"/>
  <c r="AV117" i="90"/>
  <c r="H118" i="90"/>
  <c r="J118" i="90"/>
  <c r="L118" i="90"/>
  <c r="N118" i="90"/>
  <c r="P118" i="90"/>
  <c r="R118" i="90"/>
  <c r="T118" i="90"/>
  <c r="V118" i="90"/>
  <c r="X118" i="90"/>
  <c r="Z118" i="90"/>
  <c r="AB118" i="90"/>
  <c r="AD118" i="90"/>
  <c r="AF118" i="90"/>
  <c r="AH118" i="90"/>
  <c r="AJ118" i="90"/>
  <c r="AL118" i="90"/>
  <c r="AN118" i="90"/>
  <c r="AP118" i="90"/>
  <c r="AR118" i="90"/>
  <c r="AT118" i="90"/>
  <c r="AV118" i="90"/>
  <c r="F106" i="90"/>
  <c r="G106" i="90"/>
  <c r="H106" i="90"/>
  <c r="J106" i="90"/>
  <c r="K106" i="90"/>
  <c r="L106" i="90"/>
  <c r="N106" i="90"/>
  <c r="O106" i="90"/>
  <c r="P106" i="90"/>
  <c r="R106" i="90"/>
  <c r="S106" i="90"/>
  <c r="T106" i="90"/>
  <c r="V106" i="90"/>
  <c r="W106" i="90"/>
  <c r="X106" i="90"/>
  <c r="Z106" i="90"/>
  <c r="AB106" i="90"/>
  <c r="AC106" i="90"/>
  <c r="AD106" i="90"/>
  <c r="AF106" i="90"/>
  <c r="AG106" i="90"/>
  <c r="AH106" i="90"/>
  <c r="AJ106" i="90"/>
  <c r="AK106" i="90"/>
  <c r="AL106" i="90"/>
  <c r="AN106" i="90"/>
  <c r="AP106" i="90"/>
  <c r="AQ106" i="90"/>
  <c r="AR106" i="90"/>
  <c r="AT106" i="90"/>
  <c r="AU106" i="90"/>
  <c r="BA106" i="90" s="1"/>
  <c r="AV106" i="90"/>
  <c r="AX106" i="90"/>
  <c r="AZ106" i="90"/>
  <c r="BB106" i="90"/>
  <c r="BD106" i="90"/>
  <c r="F107" i="90"/>
  <c r="G107" i="90"/>
  <c r="H107" i="90"/>
  <c r="J107" i="90"/>
  <c r="K107" i="90"/>
  <c r="L107" i="90"/>
  <c r="N107" i="90"/>
  <c r="O107" i="90"/>
  <c r="P107" i="90"/>
  <c r="R107" i="90"/>
  <c r="S107" i="90"/>
  <c r="T107" i="90"/>
  <c r="V107" i="90"/>
  <c r="W107" i="90"/>
  <c r="X107" i="90"/>
  <c r="Z107" i="90"/>
  <c r="AB107" i="90"/>
  <c r="AC107" i="90"/>
  <c r="AD107" i="90"/>
  <c r="AF107" i="90"/>
  <c r="AG107" i="90"/>
  <c r="AH107" i="90"/>
  <c r="AJ107" i="90"/>
  <c r="AK107" i="90"/>
  <c r="AL107" i="90"/>
  <c r="AN107" i="90"/>
  <c r="AP107" i="90"/>
  <c r="AQ107" i="90"/>
  <c r="AR107" i="90"/>
  <c r="AT107" i="90"/>
  <c r="AU107" i="90"/>
  <c r="BA107" i="90" s="1"/>
  <c r="AV107" i="90"/>
  <c r="AX107" i="90"/>
  <c r="AZ107" i="90"/>
  <c r="BB107" i="90"/>
  <c r="BD107" i="90"/>
  <c r="F108" i="90"/>
  <c r="G108" i="90"/>
  <c r="H108" i="90"/>
  <c r="I108" i="90"/>
  <c r="J108" i="90"/>
  <c r="K108" i="90"/>
  <c r="L108" i="90"/>
  <c r="M108" i="90"/>
  <c r="N108" i="90"/>
  <c r="O108" i="90"/>
  <c r="P108" i="90"/>
  <c r="Q108" i="90"/>
  <c r="R108" i="90"/>
  <c r="S108" i="90"/>
  <c r="T108" i="90"/>
  <c r="U108" i="90"/>
  <c r="V108" i="90"/>
  <c r="W108" i="90"/>
  <c r="X108" i="90"/>
  <c r="Y108" i="90"/>
  <c r="Z108" i="90"/>
  <c r="AA108" i="90"/>
  <c r="AB108" i="90"/>
  <c r="AC108" i="90"/>
  <c r="AD108" i="90"/>
  <c r="AE108" i="90"/>
  <c r="AF108" i="90"/>
  <c r="AG108" i="90"/>
  <c r="AH108" i="90"/>
  <c r="AI108" i="90"/>
  <c r="AJ108" i="90"/>
  <c r="AK108" i="90"/>
  <c r="AL108" i="90"/>
  <c r="AM108" i="90"/>
  <c r="AN108" i="90"/>
  <c r="AP108" i="90"/>
  <c r="AQ108" i="90"/>
  <c r="AR108" i="90"/>
  <c r="AT108" i="90"/>
  <c r="AU108" i="90"/>
  <c r="AV108" i="90"/>
  <c r="AX108" i="90"/>
  <c r="AZ108" i="90"/>
  <c r="BB108" i="90"/>
  <c r="BD108" i="90"/>
  <c r="F109" i="90"/>
  <c r="G109" i="90"/>
  <c r="H109" i="90"/>
  <c r="I109" i="90"/>
  <c r="J109" i="90"/>
  <c r="K109" i="90"/>
  <c r="L109" i="90"/>
  <c r="M109" i="90"/>
  <c r="N109" i="90"/>
  <c r="O109" i="90"/>
  <c r="P109" i="90"/>
  <c r="Q109" i="90"/>
  <c r="R109" i="90"/>
  <c r="S109" i="90"/>
  <c r="T109" i="90"/>
  <c r="U109" i="90"/>
  <c r="V109" i="90"/>
  <c r="W109" i="90"/>
  <c r="X109" i="90"/>
  <c r="Y109" i="90"/>
  <c r="Z109" i="90"/>
  <c r="AA109" i="90"/>
  <c r="AB109" i="90"/>
  <c r="AC109" i="90"/>
  <c r="AD109" i="90"/>
  <c r="AE109" i="90"/>
  <c r="AF109" i="90"/>
  <c r="AG109" i="90"/>
  <c r="AH109" i="90"/>
  <c r="AI109" i="90"/>
  <c r="AJ109" i="90"/>
  <c r="AK109" i="90"/>
  <c r="AL109" i="90"/>
  <c r="AM109" i="90"/>
  <c r="AN109" i="90"/>
  <c r="AP109" i="90"/>
  <c r="AQ109" i="90"/>
  <c r="AR109" i="90"/>
  <c r="AT109" i="90"/>
  <c r="AU109" i="90"/>
  <c r="BA109" i="90" s="1"/>
  <c r="AV109" i="90"/>
  <c r="AX109" i="90"/>
  <c r="AZ109" i="90"/>
  <c r="BB109" i="90"/>
  <c r="BD109" i="90"/>
  <c r="F110" i="90"/>
  <c r="G110" i="90"/>
  <c r="H110" i="90"/>
  <c r="I110" i="90"/>
  <c r="J110" i="90"/>
  <c r="K110" i="90"/>
  <c r="L110" i="90"/>
  <c r="M110" i="90"/>
  <c r="N110" i="90"/>
  <c r="O110" i="90"/>
  <c r="P110" i="90"/>
  <c r="Q110" i="90"/>
  <c r="R110" i="90"/>
  <c r="S110" i="90"/>
  <c r="T110" i="90"/>
  <c r="U110" i="90"/>
  <c r="V110" i="90"/>
  <c r="W110" i="90"/>
  <c r="X110" i="90"/>
  <c r="Y110" i="90"/>
  <c r="Z110" i="90"/>
  <c r="AA110" i="90"/>
  <c r="AB110" i="90"/>
  <c r="AC110" i="90"/>
  <c r="AD110" i="90"/>
  <c r="AE110" i="90"/>
  <c r="AF110" i="90"/>
  <c r="AG110" i="90"/>
  <c r="AH110" i="90"/>
  <c r="AI110" i="90"/>
  <c r="AJ110" i="90"/>
  <c r="AK110" i="90"/>
  <c r="AL110" i="90"/>
  <c r="AM110" i="90"/>
  <c r="AN110" i="90"/>
  <c r="AP110" i="90"/>
  <c r="AQ110" i="90"/>
  <c r="AR110" i="90"/>
  <c r="AT110" i="90"/>
  <c r="AU110" i="90"/>
  <c r="AV110" i="90"/>
  <c r="AX110" i="90"/>
  <c r="AZ110" i="90"/>
  <c r="BB110" i="90"/>
  <c r="BD110" i="90"/>
  <c r="F111" i="90"/>
  <c r="G111" i="90"/>
  <c r="H111" i="90"/>
  <c r="J111" i="90"/>
  <c r="K111" i="90"/>
  <c r="L111" i="90"/>
  <c r="N111" i="90"/>
  <c r="O111" i="90"/>
  <c r="P111" i="90"/>
  <c r="R111" i="90"/>
  <c r="S111" i="90"/>
  <c r="T111" i="90"/>
  <c r="V111" i="90"/>
  <c r="W111" i="90"/>
  <c r="X111" i="90"/>
  <c r="Z111" i="90"/>
  <c r="AB111" i="90"/>
  <c r="AC111" i="90"/>
  <c r="AD111" i="90"/>
  <c r="AF111" i="90"/>
  <c r="AG111" i="90"/>
  <c r="AH111" i="90"/>
  <c r="AJ111" i="90"/>
  <c r="AK111" i="90"/>
  <c r="AL111" i="90"/>
  <c r="AN111" i="90"/>
  <c r="AP111" i="90"/>
  <c r="AQ111" i="90"/>
  <c r="AR111" i="90"/>
  <c r="AT111" i="90"/>
  <c r="AU111" i="90"/>
  <c r="AV111" i="90"/>
  <c r="AX111" i="90"/>
  <c r="AZ111" i="90"/>
  <c r="BB111" i="90"/>
  <c r="BD111" i="90"/>
  <c r="F112" i="90"/>
  <c r="G112" i="90"/>
  <c r="H112" i="90"/>
  <c r="J112" i="90"/>
  <c r="K112" i="90"/>
  <c r="L112" i="90"/>
  <c r="N112" i="90"/>
  <c r="O112" i="90"/>
  <c r="P112" i="90"/>
  <c r="R112" i="90"/>
  <c r="S112" i="90"/>
  <c r="T112" i="90"/>
  <c r="V112" i="90"/>
  <c r="W112" i="90"/>
  <c r="X112" i="90"/>
  <c r="Z112" i="90"/>
  <c r="AB112" i="90"/>
  <c r="AC112" i="90"/>
  <c r="AD112" i="90"/>
  <c r="AF112" i="90"/>
  <c r="AG112" i="90"/>
  <c r="AH112" i="90"/>
  <c r="AJ112" i="90"/>
  <c r="AK112" i="90"/>
  <c r="AL112" i="90"/>
  <c r="AN112" i="90"/>
  <c r="AP112" i="90"/>
  <c r="AQ112" i="90"/>
  <c r="AR112" i="90"/>
  <c r="AT112" i="90"/>
  <c r="AU112" i="90"/>
  <c r="AV112" i="90"/>
  <c r="AX112" i="90"/>
  <c r="AZ112" i="90"/>
  <c r="BB112" i="90"/>
  <c r="BD112" i="90"/>
  <c r="F113" i="90"/>
  <c r="G113" i="90"/>
  <c r="H113" i="90"/>
  <c r="J113" i="90"/>
  <c r="K113" i="90"/>
  <c r="L113" i="90"/>
  <c r="N113" i="90"/>
  <c r="O113" i="90"/>
  <c r="P113" i="90"/>
  <c r="R113" i="90"/>
  <c r="S113" i="90"/>
  <c r="T113" i="90"/>
  <c r="V113" i="90"/>
  <c r="W113" i="90"/>
  <c r="X113" i="90"/>
  <c r="Z113" i="90"/>
  <c r="AB113" i="90"/>
  <c r="AC113" i="90"/>
  <c r="AD113" i="90"/>
  <c r="AF113" i="90"/>
  <c r="AG113" i="90"/>
  <c r="AH113" i="90"/>
  <c r="AJ113" i="90"/>
  <c r="AK113" i="90"/>
  <c r="AL113" i="90"/>
  <c r="AN113" i="90"/>
  <c r="AP113" i="90"/>
  <c r="AQ113" i="90"/>
  <c r="AR113" i="90"/>
  <c r="AT113" i="90"/>
  <c r="AU113" i="90"/>
  <c r="AV113" i="90"/>
  <c r="AX113" i="90"/>
  <c r="AZ113" i="90"/>
  <c r="BB113" i="90"/>
  <c r="BD113" i="90"/>
  <c r="F114" i="90"/>
  <c r="G114" i="90"/>
  <c r="H114" i="90"/>
  <c r="J114" i="90"/>
  <c r="K114" i="90"/>
  <c r="L114" i="90"/>
  <c r="N114" i="90"/>
  <c r="O114" i="90"/>
  <c r="P114" i="90"/>
  <c r="R114" i="90"/>
  <c r="S114" i="90"/>
  <c r="T114" i="90"/>
  <c r="V114" i="90"/>
  <c r="W114" i="90"/>
  <c r="X114" i="90"/>
  <c r="Z114" i="90"/>
  <c r="AB114" i="90"/>
  <c r="AC114" i="90"/>
  <c r="AD114" i="90"/>
  <c r="AF114" i="90"/>
  <c r="AG114" i="90"/>
  <c r="AH114" i="90"/>
  <c r="AJ114" i="90"/>
  <c r="AK114" i="90"/>
  <c r="AL114" i="90"/>
  <c r="AN114" i="90"/>
  <c r="AP114" i="90"/>
  <c r="AQ114" i="90"/>
  <c r="AR114" i="90"/>
  <c r="AT114" i="90"/>
  <c r="AU114" i="90"/>
  <c r="AV114" i="90"/>
  <c r="AX114" i="90"/>
  <c r="AZ114" i="90"/>
  <c r="BB114" i="90"/>
  <c r="BD114" i="90"/>
  <c r="E107" i="90"/>
  <c r="E108" i="90"/>
  <c r="E109" i="90"/>
  <c r="E110" i="90"/>
  <c r="E111" i="90"/>
  <c r="E112" i="90"/>
  <c r="E113" i="90"/>
  <c r="E114" i="90"/>
  <c r="E106" i="90"/>
  <c r="C107" i="90"/>
  <c r="C108" i="90"/>
  <c r="C109" i="90"/>
  <c r="C110" i="90"/>
  <c r="C111" i="90"/>
  <c r="C112" i="90"/>
  <c r="C113" i="90"/>
  <c r="C114" i="90"/>
  <c r="C106" i="90"/>
  <c r="BA117" i="90" l="1"/>
  <c r="BE112" i="90"/>
  <c r="BE110" i="90"/>
  <c r="BA108" i="90"/>
  <c r="BC108" i="90" s="1"/>
  <c r="BE111" i="90"/>
  <c r="AY69" i="28"/>
  <c r="BE107" i="90"/>
  <c r="BE109" i="90"/>
  <c r="BC109" i="90"/>
  <c r="BE108" i="90"/>
  <c r="BE106" i="90"/>
  <c r="BE114" i="90"/>
  <c r="BE113" i="90"/>
  <c r="BA114" i="90"/>
  <c r="BA113" i="90"/>
  <c r="BA112" i="90"/>
  <c r="BA111" i="90"/>
  <c r="BA110" i="90"/>
  <c r="BC110" i="90" s="1"/>
  <c r="AY75" i="28"/>
  <c r="AY491" i="28"/>
  <c r="AZ164" i="6"/>
  <c r="AZ19" i="6"/>
  <c r="AZ168" i="6"/>
  <c r="AL90" i="10"/>
  <c r="AY520" i="28" l="1"/>
  <c r="AY517" i="28"/>
  <c r="AY494" i="28"/>
  <c r="AY91" i="28"/>
  <c r="AY76" i="28"/>
  <c r="AZ37" i="6"/>
  <c r="AZ38" i="6"/>
  <c r="AZ40" i="6"/>
  <c r="AZ39" i="6"/>
  <c r="AZ81" i="6"/>
  <c r="AZ84" i="6"/>
  <c r="AU91" i="77"/>
  <c r="AU90" i="77"/>
  <c r="AU89" i="77"/>
  <c r="AQ91" i="77"/>
  <c r="AQ90" i="77"/>
  <c r="AQ89" i="77"/>
  <c r="AK82" i="77"/>
  <c r="AK81" i="77"/>
  <c r="AK80" i="77"/>
  <c r="AK79" i="77"/>
  <c r="AG82" i="77"/>
  <c r="AG81" i="77"/>
  <c r="AG80" i="77"/>
  <c r="AG79" i="77"/>
  <c r="AC82" i="77"/>
  <c r="AC81" i="77"/>
  <c r="AC80" i="77"/>
  <c r="AC79" i="77"/>
  <c r="AU82" i="77"/>
  <c r="AU81" i="77"/>
  <c r="AU80" i="77"/>
  <c r="AU79" i="77"/>
  <c r="AQ82" i="77"/>
  <c r="AQ81" i="77"/>
  <c r="AQ80" i="77"/>
  <c r="AQ79" i="77"/>
  <c r="AY521" i="28" l="1"/>
  <c r="AY516" i="28"/>
  <c r="AY95" i="28"/>
  <c r="AY515" i="28"/>
  <c r="AY495" i="28"/>
  <c r="AZ41" i="6"/>
  <c r="AU15" i="72" l="1"/>
  <c r="BC15" i="72" s="1"/>
  <c r="AW217" i="73" l="1"/>
  <c r="BE217" i="73" s="1"/>
  <c r="AU216" i="73"/>
  <c r="BA216" i="73" s="1"/>
  <c r="AW221" i="73"/>
  <c r="BE221" i="73" s="1"/>
  <c r="AW216" i="73" l="1"/>
  <c r="BE216" i="73" s="1"/>
  <c r="BA19" i="71" l="1"/>
  <c r="AW19" i="71"/>
  <c r="AU19" i="71"/>
  <c r="AU22" i="71"/>
  <c r="P125" i="10" l="1"/>
  <c r="T75" i="10"/>
  <c r="T71" i="10"/>
  <c r="AH143" i="10"/>
  <c r="AH12" i="10"/>
  <c r="AL113" i="10"/>
  <c r="AL104" i="10"/>
  <c r="AL152" i="10"/>
  <c r="AL144" i="10"/>
  <c r="AL24" i="10"/>
  <c r="AL146" i="10"/>
  <c r="AL67" i="10"/>
  <c r="AL57" i="10" l="1"/>
  <c r="AL56" i="10"/>
  <c r="AV56" i="10"/>
  <c r="AX109" i="9" l="1"/>
  <c r="AW71" i="83" l="1"/>
  <c r="AW4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27" i="83"/>
  <c r="AW28" i="83"/>
  <c r="AW30" i="83"/>
  <c r="AW31" i="83"/>
  <c r="AW32" i="83"/>
  <c r="AW33" i="83"/>
  <c r="AW34" i="83"/>
  <c r="AW35" i="83"/>
  <c r="AW36" i="83"/>
  <c r="AW37" i="83"/>
  <c r="AW39" i="83"/>
  <c r="AW40" i="83"/>
  <c r="AW41" i="83"/>
  <c r="AW42" i="83"/>
  <c r="AW43" i="83"/>
  <c r="AW44" i="83"/>
  <c r="AW46" i="83"/>
  <c r="AW47" i="83"/>
  <c r="AW48" i="83"/>
  <c r="AW49" i="83"/>
  <c r="AW50" i="83"/>
  <c r="AW52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68" i="83"/>
  <c r="AW70" i="83"/>
  <c r="AW72" i="83"/>
  <c r="AW73" i="83"/>
  <c r="AW74" i="83"/>
  <c r="AW75" i="83"/>
  <c r="AW45" i="83" l="1"/>
  <c r="AW69" i="83"/>
  <c r="AW51" i="83"/>
  <c r="AW76" i="83"/>
  <c r="AR154" i="10" l="1"/>
  <c r="AR104" i="10"/>
  <c r="AR24" i="10"/>
  <c r="AR144" i="10"/>
  <c r="AR32" i="10"/>
  <c r="AV32" i="10" l="1"/>
  <c r="AV25" i="10"/>
  <c r="AV12" i="10"/>
  <c r="AW9" i="83" s="1"/>
  <c r="AV9" i="10"/>
  <c r="AW29" i="83" s="1"/>
  <c r="AV67" i="10"/>
  <c r="AW24" i="83" s="1"/>
  <c r="AW38" i="83" l="1"/>
  <c r="AW77" i="83" s="1"/>
  <c r="AU37" i="27"/>
  <c r="AU35" i="27"/>
  <c r="AU29" i="27"/>
  <c r="AU28" i="27"/>
  <c r="AU27" i="27"/>
  <c r="AU20" i="27"/>
  <c r="AU19" i="27"/>
  <c r="AU18" i="27"/>
  <c r="AT21" i="27"/>
  <c r="AT39" i="27" l="1"/>
  <c r="AU36" i="27"/>
  <c r="AU39" i="27" s="1"/>
  <c r="AT33" i="27"/>
  <c r="AU26" i="27"/>
  <c r="AU33" i="27" s="1"/>
  <c r="AU22" i="27"/>
  <c r="AU21" i="27"/>
  <c r="AU24" i="27"/>
  <c r="AT18" i="27"/>
  <c r="AT24" i="27" s="1"/>
  <c r="AV28" i="22" l="1"/>
  <c r="AV24" i="22"/>
  <c r="AV26" i="22" s="1"/>
  <c r="AV23" i="22"/>
  <c r="AV14" i="22"/>
  <c r="AV10" i="22"/>
  <c r="AV12" i="22" s="1"/>
  <c r="AV9" i="22"/>
  <c r="CK30" i="71" l="1"/>
  <c r="CM30" i="71" l="1"/>
  <c r="CU30" i="71"/>
  <c r="CQ30" i="71"/>
  <c r="CS30" i="71" s="1"/>
  <c r="AS73" i="73"/>
  <c r="AW73" i="73" s="1"/>
  <c r="BE73" i="73" s="1"/>
  <c r="AS74" i="73"/>
  <c r="AW74" i="73" s="1"/>
  <c r="BE74" i="73" s="1"/>
  <c r="AS53" i="73"/>
  <c r="AW53" i="73" s="1"/>
  <c r="BE53" i="73" s="1"/>
  <c r="AW85" i="73" l="1"/>
  <c r="BE85" i="73" s="1"/>
  <c r="AW82" i="73"/>
  <c r="BE82" i="73" s="1"/>
  <c r="AW34" i="73"/>
  <c r="BE34" i="73" s="1"/>
  <c r="AW214" i="73"/>
  <c r="BE214" i="73" s="1"/>
  <c r="AW146" i="73"/>
  <c r="BE146" i="73" s="1"/>
  <c r="AV473" i="28" l="1"/>
  <c r="AX476" i="28"/>
  <c r="BF476" i="28" s="1"/>
  <c r="BH476" i="28" s="1"/>
  <c r="AX475" i="28"/>
  <c r="BF475" i="28" s="1"/>
  <c r="BH475" i="28" s="1"/>
  <c r="AX109" i="28" l="1"/>
  <c r="BF109" i="28" s="1"/>
  <c r="BH109" i="28" s="1"/>
  <c r="AW194" i="73" l="1"/>
  <c r="AW195" i="73"/>
  <c r="BE195" i="73" s="1"/>
  <c r="BE194" i="73" l="1"/>
  <c r="BE193" i="73" s="1"/>
  <c r="AW193" i="73"/>
  <c r="AV64" i="11"/>
  <c r="AX21" i="10"/>
  <c r="AX22" i="10"/>
  <c r="BF22" i="10" s="1"/>
  <c r="BI22" i="10" s="1"/>
  <c r="BF21" i="10" l="1"/>
  <c r="BI21" i="10" s="1"/>
  <c r="AU72" i="36"/>
  <c r="AU71" i="36"/>
  <c r="AU69" i="36"/>
  <c r="AU61" i="36" s="1"/>
  <c r="AU63" i="36" s="1"/>
  <c r="AU67" i="36"/>
  <c r="AU59" i="36" s="1"/>
  <c r="AU66" i="36"/>
  <c r="AV64" i="36"/>
  <c r="AV72" i="36" s="1"/>
  <c r="AU64" i="36"/>
  <c r="AV62" i="36"/>
  <c r="AV70" i="36" s="1"/>
  <c r="AV61" i="36"/>
  <c r="AV59" i="36"/>
  <c r="AV67" i="36" s="1"/>
  <c r="AV58" i="36"/>
  <c r="AV66" i="36" s="1"/>
  <c r="AV56" i="36"/>
  <c r="AV33" i="36"/>
  <c r="AU33" i="36"/>
  <c r="AU29" i="36"/>
  <c r="AU28" i="36"/>
  <c r="AU23" i="36"/>
  <c r="AU22" i="36"/>
  <c r="AU21" i="36"/>
  <c r="AU17" i="36"/>
  <c r="AV16" i="36"/>
  <c r="AU16" i="36"/>
  <c r="AU13" i="36"/>
  <c r="AV12" i="36"/>
  <c r="AV11" i="36"/>
  <c r="AV10" i="36"/>
  <c r="AU9" i="36"/>
  <c r="AU8" i="36"/>
  <c r="AU7" i="36"/>
  <c r="AU5" i="36"/>
  <c r="AU68" i="36" l="1"/>
  <c r="AU56" i="36"/>
  <c r="AV63" i="36"/>
  <c r="AU57" i="36"/>
  <c r="AU58" i="36"/>
  <c r="AU60" i="36" s="1"/>
  <c r="AV13" i="36"/>
  <c r="AV68" i="36"/>
  <c r="AV69" i="36"/>
  <c r="AV71" i="36" s="1"/>
  <c r="AV40" i="36"/>
  <c r="AV60" i="36"/>
  <c r="AV19" i="36" l="1"/>
  <c r="AV109" i="8" l="1"/>
  <c r="AV110" i="8" s="1"/>
  <c r="AV94" i="8"/>
  <c r="AV91" i="8"/>
  <c r="AV89" i="8"/>
  <c r="AV88" i="8"/>
  <c r="AU87" i="8"/>
  <c r="AU82" i="8"/>
  <c r="AV80" i="8"/>
  <c r="AV76" i="8"/>
  <c r="AU75" i="8"/>
  <c r="AU74" i="8"/>
  <c r="AU73" i="8"/>
  <c r="AU72" i="8"/>
  <c r="AU71" i="8"/>
  <c r="AV68" i="8"/>
  <c r="AV66" i="8"/>
  <c r="AV64" i="8"/>
  <c r="AV61" i="8"/>
  <c r="AV58" i="8"/>
  <c r="AV62" i="8" s="1"/>
  <c r="AU52" i="8"/>
  <c r="AV49" i="8"/>
  <c r="AU49" i="8"/>
  <c r="AU46" i="8"/>
  <c r="AU45" i="8"/>
  <c r="AU44" i="8"/>
  <c r="AU43" i="8"/>
  <c r="AU41" i="8"/>
  <c r="AU40" i="8"/>
  <c r="AU39" i="8"/>
  <c r="AV26" i="8"/>
  <c r="AV17" i="8"/>
  <c r="AU17" i="8"/>
  <c r="AU15" i="8"/>
  <c r="AU14" i="8"/>
  <c r="AV13" i="8"/>
  <c r="AU13" i="8"/>
  <c r="AV6" i="8"/>
  <c r="AU6" i="8"/>
  <c r="AU27" i="8" s="1"/>
  <c r="AU24" i="8" l="1"/>
  <c r="AU23" i="8"/>
  <c r="AV16" i="8"/>
  <c r="AU16" i="8"/>
  <c r="AU42" i="8"/>
  <c r="AU50" i="8"/>
  <c r="AU51" i="8" s="1"/>
  <c r="AV65" i="8"/>
  <c r="AV67" i="8"/>
  <c r="AV37" i="8" s="1"/>
  <c r="AV69" i="8"/>
  <c r="AV36" i="8" s="1"/>
  <c r="AV59" i="8"/>
  <c r="AV82" i="8"/>
  <c r="AV92" i="8"/>
  <c r="AV52" i="8"/>
  <c r="AV121" i="8" s="1"/>
  <c r="AU25" i="8"/>
  <c r="AU28" i="8"/>
  <c r="AV47" i="8"/>
  <c r="AV50" i="8"/>
  <c r="AV78" i="8" s="1"/>
  <c r="AU65" i="8"/>
  <c r="AU85" i="8"/>
  <c r="AU29" i="8"/>
  <c r="AV39" i="8"/>
  <c r="AV41" i="8"/>
  <c r="AV43" i="8"/>
  <c r="AV136" i="8" s="1"/>
  <c r="AV45" i="8"/>
  <c r="AU59" i="8"/>
  <c r="AV86" i="8"/>
  <c r="AV111" i="8"/>
  <c r="AV112" i="8" s="1"/>
  <c r="AV53" i="8" s="1"/>
  <c r="AV123" i="8" s="1"/>
  <c r="AU30" i="8"/>
  <c r="AU31" i="8"/>
  <c r="AV40" i="8"/>
  <c r="AV44" i="8"/>
  <c r="AV137" i="8" s="1"/>
  <c r="AV46" i="8"/>
  <c r="AV138" i="8" s="1"/>
  <c r="AU130" i="26"/>
  <c r="AT130" i="26"/>
  <c r="AU114" i="26"/>
  <c r="AT112" i="26"/>
  <c r="AT110" i="26"/>
  <c r="AT108" i="26"/>
  <c r="AT106" i="26"/>
  <c r="AT104" i="26"/>
  <c r="AT102" i="26"/>
  <c r="AT100" i="26"/>
  <c r="AT98" i="26"/>
  <c r="AU94" i="26"/>
  <c r="AT91" i="26"/>
  <c r="AT89" i="26"/>
  <c r="AT87" i="26"/>
  <c r="AT85" i="26"/>
  <c r="AU83" i="26"/>
  <c r="AU82" i="26"/>
  <c r="AT80" i="26"/>
  <c r="AT78" i="26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T48" i="26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T11" i="26"/>
  <c r="AT9" i="26"/>
  <c r="AU31" i="15"/>
  <c r="AU30" i="15"/>
  <c r="AU29" i="15"/>
  <c r="AU25" i="15"/>
  <c r="AU24" i="15"/>
  <c r="AU23" i="15"/>
  <c r="AU22" i="15"/>
  <c r="AU21" i="15"/>
  <c r="AT19" i="15"/>
  <c r="AU18" i="15"/>
  <c r="AT18" i="15"/>
  <c r="AU15" i="15"/>
  <c r="AT12" i="15"/>
  <c r="AT13" i="15" s="1"/>
  <c r="AU11" i="15"/>
  <c r="AU10" i="15"/>
  <c r="AU9" i="15"/>
  <c r="AT9" i="15"/>
  <c r="AU8" i="15"/>
  <c r="AT8" i="15"/>
  <c r="AU7" i="15"/>
  <c r="AT7" i="15"/>
  <c r="AU6" i="15"/>
  <c r="AT6" i="15"/>
  <c r="AU5" i="15"/>
  <c r="AT5" i="15"/>
  <c r="AV122" i="8" l="1"/>
  <c r="AV126" i="8"/>
  <c r="AV127" i="8" s="1"/>
  <c r="AV139" i="8"/>
  <c r="AV124" i="8"/>
  <c r="AV73" i="8"/>
  <c r="AV51" i="8"/>
  <c r="AU63" i="8"/>
  <c r="AU89" i="8"/>
  <c r="AU109" i="8"/>
  <c r="AU110" i="8" s="1"/>
  <c r="AV63" i="8"/>
  <c r="AV35" i="8" s="1"/>
  <c r="AT50" i="26"/>
  <c r="AT57" i="26" s="1"/>
  <c r="AU88" i="8"/>
  <c r="AU57" i="26"/>
  <c r="AU34" i="8"/>
  <c r="AV74" i="8"/>
  <c r="AU19" i="26"/>
  <c r="AV72" i="8"/>
  <c r="AT15" i="15"/>
  <c r="AT16" i="15" s="1"/>
  <c r="AV34" i="8"/>
  <c r="AU32" i="15"/>
  <c r="AU36" i="15" s="1"/>
  <c r="AU16" i="15" s="1"/>
  <c r="AU17" i="15" s="1"/>
  <c r="AU26" i="8"/>
  <c r="AV42" i="8"/>
  <c r="AU69" i="8"/>
  <c r="AU67" i="8"/>
  <c r="AT94" i="26"/>
  <c r="AT83" i="26"/>
  <c r="AT82" i="26"/>
  <c r="AT114" i="26"/>
  <c r="AT75" i="26"/>
  <c r="AT45" i="26"/>
  <c r="AT12" i="26"/>
  <c r="AU13" i="26"/>
  <c r="AU18" i="26"/>
  <c r="AU51" i="26"/>
  <c r="AU56" i="26"/>
  <c r="AT74" i="17"/>
  <c r="AT56" i="26" l="1"/>
  <c r="AV71" i="8"/>
  <c r="AT51" i="26"/>
  <c r="AV70" i="8"/>
  <c r="AV131" i="8"/>
  <c r="AV144" i="8" s="1"/>
  <c r="AV130" i="8"/>
  <c r="AV132" i="8"/>
  <c r="AV145" i="8" s="1"/>
  <c r="AU111" i="8"/>
  <c r="AU112" i="8" s="1"/>
  <c r="AU37" i="8"/>
  <c r="AU35" i="8"/>
  <c r="AU36" i="8"/>
  <c r="AT13" i="26"/>
  <c r="AT19" i="26"/>
  <c r="AT18" i="26"/>
  <c r="AT117" i="17"/>
  <c r="AT115" i="17"/>
  <c r="AU87" i="17"/>
  <c r="AU86" i="17"/>
  <c r="AU85" i="17"/>
  <c r="AU84" i="17"/>
  <c r="AU83" i="17"/>
  <c r="AT83" i="17"/>
  <c r="AU79" i="17"/>
  <c r="AT79" i="17"/>
  <c r="AU74" i="17"/>
  <c r="AU67" i="17"/>
  <c r="AU69" i="17" s="1"/>
  <c r="AT67" i="17"/>
  <c r="AT69" i="17" s="1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45" i="17" s="1"/>
  <c r="AT44" i="17"/>
  <c r="AU43" i="17"/>
  <c r="AU41" i="17"/>
  <c r="AU39" i="17"/>
  <c r="AU26" i="17"/>
  <c r="AU22" i="17"/>
  <c r="AU16" i="17" s="1"/>
  <c r="AU31" i="17" s="1"/>
  <c r="AT21" i="17"/>
  <c r="AT19" i="17"/>
  <c r="AT18" i="17"/>
  <c r="AT16" i="17"/>
  <c r="AT30" i="17" s="1"/>
  <c r="AT15" i="17"/>
  <c r="AU14" i="17"/>
  <c r="AU12" i="17"/>
  <c r="AU9" i="17"/>
  <c r="AU13" i="17" s="1"/>
  <c r="AT9" i="17"/>
  <c r="AT11" i="17" s="1"/>
  <c r="AT59" i="17" l="1"/>
  <c r="AV133" i="8"/>
  <c r="AV146" i="8" s="1"/>
  <c r="AV143" i="8"/>
  <c r="AT22" i="17"/>
  <c r="AT32" i="17" s="1"/>
  <c r="AT119" i="17"/>
  <c r="AT50" i="17"/>
  <c r="AT114" i="17" s="1"/>
  <c r="AU33" i="17"/>
  <c r="AU117" i="17"/>
  <c r="AT60" i="17"/>
  <c r="AT62" i="17"/>
  <c r="AU11" i="17"/>
  <c r="AU30" i="17"/>
  <c r="AU32" i="17"/>
  <c r="AU34" i="17"/>
  <c r="AU50" i="17"/>
  <c r="AT116" i="17"/>
  <c r="AU15" i="17"/>
  <c r="AU62" i="17"/>
  <c r="AU116" i="17"/>
  <c r="AZ96" i="38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Z92" i="38" s="1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U91" i="8" s="1"/>
  <c r="AU92" i="8" s="1"/>
  <c r="AY22" i="38"/>
  <c r="AY21" i="38"/>
  <c r="AY20" i="38"/>
  <c r="AZ19" i="38"/>
  <c r="AY15" i="38"/>
  <c r="AY14" i="38"/>
  <c r="AZ13" i="38"/>
  <c r="AY12" i="38"/>
  <c r="AY11" i="38"/>
  <c r="AY10" i="38"/>
  <c r="AY9" i="38"/>
  <c r="AY8" i="38"/>
  <c r="AY7" i="38"/>
  <c r="AZ6" i="38"/>
  <c r="AZ55" i="38" s="1"/>
  <c r="AS46" i="72"/>
  <c r="AS38" i="72"/>
  <c r="AS25" i="72"/>
  <c r="AS18" i="72"/>
  <c r="CK55" i="71"/>
  <c r="CK54" i="71"/>
  <c r="AU84" i="90" s="1"/>
  <c r="CK53" i="71"/>
  <c r="CK52" i="71"/>
  <c r="CK51" i="71"/>
  <c r="CK50" i="71"/>
  <c r="AU83" i="90" s="1"/>
  <c r="CK49" i="71"/>
  <c r="AU82" i="90" s="1"/>
  <c r="CK48" i="71"/>
  <c r="AU81" i="90" s="1"/>
  <c r="CK47" i="71"/>
  <c r="AU80" i="90" s="1"/>
  <c r="CK46" i="71"/>
  <c r="AU79" i="90" s="1"/>
  <c r="CK45" i="71"/>
  <c r="CK44" i="71"/>
  <c r="AU78" i="90" s="1"/>
  <c r="CK43" i="71"/>
  <c r="CK42" i="71"/>
  <c r="AU77" i="90" s="1"/>
  <c r="CK41" i="71"/>
  <c r="AU76" i="90" s="1"/>
  <c r="CK40" i="71"/>
  <c r="CK39" i="71"/>
  <c r="CK38" i="71"/>
  <c r="CK37" i="71"/>
  <c r="AU74" i="90" s="1"/>
  <c r="CK36" i="71"/>
  <c r="CK35" i="71"/>
  <c r="CK34" i="71"/>
  <c r="CK33" i="71"/>
  <c r="CK32" i="71"/>
  <c r="CK31" i="71"/>
  <c r="CK29" i="71"/>
  <c r="CK28" i="71"/>
  <c r="CK27" i="71"/>
  <c r="CK26" i="71"/>
  <c r="AU73" i="90" s="1"/>
  <c r="CK25" i="71"/>
  <c r="CK24" i="71"/>
  <c r="CK23" i="71"/>
  <c r="CK22" i="71"/>
  <c r="AU72" i="90" s="1"/>
  <c r="CK21" i="71"/>
  <c r="AU71" i="90" s="1"/>
  <c r="CK20" i="71"/>
  <c r="AU70" i="90" s="1"/>
  <c r="CK19" i="71"/>
  <c r="AU69" i="90" s="1"/>
  <c r="CK18" i="71"/>
  <c r="CK17" i="71"/>
  <c r="CK16" i="71"/>
  <c r="CK15" i="71"/>
  <c r="CK14" i="71"/>
  <c r="CK13" i="71"/>
  <c r="CK12" i="71"/>
  <c r="CK11" i="71"/>
  <c r="CK10" i="71"/>
  <c r="CK9" i="71"/>
  <c r="AU68" i="90" s="1"/>
  <c r="CK8" i="71"/>
  <c r="CK7" i="71"/>
  <c r="AT34" i="17" l="1"/>
  <c r="AY43" i="38"/>
  <c r="AT54" i="17"/>
  <c r="AT31" i="17"/>
  <c r="AZ68" i="38"/>
  <c r="AZ62" i="38"/>
  <c r="AY35" i="38"/>
  <c r="AY13" i="38"/>
  <c r="AY19" i="38"/>
  <c r="AU54" i="17"/>
  <c r="AU114" i="17"/>
  <c r="AU118" i="17" s="1"/>
  <c r="AU51" i="17"/>
  <c r="AT118" i="17"/>
  <c r="AY89" i="38"/>
  <c r="AY40" i="38"/>
  <c r="AY67" i="38"/>
  <c r="AY66" i="38" s="1"/>
  <c r="AY65" i="38"/>
  <c r="AY6" i="38"/>
  <c r="AZ40" i="38"/>
  <c r="AZ89" i="38" s="1"/>
  <c r="AZ18" i="38"/>
  <c r="AZ16" i="38"/>
  <c r="AS49" i="72"/>
  <c r="AS51" i="72" s="1"/>
  <c r="AY18" i="38" l="1"/>
  <c r="AY17" i="38" s="1"/>
  <c r="AV26" i="36"/>
  <c r="AY16" i="38"/>
  <c r="AZ67" i="38"/>
  <c r="AU55" i="17"/>
  <c r="AU115" i="17"/>
  <c r="AU119" i="17" s="1"/>
  <c r="AY98" i="38"/>
  <c r="AY49" i="38"/>
  <c r="AZ17" i="38"/>
  <c r="AZ49" i="38" s="1"/>
  <c r="AZ65" i="38"/>
  <c r="AZ66" i="38" l="1"/>
  <c r="AZ98" i="38" s="1"/>
  <c r="AW157" i="45"/>
  <c r="AW156" i="45"/>
  <c r="AW154" i="45"/>
  <c r="AW148" i="45"/>
  <c r="AW143" i="45"/>
  <c r="AW142" i="45"/>
  <c r="AV142" i="45"/>
  <c r="AW141" i="45"/>
  <c r="AW140" i="45"/>
  <c r="AW138" i="45"/>
  <c r="AV138" i="45"/>
  <c r="AW136" i="45"/>
  <c r="AV136" i="45"/>
  <c r="AW134" i="45"/>
  <c r="AV134" i="45"/>
  <c r="AW131" i="45"/>
  <c r="AV131" i="45"/>
  <c r="AW129" i="45"/>
  <c r="AW126" i="45" s="1"/>
  <c r="AW122" i="45"/>
  <c r="AW159" i="45" s="1"/>
  <c r="AW121" i="45"/>
  <c r="AW123" i="45" s="1"/>
  <c r="AV23" i="36" s="1"/>
  <c r="AV121" i="45"/>
  <c r="AW120" i="45"/>
  <c r="AW158" i="45" s="1"/>
  <c r="AW160" i="45" s="1"/>
  <c r="AV91" i="11"/>
  <c r="AV89" i="11"/>
  <c r="AV83" i="11"/>
  <c r="AV78" i="11"/>
  <c r="AV77" i="11"/>
  <c r="AU77" i="11"/>
  <c r="AV76" i="11"/>
  <c r="AV75" i="11"/>
  <c r="AV73" i="11"/>
  <c r="AU73" i="11"/>
  <c r="AV71" i="11"/>
  <c r="AU71" i="11"/>
  <c r="AV69" i="11"/>
  <c r="AU69" i="11"/>
  <c r="AV66" i="11"/>
  <c r="AU66" i="11"/>
  <c r="AV61" i="11"/>
  <c r="AV59" i="11"/>
  <c r="AV57" i="11"/>
  <c r="AV93" i="11" s="1"/>
  <c r="AV56" i="11"/>
  <c r="AU56" i="11"/>
  <c r="AU58" i="11" s="1"/>
  <c r="AV55" i="11"/>
  <c r="AV92" i="11" s="1"/>
  <c r="AU55" i="11"/>
  <c r="AU74" i="11" l="1"/>
  <c r="AW155" i="45"/>
  <c r="AV132" i="45"/>
  <c r="AW132" i="45"/>
  <c r="AV123" i="45"/>
  <c r="AV84" i="11"/>
  <c r="AV67" i="11"/>
  <c r="AV58" i="11"/>
  <c r="AV22" i="36" s="1"/>
  <c r="AU67" i="11"/>
  <c r="AV120" i="45"/>
  <c r="AV139" i="45"/>
  <c r="AV60" i="11"/>
  <c r="AW139" i="45"/>
  <c r="AV124" i="45"/>
  <c r="AW149" i="45"/>
  <c r="AW124" i="45"/>
  <c r="AW125" i="45" s="1"/>
  <c r="AV144" i="45"/>
  <c r="AW150" i="45"/>
  <c r="AW144" i="45"/>
  <c r="AV74" i="11"/>
  <c r="AV94" i="11"/>
  <c r="AU79" i="11"/>
  <c r="AV85" i="11"/>
  <c r="AU97" i="11"/>
  <c r="AV79" i="11"/>
  <c r="AV90" i="11"/>
  <c r="AV190" i="10" l="1"/>
  <c r="AV188" i="10"/>
  <c r="AV182" i="10"/>
  <c r="AV177" i="10"/>
  <c r="AV176" i="10"/>
  <c r="AU176" i="10"/>
  <c r="AV175" i="10"/>
  <c r="AV174" i="10"/>
  <c r="AV172" i="10"/>
  <c r="AU172" i="10"/>
  <c r="AV170" i="10"/>
  <c r="AU170" i="10"/>
  <c r="AV168" i="10"/>
  <c r="AU168" i="10"/>
  <c r="AV165" i="10"/>
  <c r="AU165" i="10"/>
  <c r="AV160" i="10"/>
  <c r="AU159" i="10"/>
  <c r="AV158" i="10"/>
  <c r="AV210" i="10" s="1"/>
  <c r="AU104" i="9"/>
  <c r="AU102" i="9"/>
  <c r="AU101" i="9"/>
  <c r="AV99" i="9"/>
  <c r="AU99" i="9"/>
  <c r="AV98" i="9"/>
  <c r="AV97" i="9"/>
  <c r="AV93" i="9"/>
  <c r="AU90" i="9"/>
  <c r="AU89" i="9"/>
  <c r="AU76" i="9"/>
  <c r="AU77" i="9" s="1"/>
  <c r="AU74" i="9"/>
  <c r="AV60" i="9"/>
  <c r="AV57" i="9"/>
  <c r="AU53" i="9"/>
  <c r="AU52" i="9"/>
  <c r="AU51" i="9"/>
  <c r="AU47" i="9"/>
  <c r="AV46" i="9"/>
  <c r="AV36" i="9"/>
  <c r="AV48" i="9" s="1"/>
  <c r="AV35" i="9"/>
  <c r="AV47" i="9" s="1"/>
  <c r="AV34" i="9"/>
  <c r="AV31" i="9"/>
  <c r="AV25" i="9"/>
  <c r="AU24" i="9"/>
  <c r="AU22" i="9"/>
  <c r="AV19" i="9"/>
  <c r="AV57" i="36" s="1"/>
  <c r="AV17" i="36" s="1"/>
  <c r="AV18" i="36" s="1"/>
  <c r="AV10" i="9"/>
  <c r="AV5" i="9"/>
  <c r="AV33" i="22" s="1"/>
  <c r="AU5" i="9"/>
  <c r="AU166" i="10" l="1"/>
  <c r="AV183" i="10"/>
  <c r="AV166" i="10"/>
  <c r="AU203" i="10"/>
  <c r="AU91" i="9"/>
  <c r="AU67" i="9"/>
  <c r="AU33" i="22"/>
  <c r="AT132" i="26"/>
  <c r="AU100" i="9"/>
  <c r="AV192" i="10"/>
  <c r="AU158" i="10"/>
  <c r="AU161" i="10"/>
  <c r="AU173" i="10"/>
  <c r="AV49" i="9"/>
  <c r="AV84" i="9" s="1"/>
  <c r="AV14" i="9"/>
  <c r="AV100" i="9"/>
  <c r="AV96" i="9"/>
  <c r="AU132" i="26"/>
  <c r="AV90" i="9"/>
  <c r="AV196" i="10"/>
  <c r="AV191" i="10"/>
  <c r="AV159" i="10"/>
  <c r="AV189" i="10"/>
  <c r="AV199" i="10"/>
  <c r="AU178" i="10"/>
  <c r="AV184" i="10"/>
  <c r="AV62" i="9"/>
  <c r="AU25" i="9"/>
  <c r="AU88" i="9" s="1"/>
  <c r="AV37" i="9"/>
  <c r="AU19" i="9"/>
  <c r="AU27" i="9"/>
  <c r="AU55" i="9"/>
  <c r="AU58" i="9"/>
  <c r="AU61" i="9"/>
  <c r="AU64" i="9"/>
  <c r="AU68" i="9"/>
  <c r="AV94" i="9"/>
  <c r="AU19" i="15" s="1"/>
  <c r="AU7" i="9"/>
  <c r="AU56" i="9"/>
  <c r="AU59" i="9"/>
  <c r="AU65" i="9"/>
  <c r="AU69" i="9"/>
  <c r="AV89" i="9"/>
  <c r="AV91" i="9" s="1"/>
  <c r="AU95" i="9"/>
  <c r="AU66" i="9"/>
  <c r="AU70" i="9"/>
  <c r="AU92" i="9"/>
  <c r="AU63" i="9"/>
  <c r="AV85" i="9" l="1"/>
  <c r="AV52" i="9"/>
  <c r="AV76" i="9"/>
  <c r="AV82" i="9"/>
  <c r="AV83" i="9"/>
  <c r="AV87" i="9"/>
  <c r="AV86" i="9"/>
  <c r="AV73" i="9"/>
  <c r="AV75" i="9"/>
  <c r="AV53" i="9"/>
  <c r="AV72" i="9"/>
  <c r="AV78" i="9"/>
  <c r="AV80" i="9"/>
  <c r="AU21" i="22"/>
  <c r="AU22" i="22" s="1"/>
  <c r="AU24" i="22" s="1"/>
  <c r="AU25" i="22" s="1"/>
  <c r="AU27" i="22" s="1"/>
  <c r="AU7" i="22"/>
  <c r="AU8" i="22" s="1"/>
  <c r="AU10" i="22" s="1"/>
  <c r="AU11" i="22" s="1"/>
  <c r="AU13" i="22" s="1"/>
  <c r="AV193" i="10"/>
  <c r="AV81" i="9"/>
  <c r="AV178" i="10"/>
  <c r="AV161" i="10"/>
  <c r="AV21" i="36" s="1"/>
  <c r="AV200" i="10"/>
  <c r="AV173" i="10"/>
  <c r="AU57" i="9"/>
  <c r="AU60" i="9"/>
  <c r="AV74" i="9" l="1"/>
  <c r="AV77" i="9"/>
  <c r="AU62" i="9"/>
  <c r="AV79" i="9"/>
  <c r="AU6" i="26" l="1"/>
  <c r="AU61" i="39" l="1"/>
  <c r="AV43" i="22" s="1"/>
  <c r="AU60" i="39"/>
  <c r="AV42" i="22" s="1"/>
  <c r="AU48" i="39"/>
  <c r="AU47" i="39"/>
  <c r="AU46" i="39"/>
  <c r="AU43" i="39"/>
  <c r="AU42" i="39"/>
  <c r="AU8" i="39"/>
  <c r="AV223" i="6"/>
  <c r="AU223" i="6"/>
  <c r="AV222" i="6"/>
  <c r="AU222" i="6"/>
  <c r="AU199" i="6"/>
  <c r="AV198" i="6"/>
  <c r="AU198" i="6"/>
  <c r="AU197" i="6"/>
  <c r="AV193" i="6"/>
  <c r="AU193" i="6"/>
  <c r="AV192" i="6"/>
  <c r="AV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31" i="6"/>
  <c r="AU131" i="6"/>
  <c r="AV130" i="6"/>
  <c r="AU130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17" i="6"/>
  <c r="AU16" i="6"/>
  <c r="AU15" i="6"/>
  <c r="AV9" i="6"/>
  <c r="AV8" i="6"/>
  <c r="AU7" i="6"/>
  <c r="AT90" i="77"/>
  <c r="AT89" i="77"/>
  <c r="AU85" i="77"/>
  <c r="AT85" i="77"/>
  <c r="AU83" i="77"/>
  <c r="AT83" i="77"/>
  <c r="AU70" i="77"/>
  <c r="AT70" i="77"/>
  <c r="AU53" i="77"/>
  <c r="AT53" i="77"/>
  <c r="AU36" i="77"/>
  <c r="AT36" i="77"/>
  <c r="AU32" i="77"/>
  <c r="AT32" i="77"/>
  <c r="AU26" i="77"/>
  <c r="AT26" i="77"/>
  <c r="AU21" i="77"/>
  <c r="AT21" i="77"/>
  <c r="AU13" i="77"/>
  <c r="AT13" i="77"/>
  <c r="AU7" i="77"/>
  <c r="AT7" i="77"/>
  <c r="AT88" i="77" l="1"/>
  <c r="AU22" i="39"/>
  <c r="AU34" i="39"/>
  <c r="AU138" i="6"/>
  <c r="AV138" i="6"/>
  <c r="AU30" i="6"/>
  <c r="AU31" i="6"/>
  <c r="AV35" i="6"/>
  <c r="AU88" i="77"/>
  <c r="AU94" i="77" s="1"/>
  <c r="AT94" i="77"/>
  <c r="AV121" i="6"/>
  <c r="AU50" i="39"/>
  <c r="AU23" i="39"/>
  <c r="AU45" i="39"/>
  <c r="AU163" i="6"/>
  <c r="AV57" i="6"/>
  <c r="AU188" i="6"/>
  <c r="AU168" i="6"/>
  <c r="AU19" i="6"/>
  <c r="AU103" i="6"/>
  <c r="AU121" i="6"/>
  <c r="AU133" i="6"/>
  <c r="AV103" i="6"/>
  <c r="AV133" i="6"/>
  <c r="AU21" i="6"/>
  <c r="AU24" i="6"/>
  <c r="AU27" i="6"/>
  <c r="AU194" i="6"/>
  <c r="AU22" i="6"/>
  <c r="AU25" i="6"/>
  <c r="AU28" i="6"/>
  <c r="AU24" i="39" l="1"/>
  <c r="AV107" i="6"/>
  <c r="AV148" i="6" s="1"/>
  <c r="AU125" i="6"/>
  <c r="AU139" i="6"/>
  <c r="AV125" i="6"/>
  <c r="AV139" i="6"/>
  <c r="AU107" i="6"/>
  <c r="AU81" i="6"/>
  <c r="AU32" i="6"/>
  <c r="AU29" i="6"/>
  <c r="AU34" i="6"/>
  <c r="AU26" i="6"/>
  <c r="AU33" i="6"/>
  <c r="AU23" i="6"/>
  <c r="AU84" i="6"/>
  <c r="AU148" i="6" l="1"/>
  <c r="AU143" i="6"/>
  <c r="AU175" i="6"/>
  <c r="AU35" i="6"/>
  <c r="AU150" i="6"/>
  <c r="AU173" i="6"/>
  <c r="AU172" i="6"/>
  <c r="AV143" i="6"/>
  <c r="AU147" i="6"/>
  <c r="AU149" i="6" s="1"/>
  <c r="AV175" i="6"/>
  <c r="AV173" i="6"/>
  <c r="AV172" i="6"/>
  <c r="AV147" i="6"/>
  <c r="AV149" i="6" s="1"/>
  <c r="AV7" i="36" s="1"/>
  <c r="AV150" i="6"/>
  <c r="AV174" i="6" l="1"/>
  <c r="AV8" i="36" s="1"/>
  <c r="AU174" i="6"/>
  <c r="AV204" i="6"/>
  <c r="AV205" i="6"/>
  <c r="AV211" i="6"/>
  <c r="AV216" i="6"/>
  <c r="AV208" i="6"/>
  <c r="AV203" i="6"/>
  <c r="AV212" i="6"/>
  <c r="AV210" i="6"/>
  <c r="AV197" i="6"/>
  <c r="AV217" i="6"/>
  <c r="AV213" i="6"/>
  <c r="AV207" i="6"/>
  <c r="AV218" i="6"/>
  <c r="AV206" i="6"/>
  <c r="AU205" i="6"/>
  <c r="AU203" i="6"/>
  <c r="AU207" i="6"/>
  <c r="AU211" i="6"/>
  <c r="AU216" i="6"/>
  <c r="AU219" i="6" s="1"/>
  <c r="AU206" i="6"/>
  <c r="AU210" i="6"/>
  <c r="AU208" i="6"/>
  <c r="AU204" i="6"/>
  <c r="AU213" i="6"/>
  <c r="AU212" i="6"/>
  <c r="AV199" i="6"/>
  <c r="AV214" i="6" l="1"/>
  <c r="AV209" i="6"/>
  <c r="AV219" i="6"/>
  <c r="AV215" i="6"/>
  <c r="AV220" i="6" s="1"/>
  <c r="AV9" i="36"/>
  <c r="AU214" i="6"/>
  <c r="AU209" i="6"/>
  <c r="AU522" i="28"/>
  <c r="AV479" i="28"/>
  <c r="AV441" i="28"/>
  <c r="AV429" i="28"/>
  <c r="AU429" i="28"/>
  <c r="AV413" i="28"/>
  <c r="AV414" i="28" s="1"/>
  <c r="AV304" i="28"/>
  <c r="AU304" i="28"/>
  <c r="AV298" i="28"/>
  <c r="AU298" i="28"/>
  <c r="AV297" i="28"/>
  <c r="AU297" i="28"/>
  <c r="AV256" i="28"/>
  <c r="AU256" i="28"/>
  <c r="AV235" i="28"/>
  <c r="AV96" i="28"/>
  <c r="AV95" i="28"/>
  <c r="AV93" i="28"/>
  <c r="AV89" i="28"/>
  <c r="AV85" i="28"/>
  <c r="AV81" i="28"/>
  <c r="AU68" i="28"/>
  <c r="AU67" i="28"/>
  <c r="AU65" i="28"/>
  <c r="AV56" i="28"/>
  <c r="AV29" i="28"/>
  <c r="AU23" i="28"/>
  <c r="AV21" i="28"/>
  <c r="AU15" i="28"/>
  <c r="AV13" i="28"/>
  <c r="AU7" i="28"/>
  <c r="AU215" i="6" l="1"/>
  <c r="AU220" i="6" s="1"/>
  <c r="AV236" i="28"/>
  <c r="AV506" i="28"/>
  <c r="AV73" i="28"/>
  <c r="AV510" i="28"/>
  <c r="AV514" i="28"/>
  <c r="AU13" i="28"/>
  <c r="AU29" i="28"/>
  <c r="AU74" i="28" s="1"/>
  <c r="AV299" i="28"/>
  <c r="AV509" i="28" s="1"/>
  <c r="AV97" i="28"/>
  <c r="AV98" i="28" s="1"/>
  <c r="AV490" i="28"/>
  <c r="AV513" i="28"/>
  <c r="AV512" i="28"/>
  <c r="AU21" i="28"/>
  <c r="AV72" i="28"/>
  <c r="AV74" i="28"/>
  <c r="AV511" i="28"/>
  <c r="AV507" i="28"/>
  <c r="AV503" i="28"/>
  <c r="AV17" i="49"/>
  <c r="AV18" i="49" s="1"/>
  <c r="AU17" i="49"/>
  <c r="AU18" i="49" s="1"/>
  <c r="AV11" i="49"/>
  <c r="AU11" i="49"/>
  <c r="AU10" i="49"/>
  <c r="AV9" i="49"/>
  <c r="AU9" i="49"/>
  <c r="AV8" i="49"/>
  <c r="AU8" i="49"/>
  <c r="AV6" i="49"/>
  <c r="AU6" i="49"/>
  <c r="AU231" i="73"/>
  <c r="AU229" i="73"/>
  <c r="AU209" i="73"/>
  <c r="AU203" i="73"/>
  <c r="AU198" i="73"/>
  <c r="AU173" i="73"/>
  <c r="AU160" i="73"/>
  <c r="AU171" i="73" s="1"/>
  <c r="AU130" i="73"/>
  <c r="AU128" i="73"/>
  <c r="AU126" i="73"/>
  <c r="AU122" i="73"/>
  <c r="AU118" i="73"/>
  <c r="AU109" i="73"/>
  <c r="AU102" i="73"/>
  <c r="AU98" i="73"/>
  <c r="AU57" i="73"/>
  <c r="AU51" i="73"/>
  <c r="AU46" i="73"/>
  <c r="AU41" i="73"/>
  <c r="AU30" i="73"/>
  <c r="AU25" i="73"/>
  <c r="AU18" i="73"/>
  <c r="AV58" i="28" s="1"/>
  <c r="AV60" i="28" s="1"/>
  <c r="AU16" i="73"/>
  <c r="AU118" i="90" s="1"/>
  <c r="AU8" i="73"/>
  <c r="AY79" i="59"/>
  <c r="AX79" i="59"/>
  <c r="AY78" i="59"/>
  <c r="AX78" i="59"/>
  <c r="AY77" i="59"/>
  <c r="AX77" i="59"/>
  <c r="AX76" i="59"/>
  <c r="AY75" i="59"/>
  <c r="AX75" i="59"/>
  <c r="AY73" i="59"/>
  <c r="AX73" i="59"/>
  <c r="AX72" i="59"/>
  <c r="AY69" i="59"/>
  <c r="AX69" i="59"/>
  <c r="AX68" i="59"/>
  <c r="AY65" i="59"/>
  <c r="AX65" i="59"/>
  <c r="AX64" i="59"/>
  <c r="AY62" i="59"/>
  <c r="AX62" i="59"/>
  <c r="AY61" i="59"/>
  <c r="AX61" i="59"/>
  <c r="AY59" i="59"/>
  <c r="AX59" i="59"/>
  <c r="AY58" i="59"/>
  <c r="AX58" i="59"/>
  <c r="AX54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X42" i="59"/>
  <c r="AY41" i="59"/>
  <c r="AX41" i="59"/>
  <c r="AX40" i="59"/>
  <c r="AX39" i="59"/>
  <c r="AX38" i="59"/>
  <c r="AX37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X10" i="59"/>
  <c r="AX9" i="59"/>
  <c r="AX8" i="59"/>
  <c r="AY55" i="59"/>
  <c r="AY39" i="59"/>
  <c r="AY38" i="59"/>
  <c r="AY10" i="59"/>
  <c r="AY9" i="59"/>
  <c r="AY8" i="59"/>
  <c r="AU13" i="49"/>
  <c r="AV28" i="21"/>
  <c r="AU27" i="21"/>
  <c r="AV24" i="21"/>
  <c r="AV25" i="21" s="1"/>
  <c r="AV18" i="21"/>
  <c r="AV15" i="21"/>
  <c r="AV12" i="21"/>
  <c r="AU12" i="21"/>
  <c r="AU22" i="21" s="1"/>
  <c r="AU6" i="73" l="1"/>
  <c r="AV46" i="28"/>
  <c r="AV35" i="28" s="1"/>
  <c r="AX44" i="59"/>
  <c r="AU114" i="73"/>
  <c r="AV522" i="28"/>
  <c r="AU87" i="28"/>
  <c r="AU72" i="28"/>
  <c r="AV504" i="28"/>
  <c r="AU414" i="28"/>
  <c r="AV505" i="28"/>
  <c r="AV508" i="28"/>
  <c r="AU236" i="28"/>
  <c r="AV501" i="28"/>
  <c r="AV500" i="28"/>
  <c r="AU12" i="15"/>
  <c r="AU13" i="15" s="1"/>
  <c r="AU14" i="15" s="1"/>
  <c r="AX49" i="59"/>
  <c r="AU12" i="49"/>
  <c r="AU14" i="49" s="1"/>
  <c r="AU15" i="49" s="1"/>
  <c r="AU16" i="49" s="1"/>
  <c r="AU19" i="49" s="1"/>
  <c r="AU20" i="49" s="1"/>
  <c r="AU133" i="73"/>
  <c r="AV20" i="21"/>
  <c r="AX55" i="59"/>
  <c r="AY40" i="59"/>
  <c r="AX6" i="59"/>
  <c r="AY56" i="59"/>
  <c r="AY54" i="59"/>
  <c r="AY49" i="59"/>
  <c r="AY44" i="59"/>
  <c r="AY37" i="59"/>
  <c r="AU73" i="28"/>
  <c r="AU299" i="28"/>
  <c r="AU5" i="73"/>
  <c r="AY57" i="59"/>
  <c r="AU15" i="21"/>
  <c r="AV67" i="28" l="1"/>
  <c r="AV37" i="28"/>
  <c r="AV69" i="28"/>
  <c r="AV48" i="28"/>
  <c r="AV440" i="28"/>
  <c r="AV471" i="28" s="1"/>
  <c r="AU512" i="28"/>
  <c r="AU505" i="28"/>
  <c r="AU79" i="28"/>
  <c r="AU509" i="28"/>
  <c r="AU513" i="28"/>
  <c r="AU511" i="28"/>
  <c r="AV520" i="28"/>
  <c r="AU83" i="28"/>
  <c r="AU501" i="28"/>
  <c r="AU42" i="35"/>
  <c r="AU41" i="35"/>
  <c r="AV39" i="35"/>
  <c r="AU39" i="35"/>
  <c r="AV36" i="35"/>
  <c r="AV48" i="35" s="1"/>
  <c r="AU36" i="35"/>
  <c r="AU33" i="35"/>
  <c r="AV26" i="35"/>
  <c r="AV34" i="36" s="1"/>
  <c r="AU26" i="35"/>
  <c r="AU21" i="35"/>
  <c r="AU26" i="9" s="1"/>
  <c r="AV20" i="35"/>
  <c r="AU20" i="35"/>
  <c r="AV19" i="35"/>
  <c r="AU19" i="35"/>
  <c r="AV14" i="35"/>
  <c r="AV5" i="36" s="1"/>
  <c r="AV13" i="35"/>
  <c r="AV15" i="35" s="1"/>
  <c r="AV11" i="35"/>
  <c r="AV10" i="6" s="1"/>
  <c r="AU10" i="35"/>
  <c r="AU9" i="35"/>
  <c r="AU8" i="35"/>
  <c r="AV7" i="35"/>
  <c r="AV6" i="6" s="1"/>
  <c r="AV6" i="35"/>
  <c r="AV5" i="6" s="1"/>
  <c r="AV70" i="28" l="1"/>
  <c r="AV523" i="28"/>
  <c r="AV491" i="28"/>
  <c r="AV515" i="28"/>
  <c r="AV75" i="28"/>
  <c r="AV76" i="28" s="1"/>
  <c r="AV521" i="28" s="1"/>
  <c r="AU504" i="28"/>
  <c r="AU503" i="28"/>
  <c r="AU500" i="28"/>
  <c r="AU48" i="35"/>
  <c r="AU49" i="35" s="1"/>
  <c r="AU31" i="28"/>
  <c r="AU34" i="36"/>
  <c r="AU35" i="36" s="1"/>
  <c r="AU36" i="36" s="1"/>
  <c r="AU38" i="36" s="1"/>
  <c r="AU30" i="36" s="1"/>
  <c r="AX80" i="59" s="1"/>
  <c r="AU26" i="21"/>
  <c r="AU28" i="21" s="1"/>
  <c r="AU14" i="35"/>
  <c r="AU9" i="6"/>
  <c r="AV41" i="36"/>
  <c r="AV43" i="36" s="1"/>
  <c r="AV31" i="36" s="1"/>
  <c r="AV35" i="36"/>
  <c r="AV36" i="36" s="1"/>
  <c r="AV38" i="36" s="1"/>
  <c r="AV30" i="36" s="1"/>
  <c r="AY80" i="59" s="1"/>
  <c r="AU11" i="35"/>
  <c r="AU10" i="6" s="1"/>
  <c r="AU8" i="6"/>
  <c r="AV18" i="6"/>
  <c r="AV16" i="6"/>
  <c r="AV17" i="6"/>
  <c r="AV7" i="6"/>
  <c r="AV15" i="6"/>
  <c r="AV13" i="49"/>
  <c r="AY6" i="59"/>
  <c r="AU508" i="28"/>
  <c r="AU507" i="28"/>
  <c r="AU37" i="35"/>
  <c r="AV8" i="35"/>
  <c r="AU13" i="35"/>
  <c r="AB19" i="17"/>
  <c r="AV516" i="28" l="1"/>
  <c r="AV495" i="28"/>
  <c r="AV494" i="28"/>
  <c r="AV517" i="28"/>
  <c r="AU37" i="28"/>
  <c r="AU63" i="28"/>
  <c r="AU15" i="35"/>
  <c r="AV164" i="6"/>
  <c r="AV168" i="6"/>
  <c r="AV19" i="6"/>
  <c r="AV81" i="6"/>
  <c r="AV189" i="6"/>
  <c r="AV194" i="6"/>
  <c r="AU55" i="35"/>
  <c r="AU69" i="28" l="1"/>
  <c r="AU75" i="28"/>
  <c r="AU491" i="28"/>
  <c r="AV37" i="6"/>
  <c r="AV40" i="6"/>
  <c r="AV38" i="6"/>
  <c r="AV39" i="6"/>
  <c r="AV84" i="6"/>
  <c r="AU520" i="28" l="1"/>
  <c r="AU517" i="28"/>
  <c r="AU494" i="28"/>
  <c r="AU91" i="28"/>
  <c r="AU76" i="28"/>
  <c r="AV41" i="6"/>
  <c r="AU521" i="28" l="1"/>
  <c r="AU515" i="28"/>
  <c r="AU516" i="28"/>
  <c r="AU95" i="28"/>
  <c r="AU495" i="28"/>
  <c r="AT388" i="28"/>
  <c r="AX388" i="28" s="1"/>
  <c r="BF388" i="28" s="1"/>
  <c r="BH388" i="28" s="1"/>
  <c r="AT337" i="28"/>
  <c r="AX337" i="28" s="1"/>
  <c r="BF337" i="28" s="1"/>
  <c r="BH337" i="28" s="1"/>
  <c r="AT306" i="28"/>
  <c r="AT305" i="28"/>
  <c r="AT300" i="28"/>
  <c r="AT295" i="28"/>
  <c r="AX295" i="28" s="1"/>
  <c r="BF295" i="28" s="1"/>
  <c r="BH295" i="28" s="1"/>
  <c r="AT182" i="28"/>
  <c r="AX182" i="28" s="1"/>
  <c r="BF182" i="28" s="1"/>
  <c r="BH182" i="28" s="1"/>
  <c r="AS71" i="83" l="1"/>
  <c r="AU71" i="83" l="1"/>
  <c r="AY71" i="83" s="1"/>
  <c r="BG71" i="83" s="1"/>
  <c r="BC71" i="83"/>
  <c r="BE71" i="83" s="1"/>
  <c r="AD1" i="35"/>
  <c r="AL119" i="8" l="1"/>
  <c r="AH119" i="8"/>
  <c r="AD119" i="8"/>
  <c r="AN119" i="8" s="1"/>
  <c r="BD119" i="8" s="1"/>
  <c r="AL118" i="8"/>
  <c r="AH118" i="8"/>
  <c r="AD118" i="8"/>
  <c r="AN118" i="8" s="1"/>
  <c r="BD118" i="8" s="1"/>
  <c r="AL117" i="8"/>
  <c r="AH117" i="8"/>
  <c r="AD117" i="8"/>
  <c r="X119" i="8"/>
  <c r="X118" i="8"/>
  <c r="X117" i="8"/>
  <c r="T119" i="8"/>
  <c r="T118" i="8"/>
  <c r="T117" i="8"/>
  <c r="P119" i="8"/>
  <c r="P118" i="8"/>
  <c r="P117" i="8"/>
  <c r="L119" i="8"/>
  <c r="L118" i="8"/>
  <c r="L117" i="8"/>
  <c r="H119" i="8"/>
  <c r="H118" i="8"/>
  <c r="H117" i="8"/>
  <c r="F119" i="8"/>
  <c r="F118" i="8"/>
  <c r="F117" i="8"/>
  <c r="AN117" i="8" l="1"/>
  <c r="BD117" i="8" s="1"/>
  <c r="N118" i="8"/>
  <c r="N117" i="8"/>
  <c r="N119" i="8"/>
  <c r="AS87" i="73"/>
  <c r="AW87" i="73" s="1"/>
  <c r="BE87" i="73" s="1"/>
  <c r="AS88" i="73"/>
  <c r="AW88" i="73" s="1"/>
  <c r="BE88" i="73" s="1"/>
  <c r="AS38" i="73"/>
  <c r="AW38" i="73" s="1"/>
  <c r="BE38" i="73" s="1"/>
  <c r="AL11" i="15"/>
  <c r="AM11" i="15"/>
  <c r="AN11" i="15"/>
  <c r="AR11" i="15" s="1"/>
  <c r="AV11" i="15" s="1"/>
  <c r="AO11" i="15"/>
  <c r="AQ11" i="15"/>
  <c r="AO108" i="73"/>
  <c r="AS108" i="73" s="1"/>
  <c r="AW108" i="73" s="1"/>
  <c r="BE108" i="73" s="1"/>
  <c r="AM108" i="73"/>
  <c r="BC108" i="73" s="1"/>
  <c r="BC11" i="15" s="1"/>
  <c r="AS148" i="73"/>
  <c r="AW148" i="73" s="1"/>
  <c r="BE148" i="73" s="1"/>
  <c r="AS147" i="73"/>
  <c r="AW147" i="73" s="1"/>
  <c r="BE147" i="73" s="1"/>
  <c r="AS153" i="73"/>
  <c r="AW153" i="73" s="1"/>
  <c r="BE153" i="73" s="1"/>
  <c r="AS151" i="73"/>
  <c r="AW151" i="73" s="1"/>
  <c r="BE151" i="73" s="1"/>
  <c r="AS145" i="73"/>
  <c r="AW145" i="73" s="1"/>
  <c r="BE145" i="73" s="1"/>
  <c r="BE11" i="15" l="1"/>
  <c r="AS11" i="15"/>
  <c r="AW11" i="15" s="1"/>
  <c r="AQ5" i="15"/>
  <c r="AQ6" i="15"/>
  <c r="AQ7" i="15"/>
  <c r="AQ8" i="15"/>
  <c r="AQ9" i="15"/>
  <c r="AQ10" i="15"/>
  <c r="AQ15" i="15"/>
  <c r="AQ18" i="15"/>
  <c r="AQ21" i="15"/>
  <c r="AQ22" i="15"/>
  <c r="AQ23" i="15"/>
  <c r="AQ24" i="15"/>
  <c r="BM11" i="9"/>
  <c r="AO85" i="50" l="1"/>
  <c r="BE85" i="50" s="1"/>
  <c r="AO86" i="50"/>
  <c r="BE86" i="50" s="1"/>
  <c r="AQ85" i="50"/>
  <c r="AU85" i="50" s="1"/>
  <c r="AY85" i="50" s="1"/>
  <c r="BG85" i="50" s="1"/>
  <c r="BH85" i="50" s="1"/>
  <c r="AQ86" i="50"/>
  <c r="AU86" i="50" s="1"/>
  <c r="AY86" i="50" s="1"/>
  <c r="BG86" i="50" s="1"/>
  <c r="BH86" i="50" s="1"/>
  <c r="AQ37" i="27" l="1"/>
  <c r="AQ35" i="27"/>
  <c r="AQ27" i="27"/>
  <c r="AQ29" i="27"/>
  <c r="AQ20" i="27"/>
  <c r="AQ19" i="27"/>
  <c r="AQ18" i="27"/>
  <c r="AP29" i="26" l="1"/>
  <c r="AQ130" i="26" l="1"/>
  <c r="AP130" i="26"/>
  <c r="AQ114" i="26"/>
  <c r="AP112" i="26"/>
  <c r="AP110" i="26"/>
  <c r="AP108" i="26"/>
  <c r="AP106" i="26"/>
  <c r="AP104" i="26"/>
  <c r="AP102" i="26"/>
  <c r="AP100" i="26"/>
  <c r="AP98" i="26"/>
  <c r="AQ94" i="26"/>
  <c r="AP91" i="26"/>
  <c r="AP89" i="26"/>
  <c r="AP87" i="26"/>
  <c r="AP85" i="26"/>
  <c r="AQ83" i="26"/>
  <c r="AQ82" i="26"/>
  <c r="AP80" i="26"/>
  <c r="AP78" i="26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P48" i="26"/>
  <c r="AQ45" i="26"/>
  <c r="AP43" i="26"/>
  <c r="AP41" i="26"/>
  <c r="AP39" i="26"/>
  <c r="AP37" i="26"/>
  <c r="AP35" i="26"/>
  <c r="AP33" i="26"/>
  <c r="AP31" i="26"/>
  <c r="AP27" i="26"/>
  <c r="AP25" i="26"/>
  <c r="AP23" i="26"/>
  <c r="AP21" i="26"/>
  <c r="AP17" i="26"/>
  <c r="AP15" i="26"/>
  <c r="AQ12" i="26"/>
  <c r="AP11" i="26"/>
  <c r="AP9" i="26"/>
  <c r="AP21" i="27"/>
  <c r="AP18" i="27"/>
  <c r="AP24" i="27" s="1"/>
  <c r="AP39" i="27"/>
  <c r="AQ36" i="27"/>
  <c r="AQ39" i="27"/>
  <c r="AP33" i="27"/>
  <c r="AQ28" i="27"/>
  <c r="AQ26" i="27"/>
  <c r="AQ22" i="27"/>
  <c r="AQ21" i="27"/>
  <c r="AQ57" i="26" l="1"/>
  <c r="AQ19" i="26"/>
  <c r="AP50" i="26"/>
  <c r="AQ24" i="27"/>
  <c r="AQ33" i="27"/>
  <c r="AP114" i="26"/>
  <c r="AP82" i="26"/>
  <c r="AP75" i="26"/>
  <c r="AP83" i="26"/>
  <c r="AP94" i="26"/>
  <c r="AP45" i="26"/>
  <c r="AP12" i="26"/>
  <c r="AQ18" i="26"/>
  <c r="AQ13" i="26"/>
  <c r="AQ51" i="26"/>
  <c r="AQ56" i="26"/>
  <c r="AP13" i="26" l="1"/>
  <c r="AP56" i="26"/>
  <c r="AP51" i="26"/>
  <c r="AP57" i="26"/>
  <c r="AP19" i="26"/>
  <c r="AP18" i="26"/>
  <c r="AR130" i="10"/>
  <c r="AR25" i="10"/>
  <c r="AR60" i="10" l="1"/>
  <c r="AR48" i="10"/>
  <c r="AR108" i="10"/>
  <c r="AH144" i="10" l="1"/>
  <c r="AH25" i="10"/>
  <c r="T17" i="10"/>
  <c r="L144" i="10"/>
  <c r="L24" i="10"/>
  <c r="AM54" i="45"/>
  <c r="AM48" i="72" l="1"/>
  <c r="AQ48" i="72" s="1"/>
  <c r="AU48" i="72" s="1"/>
  <c r="BC48" i="72" s="1"/>
  <c r="AM9" i="72"/>
  <c r="AM10" i="72"/>
  <c r="AM11" i="72"/>
  <c r="CG8" i="71"/>
  <c r="CQ8" i="71" s="1"/>
  <c r="CG9" i="71"/>
  <c r="CG10" i="71"/>
  <c r="CQ10" i="71" s="1"/>
  <c r="CG11" i="71"/>
  <c r="CG12" i="71"/>
  <c r="CG13" i="71"/>
  <c r="CQ13" i="71" s="1"/>
  <c r="CG14" i="71"/>
  <c r="CG15" i="71"/>
  <c r="CG16" i="71"/>
  <c r="CG17" i="71"/>
  <c r="CQ17" i="71" s="1"/>
  <c r="CG18" i="71"/>
  <c r="CG19" i="71"/>
  <c r="CG20" i="71"/>
  <c r="AQ70" i="90" s="1"/>
  <c r="BA70" i="90" s="1"/>
  <c r="CG21" i="71"/>
  <c r="AQ71" i="90" s="1"/>
  <c r="BA71" i="90" s="1"/>
  <c r="CG22" i="71"/>
  <c r="AQ72" i="90" s="1"/>
  <c r="BA72" i="90" s="1"/>
  <c r="CG23" i="71"/>
  <c r="CG24" i="71"/>
  <c r="CG25" i="71"/>
  <c r="CG26" i="71"/>
  <c r="AQ73" i="90" s="1"/>
  <c r="BA73" i="90" s="1"/>
  <c r="CG27" i="71"/>
  <c r="CG28" i="71"/>
  <c r="CG29" i="71"/>
  <c r="CG31" i="71"/>
  <c r="CQ31" i="71" s="1"/>
  <c r="CG32" i="71"/>
  <c r="CG33" i="71"/>
  <c r="CG34" i="71"/>
  <c r="CG35" i="71"/>
  <c r="CG36" i="71"/>
  <c r="CG37" i="71"/>
  <c r="AQ74" i="90" s="1"/>
  <c r="BA74" i="90" s="1"/>
  <c r="CG38" i="71"/>
  <c r="CG39" i="71"/>
  <c r="CG40" i="71"/>
  <c r="CG41" i="71"/>
  <c r="CG42" i="71"/>
  <c r="AQ77" i="90" s="1"/>
  <c r="BA77" i="90" s="1"/>
  <c r="CG43" i="71"/>
  <c r="CG44" i="71"/>
  <c r="AQ78" i="90" s="1"/>
  <c r="BA78" i="90" s="1"/>
  <c r="CG45" i="71"/>
  <c r="CG46" i="71"/>
  <c r="CG47" i="71"/>
  <c r="CG48" i="71"/>
  <c r="CG49" i="71"/>
  <c r="AQ82" i="90" s="1"/>
  <c r="BA82" i="90" s="1"/>
  <c r="CG50" i="71"/>
  <c r="AQ83" i="90" s="1"/>
  <c r="BA83" i="90" s="1"/>
  <c r="CG51" i="71"/>
  <c r="CG52" i="71"/>
  <c r="CG53" i="71"/>
  <c r="CG54" i="71"/>
  <c r="CG55" i="71"/>
  <c r="AQ11" i="72" l="1"/>
  <c r="AO110" i="90"/>
  <c r="AQ10" i="72"/>
  <c r="AO109" i="90"/>
  <c r="AQ9" i="72"/>
  <c r="AO108" i="90"/>
  <c r="AQ81" i="90"/>
  <c r="BA81" i="90" s="1"/>
  <c r="CQ48" i="71"/>
  <c r="AQ69" i="90"/>
  <c r="BA69" i="90" s="1"/>
  <c r="CQ19" i="71"/>
  <c r="AQ80" i="90"/>
  <c r="BA80" i="90" s="1"/>
  <c r="CQ47" i="71"/>
  <c r="AQ68" i="90"/>
  <c r="CQ9" i="71"/>
  <c r="AQ84" i="90"/>
  <c r="BA84" i="90" s="1"/>
  <c r="CQ54" i="71"/>
  <c r="AQ79" i="90"/>
  <c r="BA79" i="90" s="1"/>
  <c r="CQ46" i="71"/>
  <c r="AQ76" i="90"/>
  <c r="BA76" i="90" s="1"/>
  <c r="CQ41" i="71"/>
  <c r="AR28" i="22"/>
  <c r="AR24" i="22"/>
  <c r="AR23" i="22"/>
  <c r="AR14" i="22"/>
  <c r="AR10" i="22"/>
  <c r="AR9" i="22"/>
  <c r="AQ31" i="15"/>
  <c r="AQ30" i="15"/>
  <c r="AQ29" i="15"/>
  <c r="AQ25" i="15"/>
  <c r="AQ32" i="15" s="1"/>
  <c r="AP19" i="15"/>
  <c r="AP18" i="15"/>
  <c r="AP12" i="15"/>
  <c r="AP13" i="15" s="1"/>
  <c r="AP9" i="15"/>
  <c r="AP8" i="15"/>
  <c r="AP5" i="15"/>
  <c r="AU9" i="72" l="1"/>
  <c r="AS108" i="90"/>
  <c r="AU10" i="72"/>
  <c r="AS109" i="90"/>
  <c r="AU11" i="72"/>
  <c r="AS110" i="90"/>
  <c r="AP15" i="15"/>
  <c r="AP16" i="15" s="1"/>
  <c r="AR12" i="22"/>
  <c r="AR26" i="22"/>
  <c r="AQ36" i="15"/>
  <c r="AQ16" i="15" s="1"/>
  <c r="AQ17" i="15" s="1"/>
  <c r="BC11" i="72" l="1"/>
  <c r="AW110" i="90"/>
  <c r="BC10" i="72"/>
  <c r="AW109" i="90"/>
  <c r="BC9" i="72"/>
  <c r="AW108" i="90"/>
  <c r="AP117" i="17"/>
  <c r="AP115" i="17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74" i="17"/>
  <c r="AP74" i="17"/>
  <c r="AQ67" i="17"/>
  <c r="AQ69" i="17" s="1"/>
  <c r="AP67" i="17"/>
  <c r="AP69" i="17" s="1"/>
  <c r="AP61" i="17"/>
  <c r="AQ59" i="17"/>
  <c r="AQ60" i="17" s="1"/>
  <c r="AP58" i="17"/>
  <c r="AP57" i="17"/>
  <c r="AP59" i="17" s="1"/>
  <c r="AP55" i="17"/>
  <c r="AQ52" i="17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Q31" i="17" s="1"/>
  <c r="AP21" i="17"/>
  <c r="AP19" i="17"/>
  <c r="AP18" i="17"/>
  <c r="AP16" i="17"/>
  <c r="AP30" i="17" s="1"/>
  <c r="AP15" i="17"/>
  <c r="AQ14" i="17"/>
  <c r="AQ12" i="17"/>
  <c r="AQ9" i="17"/>
  <c r="AQ13" i="17" s="1"/>
  <c r="AP9" i="17"/>
  <c r="AQ15" i="17" l="1"/>
  <c r="AP22" i="17"/>
  <c r="AP33" i="17" s="1"/>
  <c r="AQ33" i="17"/>
  <c r="AQ116" i="17"/>
  <c r="AP116" i="17"/>
  <c r="AQ62" i="17"/>
  <c r="AP50" i="17"/>
  <c r="AP54" i="17" s="1"/>
  <c r="AP119" i="17"/>
  <c r="AP31" i="17"/>
  <c r="AP34" i="17"/>
  <c r="AP32" i="17"/>
  <c r="AP60" i="17"/>
  <c r="AP62" i="17"/>
  <c r="AP11" i="17"/>
  <c r="AQ11" i="17"/>
  <c r="AQ30" i="17"/>
  <c r="AQ32" i="17"/>
  <c r="AQ34" i="17"/>
  <c r="AQ50" i="17"/>
  <c r="AQ53" i="17"/>
  <c r="AQ117" i="17" s="1"/>
  <c r="AP114" i="17" l="1"/>
  <c r="AP118" i="17" s="1"/>
  <c r="AQ54" i="17"/>
  <c r="AQ114" i="17"/>
  <c r="AQ118" i="17" s="1"/>
  <c r="AQ51" i="17"/>
  <c r="AQ55" i="17" l="1"/>
  <c r="AQ115" i="17"/>
  <c r="AQ119" i="17" s="1"/>
  <c r="AT109" i="9" l="1"/>
  <c r="AK46" i="39" l="1"/>
  <c r="AK47" i="39"/>
  <c r="AK48" i="39"/>
  <c r="AK23" i="39" l="1"/>
  <c r="AR95" i="9"/>
  <c r="AV96" i="38" l="1"/>
  <c r="AV95" i="38"/>
  <c r="AV94" i="38"/>
  <c r="AV93" i="38"/>
  <c r="AU92" i="38"/>
  <c r="AV91" i="38"/>
  <c r="AU90" i="38"/>
  <c r="AU89" i="38" s="1"/>
  <c r="AV88" i="38"/>
  <c r="AV87" i="38"/>
  <c r="AV86" i="38"/>
  <c r="AV85" i="38"/>
  <c r="AU84" i="38"/>
  <c r="AV82" i="38"/>
  <c r="AV81" i="38"/>
  <c r="AV80" i="38"/>
  <c r="AV79" i="38"/>
  <c r="AV78" i="38"/>
  <c r="AV77" i="38"/>
  <c r="AV76" i="38"/>
  <c r="AV75" i="38"/>
  <c r="AV74" i="38"/>
  <c r="AV73" i="38"/>
  <c r="AV72" i="38"/>
  <c r="AV71" i="38"/>
  <c r="AV70" i="38"/>
  <c r="AV69" i="38"/>
  <c r="AU68" i="38"/>
  <c r="AV64" i="38"/>
  <c r="AV63" i="38"/>
  <c r="AU62" i="38"/>
  <c r="AV61" i="38"/>
  <c r="AV60" i="38"/>
  <c r="AV59" i="38"/>
  <c r="AV58" i="38"/>
  <c r="AV57" i="38"/>
  <c r="AV56" i="38"/>
  <c r="AU55" i="38"/>
  <c r="AU47" i="38"/>
  <c r="AU46" i="38"/>
  <c r="AU45" i="38"/>
  <c r="AU44" i="38"/>
  <c r="AV43" i="38"/>
  <c r="AV92" i="38" s="1"/>
  <c r="AU42" i="38"/>
  <c r="AU41" i="38" s="1"/>
  <c r="AV41" i="38"/>
  <c r="AV90" i="38" s="1"/>
  <c r="AU39" i="38"/>
  <c r="AU38" i="38"/>
  <c r="AU37" i="38"/>
  <c r="AU36" i="38"/>
  <c r="AU35" i="38" s="1"/>
  <c r="AV35" i="38"/>
  <c r="AV84" i="38" s="1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V19" i="38"/>
  <c r="AV18" i="38" s="1"/>
  <c r="AU15" i="38"/>
  <c r="AU14" i="38"/>
  <c r="AU13" i="38" s="1"/>
  <c r="AV13" i="38"/>
  <c r="AV62" i="38" s="1"/>
  <c r="AU12" i="38"/>
  <c r="AU11" i="38"/>
  <c r="AU10" i="38"/>
  <c r="AU9" i="38"/>
  <c r="AU8" i="38"/>
  <c r="AU7" i="38"/>
  <c r="AV6" i="38"/>
  <c r="AU65" i="38" l="1"/>
  <c r="AU43" i="38"/>
  <c r="AU40" i="38" s="1"/>
  <c r="AU67" i="38"/>
  <c r="AU66" i="38" s="1"/>
  <c r="AV40" i="38"/>
  <c r="AV89" i="38" s="1"/>
  <c r="AV68" i="38"/>
  <c r="AV67" i="38"/>
  <c r="AV16" i="38"/>
  <c r="AV65" i="38" s="1"/>
  <c r="AV55" i="38"/>
  <c r="AU19" i="38"/>
  <c r="AU18" i="38" s="1"/>
  <c r="AU6" i="38"/>
  <c r="AU16" i="38" s="1"/>
  <c r="AS157" i="45"/>
  <c r="AS156" i="45"/>
  <c r="AS154" i="45"/>
  <c r="AS148" i="45"/>
  <c r="AS143" i="45"/>
  <c r="AR143" i="45"/>
  <c r="AS142" i="45"/>
  <c r="AR142" i="45"/>
  <c r="AS141" i="45"/>
  <c r="AR141" i="45"/>
  <c r="AS140" i="45"/>
  <c r="AR140" i="45"/>
  <c r="AS138" i="45"/>
  <c r="AR138" i="45"/>
  <c r="AS136" i="45"/>
  <c r="AR136" i="45"/>
  <c r="AS134" i="45"/>
  <c r="AR134" i="45"/>
  <c r="AS131" i="45"/>
  <c r="AR131" i="45"/>
  <c r="AS129" i="45"/>
  <c r="AS122" i="45"/>
  <c r="AS121" i="45"/>
  <c r="AR121" i="45"/>
  <c r="AS120" i="45"/>
  <c r="AR91" i="11"/>
  <c r="AR89" i="11"/>
  <c r="AR83" i="11"/>
  <c r="AR78" i="11"/>
  <c r="AQ78" i="11"/>
  <c r="AR77" i="11"/>
  <c r="AQ77" i="11"/>
  <c r="AR76" i="11"/>
  <c r="AQ76" i="11"/>
  <c r="AR75" i="11"/>
  <c r="AQ75" i="11"/>
  <c r="AR73" i="11"/>
  <c r="AQ73" i="11"/>
  <c r="AR71" i="11"/>
  <c r="AQ71" i="11"/>
  <c r="AR69" i="11"/>
  <c r="AQ69" i="11"/>
  <c r="AR66" i="11"/>
  <c r="AQ66" i="11"/>
  <c r="AR64" i="11"/>
  <c r="AR59" i="11"/>
  <c r="AR57" i="11"/>
  <c r="AR56" i="11"/>
  <c r="AQ56" i="11"/>
  <c r="AQ97" i="11" s="1"/>
  <c r="AR55" i="11"/>
  <c r="AR123" i="45" l="1"/>
  <c r="AR132" i="45"/>
  <c r="AS159" i="45"/>
  <c r="AS158" i="45"/>
  <c r="AS160" i="45" s="1"/>
  <c r="AS144" i="45"/>
  <c r="AQ55" i="11"/>
  <c r="AS149" i="45"/>
  <c r="AQ74" i="11"/>
  <c r="AS132" i="45"/>
  <c r="AR120" i="45"/>
  <c r="AR139" i="45"/>
  <c r="AS126" i="45"/>
  <c r="AR61" i="11"/>
  <c r="AQ67" i="11"/>
  <c r="AR90" i="11"/>
  <c r="AR93" i="11"/>
  <c r="AR67" i="11"/>
  <c r="AR92" i="11"/>
  <c r="AR60" i="11"/>
  <c r="AU17" i="38"/>
  <c r="AV17" i="38"/>
  <c r="AV66" i="38" s="1"/>
  <c r="AS150" i="45"/>
  <c r="AS139" i="45"/>
  <c r="AS155" i="45"/>
  <c r="AS123" i="45"/>
  <c r="AR124" i="45"/>
  <c r="AS124" i="45"/>
  <c r="AR144" i="45"/>
  <c r="AR84" i="11"/>
  <c r="AR74" i="11"/>
  <c r="AQ58" i="11"/>
  <c r="AR58" i="11"/>
  <c r="AQ79" i="11"/>
  <c r="AR85" i="11"/>
  <c r="AR79" i="11"/>
  <c r="AS125" i="45" l="1"/>
  <c r="AR94" i="11"/>
  <c r="AR109" i="8"/>
  <c r="AR94" i="8"/>
  <c r="AR91" i="8"/>
  <c r="AQ91" i="8"/>
  <c r="AR89" i="8"/>
  <c r="AQ89" i="8"/>
  <c r="AR88" i="8"/>
  <c r="AQ88" i="8"/>
  <c r="AQ87" i="8"/>
  <c r="AQ82" i="8"/>
  <c r="AR80" i="8"/>
  <c r="AR76" i="8"/>
  <c r="AQ75" i="8"/>
  <c r="AQ74" i="8"/>
  <c r="AQ73" i="8"/>
  <c r="AQ72" i="8"/>
  <c r="AQ71" i="8"/>
  <c r="AR68" i="8"/>
  <c r="AR66" i="8"/>
  <c r="AR64" i="8"/>
  <c r="AR61" i="8"/>
  <c r="AR58" i="8"/>
  <c r="AR62" i="8" s="1"/>
  <c r="AQ52" i="8"/>
  <c r="AR49" i="8"/>
  <c r="AQ49" i="8"/>
  <c r="AQ46" i="8"/>
  <c r="AQ45" i="8"/>
  <c r="AQ44" i="8"/>
  <c r="AQ43" i="8"/>
  <c r="AQ41" i="8"/>
  <c r="AQ40" i="8"/>
  <c r="AQ39" i="8"/>
  <c r="AR26" i="8"/>
  <c r="AR17" i="8"/>
  <c r="AQ17" i="8"/>
  <c r="AQ15" i="8"/>
  <c r="AQ14" i="8"/>
  <c r="AR13" i="8"/>
  <c r="AQ13" i="8"/>
  <c r="AR6" i="8"/>
  <c r="AQ6" i="8"/>
  <c r="AQ16" i="8" l="1"/>
  <c r="AR16" i="8"/>
  <c r="AR67" i="8"/>
  <c r="AR69" i="8"/>
  <c r="AR74" i="8" s="1"/>
  <c r="AQ50" i="8"/>
  <c r="AQ51" i="8" s="1"/>
  <c r="AR82" i="8"/>
  <c r="AQ42" i="8"/>
  <c r="AR65" i="8"/>
  <c r="AR34" i="8" s="1"/>
  <c r="AR110" i="8"/>
  <c r="AR52" i="8" s="1"/>
  <c r="AR121" i="8" s="1"/>
  <c r="AR92" i="8"/>
  <c r="AR50" i="8"/>
  <c r="AR78" i="8" s="1"/>
  <c r="AR47" i="8"/>
  <c r="AQ85" i="8"/>
  <c r="AR45" i="8"/>
  <c r="AQ92" i="8"/>
  <c r="AR111" i="8"/>
  <c r="AQ25" i="8"/>
  <c r="AQ29" i="8"/>
  <c r="AR39" i="8"/>
  <c r="AR43" i="8"/>
  <c r="AR136" i="8" s="1"/>
  <c r="AR86" i="8"/>
  <c r="AQ23" i="8"/>
  <c r="AQ30" i="8"/>
  <c r="AR59" i="8"/>
  <c r="AQ28" i="8"/>
  <c r="AR41" i="8"/>
  <c r="AQ24" i="8"/>
  <c r="AQ27" i="8"/>
  <c r="AQ31" i="8"/>
  <c r="AR40" i="8"/>
  <c r="AR44" i="8"/>
  <c r="AR137" i="8" s="1"/>
  <c r="AR46" i="8"/>
  <c r="AR138" i="8" s="1"/>
  <c r="AR139" i="8" l="1"/>
  <c r="AR51" i="8"/>
  <c r="AR36" i="8"/>
  <c r="AR37" i="8"/>
  <c r="AR73" i="8"/>
  <c r="AR72" i="8"/>
  <c r="AR112" i="8"/>
  <c r="AR53" i="8" s="1"/>
  <c r="AR123" i="8" s="1"/>
  <c r="AR122" i="8" s="1"/>
  <c r="AR126" i="8" s="1"/>
  <c r="AR127" i="8" s="1"/>
  <c r="AR42" i="8"/>
  <c r="AQ67" i="8"/>
  <c r="AQ69" i="8"/>
  <c r="AQ26" i="8"/>
  <c r="AQ65" i="8"/>
  <c r="AR63" i="8"/>
  <c r="AQ59" i="8"/>
  <c r="AQ109" i="8"/>
  <c r="AQ111" i="8" s="1"/>
  <c r="AR132" i="8" l="1"/>
  <c r="AR145" i="8" s="1"/>
  <c r="AR131" i="8"/>
  <c r="AR144" i="8" s="1"/>
  <c r="AR130" i="8"/>
  <c r="AR124" i="8"/>
  <c r="AQ36" i="8"/>
  <c r="AQ37" i="8"/>
  <c r="AQ34" i="8"/>
  <c r="AQ63" i="8"/>
  <c r="AR71" i="8"/>
  <c r="AQ110" i="8"/>
  <c r="AQ112" i="8" s="1"/>
  <c r="AR35" i="8"/>
  <c r="AR70" i="8"/>
  <c r="AR133" i="8" l="1"/>
  <c r="AR146" i="8" s="1"/>
  <c r="AR143" i="8"/>
  <c r="AQ35" i="8"/>
  <c r="AQ113" i="7"/>
  <c r="AQ112" i="7"/>
  <c r="AQ111" i="7"/>
  <c r="AQ110" i="7"/>
  <c r="AQ109" i="7"/>
  <c r="AQ108" i="7"/>
  <c r="AQ107" i="7"/>
  <c r="AQ106" i="7"/>
  <c r="AQ85" i="7"/>
  <c r="AR84" i="7"/>
  <c r="AQ84" i="7"/>
  <c r="AR82" i="7"/>
  <c r="AQ82" i="7"/>
  <c r="AR75" i="7"/>
  <c r="AQ75" i="7"/>
  <c r="AR71" i="7"/>
  <c r="AR73" i="7" s="1"/>
  <c r="AQ71" i="7"/>
  <c r="AQ73" i="7" s="1"/>
  <c r="AR67" i="7"/>
  <c r="AR81" i="7" s="1"/>
  <c r="AQ67" i="7"/>
  <c r="AQ62" i="7" s="1"/>
  <c r="AR31" i="7"/>
  <c r="AR95" i="7" s="1"/>
  <c r="AR21" i="7"/>
  <c r="AR41" i="7" s="1"/>
  <c r="AR51" i="7" s="1"/>
  <c r="AQ21" i="7"/>
  <c r="AQ41" i="7" s="1"/>
  <c r="AQ51" i="7" s="1"/>
  <c r="AQ61" i="39"/>
  <c r="AR43" i="22" s="1"/>
  <c r="AQ60" i="39"/>
  <c r="AR42" i="22" s="1"/>
  <c r="AP50" i="39"/>
  <c r="AP51" i="39" s="1"/>
  <c r="AQ48" i="39"/>
  <c r="AQ47" i="39"/>
  <c r="AQ46" i="39"/>
  <c r="AP45" i="39"/>
  <c r="AQ43" i="39"/>
  <c r="AQ42" i="39"/>
  <c r="AQ8" i="39"/>
  <c r="AP8" i="39"/>
  <c r="AP22" i="39" s="1"/>
  <c r="AP24" i="39" s="1"/>
  <c r="AR223" i="6"/>
  <c r="AQ223" i="6"/>
  <c r="AR222" i="6"/>
  <c r="AQ222" i="6"/>
  <c r="AQ199" i="6"/>
  <c r="AR198" i="6"/>
  <c r="AQ198" i="6"/>
  <c r="AQ197" i="6"/>
  <c r="AR193" i="6"/>
  <c r="AQ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Q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AR141" i="6"/>
  <c r="AR140" i="6"/>
  <c r="AQ140" i="6"/>
  <c r="AR137" i="6"/>
  <c r="AQ137" i="6"/>
  <c r="AR136" i="6"/>
  <c r="AQ136" i="6"/>
  <c r="AR135" i="6"/>
  <c r="AQ135" i="6"/>
  <c r="AR134" i="6"/>
  <c r="AQ134" i="6"/>
  <c r="AR132" i="6"/>
  <c r="AQ132" i="6"/>
  <c r="AR131" i="6"/>
  <c r="AQ131" i="6"/>
  <c r="AR130" i="6"/>
  <c r="AQ130" i="6"/>
  <c r="AR129" i="6"/>
  <c r="AQ129" i="6"/>
  <c r="AR128" i="6"/>
  <c r="AQ128" i="6"/>
  <c r="AR127" i="6"/>
  <c r="AQ127" i="6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P90" i="77"/>
  <c r="AP89" i="77"/>
  <c r="AQ85" i="77"/>
  <c r="AP85" i="77"/>
  <c r="AP83" i="77"/>
  <c r="AQ70" i="77"/>
  <c r="AP70" i="77"/>
  <c r="AQ53" i="77"/>
  <c r="AP53" i="77"/>
  <c r="AQ36" i="77"/>
  <c r="AP36" i="77"/>
  <c r="AQ32" i="77"/>
  <c r="AP32" i="77"/>
  <c r="AQ26" i="77"/>
  <c r="AP26" i="77"/>
  <c r="AQ21" i="77"/>
  <c r="AP21" i="77"/>
  <c r="AQ13" i="77"/>
  <c r="AP13" i="77"/>
  <c r="AQ7" i="77"/>
  <c r="AP7" i="77"/>
  <c r="AQ22" i="39" l="1"/>
  <c r="AR32" i="7"/>
  <c r="AR98" i="7" s="1"/>
  <c r="AR54" i="7"/>
  <c r="AQ31" i="6"/>
  <c r="AR24" i="7"/>
  <c r="AR88" i="7" s="1"/>
  <c r="AR25" i="7"/>
  <c r="AR26" i="7"/>
  <c r="AQ30" i="7"/>
  <c r="AQ94" i="7" s="1"/>
  <c r="AR138" i="6"/>
  <c r="AR30" i="7"/>
  <c r="AR94" i="7" s="1"/>
  <c r="AQ25" i="7"/>
  <c r="AQ31" i="7"/>
  <c r="AQ95" i="7" s="1"/>
  <c r="AR56" i="7"/>
  <c r="AR96" i="7" s="1"/>
  <c r="AQ24" i="7"/>
  <c r="AR58" i="7"/>
  <c r="AQ88" i="77"/>
  <c r="AQ94" i="77" s="1"/>
  <c r="AP88" i="77"/>
  <c r="AP94" i="77" s="1"/>
  <c r="AQ138" i="6"/>
  <c r="AQ34" i="39"/>
  <c r="AQ26" i="7"/>
  <c r="AQ32" i="7"/>
  <c r="AQ98" i="7" s="1"/>
  <c r="AQ27" i="7"/>
  <c r="AQ91" i="7" s="1"/>
  <c r="AQ33" i="7"/>
  <c r="AQ99" i="7" s="1"/>
  <c r="AR27" i="7"/>
  <c r="AR91" i="7" s="1"/>
  <c r="AR33" i="7"/>
  <c r="AR99" i="7" s="1"/>
  <c r="AQ28" i="7"/>
  <c r="AQ92" i="7" s="1"/>
  <c r="AQ34" i="7"/>
  <c r="AQ97" i="7" s="1"/>
  <c r="AR28" i="7"/>
  <c r="AR92" i="7" s="1"/>
  <c r="AR34" i="7"/>
  <c r="AR97" i="7" s="1"/>
  <c r="AQ23" i="7"/>
  <c r="AQ87" i="7" s="1"/>
  <c r="AQ29" i="7"/>
  <c r="AQ93" i="7" s="1"/>
  <c r="AQ36" i="7"/>
  <c r="AQ90" i="7" s="1"/>
  <c r="AR23" i="7"/>
  <c r="AR87" i="7" s="1"/>
  <c r="AR29" i="7"/>
  <c r="AR93" i="7" s="1"/>
  <c r="AR36" i="7"/>
  <c r="AR90" i="7" s="1"/>
  <c r="AQ83" i="77"/>
  <c r="AR60" i="7"/>
  <c r="AQ45" i="39"/>
  <c r="AQ49" i="39"/>
  <c r="AQ54" i="7"/>
  <c r="AQ60" i="7"/>
  <c r="AQ56" i="7"/>
  <c r="AQ96" i="7" s="1"/>
  <c r="AQ58" i="7"/>
  <c r="AQ83" i="7"/>
  <c r="AR62" i="7"/>
  <c r="AR83" i="7"/>
  <c r="AQ50" i="39"/>
  <c r="AQ37" i="7"/>
  <c r="AQ103" i="7" s="1"/>
  <c r="AQ55" i="7"/>
  <c r="AQ57" i="7"/>
  <c r="AQ59" i="7"/>
  <c r="AQ61" i="7"/>
  <c r="AQ102" i="7" s="1"/>
  <c r="AQ68" i="7"/>
  <c r="AQ76" i="7"/>
  <c r="AQ78" i="7"/>
  <c r="AQ81" i="7"/>
  <c r="AR37" i="7"/>
  <c r="AR103" i="7" s="1"/>
  <c r="AR55" i="7"/>
  <c r="AR57" i="7"/>
  <c r="AR59" i="7"/>
  <c r="AR61" i="7"/>
  <c r="AR102" i="7" s="1"/>
  <c r="AR69" i="7"/>
  <c r="AR76" i="7"/>
  <c r="AR78" i="7"/>
  <c r="AQ23" i="39"/>
  <c r="AQ133" i="6"/>
  <c r="AQ19" i="6"/>
  <c r="AR57" i="6"/>
  <c r="AR35" i="6"/>
  <c r="AQ188" i="6"/>
  <c r="AQ168" i="6"/>
  <c r="AQ194" i="6"/>
  <c r="AR103" i="6"/>
  <c r="AR121" i="6"/>
  <c r="AR133" i="6"/>
  <c r="AQ163" i="6"/>
  <c r="AQ21" i="6"/>
  <c r="AQ24" i="6"/>
  <c r="AQ27" i="6"/>
  <c r="AQ30" i="6"/>
  <c r="AQ22" i="6"/>
  <c r="AQ25" i="6"/>
  <c r="AQ28" i="6"/>
  <c r="AQ103" i="6"/>
  <c r="AQ121" i="6"/>
  <c r="AQ522" i="28"/>
  <c r="AR479" i="28"/>
  <c r="AR473" i="28"/>
  <c r="AR441" i="28"/>
  <c r="AR429" i="28"/>
  <c r="AQ429" i="28"/>
  <c r="AR413" i="28"/>
  <c r="AR304" i="28"/>
  <c r="AQ304" i="28"/>
  <c r="AR298" i="28"/>
  <c r="AQ298" i="28"/>
  <c r="AR297" i="28"/>
  <c r="AQ297" i="28"/>
  <c r="AR256" i="28"/>
  <c r="AQ256" i="28"/>
  <c r="AR235" i="28"/>
  <c r="AR233" i="28"/>
  <c r="AR96" i="28"/>
  <c r="AR95" i="28"/>
  <c r="AR93" i="28"/>
  <c r="AR89" i="28"/>
  <c r="AR85" i="28"/>
  <c r="AR81" i="28"/>
  <c r="AQ68" i="28"/>
  <c r="AQ67" i="28"/>
  <c r="AQ65" i="28"/>
  <c r="AR56" i="28"/>
  <c r="BB56" i="28" s="1"/>
  <c r="AR29" i="28"/>
  <c r="BB29" i="28" s="1"/>
  <c r="AQ23" i="28"/>
  <c r="AR21" i="28"/>
  <c r="BB21" i="28" s="1"/>
  <c r="AQ15" i="28"/>
  <c r="AR13" i="28"/>
  <c r="BB13" i="28" s="1"/>
  <c r="AQ7" i="28"/>
  <c r="AR89" i="7" l="1"/>
  <c r="BB64" i="28"/>
  <c r="AR510" i="28"/>
  <c r="BB65" i="28"/>
  <c r="AR414" i="28"/>
  <c r="AR512" i="28" s="1"/>
  <c r="BB413" i="28"/>
  <c r="AR514" i="28"/>
  <c r="BB68" i="28"/>
  <c r="AQ84" i="6"/>
  <c r="BB63" i="28"/>
  <c r="AR236" i="28"/>
  <c r="BB233" i="28"/>
  <c r="AR506" i="28"/>
  <c r="AR73" i="28"/>
  <c r="AQ29" i="28"/>
  <c r="AQ414" i="28" s="1"/>
  <c r="BB235" i="28"/>
  <c r="BA30" i="6"/>
  <c r="AQ21" i="28"/>
  <c r="AQ73" i="28" s="1"/>
  <c r="AQ24" i="39"/>
  <c r="AQ81" i="6"/>
  <c r="AQ101" i="7"/>
  <c r="AQ89" i="7"/>
  <c r="AQ88" i="7"/>
  <c r="AR125" i="6"/>
  <c r="AR172" i="6" s="1"/>
  <c r="AQ107" i="6"/>
  <c r="AQ148" i="6" s="1"/>
  <c r="AQ125" i="6"/>
  <c r="AR101" i="7"/>
  <c r="AR104" i="7" s="1"/>
  <c r="AR139" i="6"/>
  <c r="AQ32" i="6"/>
  <c r="AR107" i="6"/>
  <c r="AR150" i="6" s="1"/>
  <c r="AQ139" i="6"/>
  <c r="AR299" i="28"/>
  <c r="AQ51" i="39"/>
  <c r="AR490" i="28"/>
  <c r="AR38" i="7"/>
  <c r="AR53" i="7" s="1"/>
  <c r="AQ38" i="7"/>
  <c r="AQ53" i="7" s="1"/>
  <c r="AQ29" i="6"/>
  <c r="AQ34" i="6"/>
  <c r="AQ26" i="6"/>
  <c r="AQ23" i="6"/>
  <c r="AQ33" i="6"/>
  <c r="AR97" i="28"/>
  <c r="AQ13" i="28"/>
  <c r="AR72" i="28"/>
  <c r="AR74" i="28"/>
  <c r="AR511" i="28"/>
  <c r="AR507" i="28"/>
  <c r="AR503" i="28"/>
  <c r="AR513" i="28" l="1"/>
  <c r="AQ104" i="7"/>
  <c r="AQ147" i="6"/>
  <c r="AQ149" i="6" s="1"/>
  <c r="AQ74" i="28"/>
  <c r="AQ299" i="28"/>
  <c r="AQ509" i="28" s="1"/>
  <c r="AQ513" i="28"/>
  <c r="AQ87" i="28"/>
  <c r="AQ512" i="28" s="1"/>
  <c r="AR143" i="6"/>
  <c r="AR207" i="6" s="1"/>
  <c r="AR98" i="28"/>
  <c r="BB414" i="28"/>
  <c r="AQ236" i="28"/>
  <c r="AR173" i="6"/>
  <c r="AR174" i="6" s="1"/>
  <c r="AR504" i="28"/>
  <c r="AR505" i="28"/>
  <c r="AR522" i="28"/>
  <c r="AR500" i="28"/>
  <c r="AQ83" i="28"/>
  <c r="AR509" i="28"/>
  <c r="AR508" i="28"/>
  <c r="AQ175" i="6"/>
  <c r="AQ143" i="6"/>
  <c r="AQ150" i="6"/>
  <c r="AR147" i="6"/>
  <c r="AQ173" i="6"/>
  <c r="AR501" i="28"/>
  <c r="AR148" i="6"/>
  <c r="AQ172" i="6"/>
  <c r="AR175" i="6"/>
  <c r="AQ35" i="6"/>
  <c r="AQ77" i="7"/>
  <c r="AQ63" i="7"/>
  <c r="AR63" i="7"/>
  <c r="AR77" i="7"/>
  <c r="AQ72" i="28"/>
  <c r="AQ501" i="28" l="1"/>
  <c r="AQ511" i="28"/>
  <c r="AR211" i="6"/>
  <c r="AR204" i="6"/>
  <c r="AR208" i="6"/>
  <c r="AQ508" i="28"/>
  <c r="AQ174" i="6"/>
  <c r="AR217" i="6"/>
  <c r="AQ507" i="28"/>
  <c r="AR218" i="6"/>
  <c r="AR149" i="6"/>
  <c r="AQ505" i="28"/>
  <c r="AR205" i="6"/>
  <c r="AR216" i="6"/>
  <c r="AR206" i="6"/>
  <c r="AR213" i="6"/>
  <c r="AQ79" i="28"/>
  <c r="AQ503" i="28" s="1"/>
  <c r="AR210" i="6"/>
  <c r="AR197" i="6"/>
  <c r="AR203" i="6"/>
  <c r="AQ500" i="28"/>
  <c r="AR212" i="6"/>
  <c r="AR199" i="6"/>
  <c r="AQ206" i="6"/>
  <c r="AQ205" i="6"/>
  <c r="AQ203" i="6"/>
  <c r="AQ212" i="6"/>
  <c r="AQ211" i="6"/>
  <c r="AQ204" i="6"/>
  <c r="AQ216" i="6"/>
  <c r="AQ219" i="6" s="1"/>
  <c r="AQ210" i="6"/>
  <c r="AQ207" i="6"/>
  <c r="AQ213" i="6"/>
  <c r="AQ208" i="6"/>
  <c r="AQ504" i="28"/>
  <c r="AR214" i="6" l="1"/>
  <c r="AR209" i="6"/>
  <c r="AR215" i="6" s="1"/>
  <c r="AR219" i="6"/>
  <c r="AQ214" i="6"/>
  <c r="AQ209" i="6"/>
  <c r="AQ215" i="6" s="1"/>
  <c r="AQ220" i="6" s="1"/>
  <c r="AR17" i="49"/>
  <c r="AR18" i="49" s="1"/>
  <c r="AQ17" i="49"/>
  <c r="AQ18" i="49" s="1"/>
  <c r="AR11" i="49"/>
  <c r="AQ11" i="49"/>
  <c r="AQ10" i="49"/>
  <c r="AR9" i="49"/>
  <c r="AQ9" i="49"/>
  <c r="AR8" i="49"/>
  <c r="AQ8" i="49"/>
  <c r="AR6" i="49"/>
  <c r="AQ6" i="49"/>
  <c r="AQ231" i="73"/>
  <c r="BA231" i="73" s="1"/>
  <c r="AP231" i="73"/>
  <c r="AQ229" i="73"/>
  <c r="BA229" i="73" s="1"/>
  <c r="AP229" i="73"/>
  <c r="AQ218" i="73"/>
  <c r="AP218" i="73"/>
  <c r="AP42" i="77" s="1"/>
  <c r="AQ209" i="73"/>
  <c r="BA209" i="73" s="1"/>
  <c r="AQ203" i="73"/>
  <c r="BA203" i="73" s="1"/>
  <c r="AP203" i="73"/>
  <c r="AQ198" i="73"/>
  <c r="BA198" i="73" s="1"/>
  <c r="AP198" i="73"/>
  <c r="AQ173" i="73"/>
  <c r="AP171" i="73"/>
  <c r="AQ160" i="73"/>
  <c r="AQ171" i="73" s="1"/>
  <c r="AQ130" i="73"/>
  <c r="AP130" i="73"/>
  <c r="AQ128" i="73"/>
  <c r="BA128" i="73" s="1"/>
  <c r="AQ126" i="73"/>
  <c r="AP126" i="73"/>
  <c r="AQ122" i="73"/>
  <c r="AP122" i="73"/>
  <c r="AQ118" i="73"/>
  <c r="AQ109" i="73"/>
  <c r="AQ12" i="15" s="1"/>
  <c r="AQ13" i="15" s="1"/>
  <c r="AQ14" i="15" s="1"/>
  <c r="AQ102" i="73"/>
  <c r="AP102" i="73"/>
  <c r="AP114" i="73" s="1"/>
  <c r="AQ98" i="73"/>
  <c r="AQ57" i="73"/>
  <c r="AQ51" i="73"/>
  <c r="AQ46" i="73"/>
  <c r="AQ41" i="73"/>
  <c r="AQ30" i="73"/>
  <c r="AQ25" i="73"/>
  <c r="AQ18" i="73"/>
  <c r="AR58" i="28" s="1"/>
  <c r="AP18" i="73"/>
  <c r="AQ16" i="73"/>
  <c r="AQ118" i="90" s="1"/>
  <c r="BA118" i="90" s="1"/>
  <c r="AQ8" i="73"/>
  <c r="AP8" i="73"/>
  <c r="AP6" i="73" s="1"/>
  <c r="AU79" i="59"/>
  <c r="AU78" i="59"/>
  <c r="AU77" i="59"/>
  <c r="AT77" i="59"/>
  <c r="AT76" i="59"/>
  <c r="AT75" i="59"/>
  <c r="AU74" i="59"/>
  <c r="AT74" i="59"/>
  <c r="AU73" i="59"/>
  <c r="AT73" i="59"/>
  <c r="AT62" i="59"/>
  <c r="AT61" i="59"/>
  <c r="AU59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U45" i="59"/>
  <c r="AT45" i="59"/>
  <c r="AU43" i="59"/>
  <c r="AT43" i="59"/>
  <c r="AU42" i="59"/>
  <c r="AT42" i="59"/>
  <c r="AU41" i="59"/>
  <c r="AT41" i="59"/>
  <c r="AT39" i="59"/>
  <c r="AT38" i="59"/>
  <c r="AT37" i="59"/>
  <c r="AU36" i="59"/>
  <c r="AT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72" i="36"/>
  <c r="AQ64" i="36" s="1"/>
  <c r="AQ71" i="36"/>
  <c r="AQ69" i="36"/>
  <c r="AQ61" i="36" s="1"/>
  <c r="AQ63" i="36" s="1"/>
  <c r="AQ67" i="36"/>
  <c r="AQ59" i="36" s="1"/>
  <c r="AQ66" i="36"/>
  <c r="AQ58" i="36" s="1"/>
  <c r="AR64" i="36"/>
  <c r="AR72" i="36" s="1"/>
  <c r="AR62" i="36"/>
  <c r="AR70" i="36" s="1"/>
  <c r="AR61" i="36"/>
  <c r="AR59" i="36"/>
  <c r="AR67" i="36" s="1"/>
  <c r="AR58" i="36"/>
  <c r="AR66" i="36" s="1"/>
  <c r="AR56" i="36"/>
  <c r="AR16" i="36" s="1"/>
  <c r="AR33" i="36"/>
  <c r="AQ33" i="36"/>
  <c r="AQ29" i="36"/>
  <c r="AP7" i="15" s="1"/>
  <c r="AQ28" i="36"/>
  <c r="AP6" i="15" s="1"/>
  <c r="AR26" i="36"/>
  <c r="AU75" i="59"/>
  <c r="AR23" i="36"/>
  <c r="AU72" i="59" s="1"/>
  <c r="AQ23" i="36"/>
  <c r="AT72" i="59" s="1"/>
  <c r="AQ22" i="36"/>
  <c r="AT68" i="59" s="1"/>
  <c r="AQ21" i="36"/>
  <c r="AT64" i="59" s="1"/>
  <c r="AQ17" i="36"/>
  <c r="AQ16" i="36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15" i="21" s="1"/>
  <c r="AQ6" i="73" l="1"/>
  <c r="AR46" i="28"/>
  <c r="AR35" i="28" s="1"/>
  <c r="BB58" i="28"/>
  <c r="AR60" i="28"/>
  <c r="BB60" i="28" s="1"/>
  <c r="AP37" i="77"/>
  <c r="BA218" i="73"/>
  <c r="AQ42" i="77"/>
  <c r="AR220" i="6"/>
  <c r="AQ114" i="73"/>
  <c r="AQ133" i="73"/>
  <c r="AQ56" i="36"/>
  <c r="AQ57" i="36"/>
  <c r="AQ12" i="49"/>
  <c r="AQ14" i="49" s="1"/>
  <c r="AQ15" i="49" s="1"/>
  <c r="AQ16" i="49" s="1"/>
  <c r="AQ19" i="49" s="1"/>
  <c r="AQ20" i="49" s="1"/>
  <c r="AT54" i="59"/>
  <c r="AT6" i="59"/>
  <c r="AT55" i="59"/>
  <c r="AQ60" i="36"/>
  <c r="AP133" i="73"/>
  <c r="AT78" i="59"/>
  <c r="AT79" i="59"/>
  <c r="AQ68" i="36"/>
  <c r="AT49" i="59"/>
  <c r="AR20" i="21"/>
  <c r="AQ5" i="73"/>
  <c r="AU44" i="59"/>
  <c r="AR13" i="36"/>
  <c r="AU40" i="59" s="1"/>
  <c r="AR63" i="36"/>
  <c r="AR68" i="36"/>
  <c r="AR69" i="36"/>
  <c r="AR71" i="36" s="1"/>
  <c r="AU54" i="59"/>
  <c r="AT44" i="59"/>
  <c r="AU37" i="59"/>
  <c r="AU49" i="59"/>
  <c r="AR40" i="36"/>
  <c r="AR60" i="36"/>
  <c r="AQ22" i="21"/>
  <c r="AR67" i="28" l="1"/>
  <c r="AR37" i="28"/>
  <c r="BB46" i="28"/>
  <c r="AR48" i="28"/>
  <c r="AR440" i="28"/>
  <c r="AR471" i="28" s="1"/>
  <c r="BA42" i="77"/>
  <c r="AQ37" i="77"/>
  <c r="BA37" i="77" s="1"/>
  <c r="AR19" i="36"/>
  <c r="AU57" i="59" s="1"/>
  <c r="AQ42" i="35"/>
  <c r="BA42" i="35" s="1"/>
  <c r="AQ41" i="35"/>
  <c r="BA41" i="35" s="1"/>
  <c r="AQ39" i="35"/>
  <c r="BA39" i="35" s="1"/>
  <c r="AR36" i="35"/>
  <c r="AR48" i="35" s="1"/>
  <c r="BB48" i="35" s="1"/>
  <c r="AQ36" i="35"/>
  <c r="AQ33" i="35"/>
  <c r="AR32" i="35"/>
  <c r="AR26" i="35"/>
  <c r="AR34" i="36" s="1"/>
  <c r="AR35" i="36" s="1"/>
  <c r="AR36" i="36" s="1"/>
  <c r="AR38" i="36" s="1"/>
  <c r="AQ26" i="35"/>
  <c r="AQ21" i="35"/>
  <c r="AQ20" i="35"/>
  <c r="BA20" i="35" s="1"/>
  <c r="AQ19" i="35"/>
  <c r="BA19" i="35" s="1"/>
  <c r="AR14" i="35"/>
  <c r="AR5" i="36" s="1"/>
  <c r="AR13" i="35"/>
  <c r="AR15" i="35" s="1"/>
  <c r="AR11" i="35"/>
  <c r="AR10" i="6" s="1"/>
  <c r="AQ10" i="35"/>
  <c r="BA10" i="35" s="1"/>
  <c r="AQ9" i="35"/>
  <c r="AQ8" i="35"/>
  <c r="AR7" i="35"/>
  <c r="AR6" i="6" s="1"/>
  <c r="AR6" i="35"/>
  <c r="BB48" i="28" l="1"/>
  <c r="BB35" i="28"/>
  <c r="AR491" i="28"/>
  <c r="AR523" i="28"/>
  <c r="AQ34" i="36"/>
  <c r="AQ35" i="36" s="1"/>
  <c r="AQ36" i="36" s="1"/>
  <c r="AQ38" i="36" s="1"/>
  <c r="AQ30" i="36" s="1"/>
  <c r="AT80" i="59" s="1"/>
  <c r="AQ26" i="21"/>
  <c r="AQ28" i="21" s="1"/>
  <c r="AQ48" i="35"/>
  <c r="BA48" i="35" s="1"/>
  <c r="AQ31" i="28"/>
  <c r="AQ11" i="35"/>
  <c r="AQ10" i="6" s="1"/>
  <c r="AQ8" i="6"/>
  <c r="AQ14" i="35"/>
  <c r="AQ9" i="6"/>
  <c r="AR8" i="35"/>
  <c r="AR5" i="6"/>
  <c r="AR18" i="6"/>
  <c r="AR16" i="6"/>
  <c r="AR41" i="36"/>
  <c r="AR43" i="36" s="1"/>
  <c r="AR31" i="36" s="1"/>
  <c r="AR30" i="36"/>
  <c r="AU80" i="59" s="1"/>
  <c r="AU6" i="59"/>
  <c r="AR13" i="49"/>
  <c r="AQ37" i="35"/>
  <c r="AQ13" i="35"/>
  <c r="AQ122" i="17"/>
  <c r="AP122" i="17"/>
  <c r="AK79" i="17"/>
  <c r="AJ79" i="17"/>
  <c r="AG79" i="17"/>
  <c r="AF79" i="17"/>
  <c r="AC79" i="17"/>
  <c r="AB79" i="17"/>
  <c r="W79" i="17"/>
  <c r="V79" i="17"/>
  <c r="S79" i="17"/>
  <c r="R79" i="17"/>
  <c r="O79" i="17"/>
  <c r="N79" i="17"/>
  <c r="AR495" i="28" l="1"/>
  <c r="AR494" i="28"/>
  <c r="AR516" i="28"/>
  <c r="BB37" i="28"/>
  <c r="AR515" i="28"/>
  <c r="AR75" i="28"/>
  <c r="AR76" i="28" s="1"/>
  <c r="AR521" i="28" s="1"/>
  <c r="AR517" i="28"/>
  <c r="BB67" i="28"/>
  <c r="AR69" i="28"/>
  <c r="AR70" i="28" s="1"/>
  <c r="AQ49" i="35"/>
  <c r="AQ55" i="35" s="1"/>
  <c r="AQ15" i="35"/>
  <c r="AQ37" i="28"/>
  <c r="AQ63" i="28"/>
  <c r="AR189" i="6"/>
  <c r="AR194" i="6"/>
  <c r="AR17" i="6"/>
  <c r="AR15" i="6"/>
  <c r="AR7" i="6"/>
  <c r="AL115" i="10"/>
  <c r="AL108" i="10"/>
  <c r="AL89" i="10"/>
  <c r="AL60" i="10"/>
  <c r="AL55" i="10"/>
  <c r="AL12" i="10"/>
  <c r="AH35" i="10"/>
  <c r="BB69" i="28" l="1"/>
  <c r="BB70" i="28" s="1"/>
  <c r="AR520" i="28"/>
  <c r="AQ69" i="28"/>
  <c r="AQ491" i="28"/>
  <c r="AQ75" i="28"/>
  <c r="AR19" i="6"/>
  <c r="AR164" i="6"/>
  <c r="AR168" i="6"/>
  <c r="AO56" i="50"/>
  <c r="AO57" i="50"/>
  <c r="AO58" i="50"/>
  <c r="AO59" i="50"/>
  <c r="AO60" i="50"/>
  <c r="AO61" i="50"/>
  <c r="BE61" i="50" s="1"/>
  <c r="AO62" i="50"/>
  <c r="AO63" i="50"/>
  <c r="AO64" i="50"/>
  <c r="AO65" i="50"/>
  <c r="AO66" i="50"/>
  <c r="AO68" i="50"/>
  <c r="AO69" i="50"/>
  <c r="AO70" i="50"/>
  <c r="AO71" i="50"/>
  <c r="AO72" i="50"/>
  <c r="AO73" i="50"/>
  <c r="AO74" i="50"/>
  <c r="AO75" i="50"/>
  <c r="AO76" i="50"/>
  <c r="AO77" i="50"/>
  <c r="AO78" i="50"/>
  <c r="AA56" i="50"/>
  <c r="AA57" i="50"/>
  <c r="AA58" i="50"/>
  <c r="AA59" i="50"/>
  <c r="AA60" i="50"/>
  <c r="AA61" i="50"/>
  <c r="AA62" i="50"/>
  <c r="AA63" i="50"/>
  <c r="AA64" i="50"/>
  <c r="AA65" i="50"/>
  <c r="AA66" i="50"/>
  <c r="AA68" i="50"/>
  <c r="AA69" i="50"/>
  <c r="AA70" i="50"/>
  <c r="AA71" i="50"/>
  <c r="AA72" i="50"/>
  <c r="AA73" i="50"/>
  <c r="AA74" i="50"/>
  <c r="AA75" i="50"/>
  <c r="AA76" i="50"/>
  <c r="AA77" i="50"/>
  <c r="AA78" i="50"/>
  <c r="O78" i="50"/>
  <c r="O56" i="50"/>
  <c r="O57" i="50"/>
  <c r="O58" i="50"/>
  <c r="O59" i="50"/>
  <c r="O60" i="50"/>
  <c r="O61" i="50"/>
  <c r="O62" i="50"/>
  <c r="O63" i="50"/>
  <c r="O64" i="50"/>
  <c r="O65" i="50"/>
  <c r="O66" i="50"/>
  <c r="O68" i="50"/>
  <c r="O69" i="50"/>
  <c r="O70" i="50"/>
  <c r="O71" i="50"/>
  <c r="O72" i="50"/>
  <c r="O73" i="50"/>
  <c r="O74" i="50"/>
  <c r="O75" i="50"/>
  <c r="O76" i="50"/>
  <c r="O77" i="50"/>
  <c r="AD65" i="104"/>
  <c r="AC65" i="104"/>
  <c r="AB65" i="104"/>
  <c r="AA65" i="104"/>
  <c r="Z65" i="104"/>
  <c r="Y65" i="104"/>
  <c r="X65" i="104"/>
  <c r="BF119" i="8" s="1"/>
  <c r="AQ520" i="28" l="1"/>
  <c r="AQ91" i="28"/>
  <c r="AQ76" i="28"/>
  <c r="AQ517" i="28"/>
  <c r="AQ495" i="28"/>
  <c r="AQ494" i="28"/>
  <c r="AR38" i="6"/>
  <c r="AR37" i="6"/>
  <c r="AR40" i="6"/>
  <c r="AR39" i="6"/>
  <c r="AR81" i="6"/>
  <c r="AR84" i="6"/>
  <c r="AP109" i="9"/>
  <c r="AQ521" i="28" l="1"/>
  <c r="AQ516" i="28"/>
  <c r="AQ95" i="28"/>
  <c r="AQ515" i="28"/>
  <c r="AR41" i="6"/>
  <c r="AJ85" i="77"/>
  <c r="AG85" i="77"/>
  <c r="AF85" i="77"/>
  <c r="AD85" i="77"/>
  <c r="AC85" i="77"/>
  <c r="AB85" i="77"/>
  <c r="Z85" i="77"/>
  <c r="X85" i="77"/>
  <c r="W85" i="77"/>
  <c r="V85" i="77"/>
  <c r="S85" i="77"/>
  <c r="R85" i="77"/>
  <c r="O85" i="77"/>
  <c r="N85" i="77"/>
  <c r="L85" i="77"/>
  <c r="K85" i="77"/>
  <c r="J85" i="77"/>
  <c r="G85" i="77"/>
  <c r="F85" i="77"/>
  <c r="E85" i="77"/>
  <c r="AN165" i="28"/>
  <c r="AN166" i="28"/>
  <c r="AN167" i="28"/>
  <c r="AN168" i="28"/>
  <c r="AN169" i="28"/>
  <c r="AN170" i="28"/>
  <c r="AN171" i="28"/>
  <c r="AN172" i="28"/>
  <c r="AN173" i="28"/>
  <c r="AP418" i="28"/>
  <c r="AP423" i="28"/>
  <c r="AN418" i="28"/>
  <c r="AN419" i="28"/>
  <c r="AN420" i="28"/>
  <c r="AN421" i="28"/>
  <c r="AN422" i="28"/>
  <c r="AN423" i="28"/>
  <c r="AN424" i="28"/>
  <c r="AN142" i="28"/>
  <c r="AN143" i="28"/>
  <c r="AN228" i="28"/>
  <c r="BD228" i="28" s="1"/>
  <c r="BK228" i="28" s="1"/>
  <c r="AN229" i="28"/>
  <c r="BD229" i="28" s="1"/>
  <c r="BK229" i="28" s="1"/>
  <c r="AN230" i="28"/>
  <c r="BD230" i="28" s="1"/>
  <c r="BK230" i="28" s="1"/>
  <c r="AN231" i="28"/>
  <c r="BD231" i="28" s="1"/>
  <c r="BK231" i="28" s="1"/>
  <c r="AN232" i="28"/>
  <c r="BD232" i="28" s="1"/>
  <c r="BK232" i="28" s="1"/>
  <c r="AN153" i="28"/>
  <c r="AN154" i="28"/>
  <c r="AN155" i="28"/>
  <c r="AN156" i="28"/>
  <c r="AN157" i="28"/>
  <c r="AN315" i="28"/>
  <c r="BD315" i="28" s="1"/>
  <c r="BK315" i="28" s="1"/>
  <c r="AN316" i="28"/>
  <c r="BD316" i="28" s="1"/>
  <c r="BK316" i="28" s="1"/>
  <c r="AN317" i="28"/>
  <c r="BD317" i="28" s="1"/>
  <c r="BK317" i="28" s="1"/>
  <c r="AN318" i="28"/>
  <c r="BD318" i="28" s="1"/>
  <c r="BK318" i="28" s="1"/>
  <c r="AN319" i="28"/>
  <c r="BD319" i="28" s="1"/>
  <c r="BK319" i="28" s="1"/>
  <c r="AN320" i="28"/>
  <c r="BD320" i="28" s="1"/>
  <c r="BK320" i="28" s="1"/>
  <c r="AN321" i="28"/>
  <c r="BD321" i="28" s="1"/>
  <c r="BK321" i="28" s="1"/>
  <c r="AN322" i="28"/>
  <c r="BD322" i="28" s="1"/>
  <c r="BK322" i="28" s="1"/>
  <c r="AN323" i="28"/>
  <c r="BD323" i="28" s="1"/>
  <c r="BK323" i="28" s="1"/>
  <c r="AN324" i="28"/>
  <c r="BD324" i="28" s="1"/>
  <c r="BK324" i="28" s="1"/>
  <c r="AN325" i="28"/>
  <c r="BD325" i="28" s="1"/>
  <c r="BK325" i="28" s="1"/>
  <c r="AN326" i="28"/>
  <c r="BD326" i="28" s="1"/>
  <c r="BK326" i="28" s="1"/>
  <c r="AN327" i="28"/>
  <c r="BD327" i="28" s="1"/>
  <c r="BK327" i="28" s="1"/>
  <c r="AN328" i="28"/>
  <c r="BD328" i="28" s="1"/>
  <c r="BK328" i="28" s="1"/>
  <c r="AN329" i="28"/>
  <c r="BD329" i="28" s="1"/>
  <c r="BK329" i="28" s="1"/>
  <c r="AN330" i="28"/>
  <c r="BD330" i="28" s="1"/>
  <c r="BK330" i="28" s="1"/>
  <c r="AN331" i="28"/>
  <c r="BD331" i="28" s="1"/>
  <c r="BK331" i="28" s="1"/>
  <c r="AN332" i="28"/>
  <c r="BD332" i="28" s="1"/>
  <c r="BK332" i="28" s="1"/>
  <c r="AN333" i="28"/>
  <c r="BD333" i="28" s="1"/>
  <c r="BK333" i="28" s="1"/>
  <c r="AN334" i="28"/>
  <c r="BD334" i="28" s="1"/>
  <c r="BK334" i="28" s="1"/>
  <c r="AN335" i="28"/>
  <c r="BD335" i="28" s="1"/>
  <c r="BK335" i="28" s="1"/>
  <c r="AN336" i="28"/>
  <c r="BD336" i="28" s="1"/>
  <c r="BK336" i="28" s="1"/>
  <c r="AN338" i="28"/>
  <c r="BD338" i="28" s="1"/>
  <c r="BK338" i="28" s="1"/>
  <c r="AN339" i="28"/>
  <c r="BD339" i="28" s="1"/>
  <c r="BK339" i="28" s="1"/>
  <c r="AN340" i="28"/>
  <c r="BD340" i="28" s="1"/>
  <c r="BK340" i="28" s="1"/>
  <c r="AN341" i="28"/>
  <c r="BD341" i="28" s="1"/>
  <c r="BK341" i="28" s="1"/>
  <c r="AN342" i="28"/>
  <c r="BD342" i="28" s="1"/>
  <c r="BK342" i="28" s="1"/>
  <c r="AN343" i="28"/>
  <c r="BD343" i="28" s="1"/>
  <c r="BK343" i="28" s="1"/>
  <c r="AN344" i="28"/>
  <c r="BD344" i="28" s="1"/>
  <c r="BK344" i="28" s="1"/>
  <c r="AN345" i="28"/>
  <c r="BD345" i="28" s="1"/>
  <c r="BK345" i="28" s="1"/>
  <c r="AN346" i="28"/>
  <c r="BD346" i="28" s="1"/>
  <c r="BK346" i="28" s="1"/>
  <c r="AN347" i="28"/>
  <c r="BD347" i="28" s="1"/>
  <c r="BK347" i="28" s="1"/>
  <c r="AN348" i="28"/>
  <c r="BD348" i="28" s="1"/>
  <c r="BK348" i="28" s="1"/>
  <c r="AN350" i="28"/>
  <c r="BD350" i="28" s="1"/>
  <c r="BK350" i="28" s="1"/>
  <c r="AN351" i="28"/>
  <c r="BD351" i="28" s="1"/>
  <c r="BK351" i="28" s="1"/>
  <c r="AN352" i="28"/>
  <c r="BD352" i="28" s="1"/>
  <c r="BK352" i="28" s="1"/>
  <c r="AN353" i="28"/>
  <c r="BD353" i="28" s="1"/>
  <c r="BK353" i="28" s="1"/>
  <c r="AN354" i="28"/>
  <c r="BD354" i="28" s="1"/>
  <c r="BK354" i="28" s="1"/>
  <c r="AN355" i="28"/>
  <c r="BD355" i="28" s="1"/>
  <c r="BK355" i="28" s="1"/>
  <c r="AN356" i="28"/>
  <c r="BD356" i="28" s="1"/>
  <c r="BK356" i="28" s="1"/>
  <c r="AN357" i="28"/>
  <c r="BD357" i="28" s="1"/>
  <c r="BK357" i="28" s="1"/>
  <c r="AM199" i="73"/>
  <c r="BC199" i="73" s="1"/>
  <c r="AM200" i="73"/>
  <c r="BC200" i="73" s="1"/>
  <c r="AM201" i="73"/>
  <c r="BC201" i="73" s="1"/>
  <c r="AM202" i="73"/>
  <c r="BC202" i="73" s="1"/>
  <c r="AM204" i="73"/>
  <c r="BC204" i="73" s="1"/>
  <c r="AM205" i="73"/>
  <c r="BC205" i="73" s="1"/>
  <c r="AM206" i="73"/>
  <c r="BC206" i="73" s="1"/>
  <c r="AM207" i="73"/>
  <c r="BC207" i="73" s="1"/>
  <c r="AM208" i="73"/>
  <c r="BC208" i="73" s="1"/>
  <c r="AM210" i="73"/>
  <c r="BC210" i="73" s="1"/>
  <c r="AM211" i="73"/>
  <c r="BC211" i="73" s="1"/>
  <c r="AM212" i="73"/>
  <c r="BC212" i="73" s="1"/>
  <c r="AM213" i="73"/>
  <c r="BC213" i="73" s="1"/>
  <c r="AM214" i="73"/>
  <c r="BC214" i="73" s="1"/>
  <c r="AM215" i="73"/>
  <c r="BC215" i="73" s="1"/>
  <c r="AM216" i="73"/>
  <c r="BC216" i="73" s="1"/>
  <c r="AM217" i="73"/>
  <c r="BC217" i="73" s="1"/>
  <c r="AM219" i="73"/>
  <c r="BC219" i="73" s="1"/>
  <c r="AM222" i="73"/>
  <c r="BC222" i="73" s="1"/>
  <c r="AM223" i="73"/>
  <c r="BC223" i="73" s="1"/>
  <c r="AM224" i="73"/>
  <c r="BC224" i="73" s="1"/>
  <c r="AM225" i="73"/>
  <c r="BC225" i="73" s="1"/>
  <c r="AM226" i="73"/>
  <c r="BC226" i="73" s="1"/>
  <c r="AM227" i="73"/>
  <c r="BC227" i="73" s="1"/>
  <c r="AM228" i="73"/>
  <c r="BC228" i="73" s="1"/>
  <c r="AM230" i="73"/>
  <c r="BC230" i="73" s="1"/>
  <c r="AM232" i="73"/>
  <c r="BC232" i="73" s="1"/>
  <c r="AM233" i="73"/>
  <c r="BC233" i="73" s="1"/>
  <c r="AM234" i="73"/>
  <c r="AM235" i="73"/>
  <c r="AM236" i="73"/>
  <c r="AM237" i="73"/>
  <c r="AL103" i="9" l="1"/>
  <c r="X93" i="26"/>
  <c r="AL93" i="26"/>
  <c r="AZ86" i="26"/>
  <c r="AZ87" i="26"/>
  <c r="AZ88" i="26"/>
  <c r="AZ89" i="26"/>
  <c r="AZ90" i="26"/>
  <c r="AZ91" i="26"/>
  <c r="AZ92" i="26"/>
  <c r="AZ93" i="26"/>
  <c r="AL163" i="6"/>
  <c r="AD88" i="77" l="1"/>
  <c r="AB88" i="77"/>
  <c r="Z88" i="77"/>
  <c r="X88" i="77"/>
  <c r="V88" i="77"/>
  <c r="R88" i="77"/>
  <c r="N88" i="77"/>
  <c r="L88" i="77"/>
  <c r="J88" i="77"/>
  <c r="F88" i="77"/>
  <c r="BD91" i="77"/>
  <c r="BB91" i="77"/>
  <c r="AZ91" i="77"/>
  <c r="BA91" i="77"/>
  <c r="AV91" i="77"/>
  <c r="AR91" i="77"/>
  <c r="AN91" i="77"/>
  <c r="AL91" i="77"/>
  <c r="AK91" i="77"/>
  <c r="AJ91" i="77"/>
  <c r="AH91" i="77"/>
  <c r="AG91" i="77"/>
  <c r="AF91" i="77"/>
  <c r="AC91" i="77"/>
  <c r="W91" i="77"/>
  <c r="S91" i="77"/>
  <c r="P91" i="77"/>
  <c r="T91" i="77" s="1"/>
  <c r="O91" i="77"/>
  <c r="K91" i="77"/>
  <c r="H91" i="77"/>
  <c r="G91" i="77"/>
  <c r="E91" i="77"/>
  <c r="AZ203" i="73"/>
  <c r="AV203" i="73"/>
  <c r="AT203" i="73"/>
  <c r="AR203" i="73"/>
  <c r="AN203" i="73"/>
  <c r="AL203" i="73"/>
  <c r="AJ203" i="73"/>
  <c r="AH203" i="73"/>
  <c r="AG203" i="73"/>
  <c r="AF203" i="73"/>
  <c r="AD203" i="73"/>
  <c r="AC203" i="73"/>
  <c r="AB203" i="73"/>
  <c r="Z203" i="73"/>
  <c r="X203" i="73"/>
  <c r="W203" i="73"/>
  <c r="V203" i="73"/>
  <c r="T203" i="73"/>
  <c r="S203" i="73"/>
  <c r="R203" i="73"/>
  <c r="P203" i="73"/>
  <c r="O203" i="73"/>
  <c r="N203" i="73"/>
  <c r="L203" i="73"/>
  <c r="K203" i="73"/>
  <c r="J203" i="73"/>
  <c r="H203" i="73"/>
  <c r="G203" i="73"/>
  <c r="F203" i="73"/>
  <c r="E203" i="73"/>
  <c r="AK203" i="73"/>
  <c r="AM203" i="73" l="1"/>
  <c r="BC203" i="73" s="1"/>
  <c r="Q91" i="77"/>
  <c r="I91" i="77"/>
  <c r="AM91" i="77"/>
  <c r="BC91" i="77" s="1"/>
  <c r="M91" i="77"/>
  <c r="AI91" i="77"/>
  <c r="Y91" i="77"/>
  <c r="AA91" i="77"/>
  <c r="U91" i="77"/>
  <c r="AO91" i="77"/>
  <c r="AE91" i="77"/>
  <c r="AS91" i="77"/>
  <c r="BE91" i="77" l="1"/>
  <c r="AL28" i="22"/>
  <c r="AL24" i="22"/>
  <c r="AL23" i="22"/>
  <c r="AL14" i="22"/>
  <c r="AL10" i="22"/>
  <c r="AL9" i="22"/>
  <c r="AK37" i="27"/>
  <c r="AK35" i="27"/>
  <c r="AK27" i="27"/>
  <c r="AK29" i="27"/>
  <c r="AK28" i="27"/>
  <c r="AK26" i="27"/>
  <c r="AK20" i="27"/>
  <c r="AK19" i="27"/>
  <c r="AK18" i="27"/>
  <c r="AL6" i="27"/>
  <c r="AL26" i="22" l="1"/>
  <c r="AL12" i="22"/>
  <c r="AJ37" i="27"/>
  <c r="AJ21" i="27"/>
  <c r="AJ39" i="27" l="1"/>
  <c r="AK36" i="27"/>
  <c r="AK39" i="27" s="1"/>
  <c r="AJ33" i="27"/>
  <c r="AK33" i="27"/>
  <c r="AJ24" i="27"/>
  <c r="AK22" i="27"/>
  <c r="AK21" i="27"/>
  <c r="AK24" i="27" l="1"/>
  <c r="AK130" i="26"/>
  <c r="AJ130" i="26"/>
  <c r="AK114" i="26"/>
  <c r="AJ112" i="26"/>
  <c r="AJ110" i="26"/>
  <c r="AJ108" i="26"/>
  <c r="AJ106" i="26"/>
  <c r="AJ104" i="26"/>
  <c r="AJ102" i="26"/>
  <c r="AJ100" i="26"/>
  <c r="AJ98" i="26"/>
  <c r="AK94" i="26"/>
  <c r="AJ91" i="26"/>
  <c r="AJ89" i="26"/>
  <c r="AJ87" i="26"/>
  <c r="AJ85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J48" i="26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J11" i="26"/>
  <c r="AJ9" i="26"/>
  <c r="AK56" i="26" l="1"/>
  <c r="AJ50" i="26"/>
  <c r="AJ56" i="26" s="1"/>
  <c r="AK18" i="26"/>
  <c r="AJ83" i="26"/>
  <c r="AJ94" i="26"/>
  <c r="AJ114" i="26"/>
  <c r="AJ82" i="26"/>
  <c r="AJ75" i="26"/>
  <c r="AJ45" i="26"/>
  <c r="AJ12" i="26"/>
  <c r="AK13" i="26"/>
  <c r="AK19" i="26"/>
  <c r="AK51" i="26"/>
  <c r="AK57" i="26"/>
  <c r="AJ13" i="26" l="1"/>
  <c r="AJ57" i="26"/>
  <c r="AJ51" i="26"/>
  <c r="AJ19" i="26"/>
  <c r="AJ18" i="26"/>
  <c r="AM110" i="17" l="1"/>
  <c r="AM111" i="17"/>
  <c r="AJ117" i="17" l="1"/>
  <c r="AJ115" i="17"/>
  <c r="AK87" i="17"/>
  <c r="AJ87" i="17"/>
  <c r="AK86" i="17"/>
  <c r="AJ86" i="17"/>
  <c r="AK85" i="17"/>
  <c r="AJ85" i="17"/>
  <c r="AK84" i="17"/>
  <c r="AJ84" i="17"/>
  <c r="AK83" i="17"/>
  <c r="AJ83" i="17"/>
  <c r="AK74" i="17"/>
  <c r="AJ74" i="17"/>
  <c r="AK67" i="17"/>
  <c r="AK69" i="17" s="1"/>
  <c r="AJ67" i="17"/>
  <c r="AJ69" i="17" s="1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K26" i="17"/>
  <c r="AJ26" i="17"/>
  <c r="AK22" i="17"/>
  <c r="AK16" i="17" s="1"/>
  <c r="AJ21" i="17"/>
  <c r="AJ19" i="17"/>
  <c r="AJ18" i="17"/>
  <c r="AJ16" i="17"/>
  <c r="AJ30" i="17" s="1"/>
  <c r="AJ15" i="17"/>
  <c r="AK14" i="17"/>
  <c r="AK12" i="17"/>
  <c r="AK9" i="17"/>
  <c r="AJ9" i="17"/>
  <c r="AJ11" i="17" s="1"/>
  <c r="AK8" i="72"/>
  <c r="AM107" i="90" s="1"/>
  <c r="BC107" i="90" s="1"/>
  <c r="AK12" i="72"/>
  <c r="AK13" i="72"/>
  <c r="AK14" i="72"/>
  <c r="AK16" i="72"/>
  <c r="AK17" i="72"/>
  <c r="AM114" i="90" s="1"/>
  <c r="BC114" i="90" s="1"/>
  <c r="AK19" i="72"/>
  <c r="AK20" i="72"/>
  <c r="AK21" i="72"/>
  <c r="AK22" i="72"/>
  <c r="AK23" i="72"/>
  <c r="AK24" i="72"/>
  <c r="AK26" i="72"/>
  <c r="AK27" i="72"/>
  <c r="AK28" i="72"/>
  <c r="AK29" i="72"/>
  <c r="BA29" i="72" s="1"/>
  <c r="AK30" i="72"/>
  <c r="BA30" i="72" s="1"/>
  <c r="AK31" i="72"/>
  <c r="BA31" i="72" s="1"/>
  <c r="AK32" i="72"/>
  <c r="BA32" i="72" s="1"/>
  <c r="AK33" i="72"/>
  <c r="BA33" i="72" s="1"/>
  <c r="AK34" i="72"/>
  <c r="BA34" i="72" s="1"/>
  <c r="AK35" i="72"/>
  <c r="AK36" i="72"/>
  <c r="AK37" i="72"/>
  <c r="AK39" i="72"/>
  <c r="AK40" i="72"/>
  <c r="AK41" i="72"/>
  <c r="AK42" i="72"/>
  <c r="AK43" i="72"/>
  <c r="BA43" i="72" s="1"/>
  <c r="AK44" i="72"/>
  <c r="AK45" i="72"/>
  <c r="AK47" i="72"/>
  <c r="AU43" i="71"/>
  <c r="AW43" i="71"/>
  <c r="BA43" i="71"/>
  <c r="BE43" i="71"/>
  <c r="BI43" i="71"/>
  <c r="BM43" i="71"/>
  <c r="BS43" i="71"/>
  <c r="BW43" i="71"/>
  <c r="CA43" i="71"/>
  <c r="CQ43" i="71"/>
  <c r="AK55" i="71"/>
  <c r="AK7" i="71"/>
  <c r="AK8" i="71"/>
  <c r="AK9" i="71"/>
  <c r="AK10" i="71"/>
  <c r="AK11" i="71"/>
  <c r="AK12" i="71"/>
  <c r="AK13" i="71"/>
  <c r="AK14" i="71"/>
  <c r="AK15" i="71"/>
  <c r="AK16" i="71"/>
  <c r="AK17" i="71"/>
  <c r="AK18" i="71"/>
  <c r="AK19" i="71"/>
  <c r="AK20" i="71"/>
  <c r="AK21" i="71"/>
  <c r="AK22" i="71"/>
  <c r="AK23" i="71"/>
  <c r="AK24" i="71"/>
  <c r="AK25" i="71"/>
  <c r="AK26" i="71"/>
  <c r="AK27" i="71"/>
  <c r="AK28" i="71"/>
  <c r="AK29" i="71"/>
  <c r="AK31" i="71"/>
  <c r="AK32" i="71"/>
  <c r="AK33" i="71"/>
  <c r="AK34" i="71"/>
  <c r="AK35" i="71"/>
  <c r="AK36" i="71"/>
  <c r="AK37" i="71"/>
  <c r="AK38" i="71"/>
  <c r="AK39" i="71"/>
  <c r="AK40" i="71"/>
  <c r="AK41" i="71"/>
  <c r="AK42" i="71"/>
  <c r="AK43" i="71"/>
  <c r="AK44" i="71"/>
  <c r="AK45" i="71"/>
  <c r="AK46" i="71"/>
  <c r="AK47" i="71"/>
  <c r="AK48" i="71"/>
  <c r="AK49" i="71"/>
  <c r="AK50" i="71"/>
  <c r="AK51" i="71"/>
  <c r="AK52" i="71"/>
  <c r="AK53" i="71"/>
  <c r="AK54" i="71"/>
  <c r="AF7" i="71"/>
  <c r="AF8" i="71"/>
  <c r="AF9" i="71"/>
  <c r="AF10" i="71"/>
  <c r="AF11" i="71"/>
  <c r="AF12" i="71"/>
  <c r="AF13" i="71"/>
  <c r="AF14" i="71"/>
  <c r="AF15" i="71"/>
  <c r="AF16" i="71"/>
  <c r="AF17" i="71"/>
  <c r="AF18" i="71"/>
  <c r="AF19" i="71"/>
  <c r="AF20" i="71"/>
  <c r="AF21" i="71"/>
  <c r="AF22" i="71"/>
  <c r="AF23" i="71"/>
  <c r="AF24" i="71"/>
  <c r="AF25" i="71"/>
  <c r="AF26" i="71"/>
  <c r="AF27" i="71"/>
  <c r="AF28" i="71"/>
  <c r="AF29" i="71"/>
  <c r="AF31" i="71"/>
  <c r="AF32" i="71"/>
  <c r="AF33" i="71"/>
  <c r="AF34" i="71"/>
  <c r="AF35" i="71"/>
  <c r="AF36" i="71"/>
  <c r="AF37" i="71"/>
  <c r="AF38" i="71"/>
  <c r="AF39" i="71"/>
  <c r="AF40" i="71"/>
  <c r="AF41" i="71"/>
  <c r="AF42" i="71"/>
  <c r="AF43" i="71"/>
  <c r="AF44" i="71"/>
  <c r="AF45" i="71"/>
  <c r="AF46" i="71"/>
  <c r="AF47" i="71"/>
  <c r="AF48" i="71"/>
  <c r="AF49" i="71"/>
  <c r="AF50" i="71"/>
  <c r="AF51" i="71"/>
  <c r="AF52" i="71"/>
  <c r="AF53" i="71"/>
  <c r="AF54" i="71"/>
  <c r="AF55" i="71"/>
  <c r="AB7" i="71"/>
  <c r="AG7" i="71" s="1"/>
  <c r="AB8" i="71"/>
  <c r="AG8" i="71" s="1"/>
  <c r="AB9" i="71"/>
  <c r="AB10" i="71"/>
  <c r="AG10" i="71" s="1"/>
  <c r="AB11" i="71"/>
  <c r="AG11" i="71" s="1"/>
  <c r="AB12" i="71"/>
  <c r="AB13" i="71"/>
  <c r="AG13" i="71" s="1"/>
  <c r="AB14" i="71"/>
  <c r="AG14" i="71" s="1"/>
  <c r="AB15" i="71"/>
  <c r="AB16" i="71"/>
  <c r="AG16" i="71" s="1"/>
  <c r="AB17" i="71"/>
  <c r="AG17" i="71" s="1"/>
  <c r="AB18" i="71"/>
  <c r="AB19" i="71"/>
  <c r="AG19" i="71" s="1"/>
  <c r="AB20" i="71"/>
  <c r="AG20" i="71" s="1"/>
  <c r="AB21" i="71"/>
  <c r="AB22" i="71"/>
  <c r="AG22" i="71" s="1"/>
  <c r="AB23" i="71"/>
  <c r="AG23" i="71" s="1"/>
  <c r="AB24" i="71"/>
  <c r="AG24" i="71" s="1"/>
  <c r="AB25" i="71"/>
  <c r="AB26" i="71"/>
  <c r="AG26" i="71" s="1"/>
  <c r="AB27" i="71"/>
  <c r="AB28" i="71"/>
  <c r="AG28" i="71" s="1"/>
  <c r="AB29" i="71"/>
  <c r="AG29" i="71" s="1"/>
  <c r="AB31" i="71"/>
  <c r="AG31" i="71" s="1"/>
  <c r="AB32" i="71"/>
  <c r="AG32" i="71" s="1"/>
  <c r="AB33" i="71"/>
  <c r="AG33" i="71" s="1"/>
  <c r="AB34" i="71"/>
  <c r="AB35" i="71"/>
  <c r="AG35" i="71" s="1"/>
  <c r="AB36" i="71"/>
  <c r="AG36" i="71" s="1"/>
  <c r="AB37" i="71"/>
  <c r="AG37" i="71" s="1"/>
  <c r="AB38" i="71"/>
  <c r="AG38" i="71" s="1"/>
  <c r="AB39" i="71"/>
  <c r="AG39" i="71" s="1"/>
  <c r="AB40" i="71"/>
  <c r="AB41" i="71"/>
  <c r="AG41" i="71" s="1"/>
  <c r="AB42" i="71"/>
  <c r="AG42" i="71" s="1"/>
  <c r="AB43" i="71"/>
  <c r="AG43" i="71" s="1"/>
  <c r="AB44" i="71"/>
  <c r="AG44" i="71" s="1"/>
  <c r="AB45" i="71"/>
  <c r="AG45" i="71" s="1"/>
  <c r="AB46" i="71"/>
  <c r="AB47" i="71"/>
  <c r="AG47" i="71" s="1"/>
  <c r="AB48" i="71"/>
  <c r="AG48" i="71" s="1"/>
  <c r="AB49" i="71"/>
  <c r="AG49" i="71" s="1"/>
  <c r="AB50" i="71"/>
  <c r="AB51" i="71"/>
  <c r="AG51" i="71" s="1"/>
  <c r="AB52" i="71"/>
  <c r="AB53" i="71"/>
  <c r="AG53" i="71" s="1"/>
  <c r="AB54" i="71"/>
  <c r="AG54" i="71" s="1"/>
  <c r="AB55" i="71"/>
  <c r="R7" i="71"/>
  <c r="W7" i="71" s="1"/>
  <c r="R8" i="71"/>
  <c r="W8" i="71" s="1"/>
  <c r="R9" i="71"/>
  <c r="W9" i="71" s="1"/>
  <c r="R10" i="71"/>
  <c r="W10" i="71" s="1"/>
  <c r="R11" i="71"/>
  <c r="W11" i="71" s="1"/>
  <c r="R12" i="71"/>
  <c r="W12" i="71" s="1"/>
  <c r="R13" i="71"/>
  <c r="W13" i="71" s="1"/>
  <c r="R14" i="71"/>
  <c r="W14" i="71" s="1"/>
  <c r="R15" i="71"/>
  <c r="W15" i="71" s="1"/>
  <c r="R16" i="71"/>
  <c r="W16" i="71" s="1"/>
  <c r="R17" i="71"/>
  <c r="W17" i="71" s="1"/>
  <c r="R18" i="71"/>
  <c r="W18" i="71" s="1"/>
  <c r="R19" i="71"/>
  <c r="W19" i="71" s="1"/>
  <c r="R20" i="71"/>
  <c r="W20" i="71" s="1"/>
  <c r="R21" i="71"/>
  <c r="W21" i="71" s="1"/>
  <c r="R22" i="71"/>
  <c r="W22" i="71" s="1"/>
  <c r="R23" i="71"/>
  <c r="W23" i="71" s="1"/>
  <c r="R24" i="71"/>
  <c r="W24" i="71" s="1"/>
  <c r="R25" i="71"/>
  <c r="W25" i="71" s="1"/>
  <c r="R26" i="71"/>
  <c r="W26" i="71" s="1"/>
  <c r="R27" i="71"/>
  <c r="W27" i="71" s="1"/>
  <c r="R28" i="71"/>
  <c r="W28" i="71" s="1"/>
  <c r="R29" i="71"/>
  <c r="W29" i="71" s="1"/>
  <c r="R31" i="71"/>
  <c r="W31" i="71" s="1"/>
  <c r="R32" i="71"/>
  <c r="W32" i="71" s="1"/>
  <c r="R33" i="71"/>
  <c r="W33" i="71" s="1"/>
  <c r="R34" i="71"/>
  <c r="W34" i="71" s="1"/>
  <c r="R35" i="71"/>
  <c r="W35" i="71" s="1"/>
  <c r="R36" i="71"/>
  <c r="W36" i="71" s="1"/>
  <c r="R37" i="71"/>
  <c r="W37" i="71" s="1"/>
  <c r="R38" i="71"/>
  <c r="W38" i="71" s="1"/>
  <c r="R39" i="71"/>
  <c r="W39" i="71" s="1"/>
  <c r="R40" i="71"/>
  <c r="W40" i="71" s="1"/>
  <c r="R41" i="71"/>
  <c r="W41" i="71" s="1"/>
  <c r="R42" i="71"/>
  <c r="W42" i="71" s="1"/>
  <c r="R43" i="71"/>
  <c r="W43" i="71" s="1"/>
  <c r="R44" i="71"/>
  <c r="W44" i="71" s="1"/>
  <c r="R45" i="71"/>
  <c r="W45" i="71" s="1"/>
  <c r="R46" i="71"/>
  <c r="W46" i="71" s="1"/>
  <c r="R47" i="71"/>
  <c r="W47" i="71" s="1"/>
  <c r="R48" i="71"/>
  <c r="W48" i="71" s="1"/>
  <c r="R49" i="71"/>
  <c r="W49" i="71" s="1"/>
  <c r="R50" i="71"/>
  <c r="W50" i="71" s="1"/>
  <c r="R51" i="71"/>
  <c r="W51" i="71" s="1"/>
  <c r="R52" i="71"/>
  <c r="W52" i="71" s="1"/>
  <c r="R53" i="71"/>
  <c r="W53" i="71" s="1"/>
  <c r="R54" i="71"/>
  <c r="W54" i="71" s="1"/>
  <c r="M7" i="71"/>
  <c r="M8" i="71"/>
  <c r="M9" i="71"/>
  <c r="M10" i="71"/>
  <c r="M11" i="71"/>
  <c r="M12" i="71"/>
  <c r="M13" i="71"/>
  <c r="M14" i="71"/>
  <c r="M15" i="71"/>
  <c r="M16" i="71"/>
  <c r="M17" i="71"/>
  <c r="M18" i="71"/>
  <c r="M19" i="71"/>
  <c r="M20" i="71"/>
  <c r="M21" i="71"/>
  <c r="M22" i="71"/>
  <c r="M23" i="71"/>
  <c r="M24" i="71"/>
  <c r="M25" i="71"/>
  <c r="M26" i="71"/>
  <c r="M27" i="71"/>
  <c r="M28" i="71"/>
  <c r="M29" i="71"/>
  <c r="M31" i="71"/>
  <c r="M32" i="71"/>
  <c r="M33" i="71"/>
  <c r="M34" i="71"/>
  <c r="M35" i="71"/>
  <c r="M36" i="71"/>
  <c r="M37" i="71"/>
  <c r="M38" i="71"/>
  <c r="M39" i="71"/>
  <c r="M40" i="71"/>
  <c r="M41" i="71"/>
  <c r="M42" i="71"/>
  <c r="M43" i="71"/>
  <c r="M44" i="71"/>
  <c r="M45" i="71"/>
  <c r="M46" i="71"/>
  <c r="M47" i="71"/>
  <c r="M48" i="71"/>
  <c r="M49" i="71"/>
  <c r="M50" i="71"/>
  <c r="M51" i="71"/>
  <c r="M52" i="71"/>
  <c r="M53" i="71"/>
  <c r="M54" i="71"/>
  <c r="I7" i="71"/>
  <c r="I8" i="71"/>
  <c r="X8" i="71" s="1"/>
  <c r="I9" i="71"/>
  <c r="I10" i="71"/>
  <c r="I11" i="71"/>
  <c r="I12" i="71"/>
  <c r="I13" i="71"/>
  <c r="I14" i="71"/>
  <c r="I15" i="71"/>
  <c r="I16" i="71"/>
  <c r="I17" i="71"/>
  <c r="N17" i="71" s="1"/>
  <c r="I18" i="71"/>
  <c r="I19" i="71"/>
  <c r="I20" i="71"/>
  <c r="X20" i="71" s="1"/>
  <c r="I21" i="71"/>
  <c r="I22" i="71"/>
  <c r="I23" i="71"/>
  <c r="I24" i="71"/>
  <c r="I25" i="71"/>
  <c r="I26" i="71"/>
  <c r="I27" i="71"/>
  <c r="I28" i="71"/>
  <c r="I29" i="71"/>
  <c r="I31" i="71"/>
  <c r="I32" i="71"/>
  <c r="I33" i="71"/>
  <c r="N33" i="71" s="1"/>
  <c r="I34" i="71"/>
  <c r="I35" i="71"/>
  <c r="I36" i="71"/>
  <c r="I37" i="71"/>
  <c r="I38" i="71"/>
  <c r="I39" i="71"/>
  <c r="I40" i="71"/>
  <c r="I41" i="71"/>
  <c r="I42" i="71"/>
  <c r="N42" i="71" s="1"/>
  <c r="I43" i="71"/>
  <c r="N43" i="71" s="1"/>
  <c r="I44" i="71"/>
  <c r="I45" i="71"/>
  <c r="X45" i="71" s="1"/>
  <c r="I46" i="71"/>
  <c r="I47" i="71"/>
  <c r="I48" i="71"/>
  <c r="I49" i="71"/>
  <c r="I50" i="71"/>
  <c r="I51" i="71"/>
  <c r="I52" i="71"/>
  <c r="I53" i="71"/>
  <c r="I54" i="71"/>
  <c r="N54" i="71" s="1"/>
  <c r="CQ23" i="71"/>
  <c r="AU23" i="71"/>
  <c r="AW23" i="71"/>
  <c r="BA23" i="71"/>
  <c r="BE23" i="71"/>
  <c r="BI23" i="71"/>
  <c r="BM23" i="71"/>
  <c r="BS23" i="71"/>
  <c r="BW23" i="71"/>
  <c r="CA23" i="71"/>
  <c r="AO31" i="71"/>
  <c r="AO23" i="71"/>
  <c r="AQ23" i="71" s="1"/>
  <c r="CA7" i="71"/>
  <c r="CA8" i="71"/>
  <c r="CA9" i="71"/>
  <c r="AK68" i="90" s="1"/>
  <c r="CA10" i="71"/>
  <c r="CA11" i="71"/>
  <c r="CA12" i="71"/>
  <c r="CA13" i="71"/>
  <c r="CA14" i="71"/>
  <c r="CA15" i="71"/>
  <c r="CA16" i="71"/>
  <c r="CA17" i="71"/>
  <c r="CA18" i="71"/>
  <c r="CA19" i="71"/>
  <c r="AK69" i="90" s="1"/>
  <c r="CA20" i="71"/>
  <c r="AK70" i="90" s="1"/>
  <c r="CA21" i="71"/>
  <c r="AK71" i="90" s="1"/>
  <c r="CA22" i="71"/>
  <c r="AK72" i="90" s="1"/>
  <c r="CA24" i="71"/>
  <c r="CA25" i="71"/>
  <c r="CA26" i="71"/>
  <c r="AK73" i="90" s="1"/>
  <c r="CA27" i="71"/>
  <c r="CA28" i="71"/>
  <c r="CA29" i="71"/>
  <c r="CA31" i="71"/>
  <c r="CA32" i="71"/>
  <c r="CA33" i="71"/>
  <c r="CA34" i="71"/>
  <c r="CA35" i="71"/>
  <c r="CA36" i="71"/>
  <c r="CA37" i="71"/>
  <c r="AK74" i="90" s="1"/>
  <c r="CA38" i="71"/>
  <c r="CA39" i="71"/>
  <c r="CA40" i="71"/>
  <c r="CA41" i="71"/>
  <c r="AK76" i="90" s="1"/>
  <c r="CA42" i="71"/>
  <c r="AK77" i="90" s="1"/>
  <c r="CA44" i="71"/>
  <c r="AK78" i="90" s="1"/>
  <c r="CA45" i="71"/>
  <c r="CA46" i="71"/>
  <c r="AK79" i="90" s="1"/>
  <c r="CA47" i="71"/>
  <c r="AK80" i="90" s="1"/>
  <c r="CA48" i="71"/>
  <c r="AK81" i="90" s="1"/>
  <c r="CA49" i="71"/>
  <c r="AK82" i="90" s="1"/>
  <c r="CA50" i="71"/>
  <c r="AK83" i="90" s="1"/>
  <c r="CA51" i="71"/>
  <c r="CA52" i="71"/>
  <c r="CA53" i="71"/>
  <c r="CA54" i="71"/>
  <c r="AK84" i="90" s="1"/>
  <c r="CA55" i="71"/>
  <c r="X29" i="71" l="1"/>
  <c r="AJ122" i="17"/>
  <c r="AG50" i="71"/>
  <c r="X49" i="71"/>
  <c r="X37" i="71"/>
  <c r="X24" i="71"/>
  <c r="X12" i="71"/>
  <c r="X44" i="71"/>
  <c r="X32" i="71"/>
  <c r="X19" i="71"/>
  <c r="X7" i="71"/>
  <c r="X31" i="71"/>
  <c r="X18" i="71"/>
  <c r="AM111" i="90"/>
  <c r="BC111" i="90" s="1"/>
  <c r="N40" i="71"/>
  <c r="N47" i="71"/>
  <c r="N35" i="71"/>
  <c r="N22" i="71"/>
  <c r="N10" i="71"/>
  <c r="X46" i="71"/>
  <c r="X34" i="71"/>
  <c r="X21" i="71"/>
  <c r="X9" i="71"/>
  <c r="AM112" i="90"/>
  <c r="BC112" i="90" s="1"/>
  <c r="AM113" i="90"/>
  <c r="BC113" i="90" s="1"/>
  <c r="N51" i="71"/>
  <c r="X39" i="71"/>
  <c r="X26" i="71"/>
  <c r="N14" i="71"/>
  <c r="AG25" i="71"/>
  <c r="N53" i="71"/>
  <c r="N41" i="71"/>
  <c r="N28" i="71"/>
  <c r="N16" i="71"/>
  <c r="X52" i="71"/>
  <c r="X27" i="71"/>
  <c r="X15" i="71"/>
  <c r="N37" i="71"/>
  <c r="N31" i="71"/>
  <c r="X43" i="71"/>
  <c r="X50" i="71"/>
  <c r="X38" i="71"/>
  <c r="X25" i="71"/>
  <c r="X13" i="71"/>
  <c r="N34" i="71"/>
  <c r="X40" i="71"/>
  <c r="X48" i="71"/>
  <c r="N36" i="71"/>
  <c r="N23" i="71"/>
  <c r="X11" i="71"/>
  <c r="N27" i="71"/>
  <c r="N24" i="71"/>
  <c r="AK116" i="17"/>
  <c r="AY23" i="71"/>
  <c r="N21" i="71"/>
  <c r="N18" i="71"/>
  <c r="AY43" i="71"/>
  <c r="N52" i="71"/>
  <c r="N15" i="71"/>
  <c r="AP31" i="71"/>
  <c r="N49" i="71"/>
  <c r="N12" i="71"/>
  <c r="N46" i="71"/>
  <c r="N9" i="71"/>
  <c r="AJ22" i="17"/>
  <c r="AJ32" i="17" s="1"/>
  <c r="CC23" i="71"/>
  <c r="CS23" i="71" s="1"/>
  <c r="CC43" i="71"/>
  <c r="CS43" i="71" s="1"/>
  <c r="AK30" i="17"/>
  <c r="AK122" i="17"/>
  <c r="AJ59" i="17"/>
  <c r="AJ62" i="17" s="1"/>
  <c r="AK62" i="17"/>
  <c r="AJ50" i="17"/>
  <c r="AJ114" i="17" s="1"/>
  <c r="AK33" i="17"/>
  <c r="AJ119" i="17"/>
  <c r="AK114" i="17"/>
  <c r="AK51" i="17"/>
  <c r="AK55" i="17" s="1"/>
  <c r="AK54" i="17"/>
  <c r="AK11" i="17"/>
  <c r="AK31" i="17"/>
  <c r="AK34" i="17"/>
  <c r="AK45" i="17"/>
  <c r="AK13" i="17"/>
  <c r="AK117" i="17" s="1"/>
  <c r="AK32" i="17"/>
  <c r="AJ116" i="17"/>
  <c r="BO23" i="71"/>
  <c r="N45" i="71"/>
  <c r="N39" i="71"/>
  <c r="N26" i="71"/>
  <c r="N20" i="71"/>
  <c r="N8" i="71"/>
  <c r="X42" i="71"/>
  <c r="X36" i="71"/>
  <c r="X23" i="71"/>
  <c r="AR23" i="71" s="1"/>
  <c r="X17" i="71"/>
  <c r="BC23" i="71"/>
  <c r="BG23" i="71" s="1"/>
  <c r="BK23" i="71" s="1"/>
  <c r="CU23" i="71"/>
  <c r="N50" i="71"/>
  <c r="N44" i="71"/>
  <c r="N38" i="71"/>
  <c r="N32" i="71"/>
  <c r="N25" i="71"/>
  <c r="N19" i="71"/>
  <c r="N13" i="71"/>
  <c r="N7" i="71"/>
  <c r="X53" i="71"/>
  <c r="X47" i="71"/>
  <c r="X41" i="71"/>
  <c r="X35" i="71"/>
  <c r="X28" i="71"/>
  <c r="X22" i="71"/>
  <c r="X16" i="71"/>
  <c r="X10" i="71"/>
  <c r="AG52" i="71"/>
  <c r="AG46" i="71"/>
  <c r="AG40" i="71"/>
  <c r="AG34" i="71"/>
  <c r="AG27" i="71"/>
  <c r="AG21" i="71"/>
  <c r="AG15" i="71"/>
  <c r="AG9" i="71"/>
  <c r="AQ43" i="71"/>
  <c r="AQ31" i="71"/>
  <c r="N48" i="71"/>
  <c r="N29" i="71"/>
  <c r="N11" i="71"/>
  <c r="X51" i="71"/>
  <c r="X33" i="71"/>
  <c r="X14" i="71"/>
  <c r="BO43" i="71"/>
  <c r="AG18" i="71"/>
  <c r="AG12" i="71"/>
  <c r="AP23" i="71"/>
  <c r="BC43" i="71"/>
  <c r="BG43" i="71" s="1"/>
  <c r="BK43" i="71" s="1"/>
  <c r="CU43" i="71"/>
  <c r="AR31" i="71" l="1"/>
  <c r="AR43" i="71"/>
  <c r="AJ60" i="17"/>
  <c r="AJ34" i="17"/>
  <c r="AK118" i="17"/>
  <c r="AJ31" i="17"/>
  <c r="AJ33" i="17"/>
  <c r="BQ43" i="71"/>
  <c r="BU43" i="71" s="1"/>
  <c r="BY43" i="71" s="1"/>
  <c r="CE43" i="71" s="1"/>
  <c r="AK115" i="17"/>
  <c r="AJ118" i="17"/>
  <c r="AJ54" i="17"/>
  <c r="AK15" i="17"/>
  <c r="AK119" i="17"/>
  <c r="BQ23" i="71"/>
  <c r="BU23" i="71" s="1"/>
  <c r="BY23" i="71" s="1"/>
  <c r="CE23" i="71" s="1"/>
  <c r="CI23" i="71" l="1"/>
  <c r="CM23" i="71" s="1"/>
  <c r="CI43" i="71"/>
  <c r="CM43" i="71" s="1"/>
  <c r="AQ81" i="45"/>
  <c r="AU81" i="45" s="1"/>
  <c r="AY81" i="45" s="1"/>
  <c r="BG81" i="45" s="1"/>
  <c r="BI81" i="45" s="1"/>
  <c r="AQ86" i="45"/>
  <c r="AU86" i="45" s="1"/>
  <c r="AY86" i="45" s="1"/>
  <c r="BG86" i="45" s="1"/>
  <c r="BI86" i="45" s="1"/>
  <c r="AO9" i="45"/>
  <c r="AO10" i="45"/>
  <c r="AO11" i="45"/>
  <c r="AO12" i="45"/>
  <c r="AO13" i="45"/>
  <c r="AO14" i="45"/>
  <c r="AO15" i="45"/>
  <c r="AO16" i="45"/>
  <c r="AO17" i="45"/>
  <c r="AO18" i="45"/>
  <c r="AO19" i="45"/>
  <c r="AO20" i="45"/>
  <c r="AO21" i="45"/>
  <c r="AO22" i="45"/>
  <c r="AO23" i="45"/>
  <c r="AO24" i="45"/>
  <c r="AO25" i="45"/>
  <c r="AO26" i="45"/>
  <c r="AO27" i="45"/>
  <c r="AO28" i="45"/>
  <c r="BE28" i="45" s="1"/>
  <c r="BL28" i="45" s="1"/>
  <c r="AO29" i="45"/>
  <c r="BE29" i="45" s="1"/>
  <c r="BL29" i="45" s="1"/>
  <c r="AO30" i="45"/>
  <c r="BE30" i="45" s="1"/>
  <c r="BL30" i="45" s="1"/>
  <c r="AO31" i="45"/>
  <c r="AO32" i="45"/>
  <c r="AO33" i="45"/>
  <c r="AO34" i="45"/>
  <c r="AO35" i="45"/>
  <c r="AO36" i="45"/>
  <c r="AO37" i="45"/>
  <c r="AO38" i="45"/>
  <c r="AO39" i="45"/>
  <c r="AO40" i="45"/>
  <c r="AO41" i="45"/>
  <c r="AO42" i="45"/>
  <c r="AO43" i="45"/>
  <c r="AO44" i="45"/>
  <c r="AO45" i="45"/>
  <c r="AO46" i="45"/>
  <c r="AO47" i="45"/>
  <c r="AO48" i="45"/>
  <c r="AO49" i="45"/>
  <c r="BE49" i="45" s="1"/>
  <c r="BL49" i="45" s="1"/>
  <c r="AO50" i="45"/>
  <c r="AO51" i="45"/>
  <c r="AO52" i="45"/>
  <c r="AO53" i="45"/>
  <c r="AO54" i="45"/>
  <c r="AO55" i="45"/>
  <c r="AO56" i="45"/>
  <c r="AO57" i="45"/>
  <c r="AO58" i="45"/>
  <c r="AO59" i="45"/>
  <c r="AO60" i="45"/>
  <c r="AO61" i="45"/>
  <c r="AO62" i="45"/>
  <c r="BE62" i="45" s="1"/>
  <c r="BL62" i="45" s="1"/>
  <c r="AO63" i="45"/>
  <c r="AO64" i="45"/>
  <c r="AO65" i="45"/>
  <c r="AO66" i="45"/>
  <c r="AO67" i="45"/>
  <c r="AO68" i="45"/>
  <c r="AO69" i="45"/>
  <c r="AO70" i="45"/>
  <c r="BE70" i="45" s="1"/>
  <c r="BL70" i="45" s="1"/>
  <c r="AO71" i="45"/>
  <c r="BE71" i="45" s="1"/>
  <c r="BL71" i="45" s="1"/>
  <c r="AO72" i="45"/>
  <c r="AO73" i="45"/>
  <c r="AO74" i="45"/>
  <c r="BE74" i="45" s="1"/>
  <c r="BL74" i="45" s="1"/>
  <c r="AO75" i="45"/>
  <c r="BE75" i="45" s="1"/>
  <c r="BL75" i="45" s="1"/>
  <c r="AO76" i="45"/>
  <c r="BE76" i="45" s="1"/>
  <c r="BL76" i="45" s="1"/>
  <c r="AO77" i="45"/>
  <c r="BE77" i="45" s="1"/>
  <c r="BL77" i="45" s="1"/>
  <c r="AO78" i="45"/>
  <c r="BE78" i="45" s="1"/>
  <c r="BL78" i="45" s="1"/>
  <c r="AO79" i="45"/>
  <c r="BE79" i="45" s="1"/>
  <c r="BL79" i="45" s="1"/>
  <c r="AO80" i="45"/>
  <c r="BE80" i="45" s="1"/>
  <c r="BL80" i="45" s="1"/>
  <c r="AO81" i="45"/>
  <c r="BE81" i="45" s="1"/>
  <c r="BL81" i="45" s="1"/>
  <c r="AO82" i="45"/>
  <c r="BE82" i="45" s="1"/>
  <c r="BL82" i="45" s="1"/>
  <c r="AO83" i="45"/>
  <c r="BE83" i="45" s="1"/>
  <c r="BL83" i="45" s="1"/>
  <c r="AO84" i="45"/>
  <c r="BE84" i="45" s="1"/>
  <c r="BL84" i="45" s="1"/>
  <c r="AO85" i="45"/>
  <c r="BE85" i="45" s="1"/>
  <c r="BL85" i="45" s="1"/>
  <c r="AO86" i="45"/>
  <c r="BE86" i="45" s="1"/>
  <c r="BL86" i="45" s="1"/>
  <c r="AO87" i="45"/>
  <c r="BE87" i="45" s="1"/>
  <c r="BL87" i="45" s="1"/>
  <c r="AO88" i="45"/>
  <c r="AO89" i="45"/>
  <c r="AO90" i="45"/>
  <c r="AO91" i="45"/>
  <c r="AO92" i="45"/>
  <c r="AO93" i="45"/>
  <c r="AO95" i="45"/>
  <c r="BE95" i="45" s="1"/>
  <c r="BL95" i="45" s="1"/>
  <c r="AO96" i="45"/>
  <c r="AO97" i="45"/>
  <c r="AO98" i="45"/>
  <c r="BE98" i="45" s="1"/>
  <c r="BL98" i="45" s="1"/>
  <c r="AO99" i="45"/>
  <c r="BE99" i="45" s="1"/>
  <c r="BL99" i="45" s="1"/>
  <c r="AO100" i="45"/>
  <c r="BE100" i="45" s="1"/>
  <c r="BL100" i="45" s="1"/>
  <c r="AO101" i="45"/>
  <c r="AO102" i="45"/>
  <c r="AO103" i="45"/>
  <c r="AO104" i="45"/>
  <c r="AO105" i="45"/>
  <c r="AO106" i="45"/>
  <c r="AO107" i="45"/>
  <c r="AO108" i="45"/>
  <c r="AO109" i="45"/>
  <c r="AO110" i="45"/>
  <c r="AO111" i="45"/>
  <c r="AO112" i="45"/>
  <c r="AO113" i="45"/>
  <c r="AO114" i="45"/>
  <c r="AO115" i="45"/>
  <c r="AO116" i="45"/>
  <c r="AP96" i="38" l="1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O27" i="38"/>
  <c r="AO26" i="38"/>
  <c r="AO25" i="38"/>
  <c r="AO24" i="38"/>
  <c r="AO23" i="38"/>
  <c r="AO22" i="38"/>
  <c r="AO21" i="38"/>
  <c r="AO20" i="38"/>
  <c r="AP19" i="38"/>
  <c r="AP68" i="38" s="1"/>
  <c r="AO15" i="38"/>
  <c r="AO14" i="38"/>
  <c r="AP13" i="38"/>
  <c r="AP62" i="38" s="1"/>
  <c r="AO12" i="38"/>
  <c r="AO11" i="38"/>
  <c r="AO10" i="38"/>
  <c r="AO9" i="38"/>
  <c r="AO8" i="38"/>
  <c r="AO7" i="38"/>
  <c r="AP6" i="38"/>
  <c r="AO13" i="38" l="1"/>
  <c r="AO65" i="38"/>
  <c r="AP16" i="38"/>
  <c r="AO67" i="38"/>
  <c r="AP18" i="38"/>
  <c r="AP67" i="38" s="1"/>
  <c r="AO89" i="38"/>
  <c r="AO66" i="38" s="1"/>
  <c r="AO98" i="38" s="1"/>
  <c r="AO43" i="38"/>
  <c r="AO40" i="38" s="1"/>
  <c r="AO35" i="38"/>
  <c r="AO19" i="38"/>
  <c r="AO6" i="38"/>
  <c r="AO16" i="38" s="1"/>
  <c r="AP55" i="38"/>
  <c r="AP65" i="38"/>
  <c r="AP40" i="38"/>
  <c r="BC116" i="45"/>
  <c r="BE116" i="45" s="1"/>
  <c r="BL116" i="45" s="1"/>
  <c r="AO117" i="45"/>
  <c r="BC117" i="45"/>
  <c r="AO118" i="45"/>
  <c r="BC118" i="45"/>
  <c r="AO119" i="45"/>
  <c r="BC119" i="45"/>
  <c r="AN8" i="11"/>
  <c r="BD8" i="11" s="1"/>
  <c r="AN9" i="11"/>
  <c r="BD9" i="11" s="1"/>
  <c r="AN10" i="11"/>
  <c r="BD10" i="11" s="1"/>
  <c r="AN11" i="11"/>
  <c r="BD11" i="11" s="1"/>
  <c r="AN12" i="11"/>
  <c r="BD12" i="11" s="1"/>
  <c r="AN13" i="11"/>
  <c r="BD13" i="11" s="1"/>
  <c r="AN14" i="11"/>
  <c r="BD14" i="11" s="1"/>
  <c r="AN15" i="11"/>
  <c r="BD15" i="11" s="1"/>
  <c r="AN16" i="11"/>
  <c r="BD16" i="11" s="1"/>
  <c r="AN17" i="11"/>
  <c r="BD17" i="11" s="1"/>
  <c r="AN18" i="11"/>
  <c r="BD18" i="11" s="1"/>
  <c r="AN19" i="11"/>
  <c r="BD19" i="11" s="1"/>
  <c r="AN20" i="11"/>
  <c r="BD20" i="11" s="1"/>
  <c r="AN21" i="11"/>
  <c r="BD21" i="11" s="1"/>
  <c r="AN22" i="11"/>
  <c r="BD22" i="11" s="1"/>
  <c r="AN23" i="11"/>
  <c r="BD23" i="11" s="1"/>
  <c r="AN24" i="11"/>
  <c r="BD24" i="11" s="1"/>
  <c r="AN25" i="11"/>
  <c r="BD25" i="11" s="1"/>
  <c r="AN26" i="11"/>
  <c r="BD26" i="11" s="1"/>
  <c r="AN27" i="11"/>
  <c r="BD27" i="11" s="1"/>
  <c r="AN28" i="11"/>
  <c r="BD28" i="11" s="1"/>
  <c r="AN29" i="11"/>
  <c r="BD29" i="11" s="1"/>
  <c r="AN30" i="11"/>
  <c r="BD30" i="11" s="1"/>
  <c r="AN31" i="11"/>
  <c r="BD31" i="11" s="1"/>
  <c r="AN32" i="11"/>
  <c r="BD32" i="11" s="1"/>
  <c r="AN33" i="11"/>
  <c r="BD33" i="11" s="1"/>
  <c r="AN34" i="11"/>
  <c r="BD34" i="11" s="1"/>
  <c r="AN35" i="11"/>
  <c r="BD35" i="11" s="1"/>
  <c r="AN36" i="11"/>
  <c r="BD36" i="11" s="1"/>
  <c r="AN37" i="11"/>
  <c r="BD37" i="11" s="1"/>
  <c r="AN38" i="11"/>
  <c r="BD38" i="11" s="1"/>
  <c r="AN39" i="11"/>
  <c r="BD39" i="11" s="1"/>
  <c r="AN40" i="11"/>
  <c r="BD40" i="11" s="1"/>
  <c r="AN41" i="11"/>
  <c r="BD41" i="11" s="1"/>
  <c r="AN8" i="10"/>
  <c r="AN9" i="10"/>
  <c r="AN10" i="10"/>
  <c r="AN11" i="10"/>
  <c r="AN12" i="10"/>
  <c r="AN14" i="10"/>
  <c r="AN15" i="10"/>
  <c r="AN16" i="10"/>
  <c r="AN17" i="10"/>
  <c r="AN18" i="10"/>
  <c r="AN19" i="10"/>
  <c r="AN20" i="10"/>
  <c r="AN23" i="10"/>
  <c r="AN25" i="10"/>
  <c r="AN26" i="10"/>
  <c r="AN27" i="10"/>
  <c r="AN28" i="10"/>
  <c r="AN29" i="10"/>
  <c r="AN30" i="10"/>
  <c r="AN31" i="10"/>
  <c r="AN33" i="10"/>
  <c r="AN34" i="10"/>
  <c r="AN36" i="10"/>
  <c r="AN37" i="10"/>
  <c r="AN38" i="10"/>
  <c r="AN40" i="10"/>
  <c r="AN41" i="10"/>
  <c r="AN42" i="10"/>
  <c r="AN43" i="10"/>
  <c r="AN44" i="10"/>
  <c r="AN45" i="10"/>
  <c r="AN46" i="10"/>
  <c r="AN48" i="10"/>
  <c r="AN49" i="10"/>
  <c r="AN50" i="10"/>
  <c r="AN51" i="10"/>
  <c r="AN52" i="10"/>
  <c r="AN53" i="10"/>
  <c r="AN54" i="10"/>
  <c r="AN57" i="10"/>
  <c r="AN58" i="10"/>
  <c r="AN59" i="10"/>
  <c r="AN61" i="10"/>
  <c r="AN62" i="10"/>
  <c r="AN63" i="10"/>
  <c r="AN64" i="10"/>
  <c r="AN65" i="10"/>
  <c r="AN66" i="10"/>
  <c r="AN68" i="10"/>
  <c r="AN69" i="10"/>
  <c r="AN70" i="10"/>
  <c r="AN71" i="10"/>
  <c r="AN72" i="10"/>
  <c r="AN73" i="10"/>
  <c r="AN74" i="10"/>
  <c r="AN75" i="10"/>
  <c r="AN76" i="10"/>
  <c r="AN77" i="10"/>
  <c r="AN78" i="10"/>
  <c r="AN79" i="10"/>
  <c r="AN80" i="10"/>
  <c r="AN81" i="10"/>
  <c r="AN82" i="10"/>
  <c r="AN83" i="10"/>
  <c r="AN84" i="10"/>
  <c r="AN85" i="10"/>
  <c r="AN86" i="10"/>
  <c r="BD86" i="10" s="1"/>
  <c r="BK86" i="10" s="1"/>
  <c r="AN87" i="10"/>
  <c r="AN88" i="10"/>
  <c r="AN89" i="10"/>
  <c r="AN91" i="10"/>
  <c r="AN92" i="10"/>
  <c r="AN93" i="10"/>
  <c r="AN94" i="10"/>
  <c r="AN95" i="10"/>
  <c r="AN96" i="10"/>
  <c r="AN97" i="10"/>
  <c r="AN98" i="10"/>
  <c r="AN99" i="10"/>
  <c r="AN100" i="10"/>
  <c r="AN101" i="10"/>
  <c r="AN102" i="10"/>
  <c r="AN103" i="10"/>
  <c r="AN104" i="10"/>
  <c r="AN106" i="10"/>
  <c r="BD106" i="10" s="1"/>
  <c r="BK106" i="10" s="1"/>
  <c r="AN107" i="10"/>
  <c r="AN108" i="10"/>
  <c r="AN109" i="10"/>
  <c r="AN110" i="10"/>
  <c r="AN111" i="10"/>
  <c r="AN112" i="10"/>
  <c r="AN113" i="10"/>
  <c r="AN114" i="10"/>
  <c r="AN115" i="10"/>
  <c r="AN116" i="10"/>
  <c r="AN117" i="10"/>
  <c r="AN118" i="10"/>
  <c r="AN119" i="10"/>
  <c r="AN120" i="10"/>
  <c r="AN121" i="10"/>
  <c r="AN122" i="10"/>
  <c r="AN123" i="10"/>
  <c r="BD123" i="10" s="1"/>
  <c r="BK123" i="10" s="1"/>
  <c r="AN124" i="10"/>
  <c r="BD124" i="10" s="1"/>
  <c r="BK124" i="10" s="1"/>
  <c r="AN125" i="10"/>
  <c r="AN126" i="10"/>
  <c r="BD126" i="10" s="1"/>
  <c r="BK126" i="10" s="1"/>
  <c r="AN127" i="10"/>
  <c r="AN186" i="10"/>
  <c r="BD186" i="10" s="1"/>
  <c r="BK186" i="10" s="1"/>
  <c r="AJ114" i="10"/>
  <c r="AP114" i="10" s="1"/>
  <c r="AT114" i="10" s="1"/>
  <c r="BB114" i="10"/>
  <c r="AM175" i="45"/>
  <c r="AL175" i="45"/>
  <c r="AM174" i="45"/>
  <c r="AL174" i="45"/>
  <c r="AM173" i="45"/>
  <c r="AL173" i="45"/>
  <c r="AM172" i="45"/>
  <c r="AL172" i="45"/>
  <c r="AM171" i="45"/>
  <c r="AL171" i="45"/>
  <c r="AM170" i="45"/>
  <c r="AL170" i="45"/>
  <c r="AM157" i="45"/>
  <c r="AM156" i="45"/>
  <c r="AM154" i="45"/>
  <c r="AM148" i="45"/>
  <c r="AM143" i="45"/>
  <c r="AL143" i="45"/>
  <c r="AM142" i="45"/>
  <c r="AL142" i="45"/>
  <c r="AM141" i="45"/>
  <c r="AL141" i="45"/>
  <c r="AM140" i="45"/>
  <c r="AL140" i="45"/>
  <c r="AM138" i="45"/>
  <c r="AL138" i="45"/>
  <c r="AM136" i="45"/>
  <c r="AL136" i="45"/>
  <c r="AM134" i="45"/>
  <c r="AL134" i="45"/>
  <c r="AM131" i="45"/>
  <c r="AL131" i="45"/>
  <c r="AM129" i="45"/>
  <c r="AM122" i="45"/>
  <c r="AM121" i="45"/>
  <c r="AM120" i="45"/>
  <c r="AN7" i="45"/>
  <c r="AN137" i="45" s="1"/>
  <c r="AN133" i="45"/>
  <c r="AN135" i="45"/>
  <c r="AN170" i="45"/>
  <c r="AN171" i="45"/>
  <c r="AN172" i="45"/>
  <c r="AN173" i="45"/>
  <c r="AN174" i="45"/>
  <c r="AN175" i="45"/>
  <c r="AL91" i="11"/>
  <c r="AL89" i="11"/>
  <c r="AL83" i="11"/>
  <c r="AL78" i="11"/>
  <c r="AK78" i="11"/>
  <c r="AL77" i="11"/>
  <c r="AK77" i="11"/>
  <c r="AL76" i="11"/>
  <c r="AK76" i="11"/>
  <c r="AL75" i="11"/>
  <c r="AK75" i="11"/>
  <c r="AL73" i="11"/>
  <c r="AK73" i="11"/>
  <c r="AL71" i="11"/>
  <c r="AK71" i="11"/>
  <c r="AL69" i="11"/>
  <c r="AK69" i="11"/>
  <c r="AL66" i="11"/>
  <c r="AK66" i="11"/>
  <c r="AL64" i="11"/>
  <c r="AL59" i="11"/>
  <c r="AL57" i="11"/>
  <c r="AL56" i="11"/>
  <c r="AK56" i="11"/>
  <c r="AK55" i="11" s="1"/>
  <c r="AL55" i="11"/>
  <c r="AL190" i="10"/>
  <c r="AL188" i="10"/>
  <c r="AL182" i="10"/>
  <c r="AL189" i="10" s="1"/>
  <c r="AL177" i="10"/>
  <c r="AK177" i="10"/>
  <c r="AL176" i="10"/>
  <c r="AK176" i="10"/>
  <c r="AL175" i="10"/>
  <c r="AK175" i="10"/>
  <c r="AL174" i="10"/>
  <c r="AK174" i="10"/>
  <c r="AL172" i="10"/>
  <c r="AK172" i="10"/>
  <c r="AL170" i="10"/>
  <c r="AK170" i="10"/>
  <c r="AL168" i="10"/>
  <c r="AK168" i="10"/>
  <c r="AL165" i="10"/>
  <c r="AL166" i="10" s="1"/>
  <c r="AK165" i="10"/>
  <c r="AK166" i="10" s="1"/>
  <c r="AL160" i="10"/>
  <c r="AK159" i="10"/>
  <c r="AK203" i="10" s="1"/>
  <c r="AL199" i="10"/>
  <c r="BD114" i="10" l="1"/>
  <c r="BK114" i="10" s="1"/>
  <c r="BM114" i="10"/>
  <c r="AL132" i="45"/>
  <c r="AM132" i="45"/>
  <c r="AL192" i="10"/>
  <c r="AK67" i="11"/>
  <c r="AX114" i="10"/>
  <c r="AK97" i="11"/>
  <c r="AN176" i="45"/>
  <c r="AL176" i="45"/>
  <c r="AK79" i="11"/>
  <c r="AK173" i="10"/>
  <c r="AK74" i="11"/>
  <c r="AM155" i="45"/>
  <c r="AM126" i="45"/>
  <c r="AL85" i="11"/>
  <c r="AL92" i="11"/>
  <c r="AL61" i="11"/>
  <c r="AL67" i="11"/>
  <c r="AL84" i="11"/>
  <c r="AL58" i="11"/>
  <c r="AM159" i="45"/>
  <c r="AM158" i="45"/>
  <c r="AM123" i="45"/>
  <c r="BE117" i="45"/>
  <c r="BL117" i="45" s="1"/>
  <c r="BE118" i="45"/>
  <c r="BL118" i="45" s="1"/>
  <c r="BE119" i="45"/>
  <c r="BL119" i="45" s="1"/>
  <c r="AO18" i="38"/>
  <c r="AO17" i="38" s="1"/>
  <c r="AO49" i="38" s="1"/>
  <c r="AP17" i="38"/>
  <c r="AP89" i="38"/>
  <c r="AM144" i="45"/>
  <c r="AM124" i="45"/>
  <c r="AL79" i="11"/>
  <c r="AM176" i="45"/>
  <c r="AM139" i="45"/>
  <c r="AM149" i="45"/>
  <c r="AM150" i="45"/>
  <c r="AN134" i="45"/>
  <c r="AN136" i="45"/>
  <c r="AL90" i="11"/>
  <c r="AL60" i="11"/>
  <c r="AL74" i="11"/>
  <c r="AL93" i="11"/>
  <c r="AK58" i="11"/>
  <c r="AL184" i="10"/>
  <c r="AL158" i="10"/>
  <c r="AL210" i="10" s="1"/>
  <c r="AL159" i="10"/>
  <c r="AL183" i="10"/>
  <c r="AK178" i="10"/>
  <c r="AK161" i="10"/>
  <c r="AK158" i="10"/>
  <c r="AK210" i="10" s="1"/>
  <c r="BF114" i="10" l="1"/>
  <c r="BI114" i="10" s="1"/>
  <c r="AM160" i="45"/>
  <c r="AL94" i="11"/>
  <c r="AM125" i="45"/>
  <c r="AP66" i="38"/>
  <c r="AP98" i="38" s="1"/>
  <c r="AP49" i="38"/>
  <c r="AL196" i="10"/>
  <c r="AL191" i="10"/>
  <c r="AL178" i="10"/>
  <c r="AL161" i="10"/>
  <c r="AL200" i="10"/>
  <c r="AL173" i="10"/>
  <c r="AL193" i="10" l="1"/>
  <c r="AN455" i="28" l="1"/>
  <c r="BD455" i="28" s="1"/>
  <c r="BK455" i="28" s="1"/>
  <c r="AN456" i="28"/>
  <c r="AN457" i="28"/>
  <c r="BD457" i="28" s="1"/>
  <c r="BK457" i="28" s="1"/>
  <c r="AN458" i="28"/>
  <c r="AN459" i="28"/>
  <c r="AN460" i="28"/>
  <c r="AN461" i="28"/>
  <c r="AN462" i="28"/>
  <c r="AN463" i="28"/>
  <c r="AN310" i="28"/>
  <c r="BD310" i="28" s="1"/>
  <c r="BK310" i="28" s="1"/>
  <c r="AJ384" i="28"/>
  <c r="AP384" i="28" s="1"/>
  <c r="AT384" i="28" s="1"/>
  <c r="AX384" i="28" s="1"/>
  <c r="BF384" i="28" s="1"/>
  <c r="BH384" i="28" s="1"/>
  <c r="AN384" i="28"/>
  <c r="BD384" i="28" s="1"/>
  <c r="BK384" i="28" s="1"/>
  <c r="AN385" i="28"/>
  <c r="BD385" i="28" s="1"/>
  <c r="BK385" i="28" s="1"/>
  <c r="AN400" i="28" l="1"/>
  <c r="BD400" i="28" s="1"/>
  <c r="BK400" i="28" s="1"/>
  <c r="AN401" i="28"/>
  <c r="BD401" i="28" s="1"/>
  <c r="BK401" i="28" s="1"/>
  <c r="AN402" i="28"/>
  <c r="BD402" i="28" s="1"/>
  <c r="BK402" i="28" s="1"/>
  <c r="AN403" i="28"/>
  <c r="BD403" i="28" s="1"/>
  <c r="BK403" i="28" s="1"/>
  <c r="AN405" i="28"/>
  <c r="BD405" i="28" s="1"/>
  <c r="BK405" i="28" s="1"/>
  <c r="AN406" i="28"/>
  <c r="BD406" i="28" s="1"/>
  <c r="BK406" i="28" s="1"/>
  <c r="AN407" i="28"/>
  <c r="BD407" i="28" s="1"/>
  <c r="BK407" i="28" s="1"/>
  <c r="AN408" i="28"/>
  <c r="BD408" i="28" s="1"/>
  <c r="BK408" i="28" s="1"/>
  <c r="AN382" i="28"/>
  <c r="BD382" i="28" s="1"/>
  <c r="BK382" i="28" s="1"/>
  <c r="AN383" i="28"/>
  <c r="BD383" i="28" s="1"/>
  <c r="BK383" i="28" s="1"/>
  <c r="AN386" i="28"/>
  <c r="BD386" i="28" s="1"/>
  <c r="BK386" i="28" s="1"/>
  <c r="AN387" i="28"/>
  <c r="BD387" i="28" s="1"/>
  <c r="BK387" i="28" s="1"/>
  <c r="AN389" i="28"/>
  <c r="BD389" i="28" s="1"/>
  <c r="BK389" i="28" s="1"/>
  <c r="AN390" i="28"/>
  <c r="BD390" i="28" s="1"/>
  <c r="BK390" i="28" s="1"/>
  <c r="AN391" i="28"/>
  <c r="BD391" i="28" s="1"/>
  <c r="BK391" i="28" s="1"/>
  <c r="AN392" i="28"/>
  <c r="BD392" i="28" s="1"/>
  <c r="BK392" i="28" s="1"/>
  <c r="AN393" i="28"/>
  <c r="BD393" i="28" s="1"/>
  <c r="BK393" i="28" s="1"/>
  <c r="AN394" i="28"/>
  <c r="BD394" i="28" s="1"/>
  <c r="BK394" i="28" s="1"/>
  <c r="AN395" i="28"/>
  <c r="BD395" i="28" s="1"/>
  <c r="BK395" i="28" s="1"/>
  <c r="AN396" i="28"/>
  <c r="BD396" i="28" s="1"/>
  <c r="BK396" i="28" s="1"/>
  <c r="AN397" i="28"/>
  <c r="BD397" i="28" s="1"/>
  <c r="BK397" i="28" s="1"/>
  <c r="AN398" i="28"/>
  <c r="BD398" i="28" s="1"/>
  <c r="BK398" i="28" s="1"/>
  <c r="AN272" i="28"/>
  <c r="BD272" i="28" s="1"/>
  <c r="BK272" i="28" s="1"/>
  <c r="AN273" i="28"/>
  <c r="AN274" i="28"/>
  <c r="AN269" i="28"/>
  <c r="BB269" i="28"/>
  <c r="AJ261" i="28"/>
  <c r="AP261" i="28" s="1"/>
  <c r="AN261" i="28"/>
  <c r="BB261" i="28"/>
  <c r="AN262" i="28"/>
  <c r="AN263" i="28"/>
  <c r="AN264" i="28"/>
  <c r="AN265" i="28"/>
  <c r="AN266" i="28"/>
  <c r="AJ119" i="28"/>
  <c r="AP119" i="28" s="1"/>
  <c r="AN119" i="28"/>
  <c r="AT261" i="28" l="1"/>
  <c r="AX261" i="28" s="1"/>
  <c r="BF261" i="28" s="1"/>
  <c r="BH261" i="28" s="1"/>
  <c r="AT119" i="28"/>
  <c r="AX119" i="28" s="1"/>
  <c r="BF119" i="28" s="1"/>
  <c r="BH119" i="28" s="1"/>
  <c r="BD269" i="28"/>
  <c r="BK269" i="28" s="1"/>
  <c r="BD261" i="28"/>
  <c r="BK261" i="28" s="1"/>
  <c r="BD119" i="28"/>
  <c r="BK119" i="28" s="1"/>
  <c r="AO92" i="77"/>
  <c r="AO87" i="77"/>
  <c r="AO86" i="77"/>
  <c r="AO85" i="77" l="1"/>
  <c r="AL3" i="8"/>
  <c r="AL95" i="9"/>
  <c r="AM129" i="73"/>
  <c r="BC129" i="73" s="1"/>
  <c r="AM125" i="73"/>
  <c r="BC125" i="73" s="1"/>
  <c r="AK31" i="15"/>
  <c r="AK30" i="15"/>
  <c r="AK29" i="15"/>
  <c r="AK25" i="15"/>
  <c r="AK24" i="15"/>
  <c r="AK23" i="15"/>
  <c r="AK22" i="15"/>
  <c r="AK21" i="15"/>
  <c r="AJ19" i="15"/>
  <c r="AK18" i="15"/>
  <c r="AK15" i="15"/>
  <c r="AJ12" i="15"/>
  <c r="AJ13" i="15" s="1"/>
  <c r="AK10" i="15"/>
  <c r="AK9" i="15"/>
  <c r="AJ9" i="15"/>
  <c r="AK8" i="15"/>
  <c r="AJ8" i="15"/>
  <c r="AK7" i="15"/>
  <c r="AK6" i="15"/>
  <c r="AK5" i="15"/>
  <c r="AK32" i="15" l="1"/>
  <c r="AK36" i="15" s="1"/>
  <c r="AK16" i="15" s="1"/>
  <c r="AK17" i="15" s="1"/>
  <c r="AO37" i="36" l="1"/>
  <c r="AK34" i="35"/>
  <c r="AK32" i="35"/>
  <c r="AL121" i="45" s="1"/>
  <c r="AK18" i="35"/>
  <c r="AJ18" i="15" s="1"/>
  <c r="AJ15" i="15" s="1"/>
  <c r="AJ16" i="15" s="1"/>
  <c r="AK16" i="35"/>
  <c r="AL144" i="45" l="1"/>
  <c r="AL124" i="45"/>
  <c r="AL123" i="45"/>
  <c r="AL139" i="45"/>
  <c r="AL120" i="45"/>
  <c r="AK101" i="9"/>
  <c r="AL99" i="9"/>
  <c r="AK99" i="9"/>
  <c r="AL98" i="9"/>
  <c r="AK98" i="9"/>
  <c r="AL97" i="9"/>
  <c r="AK97" i="9"/>
  <c r="AL93" i="9"/>
  <c r="AK76" i="9"/>
  <c r="AK77" i="9" s="1"/>
  <c r="AK74" i="9"/>
  <c r="AL60" i="9"/>
  <c r="AL57" i="9"/>
  <c r="AK53" i="9"/>
  <c r="AK52" i="9"/>
  <c r="AK47" i="9"/>
  <c r="AL46" i="9"/>
  <c r="AL36" i="9"/>
  <c r="AL48" i="9" s="1"/>
  <c r="AL35" i="9"/>
  <c r="AL47" i="9" s="1"/>
  <c r="AL34" i="9"/>
  <c r="AL31" i="9"/>
  <c r="AL25" i="9"/>
  <c r="AK24" i="9"/>
  <c r="AK22" i="9"/>
  <c r="AL19" i="9"/>
  <c r="AL10" i="9"/>
  <c r="AL14" i="9" s="1"/>
  <c r="AL5" i="9"/>
  <c r="AK5" i="9"/>
  <c r="AK45" i="8"/>
  <c r="AL109" i="8"/>
  <c r="AL110" i="8" s="1"/>
  <c r="AL52" i="8" s="1"/>
  <c r="AL121" i="8" s="1"/>
  <c r="AL94" i="8"/>
  <c r="AL91" i="8"/>
  <c r="AK91" i="8"/>
  <c r="AL89" i="8"/>
  <c r="AK89" i="8"/>
  <c r="AL88" i="8"/>
  <c r="AK88" i="8"/>
  <c r="AK87" i="8"/>
  <c r="AK82" i="8"/>
  <c r="AL80" i="8"/>
  <c r="AL76" i="8"/>
  <c r="AK75" i="8"/>
  <c r="AK74" i="8"/>
  <c r="AK73" i="8"/>
  <c r="AK72" i="8"/>
  <c r="AK71" i="8"/>
  <c r="AL68" i="8"/>
  <c r="AL66" i="8"/>
  <c r="AL64" i="8"/>
  <c r="AL61" i="8"/>
  <c r="AL58" i="8"/>
  <c r="AL62" i="8" s="1"/>
  <c r="AK52" i="8"/>
  <c r="AL49" i="8"/>
  <c r="AK49" i="8"/>
  <c r="AK46" i="8"/>
  <c r="AK44" i="8"/>
  <c r="AK43" i="8"/>
  <c r="AK41" i="8"/>
  <c r="AK40" i="8"/>
  <c r="AK39" i="8"/>
  <c r="AL26" i="8"/>
  <c r="AL17" i="8"/>
  <c r="AK17" i="8"/>
  <c r="AK15" i="8"/>
  <c r="AK14" i="8"/>
  <c r="AL13" i="8"/>
  <c r="AK13" i="8"/>
  <c r="AL6" i="8"/>
  <c r="AK6" i="8"/>
  <c r="AK113" i="7"/>
  <c r="AK112" i="7"/>
  <c r="AK111" i="7"/>
  <c r="AK110" i="7"/>
  <c r="AK109" i="7"/>
  <c r="AK108" i="7"/>
  <c r="AK107" i="7"/>
  <c r="AK106" i="7"/>
  <c r="AK85" i="7"/>
  <c r="AL84" i="7"/>
  <c r="AK84" i="7"/>
  <c r="AL82" i="7"/>
  <c r="AK82" i="7"/>
  <c r="AL75" i="7"/>
  <c r="AK75" i="7"/>
  <c r="AL71" i="7"/>
  <c r="AL73" i="7" s="1"/>
  <c r="AK71" i="7"/>
  <c r="AK73" i="7" s="1"/>
  <c r="AL67" i="7"/>
  <c r="AL78" i="7" s="1"/>
  <c r="AK67" i="7"/>
  <c r="AK78" i="7" s="1"/>
  <c r="AL21" i="7"/>
  <c r="AL41" i="7" s="1"/>
  <c r="AL51" i="7" s="1"/>
  <c r="AK21" i="7"/>
  <c r="AK41" i="7" s="1"/>
  <c r="AK51" i="7" s="1"/>
  <c r="AM20" i="39"/>
  <c r="BC20" i="39" s="1"/>
  <c r="AN20" i="39"/>
  <c r="AK61" i="39"/>
  <c r="AL43" i="22" s="1"/>
  <c r="AK60" i="39"/>
  <c r="AL42" i="22" s="1"/>
  <c r="AK43" i="39"/>
  <c r="AK42" i="39"/>
  <c r="AK8" i="39"/>
  <c r="AL223" i="6"/>
  <c r="AK223" i="6"/>
  <c r="AL222" i="6"/>
  <c r="AK222" i="6"/>
  <c r="AK199" i="6"/>
  <c r="AL198" i="6"/>
  <c r="AK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31" i="6"/>
  <c r="AK131" i="6"/>
  <c r="AL130" i="6"/>
  <c r="AK130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17" i="6"/>
  <c r="AK16" i="6"/>
  <c r="AK15" i="6"/>
  <c r="AL9" i="6"/>
  <c r="AL8" i="6"/>
  <c r="AK7" i="6"/>
  <c r="AK42" i="8" l="1"/>
  <c r="AL65" i="8"/>
  <c r="AL67" i="8"/>
  <c r="AL69" i="8"/>
  <c r="AL36" i="8" s="1"/>
  <c r="AK22" i="39"/>
  <c r="AK24" i="39" s="1"/>
  <c r="AL16" i="8"/>
  <c r="AL47" i="8"/>
  <c r="AK34" i="39"/>
  <c r="AK25" i="6"/>
  <c r="AK24" i="6"/>
  <c r="AL39" i="8"/>
  <c r="AK30" i="8"/>
  <c r="AK95" i="9"/>
  <c r="AK33" i="22"/>
  <c r="AJ132" i="26"/>
  <c r="AL94" i="9"/>
  <c r="AK19" i="15" s="1"/>
  <c r="AL182" i="9"/>
  <c r="AL33" i="22"/>
  <c r="AK132" i="26"/>
  <c r="AL90" i="9"/>
  <c r="AK24" i="7"/>
  <c r="AL24" i="7"/>
  <c r="AK83" i="7"/>
  <c r="AN36" i="59" s="1"/>
  <c r="AK26" i="7"/>
  <c r="AK29" i="7"/>
  <c r="AK93" i="7" s="1"/>
  <c r="AL33" i="7"/>
  <c r="AL99" i="7" s="1"/>
  <c r="AL36" i="7"/>
  <c r="AL90" i="7" s="1"/>
  <c r="AK57" i="7"/>
  <c r="AL26" i="7"/>
  <c r="AL57" i="7"/>
  <c r="AL29" i="7"/>
  <c r="AL93" i="7" s="1"/>
  <c r="AO33" i="59" s="1"/>
  <c r="AL61" i="7"/>
  <c r="AL102" i="7" s="1"/>
  <c r="AL30" i="7"/>
  <c r="AL94" i="7" s="1"/>
  <c r="AL83" i="7"/>
  <c r="AO36" i="59" s="1"/>
  <c r="AK49" i="39"/>
  <c r="AL103" i="6"/>
  <c r="AL57" i="6"/>
  <c r="AL37" i="9"/>
  <c r="AL100" i="9"/>
  <c r="AL43" i="8"/>
  <c r="AL136" i="8" s="1"/>
  <c r="AL45" i="8"/>
  <c r="AL82" i="8"/>
  <c r="AO52" i="59" s="1"/>
  <c r="AL92" i="8"/>
  <c r="AK33" i="7"/>
  <c r="AK99" i="7" s="1"/>
  <c r="AK61" i="7"/>
  <c r="AK102" i="7" s="1"/>
  <c r="AK36" i="7"/>
  <c r="AK90" i="7" s="1"/>
  <c r="AK30" i="7"/>
  <c r="AK94" i="7" s="1"/>
  <c r="AN34" i="59" s="1"/>
  <c r="AK121" i="6"/>
  <c r="AK138" i="6"/>
  <c r="AK22" i="6"/>
  <c r="AK7" i="9"/>
  <c r="AK68" i="9"/>
  <c r="AK58" i="9"/>
  <c r="AK69" i="9"/>
  <c r="AK92" i="9"/>
  <c r="AK27" i="9"/>
  <c r="AK59" i="9"/>
  <c r="AK100" i="9"/>
  <c r="AK63" i="9"/>
  <c r="AK67" i="9"/>
  <c r="AK16" i="8"/>
  <c r="AK29" i="8"/>
  <c r="AK28" i="8"/>
  <c r="AK23" i="8"/>
  <c r="AK24" i="8"/>
  <c r="AL62" i="9"/>
  <c r="AK25" i="9"/>
  <c r="AK88" i="9" s="1"/>
  <c r="AL49" i="9"/>
  <c r="AK61" i="9"/>
  <c r="AK66" i="9"/>
  <c r="AL96" i="9"/>
  <c r="AL89" i="9"/>
  <c r="AK55" i="9"/>
  <c r="AK64" i="9"/>
  <c r="AK70" i="9"/>
  <c r="AK56" i="9"/>
  <c r="AK65" i="9"/>
  <c r="AL111" i="8"/>
  <c r="AL112" i="8" s="1"/>
  <c r="AL53" i="8" s="1"/>
  <c r="AL34" i="8"/>
  <c r="AL72" i="8"/>
  <c r="AK25" i="8"/>
  <c r="AK50" i="8"/>
  <c r="AK51" i="8" s="1"/>
  <c r="AK31" i="8"/>
  <c r="AL40" i="8"/>
  <c r="AL46" i="8"/>
  <c r="AL50" i="8"/>
  <c r="AL51" i="8" s="1"/>
  <c r="AL59" i="8"/>
  <c r="AK85" i="8"/>
  <c r="AL86" i="8"/>
  <c r="AK27" i="8"/>
  <c r="AL37" i="8"/>
  <c r="AL41" i="8"/>
  <c r="AL44" i="8"/>
  <c r="AK92" i="8"/>
  <c r="AL54" i="7"/>
  <c r="AL58" i="7"/>
  <c r="AL76" i="7"/>
  <c r="AK23" i="7"/>
  <c r="AK87" i="7" s="1"/>
  <c r="AN29" i="59" s="1"/>
  <c r="AK27" i="7"/>
  <c r="AK91" i="7" s="1"/>
  <c r="AK32" i="7"/>
  <c r="AK98" i="7" s="1"/>
  <c r="AK37" i="7"/>
  <c r="AK103" i="7" s="1"/>
  <c r="AK55" i="7"/>
  <c r="AK60" i="7"/>
  <c r="AK54" i="7"/>
  <c r="AK58" i="7"/>
  <c r="AK76" i="7"/>
  <c r="AL23" i="7"/>
  <c r="AL87" i="7" s="1"/>
  <c r="AO29" i="59" s="1"/>
  <c r="AL27" i="7"/>
  <c r="AL91" i="7" s="1"/>
  <c r="AL32" i="7"/>
  <c r="AL98" i="7" s="1"/>
  <c r="AL37" i="7"/>
  <c r="AL103" i="7" s="1"/>
  <c r="AL55" i="7"/>
  <c r="AL60" i="7"/>
  <c r="AK81" i="7"/>
  <c r="AL81" i="7"/>
  <c r="AO28" i="59" s="1"/>
  <c r="AK50" i="39"/>
  <c r="AK25" i="7"/>
  <c r="AK28" i="7"/>
  <c r="AK92" i="7" s="1"/>
  <c r="AK31" i="7"/>
  <c r="AK95" i="7" s="1"/>
  <c r="AN35" i="59" s="1"/>
  <c r="AK34" i="7"/>
  <c r="AK97" i="7" s="1"/>
  <c r="AK56" i="7"/>
  <c r="AK96" i="7" s="1"/>
  <c r="AK59" i="7"/>
  <c r="AK62" i="7"/>
  <c r="AK68" i="7"/>
  <c r="AK45" i="39"/>
  <c r="AL25" i="7"/>
  <c r="AL28" i="7"/>
  <c r="AL92" i="7" s="1"/>
  <c r="AL31" i="7"/>
  <c r="AL95" i="7" s="1"/>
  <c r="AO35" i="59" s="1"/>
  <c r="AL34" i="7"/>
  <c r="AL97" i="7" s="1"/>
  <c r="AL56" i="7"/>
  <c r="AL96" i="7" s="1"/>
  <c r="AL59" i="7"/>
  <c r="AL62" i="7"/>
  <c r="AL69" i="7"/>
  <c r="AL138" i="6"/>
  <c r="AL35" i="6"/>
  <c r="AK188" i="6"/>
  <c r="AK27" i="6"/>
  <c r="AK168" i="6"/>
  <c r="AK163" i="6"/>
  <c r="AK31" i="6"/>
  <c r="AL121" i="6"/>
  <c r="AK21" i="6"/>
  <c r="AK30" i="6"/>
  <c r="AK103" i="6"/>
  <c r="AK133" i="6"/>
  <c r="AK19" i="6"/>
  <c r="AL133" i="6"/>
  <c r="AK194" i="6"/>
  <c r="AK28" i="6"/>
  <c r="AK90" i="77"/>
  <c r="AK89" i="77"/>
  <c r="AK85" i="77"/>
  <c r="AK70" i="77"/>
  <c r="AK53" i="77"/>
  <c r="AK36" i="77"/>
  <c r="AK32" i="77"/>
  <c r="AK26" i="77"/>
  <c r="AK21" i="77"/>
  <c r="AK13" i="77"/>
  <c r="AK7" i="77"/>
  <c r="AN482" i="28"/>
  <c r="AN483" i="28"/>
  <c r="AN594" i="28"/>
  <c r="BD594" i="28" s="1"/>
  <c r="BK594" i="28" s="1"/>
  <c r="AN593" i="28"/>
  <c r="BD593" i="28" s="1"/>
  <c r="BK593" i="28" s="1"/>
  <c r="AN465" i="28"/>
  <c r="AN466" i="28"/>
  <c r="AK522" i="28"/>
  <c r="AL479" i="28"/>
  <c r="AL473" i="28"/>
  <c r="AL441" i="28"/>
  <c r="AL429" i="28"/>
  <c r="AK429" i="28"/>
  <c r="AL413" i="28"/>
  <c r="AL304" i="28"/>
  <c r="AK304" i="28"/>
  <c r="AL298" i="28"/>
  <c r="AK298" i="28"/>
  <c r="AL297" i="28"/>
  <c r="AK297" i="28"/>
  <c r="AL256" i="28"/>
  <c r="AK256" i="28"/>
  <c r="AL235" i="28"/>
  <c r="AL233" i="28"/>
  <c r="AL96" i="28"/>
  <c r="AL95" i="28"/>
  <c r="AL93" i="28"/>
  <c r="AL89" i="28"/>
  <c r="AL85" i="28"/>
  <c r="AL81" i="28"/>
  <c r="AK68" i="28"/>
  <c r="AK67" i="28"/>
  <c r="AK65" i="28"/>
  <c r="AL56" i="28"/>
  <c r="AL29" i="28"/>
  <c r="AK23" i="28"/>
  <c r="AL21" i="28"/>
  <c r="AK15" i="28"/>
  <c r="AL13" i="28"/>
  <c r="AK7" i="28"/>
  <c r="AL17" i="49"/>
  <c r="AL18" i="49" s="1"/>
  <c r="AL11" i="49"/>
  <c r="AK11" i="49"/>
  <c r="AL9" i="49"/>
  <c r="AL8" i="49"/>
  <c r="AK8" i="49"/>
  <c r="AL6" i="49"/>
  <c r="AK6" i="49"/>
  <c r="AK231" i="73"/>
  <c r="AK229" i="73"/>
  <c r="AK218" i="73"/>
  <c r="AK42" i="77" s="1"/>
  <c r="AK209" i="73"/>
  <c r="AK198" i="73"/>
  <c r="AK173" i="73"/>
  <c r="AK160" i="73"/>
  <c r="AK171" i="73" s="1"/>
  <c r="AK130" i="73"/>
  <c r="AK128" i="73"/>
  <c r="AK126" i="73"/>
  <c r="AK122" i="73"/>
  <c r="AK118" i="73"/>
  <c r="AK109" i="73"/>
  <c r="AK12" i="15" s="1"/>
  <c r="AK13" i="15" s="1"/>
  <c r="AK14" i="15" s="1"/>
  <c r="AK102" i="73"/>
  <c r="AK98" i="73"/>
  <c r="AK57" i="73"/>
  <c r="AK51" i="73"/>
  <c r="AK46" i="73"/>
  <c r="AK41" i="73"/>
  <c r="AK30" i="73"/>
  <c r="AK25" i="73"/>
  <c r="AK18" i="73"/>
  <c r="AL58" i="28" s="1"/>
  <c r="AL60" i="28" s="1"/>
  <c r="AK16" i="73"/>
  <c r="AK118" i="90" s="1"/>
  <c r="AK8" i="73"/>
  <c r="AO79" i="59"/>
  <c r="AO78" i="59"/>
  <c r="AO77" i="59"/>
  <c r="AN76" i="59"/>
  <c r="AN75" i="59"/>
  <c r="AO74" i="59"/>
  <c r="AO73" i="59"/>
  <c r="AN73" i="59"/>
  <c r="AO70" i="59"/>
  <c r="AO69" i="59"/>
  <c r="AN69" i="59"/>
  <c r="AO66" i="59"/>
  <c r="AO65" i="59"/>
  <c r="AN65" i="59"/>
  <c r="AN62" i="59"/>
  <c r="AN61" i="59"/>
  <c r="AO60" i="59"/>
  <c r="AO59" i="59"/>
  <c r="AN59" i="59"/>
  <c r="AN58" i="59"/>
  <c r="AN53" i="59"/>
  <c r="AN52" i="59"/>
  <c r="AO51" i="59"/>
  <c r="AN51" i="59"/>
  <c r="AO50" i="59"/>
  <c r="AN50" i="59"/>
  <c r="AN48" i="59"/>
  <c r="AN47" i="59"/>
  <c r="AO46" i="59"/>
  <c r="AN46" i="59"/>
  <c r="AO45" i="59"/>
  <c r="AN45" i="59"/>
  <c r="AN43" i="59"/>
  <c r="AO42" i="59"/>
  <c r="AN42" i="59"/>
  <c r="AO41" i="59"/>
  <c r="AN41" i="59"/>
  <c r="AN39" i="59"/>
  <c r="AN38" i="59"/>
  <c r="AN37" i="59"/>
  <c r="AO34" i="59"/>
  <c r="AN33" i="59"/>
  <c r="AN28" i="59"/>
  <c r="AO27" i="59"/>
  <c r="AO26" i="59"/>
  <c r="AO25" i="59"/>
  <c r="AO24" i="59"/>
  <c r="AO23" i="59"/>
  <c r="AN23" i="59"/>
  <c r="AN22" i="59"/>
  <c r="AO20" i="59"/>
  <c r="AO19" i="59"/>
  <c r="AO18" i="59"/>
  <c r="AO17" i="59"/>
  <c r="AO16" i="59"/>
  <c r="AN16" i="59"/>
  <c r="AN15" i="59"/>
  <c r="AO12" i="59"/>
  <c r="AN12" i="59"/>
  <c r="AN11" i="59"/>
  <c r="AL24" i="36"/>
  <c r="AO75" i="59" s="1"/>
  <c r="AK72" i="36"/>
  <c r="AK64" i="36" s="1"/>
  <c r="AK71" i="36"/>
  <c r="AK69" i="36"/>
  <c r="AK61" i="36" s="1"/>
  <c r="AK63" i="36" s="1"/>
  <c r="AK67" i="36"/>
  <c r="AK59" i="36" s="1"/>
  <c r="AK66" i="36"/>
  <c r="AK58" i="36" s="1"/>
  <c r="AL64" i="36"/>
  <c r="AL72" i="36" s="1"/>
  <c r="AL62" i="36"/>
  <c r="AL61" i="36"/>
  <c r="AL69" i="36" s="1"/>
  <c r="AL59" i="36"/>
  <c r="AL67" i="36" s="1"/>
  <c r="AL58" i="36"/>
  <c r="AL66" i="36" s="1"/>
  <c r="AL57" i="36"/>
  <c r="AL17" i="36" s="1"/>
  <c r="AO55" i="59" s="1"/>
  <c r="AL56" i="36"/>
  <c r="AL16" i="36" s="1"/>
  <c r="AL33" i="36"/>
  <c r="AK33" i="36"/>
  <c r="AK29" i="36"/>
  <c r="AJ7" i="15" s="1"/>
  <c r="AK28" i="36"/>
  <c r="AJ6" i="15" s="1"/>
  <c r="AK27" i="36"/>
  <c r="AJ5" i="15" s="1"/>
  <c r="AL26" i="36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9" i="9" s="1"/>
  <c r="AK16" i="36"/>
  <c r="AK89" i="9" s="1"/>
  <c r="AK13" i="36"/>
  <c r="AN40" i="59" s="1"/>
  <c r="AL12" i="36"/>
  <c r="AO39" i="59" s="1"/>
  <c r="AL11" i="36"/>
  <c r="AO38" i="59" s="1"/>
  <c r="AL10" i="36"/>
  <c r="AO37" i="59" s="1"/>
  <c r="AK9" i="36"/>
  <c r="AN10" i="59" s="1"/>
  <c r="AK8" i="36"/>
  <c r="AN9" i="59" s="1"/>
  <c r="AK7" i="36"/>
  <c r="AN8" i="59" s="1"/>
  <c r="AK5" i="36"/>
  <c r="AK13" i="49" s="1"/>
  <c r="AL28" i="21"/>
  <c r="AK27" i="21"/>
  <c r="AL24" i="21"/>
  <c r="AL25" i="21" s="1"/>
  <c r="AL18" i="21"/>
  <c r="AL15" i="21"/>
  <c r="AL12" i="21"/>
  <c r="AK12" i="21"/>
  <c r="AK22" i="21" s="1"/>
  <c r="AL47" i="35"/>
  <c r="AL46" i="35"/>
  <c r="AL45" i="35"/>
  <c r="AL44" i="35"/>
  <c r="AL43" i="35"/>
  <c r="AL42" i="35"/>
  <c r="AK42" i="35"/>
  <c r="AK41" i="35"/>
  <c r="AL40" i="35"/>
  <c r="AL39" i="35"/>
  <c r="AK39" i="35"/>
  <c r="AL36" i="35"/>
  <c r="AL48" i="35" s="1"/>
  <c r="AK36" i="35"/>
  <c r="AK48" i="35" s="1"/>
  <c r="AK33" i="35"/>
  <c r="AL32" i="35"/>
  <c r="AL31" i="35"/>
  <c r="AL30" i="35"/>
  <c r="AL26" i="35"/>
  <c r="AL34" i="36" s="1"/>
  <c r="AL41" i="36" s="1"/>
  <c r="AK26" i="35"/>
  <c r="AK26" i="21" s="1"/>
  <c r="AK21" i="35"/>
  <c r="AK26" i="9" s="1"/>
  <c r="AL20" i="35"/>
  <c r="AK20" i="35"/>
  <c r="AL19" i="35"/>
  <c r="AK19" i="35"/>
  <c r="AL14" i="35"/>
  <c r="AL13" i="35"/>
  <c r="AL11" i="35"/>
  <c r="AL10" i="6" s="1"/>
  <c r="AK10" i="35"/>
  <c r="AK9" i="6" s="1"/>
  <c r="AK9" i="35"/>
  <c r="AK8" i="35"/>
  <c r="AL7" i="35"/>
  <c r="AL6" i="6" s="1"/>
  <c r="AL6" i="35"/>
  <c r="AL74" i="8" l="1"/>
  <c r="AK60" i="36"/>
  <c r="AK6" i="73"/>
  <c r="AL46" i="28"/>
  <c r="AL35" i="28" s="1"/>
  <c r="AK37" i="77"/>
  <c r="AN49" i="59"/>
  <c r="AK114" i="73"/>
  <c r="AK65" i="8"/>
  <c r="AK34" i="8" s="1"/>
  <c r="AL72" i="28"/>
  <c r="AL506" i="28"/>
  <c r="AK69" i="8"/>
  <c r="AL414" i="28"/>
  <c r="AL512" i="28" s="1"/>
  <c r="AL514" i="28"/>
  <c r="AK21" i="28"/>
  <c r="AK299" i="28" s="1"/>
  <c r="AL299" i="28"/>
  <c r="AL501" i="28" s="1"/>
  <c r="AK29" i="28"/>
  <c r="AK414" i="28" s="1"/>
  <c r="AK67" i="8"/>
  <c r="AL73" i="8"/>
  <c r="AL510" i="28"/>
  <c r="AL101" i="7"/>
  <c r="AO32" i="59" s="1"/>
  <c r="AK9" i="49"/>
  <c r="AK88" i="7"/>
  <c r="AN30" i="59" s="1"/>
  <c r="AK29" i="6"/>
  <c r="AK81" i="6"/>
  <c r="AK139" i="6"/>
  <c r="AK107" i="6"/>
  <c r="AK148" i="6" s="1"/>
  <c r="AL125" i="6"/>
  <c r="AK26" i="6"/>
  <c r="AL91" i="9"/>
  <c r="AK125" i="6"/>
  <c r="AL107" i="6"/>
  <c r="AK101" i="7"/>
  <c r="AN32" i="59" s="1"/>
  <c r="AN55" i="59"/>
  <c r="AO43" i="59"/>
  <c r="AO44" i="59" s="1"/>
  <c r="AL123" i="8"/>
  <c r="AO47" i="59"/>
  <c r="AL138" i="8"/>
  <c r="AO48" i="59"/>
  <c r="AL137" i="8"/>
  <c r="AL40" i="36"/>
  <c r="AL43" i="36" s="1"/>
  <c r="AL31" i="36" s="1"/>
  <c r="AN79" i="59"/>
  <c r="AK68" i="36"/>
  <c r="AK51" i="39"/>
  <c r="AL88" i="7"/>
  <c r="AO30" i="59" s="1"/>
  <c r="AN6" i="59"/>
  <c r="AN77" i="59"/>
  <c r="AL89" i="7"/>
  <c r="AO31" i="59" s="1"/>
  <c r="AK91" i="9"/>
  <c r="AK21" i="22"/>
  <c r="AK7" i="22"/>
  <c r="AK28" i="21"/>
  <c r="AN54" i="59"/>
  <c r="AN78" i="59"/>
  <c r="AL236" i="28"/>
  <c r="AL504" i="28" s="1"/>
  <c r="AK26" i="8"/>
  <c r="AK57" i="9"/>
  <c r="AK133" i="73"/>
  <c r="AK88" i="77"/>
  <c r="AL78" i="8"/>
  <c r="AK6" i="26"/>
  <c r="AK83" i="77"/>
  <c r="AL41" i="35"/>
  <c r="AL49" i="35" s="1"/>
  <c r="AL97" i="11"/>
  <c r="AL33" i="35"/>
  <c r="AL37" i="35" s="1"/>
  <c r="AL25" i="36" s="1"/>
  <c r="AO76" i="59" s="1"/>
  <c r="AL203" i="10"/>
  <c r="AL490" i="28"/>
  <c r="AL97" i="28"/>
  <c r="AL139" i="6"/>
  <c r="AL16" i="6"/>
  <c r="AL18" i="6"/>
  <c r="AL8" i="35"/>
  <c r="AL5" i="6"/>
  <c r="AL68" i="36"/>
  <c r="AK5" i="73"/>
  <c r="AL42" i="8"/>
  <c r="AK31" i="28"/>
  <c r="AK37" i="35"/>
  <c r="AK56" i="36"/>
  <c r="AK57" i="36"/>
  <c r="AK60" i="9"/>
  <c r="AK34" i="36"/>
  <c r="AK35" i="36" s="1"/>
  <c r="AK36" i="36" s="1"/>
  <c r="AK38" i="36" s="1"/>
  <c r="AK30" i="36" s="1"/>
  <c r="AN80" i="59" s="1"/>
  <c r="AK13" i="35"/>
  <c r="AK8" i="6"/>
  <c r="AL63" i="36"/>
  <c r="AL18" i="36"/>
  <c r="AO56" i="59" s="1"/>
  <c r="AO54" i="59"/>
  <c r="AL60" i="36"/>
  <c r="AL70" i="36"/>
  <c r="AL71" i="36" s="1"/>
  <c r="AL86" i="9"/>
  <c r="AL80" i="9"/>
  <c r="AL76" i="9"/>
  <c r="AL72" i="9"/>
  <c r="AL84" i="9"/>
  <c r="AL53" i="9"/>
  <c r="AL85" i="9"/>
  <c r="AL75" i="9"/>
  <c r="AL83" i="9"/>
  <c r="AL82" i="9"/>
  <c r="AO62" i="59" s="1"/>
  <c r="AL52" i="9"/>
  <c r="AO58" i="59" s="1"/>
  <c r="AL87" i="9"/>
  <c r="AO61" i="59" s="1"/>
  <c r="AL81" i="9"/>
  <c r="AL73" i="9"/>
  <c r="AL78" i="9"/>
  <c r="AL13" i="36"/>
  <c r="AO40" i="59" s="1"/>
  <c r="AK59" i="8"/>
  <c r="AK109" i="8"/>
  <c r="AK111" i="8" s="1"/>
  <c r="AL63" i="8"/>
  <c r="AN44" i="59"/>
  <c r="AK17" i="49"/>
  <c r="AK18" i="49" s="1"/>
  <c r="AK89" i="7"/>
  <c r="AN31" i="59" s="1"/>
  <c r="AL38" i="7"/>
  <c r="AL53" i="7" s="1"/>
  <c r="AK38" i="7"/>
  <c r="AK53" i="7" s="1"/>
  <c r="AL172" i="6"/>
  <c r="AL173" i="6"/>
  <c r="AO22" i="59" s="1"/>
  <c r="AK147" i="6"/>
  <c r="AK32" i="6"/>
  <c r="AK34" i="6"/>
  <c r="AL15" i="35"/>
  <c r="AL5" i="36"/>
  <c r="AK23" i="6"/>
  <c r="AK33" i="6"/>
  <c r="AK84" i="6"/>
  <c r="AL511" i="28"/>
  <c r="AL74" i="28"/>
  <c r="AL73" i="28"/>
  <c r="AL503" i="28"/>
  <c r="AK13" i="28"/>
  <c r="AL507" i="28"/>
  <c r="AL35" i="36"/>
  <c r="AL36" i="36" s="1"/>
  <c r="AL38" i="36" s="1"/>
  <c r="AL30" i="36" s="1"/>
  <c r="AO80" i="59" s="1"/>
  <c r="AL20" i="21"/>
  <c r="AK15" i="21"/>
  <c r="AK49" i="35"/>
  <c r="AK11" i="35"/>
  <c r="AK10" i="6" s="1"/>
  <c r="AK14" i="35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D130" i="26"/>
  <c r="AL67" i="28" l="1"/>
  <c r="AL37" i="28"/>
  <c r="AL440" i="28"/>
  <c r="AL471" i="28" s="1"/>
  <c r="AL48" i="28"/>
  <c r="AL515" i="28" s="1"/>
  <c r="AL69" i="28"/>
  <c r="AL520" i="28" s="1"/>
  <c r="AL513" i="28"/>
  <c r="AK73" i="28"/>
  <c r="AK83" i="28" s="1"/>
  <c r="AK500" i="28" s="1"/>
  <c r="AL500" i="28"/>
  <c r="AL508" i="28"/>
  <c r="AL509" i="28"/>
  <c r="AK74" i="28"/>
  <c r="AK87" i="28" s="1"/>
  <c r="AK512" i="28" s="1"/>
  <c r="AK55" i="35"/>
  <c r="AL143" i="6"/>
  <c r="AL199" i="6" s="1"/>
  <c r="AL98" i="28"/>
  <c r="AK37" i="28"/>
  <c r="AK75" i="28" s="1"/>
  <c r="AL147" i="6"/>
  <c r="AK513" i="28"/>
  <c r="AL71" i="8"/>
  <c r="AL522" i="28"/>
  <c r="AL505" i="28"/>
  <c r="AK37" i="8"/>
  <c r="AK36" i="8"/>
  <c r="AK63" i="8"/>
  <c r="AK10" i="49"/>
  <c r="AK12" i="49" s="1"/>
  <c r="AK14" i="49" s="1"/>
  <c r="AK15" i="49" s="1"/>
  <c r="AK16" i="49" s="1"/>
  <c r="AK19" i="49" s="1"/>
  <c r="AK20" i="49" s="1"/>
  <c r="AL139" i="8"/>
  <c r="AK15" i="35"/>
  <c r="AK175" i="6"/>
  <c r="AK143" i="6"/>
  <c r="AL175" i="6"/>
  <c r="AK173" i="6"/>
  <c r="AL150" i="6"/>
  <c r="AL148" i="6"/>
  <c r="AO15" i="59" s="1"/>
  <c r="AK150" i="6"/>
  <c r="AK172" i="6"/>
  <c r="AK62" i="9"/>
  <c r="AO49" i="59"/>
  <c r="AL124" i="8"/>
  <c r="AL122" i="8"/>
  <c r="AL126" i="8" s="1"/>
  <c r="AL127" i="8" s="1"/>
  <c r="AL19" i="36"/>
  <c r="AO57" i="59" s="1"/>
  <c r="AK8" i="22"/>
  <c r="AK10" i="22" s="1"/>
  <c r="AK11" i="22" s="1"/>
  <c r="AK13" i="22" s="1"/>
  <c r="AK22" i="22"/>
  <c r="AK24" i="22" s="1"/>
  <c r="AK25" i="22" s="1"/>
  <c r="AK27" i="22" s="1"/>
  <c r="AL104" i="7"/>
  <c r="AK94" i="77"/>
  <c r="AL55" i="35"/>
  <c r="AL491" i="28"/>
  <c r="AK63" i="28"/>
  <c r="AL189" i="6"/>
  <c r="AL194" i="6"/>
  <c r="AL7" i="6"/>
  <c r="AL15" i="6"/>
  <c r="AL17" i="6"/>
  <c r="AK104" i="7"/>
  <c r="AK149" i="6"/>
  <c r="AK35" i="6"/>
  <c r="AK110" i="8"/>
  <c r="AK112" i="8" s="1"/>
  <c r="AL77" i="9"/>
  <c r="AL74" i="9"/>
  <c r="AL35" i="8"/>
  <c r="AL70" i="8"/>
  <c r="AL63" i="7"/>
  <c r="AL77" i="7"/>
  <c r="AK63" i="7"/>
  <c r="AK77" i="7"/>
  <c r="AL174" i="6"/>
  <c r="AL8" i="36" s="1"/>
  <c r="AO9" i="59" s="1"/>
  <c r="AL211" i="6"/>
  <c r="AL217" i="6"/>
  <c r="AL212" i="6"/>
  <c r="AL216" i="6"/>
  <c r="AL206" i="6"/>
  <c r="AL13" i="49"/>
  <c r="AO6" i="59"/>
  <c r="AK236" i="28"/>
  <c r="AK72" i="28"/>
  <c r="AK501" i="28"/>
  <c r="AK509" i="28"/>
  <c r="N65" i="104"/>
  <c r="M65" i="104"/>
  <c r="L65" i="104"/>
  <c r="BF118" i="8" s="1"/>
  <c r="H65" i="104"/>
  <c r="G65" i="104"/>
  <c r="F65" i="104"/>
  <c r="N50" i="104"/>
  <c r="M50" i="104"/>
  <c r="L50" i="104"/>
  <c r="H50" i="104"/>
  <c r="G50" i="104"/>
  <c r="F50" i="104"/>
  <c r="U37" i="104"/>
  <c r="T37" i="104"/>
  <c r="S37" i="104"/>
  <c r="R37" i="104"/>
  <c r="U35" i="104"/>
  <c r="T35" i="104"/>
  <c r="S35" i="104"/>
  <c r="R35" i="104"/>
  <c r="N35" i="104"/>
  <c r="M35" i="104"/>
  <c r="L35" i="104"/>
  <c r="H35" i="104"/>
  <c r="G35" i="104"/>
  <c r="F35" i="104"/>
  <c r="AL205" i="6" l="1"/>
  <c r="AL207" i="6"/>
  <c r="AL204" i="6"/>
  <c r="AL208" i="6"/>
  <c r="AL197" i="6"/>
  <c r="AL218" i="6"/>
  <c r="AL219" i="6" s="1"/>
  <c r="AL70" i="28"/>
  <c r="AL75" i="28"/>
  <c r="AL76" i="28" s="1"/>
  <c r="AL521" i="28" s="1"/>
  <c r="AL523" i="28"/>
  <c r="AL210" i="6"/>
  <c r="AL203" i="6"/>
  <c r="AL209" i="6" s="1"/>
  <c r="AL215" i="6" s="1"/>
  <c r="AL213" i="6"/>
  <c r="AK35" i="8"/>
  <c r="AK505" i="28"/>
  <c r="AK91" i="28"/>
  <c r="AK515" i="28" s="1"/>
  <c r="AL517" i="28"/>
  <c r="AK69" i="28"/>
  <c r="AK507" i="28"/>
  <c r="AK508" i="28"/>
  <c r="AK491" i="28"/>
  <c r="AK511" i="28"/>
  <c r="AK206" i="6"/>
  <c r="AK207" i="6"/>
  <c r="AK213" i="6"/>
  <c r="AK205" i="6"/>
  <c r="AK211" i="6"/>
  <c r="AK208" i="6"/>
  <c r="AK212" i="6"/>
  <c r="AK204" i="6"/>
  <c r="AK203" i="6"/>
  <c r="AK210" i="6"/>
  <c r="AK216" i="6"/>
  <c r="AK219" i="6" s="1"/>
  <c r="AK174" i="6"/>
  <c r="AL149" i="6"/>
  <c r="AL7" i="36" s="1"/>
  <c r="AO8" i="59" s="1"/>
  <c r="AL132" i="8"/>
  <c r="AL145" i="8" s="1"/>
  <c r="AL130" i="8"/>
  <c r="AL131" i="8"/>
  <c r="AL144" i="8" s="1"/>
  <c r="AL516" i="28"/>
  <c r="AL494" i="28"/>
  <c r="AL495" i="28"/>
  <c r="AL19" i="6"/>
  <c r="AL168" i="6"/>
  <c r="AL84" i="6"/>
  <c r="AL164" i="6"/>
  <c r="AL79" i="9"/>
  <c r="AL214" i="6"/>
  <c r="AO11" i="59" s="1"/>
  <c r="AK76" i="28"/>
  <c r="AK79" i="28"/>
  <c r="AK516" i="28" l="1"/>
  <c r="AK214" i="6"/>
  <c r="AL81" i="6"/>
  <c r="AK521" i="28"/>
  <c r="AK495" i="28"/>
  <c r="AK517" i="28"/>
  <c r="AK494" i="28"/>
  <c r="AK520" i="28"/>
  <c r="AK209" i="6"/>
  <c r="AL133" i="8"/>
  <c r="AL146" i="8" s="1"/>
  <c r="AL143" i="8"/>
  <c r="AL40" i="6"/>
  <c r="AL39" i="6"/>
  <c r="AL37" i="6"/>
  <c r="AL38" i="6"/>
  <c r="AL220" i="6"/>
  <c r="AL9" i="36"/>
  <c r="AO10" i="59" s="1"/>
  <c r="AK504" i="28"/>
  <c r="AK95" i="28"/>
  <c r="AK503" i="28"/>
  <c r="AK215" i="6" l="1"/>
  <c r="AK220" i="6" s="1"/>
  <c r="AL41" i="6"/>
  <c r="AJ37" i="36" l="1"/>
  <c r="AI93" i="90" l="1"/>
  <c r="AI128" i="45"/>
  <c r="AI37" i="36" l="1"/>
  <c r="AH47" i="10" l="1"/>
  <c r="AN47" i="10" s="1"/>
  <c r="AH67" i="10"/>
  <c r="AH56" i="10"/>
  <c r="AH24" i="10"/>
  <c r="AH13" i="10"/>
  <c r="AN13" i="10" s="1"/>
  <c r="AD132" i="10"/>
  <c r="AN67" i="10"/>
  <c r="F132" i="10"/>
  <c r="AI4" i="83" l="1"/>
  <c r="AI5" i="83"/>
  <c r="AI6" i="83"/>
  <c r="AI7" i="83"/>
  <c r="AI8" i="83"/>
  <c r="AI9" i="83"/>
  <c r="AI10" i="83"/>
  <c r="AI11" i="83"/>
  <c r="AI12" i="83"/>
  <c r="AI13" i="83"/>
  <c r="AI14" i="83"/>
  <c r="AI15" i="83"/>
  <c r="AI16" i="83"/>
  <c r="AI17" i="83"/>
  <c r="AI18" i="83"/>
  <c r="AI19" i="83"/>
  <c r="AI20" i="83"/>
  <c r="AI21" i="83"/>
  <c r="AI22" i="83"/>
  <c r="AI23" i="83"/>
  <c r="AI24" i="83"/>
  <c r="AI25" i="83"/>
  <c r="AI26" i="83"/>
  <c r="AI27" i="83"/>
  <c r="AI28" i="83"/>
  <c r="AI29" i="83"/>
  <c r="AI30" i="83"/>
  <c r="AI31" i="83"/>
  <c r="AI32" i="83"/>
  <c r="AI33" i="83"/>
  <c r="AI34" i="83"/>
  <c r="AI35" i="83"/>
  <c r="AI36" i="83"/>
  <c r="AI37" i="83"/>
  <c r="AI39" i="83"/>
  <c r="AI40" i="83"/>
  <c r="AI41" i="83"/>
  <c r="AI42" i="83"/>
  <c r="AI43" i="83"/>
  <c r="AI44" i="83"/>
  <c r="AI46" i="83"/>
  <c r="AI47" i="83"/>
  <c r="AI48" i="83"/>
  <c r="AI49" i="83"/>
  <c r="AI50" i="83"/>
  <c r="AI52" i="83"/>
  <c r="AI53" i="83"/>
  <c r="AI54" i="83"/>
  <c r="AI55" i="83"/>
  <c r="AI56" i="83"/>
  <c r="AI57" i="83"/>
  <c r="AI58" i="83"/>
  <c r="AI59" i="83"/>
  <c r="AI60" i="83"/>
  <c r="AI61" i="83"/>
  <c r="AI62" i="83"/>
  <c r="AI63" i="83"/>
  <c r="AI64" i="83"/>
  <c r="AI65" i="83"/>
  <c r="AI66" i="83"/>
  <c r="AI67" i="83"/>
  <c r="AI68" i="83"/>
  <c r="AI70" i="83"/>
  <c r="AI72" i="83"/>
  <c r="AI73" i="83"/>
  <c r="AI74" i="83"/>
  <c r="AI75" i="83"/>
  <c r="AI69" i="83" l="1"/>
  <c r="AI51" i="83"/>
  <c r="AI76" i="83"/>
  <c r="AI45" i="83"/>
  <c r="AI38" i="83"/>
  <c r="AI77" i="83" l="1"/>
  <c r="AH103" i="9"/>
  <c r="AG114" i="26" l="1"/>
  <c r="AF112" i="26"/>
  <c r="AF110" i="26"/>
  <c r="AF108" i="26"/>
  <c r="AF106" i="26"/>
  <c r="AF104" i="26"/>
  <c r="AF102" i="26"/>
  <c r="AF100" i="26"/>
  <c r="AF98" i="26"/>
  <c r="AG94" i="26"/>
  <c r="AF91" i="26"/>
  <c r="AF89" i="26"/>
  <c r="AF87" i="26"/>
  <c r="AF85" i="26"/>
  <c r="AG83" i="26"/>
  <c r="AG82" i="26"/>
  <c r="AF80" i="26"/>
  <c r="AF78" i="26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F48" i="26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F11" i="26"/>
  <c r="AF9" i="26"/>
  <c r="AF50" i="26" l="1"/>
  <c r="AG56" i="26"/>
  <c r="AG18" i="26"/>
  <c r="AF83" i="26"/>
  <c r="AF114" i="26"/>
  <c r="AF94" i="26"/>
  <c r="AF82" i="26"/>
  <c r="AF75" i="26"/>
  <c r="AF56" i="26"/>
  <c r="AF51" i="26"/>
  <c r="AF57" i="26"/>
  <c r="AG57" i="26"/>
  <c r="AF45" i="26"/>
  <c r="AF12" i="26"/>
  <c r="AG51" i="26"/>
  <c r="AG13" i="26"/>
  <c r="AG19" i="26"/>
  <c r="M110" i="17"/>
  <c r="M111" i="17"/>
  <c r="I110" i="17"/>
  <c r="I111" i="17"/>
  <c r="AG37" i="27"/>
  <c r="AG35" i="27"/>
  <c r="AG27" i="27"/>
  <c r="AG20" i="27"/>
  <c r="AG29" i="27"/>
  <c r="AG28" i="27"/>
  <c r="AG19" i="27"/>
  <c r="AG18" i="27"/>
  <c r="AF19" i="26" l="1"/>
  <c r="AF18" i="26"/>
  <c r="AF13" i="26"/>
  <c r="AF20" i="27"/>
  <c r="AH28" i="22" l="1"/>
  <c r="AH24" i="22"/>
  <c r="AH23" i="22"/>
  <c r="AH14" i="22"/>
  <c r="AH10" i="22"/>
  <c r="AH9" i="22"/>
  <c r="AG99" i="90"/>
  <c r="AG90" i="90"/>
  <c r="AG127" i="90" l="1"/>
  <c r="AH26" i="22"/>
  <c r="AH12" i="22"/>
  <c r="AK79" i="45"/>
  <c r="AQ79" i="45" s="1"/>
  <c r="AU79" i="45" s="1"/>
  <c r="AY79" i="45" s="1"/>
  <c r="BG79" i="45" s="1"/>
  <c r="BI79" i="45" s="1"/>
  <c r="AK80" i="45"/>
  <c r="AQ80" i="45" s="1"/>
  <c r="AU80" i="45" s="1"/>
  <c r="AY80" i="45" s="1"/>
  <c r="BG80" i="45" s="1"/>
  <c r="BI80" i="45" s="1"/>
  <c r="AK117" i="45"/>
  <c r="AQ117" i="45" s="1"/>
  <c r="AU117" i="45" s="1"/>
  <c r="AY117" i="45" s="1"/>
  <c r="BG117" i="45" s="1"/>
  <c r="BI117" i="45" s="1"/>
  <c r="J123" i="10"/>
  <c r="J124" i="10"/>
  <c r="J125" i="10"/>
  <c r="AP93" i="8"/>
  <c r="AT93" i="8"/>
  <c r="AX93" i="8"/>
  <c r="BD93" i="8"/>
  <c r="BF93" i="8"/>
  <c r="AJ93" i="8" l="1"/>
  <c r="AH3" i="8"/>
  <c r="AH1" i="35" l="1"/>
  <c r="Y5" i="50"/>
  <c r="Y7" i="50"/>
  <c r="Y8" i="50"/>
  <c r="Y10" i="50"/>
  <c r="Y11" i="50"/>
  <c r="Y12" i="50"/>
  <c r="Y13" i="50"/>
  <c r="Y14" i="50"/>
  <c r="Y15" i="50"/>
  <c r="Y16" i="50"/>
  <c r="Y17" i="50"/>
  <c r="Y18" i="50"/>
  <c r="Y19" i="50"/>
  <c r="Y20" i="50"/>
  <c r="Y21" i="50"/>
  <c r="Y22" i="50"/>
  <c r="Y23" i="50"/>
  <c r="Y24" i="50"/>
  <c r="Y25" i="50"/>
  <c r="Y26" i="50"/>
  <c r="Y28" i="50"/>
  <c r="Y30" i="50"/>
  <c r="Y31" i="50"/>
  <c r="Y32" i="50"/>
  <c r="Y33" i="50"/>
  <c r="Y34" i="50"/>
  <c r="Y35" i="50"/>
  <c r="Y36" i="50"/>
  <c r="Y37" i="50"/>
  <c r="AF39" i="27" l="1"/>
  <c r="AG36" i="27"/>
  <c r="AG39" i="27" s="1"/>
  <c r="AF33" i="27"/>
  <c r="AG26" i="27"/>
  <c r="AG33" i="27" s="1"/>
  <c r="AF24" i="27"/>
  <c r="AG22" i="27"/>
  <c r="AG21" i="27"/>
  <c r="AG24" i="27" s="1"/>
  <c r="AG31" i="15"/>
  <c r="AG30" i="15"/>
  <c r="AG29" i="15"/>
  <c r="AG25" i="15"/>
  <c r="AG24" i="15"/>
  <c r="AG23" i="15"/>
  <c r="AG22" i="15"/>
  <c r="AG21" i="15"/>
  <c r="AF19" i="15"/>
  <c r="AG18" i="15"/>
  <c r="AG15" i="15"/>
  <c r="AF12" i="15"/>
  <c r="AF13" i="15" s="1"/>
  <c r="AG10" i="15"/>
  <c r="AG9" i="15"/>
  <c r="AF9" i="15"/>
  <c r="AG8" i="15"/>
  <c r="AF8" i="15"/>
  <c r="AG7" i="15"/>
  <c r="AG6" i="15"/>
  <c r="AG5" i="15"/>
  <c r="AF117" i="17"/>
  <c r="AF115" i="17"/>
  <c r="AG87" i="17"/>
  <c r="AF87" i="17"/>
  <c r="AG86" i="17"/>
  <c r="AF86" i="17"/>
  <c r="AG85" i="17"/>
  <c r="AF85" i="17"/>
  <c r="AG84" i="17"/>
  <c r="AF84" i="17"/>
  <c r="AG83" i="17"/>
  <c r="AF83" i="17"/>
  <c r="AG74" i="17"/>
  <c r="AF74" i="17"/>
  <c r="AG67" i="17"/>
  <c r="AG69" i="17" s="1"/>
  <c r="AF67" i="17"/>
  <c r="AF69" i="17" s="1"/>
  <c r="AF61" i="17"/>
  <c r="AG59" i="17"/>
  <c r="AG62" i="17" s="1"/>
  <c r="AF58" i="17"/>
  <c r="AF57" i="17"/>
  <c r="AF55" i="17"/>
  <c r="AG52" i="17"/>
  <c r="AG53" i="17" s="1"/>
  <c r="AF52" i="17"/>
  <c r="AG49" i="17"/>
  <c r="AF48" i="17"/>
  <c r="AG47" i="17"/>
  <c r="AF46" i="17"/>
  <c r="AG44" i="17"/>
  <c r="AG50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16" i="17"/>
  <c r="AF30" i="17" s="1"/>
  <c r="AF15" i="17"/>
  <c r="AG14" i="17"/>
  <c r="AG12" i="17"/>
  <c r="AG9" i="17"/>
  <c r="AG11" i="17" s="1"/>
  <c r="AF9" i="17"/>
  <c r="AF11" i="17" s="1"/>
  <c r="AF59" i="17" l="1"/>
  <c r="AF122" i="17"/>
  <c r="AF22" i="17"/>
  <c r="AF32" i="17" s="1"/>
  <c r="AG32" i="15"/>
  <c r="AG36" i="15" s="1"/>
  <c r="AG16" i="15" s="1"/>
  <c r="AG122" i="17"/>
  <c r="AG13" i="17"/>
  <c r="AG117" i="17" s="1"/>
  <c r="AG60" i="17"/>
  <c r="AF50" i="17"/>
  <c r="AF114" i="17" s="1"/>
  <c r="AF119" i="17"/>
  <c r="AG33" i="17"/>
  <c r="AG34" i="17"/>
  <c r="AG31" i="17"/>
  <c r="AG30" i="17"/>
  <c r="AG32" i="17"/>
  <c r="AG114" i="17"/>
  <c r="AG51" i="17"/>
  <c r="AG54" i="17"/>
  <c r="AF60" i="17"/>
  <c r="AF62" i="17"/>
  <c r="AF116" i="17"/>
  <c r="AG116" i="17"/>
  <c r="AG45" i="17"/>
  <c r="AF54" i="17" l="1"/>
  <c r="AF34" i="17"/>
  <c r="AF33" i="17"/>
  <c r="AF31" i="17"/>
  <c r="AG15" i="17"/>
  <c r="AG17" i="15"/>
  <c r="AF118" i="17"/>
  <c r="AG115" i="17"/>
  <c r="AG119" i="17" s="1"/>
  <c r="AG55" i="17"/>
  <c r="AG118" i="17"/>
  <c r="AJ382" i="28"/>
  <c r="AP382" i="28" s="1"/>
  <c r="AT382" i="28" s="1"/>
  <c r="AX382" i="28" s="1"/>
  <c r="BF382" i="28" s="1"/>
  <c r="BH382" i="28" s="1"/>
  <c r="AJ383" i="28"/>
  <c r="AP383" i="28" s="1"/>
  <c r="AT383" i="28" s="1"/>
  <c r="AX383" i="28" s="1"/>
  <c r="BF383" i="28" s="1"/>
  <c r="BH383" i="28" s="1"/>
  <c r="AK62" i="38" l="1"/>
  <c r="AL96" i="38" l="1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L61" i="38"/>
  <c r="AL60" i="38"/>
  <c r="AL59" i="38"/>
  <c r="AL58" i="38"/>
  <c r="AL57" i="38"/>
  <c r="AL56" i="38"/>
  <c r="AK55" i="38"/>
  <c r="AK65" i="38" s="1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K27" i="38"/>
  <c r="AK26" i="38"/>
  <c r="AK25" i="38"/>
  <c r="AK24" i="38"/>
  <c r="AK23" i="38"/>
  <c r="AK22" i="38"/>
  <c r="AK21" i="38"/>
  <c r="AK20" i="38"/>
  <c r="AL19" i="38"/>
  <c r="AK15" i="38"/>
  <c r="AK14" i="38"/>
  <c r="AL13" i="38"/>
  <c r="AK12" i="38"/>
  <c r="AK11" i="38"/>
  <c r="AK10" i="38"/>
  <c r="AK9" i="38"/>
  <c r="AK8" i="38"/>
  <c r="AK7" i="38"/>
  <c r="AL6" i="38"/>
  <c r="AL62" i="38" l="1"/>
  <c r="AL68" i="38"/>
  <c r="AK13" i="38"/>
  <c r="AK67" i="38"/>
  <c r="AL18" i="38"/>
  <c r="AL16" i="38"/>
  <c r="AL55" i="38"/>
  <c r="AK43" i="38"/>
  <c r="AK40" i="38" s="1"/>
  <c r="AK89" i="38"/>
  <c r="AK35" i="38"/>
  <c r="AK19" i="38"/>
  <c r="AK6" i="38"/>
  <c r="AL40" i="38"/>
  <c r="AL65" i="38" l="1"/>
  <c r="AL67" i="38"/>
  <c r="AK66" i="38"/>
  <c r="AK98" i="38" s="1"/>
  <c r="AK18" i="38"/>
  <c r="AK17" i="38" s="1"/>
  <c r="AK16" i="38"/>
  <c r="AL89" i="38"/>
  <c r="AL17" i="38"/>
  <c r="AK49" i="38" l="1"/>
  <c r="AL66" i="38"/>
  <c r="AL98" i="38" s="1"/>
  <c r="AL49" i="38"/>
  <c r="AC30" i="45" l="1"/>
  <c r="AG30" i="45" s="1"/>
  <c r="AK30" i="45" s="1"/>
  <c r="AQ30" i="45" s="1"/>
  <c r="AU30" i="45" s="1"/>
  <c r="AY30" i="45" s="1"/>
  <c r="BG30" i="45" s="1"/>
  <c r="BI30" i="45" s="1"/>
  <c r="N106" i="10"/>
  <c r="Z106" i="10"/>
  <c r="AB106" i="10" l="1"/>
  <c r="AF106" i="10" s="1"/>
  <c r="AJ106" i="10" s="1"/>
  <c r="AP106" i="10" s="1"/>
  <c r="AT106" i="10" s="1"/>
  <c r="AX106" i="10" s="1"/>
  <c r="BW31" i="71"/>
  <c r="BU31" i="71"/>
  <c r="BF106" i="10" l="1"/>
  <c r="BI106" i="10" s="1"/>
  <c r="CC31" i="71"/>
  <c r="CS31" i="71" s="1"/>
  <c r="CU31" i="71"/>
  <c r="BY31" i="71"/>
  <c r="CE31" i="71" s="1"/>
  <c r="CI31" i="71" s="1"/>
  <c r="CM31" i="71" s="1"/>
  <c r="AI91" i="90"/>
  <c r="AI92" i="90"/>
  <c r="AI94" i="90"/>
  <c r="AI97" i="90"/>
  <c r="AI98" i="90"/>
  <c r="AF101" i="90"/>
  <c r="AH101" i="90"/>
  <c r="AF105" i="90"/>
  <c r="AG105" i="90"/>
  <c r="AH105" i="90"/>
  <c r="AI105" i="90"/>
  <c r="AG115" i="90"/>
  <c r="AF124" i="90"/>
  <c r="AF129" i="90"/>
  <c r="AH129" i="90"/>
  <c r="BW7" i="71"/>
  <c r="BW8" i="71"/>
  <c r="BW9" i="71"/>
  <c r="AG68" i="90" s="1"/>
  <c r="BW10" i="71"/>
  <c r="BW11" i="71"/>
  <c r="BW12" i="71"/>
  <c r="BW13" i="71"/>
  <c r="BW14" i="71"/>
  <c r="BW15" i="71"/>
  <c r="BW16" i="71"/>
  <c r="BW17" i="71"/>
  <c r="BW18" i="71"/>
  <c r="BW19" i="71"/>
  <c r="AG69" i="90" s="1"/>
  <c r="BW20" i="71"/>
  <c r="AG70" i="90" s="1"/>
  <c r="BW21" i="71"/>
  <c r="AG71" i="90" s="1"/>
  <c r="BW22" i="71"/>
  <c r="AG72" i="90" s="1"/>
  <c r="BW24" i="71"/>
  <c r="BW25" i="71"/>
  <c r="BW26" i="71"/>
  <c r="AG73" i="90" s="1"/>
  <c r="BW27" i="71"/>
  <c r="BW28" i="71"/>
  <c r="BW29" i="71"/>
  <c r="BW32" i="71"/>
  <c r="BW33" i="71"/>
  <c r="BW34" i="71"/>
  <c r="BW35" i="71"/>
  <c r="BW36" i="71"/>
  <c r="BW37" i="71"/>
  <c r="AG74" i="90" s="1"/>
  <c r="BW38" i="71"/>
  <c r="BW39" i="71"/>
  <c r="BW40" i="71"/>
  <c r="BW41" i="71"/>
  <c r="AG76" i="90" s="1"/>
  <c r="BW42" i="71"/>
  <c r="AG77" i="90" s="1"/>
  <c r="BW44" i="71"/>
  <c r="AG78" i="90" s="1"/>
  <c r="BW45" i="71"/>
  <c r="BW46" i="71"/>
  <c r="AG79" i="90" s="1"/>
  <c r="BW47" i="71"/>
  <c r="AG80" i="90" s="1"/>
  <c r="BW48" i="71"/>
  <c r="AG81" i="90" s="1"/>
  <c r="BW49" i="71"/>
  <c r="AG82" i="90" s="1"/>
  <c r="BW50" i="71"/>
  <c r="AG83" i="90" s="1"/>
  <c r="BW51" i="71"/>
  <c r="BW52" i="71"/>
  <c r="BW53" i="71"/>
  <c r="BW54" i="71"/>
  <c r="AG84" i="90" s="1"/>
  <c r="BW55" i="71"/>
  <c r="AI157" i="45"/>
  <c r="AI156" i="45"/>
  <c r="AI154" i="45"/>
  <c r="AI148" i="45"/>
  <c r="AI143" i="45"/>
  <c r="AH143" i="45"/>
  <c r="AI142" i="45"/>
  <c r="AH142" i="45"/>
  <c r="AI141" i="45"/>
  <c r="AH141" i="45"/>
  <c r="AI140" i="45"/>
  <c r="AH140" i="45"/>
  <c r="AI138" i="45"/>
  <c r="AH138" i="45"/>
  <c r="AI136" i="45"/>
  <c r="AH136" i="45"/>
  <c r="AI134" i="45"/>
  <c r="AH134" i="45"/>
  <c r="AI131" i="45"/>
  <c r="AH131" i="45"/>
  <c r="AI129" i="45"/>
  <c r="AI122" i="45"/>
  <c r="AI150" i="45" s="1"/>
  <c r="AI121" i="45"/>
  <c r="AI124" i="45" s="1"/>
  <c r="AI125" i="45" s="1"/>
  <c r="AH121" i="45"/>
  <c r="AI120" i="45"/>
  <c r="AI158" i="45" s="1"/>
  <c r="AH91" i="11"/>
  <c r="AH89" i="11"/>
  <c r="AH83" i="11"/>
  <c r="AH78" i="11"/>
  <c r="AG78" i="11"/>
  <c r="AH77" i="11"/>
  <c r="AG77" i="11"/>
  <c r="AH76" i="11"/>
  <c r="AG76" i="11"/>
  <c r="AH75" i="11"/>
  <c r="AG75" i="11"/>
  <c r="AH73" i="11"/>
  <c r="AG73" i="11"/>
  <c r="AH71" i="11"/>
  <c r="AG71" i="11"/>
  <c r="AH69" i="11"/>
  <c r="AG69" i="11"/>
  <c r="AH66" i="11"/>
  <c r="AG66" i="11"/>
  <c r="AH64" i="11"/>
  <c r="AH59" i="11"/>
  <c r="AH57" i="11"/>
  <c r="AH56" i="11"/>
  <c r="AG56" i="11"/>
  <c r="AG58" i="11" s="1"/>
  <c r="AH55" i="11"/>
  <c r="AH190" i="10"/>
  <c r="AH188" i="10"/>
  <c r="AH182" i="10"/>
  <c r="AH183" i="10" s="1"/>
  <c r="AH177" i="10"/>
  <c r="AG177" i="10"/>
  <c r="AH176" i="10"/>
  <c r="AG176" i="10"/>
  <c r="AH175" i="10"/>
  <c r="AG175" i="10"/>
  <c r="AH174" i="10"/>
  <c r="AG174" i="10"/>
  <c r="AH172" i="10"/>
  <c r="AG172" i="10"/>
  <c r="AH170" i="10"/>
  <c r="AG170" i="10"/>
  <c r="AH168" i="10"/>
  <c r="AG168" i="10"/>
  <c r="AH165" i="10"/>
  <c r="AH166" i="10" s="1"/>
  <c r="AG165" i="10"/>
  <c r="AG166" i="10" s="1"/>
  <c r="AH160" i="10"/>
  <c r="AH184" i="10" s="1"/>
  <c r="AG159" i="10"/>
  <c r="AG161" i="10" s="1"/>
  <c r="AH158" i="10"/>
  <c r="AH210" i="10" s="1"/>
  <c r="AH159" i="10"/>
  <c r="AH132" i="45" l="1"/>
  <c r="AH144" i="45"/>
  <c r="AG79" i="11"/>
  <c r="AI149" i="45"/>
  <c r="AI132" i="45"/>
  <c r="AI126" i="45"/>
  <c r="AH92" i="11"/>
  <c r="AH79" i="11"/>
  <c r="AG67" i="11"/>
  <c r="AH93" i="11"/>
  <c r="AH67" i="11"/>
  <c r="AH90" i="11"/>
  <c r="AG55" i="11"/>
  <c r="AG74" i="11"/>
  <c r="AG97" i="11"/>
  <c r="AG178" i="10"/>
  <c r="AG203" i="10"/>
  <c r="AH61" i="11"/>
  <c r="AH120" i="45"/>
  <c r="AH139" i="45"/>
  <c r="AH124" i="45"/>
  <c r="AH84" i="11"/>
  <c r="AH74" i="11"/>
  <c r="AH58" i="11"/>
  <c r="AH60" i="11"/>
  <c r="AG173" i="10"/>
  <c r="AG158" i="10"/>
  <c r="AG210" i="10" s="1"/>
  <c r="AI155" i="45"/>
  <c r="AI159" i="45"/>
  <c r="AI160" i="45" s="1"/>
  <c r="AI123" i="45"/>
  <c r="AI139" i="45"/>
  <c r="AI144" i="45"/>
  <c r="AH123" i="45"/>
  <c r="AH85" i="11"/>
  <c r="AH189" i="10"/>
  <c r="AH173" i="10"/>
  <c r="AH178" i="10"/>
  <c r="AH161" i="10"/>
  <c r="AH191" i="10"/>
  <c r="AH196" i="10"/>
  <c r="AH199" i="10"/>
  <c r="AH192" i="10"/>
  <c r="AH94" i="11" l="1"/>
  <c r="AH200" i="10"/>
  <c r="AH193" i="10"/>
  <c r="AH95" i="9"/>
  <c r="AG34" i="35" l="1"/>
  <c r="AG18" i="35"/>
  <c r="AF18" i="15" s="1"/>
  <c r="AF15" i="15" s="1"/>
  <c r="AF16" i="15" s="1"/>
  <c r="AG16" i="35"/>
  <c r="AG101" i="9" l="1"/>
  <c r="AH99" i="9"/>
  <c r="AG99" i="9"/>
  <c r="AH98" i="9"/>
  <c r="AG98" i="9"/>
  <c r="AH97" i="9"/>
  <c r="AG97" i="9"/>
  <c r="AH93" i="9"/>
  <c r="AG76" i="9"/>
  <c r="AG77" i="9" s="1"/>
  <c r="AG74" i="9"/>
  <c r="AH60" i="9"/>
  <c r="AH57" i="9"/>
  <c r="AG53" i="9"/>
  <c r="AG52" i="9"/>
  <c r="AG47" i="9"/>
  <c r="AH46" i="9"/>
  <c r="AH20" i="35" s="1"/>
  <c r="AH36" i="9"/>
  <c r="AG89" i="90" s="1"/>
  <c r="AH35" i="9"/>
  <c r="AH47" i="9" s="1"/>
  <c r="AH34" i="9"/>
  <c r="AH31" i="9"/>
  <c r="AH25" i="9"/>
  <c r="AG24" i="9"/>
  <c r="AG22" i="9"/>
  <c r="AH19" i="9"/>
  <c r="AH57" i="36" s="1"/>
  <c r="AH17" i="36" s="1"/>
  <c r="AK55" i="59" s="1"/>
  <c r="AH10" i="9"/>
  <c r="AH5" i="9"/>
  <c r="AG5" i="9"/>
  <c r="AH109" i="8"/>
  <c r="AH111" i="8" s="1"/>
  <c r="AH94" i="8"/>
  <c r="AH91" i="8"/>
  <c r="AG91" i="8"/>
  <c r="AH89" i="8"/>
  <c r="AG89" i="8"/>
  <c r="AH88" i="8"/>
  <c r="AG88" i="8"/>
  <c r="AG87" i="8"/>
  <c r="AG82" i="8"/>
  <c r="AH80" i="8"/>
  <c r="AH76" i="8"/>
  <c r="AG75" i="8"/>
  <c r="AG74" i="8"/>
  <c r="AG73" i="8"/>
  <c r="AG72" i="8"/>
  <c r="AG71" i="8"/>
  <c r="AH68" i="8"/>
  <c r="AH66" i="8"/>
  <c r="AH64" i="8"/>
  <c r="AH61" i="8"/>
  <c r="AH58" i="8"/>
  <c r="AH59" i="8" s="1"/>
  <c r="AG52" i="8"/>
  <c r="AH49" i="8"/>
  <c r="AG49" i="8"/>
  <c r="AG46" i="8"/>
  <c r="AG45" i="8"/>
  <c r="AG44" i="8"/>
  <c r="AG43" i="8"/>
  <c r="AJ46" i="59" s="1"/>
  <c r="AG41" i="8"/>
  <c r="AG40" i="8"/>
  <c r="AG39" i="8"/>
  <c r="AH26" i="8"/>
  <c r="AH17" i="8"/>
  <c r="AG17" i="8"/>
  <c r="AG15" i="8"/>
  <c r="AG14" i="8"/>
  <c r="AH13" i="8"/>
  <c r="AG13" i="8"/>
  <c r="AH6" i="8"/>
  <c r="AG6" i="8"/>
  <c r="AG113" i="7"/>
  <c r="AG112" i="7"/>
  <c r="AG111" i="7"/>
  <c r="AG110" i="7"/>
  <c r="AG109" i="7"/>
  <c r="AG108" i="7"/>
  <c r="AG107" i="7"/>
  <c r="AG106" i="7"/>
  <c r="AG85" i="7"/>
  <c r="AH84" i="7"/>
  <c r="AG84" i="7"/>
  <c r="AH82" i="7"/>
  <c r="AG82" i="7"/>
  <c r="AH75" i="7"/>
  <c r="AG75" i="7"/>
  <c r="AH71" i="7"/>
  <c r="AH73" i="7" s="1"/>
  <c r="AG71" i="7"/>
  <c r="AG73" i="7" s="1"/>
  <c r="AH67" i="7"/>
  <c r="AH81" i="7" s="1"/>
  <c r="AK28" i="59" s="1"/>
  <c r="AG67" i="7"/>
  <c r="AG78" i="7" s="1"/>
  <c r="AH21" i="7"/>
  <c r="AH41" i="7" s="1"/>
  <c r="AH51" i="7" s="1"/>
  <c r="AG21" i="7"/>
  <c r="AG41" i="7" s="1"/>
  <c r="AG51" i="7" s="1"/>
  <c r="AG61" i="39"/>
  <c r="AH43" i="22" s="1"/>
  <c r="AG60" i="39"/>
  <c r="AH42" i="22" s="1"/>
  <c r="AG48" i="39"/>
  <c r="AG47" i="39"/>
  <c r="AG46" i="39"/>
  <c r="AG43" i="39"/>
  <c r="AG42" i="39"/>
  <c r="AG8" i="39"/>
  <c r="AH223" i="6"/>
  <c r="AG223" i="6"/>
  <c r="AH222" i="6"/>
  <c r="AG222" i="6"/>
  <c r="AG199" i="6"/>
  <c r="AH198" i="6"/>
  <c r="AG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31" i="6"/>
  <c r="AG131" i="6"/>
  <c r="AH130" i="6"/>
  <c r="AG130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17" i="6"/>
  <c r="AG16" i="6"/>
  <c r="AG15" i="6"/>
  <c r="AH9" i="6"/>
  <c r="AH8" i="6"/>
  <c r="AG7" i="6"/>
  <c r="AI92" i="77"/>
  <c r="AI87" i="77"/>
  <c r="AI86" i="77"/>
  <c r="AI76" i="77"/>
  <c r="AI75" i="77"/>
  <c r="AI74" i="77"/>
  <c r="AI73" i="77"/>
  <c r="AI72" i="77"/>
  <c r="AI71" i="77"/>
  <c r="AI69" i="77"/>
  <c r="AI68" i="77"/>
  <c r="AI67" i="77"/>
  <c r="AI66" i="77"/>
  <c r="AI65" i="77"/>
  <c r="AI64" i="77"/>
  <c r="AI63" i="77"/>
  <c r="AI62" i="77"/>
  <c r="AI61" i="77"/>
  <c r="AI60" i="77"/>
  <c r="AI59" i="77"/>
  <c r="AI58" i="77"/>
  <c r="AI57" i="77"/>
  <c r="AI56" i="77"/>
  <c r="AI55" i="77"/>
  <c r="AI54" i="77"/>
  <c r="AI52" i="77"/>
  <c r="AI51" i="77"/>
  <c r="AI50" i="77"/>
  <c r="AI49" i="77"/>
  <c r="AI48" i="77"/>
  <c r="AI47" i="77"/>
  <c r="AI46" i="77"/>
  <c r="AI45" i="77"/>
  <c r="AI44" i="77"/>
  <c r="AI43" i="77"/>
  <c r="AI35" i="77"/>
  <c r="AI34" i="77"/>
  <c r="AI33" i="77"/>
  <c r="AI31" i="77"/>
  <c r="AI30" i="77"/>
  <c r="AI29" i="77"/>
  <c r="AI28" i="77"/>
  <c r="AI27" i="77"/>
  <c r="AI25" i="77"/>
  <c r="AI24" i="77"/>
  <c r="AI23" i="77"/>
  <c r="AI22" i="77"/>
  <c r="AI20" i="77"/>
  <c r="AI19" i="77"/>
  <c r="AI18" i="77"/>
  <c r="AI17" i="77"/>
  <c r="AI16" i="77"/>
  <c r="AI15" i="77"/>
  <c r="AI14" i="77"/>
  <c r="AI12" i="77"/>
  <c r="AI11" i="77"/>
  <c r="AI10" i="77"/>
  <c r="AI9" i="77"/>
  <c r="AI8" i="77"/>
  <c r="AI6" i="77"/>
  <c r="AI5" i="77"/>
  <c r="AG90" i="77"/>
  <c r="AG89" i="77"/>
  <c r="AG70" i="77"/>
  <c r="AG53" i="77"/>
  <c r="AG36" i="77"/>
  <c r="AG32" i="77"/>
  <c r="AG26" i="77"/>
  <c r="AG21" i="77"/>
  <c r="AG13" i="77"/>
  <c r="AG7" i="77"/>
  <c r="AG522" i="28"/>
  <c r="AH479" i="28"/>
  <c r="AH473" i="28"/>
  <c r="AH441" i="28"/>
  <c r="AH429" i="28"/>
  <c r="AG429" i="28"/>
  <c r="AH413" i="28"/>
  <c r="AH304" i="28"/>
  <c r="AG304" i="28"/>
  <c r="AH298" i="28"/>
  <c r="AG298" i="28"/>
  <c r="AH297" i="28"/>
  <c r="AG297" i="28"/>
  <c r="AH256" i="28"/>
  <c r="AG256" i="28"/>
  <c r="AH235" i="28"/>
  <c r="AH233" i="28"/>
  <c r="AH96" i="28"/>
  <c r="AH95" i="28"/>
  <c r="AH93" i="28"/>
  <c r="AH89" i="28"/>
  <c r="AH85" i="28"/>
  <c r="AH81" i="28"/>
  <c r="AG68" i="28"/>
  <c r="AG67" i="28"/>
  <c r="AG65" i="28"/>
  <c r="AH56" i="28"/>
  <c r="AH29" i="28"/>
  <c r="AG23" i="28"/>
  <c r="AH21" i="28"/>
  <c r="AG15" i="28"/>
  <c r="AH13" i="28"/>
  <c r="AG7" i="28"/>
  <c r="AH17" i="49"/>
  <c r="AH18" i="49" s="1"/>
  <c r="AH11" i="49"/>
  <c r="AG11" i="49"/>
  <c r="AH9" i="49"/>
  <c r="AH8" i="49"/>
  <c r="AI37" i="73"/>
  <c r="AO37" i="73" s="1"/>
  <c r="AG8" i="73"/>
  <c r="AG231" i="73"/>
  <c r="AG229" i="73"/>
  <c r="AG218" i="73"/>
  <c r="AG42" i="77" s="1"/>
  <c r="AG209" i="73"/>
  <c r="AG198" i="73"/>
  <c r="AG173" i="73"/>
  <c r="AG160" i="73"/>
  <c r="AG171" i="73" s="1"/>
  <c r="AG130" i="73"/>
  <c r="AG128" i="73"/>
  <c r="AG126" i="73"/>
  <c r="AG122" i="73"/>
  <c r="AG118" i="73"/>
  <c r="AG109" i="73"/>
  <c r="AG102" i="73"/>
  <c r="AG98" i="73"/>
  <c r="AG57" i="73"/>
  <c r="AG51" i="73"/>
  <c r="AG46" i="73"/>
  <c r="AG41" i="73"/>
  <c r="AG30" i="73"/>
  <c r="AG25" i="73"/>
  <c r="AG18" i="73"/>
  <c r="AH58" i="28" s="1"/>
  <c r="AH60" i="28" s="1"/>
  <c r="AG16" i="73"/>
  <c r="AG118" i="90" s="1"/>
  <c r="AK79" i="59"/>
  <c r="AK78" i="59"/>
  <c r="AK77" i="59"/>
  <c r="AJ76" i="59"/>
  <c r="AJ75" i="59"/>
  <c r="AK74" i="59"/>
  <c r="AK73" i="59"/>
  <c r="AJ73" i="59"/>
  <c r="AK70" i="59"/>
  <c r="AK69" i="59"/>
  <c r="AJ69" i="59"/>
  <c r="AK66" i="59"/>
  <c r="AK65" i="59"/>
  <c r="AJ65" i="59"/>
  <c r="AJ62" i="59"/>
  <c r="AJ61" i="59"/>
  <c r="AK59" i="59"/>
  <c r="AJ59" i="59"/>
  <c r="AJ58" i="59"/>
  <c r="AJ53" i="59"/>
  <c r="AJ52" i="59"/>
  <c r="AK51" i="59"/>
  <c r="AJ51" i="59"/>
  <c r="AK50" i="59"/>
  <c r="AJ50" i="59"/>
  <c r="AJ48" i="59"/>
  <c r="AJ47" i="59"/>
  <c r="AK45" i="59"/>
  <c r="AJ45" i="59"/>
  <c r="AJ43" i="59"/>
  <c r="AJ42" i="59"/>
  <c r="AK41" i="59"/>
  <c r="AJ41" i="59"/>
  <c r="AJ39" i="59"/>
  <c r="AJ38" i="59"/>
  <c r="AJ37" i="59"/>
  <c r="AK27" i="59"/>
  <c r="AK26" i="59"/>
  <c r="AK25" i="59"/>
  <c r="AK24" i="59"/>
  <c r="AK23" i="59"/>
  <c r="AJ23" i="59"/>
  <c r="AJ22" i="59"/>
  <c r="AK20" i="59"/>
  <c r="AK19" i="59"/>
  <c r="AK18" i="59"/>
  <c r="AK17" i="59"/>
  <c r="AK16" i="59"/>
  <c r="AJ16" i="59"/>
  <c r="AJ15" i="59"/>
  <c r="AK12" i="59"/>
  <c r="AJ12" i="59"/>
  <c r="AJ11" i="59"/>
  <c r="AI72" i="36"/>
  <c r="AI71" i="36"/>
  <c r="AI69" i="36"/>
  <c r="AI67" i="36"/>
  <c r="AI66" i="36"/>
  <c r="AI29" i="36"/>
  <c r="AI28" i="36"/>
  <c r="AI27" i="36"/>
  <c r="AI23" i="36"/>
  <c r="AI22" i="36"/>
  <c r="AI21" i="36"/>
  <c r="AG72" i="36"/>
  <c r="AG64" i="36" s="1"/>
  <c r="AG71" i="36"/>
  <c r="AG69" i="36"/>
  <c r="AG61" i="36" s="1"/>
  <c r="AG63" i="36" s="1"/>
  <c r="AG67" i="36"/>
  <c r="AG59" i="36" s="1"/>
  <c r="AG66" i="36"/>
  <c r="AG58" i="36" s="1"/>
  <c r="AH64" i="36"/>
  <c r="AH72" i="36" s="1"/>
  <c r="AH62" i="36"/>
  <c r="AH70" i="36" s="1"/>
  <c r="AH61" i="36"/>
  <c r="AH69" i="36" s="1"/>
  <c r="AH59" i="36"/>
  <c r="AH67" i="36" s="1"/>
  <c r="AH58" i="36"/>
  <c r="AH66" i="36" s="1"/>
  <c r="AH56" i="36"/>
  <c r="AH16" i="36" s="1"/>
  <c r="AH33" i="36"/>
  <c r="AH40" i="36" s="1"/>
  <c r="AG33" i="36"/>
  <c r="AG29" i="36"/>
  <c r="AF7" i="15" s="1"/>
  <c r="AG28" i="36"/>
  <c r="AF6" i="15" s="1"/>
  <c r="AG27" i="36"/>
  <c r="AF5" i="15" s="1"/>
  <c r="AH26" i="36"/>
  <c r="AH24" i="36"/>
  <c r="AK75" i="59" s="1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J55" i="59" s="1"/>
  <c r="AG16" i="36"/>
  <c r="AJ54" i="59" s="1"/>
  <c r="AG13" i="36"/>
  <c r="AJ40" i="59" s="1"/>
  <c r="AH12" i="36"/>
  <c r="AK39" i="59" s="1"/>
  <c r="AH11" i="36"/>
  <c r="AK38" i="59" s="1"/>
  <c r="AH10" i="36"/>
  <c r="AG9" i="36"/>
  <c r="AJ10" i="59" s="1"/>
  <c r="AG8" i="36"/>
  <c r="AJ9" i="59" s="1"/>
  <c r="AG7" i="36"/>
  <c r="AJ8" i="59" s="1"/>
  <c r="AG5" i="36"/>
  <c r="AG13" i="49" s="1"/>
  <c r="AH28" i="21"/>
  <c r="AG27" i="21"/>
  <c r="AH24" i="21"/>
  <c r="AH25" i="21" s="1"/>
  <c r="AH18" i="21"/>
  <c r="AH15" i="21"/>
  <c r="AH12" i="21"/>
  <c r="AG12" i="21"/>
  <c r="AG15" i="21" s="1"/>
  <c r="AG42" i="35"/>
  <c r="AG41" i="35"/>
  <c r="AH40" i="35"/>
  <c r="AH39" i="35"/>
  <c r="AG39" i="35"/>
  <c r="AG36" i="35"/>
  <c r="AG48" i="35" s="1"/>
  <c r="AH36" i="35"/>
  <c r="AH48" i="35" s="1"/>
  <c r="AG33" i="35"/>
  <c r="AH32" i="35"/>
  <c r="AH31" i="35"/>
  <c r="AH30" i="35"/>
  <c r="AH203" i="10" s="1"/>
  <c r="AH26" i="35"/>
  <c r="AH34" i="36" s="1"/>
  <c r="AG26" i="35"/>
  <c r="AG26" i="21" s="1"/>
  <c r="AH21" i="35"/>
  <c r="AH26" i="9" s="1"/>
  <c r="AG21" i="35"/>
  <c r="AG26" i="9" s="1"/>
  <c r="AG20" i="35"/>
  <c r="AG19" i="35"/>
  <c r="AH14" i="35"/>
  <c r="AH5" i="36" s="1"/>
  <c r="AH13" i="35"/>
  <c r="AH11" i="35"/>
  <c r="AH10" i="6" s="1"/>
  <c r="AG10" i="35"/>
  <c r="AG14" i="35" s="1"/>
  <c r="AG9" i="35"/>
  <c r="AG13" i="35" s="1"/>
  <c r="AG8" i="35"/>
  <c r="AH7" i="35"/>
  <c r="AH6" i="6" s="1"/>
  <c r="AH6" i="35"/>
  <c r="AG6" i="73" l="1"/>
  <c r="AH46" i="28"/>
  <c r="AH35" i="28" s="1"/>
  <c r="AG37" i="77"/>
  <c r="AG114" i="73"/>
  <c r="AH72" i="28"/>
  <c r="AH67" i="8"/>
  <c r="AH37" i="8" s="1"/>
  <c r="AH506" i="28"/>
  <c r="AH65" i="8"/>
  <c r="AH34" i="8" s="1"/>
  <c r="AG21" i="28"/>
  <c r="AG73" i="28" s="1"/>
  <c r="AH69" i="8"/>
  <c r="AH74" i="8" s="1"/>
  <c r="AG6" i="49"/>
  <c r="AG29" i="28"/>
  <c r="AG74" i="28" s="1"/>
  <c r="AH510" i="28"/>
  <c r="AH16" i="8"/>
  <c r="AH414" i="28"/>
  <c r="AH513" i="28" s="1"/>
  <c r="AH236" i="28"/>
  <c r="AH504" i="28" s="1"/>
  <c r="AH514" i="28"/>
  <c r="AG22" i="39"/>
  <c r="AH86" i="8"/>
  <c r="AG28" i="21"/>
  <c r="AH299" i="28"/>
  <c r="AH509" i="28" s="1"/>
  <c r="AI68" i="36"/>
  <c r="AG24" i="6"/>
  <c r="AG25" i="6"/>
  <c r="AH490" i="28"/>
  <c r="AI85" i="77"/>
  <c r="AH507" i="28"/>
  <c r="AG5" i="73"/>
  <c r="AG88" i="77"/>
  <c r="AH35" i="36"/>
  <c r="AH36" i="36" s="1"/>
  <c r="AH38" i="36" s="1"/>
  <c r="AH30" i="36" s="1"/>
  <c r="AK80" i="59" s="1"/>
  <c r="AH41" i="36"/>
  <c r="AH43" i="36" s="1"/>
  <c r="AH31" i="36" s="1"/>
  <c r="AH35" i="6"/>
  <c r="AG133" i="73"/>
  <c r="AG68" i="36"/>
  <c r="AJ77" i="59"/>
  <c r="AJ6" i="59"/>
  <c r="AG89" i="9"/>
  <c r="AJ78" i="59"/>
  <c r="AG90" i="9"/>
  <c r="AG19" i="9" s="1"/>
  <c r="AJ79" i="59"/>
  <c r="AG16" i="8"/>
  <c r="AG12" i="15"/>
  <c r="AG13" i="15" s="1"/>
  <c r="AG14" i="15" s="1"/>
  <c r="AG66" i="9"/>
  <c r="AF132" i="26"/>
  <c r="AG33" i="22"/>
  <c r="AG132" i="26"/>
  <c r="AH33" i="22"/>
  <c r="AH48" i="9"/>
  <c r="AH49" i="9" s="1"/>
  <c r="AH76" i="9" s="1"/>
  <c r="AG120" i="90"/>
  <c r="AG57" i="36"/>
  <c r="AG83" i="77"/>
  <c r="AH97" i="28"/>
  <c r="AH73" i="28"/>
  <c r="AH20" i="21"/>
  <c r="AH33" i="35"/>
  <c r="AH37" i="35" s="1"/>
  <c r="AH25" i="36" s="1"/>
  <c r="AK76" i="59" s="1"/>
  <c r="AH41" i="35"/>
  <c r="AH97" i="11"/>
  <c r="AH71" i="36"/>
  <c r="AH37" i="9"/>
  <c r="AH19" i="35" s="1"/>
  <c r="AH90" i="9"/>
  <c r="AH18" i="36"/>
  <c r="AK56" i="59" s="1"/>
  <c r="AH68" i="36"/>
  <c r="AH100" i="9"/>
  <c r="AJ49" i="59"/>
  <c r="AH13" i="36"/>
  <c r="AK40" i="59" s="1"/>
  <c r="AH27" i="7"/>
  <c r="AH91" i="7" s="1"/>
  <c r="AG23" i="39"/>
  <c r="AG49" i="39"/>
  <c r="AH121" i="6"/>
  <c r="AH138" i="6"/>
  <c r="AG34" i="39"/>
  <c r="AH16" i="6"/>
  <c r="AH18" i="6"/>
  <c r="AH8" i="35"/>
  <c r="AH5" i="6"/>
  <c r="AH7" i="6" s="1"/>
  <c r="AG29" i="7"/>
  <c r="AG93" i="7" s="1"/>
  <c r="AJ33" i="59" s="1"/>
  <c r="AG36" i="7"/>
  <c r="AG90" i="7" s="1"/>
  <c r="AG37" i="7"/>
  <c r="AG103" i="7" s="1"/>
  <c r="AG23" i="7"/>
  <c r="AG87" i="7" s="1"/>
  <c r="AG121" i="6"/>
  <c r="AG138" i="6"/>
  <c r="AG103" i="6"/>
  <c r="AG188" i="6"/>
  <c r="AG27" i="6"/>
  <c r="AG42" i="8"/>
  <c r="AG31" i="28"/>
  <c r="AG34" i="36"/>
  <c r="AG59" i="9"/>
  <c r="AG68" i="9"/>
  <c r="AG69" i="9"/>
  <c r="AG7" i="9"/>
  <c r="AG55" i="9"/>
  <c r="AG63" i="9"/>
  <c r="AG70" i="9"/>
  <c r="AG92" i="9"/>
  <c r="AG56" i="9"/>
  <c r="AG64" i="9"/>
  <c r="AG56" i="36"/>
  <c r="AG27" i="9"/>
  <c r="AG65" i="9"/>
  <c r="AG95" i="9"/>
  <c r="AG58" i="9"/>
  <c r="AG67" i="9"/>
  <c r="AG100" i="9"/>
  <c r="AG8" i="6"/>
  <c r="AG9" i="6"/>
  <c r="AH62" i="9"/>
  <c r="AG25" i="9"/>
  <c r="AG88" i="9" s="1"/>
  <c r="AH14" i="9"/>
  <c r="AK54" i="59"/>
  <c r="AK60" i="59"/>
  <c r="AG61" i="9"/>
  <c r="AH96" i="9"/>
  <c r="AH89" i="9"/>
  <c r="AH94" i="9"/>
  <c r="AG19" i="15" s="1"/>
  <c r="AH110" i="8"/>
  <c r="AH112" i="8" s="1"/>
  <c r="AH53" i="8" s="1"/>
  <c r="AK37" i="59"/>
  <c r="AH72" i="8"/>
  <c r="AH63" i="8"/>
  <c r="AH6" i="49"/>
  <c r="AG27" i="8"/>
  <c r="AH41" i="8"/>
  <c r="AH44" i="8"/>
  <c r="AH47" i="8"/>
  <c r="AH62" i="8"/>
  <c r="AG23" i="8"/>
  <c r="AG28" i="8"/>
  <c r="AG92" i="8"/>
  <c r="AG24" i="8"/>
  <c r="AG29" i="8"/>
  <c r="AH39" i="8"/>
  <c r="AH45" i="8"/>
  <c r="AH92" i="8"/>
  <c r="AG25" i="8"/>
  <c r="AG30" i="8"/>
  <c r="AG50" i="8"/>
  <c r="AG51" i="8" s="1"/>
  <c r="AH82" i="8"/>
  <c r="AK52" i="59" s="1"/>
  <c r="AG31" i="8"/>
  <c r="AH40" i="8"/>
  <c r="AH43" i="8"/>
  <c r="AH46" i="8"/>
  <c r="AH50" i="8"/>
  <c r="AH51" i="8" s="1"/>
  <c r="AG85" i="8"/>
  <c r="AJ44" i="59"/>
  <c r="AG24" i="7"/>
  <c r="AG54" i="7"/>
  <c r="AH24" i="7"/>
  <c r="AH30" i="7"/>
  <c r="AH94" i="7" s="1"/>
  <c r="AK34" i="59" s="1"/>
  <c r="AG55" i="7"/>
  <c r="AG27" i="7"/>
  <c r="AG91" i="7" s="1"/>
  <c r="AG33" i="7"/>
  <c r="AG99" i="7" s="1"/>
  <c r="AG61" i="7"/>
  <c r="AG102" i="7" s="1"/>
  <c r="AG30" i="7"/>
  <c r="AG94" i="7" s="1"/>
  <c r="AJ34" i="59" s="1"/>
  <c r="AG26" i="7"/>
  <c r="AG32" i="7"/>
  <c r="AG98" i="7" s="1"/>
  <c r="AG58" i="7"/>
  <c r="AG45" i="39"/>
  <c r="AH25" i="7"/>
  <c r="AH28" i="7"/>
  <c r="AH92" i="7" s="1"/>
  <c r="AH31" i="7"/>
  <c r="AH95" i="7" s="1"/>
  <c r="AK35" i="59" s="1"/>
  <c r="AH34" i="7"/>
  <c r="AH97" i="7" s="1"/>
  <c r="AH56" i="7"/>
  <c r="AH96" i="7" s="1"/>
  <c r="AH59" i="7"/>
  <c r="AH62" i="7"/>
  <c r="AH69" i="7"/>
  <c r="AH78" i="7"/>
  <c r="AG57" i="7"/>
  <c r="AG60" i="7"/>
  <c r="AG76" i="7"/>
  <c r="AG83" i="7"/>
  <c r="AJ36" i="59" s="1"/>
  <c r="AG50" i="39"/>
  <c r="AH23" i="7"/>
  <c r="AH26" i="7"/>
  <c r="AH29" i="7"/>
  <c r="AH93" i="7" s="1"/>
  <c r="AK33" i="59" s="1"/>
  <c r="AH32" i="7"/>
  <c r="AH98" i="7" s="1"/>
  <c r="AH36" i="7"/>
  <c r="AH90" i="7" s="1"/>
  <c r="AH54" i="7"/>
  <c r="AH57" i="7"/>
  <c r="AH60" i="7"/>
  <c r="AH76" i="7"/>
  <c r="AH83" i="7"/>
  <c r="AK36" i="59" s="1"/>
  <c r="AG81" i="7"/>
  <c r="AJ28" i="59" s="1"/>
  <c r="AH33" i="7"/>
  <c r="AH99" i="7" s="1"/>
  <c r="AH37" i="7"/>
  <c r="AH103" i="7" s="1"/>
  <c r="AH55" i="7"/>
  <c r="AH58" i="7"/>
  <c r="AH61" i="7"/>
  <c r="AH102" i="7" s="1"/>
  <c r="AG25" i="7"/>
  <c r="AG28" i="7"/>
  <c r="AG92" i="7" s="1"/>
  <c r="AG31" i="7"/>
  <c r="AG95" i="7" s="1"/>
  <c r="AJ35" i="59" s="1"/>
  <c r="AG34" i="7"/>
  <c r="AG97" i="7" s="1"/>
  <c r="AG56" i="7"/>
  <c r="AG96" i="7" s="1"/>
  <c r="AG59" i="7"/>
  <c r="AG62" i="7"/>
  <c r="AG68" i="7"/>
  <c r="AH133" i="6"/>
  <c r="AH57" i="6"/>
  <c r="AG163" i="6"/>
  <c r="AG168" i="6"/>
  <c r="AH13" i="49"/>
  <c r="AK6" i="59"/>
  <c r="AH15" i="35"/>
  <c r="AG21" i="6"/>
  <c r="AG30" i="6"/>
  <c r="AG133" i="6"/>
  <c r="AG22" i="6"/>
  <c r="AG31" i="6"/>
  <c r="AH103" i="6"/>
  <c r="AG194" i="6"/>
  <c r="AG28" i="6"/>
  <c r="AG19" i="6"/>
  <c r="AH511" i="28"/>
  <c r="AH522" i="28"/>
  <c r="AH74" i="28"/>
  <c r="AH503" i="28"/>
  <c r="AG13" i="28"/>
  <c r="AG60" i="36"/>
  <c r="AH63" i="36"/>
  <c r="AH60" i="36"/>
  <c r="AG22" i="21"/>
  <c r="AG37" i="35"/>
  <c r="AG49" i="35"/>
  <c r="AG15" i="35"/>
  <c r="AG11" i="35"/>
  <c r="AG10" i="6" s="1"/>
  <c r="F70" i="77"/>
  <c r="G70" i="77"/>
  <c r="J70" i="77"/>
  <c r="K70" i="77"/>
  <c r="N70" i="77"/>
  <c r="O70" i="77"/>
  <c r="R70" i="77"/>
  <c r="S70" i="77"/>
  <c r="V70" i="77"/>
  <c r="W70" i="77"/>
  <c r="AB70" i="77"/>
  <c r="AC70" i="77"/>
  <c r="AF70" i="77"/>
  <c r="AJ70" i="77"/>
  <c r="F53" i="77"/>
  <c r="G53" i="77"/>
  <c r="J53" i="77"/>
  <c r="K53" i="77"/>
  <c r="N53" i="77"/>
  <c r="O53" i="77"/>
  <c r="R53" i="77"/>
  <c r="S53" i="77"/>
  <c r="V53" i="77"/>
  <c r="W53" i="77"/>
  <c r="AB53" i="77"/>
  <c r="AC53" i="77"/>
  <c r="AF53" i="77"/>
  <c r="AJ53" i="77"/>
  <c r="F36" i="77"/>
  <c r="G36" i="77"/>
  <c r="J36" i="77"/>
  <c r="K36" i="77"/>
  <c r="N36" i="77"/>
  <c r="O36" i="77"/>
  <c r="R36" i="77"/>
  <c r="S36" i="77"/>
  <c r="V36" i="77"/>
  <c r="W36" i="77"/>
  <c r="AB36" i="77"/>
  <c r="AC36" i="77"/>
  <c r="AF36" i="77"/>
  <c r="AJ36" i="77"/>
  <c r="F32" i="77"/>
  <c r="G32" i="77"/>
  <c r="J32" i="77"/>
  <c r="K32" i="77"/>
  <c r="N32" i="77"/>
  <c r="O32" i="77"/>
  <c r="R32" i="77"/>
  <c r="S32" i="77"/>
  <c r="V32" i="77"/>
  <c r="W32" i="77"/>
  <c r="AB32" i="77"/>
  <c r="AC32" i="77"/>
  <c r="AF32" i="77"/>
  <c r="AJ32" i="77"/>
  <c r="F26" i="77"/>
  <c r="G26" i="77"/>
  <c r="J26" i="77"/>
  <c r="K26" i="77"/>
  <c r="N26" i="77"/>
  <c r="O26" i="77"/>
  <c r="R26" i="77"/>
  <c r="S26" i="77"/>
  <c r="V26" i="77"/>
  <c r="W26" i="77"/>
  <c r="AB26" i="77"/>
  <c r="AC26" i="77"/>
  <c r="AF26" i="77"/>
  <c r="AJ26" i="77"/>
  <c r="F21" i="77"/>
  <c r="G21" i="77"/>
  <c r="J21" i="77"/>
  <c r="K21" i="77"/>
  <c r="N21" i="77"/>
  <c r="O21" i="77"/>
  <c r="R21" i="77"/>
  <c r="S21" i="77"/>
  <c r="V21" i="77"/>
  <c r="W21" i="77"/>
  <c r="AB21" i="77"/>
  <c r="AC21" i="77"/>
  <c r="AF21" i="77"/>
  <c r="AJ21" i="77"/>
  <c r="F13" i="77"/>
  <c r="G13" i="77"/>
  <c r="J13" i="77"/>
  <c r="K13" i="77"/>
  <c r="N13" i="77"/>
  <c r="O13" i="77"/>
  <c r="R13" i="77"/>
  <c r="S13" i="77"/>
  <c r="V13" i="77"/>
  <c r="W13" i="77"/>
  <c r="AB13" i="77"/>
  <c r="AC13" i="77"/>
  <c r="AF13" i="77"/>
  <c r="AJ13" i="77"/>
  <c r="F7" i="77"/>
  <c r="G7" i="77"/>
  <c r="J7" i="77"/>
  <c r="K7" i="77"/>
  <c r="N7" i="77"/>
  <c r="O7" i="77"/>
  <c r="R7" i="77"/>
  <c r="S7" i="77"/>
  <c r="V7" i="77"/>
  <c r="W7" i="77"/>
  <c r="AB7" i="77"/>
  <c r="AC7" i="77"/>
  <c r="AF7" i="77"/>
  <c r="AJ7" i="77"/>
  <c r="F94" i="77"/>
  <c r="L94" i="77"/>
  <c r="AD94" i="77"/>
  <c r="J94" i="77"/>
  <c r="N94" i="77"/>
  <c r="F83" i="77"/>
  <c r="J83" i="77"/>
  <c r="L83" i="77"/>
  <c r="N83" i="77"/>
  <c r="R83" i="77"/>
  <c r="V83" i="77"/>
  <c r="X83" i="77"/>
  <c r="Z83" i="77"/>
  <c r="AB83" i="77"/>
  <c r="AD83" i="77"/>
  <c r="BA92" i="77"/>
  <c r="BA87" i="77"/>
  <c r="BA86" i="77"/>
  <c r="BA81" i="77"/>
  <c r="AW92" i="77"/>
  <c r="AW87" i="77"/>
  <c r="AW86" i="77"/>
  <c r="AS92" i="77"/>
  <c r="AS87" i="77"/>
  <c r="AS86" i="77"/>
  <c r="AM92" i="77"/>
  <c r="AM87" i="77"/>
  <c r="AM86" i="77"/>
  <c r="AE92" i="77"/>
  <c r="AE87" i="77"/>
  <c r="AE86" i="77"/>
  <c r="AA92" i="77"/>
  <c r="AA87" i="77"/>
  <c r="AA86" i="77"/>
  <c r="Y92" i="77"/>
  <c r="Y87" i="77"/>
  <c r="Y86" i="77"/>
  <c r="U92" i="77"/>
  <c r="U87" i="77"/>
  <c r="U86" i="77"/>
  <c r="U81" i="77"/>
  <c r="Q92" i="77"/>
  <c r="Q87" i="77"/>
  <c r="Q86" i="77"/>
  <c r="Q81" i="77"/>
  <c r="M92" i="77"/>
  <c r="M87" i="77"/>
  <c r="M86" i="77"/>
  <c r="M81" i="77"/>
  <c r="I92" i="77"/>
  <c r="I87" i="77"/>
  <c r="I86" i="77"/>
  <c r="I81" i="77"/>
  <c r="AH505" i="28" l="1"/>
  <c r="AH512" i="28"/>
  <c r="AG299" i="28"/>
  <c r="AG414" i="28"/>
  <c r="AG513" i="28" s="1"/>
  <c r="AH67" i="28"/>
  <c r="AH69" i="28" s="1"/>
  <c r="AH37" i="28"/>
  <c r="AH440" i="28"/>
  <c r="AH471" i="28" s="1"/>
  <c r="AH523" i="28" s="1"/>
  <c r="AH48" i="28"/>
  <c r="AH500" i="28"/>
  <c r="AE85" i="77"/>
  <c r="AH36" i="8"/>
  <c r="AG509" i="28"/>
  <c r="AG83" i="28"/>
  <c r="AG507" i="28" s="1"/>
  <c r="AH508" i="28"/>
  <c r="AG17" i="49"/>
  <c r="AG18" i="49" s="1"/>
  <c r="AG26" i="6"/>
  <c r="AH35" i="8"/>
  <c r="AG37" i="28"/>
  <c r="AH98" i="28"/>
  <c r="AG87" i="28"/>
  <c r="AG511" i="28" s="1"/>
  <c r="AH73" i="8"/>
  <c r="AG9" i="49"/>
  <c r="I85" i="77"/>
  <c r="U85" i="77"/>
  <c r="AG24" i="39"/>
  <c r="Y85" i="77"/>
  <c r="AS85" i="77"/>
  <c r="AH91" i="9"/>
  <c r="AH139" i="6"/>
  <c r="AG107" i="6"/>
  <c r="AH125" i="6"/>
  <c r="AG125" i="6"/>
  <c r="AG173" i="6" s="1"/>
  <c r="AG81" i="6"/>
  <c r="M85" i="77"/>
  <c r="AG29" i="6"/>
  <c r="AH501" i="28"/>
  <c r="AH107" i="6"/>
  <c r="AH194" i="6"/>
  <c r="AK47" i="59"/>
  <c r="AH138" i="8"/>
  <c r="AK46" i="59"/>
  <c r="AH136" i="8"/>
  <c r="AK43" i="59"/>
  <c r="AH123" i="8"/>
  <c r="AK48" i="59"/>
  <c r="AH137" i="8"/>
  <c r="Q85" i="77"/>
  <c r="AM85" i="77"/>
  <c r="AH19" i="36"/>
  <c r="AK57" i="59" s="1"/>
  <c r="AA85" i="77"/>
  <c r="BC87" i="77"/>
  <c r="BE87" i="77" s="1"/>
  <c r="BA85" i="77"/>
  <c r="AW85" i="77"/>
  <c r="AG94" i="77"/>
  <c r="BC92" i="77"/>
  <c r="BE92" i="77" s="1"/>
  <c r="AG63" i="28"/>
  <c r="R94" i="77"/>
  <c r="AH189" i="6"/>
  <c r="AH88" i="7"/>
  <c r="AK30" i="59" s="1"/>
  <c r="AG91" i="9"/>
  <c r="AH78" i="8"/>
  <c r="AG6" i="26"/>
  <c r="AG124" i="90"/>
  <c r="V94" i="77"/>
  <c r="AG60" i="9"/>
  <c r="AG21" i="22"/>
  <c r="AG7" i="22"/>
  <c r="AB94" i="77"/>
  <c r="AG55" i="35"/>
  <c r="AH42" i="8"/>
  <c r="AG51" i="39"/>
  <c r="AH17" i="6"/>
  <c r="AH15" i="6"/>
  <c r="AG57" i="9"/>
  <c r="AG89" i="7"/>
  <c r="AJ31" i="59" s="1"/>
  <c r="AG88" i="7"/>
  <c r="AJ30" i="59" s="1"/>
  <c r="AG139" i="6"/>
  <c r="AG35" i="36"/>
  <c r="AH87" i="9"/>
  <c r="AK61" i="59" s="1"/>
  <c r="AH81" i="9"/>
  <c r="AH78" i="9"/>
  <c r="AH84" i="9"/>
  <c r="AH85" i="9"/>
  <c r="AH75" i="9"/>
  <c r="AH77" i="9" s="1"/>
  <c r="AH52" i="9"/>
  <c r="AK58" i="59" s="1"/>
  <c r="AH82" i="9"/>
  <c r="AK62" i="59" s="1"/>
  <c r="AH72" i="9"/>
  <c r="AH80" i="9"/>
  <c r="AH53" i="9"/>
  <c r="AH86" i="9"/>
  <c r="AH73" i="9"/>
  <c r="AH83" i="9"/>
  <c r="AH52" i="8"/>
  <c r="AG67" i="8"/>
  <c r="AH71" i="8"/>
  <c r="AG65" i="8"/>
  <c r="AG26" i="8"/>
  <c r="AG8" i="49"/>
  <c r="AG109" i="8"/>
  <c r="AG111" i="8" s="1"/>
  <c r="AG59" i="8"/>
  <c r="AH70" i="8"/>
  <c r="AG69" i="8"/>
  <c r="AH101" i="7"/>
  <c r="AK32" i="59" s="1"/>
  <c r="AG101" i="7"/>
  <c r="AJ32" i="59" s="1"/>
  <c r="AH89" i="7"/>
  <c r="AK31" i="59" s="1"/>
  <c r="AH87" i="7"/>
  <c r="AH38" i="7"/>
  <c r="AH53" i="7" s="1"/>
  <c r="AJ29" i="59"/>
  <c r="AG38" i="7"/>
  <c r="AG53" i="7" s="1"/>
  <c r="AG84" i="6"/>
  <c r="AG32" i="6"/>
  <c r="AG34" i="6"/>
  <c r="AG23" i="6"/>
  <c r="AG33" i="6"/>
  <c r="AG72" i="28"/>
  <c r="AG236" i="28"/>
  <c r="AG501" i="28"/>
  <c r="X94" i="77"/>
  <c r="Z94" i="77"/>
  <c r="BC86" i="77"/>
  <c r="AH491" i="28" l="1"/>
  <c r="AH494" i="28" s="1"/>
  <c r="AH75" i="28"/>
  <c r="AH76" i="28" s="1"/>
  <c r="AG500" i="28"/>
  <c r="AH495" i="28"/>
  <c r="AG508" i="28"/>
  <c r="AH70" i="28"/>
  <c r="AH515" i="28"/>
  <c r="AH516" i="28"/>
  <c r="AG512" i="28"/>
  <c r="AG172" i="6"/>
  <c r="AG174" i="6" s="1"/>
  <c r="BC85" i="77"/>
  <c r="AG10" i="49"/>
  <c r="AG12" i="49" s="1"/>
  <c r="AG14" i="49" s="1"/>
  <c r="AG15" i="49" s="1"/>
  <c r="AG16" i="49" s="1"/>
  <c r="AG19" i="49" s="1"/>
  <c r="AG20" i="49" s="1"/>
  <c r="AH150" i="6"/>
  <c r="AG505" i="28"/>
  <c r="AH521" i="28"/>
  <c r="AG491" i="28"/>
  <c r="AG517" i="28" s="1"/>
  <c r="AG69" i="28"/>
  <c r="AG63" i="8"/>
  <c r="AH517" i="28"/>
  <c r="AH520" i="28"/>
  <c r="AG75" i="28"/>
  <c r="AG76" i="28" s="1"/>
  <c r="AG36" i="8"/>
  <c r="AG37" i="8"/>
  <c r="AK49" i="59"/>
  <c r="AH148" i="6"/>
  <c r="AK15" i="59" s="1"/>
  <c r="AH147" i="6"/>
  <c r="AH173" i="6"/>
  <c r="AK22" i="59" s="1"/>
  <c r="AG143" i="6"/>
  <c r="AG204" i="6" s="1"/>
  <c r="AH175" i="6"/>
  <c r="AH172" i="6"/>
  <c r="AG150" i="6"/>
  <c r="AG147" i="6"/>
  <c r="AG148" i="6"/>
  <c r="AG175" i="6"/>
  <c r="AH143" i="6"/>
  <c r="AH139" i="8"/>
  <c r="AK42" i="59"/>
  <c r="AK44" i="59" s="1"/>
  <c r="AH121" i="8"/>
  <c r="AG22" i="22"/>
  <c r="AG8" i="22"/>
  <c r="AG62" i="9"/>
  <c r="AH168" i="6"/>
  <c r="AH19" i="6"/>
  <c r="AH164" i="6"/>
  <c r="AG104" i="7"/>
  <c r="AG36" i="36"/>
  <c r="AG34" i="8"/>
  <c r="AG110" i="8"/>
  <c r="AG112" i="8" s="1"/>
  <c r="AH74" i="9"/>
  <c r="AH79" i="9" s="1"/>
  <c r="AG77" i="7"/>
  <c r="AG63" i="7"/>
  <c r="AH104" i="7"/>
  <c r="AK29" i="59"/>
  <c r="AH77" i="7"/>
  <c r="AH63" i="7"/>
  <c r="AG35" i="6"/>
  <c r="AG79" i="28"/>
  <c r="BE86" i="77"/>
  <c r="BE85" i="77" s="1"/>
  <c r="AH174" i="6" l="1"/>
  <c r="AH8" i="36" s="1"/>
  <c r="AK9" i="59" s="1"/>
  <c r="AH149" i="6"/>
  <c r="AH7" i="36" s="1"/>
  <c r="AK8" i="59" s="1"/>
  <c r="AG520" i="28"/>
  <c r="AG91" i="28"/>
  <c r="AG35" i="8"/>
  <c r="AG216" i="6"/>
  <c r="AG219" i="6" s="1"/>
  <c r="AG521" i="28"/>
  <c r="AG494" i="28"/>
  <c r="AG205" i="6"/>
  <c r="AG208" i="6"/>
  <c r="AG212" i="6"/>
  <c r="AG203" i="6"/>
  <c r="AG206" i="6"/>
  <c r="AG213" i="6"/>
  <c r="AG211" i="6"/>
  <c r="AG149" i="6"/>
  <c r="AH199" i="6"/>
  <c r="AH205" i="6"/>
  <c r="AH206" i="6"/>
  <c r="AH204" i="6"/>
  <c r="AH217" i="6"/>
  <c r="AH213" i="6"/>
  <c r="AH210" i="6"/>
  <c r="AH207" i="6"/>
  <c r="AH216" i="6"/>
  <c r="AH203" i="6"/>
  <c r="AH211" i="6"/>
  <c r="AH208" i="6"/>
  <c r="AH218" i="6"/>
  <c r="AH212" i="6"/>
  <c r="AH197" i="6"/>
  <c r="AG210" i="6"/>
  <c r="AG207" i="6"/>
  <c r="AH122" i="8"/>
  <c r="AH126" i="8" s="1"/>
  <c r="AH127" i="8" s="1"/>
  <c r="AH124" i="8"/>
  <c r="AG10" i="22"/>
  <c r="AG24" i="22"/>
  <c r="AH38" i="6"/>
  <c r="AH40" i="6"/>
  <c r="AH39" i="6"/>
  <c r="AH81" i="6"/>
  <c r="AH84" i="6"/>
  <c r="AH37" i="6"/>
  <c r="AG38" i="36"/>
  <c r="AG30" i="36" s="1"/>
  <c r="AJ80" i="59" s="1"/>
  <c r="AG504" i="28"/>
  <c r="AG503" i="28"/>
  <c r="BA5" i="77"/>
  <c r="BA6" i="77"/>
  <c r="BA8" i="77"/>
  <c r="BA9" i="77"/>
  <c r="BA10" i="77"/>
  <c r="BA11" i="77"/>
  <c r="BA12" i="77"/>
  <c r="BA14" i="77"/>
  <c r="BA15" i="77"/>
  <c r="BA16" i="77"/>
  <c r="BA17" i="77"/>
  <c r="BA18" i="77"/>
  <c r="BA19" i="77"/>
  <c r="BA20" i="77"/>
  <c r="BA22" i="77"/>
  <c r="BA23" i="77"/>
  <c r="BA24" i="77"/>
  <c r="BA25" i="77"/>
  <c r="BA27" i="77"/>
  <c r="BA28" i="77"/>
  <c r="BA29" i="77"/>
  <c r="BA30" i="77"/>
  <c r="BA31" i="77"/>
  <c r="BA33" i="77"/>
  <c r="BA34" i="77"/>
  <c r="BA35" i="77"/>
  <c r="BA43" i="77"/>
  <c r="BA44" i="77"/>
  <c r="BA45" i="77"/>
  <c r="BA46" i="77"/>
  <c r="BA47" i="77"/>
  <c r="BA48" i="77"/>
  <c r="BA49" i="77"/>
  <c r="BA50" i="77"/>
  <c r="BA51" i="77"/>
  <c r="BA52" i="77"/>
  <c r="BA54" i="77"/>
  <c r="BA55" i="77"/>
  <c r="BA56" i="77"/>
  <c r="BA57" i="77"/>
  <c r="BA58" i="77"/>
  <c r="BA59" i="77"/>
  <c r="BA60" i="77"/>
  <c r="BA61" i="77"/>
  <c r="BA62" i="77"/>
  <c r="BA63" i="77"/>
  <c r="BA64" i="77"/>
  <c r="BA65" i="77"/>
  <c r="BA66" i="77"/>
  <c r="BA67" i="77"/>
  <c r="BA68" i="77"/>
  <c r="BA69" i="77"/>
  <c r="BA71" i="77"/>
  <c r="BA72" i="77"/>
  <c r="BA73" i="77"/>
  <c r="BA74" i="77"/>
  <c r="BA75" i="77"/>
  <c r="BA76" i="77"/>
  <c r="AW5" i="77"/>
  <c r="AW6" i="77"/>
  <c r="AW8" i="77"/>
  <c r="AW9" i="77"/>
  <c r="AW10" i="77"/>
  <c r="AW11" i="77"/>
  <c r="AW12" i="77"/>
  <c r="AW14" i="77"/>
  <c r="AW15" i="77"/>
  <c r="AW16" i="77"/>
  <c r="AW17" i="77"/>
  <c r="AW18" i="77"/>
  <c r="AW19" i="77"/>
  <c r="AW20" i="77"/>
  <c r="AW22" i="77"/>
  <c r="AW23" i="77"/>
  <c r="AW24" i="77"/>
  <c r="AW25" i="77"/>
  <c r="AW27" i="77"/>
  <c r="AW28" i="77"/>
  <c r="AW29" i="77"/>
  <c r="AW30" i="77"/>
  <c r="AW31" i="77"/>
  <c r="AW33" i="77"/>
  <c r="AW34" i="77"/>
  <c r="AW35" i="77"/>
  <c r="AW43" i="77"/>
  <c r="AW44" i="77"/>
  <c r="AW45" i="77"/>
  <c r="AW46" i="77"/>
  <c r="AW47" i="77"/>
  <c r="AW48" i="77"/>
  <c r="AW49" i="77"/>
  <c r="AW50" i="77"/>
  <c r="AW51" i="77"/>
  <c r="AW52" i="77"/>
  <c r="AW54" i="77"/>
  <c r="AW55" i="77"/>
  <c r="AW56" i="77"/>
  <c r="AW57" i="77"/>
  <c r="AW58" i="77"/>
  <c r="AW59" i="77"/>
  <c r="AW60" i="77"/>
  <c r="AW61" i="77"/>
  <c r="AW62" i="77"/>
  <c r="AW63" i="77"/>
  <c r="AW64" i="77"/>
  <c r="AW65" i="77"/>
  <c r="AW66" i="77"/>
  <c r="AW67" i="77"/>
  <c r="AW68" i="77"/>
  <c r="AW69" i="77"/>
  <c r="AW71" i="77"/>
  <c r="AW72" i="77"/>
  <c r="AW73" i="77"/>
  <c r="AW74" i="77"/>
  <c r="AW75" i="77"/>
  <c r="AW76" i="77"/>
  <c r="AW4" i="77"/>
  <c r="AS5" i="77"/>
  <c r="AS6" i="77"/>
  <c r="AS8" i="77"/>
  <c r="AS9" i="77"/>
  <c r="AS10" i="77"/>
  <c r="AS11" i="77"/>
  <c r="AS12" i="77"/>
  <c r="AS14" i="77"/>
  <c r="AS15" i="77"/>
  <c r="AS16" i="77"/>
  <c r="AS17" i="77"/>
  <c r="AS18" i="77"/>
  <c r="AS19" i="77"/>
  <c r="AS20" i="77"/>
  <c r="AS22" i="77"/>
  <c r="AS23" i="77"/>
  <c r="AS24" i="77"/>
  <c r="AS25" i="77"/>
  <c r="AS27" i="77"/>
  <c r="AS28" i="77"/>
  <c r="AS29" i="77"/>
  <c r="AS30" i="77"/>
  <c r="AS31" i="77"/>
  <c r="AS33" i="77"/>
  <c r="AS34" i="77"/>
  <c r="AS35" i="77"/>
  <c r="AS43" i="77"/>
  <c r="AS44" i="77"/>
  <c r="AS45" i="77"/>
  <c r="AS46" i="77"/>
  <c r="AS47" i="77"/>
  <c r="AS48" i="77"/>
  <c r="AS49" i="77"/>
  <c r="AS50" i="77"/>
  <c r="AS51" i="77"/>
  <c r="AS52" i="77"/>
  <c r="AS54" i="77"/>
  <c r="AS55" i="77"/>
  <c r="AS56" i="77"/>
  <c r="AS57" i="77"/>
  <c r="AS58" i="77"/>
  <c r="AS59" i="77"/>
  <c r="AS60" i="77"/>
  <c r="AS61" i="77"/>
  <c r="AS62" i="77"/>
  <c r="AS63" i="77"/>
  <c r="AS64" i="77"/>
  <c r="AS65" i="77"/>
  <c r="AS66" i="77"/>
  <c r="AS67" i="77"/>
  <c r="AS68" i="77"/>
  <c r="AS69" i="77"/>
  <c r="AS71" i="77"/>
  <c r="AS72" i="77"/>
  <c r="AS73" i="77"/>
  <c r="AS74" i="77"/>
  <c r="AS75" i="77"/>
  <c r="AS76" i="77"/>
  <c r="AS4" i="77"/>
  <c r="AO5" i="77"/>
  <c r="AO6" i="77"/>
  <c r="AO8" i="77"/>
  <c r="AO9" i="77"/>
  <c r="AO10" i="77"/>
  <c r="AO11" i="77"/>
  <c r="AO12" i="77"/>
  <c r="AO14" i="77"/>
  <c r="AO15" i="77"/>
  <c r="AO16" i="77"/>
  <c r="AO17" i="77"/>
  <c r="AO18" i="77"/>
  <c r="AO19" i="77"/>
  <c r="AO20" i="77"/>
  <c r="AO22" i="77"/>
  <c r="AO23" i="77"/>
  <c r="AO24" i="77"/>
  <c r="AO25" i="77"/>
  <c r="AO27" i="77"/>
  <c r="AO28" i="77"/>
  <c r="AO29" i="77"/>
  <c r="AO30" i="77"/>
  <c r="AO31" i="77"/>
  <c r="AO33" i="77"/>
  <c r="AO34" i="77"/>
  <c r="AO35" i="77"/>
  <c r="AO43" i="77"/>
  <c r="AO44" i="77"/>
  <c r="AO45" i="77"/>
  <c r="AO46" i="77"/>
  <c r="AO47" i="77"/>
  <c r="AO48" i="77"/>
  <c r="AO49" i="77"/>
  <c r="AO50" i="77"/>
  <c r="AO51" i="77"/>
  <c r="AO52" i="77"/>
  <c r="AO54" i="77"/>
  <c r="AO55" i="77"/>
  <c r="AO56" i="77"/>
  <c r="AO57" i="77"/>
  <c r="AO58" i="77"/>
  <c r="AO59" i="77"/>
  <c r="AO60" i="77"/>
  <c r="AO61" i="77"/>
  <c r="AO62" i="77"/>
  <c r="AO63" i="77"/>
  <c r="AO64" i="77"/>
  <c r="AO65" i="77"/>
  <c r="AO66" i="77"/>
  <c r="AO67" i="77"/>
  <c r="AO68" i="77"/>
  <c r="AO69" i="77"/>
  <c r="AO71" i="77"/>
  <c r="AO72" i="77"/>
  <c r="AO73" i="77"/>
  <c r="AO74" i="77"/>
  <c r="AO75" i="77"/>
  <c r="AO76" i="77"/>
  <c r="AM5" i="77"/>
  <c r="AM6" i="77"/>
  <c r="AM8" i="77"/>
  <c r="AM9" i="77"/>
  <c r="BC9" i="77" s="1"/>
  <c r="AM10" i="77"/>
  <c r="AM11" i="77"/>
  <c r="BC11" i="77" s="1"/>
  <c r="AM12" i="77"/>
  <c r="AM14" i="77"/>
  <c r="AM15" i="77"/>
  <c r="AM16" i="77"/>
  <c r="AM17" i="77"/>
  <c r="AM18" i="77"/>
  <c r="AM19" i="77"/>
  <c r="AM20" i="77"/>
  <c r="AM22" i="77"/>
  <c r="AM23" i="77"/>
  <c r="BC23" i="77" s="1"/>
  <c r="AM24" i="77"/>
  <c r="AM25" i="77"/>
  <c r="AM27" i="77"/>
  <c r="AM28" i="77"/>
  <c r="AM29" i="77"/>
  <c r="AM30" i="77"/>
  <c r="AM31" i="77"/>
  <c r="AM33" i="77"/>
  <c r="AM34" i="77"/>
  <c r="AM35" i="77"/>
  <c r="AM43" i="77"/>
  <c r="AM44" i="77"/>
  <c r="BC44" i="77" s="1"/>
  <c r="AM45" i="77"/>
  <c r="AM46" i="77"/>
  <c r="BC46" i="77" s="1"/>
  <c r="AM47" i="77"/>
  <c r="AM48" i="77"/>
  <c r="AM49" i="77"/>
  <c r="AM50" i="77"/>
  <c r="AM51" i="77"/>
  <c r="AM52" i="77"/>
  <c r="AM54" i="77"/>
  <c r="AM55" i="77"/>
  <c r="AM56" i="77"/>
  <c r="AM57" i="77"/>
  <c r="BC57" i="77" s="1"/>
  <c r="AM58" i="77"/>
  <c r="AM59" i="77"/>
  <c r="AM60" i="77"/>
  <c r="AM61" i="77"/>
  <c r="AM62" i="77"/>
  <c r="AM63" i="77"/>
  <c r="AM64" i="77"/>
  <c r="AM65" i="77"/>
  <c r="AM66" i="77"/>
  <c r="AM67" i="77"/>
  <c r="AM68" i="77"/>
  <c r="AM69" i="77"/>
  <c r="BC69" i="77" s="1"/>
  <c r="AM71" i="77"/>
  <c r="AM72" i="77"/>
  <c r="BC72" i="77" s="1"/>
  <c r="AM73" i="77"/>
  <c r="AM74" i="77"/>
  <c r="AM75" i="77"/>
  <c r="AM76" i="77"/>
  <c r="AI4" i="77"/>
  <c r="AO4" i="77"/>
  <c r="AE5" i="77"/>
  <c r="AE6" i="77"/>
  <c r="AE8" i="77"/>
  <c r="AE9" i="77"/>
  <c r="AE10" i="77"/>
  <c r="AE11" i="77"/>
  <c r="AE12" i="77"/>
  <c r="AE14" i="77"/>
  <c r="AE15" i="77"/>
  <c r="AE16" i="77"/>
  <c r="AE17" i="77"/>
  <c r="AE18" i="77"/>
  <c r="AE19" i="77"/>
  <c r="AE20" i="77"/>
  <c r="AE22" i="77"/>
  <c r="AE23" i="77"/>
  <c r="AE24" i="77"/>
  <c r="AE25" i="77"/>
  <c r="AE27" i="77"/>
  <c r="AE28" i="77"/>
  <c r="AE29" i="77"/>
  <c r="AE30" i="77"/>
  <c r="AE31" i="77"/>
  <c r="AE33" i="77"/>
  <c r="AE34" i="77"/>
  <c r="AE35" i="77"/>
  <c r="AE43" i="77"/>
  <c r="AE44" i="77"/>
  <c r="AE45" i="77"/>
  <c r="AE46" i="77"/>
  <c r="AE47" i="77"/>
  <c r="AE48" i="77"/>
  <c r="AE49" i="77"/>
  <c r="AE50" i="77"/>
  <c r="AE51" i="77"/>
  <c r="AE52" i="77"/>
  <c r="AE54" i="77"/>
  <c r="AE55" i="77"/>
  <c r="AE56" i="77"/>
  <c r="AE57" i="77"/>
  <c r="AE58" i="77"/>
  <c r="AE59" i="77"/>
  <c r="AE60" i="77"/>
  <c r="AE61" i="77"/>
  <c r="AE62" i="77"/>
  <c r="AE63" i="77"/>
  <c r="AE64" i="77"/>
  <c r="AE65" i="77"/>
  <c r="AE66" i="77"/>
  <c r="AE67" i="77"/>
  <c r="AE68" i="77"/>
  <c r="AE69" i="77"/>
  <c r="AE71" i="77"/>
  <c r="AE72" i="77"/>
  <c r="AE73" i="77"/>
  <c r="AE74" i="77"/>
  <c r="AE75" i="77"/>
  <c r="AE76" i="77"/>
  <c r="AE4" i="77"/>
  <c r="AA5" i="77"/>
  <c r="AA6" i="77"/>
  <c r="AA8" i="77"/>
  <c r="AA9" i="77"/>
  <c r="AA10" i="77"/>
  <c r="AA11" i="77"/>
  <c r="AA12" i="77"/>
  <c r="AA14" i="77"/>
  <c r="AA15" i="77"/>
  <c r="AA16" i="77"/>
  <c r="AA17" i="77"/>
  <c r="AA18" i="77"/>
  <c r="AA19" i="77"/>
  <c r="AA20" i="77"/>
  <c r="AA22" i="77"/>
  <c r="AA23" i="77"/>
  <c r="AA24" i="77"/>
  <c r="AA25" i="77"/>
  <c r="AA27" i="77"/>
  <c r="AA28" i="77"/>
  <c r="AA29" i="77"/>
  <c r="AA30" i="77"/>
  <c r="AA31" i="77"/>
  <c r="AA33" i="77"/>
  <c r="AA34" i="77"/>
  <c r="AA35" i="77"/>
  <c r="AA43" i="77"/>
  <c r="AA44" i="77"/>
  <c r="AA45" i="77"/>
  <c r="AA46" i="77"/>
  <c r="AA47" i="77"/>
  <c r="AA48" i="77"/>
  <c r="AA49" i="77"/>
  <c r="AA50" i="77"/>
  <c r="AA51" i="77"/>
  <c r="AA52" i="77"/>
  <c r="AA54" i="77"/>
  <c r="AA55" i="77"/>
  <c r="AA56" i="77"/>
  <c r="AA57" i="77"/>
  <c r="AA58" i="77"/>
  <c r="AA59" i="77"/>
  <c r="AA60" i="77"/>
  <c r="AA61" i="77"/>
  <c r="AA62" i="77"/>
  <c r="AA63" i="77"/>
  <c r="AA64" i="77"/>
  <c r="AA65" i="77"/>
  <c r="AA66" i="77"/>
  <c r="AA67" i="77"/>
  <c r="AA68" i="77"/>
  <c r="AA69" i="77"/>
  <c r="AA71" i="77"/>
  <c r="AA72" i="77"/>
  <c r="AA73" i="77"/>
  <c r="AA74" i="77"/>
  <c r="AA75" i="77"/>
  <c r="AA76" i="77"/>
  <c r="AA4" i="77"/>
  <c r="Y5" i="77"/>
  <c r="Y6" i="77"/>
  <c r="Y8" i="77"/>
  <c r="Y9" i="77"/>
  <c r="Y10" i="77"/>
  <c r="Y11" i="77"/>
  <c r="Y12" i="77"/>
  <c r="Y14" i="77"/>
  <c r="Y15" i="77"/>
  <c r="Y16" i="77"/>
  <c r="Y17" i="77"/>
  <c r="Y18" i="77"/>
  <c r="Y19" i="77"/>
  <c r="Y20" i="77"/>
  <c r="Y22" i="77"/>
  <c r="Y23" i="77"/>
  <c r="Y24" i="77"/>
  <c r="Y25" i="77"/>
  <c r="Y27" i="77"/>
  <c r="Y28" i="77"/>
  <c r="Y29" i="77"/>
  <c r="Y30" i="77"/>
  <c r="Y31" i="77"/>
  <c r="Y33" i="77"/>
  <c r="Y34" i="77"/>
  <c r="Y35" i="77"/>
  <c r="Y43" i="77"/>
  <c r="Y44" i="77"/>
  <c r="Y45" i="77"/>
  <c r="Y46" i="77"/>
  <c r="Y47" i="77"/>
  <c r="Y48" i="77"/>
  <c r="Y49" i="77"/>
  <c r="Y50" i="77"/>
  <c r="Y51" i="77"/>
  <c r="Y52" i="77"/>
  <c r="Y54" i="77"/>
  <c r="Y55" i="77"/>
  <c r="Y56" i="77"/>
  <c r="Y57" i="77"/>
  <c r="Y58" i="77"/>
  <c r="Y59" i="77"/>
  <c r="Y60" i="77"/>
  <c r="Y61" i="77"/>
  <c r="Y62" i="77"/>
  <c r="Y63" i="77"/>
  <c r="Y64" i="77"/>
  <c r="Y65" i="77"/>
  <c r="Y66" i="77"/>
  <c r="Y67" i="77"/>
  <c r="Y68" i="77"/>
  <c r="Y69" i="77"/>
  <c r="Y71" i="77"/>
  <c r="Y72" i="77"/>
  <c r="Y73" i="77"/>
  <c r="Y74" i="77"/>
  <c r="Y75" i="77"/>
  <c r="Y76" i="77"/>
  <c r="Y4" i="77"/>
  <c r="U5" i="77"/>
  <c r="U6" i="77"/>
  <c r="U8" i="77"/>
  <c r="U9" i="77"/>
  <c r="U10" i="77"/>
  <c r="U11" i="77"/>
  <c r="U12" i="77"/>
  <c r="U14" i="77"/>
  <c r="U15" i="77"/>
  <c r="U16" i="77"/>
  <c r="U17" i="77"/>
  <c r="U18" i="77"/>
  <c r="U19" i="77"/>
  <c r="U20" i="77"/>
  <c r="U22" i="77"/>
  <c r="U23" i="77"/>
  <c r="U24" i="77"/>
  <c r="U25" i="77"/>
  <c r="U27" i="77"/>
  <c r="U28" i="77"/>
  <c r="U29" i="77"/>
  <c r="U30" i="77"/>
  <c r="U31" i="77"/>
  <c r="U33" i="77"/>
  <c r="U34" i="77"/>
  <c r="U35" i="77"/>
  <c r="U43" i="77"/>
  <c r="U44" i="77"/>
  <c r="U45" i="77"/>
  <c r="U46" i="77"/>
  <c r="U47" i="77"/>
  <c r="U48" i="77"/>
  <c r="U49" i="77"/>
  <c r="U50" i="77"/>
  <c r="U51" i="77"/>
  <c r="U52" i="77"/>
  <c r="U54" i="77"/>
  <c r="U55" i="77"/>
  <c r="U56" i="77"/>
  <c r="U57" i="77"/>
  <c r="U58" i="77"/>
  <c r="U59" i="77"/>
  <c r="U60" i="77"/>
  <c r="U61" i="77"/>
  <c r="U62" i="77"/>
  <c r="U63" i="77"/>
  <c r="U64" i="77"/>
  <c r="U65" i="77"/>
  <c r="U66" i="77"/>
  <c r="U67" i="77"/>
  <c r="U68" i="77"/>
  <c r="U69" i="77"/>
  <c r="U71" i="77"/>
  <c r="U72" i="77"/>
  <c r="U73" i="77"/>
  <c r="U74" i="77"/>
  <c r="U75" i="77"/>
  <c r="U76" i="77"/>
  <c r="U4" i="77"/>
  <c r="Q5" i="77"/>
  <c r="Q6" i="77"/>
  <c r="Q8" i="77"/>
  <c r="Q9" i="77"/>
  <c r="Q10" i="77"/>
  <c r="Q11" i="77"/>
  <c r="Q12" i="77"/>
  <c r="Q14" i="77"/>
  <c r="Q15" i="77"/>
  <c r="Q16" i="77"/>
  <c r="Q17" i="77"/>
  <c r="Q18" i="77"/>
  <c r="Q19" i="77"/>
  <c r="Q20" i="77"/>
  <c r="Q22" i="77"/>
  <c r="Q23" i="77"/>
  <c r="Q24" i="77"/>
  <c r="Q25" i="77"/>
  <c r="Q27" i="77"/>
  <c r="Q28" i="77"/>
  <c r="Q29" i="77"/>
  <c r="Q30" i="77"/>
  <c r="Q31" i="77"/>
  <c r="Q33" i="77"/>
  <c r="Q34" i="77"/>
  <c r="Q35" i="77"/>
  <c r="Q43" i="77"/>
  <c r="Q44" i="77"/>
  <c r="Q45" i="77"/>
  <c r="Q46" i="77"/>
  <c r="Q47" i="77"/>
  <c r="Q48" i="77"/>
  <c r="Q49" i="77"/>
  <c r="Q50" i="77"/>
  <c r="Q51" i="77"/>
  <c r="Q52" i="77"/>
  <c r="Q54" i="77"/>
  <c r="Q55" i="77"/>
  <c r="Q56" i="77"/>
  <c r="Q57" i="77"/>
  <c r="Q58" i="77"/>
  <c r="Q59" i="77"/>
  <c r="Q60" i="77"/>
  <c r="Q61" i="77"/>
  <c r="Q62" i="77"/>
  <c r="Q63" i="77"/>
  <c r="Q64" i="77"/>
  <c r="Q65" i="77"/>
  <c r="Q66" i="77"/>
  <c r="Q67" i="77"/>
  <c r="Q68" i="77"/>
  <c r="Q69" i="77"/>
  <c r="Q71" i="77"/>
  <c r="Q72" i="77"/>
  <c r="Q73" i="77"/>
  <c r="Q74" i="77"/>
  <c r="Q75" i="77"/>
  <c r="Q76" i="77"/>
  <c r="Q4" i="77"/>
  <c r="M5" i="77"/>
  <c r="M6" i="77"/>
  <c r="M8" i="77"/>
  <c r="M9" i="77"/>
  <c r="M10" i="77"/>
  <c r="M11" i="77"/>
  <c r="M12" i="77"/>
  <c r="M14" i="77"/>
  <c r="M15" i="77"/>
  <c r="M16" i="77"/>
  <c r="M17" i="77"/>
  <c r="M18" i="77"/>
  <c r="M19" i="77"/>
  <c r="M20" i="77"/>
  <c r="M22" i="77"/>
  <c r="M23" i="77"/>
  <c r="M24" i="77"/>
  <c r="M25" i="77"/>
  <c r="M27" i="77"/>
  <c r="M28" i="77"/>
  <c r="M29" i="77"/>
  <c r="M30" i="77"/>
  <c r="M31" i="77"/>
  <c r="M33" i="77"/>
  <c r="M34" i="77"/>
  <c r="M35" i="77"/>
  <c r="M43" i="77"/>
  <c r="M44" i="77"/>
  <c r="M45" i="77"/>
  <c r="M46" i="77"/>
  <c r="M47" i="77"/>
  <c r="M48" i="77"/>
  <c r="M49" i="77"/>
  <c r="M50" i="77"/>
  <c r="M51" i="77"/>
  <c r="M52" i="77"/>
  <c r="M54" i="77"/>
  <c r="M55" i="77"/>
  <c r="M56" i="77"/>
  <c r="M57" i="77"/>
  <c r="M58" i="77"/>
  <c r="M59" i="77"/>
  <c r="M60" i="77"/>
  <c r="M61" i="77"/>
  <c r="M62" i="77"/>
  <c r="M63" i="77"/>
  <c r="M64" i="77"/>
  <c r="M65" i="77"/>
  <c r="M66" i="77"/>
  <c r="M67" i="77"/>
  <c r="M68" i="77"/>
  <c r="M69" i="77"/>
  <c r="M71" i="77"/>
  <c r="M72" i="77"/>
  <c r="M73" i="77"/>
  <c r="M74" i="77"/>
  <c r="M75" i="77"/>
  <c r="M76" i="77"/>
  <c r="I5" i="77"/>
  <c r="I6" i="77"/>
  <c r="I8" i="77"/>
  <c r="I9" i="77"/>
  <c r="I10" i="77"/>
  <c r="I11" i="77"/>
  <c r="I12" i="77"/>
  <c r="I14" i="77"/>
  <c r="I15" i="77"/>
  <c r="I16" i="77"/>
  <c r="I17" i="77"/>
  <c r="I18" i="77"/>
  <c r="I19" i="77"/>
  <c r="I20" i="77"/>
  <c r="I22" i="77"/>
  <c r="I23" i="77"/>
  <c r="I24" i="77"/>
  <c r="I25" i="77"/>
  <c r="I27" i="77"/>
  <c r="I28" i="77"/>
  <c r="I29" i="77"/>
  <c r="I30" i="77"/>
  <c r="I31" i="77"/>
  <c r="I33" i="77"/>
  <c r="I34" i="77"/>
  <c r="I35" i="77"/>
  <c r="I43" i="77"/>
  <c r="I44" i="77"/>
  <c r="I45" i="77"/>
  <c r="I46" i="77"/>
  <c r="I47" i="77"/>
  <c r="I48" i="77"/>
  <c r="I49" i="77"/>
  <c r="I50" i="77"/>
  <c r="I51" i="77"/>
  <c r="I52" i="77"/>
  <c r="I54" i="77"/>
  <c r="I55" i="77"/>
  <c r="I56" i="77"/>
  <c r="I57" i="77"/>
  <c r="I58" i="77"/>
  <c r="I59" i="77"/>
  <c r="I60" i="77"/>
  <c r="I61" i="77"/>
  <c r="I62" i="77"/>
  <c r="I63" i="77"/>
  <c r="I64" i="77"/>
  <c r="I65" i="77"/>
  <c r="I66" i="77"/>
  <c r="I67" i="77"/>
  <c r="I68" i="77"/>
  <c r="I69" i="77"/>
  <c r="I71" i="77"/>
  <c r="I72" i="77"/>
  <c r="I73" i="77"/>
  <c r="I74" i="77"/>
  <c r="I75" i="77"/>
  <c r="I76" i="77"/>
  <c r="AC99" i="90"/>
  <c r="AC90" i="90"/>
  <c r="AG214" i="6" l="1"/>
  <c r="BC59" i="77"/>
  <c r="BC25" i="77"/>
  <c r="BE25" i="77" s="1"/>
  <c r="BC65" i="77"/>
  <c r="BC52" i="77"/>
  <c r="BC33" i="77"/>
  <c r="BE33" i="77" s="1"/>
  <c r="BC18" i="77"/>
  <c r="BE18" i="77" s="1"/>
  <c r="BC68" i="77"/>
  <c r="BE68" i="77" s="1"/>
  <c r="BC56" i="77"/>
  <c r="BC8" i="77"/>
  <c r="BC67" i="77"/>
  <c r="BC55" i="77"/>
  <c r="BE55" i="77" s="1"/>
  <c r="BC35" i="77"/>
  <c r="BE35" i="77" s="1"/>
  <c r="BC20" i="77"/>
  <c r="BE20" i="77" s="1"/>
  <c r="BC6" i="77"/>
  <c r="BE6" i="77" s="1"/>
  <c r="BC66" i="77"/>
  <c r="BE66" i="77" s="1"/>
  <c r="BC54" i="77"/>
  <c r="BC34" i="77"/>
  <c r="BE34" i="77" s="1"/>
  <c r="BC5" i="77"/>
  <c r="BE5" i="77" s="1"/>
  <c r="AG515" i="28"/>
  <c r="AG495" i="28"/>
  <c r="AG516" i="28"/>
  <c r="AG209" i="6"/>
  <c r="AG215" i="6" s="1"/>
  <c r="AG220" i="6" s="1"/>
  <c r="AG95" i="28"/>
  <c r="BC73" i="77"/>
  <c r="BE73" i="77" s="1"/>
  <c r="BC60" i="77"/>
  <c r="BE60" i="77" s="1"/>
  <c r="BC47" i="77"/>
  <c r="BE47" i="77" s="1"/>
  <c r="BC12" i="77"/>
  <c r="BE12" i="77" s="1"/>
  <c r="BC71" i="77"/>
  <c r="BE71" i="77" s="1"/>
  <c r="BC58" i="77"/>
  <c r="BE58" i="77" s="1"/>
  <c r="BC45" i="77"/>
  <c r="BE45" i="77" s="1"/>
  <c r="BC24" i="77"/>
  <c r="BE24" i="77" s="1"/>
  <c r="BC64" i="77"/>
  <c r="BE64" i="77" s="1"/>
  <c r="BC51" i="77"/>
  <c r="BE51" i="77" s="1"/>
  <c r="BC17" i="77"/>
  <c r="BE17" i="77" s="1"/>
  <c r="AH209" i="6"/>
  <c r="AH219" i="6"/>
  <c r="AH214" i="6"/>
  <c r="Q21" i="77"/>
  <c r="BC75" i="77"/>
  <c r="BE75" i="77" s="1"/>
  <c r="BC62" i="77"/>
  <c r="BE62" i="77" s="1"/>
  <c r="BC49" i="77"/>
  <c r="BE49" i="77" s="1"/>
  <c r="BC29" i="77"/>
  <c r="BE29" i="77" s="1"/>
  <c r="BC15" i="77"/>
  <c r="BE15" i="77" s="1"/>
  <c r="BC31" i="77"/>
  <c r="BE31" i="77" s="1"/>
  <c r="AH41" i="6"/>
  <c r="AH130" i="8"/>
  <c r="AH132" i="8"/>
  <c r="AH145" i="8" s="1"/>
  <c r="AH131" i="8"/>
  <c r="AH144" i="8" s="1"/>
  <c r="Q13" i="77"/>
  <c r="AE21" i="77"/>
  <c r="Y21" i="77"/>
  <c r="AA36" i="77"/>
  <c r="AE7" i="77"/>
  <c r="BC74" i="77"/>
  <c r="BE74" i="77" s="1"/>
  <c r="BC61" i="77"/>
  <c r="BE61" i="77" s="1"/>
  <c r="BC48" i="77"/>
  <c r="BE48" i="77" s="1"/>
  <c r="BC28" i="77"/>
  <c r="BE28" i="77" s="1"/>
  <c r="BC14" i="77"/>
  <c r="BE14" i="77" s="1"/>
  <c r="AG25" i="22"/>
  <c r="AG11" i="22"/>
  <c r="Y13" i="77"/>
  <c r="Y26" i="77"/>
  <c r="BE69" i="77"/>
  <c r="BE57" i="77"/>
  <c r="BE44" i="77"/>
  <c r="BE23" i="77"/>
  <c r="BE9" i="77"/>
  <c r="BE56" i="77"/>
  <c r="BE8" i="77"/>
  <c r="BE67" i="77"/>
  <c r="Y53" i="77"/>
  <c r="BE54" i="77"/>
  <c r="BE65" i="77"/>
  <c r="BE52" i="77"/>
  <c r="BA13" i="77"/>
  <c r="BA53" i="77"/>
  <c r="BA21" i="77"/>
  <c r="AC115" i="90"/>
  <c r="BE72" i="77"/>
  <c r="BE59" i="77"/>
  <c r="BE46" i="77"/>
  <c r="BE11" i="77"/>
  <c r="AW26" i="77"/>
  <c r="AS21" i="77"/>
  <c r="AW53" i="77"/>
  <c r="AO13" i="77"/>
  <c r="AW32" i="77"/>
  <c r="AW21" i="77"/>
  <c r="AW36" i="77"/>
  <c r="BC76" i="77"/>
  <c r="BE76" i="77" s="1"/>
  <c r="BC63" i="77"/>
  <c r="BE63" i="77" s="1"/>
  <c r="BC50" i="77"/>
  <c r="BE50" i="77" s="1"/>
  <c r="BC30" i="77"/>
  <c r="BE30" i="77" s="1"/>
  <c r="BC16" i="77"/>
  <c r="BE16" i="77" s="1"/>
  <c r="AO70" i="77"/>
  <c r="AW13" i="77"/>
  <c r="I53" i="77"/>
  <c r="I26" i="77"/>
  <c r="M21" i="77"/>
  <c r="Q36" i="77"/>
  <c r="U7" i="77"/>
  <c r="AS53" i="77"/>
  <c r="AS26" i="77"/>
  <c r="BA36" i="77"/>
  <c r="Y7" i="77"/>
  <c r="Q7" i="77"/>
  <c r="AE70" i="77"/>
  <c r="AE32" i="77"/>
  <c r="AM13" i="77"/>
  <c r="AO53" i="77"/>
  <c r="AO26" i="77"/>
  <c r="I21" i="77"/>
  <c r="AA70" i="77"/>
  <c r="AA32" i="77"/>
  <c r="AM32" i="77"/>
  <c r="I36" i="77"/>
  <c r="Y70" i="77"/>
  <c r="Y32" i="77"/>
  <c r="AE13" i="77"/>
  <c r="AM53" i="77"/>
  <c r="AM26" i="77"/>
  <c r="AO21" i="77"/>
  <c r="AS36" i="77"/>
  <c r="AW7" i="77"/>
  <c r="M36" i="77"/>
  <c r="U70" i="77"/>
  <c r="U32" i="77"/>
  <c r="AA13" i="77"/>
  <c r="AO36" i="77"/>
  <c r="AS7" i="77"/>
  <c r="BC27" i="77"/>
  <c r="AM70" i="77"/>
  <c r="Q70" i="77"/>
  <c r="Q32" i="77"/>
  <c r="AE53" i="77"/>
  <c r="AE26" i="77"/>
  <c r="AM21" i="77"/>
  <c r="BA70" i="77"/>
  <c r="BA32" i="77"/>
  <c r="Q26" i="77"/>
  <c r="U36" i="77"/>
  <c r="M70" i="77"/>
  <c r="M32" i="77"/>
  <c r="U13" i="77"/>
  <c r="AA53" i="77"/>
  <c r="AA26" i="77"/>
  <c r="AO7" i="77"/>
  <c r="AM36" i="77"/>
  <c r="BC10" i="77"/>
  <c r="AW70" i="77"/>
  <c r="I70" i="77"/>
  <c r="I32" i="77"/>
  <c r="M13" i="77"/>
  <c r="U53" i="77"/>
  <c r="U26" i="77"/>
  <c r="AA21" i="77"/>
  <c r="AE36" i="77"/>
  <c r="AS70" i="77"/>
  <c r="AS32" i="77"/>
  <c r="BC43" i="77"/>
  <c r="BC22" i="77"/>
  <c r="Q53" i="77"/>
  <c r="AO32" i="77"/>
  <c r="BA26" i="77"/>
  <c r="I13" i="77"/>
  <c r="M53" i="77"/>
  <c r="M26" i="77"/>
  <c r="U21" i="77"/>
  <c r="Y36" i="77"/>
  <c r="AA7" i="77"/>
  <c r="AS13" i="77"/>
  <c r="BC19" i="77"/>
  <c r="BC36" i="77" l="1"/>
  <c r="AK11" i="59"/>
  <c r="AH215" i="6"/>
  <c r="AH133" i="8"/>
  <c r="AH146" i="8" s="1"/>
  <c r="AH143" i="8"/>
  <c r="BE36" i="77"/>
  <c r="AG13" i="22"/>
  <c r="AG27" i="22"/>
  <c r="BE70" i="77"/>
  <c r="BC70" i="77"/>
  <c r="BC32" i="77"/>
  <c r="BE27" i="77"/>
  <c r="BE32" i="77" s="1"/>
  <c r="BC26" i="77"/>
  <c r="BE22" i="77"/>
  <c r="BE26" i="77" s="1"/>
  <c r="BC13" i="77"/>
  <c r="BE10" i="77"/>
  <c r="BE13" i="77" s="1"/>
  <c r="BC21" i="77"/>
  <c r="BE19" i="77"/>
  <c r="BE21" i="77" s="1"/>
  <c r="BC53" i="77"/>
  <c r="BE43" i="77"/>
  <c r="BE53" i="77" s="1"/>
  <c r="AD55" i="10"/>
  <c r="AN55" i="10" s="1"/>
  <c r="BH73" i="77" l="1"/>
  <c r="AH220" i="6"/>
  <c r="AH9" i="36"/>
  <c r="AK10" i="59" s="1"/>
  <c r="AD39" i="10"/>
  <c r="AN39" i="10" s="1"/>
  <c r="AD90" i="10"/>
  <c r="AN90" i="10" s="1"/>
  <c r="AD56" i="10"/>
  <c r="AN56" i="10" s="1"/>
  <c r="AD24" i="10"/>
  <c r="AD60" i="10"/>
  <c r="AN60" i="10" s="1"/>
  <c r="AD32" i="10"/>
  <c r="AN32" i="10" s="1"/>
  <c r="AD35" i="10"/>
  <c r="AN35" i="10" s="1"/>
  <c r="AD199" i="10" l="1"/>
  <c r="AN24" i="10"/>
  <c r="AD103" i="9"/>
  <c r="R55" i="71" l="1"/>
  <c r="W55" i="71" s="1"/>
  <c r="R56" i="71"/>
  <c r="W56" i="71" s="1"/>
  <c r="R57" i="71"/>
  <c r="W57" i="71" s="1"/>
  <c r="R58" i="71"/>
  <c r="W58" i="71" s="1"/>
  <c r="R6" i="71"/>
  <c r="W6" i="71" s="1"/>
  <c r="AE129" i="45"/>
  <c r="AD64" i="11" l="1"/>
  <c r="AD35" i="35" l="1"/>
  <c r="AC122" i="90" s="1"/>
  <c r="AC127" i="90" l="1"/>
  <c r="AF109" i="9"/>
  <c r="AJ109" i="9" s="1"/>
  <c r="AC20" i="27" l="1"/>
  <c r="AC19" i="27"/>
  <c r="AF387" i="28" l="1"/>
  <c r="AJ387" i="28" s="1"/>
  <c r="AP387" i="28" s="1"/>
  <c r="AT387" i="28" s="1"/>
  <c r="AX387" i="28" s="1"/>
  <c r="BF387" i="28" s="1"/>
  <c r="BH387" i="28" s="1"/>
  <c r="AF389" i="28"/>
  <c r="AJ389" i="28" s="1"/>
  <c r="AP389" i="28" s="1"/>
  <c r="AT389" i="28" s="1"/>
  <c r="AX389" i="28" s="1"/>
  <c r="BF389" i="28" s="1"/>
  <c r="BH389" i="28" s="1"/>
  <c r="AF390" i="28"/>
  <c r="AJ390" i="28" s="1"/>
  <c r="AP390" i="28" s="1"/>
  <c r="AT390" i="28" s="1"/>
  <c r="AX390" i="28" s="1"/>
  <c r="BF390" i="28" s="1"/>
  <c r="BH390" i="28" s="1"/>
  <c r="Z385" i="28"/>
  <c r="AB385" i="28" s="1"/>
  <c r="AF385" i="28" s="1"/>
  <c r="AJ385" i="28" s="1"/>
  <c r="AP385" i="28" s="1"/>
  <c r="AT385" i="28" s="1"/>
  <c r="AX385" i="28" s="1"/>
  <c r="BF385" i="28" s="1"/>
  <c r="BH385" i="28" s="1"/>
  <c r="Z386" i="28"/>
  <c r="AB386" i="28" s="1"/>
  <c r="AF386" i="28" s="1"/>
  <c r="AJ386" i="28" s="1"/>
  <c r="AP386" i="28" s="1"/>
  <c r="AT386" i="28" s="1"/>
  <c r="AX386" i="28" s="1"/>
  <c r="BF386" i="28" s="1"/>
  <c r="BH386" i="28" s="1"/>
  <c r="Z391" i="28"/>
  <c r="N340" i="28"/>
  <c r="Z340" i="28"/>
  <c r="AB340" i="28" l="1"/>
  <c r="AF340" i="28" s="1"/>
  <c r="AJ340" i="28" s="1"/>
  <c r="AP340" i="28" s="1"/>
  <c r="AT340" i="28" s="1"/>
  <c r="AX340" i="28" s="1"/>
  <c r="BF340" i="28" s="1"/>
  <c r="BH340" i="28" s="1"/>
  <c r="AC37" i="27" l="1"/>
  <c r="AC35" i="27"/>
  <c r="AC29" i="27"/>
  <c r="AC28" i="27"/>
  <c r="AC27" i="27"/>
  <c r="AC18" i="27"/>
  <c r="BF175" i="45" l="1"/>
  <c r="BE175" i="45"/>
  <c r="BD175" i="45"/>
  <c r="BC175" i="45"/>
  <c r="BB175" i="45"/>
  <c r="BA175" i="45"/>
  <c r="AZ47" i="35" s="1"/>
  <c r="AZ175" i="45"/>
  <c r="AX175" i="45"/>
  <c r="AW175" i="45"/>
  <c r="AV47" i="35" s="1"/>
  <c r="AV175" i="45"/>
  <c r="AT175" i="45"/>
  <c r="AS175" i="45"/>
  <c r="AR47" i="35" s="1"/>
  <c r="AR175" i="45"/>
  <c r="AP175" i="45"/>
  <c r="AO175" i="45"/>
  <c r="AJ175" i="45"/>
  <c r="AI175" i="45"/>
  <c r="AH47" i="35" s="1"/>
  <c r="AH175" i="45"/>
  <c r="AF175" i="45"/>
  <c r="AD175" i="45"/>
  <c r="AB175" i="45"/>
  <c r="Z175" i="45"/>
  <c r="Y175" i="45"/>
  <c r="X175" i="45"/>
  <c r="V175" i="45"/>
  <c r="U175" i="45"/>
  <c r="T175" i="45"/>
  <c r="R175" i="45"/>
  <c r="Q175" i="45"/>
  <c r="P175" i="45"/>
  <c r="N175" i="45"/>
  <c r="M175" i="45"/>
  <c r="L175" i="45"/>
  <c r="J175" i="45"/>
  <c r="I175" i="45"/>
  <c r="H175" i="45"/>
  <c r="G175" i="45"/>
  <c r="BF174" i="45"/>
  <c r="BE174" i="45"/>
  <c r="BD174" i="45"/>
  <c r="BC174" i="45"/>
  <c r="BB174" i="45"/>
  <c r="BA174" i="45"/>
  <c r="AZ46" i="35" s="1"/>
  <c r="AZ174" i="45"/>
  <c r="AX174" i="45"/>
  <c r="AW174" i="45"/>
  <c r="AV46" i="35" s="1"/>
  <c r="AV174" i="45"/>
  <c r="AT174" i="45"/>
  <c r="AS174" i="45"/>
  <c r="AR46" i="35" s="1"/>
  <c r="AR174" i="45"/>
  <c r="AP174" i="45"/>
  <c r="AO174" i="45"/>
  <c r="AJ174" i="45"/>
  <c r="AI174" i="45"/>
  <c r="AH46" i="35" s="1"/>
  <c r="AH174" i="45"/>
  <c r="AF174" i="45"/>
  <c r="AD174" i="45"/>
  <c r="AB174" i="45"/>
  <c r="Z174" i="45"/>
  <c r="Y174" i="45"/>
  <c r="X174" i="45"/>
  <c r="V174" i="45"/>
  <c r="U174" i="45"/>
  <c r="T174" i="45"/>
  <c r="R174" i="45"/>
  <c r="Q174" i="45"/>
  <c r="P174" i="45"/>
  <c r="N174" i="45"/>
  <c r="M174" i="45"/>
  <c r="L174" i="45"/>
  <c r="K174" i="45"/>
  <c r="J174" i="45"/>
  <c r="I174" i="45"/>
  <c r="H174" i="45"/>
  <c r="G174" i="45"/>
  <c r="BF173" i="45"/>
  <c r="BD173" i="45"/>
  <c r="BB173" i="45"/>
  <c r="BA173" i="45"/>
  <c r="AZ45" i="35" s="1"/>
  <c r="AZ173" i="45"/>
  <c r="AX173" i="45"/>
  <c r="AW173" i="45"/>
  <c r="AV45" i="35" s="1"/>
  <c r="AV173" i="45"/>
  <c r="AT173" i="45"/>
  <c r="AS173" i="45"/>
  <c r="AR45" i="35" s="1"/>
  <c r="AR173" i="45"/>
  <c r="AP173" i="45"/>
  <c r="AJ173" i="45"/>
  <c r="AI173" i="45"/>
  <c r="AH45" i="35" s="1"/>
  <c r="AH173" i="45"/>
  <c r="AF173" i="45"/>
  <c r="AD173" i="45"/>
  <c r="AB173" i="45"/>
  <c r="Z173" i="45"/>
  <c r="Y173" i="45"/>
  <c r="X173" i="45"/>
  <c r="V173" i="45"/>
  <c r="U173" i="45"/>
  <c r="T173" i="45"/>
  <c r="R173" i="45"/>
  <c r="Q173" i="45"/>
  <c r="P173" i="45"/>
  <c r="N173" i="45"/>
  <c r="M173" i="45"/>
  <c r="L173" i="45"/>
  <c r="J173" i="45"/>
  <c r="I173" i="45"/>
  <c r="H173" i="45"/>
  <c r="G173" i="45"/>
  <c r="BF172" i="45"/>
  <c r="BD172" i="45"/>
  <c r="BB172" i="45"/>
  <c r="BA172" i="45"/>
  <c r="AZ44" i="35" s="1"/>
  <c r="AZ172" i="45"/>
  <c r="AX172" i="45"/>
  <c r="AW172" i="45"/>
  <c r="AV44" i="35" s="1"/>
  <c r="AV172" i="45"/>
  <c r="AT172" i="45"/>
  <c r="AS172" i="45"/>
  <c r="AR44" i="35" s="1"/>
  <c r="AR172" i="45"/>
  <c r="AP172" i="45"/>
  <c r="AJ172" i="45"/>
  <c r="AI172" i="45"/>
  <c r="AH44" i="35" s="1"/>
  <c r="AH172" i="45"/>
  <c r="AF172" i="45"/>
  <c r="AD172" i="45"/>
  <c r="AB172" i="45"/>
  <c r="Z172" i="45"/>
  <c r="Y172" i="45"/>
  <c r="X172" i="45"/>
  <c r="V172" i="45"/>
  <c r="U172" i="45"/>
  <c r="T172" i="45"/>
  <c r="R172" i="45"/>
  <c r="Q172" i="45"/>
  <c r="P172" i="45"/>
  <c r="N172" i="45"/>
  <c r="M172" i="45"/>
  <c r="L172" i="45"/>
  <c r="J172" i="45"/>
  <c r="I172" i="45"/>
  <c r="H172" i="45"/>
  <c r="G172" i="45"/>
  <c r="BF171" i="45"/>
  <c r="BD171" i="45"/>
  <c r="BB171" i="45"/>
  <c r="BA171" i="45"/>
  <c r="AZ43" i="35" s="1"/>
  <c r="AZ171" i="45"/>
  <c r="AX171" i="45"/>
  <c r="AW171" i="45"/>
  <c r="AV43" i="35" s="1"/>
  <c r="AV171" i="45"/>
  <c r="AT171" i="45"/>
  <c r="AS171" i="45"/>
  <c r="AR43" i="35" s="1"/>
  <c r="AR171" i="45"/>
  <c r="AP171" i="45"/>
  <c r="AJ171" i="45"/>
  <c r="AI171" i="45"/>
  <c r="AH43" i="35" s="1"/>
  <c r="AH171" i="45"/>
  <c r="AF171" i="45"/>
  <c r="AD171" i="45"/>
  <c r="AB171" i="45"/>
  <c r="Z171" i="45"/>
  <c r="Y171" i="45"/>
  <c r="X171" i="45"/>
  <c r="V171" i="45"/>
  <c r="U171" i="45"/>
  <c r="T171" i="45"/>
  <c r="R171" i="45"/>
  <c r="Q171" i="45"/>
  <c r="P171" i="45"/>
  <c r="N171" i="45"/>
  <c r="M171" i="45"/>
  <c r="L171" i="45"/>
  <c r="J171" i="45"/>
  <c r="I171" i="45"/>
  <c r="H171" i="45"/>
  <c r="G171" i="45"/>
  <c r="BF170" i="45"/>
  <c r="BD170" i="45"/>
  <c r="BB170" i="45"/>
  <c r="BA170" i="45"/>
  <c r="AZ42" i="35" s="1"/>
  <c r="AZ170" i="45"/>
  <c r="AX170" i="45"/>
  <c r="AW170" i="45"/>
  <c r="AV42" i="35" s="1"/>
  <c r="AV170" i="45"/>
  <c r="AT170" i="45"/>
  <c r="AS170" i="45"/>
  <c r="AR42" i="35" s="1"/>
  <c r="AR170" i="45"/>
  <c r="AP170" i="45"/>
  <c r="AJ170" i="45"/>
  <c r="AI170" i="45"/>
  <c r="AH42" i="35" s="1"/>
  <c r="AH170" i="45"/>
  <c r="AF170" i="45"/>
  <c r="AD170" i="45"/>
  <c r="AB170" i="45"/>
  <c r="Z170" i="45"/>
  <c r="Y170" i="45"/>
  <c r="X170" i="45"/>
  <c r="V170" i="45"/>
  <c r="U170" i="45"/>
  <c r="T170" i="45"/>
  <c r="R170" i="45"/>
  <c r="Q170" i="45"/>
  <c r="P170" i="45"/>
  <c r="N170" i="45"/>
  <c r="M170" i="45"/>
  <c r="L170" i="45"/>
  <c r="J170" i="45"/>
  <c r="I170" i="45"/>
  <c r="H170" i="45"/>
  <c r="G170" i="45"/>
  <c r="AE174" i="45"/>
  <c r="O118" i="45"/>
  <c r="AA118" i="45"/>
  <c r="AA85" i="45"/>
  <c r="AC85" i="45" s="1"/>
  <c r="AG85" i="45" s="1"/>
  <c r="AK85" i="45" s="1"/>
  <c r="AQ85" i="45" s="1"/>
  <c r="AU85" i="45" s="1"/>
  <c r="AY85" i="45" s="1"/>
  <c r="BG85" i="45" s="1"/>
  <c r="BI85" i="45" s="1"/>
  <c r="AA87" i="45"/>
  <c r="AC87" i="45" s="1"/>
  <c r="AG87" i="45" s="1"/>
  <c r="AK87" i="45" s="1"/>
  <c r="AQ87" i="45" s="1"/>
  <c r="AU87" i="45" s="1"/>
  <c r="AY87" i="45" s="1"/>
  <c r="BG87" i="45" s="1"/>
  <c r="BI87" i="45" s="1"/>
  <c r="AA98" i="45"/>
  <c r="AC98" i="45" s="1"/>
  <c r="AG98" i="45" s="1"/>
  <c r="AK98" i="45" s="1"/>
  <c r="AQ98" i="45" s="1"/>
  <c r="AU98" i="45" s="1"/>
  <c r="AY98" i="45" s="1"/>
  <c r="BG98" i="45" s="1"/>
  <c r="BI98" i="45" s="1"/>
  <c r="AA99" i="45"/>
  <c r="AA100" i="45"/>
  <c r="O99" i="45"/>
  <c r="O100" i="45"/>
  <c r="AA21" i="45"/>
  <c r="AC21" i="45" s="1"/>
  <c r="AG21" i="45" s="1"/>
  <c r="BC21" i="45"/>
  <c r="BE21" i="45" s="1"/>
  <c r="BL21" i="45" s="1"/>
  <c r="BB43" i="35" l="1"/>
  <c r="BB42" i="35"/>
  <c r="BB45" i="35"/>
  <c r="BB46" i="35"/>
  <c r="BB44" i="35"/>
  <c r="BB47" i="35"/>
  <c r="AZ49" i="35"/>
  <c r="AZ55" i="35" s="1"/>
  <c r="I176" i="45"/>
  <c r="AB176" i="45"/>
  <c r="P176" i="45"/>
  <c r="Z176" i="45"/>
  <c r="G176" i="45"/>
  <c r="AT176" i="45"/>
  <c r="N176" i="45"/>
  <c r="BA176" i="45"/>
  <c r="U176" i="45"/>
  <c r="AC118" i="45"/>
  <c r="AG118" i="45" s="1"/>
  <c r="AK118" i="45" s="1"/>
  <c r="AQ118" i="45" s="1"/>
  <c r="BF176" i="45"/>
  <c r="AK21" i="45"/>
  <c r="AH176" i="45"/>
  <c r="AH49" i="35"/>
  <c r="AH55" i="35" s="1"/>
  <c r="AZ176" i="45"/>
  <c r="Q176" i="45"/>
  <c r="AP176" i="45"/>
  <c r="BB176" i="45"/>
  <c r="R176" i="45"/>
  <c r="AD176" i="45"/>
  <c r="AF176" i="45"/>
  <c r="AR176" i="45"/>
  <c r="BD176" i="45"/>
  <c r="AC99" i="45"/>
  <c r="AG99" i="45" s="1"/>
  <c r="AK99" i="45" s="1"/>
  <c r="AQ99" i="45" s="1"/>
  <c r="AU99" i="45" s="1"/>
  <c r="AY99" i="45" s="1"/>
  <c r="BG99" i="45" s="1"/>
  <c r="BI99" i="45" s="1"/>
  <c r="H176" i="45"/>
  <c r="T176" i="45"/>
  <c r="AS176" i="45"/>
  <c r="J176" i="45"/>
  <c r="V176" i="45"/>
  <c r="AI176" i="45"/>
  <c r="AJ176" i="45"/>
  <c r="AV176" i="45"/>
  <c r="L176" i="45"/>
  <c r="X176" i="45"/>
  <c r="AW176" i="45"/>
  <c r="M176" i="45"/>
  <c r="Y176" i="45"/>
  <c r="AX176" i="45"/>
  <c r="AD95" i="9"/>
  <c r="AU118" i="45" l="1"/>
  <c r="AY118" i="45" s="1"/>
  <c r="BG118" i="45" s="1"/>
  <c r="BI118" i="45" s="1"/>
  <c r="AQ21" i="45"/>
  <c r="AU21" i="45" s="1"/>
  <c r="AY21" i="45" s="1"/>
  <c r="BG21" i="45" s="1"/>
  <c r="BI21" i="45" s="1"/>
  <c r="AB37" i="27"/>
  <c r="AB20" i="27"/>
  <c r="AB24" i="27" s="1"/>
  <c r="AB39" i="27" l="1"/>
  <c r="AC36" i="27"/>
  <c r="AC26" i="27"/>
  <c r="AC33" i="27" s="1"/>
  <c r="AB33" i="27"/>
  <c r="AC22" i="27"/>
  <c r="AC21" i="27"/>
  <c r="AD28" i="22"/>
  <c r="AD24" i="22"/>
  <c r="AD23" i="22"/>
  <c r="AD14" i="22"/>
  <c r="AD10" i="22"/>
  <c r="AD9" i="22"/>
  <c r="AC114" i="26"/>
  <c r="AB112" i="26"/>
  <c r="AB110" i="26"/>
  <c r="AB108" i="26"/>
  <c r="AB106" i="26"/>
  <c r="AB104" i="26"/>
  <c r="AB102" i="26"/>
  <c r="AB100" i="26"/>
  <c r="AB98" i="26"/>
  <c r="AC94" i="26"/>
  <c r="AB91" i="26"/>
  <c r="AB89" i="26"/>
  <c r="AB87" i="26"/>
  <c r="AB85" i="26"/>
  <c r="AC83" i="26"/>
  <c r="AC82" i="26"/>
  <c r="AB80" i="26"/>
  <c r="AB78" i="26"/>
  <c r="AC75" i="26"/>
  <c r="AB73" i="26"/>
  <c r="AB71" i="26"/>
  <c r="AB69" i="26"/>
  <c r="AB67" i="26"/>
  <c r="AB65" i="26"/>
  <c r="AB63" i="26"/>
  <c r="AB61" i="26"/>
  <c r="AB59" i="26"/>
  <c r="AB54" i="26"/>
  <c r="AB52" i="26"/>
  <c r="AC50" i="26"/>
  <c r="AB48" i="26"/>
  <c r="AC45" i="26"/>
  <c r="AB43" i="26"/>
  <c r="AB41" i="26"/>
  <c r="AB39" i="26"/>
  <c r="AB37" i="26"/>
  <c r="AB35" i="26"/>
  <c r="AB33" i="26"/>
  <c r="AB31" i="26"/>
  <c r="AB29" i="26"/>
  <c r="AB27" i="26"/>
  <c r="AB25" i="26"/>
  <c r="AB23" i="26"/>
  <c r="AB21" i="26"/>
  <c r="AB17" i="26"/>
  <c r="AB15" i="26"/>
  <c r="AC12" i="26"/>
  <c r="AB11" i="26"/>
  <c r="AB9" i="26"/>
  <c r="AC31" i="15"/>
  <c r="AC30" i="15"/>
  <c r="AC29" i="15"/>
  <c r="AC25" i="15"/>
  <c r="AC24" i="15"/>
  <c r="AC23" i="15"/>
  <c r="AC22" i="15"/>
  <c r="AC21" i="15"/>
  <c r="AB19" i="15"/>
  <c r="AC18" i="15"/>
  <c r="AC15" i="15"/>
  <c r="AB12" i="15"/>
  <c r="AB13" i="15" s="1"/>
  <c r="AC10" i="15"/>
  <c r="AC9" i="15"/>
  <c r="AB9" i="15"/>
  <c r="AC8" i="15"/>
  <c r="AB8" i="15"/>
  <c r="AC7" i="15"/>
  <c r="AC6" i="15"/>
  <c r="AC5" i="15"/>
  <c r="AB117" i="17"/>
  <c r="AB115" i="17"/>
  <c r="AC87" i="17"/>
  <c r="AC86" i="17"/>
  <c r="AC85" i="17"/>
  <c r="AB85" i="17"/>
  <c r="AC84" i="17"/>
  <c r="AC83" i="17"/>
  <c r="AB83" i="17"/>
  <c r="AC74" i="17"/>
  <c r="AB74" i="17"/>
  <c r="AC67" i="17"/>
  <c r="AC69" i="17" s="1"/>
  <c r="AB67" i="17"/>
  <c r="AB69" i="17" s="1"/>
  <c r="AB61" i="17"/>
  <c r="AC59" i="17"/>
  <c r="AC62" i="17" s="1"/>
  <c r="AB58" i="17"/>
  <c r="AB57" i="17"/>
  <c r="AB59" i="17" s="1"/>
  <c r="AB55" i="17"/>
  <c r="AC52" i="17"/>
  <c r="AC53" i="17" s="1"/>
  <c r="AB52" i="17"/>
  <c r="AC49" i="17"/>
  <c r="AB48" i="17"/>
  <c r="AC47" i="17"/>
  <c r="AB46" i="17"/>
  <c r="AC44" i="17"/>
  <c r="AC50" i="17" s="1"/>
  <c r="AB44" i="17"/>
  <c r="AC43" i="17"/>
  <c r="AC41" i="17"/>
  <c r="AC39" i="17"/>
  <c r="AC26" i="17"/>
  <c r="AC22" i="17"/>
  <c r="AC16" i="17" s="1"/>
  <c r="AC30" i="17" s="1"/>
  <c r="AB21" i="17"/>
  <c r="AB18" i="17"/>
  <c r="AB16" i="17"/>
  <c r="AB30" i="17" s="1"/>
  <c r="AB15" i="17"/>
  <c r="AC14" i="17"/>
  <c r="AC12" i="17"/>
  <c r="AC9" i="17"/>
  <c r="AB9" i="17"/>
  <c r="AH96" i="38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H52" i="38"/>
  <c r="AG52" i="38"/>
  <c r="AG47" i="38"/>
  <c r="AG46" i="38"/>
  <c r="AG45" i="38"/>
  <c r="AG44" i="38"/>
  <c r="AH43" i="38"/>
  <c r="AH92" i="38" s="1"/>
  <c r="AG42" i="38"/>
  <c r="AG41" i="38" s="1"/>
  <c r="AH41" i="38"/>
  <c r="AH90" i="38" s="1"/>
  <c r="AG39" i="38"/>
  <c r="AG38" i="38"/>
  <c r="AG37" i="38"/>
  <c r="AG36" i="38"/>
  <c r="AH35" i="38"/>
  <c r="AH84" i="38" s="1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H68" i="38" s="1"/>
  <c r="AG15" i="38"/>
  <c r="AG14" i="38"/>
  <c r="AH13" i="38"/>
  <c r="AH62" i="38" s="1"/>
  <c r="AG12" i="38"/>
  <c r="AG11" i="38"/>
  <c r="AG10" i="38"/>
  <c r="AG9" i="38"/>
  <c r="AG8" i="38"/>
  <c r="AG7" i="38"/>
  <c r="AH6" i="38"/>
  <c r="AH55" i="38" s="1"/>
  <c r="AA46" i="72"/>
  <c r="AA38" i="72"/>
  <c r="AA25" i="72"/>
  <c r="AA18" i="72"/>
  <c r="AA49" i="72" l="1"/>
  <c r="AB87" i="17"/>
  <c r="AB50" i="26"/>
  <c r="AB51" i="26" s="1"/>
  <c r="AL89" i="26"/>
  <c r="AL91" i="26"/>
  <c r="AC56" i="26"/>
  <c r="AB26" i="17"/>
  <c r="AB84" i="17"/>
  <c r="AC18" i="26"/>
  <c r="AL85" i="26"/>
  <c r="AL87" i="26"/>
  <c r="AD26" i="22"/>
  <c r="AG13" i="38"/>
  <c r="AB122" i="17"/>
  <c r="AC122" i="17"/>
  <c r="AC116" i="17"/>
  <c r="AD12" i="22"/>
  <c r="AB22" i="17"/>
  <c r="AB50" i="17"/>
  <c r="AB114" i="17" s="1"/>
  <c r="AG67" i="38"/>
  <c r="AC60" i="17"/>
  <c r="AH40" i="38"/>
  <c r="AH89" i="38" s="1"/>
  <c r="AH18" i="38"/>
  <c r="AC13" i="17"/>
  <c r="AC117" i="17" s="1"/>
  <c r="AC32" i="15"/>
  <c r="AC36" i="15" s="1"/>
  <c r="AC16" i="15" s="1"/>
  <c r="AC17" i="15" s="1"/>
  <c r="AC24" i="27"/>
  <c r="AC39" i="27"/>
  <c r="AB94" i="26"/>
  <c r="AB83" i="26"/>
  <c r="AB82" i="26"/>
  <c r="AB75" i="26"/>
  <c r="AB45" i="26"/>
  <c r="AB12" i="26"/>
  <c r="AC19" i="26"/>
  <c r="AC13" i="26"/>
  <c r="AB119" i="17"/>
  <c r="AG43" i="38"/>
  <c r="AG40" i="38" s="1"/>
  <c r="AG35" i="38"/>
  <c r="AG65" i="38"/>
  <c r="AB57" i="26"/>
  <c r="AB56" i="26"/>
  <c r="AB86" i="17"/>
  <c r="AC51" i="26"/>
  <c r="AC57" i="26"/>
  <c r="AB114" i="26"/>
  <c r="AB116" i="17"/>
  <c r="AC33" i="17"/>
  <c r="AC51" i="17"/>
  <c r="AC55" i="17" s="1"/>
  <c r="AC114" i="17"/>
  <c r="AC54" i="17"/>
  <c r="AB62" i="17"/>
  <c r="AB60" i="17"/>
  <c r="AB11" i="17"/>
  <c r="AC11" i="17"/>
  <c r="AC31" i="17"/>
  <c r="AC34" i="17"/>
  <c r="AC45" i="17"/>
  <c r="AC32" i="17"/>
  <c r="AG89" i="38"/>
  <c r="AG19" i="38"/>
  <c r="AG6" i="38"/>
  <c r="AG16" i="38" s="1"/>
  <c r="AH16" i="38"/>
  <c r="AA51" i="72"/>
  <c r="BS7" i="71"/>
  <c r="CC7" i="71" s="1"/>
  <c r="BS8" i="71"/>
  <c r="CC8" i="71" s="1"/>
  <c r="CS8" i="71" s="1"/>
  <c r="BS9" i="71"/>
  <c r="BS10" i="71"/>
  <c r="CC10" i="71" s="1"/>
  <c r="CS10" i="71" s="1"/>
  <c r="BS11" i="71"/>
  <c r="CC11" i="71" s="1"/>
  <c r="BS12" i="71"/>
  <c r="CC12" i="71" s="1"/>
  <c r="BS13" i="71"/>
  <c r="CC13" i="71" s="1"/>
  <c r="CS13" i="71" s="1"/>
  <c r="BS14" i="71"/>
  <c r="CC14" i="71" s="1"/>
  <c r="BS15" i="71"/>
  <c r="CC15" i="71" s="1"/>
  <c r="BS16" i="71"/>
  <c r="CC16" i="71" s="1"/>
  <c r="BS17" i="71"/>
  <c r="CC17" i="71" s="1"/>
  <c r="CS17" i="71" s="1"/>
  <c r="BS18" i="71"/>
  <c r="CC18" i="71" s="1"/>
  <c r="BS19" i="71"/>
  <c r="BS20" i="71"/>
  <c r="CC20" i="71" s="1"/>
  <c r="BS21" i="71"/>
  <c r="BS22" i="71"/>
  <c r="CC22" i="71" s="1"/>
  <c r="BS24" i="71"/>
  <c r="CC24" i="71" s="1"/>
  <c r="BS25" i="71"/>
  <c r="CC25" i="71" s="1"/>
  <c r="BS26" i="71"/>
  <c r="BS27" i="71"/>
  <c r="CC27" i="71" s="1"/>
  <c r="BS28" i="71"/>
  <c r="CC28" i="71" s="1"/>
  <c r="BS29" i="71"/>
  <c r="CC29" i="71" s="1"/>
  <c r="BS32" i="71"/>
  <c r="CC32" i="71" s="1"/>
  <c r="BS33" i="71"/>
  <c r="CC33" i="71" s="1"/>
  <c r="BS34" i="71"/>
  <c r="CC34" i="71" s="1"/>
  <c r="BS35" i="71"/>
  <c r="CC35" i="71" s="1"/>
  <c r="BS36" i="71"/>
  <c r="CC36" i="71" s="1"/>
  <c r="BS37" i="71"/>
  <c r="CC37" i="71" s="1"/>
  <c r="BS38" i="71"/>
  <c r="CC38" i="71" s="1"/>
  <c r="BS39" i="71"/>
  <c r="CC39" i="71" s="1"/>
  <c r="BS40" i="71"/>
  <c r="CC40" i="71" s="1"/>
  <c r="BS41" i="71"/>
  <c r="CC41" i="71" s="1"/>
  <c r="CS41" i="71" s="1"/>
  <c r="BS42" i="71"/>
  <c r="BS44" i="71"/>
  <c r="CC44" i="71" s="1"/>
  <c r="BS45" i="71"/>
  <c r="CC45" i="71" s="1"/>
  <c r="BS46" i="71"/>
  <c r="CC46" i="71" s="1"/>
  <c r="CS46" i="71" s="1"/>
  <c r="BS47" i="71"/>
  <c r="BS48" i="71"/>
  <c r="CC48" i="71" s="1"/>
  <c r="CS48" i="71" s="1"/>
  <c r="BS49" i="71"/>
  <c r="CC49" i="71" s="1"/>
  <c r="BS50" i="71"/>
  <c r="CC50" i="71" s="1"/>
  <c r="BS51" i="71"/>
  <c r="CC51" i="71" s="1"/>
  <c r="BS52" i="71"/>
  <c r="CC52" i="71" s="1"/>
  <c r="BS53" i="71"/>
  <c r="CC53" i="71" s="1"/>
  <c r="BS54" i="71"/>
  <c r="AE157" i="45"/>
  <c r="AE156" i="45"/>
  <c r="AE154" i="45"/>
  <c r="AE148" i="45"/>
  <c r="AE143" i="45"/>
  <c r="AD143" i="45"/>
  <c r="AE142" i="45"/>
  <c r="AD142" i="45"/>
  <c r="AE141" i="45"/>
  <c r="AD141" i="45"/>
  <c r="AE140" i="45"/>
  <c r="AD140" i="45"/>
  <c r="AE138" i="45"/>
  <c r="AD138" i="45"/>
  <c r="AN138" i="45" s="1"/>
  <c r="AE136" i="45"/>
  <c r="AD136" i="45"/>
  <c r="AE134" i="45"/>
  <c r="AD134" i="45"/>
  <c r="AE131" i="45"/>
  <c r="AD131" i="45"/>
  <c r="AE126" i="45"/>
  <c r="AE122" i="45"/>
  <c r="AE150" i="45" s="1"/>
  <c r="AE121" i="45"/>
  <c r="AE123" i="45" s="1"/>
  <c r="AD121" i="45"/>
  <c r="AE120" i="45"/>
  <c r="AE158" i="45" s="1"/>
  <c r="AD91" i="11"/>
  <c r="AD89" i="11"/>
  <c r="AD83" i="11"/>
  <c r="AD78" i="11"/>
  <c r="AC78" i="11"/>
  <c r="AD77" i="11"/>
  <c r="AC77" i="11"/>
  <c r="AD76" i="11"/>
  <c r="AC76" i="11"/>
  <c r="AD75" i="11"/>
  <c r="AC75" i="11"/>
  <c r="AD73" i="11"/>
  <c r="AC73" i="11"/>
  <c r="AD71" i="11"/>
  <c r="AC71" i="11"/>
  <c r="AD69" i="11"/>
  <c r="AC69" i="11"/>
  <c r="AD66" i="11"/>
  <c r="AC66" i="11"/>
  <c r="AD61" i="11"/>
  <c r="AD59" i="11"/>
  <c r="AD57" i="11"/>
  <c r="AD56" i="11"/>
  <c r="AC56" i="11"/>
  <c r="AC79" i="11" s="1"/>
  <c r="AD55" i="11"/>
  <c r="AD190" i="10"/>
  <c r="AD188" i="10"/>
  <c r="AD182" i="10"/>
  <c r="AD189" i="10" s="1"/>
  <c r="AD177" i="10"/>
  <c r="AC177" i="10"/>
  <c r="AD176" i="10"/>
  <c r="AC176" i="10"/>
  <c r="AD175" i="10"/>
  <c r="AC175" i="10"/>
  <c r="AD174" i="10"/>
  <c r="AC174" i="10"/>
  <c r="AD172" i="10"/>
  <c r="AC172" i="10"/>
  <c r="AD170" i="10"/>
  <c r="AC170" i="10"/>
  <c r="AD168" i="10"/>
  <c r="AC168" i="10"/>
  <c r="AD165" i="10"/>
  <c r="AD166" i="10" s="1"/>
  <c r="AC165" i="10"/>
  <c r="AC166" i="10" s="1"/>
  <c r="AD160" i="10"/>
  <c r="AC159" i="10"/>
  <c r="AD158" i="10"/>
  <c r="AB33" i="17" l="1"/>
  <c r="AH17" i="38"/>
  <c r="AH66" i="38" s="1"/>
  <c r="AB18" i="26"/>
  <c r="AD124" i="45"/>
  <c r="AD184" i="10"/>
  <c r="AD196" i="10"/>
  <c r="AD210" i="10"/>
  <c r="AB31" i="17"/>
  <c r="AB54" i="17"/>
  <c r="AC118" i="17"/>
  <c r="AB34" i="17"/>
  <c r="AG66" i="38"/>
  <c r="AG98" i="38" s="1"/>
  <c r="AE132" i="45"/>
  <c r="AD132" i="45"/>
  <c r="AN131" i="45"/>
  <c r="AN132" i="45" s="1"/>
  <c r="AE149" i="45"/>
  <c r="AB32" i="17"/>
  <c r="AD92" i="11"/>
  <c r="AD79" i="11"/>
  <c r="AC67" i="11"/>
  <c r="AD84" i="11"/>
  <c r="AD93" i="11"/>
  <c r="AD67" i="11"/>
  <c r="AC77" i="90"/>
  <c r="CC42" i="71"/>
  <c r="AC84" i="90"/>
  <c r="CC54" i="71"/>
  <c r="CS54" i="71" s="1"/>
  <c r="AC71" i="90"/>
  <c r="CC21" i="71"/>
  <c r="AC68" i="90"/>
  <c r="CC9" i="71"/>
  <c r="CS9" i="71" s="1"/>
  <c r="AC80" i="90"/>
  <c r="CC47" i="71"/>
  <c r="CS47" i="71" s="1"/>
  <c r="AC73" i="90"/>
  <c r="CC26" i="71"/>
  <c r="AC69" i="90"/>
  <c r="CC19" i="71"/>
  <c r="CS19" i="71" s="1"/>
  <c r="AC55" i="11"/>
  <c r="AC158" i="10"/>
  <c r="AC210" i="10" s="1"/>
  <c r="AC203" i="10"/>
  <c r="AG18" i="38"/>
  <c r="AG17" i="38" s="1"/>
  <c r="AG49" i="38" s="1"/>
  <c r="AB13" i="26"/>
  <c r="AB19" i="26"/>
  <c r="AC74" i="11"/>
  <c r="AC81" i="90"/>
  <c r="AC70" i="90"/>
  <c r="AC97" i="11"/>
  <c r="AC79" i="90"/>
  <c r="AC72" i="90"/>
  <c r="AC58" i="11"/>
  <c r="AC82" i="90"/>
  <c r="AC78" i="90"/>
  <c r="AC76" i="90"/>
  <c r="AC74" i="90"/>
  <c r="AC173" i="10"/>
  <c r="AC83" i="90"/>
  <c r="AH67" i="38"/>
  <c r="AC15" i="17"/>
  <c r="AE155" i="45"/>
  <c r="AD139" i="45"/>
  <c r="AD60" i="11"/>
  <c r="AD74" i="11"/>
  <c r="AD58" i="11"/>
  <c r="AB118" i="17"/>
  <c r="AC115" i="17"/>
  <c r="AC119" i="17" s="1"/>
  <c r="AH49" i="38"/>
  <c r="AH65" i="38"/>
  <c r="AH98" i="38" s="1"/>
  <c r="AE159" i="45"/>
  <c r="AE160" i="45" s="1"/>
  <c r="AE124" i="45"/>
  <c r="AE125" i="45" s="1"/>
  <c r="AE144" i="45"/>
  <c r="AD144" i="45"/>
  <c r="AD123" i="45"/>
  <c r="AE139" i="45"/>
  <c r="AD120" i="45"/>
  <c r="AD90" i="11"/>
  <c r="AD85" i="11"/>
  <c r="AD183" i="10"/>
  <c r="AD191" i="10"/>
  <c r="AD192" i="10"/>
  <c r="AD159" i="10"/>
  <c r="AC161" i="10"/>
  <c r="AC178" i="10"/>
  <c r="AD94" i="11" l="1"/>
  <c r="AD200" i="10"/>
  <c r="AD193" i="10"/>
  <c r="AD178" i="10"/>
  <c r="AD161" i="10"/>
  <c r="AD173" i="10"/>
  <c r="AC6" i="21" l="1"/>
  <c r="AC101" i="9" l="1"/>
  <c r="AD99" i="9"/>
  <c r="AC99" i="9"/>
  <c r="AD98" i="9"/>
  <c r="AC98" i="9"/>
  <c r="AD97" i="9"/>
  <c r="AC97" i="9"/>
  <c r="AD93" i="9"/>
  <c r="AC76" i="9"/>
  <c r="AC77" i="9" s="1"/>
  <c r="AC74" i="9"/>
  <c r="AD60" i="9"/>
  <c r="AD57" i="9"/>
  <c r="AC53" i="9"/>
  <c r="AC52" i="9"/>
  <c r="AC47" i="9"/>
  <c r="AD46" i="9"/>
  <c r="AD36" i="9"/>
  <c r="AD35" i="9"/>
  <c r="AD47" i="9" s="1"/>
  <c r="AD34" i="9"/>
  <c r="AD31" i="9"/>
  <c r="AD25" i="9"/>
  <c r="AC24" i="9"/>
  <c r="AC22" i="9"/>
  <c r="AD19" i="9"/>
  <c r="AD10" i="9"/>
  <c r="AD5" i="9"/>
  <c r="AD109" i="8"/>
  <c r="AD111" i="8" s="1"/>
  <c r="AD94" i="8"/>
  <c r="AD91" i="8"/>
  <c r="AC91" i="8"/>
  <c r="AD89" i="8"/>
  <c r="AC89" i="8"/>
  <c r="AD88" i="8"/>
  <c r="AC88" i="8"/>
  <c r="AC87" i="8"/>
  <c r="AC82" i="8"/>
  <c r="AD80" i="8"/>
  <c r="AD76" i="8"/>
  <c r="AC75" i="8"/>
  <c r="AC74" i="8"/>
  <c r="AC73" i="8"/>
  <c r="AC72" i="8"/>
  <c r="AC71" i="8"/>
  <c r="AD68" i="8"/>
  <c r="AD66" i="8"/>
  <c r="AD64" i="8"/>
  <c r="AD61" i="8"/>
  <c r="AD58" i="8"/>
  <c r="AD62" i="8" s="1"/>
  <c r="AC52" i="8"/>
  <c r="AD49" i="8"/>
  <c r="AC49" i="8"/>
  <c r="AC46" i="8"/>
  <c r="AC45" i="8"/>
  <c r="AC44" i="8"/>
  <c r="AC43" i="8"/>
  <c r="AC41" i="8"/>
  <c r="AC40" i="8"/>
  <c r="AC39" i="8"/>
  <c r="AD26" i="8"/>
  <c r="AD17" i="8"/>
  <c r="AC17" i="8"/>
  <c r="AC15" i="8"/>
  <c r="AC14" i="8"/>
  <c r="AD13" i="8"/>
  <c r="AC13" i="8"/>
  <c r="AD6" i="8"/>
  <c r="AC6" i="8"/>
  <c r="AC113" i="7"/>
  <c r="AC112" i="7"/>
  <c r="AC111" i="7"/>
  <c r="AC110" i="7"/>
  <c r="AC109" i="7"/>
  <c r="AC108" i="7"/>
  <c r="AC107" i="7"/>
  <c r="AC106" i="7"/>
  <c r="AC85" i="7"/>
  <c r="AD84" i="7"/>
  <c r="AC84" i="7"/>
  <c r="AD82" i="7"/>
  <c r="AC82" i="7"/>
  <c r="AD75" i="7"/>
  <c r="AC75" i="7"/>
  <c r="AD71" i="7"/>
  <c r="AD73" i="7" s="1"/>
  <c r="AC71" i="7"/>
  <c r="AC73" i="7" s="1"/>
  <c r="AD67" i="7"/>
  <c r="AD81" i="7" s="1"/>
  <c r="AC67" i="7"/>
  <c r="AC81" i="7" s="1"/>
  <c r="AD21" i="7"/>
  <c r="AC49" i="39" s="1"/>
  <c r="AC21" i="7"/>
  <c r="AC41" i="7" s="1"/>
  <c r="AC51" i="7" s="1"/>
  <c r="AC61" i="39"/>
  <c r="AD43" i="22" s="1"/>
  <c r="AC60" i="39"/>
  <c r="AD42" i="22" s="1"/>
  <c r="AC48" i="39"/>
  <c r="AC47" i="39"/>
  <c r="AC46" i="39"/>
  <c r="AC43" i="39"/>
  <c r="AC42" i="39"/>
  <c r="AC8" i="39"/>
  <c r="AD223" i="6"/>
  <c r="AC223" i="6"/>
  <c r="AD222" i="6"/>
  <c r="AC222" i="6"/>
  <c r="AC199" i="6"/>
  <c r="AD198" i="6"/>
  <c r="AC198" i="6"/>
  <c r="AC197" i="6"/>
  <c r="AD193" i="6"/>
  <c r="AC193" i="6"/>
  <c r="AD192" i="6"/>
  <c r="AC192" i="6"/>
  <c r="AD191" i="6"/>
  <c r="AC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C167" i="6"/>
  <c r="AD166" i="6"/>
  <c r="AC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31" i="6"/>
  <c r="AC131" i="6"/>
  <c r="AD130" i="6"/>
  <c r="AC130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D45" i="6"/>
  <c r="AC41" i="6"/>
  <c r="AD34" i="6"/>
  <c r="AD33" i="6"/>
  <c r="AD32" i="6"/>
  <c r="AD29" i="6"/>
  <c r="AD26" i="6"/>
  <c r="AD23" i="6"/>
  <c r="AC18" i="6"/>
  <c r="AC17" i="6"/>
  <c r="AC16" i="6"/>
  <c r="AC15" i="6"/>
  <c r="AD9" i="6"/>
  <c r="AD8" i="6"/>
  <c r="AC7" i="6"/>
  <c r="AE77" i="77"/>
  <c r="AD77" i="77"/>
  <c r="AC90" i="77"/>
  <c r="AC89" i="77"/>
  <c r="AC522" i="28"/>
  <c r="AD479" i="28"/>
  <c r="AD473" i="28"/>
  <c r="AD441" i="28"/>
  <c r="AD429" i="28"/>
  <c r="AC429" i="28"/>
  <c r="AD413" i="28"/>
  <c r="AD304" i="28"/>
  <c r="AC304" i="28"/>
  <c r="AD298" i="28"/>
  <c r="AC298" i="28"/>
  <c r="AD297" i="28"/>
  <c r="AC297" i="28"/>
  <c r="AD256" i="28"/>
  <c r="AC256" i="28"/>
  <c r="AD235" i="28"/>
  <c r="AD233" i="28"/>
  <c r="AD96" i="28"/>
  <c r="AD95" i="28"/>
  <c r="AD93" i="28"/>
  <c r="AD89" i="28"/>
  <c r="AD85" i="28"/>
  <c r="AD81" i="28"/>
  <c r="AC68" i="28"/>
  <c r="AC67" i="28"/>
  <c r="AC65" i="28"/>
  <c r="AD56" i="28"/>
  <c r="AN56" i="28" s="1"/>
  <c r="BD56" i="28" s="1"/>
  <c r="AD29" i="28"/>
  <c r="AN29" i="28" s="1"/>
  <c r="BD29" i="28" s="1"/>
  <c r="AC23" i="28"/>
  <c r="AD21" i="28"/>
  <c r="AN21" i="28" s="1"/>
  <c r="BD21" i="28" s="1"/>
  <c r="AC15" i="28"/>
  <c r="AD13" i="28"/>
  <c r="AN13" i="28" s="1"/>
  <c r="BD13" i="28" s="1"/>
  <c r="AC7" i="28"/>
  <c r="AC22" i="39" l="1"/>
  <c r="AD507" i="28"/>
  <c r="AD414" i="28"/>
  <c r="AC29" i="28"/>
  <c r="AD65" i="8"/>
  <c r="AD72" i="8" s="1"/>
  <c r="AN63" i="28"/>
  <c r="AN64" i="28"/>
  <c r="BD64" i="28" s="1"/>
  <c r="AD510" i="28"/>
  <c r="AD67" i="8"/>
  <c r="AD37" i="8" s="1"/>
  <c r="AN68" i="28"/>
  <c r="BD68" i="28" s="1"/>
  <c r="AD236" i="28"/>
  <c r="AD504" i="28" s="1"/>
  <c r="AD514" i="28"/>
  <c r="AN65" i="28"/>
  <c r="BD65" i="28" s="1"/>
  <c r="AD16" i="8"/>
  <c r="AD506" i="28"/>
  <c r="AD72" i="28"/>
  <c r="AD69" i="8"/>
  <c r="AD74" i="8" s="1"/>
  <c r="AC21" i="28"/>
  <c r="AC73" i="28" s="1"/>
  <c r="AD86" i="8"/>
  <c r="AD299" i="28"/>
  <c r="AD501" i="28" s="1"/>
  <c r="AC34" i="39"/>
  <c r="AC30" i="6"/>
  <c r="AC28" i="6"/>
  <c r="AC88" i="77"/>
  <c r="AC42" i="8"/>
  <c r="AC25" i="8"/>
  <c r="AC83" i="77"/>
  <c r="AM81" i="77"/>
  <c r="BC81" i="77" s="1"/>
  <c r="AC24" i="8"/>
  <c r="AD48" i="9"/>
  <c r="AD49" i="9" s="1"/>
  <c r="AC89" i="90"/>
  <c r="AC29" i="8"/>
  <c r="AD97" i="28"/>
  <c r="AD73" i="28"/>
  <c r="AD24" i="7"/>
  <c r="AD36" i="7"/>
  <c r="AD90" i="7" s="1"/>
  <c r="AD27" i="7"/>
  <c r="AD91" i="7" s="1"/>
  <c r="AD55" i="7"/>
  <c r="AD28" i="7"/>
  <c r="AD92" i="7" s="1"/>
  <c r="AD59" i="7"/>
  <c r="AD34" i="7"/>
  <c r="AD97" i="7" s="1"/>
  <c r="AD31" i="7"/>
  <c r="AD95" i="7" s="1"/>
  <c r="AD62" i="7"/>
  <c r="AD78" i="7"/>
  <c r="AD32" i="7"/>
  <c r="AD98" i="7" s="1"/>
  <c r="AC50" i="39"/>
  <c r="AD62" i="9"/>
  <c r="AD37" i="9"/>
  <c r="AD94" i="9"/>
  <c r="AC19" i="15" s="1"/>
  <c r="AD33" i="22"/>
  <c r="AC132" i="26"/>
  <c r="AD100" i="9"/>
  <c r="AD90" i="9"/>
  <c r="AD133" i="6"/>
  <c r="AD35" i="6"/>
  <c r="AD39" i="8"/>
  <c r="AD45" i="8"/>
  <c r="AC25" i="9"/>
  <c r="AC88" i="9" s="1"/>
  <c r="AC31" i="7"/>
  <c r="AC95" i="7" s="1"/>
  <c r="AC56" i="7"/>
  <c r="AC96" i="7" s="1"/>
  <c r="AC24" i="7"/>
  <c r="AC59" i="7"/>
  <c r="AC28" i="7"/>
  <c r="AC92" i="7" s="1"/>
  <c r="AC121" i="6"/>
  <c r="AC103" i="6"/>
  <c r="AC24" i="6"/>
  <c r="AC16" i="8"/>
  <c r="AD14" i="9"/>
  <c r="AD96" i="9"/>
  <c r="AD89" i="9"/>
  <c r="AD110" i="8"/>
  <c r="AD112" i="8" s="1"/>
  <c r="AD53" i="8" s="1"/>
  <c r="AD123" i="8" s="1"/>
  <c r="AD34" i="8"/>
  <c r="AC31" i="8"/>
  <c r="AD40" i="8"/>
  <c r="AD43" i="8"/>
  <c r="AD136" i="8" s="1"/>
  <c r="AD50" i="8"/>
  <c r="AD51" i="8" s="1"/>
  <c r="AD59" i="8"/>
  <c r="AC85" i="8"/>
  <c r="AC27" i="8"/>
  <c r="AD41" i="8"/>
  <c r="AD44" i="8"/>
  <c r="AD137" i="8" s="1"/>
  <c r="AD47" i="8"/>
  <c r="AC23" i="8"/>
  <c r="AC28" i="8"/>
  <c r="AC92" i="8"/>
  <c r="AD92" i="8"/>
  <c r="AC30" i="8"/>
  <c r="AC50" i="8"/>
  <c r="AC51" i="8" s="1"/>
  <c r="AD82" i="8"/>
  <c r="AD46" i="8"/>
  <c r="AD138" i="8" s="1"/>
  <c r="AC83" i="7"/>
  <c r="AC37" i="7"/>
  <c r="AC103" i="7" s="1"/>
  <c r="AD56" i="7"/>
  <c r="AD96" i="7" s="1"/>
  <c r="AD60" i="7"/>
  <c r="AD25" i="7"/>
  <c r="AC33" i="7"/>
  <c r="AC99" i="7" s="1"/>
  <c r="AD37" i="7"/>
  <c r="AD103" i="7" s="1"/>
  <c r="AC61" i="7"/>
  <c r="AC102" i="7" s="1"/>
  <c r="AD83" i="7"/>
  <c r="AD26" i="7"/>
  <c r="AC30" i="7"/>
  <c r="AC94" i="7" s="1"/>
  <c r="AD33" i="7"/>
  <c r="AD99" i="7" s="1"/>
  <c r="AD54" i="7"/>
  <c r="AC58" i="7"/>
  <c r="AD61" i="7"/>
  <c r="AD102" i="7" s="1"/>
  <c r="AD69" i="7"/>
  <c r="AD76" i="7"/>
  <c r="AC25" i="7"/>
  <c r="AD29" i="7"/>
  <c r="AD93" i="7" s="1"/>
  <c r="AD57" i="7"/>
  <c r="AC68" i="7"/>
  <c r="AD23" i="7"/>
  <c r="AD87" i="7" s="1"/>
  <c r="AC27" i="7"/>
  <c r="AC91" i="7" s="1"/>
  <c r="AD30" i="7"/>
  <c r="AD94" i="7" s="1"/>
  <c r="AC34" i="7"/>
  <c r="AC97" i="7" s="1"/>
  <c r="AC55" i="7"/>
  <c r="AD58" i="7"/>
  <c r="AC62" i="7"/>
  <c r="AC78" i="7"/>
  <c r="AC45" i="39"/>
  <c r="AD41" i="7"/>
  <c r="AD51" i="7" s="1"/>
  <c r="AC23" i="7"/>
  <c r="AC26" i="7"/>
  <c r="AC29" i="7"/>
  <c r="AC93" i="7" s="1"/>
  <c r="AC32" i="7"/>
  <c r="AC98" i="7" s="1"/>
  <c r="AC36" i="7"/>
  <c r="AC90" i="7" s="1"/>
  <c r="AC54" i="7"/>
  <c r="AC57" i="7"/>
  <c r="AC60" i="7"/>
  <c r="AC76" i="7"/>
  <c r="AC23" i="39"/>
  <c r="AD121" i="6"/>
  <c r="AC133" i="6"/>
  <c r="AD57" i="6"/>
  <c r="AC27" i="6"/>
  <c r="AC163" i="6"/>
  <c r="AC168" i="6"/>
  <c r="AC138" i="6"/>
  <c r="AC188" i="6"/>
  <c r="AD138" i="6"/>
  <c r="AC21" i="6"/>
  <c r="AC25" i="6"/>
  <c r="AC22" i="6"/>
  <c r="AC31" i="6"/>
  <c r="AD103" i="6"/>
  <c r="AC194" i="6"/>
  <c r="AC19" i="6"/>
  <c r="AD490" i="28"/>
  <c r="AD512" i="28"/>
  <c r="AD511" i="28"/>
  <c r="AD74" i="28"/>
  <c r="AD513" i="28"/>
  <c r="AC414" i="28"/>
  <c r="AC74" i="28"/>
  <c r="AD503" i="28"/>
  <c r="AC13" i="28"/>
  <c r="AC34" i="35"/>
  <c r="AC18" i="35"/>
  <c r="AC16" i="35"/>
  <c r="BD63" i="28" l="1"/>
  <c r="AD509" i="28"/>
  <c r="AD505" i="28"/>
  <c r="AD500" i="28"/>
  <c r="AC83" i="28"/>
  <c r="AC507" i="28" s="1"/>
  <c r="AC299" i="28"/>
  <c r="AD98" i="28"/>
  <c r="AD508" i="28"/>
  <c r="AC87" i="28"/>
  <c r="AC511" i="28" s="1"/>
  <c r="AD73" i="8"/>
  <c r="AC513" i="28"/>
  <c r="AD36" i="8"/>
  <c r="AD522" i="28"/>
  <c r="AC51" i="39"/>
  <c r="AC24" i="39"/>
  <c r="AD88" i="7"/>
  <c r="AG30" i="59" s="1"/>
  <c r="AC29" i="6"/>
  <c r="AC107" i="6"/>
  <c r="AC32" i="6"/>
  <c r="AC125" i="6"/>
  <c r="AD107" i="6"/>
  <c r="AD148" i="6" s="1"/>
  <c r="AG15" i="59" s="1"/>
  <c r="AD125" i="6"/>
  <c r="AC84" i="6"/>
  <c r="AD139" i="8"/>
  <c r="AC88" i="7"/>
  <c r="AC26" i="6"/>
  <c r="AD89" i="7"/>
  <c r="AD84" i="9"/>
  <c r="AD85" i="9"/>
  <c r="AC94" i="77"/>
  <c r="AD52" i="8"/>
  <c r="AB18" i="15"/>
  <c r="AB15" i="15" s="1"/>
  <c r="AB16" i="15" s="1"/>
  <c r="AC5" i="9"/>
  <c r="AD101" i="7"/>
  <c r="AG32" i="59" s="1"/>
  <c r="AD38" i="7"/>
  <c r="AD53" i="7" s="1"/>
  <c r="AD77" i="7" s="1"/>
  <c r="AD82" i="9"/>
  <c r="AG62" i="59" s="1"/>
  <c r="AD91" i="9"/>
  <c r="AD139" i="6"/>
  <c r="AD78" i="8"/>
  <c r="AC6" i="26"/>
  <c r="AD42" i="8"/>
  <c r="AC89" i="7"/>
  <c r="AC101" i="7"/>
  <c r="AF32" i="59" s="1"/>
  <c r="AD78" i="9"/>
  <c r="AD72" i="9"/>
  <c r="AD73" i="9"/>
  <c r="AD83" i="9"/>
  <c r="AD76" i="9"/>
  <c r="AD81" i="9"/>
  <c r="AD53" i="9"/>
  <c r="AD80" i="9"/>
  <c r="AD87" i="9"/>
  <c r="AG61" i="59" s="1"/>
  <c r="AD75" i="9"/>
  <c r="AD86" i="9"/>
  <c r="AD52" i="9"/>
  <c r="AG58" i="59" s="1"/>
  <c r="AC26" i="8"/>
  <c r="AC65" i="8"/>
  <c r="AC109" i="8"/>
  <c r="AC111" i="8" s="1"/>
  <c r="AC59" i="8"/>
  <c r="AC67" i="8"/>
  <c r="AD63" i="8"/>
  <c r="AC69" i="8"/>
  <c r="AC87" i="7"/>
  <c r="AC38" i="7"/>
  <c r="AC53" i="7" s="1"/>
  <c r="AC139" i="6"/>
  <c r="AC81" i="6"/>
  <c r="AC23" i="6"/>
  <c r="AC33" i="6"/>
  <c r="AC34" i="6"/>
  <c r="AC236" i="28"/>
  <c r="AC72" i="28"/>
  <c r="AD17" i="49"/>
  <c r="AD18" i="49" s="1"/>
  <c r="AD11" i="49"/>
  <c r="AC11" i="49"/>
  <c r="AD9" i="49"/>
  <c r="AD8" i="49"/>
  <c r="AD6" i="49"/>
  <c r="AC231" i="73"/>
  <c r="AC229" i="73"/>
  <c r="AC218" i="73"/>
  <c r="AC42" i="77" s="1"/>
  <c r="AC209" i="73"/>
  <c r="AC198" i="73"/>
  <c r="AC173" i="73"/>
  <c r="AC160" i="73"/>
  <c r="AC171" i="73" s="1"/>
  <c r="AC130" i="73"/>
  <c r="AC128" i="73"/>
  <c r="AC126" i="73"/>
  <c r="AC122" i="73"/>
  <c r="AC118" i="73"/>
  <c r="AC109" i="73"/>
  <c r="AC102" i="73"/>
  <c r="AC98" i="73"/>
  <c r="AC57" i="73"/>
  <c r="AC51" i="73"/>
  <c r="AC46" i="73"/>
  <c r="AC41" i="73"/>
  <c r="AC30" i="73"/>
  <c r="AC25" i="73"/>
  <c r="AC18" i="73"/>
  <c r="AD58" i="28" s="1"/>
  <c r="AC16" i="73"/>
  <c r="AC118" i="90" s="1"/>
  <c r="AC8" i="73"/>
  <c r="AG79" i="59"/>
  <c r="AG78" i="59"/>
  <c r="AG77" i="59"/>
  <c r="AF76" i="59"/>
  <c r="AF75" i="59"/>
  <c r="AG74" i="59"/>
  <c r="AG73" i="59"/>
  <c r="AF73" i="59"/>
  <c r="AG70" i="59"/>
  <c r="AG69" i="59"/>
  <c r="AF69" i="59"/>
  <c r="AG66" i="59"/>
  <c r="AG65" i="59"/>
  <c r="AF65" i="59"/>
  <c r="AF62" i="59"/>
  <c r="AF61" i="59"/>
  <c r="AG60" i="59"/>
  <c r="AG59" i="59"/>
  <c r="AF59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F42" i="59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F31" i="59"/>
  <c r="AF30" i="59"/>
  <c r="AG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72" i="36"/>
  <c r="AC64" i="36" s="1"/>
  <c r="AC71" i="36"/>
  <c r="AC69" i="36"/>
  <c r="AC61" i="36" s="1"/>
  <c r="AC63" i="36" s="1"/>
  <c r="AC67" i="36"/>
  <c r="AC59" i="36" s="1"/>
  <c r="AC66" i="36"/>
  <c r="AC58" i="36" s="1"/>
  <c r="AD64" i="36"/>
  <c r="AD72" i="36" s="1"/>
  <c r="AD62" i="36"/>
  <c r="AD70" i="36" s="1"/>
  <c r="AD61" i="36"/>
  <c r="AD69" i="36" s="1"/>
  <c r="AD59" i="36"/>
  <c r="AD67" i="36" s="1"/>
  <c r="AD58" i="36"/>
  <c r="AD66" i="36" s="1"/>
  <c r="AD57" i="36"/>
  <c r="AD17" i="36" s="1"/>
  <c r="AG55" i="59" s="1"/>
  <c r="AD56" i="36"/>
  <c r="AD16" i="36" s="1"/>
  <c r="AD33" i="36"/>
  <c r="AD40" i="36" s="1"/>
  <c r="AC33" i="36"/>
  <c r="AC29" i="36"/>
  <c r="AB7" i="15" s="1"/>
  <c r="AC28" i="36"/>
  <c r="AB6" i="15" s="1"/>
  <c r="AC27" i="36"/>
  <c r="AB5" i="15" s="1"/>
  <c r="AD26" i="36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C13" i="36"/>
  <c r="AF40" i="59" s="1"/>
  <c r="AD12" i="36"/>
  <c r="AG39" i="59" s="1"/>
  <c r="AD11" i="36"/>
  <c r="AG38" i="59" s="1"/>
  <c r="AD10" i="36"/>
  <c r="AG37" i="59" s="1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C12" i="21"/>
  <c r="AD30" i="35"/>
  <c r="AD203" i="10" s="1"/>
  <c r="AC42" i="35"/>
  <c r="AD40" i="35"/>
  <c r="AD39" i="35"/>
  <c r="AC39" i="35"/>
  <c r="AD36" i="35"/>
  <c r="AD48" i="35" s="1"/>
  <c r="AC36" i="35"/>
  <c r="AD32" i="35"/>
  <c r="AD31" i="35"/>
  <c r="AC33" i="35"/>
  <c r="AD26" i="35"/>
  <c r="AD34" i="36" s="1"/>
  <c r="AC26" i="35"/>
  <c r="AC34" i="36" s="1"/>
  <c r="AC35" i="36" s="1"/>
  <c r="AC21" i="35"/>
  <c r="AC26" i="9" s="1"/>
  <c r="AD20" i="35"/>
  <c r="AC20" i="35"/>
  <c r="AD19" i="35"/>
  <c r="AC19" i="35"/>
  <c r="AD14" i="35"/>
  <c r="AD5" i="36" s="1"/>
  <c r="AD13" i="35"/>
  <c r="AD11" i="35"/>
  <c r="AD10" i="6" s="1"/>
  <c r="AC10" i="35"/>
  <c r="AC9" i="35"/>
  <c r="AC8" i="35"/>
  <c r="AD7" i="35"/>
  <c r="AD6" i="6" s="1"/>
  <c r="AD6" i="35"/>
  <c r="AD5" i="6" s="1"/>
  <c r="AD147" i="6" l="1"/>
  <c r="AC6" i="73"/>
  <c r="AD46" i="28"/>
  <c r="AD35" i="28" s="1"/>
  <c r="AD60" i="28"/>
  <c r="AN60" i="28" s="1"/>
  <c r="BD60" i="28" s="1"/>
  <c r="AN58" i="28"/>
  <c r="BD58" i="28" s="1"/>
  <c r="AC37" i="77"/>
  <c r="AM37" i="77" s="1"/>
  <c r="BC37" i="77" s="1"/>
  <c r="AM42" i="77"/>
  <c r="BC42" i="77" s="1"/>
  <c r="AD150" i="6"/>
  <c r="AC512" i="28"/>
  <c r="AC114" i="73"/>
  <c r="AC34" i="8"/>
  <c r="AC501" i="28"/>
  <c r="AD175" i="6"/>
  <c r="AC509" i="28"/>
  <c r="AC505" i="28"/>
  <c r="AC172" i="6"/>
  <c r="AC500" i="28"/>
  <c r="AD71" i="8"/>
  <c r="AC37" i="8"/>
  <c r="AC36" i="8"/>
  <c r="AC63" i="8"/>
  <c r="AC148" i="6"/>
  <c r="AC508" i="28"/>
  <c r="AD104" i="7"/>
  <c r="AG31" i="59"/>
  <c r="AM198" i="73"/>
  <c r="BC198" i="73" s="1"/>
  <c r="AM218" i="73"/>
  <c r="BC218" i="73" s="1"/>
  <c r="AM229" i="73"/>
  <c r="BC229" i="73" s="1"/>
  <c r="AD172" i="6"/>
  <c r="AM231" i="73"/>
  <c r="BC231" i="73" s="1"/>
  <c r="AC143" i="6"/>
  <c r="AC204" i="6" s="1"/>
  <c r="AC150" i="6"/>
  <c r="AC147" i="6"/>
  <c r="AD143" i="6"/>
  <c r="AC175" i="6"/>
  <c r="AC173" i="6"/>
  <c r="AD173" i="6"/>
  <c r="AG22" i="59" s="1"/>
  <c r="AM128" i="73"/>
  <c r="BC128" i="73" s="1"/>
  <c r="AM209" i="73"/>
  <c r="BC209" i="73" s="1"/>
  <c r="AG42" i="59"/>
  <c r="AG44" i="59" s="1"/>
  <c r="AD121" i="8"/>
  <c r="AC104" i="7"/>
  <c r="AD63" i="7"/>
  <c r="AD35" i="36"/>
  <c r="AD36" i="36" s="1"/>
  <c r="AD38" i="36" s="1"/>
  <c r="AD30" i="36" s="1"/>
  <c r="AG80" i="59" s="1"/>
  <c r="AD41" i="36"/>
  <c r="AD43" i="36" s="1"/>
  <c r="AD31" i="36" s="1"/>
  <c r="AC120" i="90"/>
  <c r="AC12" i="15"/>
  <c r="AC13" i="15" s="1"/>
  <c r="AC14" i="15" s="1"/>
  <c r="AC60" i="36"/>
  <c r="AC68" i="36"/>
  <c r="AC110" i="8"/>
  <c r="AC112" i="8" s="1"/>
  <c r="AF6" i="59"/>
  <c r="AC11" i="35"/>
  <c r="AC10" i="6" s="1"/>
  <c r="AC8" i="6"/>
  <c r="AF77" i="59"/>
  <c r="AC14" i="35"/>
  <c r="AC9" i="6"/>
  <c r="AC56" i="36"/>
  <c r="AC89" i="9"/>
  <c r="AC91" i="9" s="1"/>
  <c r="AF54" i="59"/>
  <c r="AF55" i="59"/>
  <c r="AF78" i="59"/>
  <c r="AC57" i="36"/>
  <c r="AF79" i="59"/>
  <c r="AC95" i="9"/>
  <c r="AB132" i="26"/>
  <c r="AC33" i="22"/>
  <c r="AC69" i="9"/>
  <c r="AC68" i="9"/>
  <c r="AC63" i="9"/>
  <c r="AC27" i="9"/>
  <c r="AC7" i="9"/>
  <c r="AC59" i="9"/>
  <c r="AC58" i="9"/>
  <c r="AC56" i="9"/>
  <c r="AC61" i="9"/>
  <c r="AC65" i="9"/>
  <c r="AC66" i="9"/>
  <c r="AC67" i="9"/>
  <c r="AC92" i="9"/>
  <c r="AC100" i="9"/>
  <c r="AC55" i="9"/>
  <c r="AC19" i="9"/>
  <c r="AC64" i="9"/>
  <c r="AC70" i="9"/>
  <c r="AC133" i="73"/>
  <c r="AC5" i="73"/>
  <c r="AC48" i="35"/>
  <c r="AC31" i="28"/>
  <c r="AD71" i="36"/>
  <c r="AD63" i="36"/>
  <c r="AD68" i="36"/>
  <c r="AD77" i="9"/>
  <c r="AD16" i="6"/>
  <c r="AD18" i="6"/>
  <c r="AD17" i="6"/>
  <c r="AD15" i="6"/>
  <c r="AD7" i="6"/>
  <c r="AD8" i="35"/>
  <c r="AD41" i="35"/>
  <c r="AD97" i="11"/>
  <c r="AD33" i="35"/>
  <c r="AD37" i="35" s="1"/>
  <c r="AC26" i="21"/>
  <c r="AC28" i="21" s="1"/>
  <c r="AC22" i="21"/>
  <c r="AD74" i="9"/>
  <c r="AG54" i="59"/>
  <c r="AD18" i="36"/>
  <c r="AG56" i="59" s="1"/>
  <c r="AD60" i="36"/>
  <c r="AG49" i="59"/>
  <c r="AD13" i="36"/>
  <c r="AG40" i="59" s="1"/>
  <c r="AD35" i="8"/>
  <c r="AD70" i="8"/>
  <c r="AF44" i="59"/>
  <c r="AF49" i="59"/>
  <c r="AF29" i="59"/>
  <c r="AC77" i="7"/>
  <c r="AC63" i="7"/>
  <c r="AC211" i="6"/>
  <c r="AD13" i="49"/>
  <c r="AG6" i="59"/>
  <c r="AC35" i="6"/>
  <c r="AD149" i="6"/>
  <c r="AD7" i="36" s="1"/>
  <c r="AG8" i="59" s="1"/>
  <c r="AD15" i="35"/>
  <c r="AC79" i="28"/>
  <c r="AC36" i="36"/>
  <c r="AC38" i="36" s="1"/>
  <c r="AC30" i="36" s="1"/>
  <c r="AF80" i="59" s="1"/>
  <c r="AD20" i="21"/>
  <c r="AC15" i="21"/>
  <c r="AC13" i="35"/>
  <c r="AC37" i="35"/>
  <c r="AC41" i="35"/>
  <c r="AC216" i="6" l="1"/>
  <c r="AC219" i="6" s="1"/>
  <c r="AC149" i="6"/>
  <c r="AD67" i="28"/>
  <c r="AD37" i="28"/>
  <c r="AN46" i="28"/>
  <c r="BD46" i="28" s="1"/>
  <c r="AD440" i="28"/>
  <c r="AD471" i="28" s="1"/>
  <c r="AD48" i="28"/>
  <c r="AC174" i="6"/>
  <c r="AD206" i="6"/>
  <c r="AC210" i="6"/>
  <c r="AC35" i="8"/>
  <c r="AC205" i="6"/>
  <c r="AD212" i="6"/>
  <c r="AD203" i="6"/>
  <c r="AD213" i="6"/>
  <c r="AC207" i="6"/>
  <c r="AC213" i="6"/>
  <c r="AD207" i="6"/>
  <c r="AC203" i="6"/>
  <c r="AD197" i="6"/>
  <c r="AD204" i="6"/>
  <c r="AD174" i="6"/>
  <c r="AD8" i="36" s="1"/>
  <c r="AG9" i="59" s="1"/>
  <c r="AD217" i="6"/>
  <c r="AD210" i="6"/>
  <c r="AD211" i="6"/>
  <c r="AD205" i="6"/>
  <c r="AD208" i="6"/>
  <c r="AC206" i="6"/>
  <c r="AD216" i="6"/>
  <c r="AD218" i="6"/>
  <c r="AC208" i="6"/>
  <c r="AC212" i="6"/>
  <c r="AC49" i="35"/>
  <c r="AC55" i="35" s="1"/>
  <c r="AD199" i="6"/>
  <c r="AD124" i="8"/>
  <c r="AD122" i="8"/>
  <c r="AD126" i="8" s="1"/>
  <c r="AD127" i="8" s="1"/>
  <c r="AC15" i="35"/>
  <c r="AC57" i="9"/>
  <c r="AC62" i="9" s="1"/>
  <c r="AC124" i="90"/>
  <c r="AD19" i="36"/>
  <c r="AG57" i="59" s="1"/>
  <c r="AC60" i="9"/>
  <c r="AC21" i="22"/>
  <c r="AC7" i="22"/>
  <c r="AC37" i="28"/>
  <c r="AC63" i="28"/>
  <c r="AD79" i="9"/>
  <c r="AD194" i="6"/>
  <c r="AD189" i="6"/>
  <c r="AD168" i="6"/>
  <c r="AD164" i="6"/>
  <c r="AD19" i="6"/>
  <c r="AD25" i="36"/>
  <c r="AG76" i="59" s="1"/>
  <c r="AC504" i="28"/>
  <c r="AC503" i="28"/>
  <c r="W81" i="77"/>
  <c r="AI81" i="77" s="1"/>
  <c r="AD523" i="28" l="1"/>
  <c r="AD491" i="28"/>
  <c r="AN48" i="28"/>
  <c r="BD48" i="28" s="1"/>
  <c r="AN35" i="28"/>
  <c r="BD35" i="28" s="1"/>
  <c r="AC214" i="6"/>
  <c r="AD209" i="6"/>
  <c r="AC69" i="28"/>
  <c r="AC209" i="6"/>
  <c r="AC215" i="6" s="1"/>
  <c r="AC220" i="6" s="1"/>
  <c r="AD219" i="6"/>
  <c r="AD214" i="6"/>
  <c r="AG11" i="59" s="1"/>
  <c r="AD81" i="6"/>
  <c r="AD130" i="8"/>
  <c r="AD131" i="8"/>
  <c r="AD144" i="8" s="1"/>
  <c r="AD132" i="8"/>
  <c r="AD145" i="8" s="1"/>
  <c r="AC8" i="22"/>
  <c r="AC22" i="22"/>
  <c r="AA81" i="77"/>
  <c r="BE81" i="77" s="1"/>
  <c r="Y81" i="77"/>
  <c r="AO81" i="77"/>
  <c r="AS81" i="77"/>
  <c r="AE81" i="77"/>
  <c r="AW81" i="77"/>
  <c r="AD84" i="6"/>
  <c r="AC491" i="28"/>
  <c r="AC75" i="28"/>
  <c r="AD38" i="6"/>
  <c r="AD40" i="6"/>
  <c r="AD39" i="6"/>
  <c r="AD37" i="6"/>
  <c r="T81" i="77"/>
  <c r="AN67" i="28" l="1"/>
  <c r="AD69" i="28"/>
  <c r="AD70" i="28" s="1"/>
  <c r="AD494" i="28"/>
  <c r="AD516" i="28"/>
  <c r="AD495" i="28"/>
  <c r="AN37" i="28"/>
  <c r="BD37" i="28" s="1"/>
  <c r="AD75" i="28"/>
  <c r="AD76" i="28" s="1"/>
  <c r="AD521" i="28" s="1"/>
  <c r="AD515" i="28"/>
  <c r="AD517" i="28"/>
  <c r="AD215" i="6"/>
  <c r="AD220" i="6" s="1"/>
  <c r="AC520" i="28"/>
  <c r="AD133" i="8"/>
  <c r="AD146" i="8" s="1"/>
  <c r="AD143" i="8"/>
  <c r="AC24" i="22"/>
  <c r="AC10" i="22"/>
  <c r="AC91" i="28"/>
  <c r="AC76" i="28"/>
  <c r="AC517" i="28"/>
  <c r="AC494" i="28"/>
  <c r="AD41" i="6"/>
  <c r="AD9" i="36" l="1"/>
  <c r="AG10" i="59" s="1"/>
  <c r="BD67" i="28"/>
  <c r="AN69" i="28"/>
  <c r="BD69" i="28" s="1"/>
  <c r="AD520" i="28"/>
  <c r="AC495" i="28"/>
  <c r="AC521" i="28"/>
  <c r="AC11" i="22"/>
  <c r="AC25" i="22"/>
  <c r="AC516" i="28"/>
  <c r="AC95" i="28"/>
  <c r="AC515" i="28"/>
  <c r="L55" i="6"/>
  <c r="L56" i="6"/>
  <c r="BD70" i="28" l="1"/>
  <c r="AN70" i="28"/>
  <c r="AC27" i="22"/>
  <c r="AC13" i="22"/>
  <c r="F56" i="6"/>
  <c r="F55" i="6"/>
  <c r="Z186" i="10" l="1"/>
  <c r="AB186" i="10" s="1"/>
  <c r="AF186" i="10" s="1"/>
  <c r="AJ186" i="10" s="1"/>
  <c r="AP186" i="10" s="1"/>
  <c r="AT186" i="10" s="1"/>
  <c r="AX186" i="10" s="1"/>
  <c r="BF186" i="10" l="1"/>
  <c r="BI186" i="10" s="1"/>
  <c r="X76" i="77"/>
  <c r="X75" i="77"/>
  <c r="X74" i="77"/>
  <c r="X73" i="77"/>
  <c r="X72" i="77"/>
  <c r="X71" i="77"/>
  <c r="X69" i="77"/>
  <c r="X68" i="77"/>
  <c r="X67" i="77"/>
  <c r="X66" i="77"/>
  <c r="X65" i="77"/>
  <c r="X64" i="77"/>
  <c r="X63" i="77"/>
  <c r="X62" i="77"/>
  <c r="X61" i="77"/>
  <c r="Z61" i="77" s="1"/>
  <c r="AD61" i="77" s="1"/>
  <c r="X60" i="77"/>
  <c r="X59" i="77"/>
  <c r="X58" i="77"/>
  <c r="X57" i="77"/>
  <c r="X56" i="77"/>
  <c r="X55" i="77"/>
  <c r="X54" i="77"/>
  <c r="X52" i="77"/>
  <c r="X51" i="77"/>
  <c r="X50" i="77"/>
  <c r="X49" i="77"/>
  <c r="X48" i="77"/>
  <c r="X47" i="77"/>
  <c r="X46" i="77"/>
  <c r="X45" i="77"/>
  <c r="X44" i="77"/>
  <c r="Z44" i="77" s="1"/>
  <c r="AD44" i="77" s="1"/>
  <c r="X43" i="77"/>
  <c r="X35" i="77"/>
  <c r="X34" i="77"/>
  <c r="X33" i="77"/>
  <c r="X31" i="77"/>
  <c r="X30" i="77"/>
  <c r="X29" i="77"/>
  <c r="X28" i="77"/>
  <c r="X27" i="77"/>
  <c r="X25" i="77"/>
  <c r="X24" i="77"/>
  <c r="X23" i="77"/>
  <c r="X22" i="77"/>
  <c r="X20" i="77"/>
  <c r="X19" i="77"/>
  <c r="X21" i="77" s="1"/>
  <c r="X18" i="77"/>
  <c r="X17" i="77"/>
  <c r="X16" i="77"/>
  <c r="X15" i="77"/>
  <c r="X14" i="77"/>
  <c r="X12" i="77"/>
  <c r="X11" i="77"/>
  <c r="X10" i="77"/>
  <c r="X13" i="77" s="1"/>
  <c r="X9" i="77"/>
  <c r="X8" i="77"/>
  <c r="X6" i="77"/>
  <c r="X5" i="77"/>
  <c r="X26" i="77" l="1"/>
  <c r="X36" i="77"/>
  <c r="X70" i="77"/>
  <c r="X53" i="77"/>
  <c r="X32" i="77"/>
  <c r="G28" i="83"/>
  <c r="I28" i="83"/>
  <c r="M28" i="83"/>
  <c r="Q28" i="83"/>
  <c r="U28" i="83"/>
  <c r="Y28" i="83"/>
  <c r="AE28" i="83"/>
  <c r="AM28" i="83"/>
  <c r="AS28" i="83"/>
  <c r="BA28" i="83"/>
  <c r="Y20" i="39"/>
  <c r="Z20" i="39"/>
  <c r="AO28" i="83" l="1"/>
  <c r="BC28" i="83"/>
  <c r="AA28" i="83"/>
  <c r="K28" i="83"/>
  <c r="O28" i="83"/>
  <c r="Y233" i="73"/>
  <c r="Y232" i="73"/>
  <c r="Y230" i="73"/>
  <c r="Y228" i="73"/>
  <c r="Y227" i="73"/>
  <c r="Y226" i="73"/>
  <c r="Y225" i="73"/>
  <c r="Y224" i="73"/>
  <c r="Y223" i="73"/>
  <c r="Y222" i="73"/>
  <c r="Y219" i="73"/>
  <c r="Y217" i="73"/>
  <c r="Y216" i="73"/>
  <c r="Y215" i="73"/>
  <c r="Y214" i="73"/>
  <c r="Y213" i="73"/>
  <c r="Y212" i="73"/>
  <c r="Y211" i="73"/>
  <c r="Y210" i="73"/>
  <c r="Y208" i="73"/>
  <c r="Y207" i="73"/>
  <c r="Y206" i="73"/>
  <c r="Y205" i="73"/>
  <c r="Y204" i="73"/>
  <c r="Y202" i="73"/>
  <c r="Y201" i="73"/>
  <c r="Y200" i="73"/>
  <c r="Y199" i="73"/>
  <c r="Y129" i="73"/>
  <c r="Y89" i="73"/>
  <c r="Y203" i="73" l="1"/>
  <c r="AC28" i="83"/>
  <c r="AG28" i="83" s="1"/>
  <c r="AK28" i="83" s="1"/>
  <c r="AQ28" i="83" s="1"/>
  <c r="AU28" i="83" s="1"/>
  <c r="AY28" i="83" s="1"/>
  <c r="BG28" i="83" s="1"/>
  <c r="BE28" i="83"/>
  <c r="S28" i="83"/>
  <c r="W28" i="83" s="1"/>
  <c r="X103" i="9" l="1"/>
  <c r="Y111" i="17"/>
  <c r="AA111" i="17" s="1"/>
  <c r="AE111" i="17" s="1"/>
  <c r="AI111" i="17" s="1"/>
  <c r="AO111" i="17" s="1"/>
  <c r="AS111" i="17" s="1"/>
  <c r="AW111" i="17" s="1"/>
  <c r="Y110" i="17"/>
  <c r="AA110" i="17" s="1"/>
  <c r="AE110" i="17" s="1"/>
  <c r="AI110" i="17" s="1"/>
  <c r="AO110" i="17" s="1"/>
  <c r="AS110" i="17" s="1"/>
  <c r="AW110" i="17" s="1"/>
  <c r="V117" i="17"/>
  <c r="V115" i="17"/>
  <c r="W87" i="17"/>
  <c r="W86" i="17"/>
  <c r="W85" i="17"/>
  <c r="W84" i="17"/>
  <c r="W83" i="17"/>
  <c r="V83" i="17"/>
  <c r="W74" i="17"/>
  <c r="V74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W26" i="17"/>
  <c r="W22" i="17"/>
  <c r="W16" i="17" s="1"/>
  <c r="W34" i="17" s="1"/>
  <c r="V21" i="17"/>
  <c r="V19" i="17"/>
  <c r="V18" i="17"/>
  <c r="V16" i="17"/>
  <c r="V30" i="17" s="1"/>
  <c r="V15" i="17"/>
  <c r="W14" i="17"/>
  <c r="W12" i="17"/>
  <c r="W9" i="17"/>
  <c r="W11" i="17" s="1"/>
  <c r="V9" i="17"/>
  <c r="V11" i="17" s="1"/>
  <c r="V122" i="17" l="1"/>
  <c r="W122" i="17"/>
  <c r="V22" i="17"/>
  <c r="V31" i="17" s="1"/>
  <c r="W13" i="17"/>
  <c r="W15" i="17" s="1"/>
  <c r="V119" i="17"/>
  <c r="W62" i="17"/>
  <c r="V59" i="17"/>
  <c r="V62" i="17" s="1"/>
  <c r="V50" i="17"/>
  <c r="V114" i="17" s="1"/>
  <c r="W33" i="17"/>
  <c r="V34" i="17"/>
  <c r="V32" i="17"/>
  <c r="W114" i="17"/>
  <c r="W54" i="17"/>
  <c r="W51" i="17"/>
  <c r="W55" i="17" s="1"/>
  <c r="W32" i="17"/>
  <c r="W30" i="17"/>
  <c r="V116" i="17"/>
  <c r="W116" i="17"/>
  <c r="W31" i="17"/>
  <c r="W45" i="17"/>
  <c r="V60" i="17" l="1"/>
  <c r="W117" i="17"/>
  <c r="V54" i="17"/>
  <c r="W115" i="17"/>
  <c r="W119" i="17" s="1"/>
  <c r="V118" i="17"/>
  <c r="W118" i="17"/>
  <c r="Y125" i="73" l="1"/>
  <c r="T84" i="10" l="1"/>
  <c r="T135" i="10"/>
  <c r="V15" i="26"/>
  <c r="X23" i="10" l="1"/>
  <c r="X30" i="10"/>
  <c r="X25" i="10"/>
  <c r="Y29" i="50" s="1"/>
  <c r="X24" i="10"/>
  <c r="Y27" i="50" s="1"/>
  <c r="X28" i="10"/>
  <c r="Y113" i="50" s="1"/>
  <c r="AA113" i="50" s="1"/>
  <c r="AC113" i="50" s="1"/>
  <c r="AG113" i="50" s="1"/>
  <c r="AK113" i="50" s="1"/>
  <c r="AQ113" i="50" s="1"/>
  <c r="AU113" i="50" s="1"/>
  <c r="AY113" i="50" s="1"/>
  <c r="BG113" i="50" s="1"/>
  <c r="X32" i="10"/>
  <c r="X14" i="10"/>
  <c r="Y6" i="50" s="1"/>
  <c r="X12" i="10"/>
  <c r="O6" i="45"/>
  <c r="W6" i="45"/>
  <c r="AA6" i="45"/>
  <c r="Y5" i="45"/>
  <c r="U5" i="45"/>
  <c r="W5" i="45" s="1"/>
  <c r="Q5" i="45"/>
  <c r="M5" i="45"/>
  <c r="I5" i="45"/>
  <c r="G5" i="45"/>
  <c r="AA5" i="45" l="1"/>
  <c r="AC6" i="45"/>
  <c r="O5" i="45"/>
  <c r="AC5" i="45" s="1"/>
  <c r="X199" i="10"/>
  <c r="Y9" i="50"/>
  <c r="Z396" i="28" l="1"/>
  <c r="AB396" i="28" s="1"/>
  <c r="AF396" i="28" s="1"/>
  <c r="AJ396" i="28" s="1"/>
  <c r="AP396" i="28" s="1"/>
  <c r="AT396" i="28" s="1"/>
  <c r="AX396" i="28" s="1"/>
  <c r="BF396" i="28" s="1"/>
  <c r="BH396" i="28" s="1"/>
  <c r="V397" i="28"/>
  <c r="Z397" i="28"/>
  <c r="AB397" i="28" s="1"/>
  <c r="AF397" i="28" s="1"/>
  <c r="AJ397" i="28" s="1"/>
  <c r="AP397" i="28" s="1"/>
  <c r="AT397" i="28" s="1"/>
  <c r="AX397" i="28" s="1"/>
  <c r="BF397" i="28" s="1"/>
  <c r="BH397" i="28" s="1"/>
  <c r="Z269" i="28"/>
  <c r="AB269" i="28" s="1"/>
  <c r="AF269" i="28" s="1"/>
  <c r="AJ269" i="28" s="1"/>
  <c r="AP269" i="28" s="1"/>
  <c r="W99" i="90"/>
  <c r="W90" i="90"/>
  <c r="AT269" i="28" l="1"/>
  <c r="AX269" i="28" s="1"/>
  <c r="BF269" i="28" s="1"/>
  <c r="BH269" i="28" s="1"/>
  <c r="W115" i="90"/>
  <c r="W127" i="90"/>
  <c r="V27" i="27"/>
  <c r="V26" i="27"/>
  <c r="V21" i="27"/>
  <c r="V18" i="27"/>
  <c r="V20" i="27"/>
  <c r="V19" i="27"/>
  <c r="W37" i="27"/>
  <c r="W35" i="27"/>
  <c r="W27" i="27"/>
  <c r="W29" i="27"/>
  <c r="W28" i="27"/>
  <c r="W20" i="27"/>
  <c r="W19" i="27"/>
  <c r="W18" i="27"/>
  <c r="W36" i="27" l="1"/>
  <c r="W39" i="27" s="1"/>
  <c r="V39" i="27"/>
  <c r="V33" i="27"/>
  <c r="W26" i="27"/>
  <c r="W33" i="27" s="1"/>
  <c r="W22" i="27"/>
  <c r="W21" i="27"/>
  <c r="V24" i="27"/>
  <c r="W31" i="15"/>
  <c r="W30" i="15"/>
  <c r="W29" i="15"/>
  <c r="W25" i="15"/>
  <c r="W24" i="15"/>
  <c r="W23" i="15"/>
  <c r="W22" i="15"/>
  <c r="W21" i="15"/>
  <c r="V19" i="15"/>
  <c r="W18" i="15"/>
  <c r="W15" i="15"/>
  <c r="V12" i="15"/>
  <c r="V13" i="15" s="1"/>
  <c r="W10" i="15"/>
  <c r="W9" i="15"/>
  <c r="V9" i="15"/>
  <c r="W8" i="15"/>
  <c r="V8" i="15"/>
  <c r="W7" i="15"/>
  <c r="W6" i="15"/>
  <c r="W5" i="15"/>
  <c r="W24" i="27" l="1"/>
  <c r="W32" i="15"/>
  <c r="X28" i="22"/>
  <c r="X24" i="22"/>
  <c r="X23" i="22"/>
  <c r="X14" i="22"/>
  <c r="X10" i="22"/>
  <c r="X9" i="22"/>
  <c r="X12" i="22" l="1"/>
  <c r="X26" i="22"/>
  <c r="AB96" i="38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AA27" i="38"/>
  <c r="AA26" i="38"/>
  <c r="AA25" i="38"/>
  <c r="AA24" i="38"/>
  <c r="AA23" i="38"/>
  <c r="AA22" i="38"/>
  <c r="AA21" i="38"/>
  <c r="AA20" i="38"/>
  <c r="AB19" i="38"/>
  <c r="AB68" i="38" s="1"/>
  <c r="AA15" i="38"/>
  <c r="AA14" i="38"/>
  <c r="AB13" i="38"/>
  <c r="AB62" i="38" s="1"/>
  <c r="AA12" i="38"/>
  <c r="AA11" i="38"/>
  <c r="AA10" i="38"/>
  <c r="AA9" i="38"/>
  <c r="AA8" i="38"/>
  <c r="AA7" i="38"/>
  <c r="AB6" i="38"/>
  <c r="W114" i="26"/>
  <c r="V112" i="26"/>
  <c r="V110" i="26"/>
  <c r="V108" i="26"/>
  <c r="V106" i="26"/>
  <c r="V104" i="26"/>
  <c r="V102" i="26"/>
  <c r="V100" i="26"/>
  <c r="V98" i="26"/>
  <c r="W94" i="26"/>
  <c r="V91" i="26"/>
  <c r="V89" i="26"/>
  <c r="V87" i="26"/>
  <c r="V85" i="26"/>
  <c r="W83" i="26"/>
  <c r="W82" i="26"/>
  <c r="V80" i="26"/>
  <c r="V78" i="26"/>
  <c r="W75" i="26"/>
  <c r="V73" i="26"/>
  <c r="V71" i="26"/>
  <c r="V69" i="26"/>
  <c r="V67" i="26"/>
  <c r="V65" i="26"/>
  <c r="V63" i="26"/>
  <c r="V61" i="26"/>
  <c r="V59" i="26"/>
  <c r="V54" i="26"/>
  <c r="V52" i="26"/>
  <c r="W50" i="26"/>
  <c r="V48" i="26"/>
  <c r="W45" i="26"/>
  <c r="V43" i="26"/>
  <c r="V41" i="26"/>
  <c r="V39" i="26"/>
  <c r="V37" i="26"/>
  <c r="V35" i="26"/>
  <c r="V33" i="26"/>
  <c r="V31" i="26"/>
  <c r="V29" i="26"/>
  <c r="V27" i="26"/>
  <c r="V25" i="26"/>
  <c r="V23" i="26"/>
  <c r="V21" i="26"/>
  <c r="V17" i="26"/>
  <c r="W12" i="26"/>
  <c r="V11" i="26"/>
  <c r="V9" i="26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2" i="45"/>
  <c r="AA23" i="45"/>
  <c r="AA24" i="45"/>
  <c r="AA25" i="45"/>
  <c r="AA26" i="45"/>
  <c r="AA27" i="45"/>
  <c r="AA28" i="45"/>
  <c r="AA29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8" i="45"/>
  <c r="AA59" i="45"/>
  <c r="AA60" i="45"/>
  <c r="AA61" i="45"/>
  <c r="AA62" i="45"/>
  <c r="AA63" i="45"/>
  <c r="AA64" i="45"/>
  <c r="AA65" i="45"/>
  <c r="AA66" i="45"/>
  <c r="AA67" i="45"/>
  <c r="AA68" i="45"/>
  <c r="AA69" i="45"/>
  <c r="AA70" i="45"/>
  <c r="AA71" i="45"/>
  <c r="AA72" i="45"/>
  <c r="AA73" i="45"/>
  <c r="AA74" i="45"/>
  <c r="AA75" i="45"/>
  <c r="AA76" i="45"/>
  <c r="AA77" i="45"/>
  <c r="AA78" i="45"/>
  <c r="AA82" i="45"/>
  <c r="AC82" i="45" s="1"/>
  <c r="AG82" i="45" s="1"/>
  <c r="AK82" i="45" s="1"/>
  <c r="AQ82" i="45" s="1"/>
  <c r="AU82" i="45" s="1"/>
  <c r="AY82" i="45" s="1"/>
  <c r="BG82" i="45" s="1"/>
  <c r="BI82" i="45" s="1"/>
  <c r="AA83" i="45"/>
  <c r="AC83" i="45" s="1"/>
  <c r="AG83" i="45" s="1"/>
  <c r="AK83" i="45" s="1"/>
  <c r="AQ83" i="45" s="1"/>
  <c r="AU83" i="45" s="1"/>
  <c r="AY83" i="45" s="1"/>
  <c r="BG83" i="45" s="1"/>
  <c r="BI83" i="45" s="1"/>
  <c r="AA84" i="45"/>
  <c r="AC84" i="45" s="1"/>
  <c r="AG84" i="45" s="1"/>
  <c r="AK84" i="45" s="1"/>
  <c r="AQ84" i="45" s="1"/>
  <c r="AU84" i="45" s="1"/>
  <c r="AY84" i="45" s="1"/>
  <c r="BG84" i="45" s="1"/>
  <c r="BI84" i="45" s="1"/>
  <c r="AA88" i="45"/>
  <c r="AA89" i="45"/>
  <c r="AA90" i="45"/>
  <c r="AA91" i="45"/>
  <c r="AA92" i="45"/>
  <c r="AA93" i="45"/>
  <c r="AA95" i="45"/>
  <c r="AC95" i="45" s="1"/>
  <c r="AG95" i="45" s="1"/>
  <c r="AK95" i="45" s="1"/>
  <c r="AQ95" i="45" s="1"/>
  <c r="AU95" i="45" s="1"/>
  <c r="AY95" i="45" s="1"/>
  <c r="BG95" i="45" s="1"/>
  <c r="BI95" i="45" s="1"/>
  <c r="AA96" i="45"/>
  <c r="AA97" i="45"/>
  <c r="AC100" i="45"/>
  <c r="AG100" i="45" s="1"/>
  <c r="AK100" i="45" s="1"/>
  <c r="AQ100" i="45" s="1"/>
  <c r="AU100" i="45" s="1"/>
  <c r="AY100" i="45" s="1"/>
  <c r="BG100" i="45" s="1"/>
  <c r="BI100" i="45" s="1"/>
  <c r="AA101" i="45"/>
  <c r="AA102" i="45"/>
  <c r="AA103" i="45"/>
  <c r="AA104" i="45"/>
  <c r="AA105" i="45"/>
  <c r="AA106" i="45"/>
  <c r="AA107" i="45"/>
  <c r="AA108" i="45"/>
  <c r="AA109" i="45"/>
  <c r="AA110" i="45"/>
  <c r="AA111" i="45"/>
  <c r="AA112" i="45"/>
  <c r="AA113" i="45"/>
  <c r="AA114" i="45"/>
  <c r="AA115" i="45"/>
  <c r="AA116" i="45"/>
  <c r="AA119" i="45"/>
  <c r="X3" i="8"/>
  <c r="V26" i="17" l="1"/>
  <c r="V33" i="17" s="1"/>
  <c r="V84" i="17"/>
  <c r="W19" i="26"/>
  <c r="V87" i="17"/>
  <c r="V85" i="17"/>
  <c r="V50" i="26"/>
  <c r="V51" i="26" s="1"/>
  <c r="W57" i="26"/>
  <c r="AA13" i="38"/>
  <c r="V86" i="17"/>
  <c r="AA174" i="45"/>
  <c r="AB18" i="38"/>
  <c r="AB67" i="38" s="1"/>
  <c r="AB16" i="38"/>
  <c r="AB65" i="38" s="1"/>
  <c r="AA173" i="45"/>
  <c r="AC74" i="45"/>
  <c r="AA175" i="45"/>
  <c r="AA172" i="45"/>
  <c r="AA171" i="45"/>
  <c r="V83" i="26"/>
  <c r="V12" i="26"/>
  <c r="V82" i="26"/>
  <c r="V94" i="26"/>
  <c r="V75" i="26"/>
  <c r="V114" i="26"/>
  <c r="V45" i="26"/>
  <c r="AA67" i="38"/>
  <c r="AA89" i="38"/>
  <c r="AA43" i="38"/>
  <c r="AA40" i="38" s="1"/>
  <c r="AA35" i="38"/>
  <c r="AA19" i="38"/>
  <c r="AA65" i="38"/>
  <c r="AA6" i="38"/>
  <c r="AB55" i="38"/>
  <c r="AB40" i="38"/>
  <c r="W18" i="26"/>
  <c r="W56" i="26"/>
  <c r="W13" i="26"/>
  <c r="W51" i="26"/>
  <c r="AE175" i="45"/>
  <c r="AD47" i="35" s="1"/>
  <c r="AN47" i="35" s="1"/>
  <c r="BD47" i="35" s="1"/>
  <c r="AD46" i="35"/>
  <c r="AN46" i="35" s="1"/>
  <c r="BD46" i="35" s="1"/>
  <c r="AE173" i="45"/>
  <c r="AD45" i="35" s="1"/>
  <c r="AE172" i="45"/>
  <c r="AD44" i="35" s="1"/>
  <c r="AE171" i="45"/>
  <c r="AD43" i="35" s="1"/>
  <c r="AE170" i="45"/>
  <c r="AD42" i="35" s="1"/>
  <c r="W29" i="72"/>
  <c r="W30" i="72"/>
  <c r="W31" i="72"/>
  <c r="W32" i="72"/>
  <c r="W33" i="72"/>
  <c r="W34" i="72"/>
  <c r="W35" i="72"/>
  <c r="K43" i="72"/>
  <c r="S43" i="72"/>
  <c r="W43" i="72"/>
  <c r="AU56" i="71"/>
  <c r="E85" i="90" s="1"/>
  <c r="AW56" i="71"/>
  <c r="G85" i="90" s="1"/>
  <c r="BA56" i="71"/>
  <c r="K85" i="90" s="1"/>
  <c r="BE56" i="71"/>
  <c r="O85" i="90" s="1"/>
  <c r="BI56" i="71"/>
  <c r="S85" i="90" s="1"/>
  <c r="BM56" i="71"/>
  <c r="BS56" i="71"/>
  <c r="AC85" i="90" s="1"/>
  <c r="BW56" i="71"/>
  <c r="AG85" i="90" s="1"/>
  <c r="CA56" i="71"/>
  <c r="AK85" i="90" s="1"/>
  <c r="CG56" i="71"/>
  <c r="AQ85" i="90" s="1"/>
  <c r="CK56" i="71"/>
  <c r="AU85" i="90" s="1"/>
  <c r="CO56" i="71"/>
  <c r="AY85" i="90" s="1"/>
  <c r="AO7" i="71"/>
  <c r="AQ7" i="71" s="1"/>
  <c r="AR7" i="71" s="1"/>
  <c r="AO8" i="71"/>
  <c r="AQ8" i="71" s="1"/>
  <c r="AR8" i="71" s="1"/>
  <c r="AO9" i="71"/>
  <c r="AQ9" i="71" s="1"/>
  <c r="AR9" i="71" s="1"/>
  <c r="AO10" i="71"/>
  <c r="AQ10" i="71" s="1"/>
  <c r="AR10" i="71" s="1"/>
  <c r="AO11" i="71"/>
  <c r="AQ11" i="71" s="1"/>
  <c r="AR11" i="71" s="1"/>
  <c r="AO12" i="71"/>
  <c r="AO13" i="71"/>
  <c r="AQ13" i="71" s="1"/>
  <c r="AR13" i="71" s="1"/>
  <c r="AO14" i="71"/>
  <c r="AQ14" i="71" s="1"/>
  <c r="AR14" i="71" s="1"/>
  <c r="AO15" i="71"/>
  <c r="AQ15" i="71" s="1"/>
  <c r="AR15" i="71" s="1"/>
  <c r="AO16" i="71"/>
  <c r="AQ16" i="71" s="1"/>
  <c r="AR16" i="71" s="1"/>
  <c r="AO17" i="71"/>
  <c r="AQ17" i="71" s="1"/>
  <c r="AR17" i="71" s="1"/>
  <c r="AO18" i="71"/>
  <c r="AQ18" i="71" s="1"/>
  <c r="AR18" i="71" s="1"/>
  <c r="AO19" i="71"/>
  <c r="AO20" i="71"/>
  <c r="AQ20" i="71" s="1"/>
  <c r="AR20" i="71" s="1"/>
  <c r="AO21" i="71"/>
  <c r="AQ21" i="71" s="1"/>
  <c r="AR21" i="71" s="1"/>
  <c r="AO22" i="71"/>
  <c r="AQ22" i="71" s="1"/>
  <c r="AR22" i="71" s="1"/>
  <c r="AO24" i="71"/>
  <c r="AQ24" i="71" s="1"/>
  <c r="AR24" i="71" s="1"/>
  <c r="AO25" i="71"/>
  <c r="AQ25" i="71" s="1"/>
  <c r="AR25" i="71" s="1"/>
  <c r="AO26" i="71"/>
  <c r="AQ26" i="71" s="1"/>
  <c r="AR26" i="71" s="1"/>
  <c r="AO27" i="71"/>
  <c r="AQ27" i="71" s="1"/>
  <c r="AR27" i="71" s="1"/>
  <c r="AO28" i="71"/>
  <c r="AQ28" i="71" s="1"/>
  <c r="AR28" i="71" s="1"/>
  <c r="AO29" i="71"/>
  <c r="AQ29" i="71" s="1"/>
  <c r="AR29" i="71" s="1"/>
  <c r="AO32" i="71"/>
  <c r="AQ32" i="71" s="1"/>
  <c r="AR32" i="71" s="1"/>
  <c r="AO33" i="71"/>
  <c r="AQ33" i="71" s="1"/>
  <c r="AR33" i="71" s="1"/>
  <c r="AO34" i="71"/>
  <c r="AQ34" i="71" s="1"/>
  <c r="AR34" i="71" s="1"/>
  <c r="AO35" i="71"/>
  <c r="AQ35" i="71" s="1"/>
  <c r="AR35" i="71" s="1"/>
  <c r="AO36" i="71"/>
  <c r="AQ36" i="71" s="1"/>
  <c r="AR36" i="71" s="1"/>
  <c r="AO37" i="71"/>
  <c r="AQ37" i="71" s="1"/>
  <c r="AR37" i="71" s="1"/>
  <c r="AO38" i="71"/>
  <c r="AQ38" i="71" s="1"/>
  <c r="AR38" i="71" s="1"/>
  <c r="AO39" i="71"/>
  <c r="AQ39" i="71" s="1"/>
  <c r="AR39" i="71" s="1"/>
  <c r="AO40" i="71"/>
  <c r="AQ40" i="71" s="1"/>
  <c r="AR40" i="71" s="1"/>
  <c r="AO41" i="71"/>
  <c r="AQ41" i="71" s="1"/>
  <c r="AR41" i="71" s="1"/>
  <c r="AO42" i="71"/>
  <c r="AQ42" i="71" s="1"/>
  <c r="AR42" i="71" s="1"/>
  <c r="AO44" i="71"/>
  <c r="AQ44" i="71" s="1"/>
  <c r="AR44" i="71" s="1"/>
  <c r="AO45" i="71"/>
  <c r="AQ45" i="71" s="1"/>
  <c r="AR45" i="71" s="1"/>
  <c r="AO46" i="71"/>
  <c r="AQ46" i="71" s="1"/>
  <c r="AR46" i="71" s="1"/>
  <c r="AO47" i="71"/>
  <c r="AQ47" i="71" s="1"/>
  <c r="AR47" i="71" s="1"/>
  <c r="AO48" i="71"/>
  <c r="AQ48" i="71" s="1"/>
  <c r="AR48" i="71" s="1"/>
  <c r="AO49" i="71"/>
  <c r="AQ49" i="71" s="1"/>
  <c r="AR49" i="71" s="1"/>
  <c r="AO50" i="71"/>
  <c r="AQ50" i="71" s="1"/>
  <c r="AR50" i="71" s="1"/>
  <c r="AO51" i="71"/>
  <c r="AQ51" i="71" s="1"/>
  <c r="AR51" i="71" s="1"/>
  <c r="AO52" i="71"/>
  <c r="AQ52" i="71" s="1"/>
  <c r="AR52" i="71" s="1"/>
  <c r="AO53" i="71"/>
  <c r="AQ53" i="71" s="1"/>
  <c r="AR53" i="71" s="1"/>
  <c r="AO54" i="71"/>
  <c r="AQ54" i="71" s="1"/>
  <c r="AF56" i="71"/>
  <c r="AK56" i="71"/>
  <c r="AO56" i="71"/>
  <c r="M56" i="71"/>
  <c r="N56" i="71" s="1"/>
  <c r="M58" i="71"/>
  <c r="M57" i="71"/>
  <c r="M55" i="71"/>
  <c r="M6" i="71"/>
  <c r="V56" i="26" l="1"/>
  <c r="AA16" i="38"/>
  <c r="V57" i="26"/>
  <c r="V19" i="26"/>
  <c r="BA85" i="90"/>
  <c r="AA18" i="38"/>
  <c r="AA17" i="38" s="1"/>
  <c r="AA49" i="38" s="1"/>
  <c r="AP56" i="71"/>
  <c r="AP17" i="71"/>
  <c r="AP42" i="71"/>
  <c r="AP12" i="71"/>
  <c r="AQ12" i="71"/>
  <c r="AR12" i="71" s="1"/>
  <c r="AP19" i="71"/>
  <c r="AQ19" i="71"/>
  <c r="AR19" i="71" s="1"/>
  <c r="AP24" i="71"/>
  <c r="AP44" i="71"/>
  <c r="AP34" i="71"/>
  <c r="AP10" i="71"/>
  <c r="AP45" i="71"/>
  <c r="AP33" i="71"/>
  <c r="AP7" i="71"/>
  <c r="AP29" i="71"/>
  <c r="AP32" i="71"/>
  <c r="AP41" i="71"/>
  <c r="AA66" i="38"/>
  <c r="AA98" i="38" s="1"/>
  <c r="BC56" i="71"/>
  <c r="BG56" i="71" s="1"/>
  <c r="BK56" i="71" s="1"/>
  <c r="AP27" i="71"/>
  <c r="AP40" i="71"/>
  <c r="V13" i="26"/>
  <c r="AP39" i="71"/>
  <c r="AP36" i="71"/>
  <c r="V18" i="26"/>
  <c r="AQ56" i="71"/>
  <c r="AP38" i="71"/>
  <c r="Y43" i="72"/>
  <c r="AC43" i="72" s="1"/>
  <c r="AG43" i="72" s="1"/>
  <c r="AM43" i="72" s="1"/>
  <c r="AQ43" i="72" s="1"/>
  <c r="AU43" i="72" s="1"/>
  <c r="BC43" i="72" s="1"/>
  <c r="AP49" i="71"/>
  <c r="AP22" i="71"/>
  <c r="AP9" i="71"/>
  <c r="AP16" i="71"/>
  <c r="AP14" i="71"/>
  <c r="AP37" i="71"/>
  <c r="AP35" i="71"/>
  <c r="AP28" i="71"/>
  <c r="AP26" i="71"/>
  <c r="AP50" i="71"/>
  <c r="AP48" i="71"/>
  <c r="AP46" i="71"/>
  <c r="AP8" i="71"/>
  <c r="AP25" i="71"/>
  <c r="AP13" i="71"/>
  <c r="AP11" i="71"/>
  <c r="U85" i="90"/>
  <c r="AM85" i="90"/>
  <c r="BO56" i="71"/>
  <c r="W85" i="90"/>
  <c r="Y85" i="90" s="1"/>
  <c r="AP21" i="71"/>
  <c r="AP18" i="71"/>
  <c r="AP51" i="71"/>
  <c r="AP47" i="71"/>
  <c r="AP15" i="71"/>
  <c r="AP54" i="71"/>
  <c r="X56" i="71"/>
  <c r="AP53" i="71"/>
  <c r="AP20" i="71"/>
  <c r="AY56" i="71"/>
  <c r="AG74" i="45"/>
  <c r="AK74" i="45" s="1"/>
  <c r="AQ74" i="45" s="1"/>
  <c r="AU74" i="45" s="1"/>
  <c r="AY74" i="45" s="1"/>
  <c r="BG74" i="45" s="1"/>
  <c r="BI74" i="45" s="1"/>
  <c r="AP52" i="71"/>
  <c r="AG56" i="71"/>
  <c r="AD49" i="35"/>
  <c r="AD55" i="35" s="1"/>
  <c r="AB89" i="38"/>
  <c r="AB17" i="38"/>
  <c r="CU56" i="71"/>
  <c r="CC56" i="71"/>
  <c r="CQ56" i="71"/>
  <c r="BM7" i="71"/>
  <c r="BM8" i="71"/>
  <c r="BM9" i="71"/>
  <c r="W68" i="90" s="1"/>
  <c r="BM10" i="71"/>
  <c r="BM11" i="71"/>
  <c r="BM12" i="71"/>
  <c r="BM13" i="71"/>
  <c r="BM14" i="71"/>
  <c r="BM15" i="71"/>
  <c r="BM16" i="71"/>
  <c r="BM17" i="71"/>
  <c r="BM18" i="71"/>
  <c r="BM19" i="71"/>
  <c r="W69" i="90" s="1"/>
  <c r="BM20" i="71"/>
  <c r="W70" i="90" s="1"/>
  <c r="BM21" i="71"/>
  <c r="W71" i="90" s="1"/>
  <c r="BM22" i="71"/>
  <c r="W72" i="90" s="1"/>
  <c r="BM24" i="71"/>
  <c r="BM25" i="71"/>
  <c r="BM26" i="71"/>
  <c r="W73" i="90" s="1"/>
  <c r="BM27" i="71"/>
  <c r="BM28" i="71"/>
  <c r="BM29" i="71"/>
  <c r="BM32" i="71"/>
  <c r="BM33" i="71"/>
  <c r="BM34" i="71"/>
  <c r="BM35" i="71"/>
  <c r="BM36" i="71"/>
  <c r="BM37" i="71"/>
  <c r="W74" i="90" s="1"/>
  <c r="BM38" i="71"/>
  <c r="BM39" i="71"/>
  <c r="BM40" i="71"/>
  <c r="BM41" i="71"/>
  <c r="W76" i="90" s="1"/>
  <c r="BM42" i="71"/>
  <c r="W77" i="90" s="1"/>
  <c r="BM44" i="71"/>
  <c r="W78" i="90" s="1"/>
  <c r="BM45" i="71"/>
  <c r="BM46" i="71"/>
  <c r="W79" i="90" s="1"/>
  <c r="BM47" i="71"/>
  <c r="W80" i="90" s="1"/>
  <c r="BM48" i="71"/>
  <c r="W81" i="90" s="1"/>
  <c r="BM49" i="71"/>
  <c r="W82" i="90" s="1"/>
  <c r="BM50" i="71"/>
  <c r="W83" i="90" s="1"/>
  <c r="BM51" i="71"/>
  <c r="BM52" i="71"/>
  <c r="BM53" i="71"/>
  <c r="BM54" i="71"/>
  <c r="W84" i="90" s="1"/>
  <c r="BM55" i="71"/>
  <c r="BC85" i="90" l="1"/>
  <c r="BE85" i="90"/>
  <c r="BQ56" i="71"/>
  <c r="BU56" i="71" s="1"/>
  <c r="BY56" i="71" s="1"/>
  <c r="CE56" i="71" s="1"/>
  <c r="AR56" i="71"/>
  <c r="AA85" i="90"/>
  <c r="AI85" i="90"/>
  <c r="AO85" i="90"/>
  <c r="AS85" i="90" s="1"/>
  <c r="AW85" i="90" s="1"/>
  <c r="AE85" i="90"/>
  <c r="CS56" i="71"/>
  <c r="AB66" i="38"/>
  <c r="AB98" i="38" s="1"/>
  <c r="AB49" i="38"/>
  <c r="Z17" i="11"/>
  <c r="AB17" i="11" s="1"/>
  <c r="AF17" i="11" s="1"/>
  <c r="AJ17" i="11" s="1"/>
  <c r="AP17" i="11" s="1"/>
  <c r="AT17" i="11" s="1"/>
  <c r="AX17" i="11" s="1"/>
  <c r="BF17" i="11" s="1"/>
  <c r="G28" i="50"/>
  <c r="I28" i="50"/>
  <c r="M28" i="50"/>
  <c r="Q28" i="50"/>
  <c r="U28" i="50"/>
  <c r="AE28" i="50"/>
  <c r="AI28" i="50"/>
  <c r="AM28" i="50"/>
  <c r="AS28" i="50"/>
  <c r="AW28" i="50"/>
  <c r="BA28" i="50"/>
  <c r="CI56" i="71" l="1"/>
  <c r="CM56" i="71" s="1"/>
  <c r="O28" i="50"/>
  <c r="S28" i="50" s="1"/>
  <c r="W28" i="50" s="1"/>
  <c r="AO28" i="50"/>
  <c r="K28" i="50"/>
  <c r="BC28" i="50"/>
  <c r="AA28" i="50"/>
  <c r="AC28" i="50" l="1"/>
  <c r="AG28" i="50" s="1"/>
  <c r="AK28" i="50" s="1"/>
  <c r="AQ28" i="50" s="1"/>
  <c r="AU28" i="50" s="1"/>
  <c r="AY28" i="50" s="1"/>
  <c r="BG28" i="50" s="1"/>
  <c r="BH28" i="50" s="1"/>
  <c r="BE28" i="50"/>
  <c r="Y157" i="45"/>
  <c r="Y156" i="45"/>
  <c r="Y154" i="45"/>
  <c r="Y148" i="45"/>
  <c r="Y143" i="45"/>
  <c r="X143" i="45"/>
  <c r="Y142" i="45"/>
  <c r="X142" i="45"/>
  <c r="Y141" i="45"/>
  <c r="X141" i="45"/>
  <c r="Y140" i="45"/>
  <c r="X140" i="45"/>
  <c r="Y138" i="45"/>
  <c r="X138" i="45"/>
  <c r="Y136" i="45"/>
  <c r="X136" i="45"/>
  <c r="Y134" i="45"/>
  <c r="X134" i="45"/>
  <c r="Y131" i="45"/>
  <c r="X131" i="45"/>
  <c r="X132" i="45" s="1"/>
  <c r="Y129" i="45"/>
  <c r="Y122" i="45"/>
  <c r="Y159" i="45" s="1"/>
  <c r="Y121" i="45"/>
  <c r="Y144" i="45" s="1"/>
  <c r="X121" i="45"/>
  <c r="X144" i="45" s="1"/>
  <c r="Y120" i="45"/>
  <c r="Y158" i="45" s="1"/>
  <c r="Z45" i="11"/>
  <c r="Z46" i="11"/>
  <c r="Z47" i="11"/>
  <c r="Z48" i="11"/>
  <c r="Z49" i="11"/>
  <c r="Z50" i="11"/>
  <c r="Z51" i="11"/>
  <c r="Z52" i="11"/>
  <c r="Z53" i="11"/>
  <c r="Z54" i="11"/>
  <c r="Z8" i="11"/>
  <c r="Z9" i="11"/>
  <c r="Z10" i="11"/>
  <c r="Z11" i="11"/>
  <c r="Z12" i="11"/>
  <c r="Z13" i="11"/>
  <c r="Z14" i="11"/>
  <c r="Z15" i="11"/>
  <c r="Z16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X91" i="11"/>
  <c r="X89" i="11"/>
  <c r="X83" i="11"/>
  <c r="X78" i="11"/>
  <c r="W78" i="11"/>
  <c r="X77" i="11"/>
  <c r="W77" i="11"/>
  <c r="X76" i="11"/>
  <c r="W76" i="11"/>
  <c r="X75" i="11"/>
  <c r="W75" i="11"/>
  <c r="X73" i="11"/>
  <c r="W73" i="11"/>
  <c r="X71" i="11"/>
  <c r="W71" i="11"/>
  <c r="X69" i="11"/>
  <c r="W69" i="11"/>
  <c r="X66" i="11"/>
  <c r="W66" i="11"/>
  <c r="X64" i="11"/>
  <c r="X59" i="11"/>
  <c r="X57" i="11"/>
  <c r="X56" i="11"/>
  <c r="X55" i="11"/>
  <c r="Z8" i="10"/>
  <c r="Z9" i="10"/>
  <c r="Z10" i="10"/>
  <c r="Z11" i="10"/>
  <c r="Z13" i="10"/>
  <c r="Z14" i="10"/>
  <c r="Z15" i="10"/>
  <c r="Z16" i="10"/>
  <c r="Z17" i="10"/>
  <c r="Z18" i="10"/>
  <c r="Z19" i="10"/>
  <c r="Z20" i="10"/>
  <c r="Z23" i="10"/>
  <c r="Z26" i="10"/>
  <c r="Z27" i="10"/>
  <c r="Z28" i="10"/>
  <c r="Z29" i="10"/>
  <c r="Z30" i="10"/>
  <c r="Z31" i="10"/>
  <c r="Z33" i="10"/>
  <c r="Z34" i="10"/>
  <c r="Z35" i="10"/>
  <c r="Z36" i="10"/>
  <c r="Z37" i="10"/>
  <c r="Z38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8" i="10"/>
  <c r="Z69" i="10"/>
  <c r="Z70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7" i="10"/>
  <c r="Z109" i="10"/>
  <c r="Z110" i="10"/>
  <c r="Z111" i="10"/>
  <c r="Z112" i="10"/>
  <c r="Z113" i="10"/>
  <c r="Z115" i="10"/>
  <c r="Z116" i="10"/>
  <c r="Z117" i="10"/>
  <c r="Z118" i="10"/>
  <c r="Z119" i="10"/>
  <c r="Z120" i="10"/>
  <c r="Z121" i="10"/>
  <c r="Z122" i="10"/>
  <c r="Z123" i="10"/>
  <c r="Z124" i="10"/>
  <c r="Z125" i="10"/>
  <c r="Z126" i="10"/>
  <c r="Z127" i="10"/>
  <c r="Z129" i="10"/>
  <c r="Z130" i="10"/>
  <c r="Z131" i="10"/>
  <c r="Z132" i="10"/>
  <c r="Z133" i="10"/>
  <c r="Z134" i="10"/>
  <c r="Z135" i="10"/>
  <c r="Z136" i="10"/>
  <c r="Z137" i="10"/>
  <c r="Z138" i="10"/>
  <c r="Z139" i="10"/>
  <c r="Z140" i="10"/>
  <c r="Z141" i="10"/>
  <c r="Z143" i="10"/>
  <c r="Z144" i="10"/>
  <c r="Z145" i="10"/>
  <c r="Z146" i="10"/>
  <c r="Z147" i="10"/>
  <c r="Z148" i="10"/>
  <c r="Z149" i="10"/>
  <c r="Z150" i="10"/>
  <c r="Z151" i="10"/>
  <c r="X190" i="10"/>
  <c r="X188" i="10"/>
  <c r="X182" i="10"/>
  <c r="X189" i="10" s="1"/>
  <c r="X177" i="10"/>
  <c r="W177" i="10"/>
  <c r="X176" i="10"/>
  <c r="W176" i="10"/>
  <c r="X175" i="10"/>
  <c r="W175" i="10"/>
  <c r="X174" i="10"/>
  <c r="W174" i="10"/>
  <c r="X172" i="10"/>
  <c r="W172" i="10"/>
  <c r="X170" i="10"/>
  <c r="W170" i="10"/>
  <c r="X168" i="10"/>
  <c r="W168" i="10"/>
  <c r="X165" i="10"/>
  <c r="X166" i="10" s="1"/>
  <c r="W165" i="10"/>
  <c r="W166" i="10" s="1"/>
  <c r="X160" i="10"/>
  <c r="X192" i="10" s="1"/>
  <c r="W159" i="10"/>
  <c r="X159" i="10"/>
  <c r="X158" i="10"/>
  <c r="X95" i="9"/>
  <c r="X196" i="10" l="1"/>
  <c r="X210" i="10"/>
  <c r="Y132" i="45"/>
  <c r="Y155" i="45"/>
  <c r="Y126" i="45"/>
  <c r="X92" i="11"/>
  <c r="X61" i="11"/>
  <c r="X58" i="11"/>
  <c r="W67" i="11"/>
  <c r="X84" i="11"/>
  <c r="X93" i="11"/>
  <c r="X67" i="11"/>
  <c r="W173" i="10"/>
  <c r="W178" i="10"/>
  <c r="W203" i="10"/>
  <c r="X200" i="10"/>
  <c r="W158" i="10"/>
  <c r="W210" i="10" s="1"/>
  <c r="W161" i="10"/>
  <c r="X139" i="45"/>
  <c r="X124" i="45"/>
  <c r="Y123" i="45"/>
  <c r="Y124" i="45"/>
  <c r="Y125" i="45" s="1"/>
  <c r="Y139" i="45"/>
  <c r="X90" i="11"/>
  <c r="X85" i="11"/>
  <c r="X74" i="11"/>
  <c r="Y160" i="45"/>
  <c r="X123" i="45"/>
  <c r="Y149" i="45"/>
  <c r="X120" i="45"/>
  <c r="Y150" i="45"/>
  <c r="X79" i="11"/>
  <c r="X60" i="11"/>
  <c r="X183" i="10"/>
  <c r="X184" i="10"/>
  <c r="X173" i="10"/>
  <c r="X178" i="10"/>
  <c r="X161" i="10"/>
  <c r="X191" i="10"/>
  <c r="X193" i="10" s="1"/>
  <c r="W52" i="9"/>
  <c r="W101" i="9"/>
  <c r="X99" i="9"/>
  <c r="W99" i="9"/>
  <c r="X98" i="9"/>
  <c r="W98" i="9"/>
  <c r="X97" i="9"/>
  <c r="W97" i="9"/>
  <c r="X93" i="9"/>
  <c r="W76" i="9"/>
  <c r="W77" i="9" s="1"/>
  <c r="W74" i="9"/>
  <c r="X60" i="9"/>
  <c r="X57" i="9"/>
  <c r="W53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X94" i="11" l="1"/>
  <c r="X90" i="9"/>
  <c r="X96" i="9"/>
  <c r="X33" i="22"/>
  <c r="W132" i="26"/>
  <c r="X48" i="9"/>
  <c r="X49" i="9" s="1"/>
  <c r="X87" i="9" s="1"/>
  <c r="W89" i="90"/>
  <c r="X37" i="9"/>
  <c r="X62" i="9"/>
  <c r="W25" i="9"/>
  <c r="W88" i="9" s="1"/>
  <c r="X14" i="9"/>
  <c r="X100" i="9"/>
  <c r="X89" i="9"/>
  <c r="X94" i="9"/>
  <c r="W19" i="15" s="1"/>
  <c r="X91" i="9" l="1"/>
  <c r="X83" i="9"/>
  <c r="X76" i="9"/>
  <c r="X52" i="9"/>
  <c r="X53" i="9"/>
  <c r="X73" i="9"/>
  <c r="X75" i="9"/>
  <c r="X84" i="9"/>
  <c r="X82" i="9"/>
  <c r="X81" i="9"/>
  <c r="X80" i="9"/>
  <c r="X86" i="9"/>
  <c r="X85" i="9"/>
  <c r="X78" i="9"/>
  <c r="X72" i="9"/>
  <c r="X77" i="9" l="1"/>
  <c r="X74" i="9"/>
  <c r="X79" i="9" l="1"/>
  <c r="Z17" i="7"/>
  <c r="Y17" i="7" l="1"/>
  <c r="W34" i="35" l="1"/>
  <c r="W31" i="35"/>
  <c r="W56" i="11" s="1"/>
  <c r="W23" i="35"/>
  <c r="W25" i="35"/>
  <c r="W18" i="35"/>
  <c r="W16" i="35"/>
  <c r="V18" i="15" l="1"/>
  <c r="V15" i="15" s="1"/>
  <c r="V16" i="15" s="1"/>
  <c r="W5" i="9"/>
  <c r="W97" i="11"/>
  <c r="W55" i="11"/>
  <c r="W74" i="11"/>
  <c r="W58" i="11"/>
  <c r="W79" i="11"/>
  <c r="X109" i="8"/>
  <c r="X111" i="8" s="1"/>
  <c r="X94" i="8"/>
  <c r="X91" i="8"/>
  <c r="W91" i="8"/>
  <c r="X89" i="8"/>
  <c r="W89" i="8"/>
  <c r="X88" i="8"/>
  <c r="W88" i="8"/>
  <c r="W87" i="8"/>
  <c r="W82" i="8"/>
  <c r="X80" i="8"/>
  <c r="X76" i="8"/>
  <c r="W75" i="8"/>
  <c r="W74" i="8"/>
  <c r="W73" i="8"/>
  <c r="W72" i="8"/>
  <c r="W71" i="8"/>
  <c r="X68" i="8"/>
  <c r="X66" i="8"/>
  <c r="X64" i="8"/>
  <c r="X61" i="8"/>
  <c r="X58" i="8"/>
  <c r="X62" i="8" s="1"/>
  <c r="W52" i="8"/>
  <c r="X49" i="8"/>
  <c r="W49" i="8"/>
  <c r="W46" i="8"/>
  <c r="W45" i="8"/>
  <c r="W44" i="8"/>
  <c r="W43" i="8"/>
  <c r="W41" i="8"/>
  <c r="W40" i="8"/>
  <c r="W39" i="8"/>
  <c r="X26" i="8"/>
  <c r="X17" i="8"/>
  <c r="W17" i="8"/>
  <c r="W15" i="8"/>
  <c r="W14" i="8"/>
  <c r="X13" i="8"/>
  <c r="W13" i="8"/>
  <c r="X6" i="8"/>
  <c r="X6" i="49" s="1"/>
  <c r="W6" i="8"/>
  <c r="W113" i="7"/>
  <c r="W112" i="7"/>
  <c r="W111" i="7"/>
  <c r="W110" i="7"/>
  <c r="W109" i="7"/>
  <c r="W108" i="7"/>
  <c r="W107" i="7"/>
  <c r="W106" i="7"/>
  <c r="W85" i="7"/>
  <c r="X84" i="7"/>
  <c r="W84" i="7"/>
  <c r="X82" i="7"/>
  <c r="W82" i="7"/>
  <c r="X75" i="7"/>
  <c r="W75" i="7"/>
  <c r="X71" i="7"/>
  <c r="X73" i="7" s="1"/>
  <c r="W71" i="7"/>
  <c r="W73" i="7" s="1"/>
  <c r="X67" i="7"/>
  <c r="X81" i="7" s="1"/>
  <c r="W67" i="7"/>
  <c r="W81" i="7" s="1"/>
  <c r="X21" i="7"/>
  <c r="X41" i="7" s="1"/>
  <c r="X51" i="7" s="1"/>
  <c r="W21" i="7"/>
  <c r="W41" i="7" s="1"/>
  <c r="W51" i="7" s="1"/>
  <c r="W61" i="39"/>
  <c r="X43" i="22" s="1"/>
  <c r="W60" i="39"/>
  <c r="X42" i="22" s="1"/>
  <c r="W48" i="39"/>
  <c r="W47" i="39"/>
  <c r="W46" i="39"/>
  <c r="W43" i="39"/>
  <c r="W42" i="39"/>
  <c r="W8" i="39"/>
  <c r="X223" i="6"/>
  <c r="W223" i="6"/>
  <c r="X222" i="6"/>
  <c r="W222" i="6"/>
  <c r="W199" i="6"/>
  <c r="X198" i="6"/>
  <c r="W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31" i="6"/>
  <c r="W131" i="6"/>
  <c r="X130" i="6"/>
  <c r="W130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X45" i="6"/>
  <c r="W41" i="6"/>
  <c r="X34" i="6"/>
  <c r="X33" i="6"/>
  <c r="X32" i="6"/>
  <c r="X29" i="6"/>
  <c r="X26" i="6"/>
  <c r="X23" i="6"/>
  <c r="W18" i="6"/>
  <c r="W17" i="6"/>
  <c r="W16" i="6"/>
  <c r="W15" i="6"/>
  <c r="X9" i="6"/>
  <c r="X8" i="6"/>
  <c r="W7" i="6"/>
  <c r="W90" i="77"/>
  <c r="W89" i="77"/>
  <c r="W82" i="77"/>
  <c r="W80" i="77"/>
  <c r="W79" i="77"/>
  <c r="Z594" i="28"/>
  <c r="Z593" i="28"/>
  <c r="W522" i="28"/>
  <c r="X479" i="28"/>
  <c r="X473" i="28"/>
  <c r="X441" i="28"/>
  <c r="X429" i="28"/>
  <c r="W429" i="28"/>
  <c r="X413" i="28"/>
  <c r="X304" i="28"/>
  <c r="W304" i="28"/>
  <c r="X298" i="28"/>
  <c r="W298" i="28"/>
  <c r="X297" i="28"/>
  <c r="W297" i="28"/>
  <c r="X256" i="28"/>
  <c r="W256" i="28"/>
  <c r="X235" i="28"/>
  <c r="X233" i="28"/>
  <c r="X96" i="28"/>
  <c r="X95" i="28"/>
  <c r="X93" i="28"/>
  <c r="X89" i="28"/>
  <c r="X85" i="28"/>
  <c r="X81" i="28"/>
  <c r="W68" i="28"/>
  <c r="W67" i="28"/>
  <c r="W65" i="28"/>
  <c r="X56" i="28"/>
  <c r="X29" i="28"/>
  <c r="W23" i="28"/>
  <c r="X21" i="28"/>
  <c r="W15" i="28"/>
  <c r="X13" i="28"/>
  <c r="W7" i="28"/>
  <c r="X17" i="49"/>
  <c r="X18" i="49" s="1"/>
  <c r="X11" i="49"/>
  <c r="W11" i="49"/>
  <c r="X9" i="49"/>
  <c r="X8" i="49"/>
  <c r="Y127" i="73"/>
  <c r="Y131" i="73"/>
  <c r="Y132" i="73"/>
  <c r="W231" i="73"/>
  <c r="W229" i="73"/>
  <c r="W218" i="73"/>
  <c r="W42" i="77" s="1"/>
  <c r="W209" i="73"/>
  <c r="W198" i="73"/>
  <c r="W173" i="73"/>
  <c r="W160" i="73"/>
  <c r="W171" i="73" s="1"/>
  <c r="W130" i="73"/>
  <c r="W128" i="73"/>
  <c r="W126" i="73"/>
  <c r="W122" i="73"/>
  <c r="W118" i="73"/>
  <c r="W109" i="73"/>
  <c r="W102" i="73"/>
  <c r="W98" i="73"/>
  <c r="W57" i="73"/>
  <c r="W51" i="73"/>
  <c r="W46" i="73"/>
  <c r="W41" i="73"/>
  <c r="W30" i="73"/>
  <c r="W25" i="73"/>
  <c r="W18" i="73"/>
  <c r="X58" i="28" s="1"/>
  <c r="X60" i="28" s="1"/>
  <c r="W16" i="73"/>
  <c r="W118" i="90" s="1"/>
  <c r="W8" i="73"/>
  <c r="W6" i="73" l="1"/>
  <c r="W5" i="73" s="1"/>
  <c r="X46" i="28"/>
  <c r="X35" i="28" s="1"/>
  <c r="W37" i="77"/>
  <c r="W114" i="73"/>
  <c r="W85" i="8"/>
  <c r="W13" i="28"/>
  <c r="W236" i="28" s="1"/>
  <c r="X506" i="28"/>
  <c r="W21" i="28"/>
  <c r="W299" i="28" s="1"/>
  <c r="X16" i="8"/>
  <c r="W29" i="28"/>
  <c r="W414" i="28" s="1"/>
  <c r="X73" i="28"/>
  <c r="W22" i="39"/>
  <c r="X510" i="28"/>
  <c r="X414" i="28"/>
  <c r="X512" i="28" s="1"/>
  <c r="X65" i="8"/>
  <c r="X67" i="8"/>
  <c r="X514" i="28"/>
  <c r="X69" i="8"/>
  <c r="X74" i="8" s="1"/>
  <c r="X86" i="8"/>
  <c r="X236" i="28"/>
  <c r="X505" i="28" s="1"/>
  <c r="W59" i="7"/>
  <c r="W34" i="39"/>
  <c r="W30" i="6"/>
  <c r="W25" i="6"/>
  <c r="W31" i="7"/>
  <c r="W95" i="7" s="1"/>
  <c r="W58" i="7"/>
  <c r="W42" i="8"/>
  <c r="W6" i="49"/>
  <c r="W88" i="77"/>
  <c r="W27" i="7"/>
  <c r="W91" i="7" s="1"/>
  <c r="W28" i="7"/>
  <c r="W92" i="7" s="1"/>
  <c r="W29" i="7"/>
  <c r="W93" i="7" s="1"/>
  <c r="Z33" i="59" s="1"/>
  <c r="W12" i="15"/>
  <c r="W13" i="15" s="1"/>
  <c r="W14" i="15" s="1"/>
  <c r="W120" i="90"/>
  <c r="W124" i="90" s="1"/>
  <c r="W83" i="77"/>
  <c r="W30" i="7"/>
  <c r="W94" i="7" s="1"/>
  <c r="Z34" i="59" s="1"/>
  <c r="W32" i="7"/>
  <c r="W98" i="7" s="1"/>
  <c r="W33" i="7"/>
  <c r="W99" i="7" s="1"/>
  <c r="W34" i="7"/>
  <c r="W97" i="7" s="1"/>
  <c r="W23" i="7"/>
  <c r="W87" i="7" s="1"/>
  <c r="Z29" i="59" s="1"/>
  <c r="W36" i="7"/>
  <c r="W90" i="7" s="1"/>
  <c r="W24" i="7"/>
  <c r="W37" i="7"/>
  <c r="W103" i="7" s="1"/>
  <c r="W25" i="7"/>
  <c r="W54" i="7"/>
  <c r="W66" i="9"/>
  <c r="W33" i="22"/>
  <c r="V132" i="26"/>
  <c r="W68" i="9"/>
  <c r="W67" i="9"/>
  <c r="W69" i="9"/>
  <c r="W64" i="9"/>
  <c r="W63" i="9"/>
  <c r="W7" i="9"/>
  <c r="W92" i="9"/>
  <c r="W27" i="9"/>
  <c r="W58" i="9"/>
  <c r="W55" i="9"/>
  <c r="W70" i="9"/>
  <c r="W100" i="9"/>
  <c r="W65" i="9"/>
  <c r="W61" i="9"/>
  <c r="W59" i="9"/>
  <c r="W56" i="9"/>
  <c r="W95" i="9"/>
  <c r="W26" i="7"/>
  <c r="W56" i="7"/>
  <c r="W96" i="7" s="1"/>
  <c r="X299" i="28"/>
  <c r="X500" i="28" s="1"/>
  <c r="X490" i="28"/>
  <c r="X511" i="28"/>
  <c r="X97" i="28"/>
  <c r="X59" i="8"/>
  <c r="X138" i="6"/>
  <c r="X103" i="6"/>
  <c r="X35" i="6"/>
  <c r="X82" i="8"/>
  <c r="AA52" i="59" s="1"/>
  <c r="X23" i="7"/>
  <c r="X87" i="7" s="1"/>
  <c r="AA29" i="59" s="1"/>
  <c r="X32" i="7"/>
  <c r="X98" i="7" s="1"/>
  <c r="X29" i="7"/>
  <c r="X93" i="7" s="1"/>
  <c r="AA33" i="59" s="1"/>
  <c r="X26" i="7"/>
  <c r="X36" i="7"/>
  <c r="X90" i="7" s="1"/>
  <c r="W23" i="39"/>
  <c r="W78" i="7"/>
  <c r="W61" i="7"/>
  <c r="W102" i="7" s="1"/>
  <c r="W62" i="7"/>
  <c r="W57" i="7"/>
  <c r="W68" i="7"/>
  <c r="W121" i="6"/>
  <c r="W27" i="6"/>
  <c r="W168" i="6"/>
  <c r="W163" i="6"/>
  <c r="W16" i="8"/>
  <c r="X110" i="8"/>
  <c r="X112" i="8" s="1"/>
  <c r="X53" i="8" s="1"/>
  <c r="X72" i="8"/>
  <c r="X34" i="8"/>
  <c r="X43" i="8"/>
  <c r="X136" i="8" s="1"/>
  <c r="X46" i="8"/>
  <c r="X50" i="8"/>
  <c r="X51" i="8" s="1"/>
  <c r="W27" i="8"/>
  <c r="X41" i="8"/>
  <c r="X44" i="8"/>
  <c r="X137" i="8" s="1"/>
  <c r="X47" i="8"/>
  <c r="W23" i="8"/>
  <c r="W28" i="8"/>
  <c r="W92" i="8"/>
  <c r="W30" i="8"/>
  <c r="W24" i="8"/>
  <c r="W29" i="8"/>
  <c r="X39" i="8"/>
  <c r="X45" i="8"/>
  <c r="X92" i="8"/>
  <c r="W25" i="8"/>
  <c r="W50" i="8"/>
  <c r="W51" i="8" s="1"/>
  <c r="W31" i="8"/>
  <c r="X40" i="8"/>
  <c r="X24" i="7"/>
  <c r="X27" i="7"/>
  <c r="X91" i="7" s="1"/>
  <c r="X33" i="7"/>
  <c r="X99" i="7" s="1"/>
  <c r="X37" i="7"/>
  <c r="X103" i="7" s="1"/>
  <c r="X69" i="7"/>
  <c r="X25" i="7"/>
  <c r="X28" i="7"/>
  <c r="X92" i="7" s="1"/>
  <c r="X31" i="7"/>
  <c r="X95" i="7" s="1"/>
  <c r="AA35" i="59" s="1"/>
  <c r="X34" i="7"/>
  <c r="X97" i="7" s="1"/>
  <c r="W55" i="7"/>
  <c r="X58" i="7"/>
  <c r="X62" i="7"/>
  <c r="X78" i="7"/>
  <c r="X59" i="7"/>
  <c r="X56" i="7"/>
  <c r="X96" i="7" s="1"/>
  <c r="X30" i="7"/>
  <c r="X94" i="7" s="1"/>
  <c r="AA34" i="59" s="1"/>
  <c r="X61" i="7"/>
  <c r="X102" i="7" s="1"/>
  <c r="X55" i="7"/>
  <c r="W83" i="7"/>
  <c r="Z36" i="59" s="1"/>
  <c r="X83" i="7"/>
  <c r="AA36" i="59" s="1"/>
  <c r="W45" i="39"/>
  <c r="W49" i="39"/>
  <c r="W60" i="7"/>
  <c r="W76" i="7"/>
  <c r="W50" i="39"/>
  <c r="X54" i="7"/>
  <c r="X57" i="7"/>
  <c r="X60" i="7"/>
  <c r="X76" i="7"/>
  <c r="W138" i="6"/>
  <c r="W133" i="6"/>
  <c r="X57" i="6"/>
  <c r="W22" i="6"/>
  <c r="W31" i="6"/>
  <c r="W24" i="6"/>
  <c r="X121" i="6"/>
  <c r="W19" i="6"/>
  <c r="W21" i="6"/>
  <c r="W103" i="6"/>
  <c r="X133" i="6"/>
  <c r="W194" i="6"/>
  <c r="W28" i="6"/>
  <c r="W188" i="6"/>
  <c r="X74" i="28"/>
  <c r="X513" i="28"/>
  <c r="X72" i="28"/>
  <c r="X503" i="28"/>
  <c r="X507" i="28"/>
  <c r="W133" i="73"/>
  <c r="AA79" i="59"/>
  <c r="AA78" i="59"/>
  <c r="AA77" i="59"/>
  <c r="Z76" i="59"/>
  <c r="Z75" i="59"/>
  <c r="AA74" i="59"/>
  <c r="AA73" i="59"/>
  <c r="Z73" i="59"/>
  <c r="AA70" i="59"/>
  <c r="AA69" i="59"/>
  <c r="Z69" i="59"/>
  <c r="AA66" i="59"/>
  <c r="AA65" i="59"/>
  <c r="Z65" i="59"/>
  <c r="AA62" i="59"/>
  <c r="Z62" i="59"/>
  <c r="AA61" i="59"/>
  <c r="Z61" i="59"/>
  <c r="AA60" i="59"/>
  <c r="AA59" i="59"/>
  <c r="Z59" i="59"/>
  <c r="AA58" i="59"/>
  <c r="Z58" i="59"/>
  <c r="Z53" i="59"/>
  <c r="Z52" i="59"/>
  <c r="AA51" i="59"/>
  <c r="Z51" i="59"/>
  <c r="AA50" i="59"/>
  <c r="Z50" i="59"/>
  <c r="Z48" i="59"/>
  <c r="Z47" i="59"/>
  <c r="Z46" i="59"/>
  <c r="AA45" i="59"/>
  <c r="Z45" i="59"/>
  <c r="Z43" i="59"/>
  <c r="Z42" i="59"/>
  <c r="AA41" i="59"/>
  <c r="Z41" i="59"/>
  <c r="Z39" i="59"/>
  <c r="Z38" i="59"/>
  <c r="Z37" i="59"/>
  <c r="Z35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72" i="28" l="1"/>
  <c r="W73" i="28"/>
  <c r="X67" i="28"/>
  <c r="X37" i="28"/>
  <c r="W74" i="28"/>
  <c r="W87" i="28" s="1"/>
  <c r="W512" i="28" s="1"/>
  <c r="X440" i="28"/>
  <c r="X471" i="28" s="1"/>
  <c r="X48" i="28"/>
  <c r="X75" i="28" s="1"/>
  <c r="X501" i="28"/>
  <c r="X504" i="28"/>
  <c r="X509" i="28"/>
  <c r="W89" i="7"/>
  <c r="Z31" i="59" s="1"/>
  <c r="X69" i="28"/>
  <c r="AA48" i="59"/>
  <c r="X36" i="8"/>
  <c r="W83" i="28"/>
  <c r="W507" i="28" s="1"/>
  <c r="W509" i="28"/>
  <c r="W9" i="49"/>
  <c r="X98" i="28"/>
  <c r="X63" i="8"/>
  <c r="X71" i="8" s="1"/>
  <c r="X73" i="8"/>
  <c r="X37" i="8"/>
  <c r="X522" i="28"/>
  <c r="W513" i="28"/>
  <c r="W17" i="49"/>
  <c r="W18" i="49" s="1"/>
  <c r="X508" i="28"/>
  <c r="W505" i="28"/>
  <c r="W24" i="39"/>
  <c r="W101" i="7"/>
  <c r="Z32" i="59" s="1"/>
  <c r="W125" i="6"/>
  <c r="X107" i="6"/>
  <c r="X125" i="6"/>
  <c r="X173" i="6" s="1"/>
  <c r="AA22" i="59" s="1"/>
  <c r="W29" i="6"/>
  <c r="W26" i="6"/>
  <c r="X139" i="6"/>
  <c r="W32" i="6"/>
  <c r="W107" i="6"/>
  <c r="W88" i="7"/>
  <c r="Z49" i="59"/>
  <c r="AA46" i="59"/>
  <c r="W81" i="6"/>
  <c r="AA43" i="59"/>
  <c r="X123" i="8"/>
  <c r="AA47" i="59"/>
  <c r="X138" i="8"/>
  <c r="X139" i="8" s="1"/>
  <c r="W38" i="7"/>
  <c r="W53" i="7" s="1"/>
  <c r="W77" i="7" s="1"/>
  <c r="X101" i="7"/>
  <c r="AA32" i="59" s="1"/>
  <c r="W60" i="9"/>
  <c r="W94" i="77"/>
  <c r="W7" i="22"/>
  <c r="W21" i="22"/>
  <c r="W34" i="6"/>
  <c r="W57" i="9"/>
  <c r="X78" i="8"/>
  <c r="W6" i="26"/>
  <c r="X515" i="28"/>
  <c r="X42" i="8"/>
  <c r="X38" i="7"/>
  <c r="X53" i="7" s="1"/>
  <c r="X63" i="7" s="1"/>
  <c r="W51" i="39"/>
  <c r="W139" i="6"/>
  <c r="X52" i="8"/>
  <c r="W69" i="8"/>
  <c r="W8" i="49"/>
  <c r="W65" i="8"/>
  <c r="W26" i="8"/>
  <c r="W59" i="8"/>
  <c r="W109" i="8"/>
  <c r="W111" i="8" s="1"/>
  <c r="Z44" i="59"/>
  <c r="W67" i="8"/>
  <c r="X89" i="7"/>
  <c r="AA31" i="59" s="1"/>
  <c r="X88" i="7"/>
  <c r="AA30" i="59" s="1"/>
  <c r="W84" i="6"/>
  <c r="W33" i="6"/>
  <c r="W23" i="6"/>
  <c r="W79" i="28"/>
  <c r="W501" i="28"/>
  <c r="W72" i="36"/>
  <c r="W64" i="36" s="1"/>
  <c r="W71" i="36"/>
  <c r="W69" i="36"/>
  <c r="W61" i="36" s="1"/>
  <c r="W63" i="36" s="1"/>
  <c r="W67" i="36"/>
  <c r="W59" i="36" s="1"/>
  <c r="W66" i="36"/>
  <c r="W58" i="36" s="1"/>
  <c r="X64" i="36"/>
  <c r="X72" i="36" s="1"/>
  <c r="X62" i="36"/>
  <c r="X70" i="36" s="1"/>
  <c r="X61" i="36"/>
  <c r="X69" i="36" s="1"/>
  <c r="X59" i="36"/>
  <c r="X67" i="36" s="1"/>
  <c r="X58" i="36"/>
  <c r="X66" i="36" s="1"/>
  <c r="X57" i="36"/>
  <c r="X17" i="36" s="1"/>
  <c r="AA55" i="59" s="1"/>
  <c r="X56" i="36"/>
  <c r="X16" i="36" s="1"/>
  <c r="AA54" i="59" s="1"/>
  <c r="X33" i="36"/>
  <c r="X40" i="36" s="1"/>
  <c r="W33" i="36"/>
  <c r="W29" i="36"/>
  <c r="W28" i="36"/>
  <c r="W27" i="36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16" i="36"/>
  <c r="W13" i="36"/>
  <c r="Z40" i="59" s="1"/>
  <c r="X12" i="36"/>
  <c r="AA39" i="59" s="1"/>
  <c r="X11" i="36"/>
  <c r="AA38" i="59" s="1"/>
  <c r="X10" i="36"/>
  <c r="AA37" i="59" s="1"/>
  <c r="W9" i="36"/>
  <c r="Z10" i="59" s="1"/>
  <c r="W8" i="36"/>
  <c r="Z9" i="59" s="1"/>
  <c r="W7" i="36"/>
  <c r="Z8" i="59" s="1"/>
  <c r="W5" i="36"/>
  <c r="X28" i="21"/>
  <c r="W27" i="21"/>
  <c r="X24" i="21"/>
  <c r="X25" i="21" s="1"/>
  <c r="X18" i="21"/>
  <c r="X15" i="21"/>
  <c r="X12" i="21"/>
  <c r="W12" i="21"/>
  <c r="W22" i="21" s="1"/>
  <c r="X47" i="35"/>
  <c r="X46" i="35"/>
  <c r="X45" i="35"/>
  <c r="X44" i="35"/>
  <c r="X43" i="35"/>
  <c r="X42" i="35"/>
  <c r="W42" i="35"/>
  <c r="W41" i="35"/>
  <c r="X40" i="35"/>
  <c r="X39" i="35"/>
  <c r="W39" i="35"/>
  <c r="X36" i="35"/>
  <c r="X48" i="35" s="1"/>
  <c r="W36" i="35"/>
  <c r="W31" i="28" s="1"/>
  <c r="W33" i="35"/>
  <c r="X32" i="35"/>
  <c r="X31" i="35"/>
  <c r="X30" i="35"/>
  <c r="X203" i="10" s="1"/>
  <c r="X26" i="35"/>
  <c r="X34" i="36" s="1"/>
  <c r="W26" i="35"/>
  <c r="W26" i="21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6" s="1"/>
  <c r="W8" i="35"/>
  <c r="X7" i="35"/>
  <c r="X6" i="6" s="1"/>
  <c r="X6" i="35"/>
  <c r="X523" i="28" l="1"/>
  <c r="X491" i="28"/>
  <c r="X517" i="28" s="1"/>
  <c r="X70" i="28"/>
  <c r="X520" i="28"/>
  <c r="W508" i="28"/>
  <c r="X70" i="8"/>
  <c r="W28" i="21"/>
  <c r="W500" i="28"/>
  <c r="W10" i="49"/>
  <c r="W12" i="49" s="1"/>
  <c r="W36" i="8"/>
  <c r="W511" i="28"/>
  <c r="W104" i="7"/>
  <c r="W147" i="6"/>
  <c r="X35" i="8"/>
  <c r="W37" i="8"/>
  <c r="X143" i="6"/>
  <c r="X197" i="6" s="1"/>
  <c r="W63" i="8"/>
  <c r="X76" i="28"/>
  <c r="X521" i="28" s="1"/>
  <c r="Z30" i="59"/>
  <c r="W62" i="9"/>
  <c r="AA49" i="59"/>
  <c r="W63" i="7"/>
  <c r="W150" i="6"/>
  <c r="W143" i="6"/>
  <c r="W213" i="6" s="1"/>
  <c r="X175" i="6"/>
  <c r="X150" i="6"/>
  <c r="X148" i="6"/>
  <c r="AA15" i="59" s="1"/>
  <c r="X147" i="6"/>
  <c r="W148" i="6"/>
  <c r="X172" i="6"/>
  <c r="X174" i="6" s="1"/>
  <c r="X8" i="36" s="1"/>
  <c r="AA9" i="59" s="1"/>
  <c r="W175" i="6"/>
  <c r="W173" i="6"/>
  <c r="W172" i="6"/>
  <c r="AA42" i="59"/>
  <c r="AA44" i="59" s="1"/>
  <c r="X121" i="8"/>
  <c r="W35" i="6"/>
  <c r="W8" i="22"/>
  <c r="X35" i="36"/>
  <c r="X36" i="36" s="1"/>
  <c r="X38" i="36" s="1"/>
  <c r="X30" i="36" s="1"/>
  <c r="AA80" i="59" s="1"/>
  <c r="X41" i="36"/>
  <c r="X71" i="36"/>
  <c r="W68" i="36"/>
  <c r="W90" i="9"/>
  <c r="W19" i="9" s="1"/>
  <c r="Z55" i="59"/>
  <c r="V6" i="15"/>
  <c r="Z78" i="59"/>
  <c r="V5" i="15"/>
  <c r="Z77" i="59"/>
  <c r="V7" i="15"/>
  <c r="Z79" i="59"/>
  <c r="W13" i="49"/>
  <c r="Z6" i="59"/>
  <c r="W57" i="36"/>
  <c r="X77" i="7"/>
  <c r="W89" i="9"/>
  <c r="Z54" i="59"/>
  <c r="W22" i="22"/>
  <c r="W60" i="36"/>
  <c r="X516" i="28"/>
  <c r="X495" i="28"/>
  <c r="X494" i="28"/>
  <c r="X33" i="35"/>
  <c r="X37" i="35" s="1"/>
  <c r="X25" i="36" s="1"/>
  <c r="AA76" i="59" s="1"/>
  <c r="X41" i="35"/>
  <c r="X49" i="35" s="1"/>
  <c r="X97" i="11"/>
  <c r="X68" i="36"/>
  <c r="X18" i="36"/>
  <c r="AA56" i="59" s="1"/>
  <c r="X63" i="36"/>
  <c r="X60" i="36"/>
  <c r="X15" i="35"/>
  <c r="X16" i="6"/>
  <c r="X18" i="6"/>
  <c r="X8" i="35"/>
  <c r="X5" i="6"/>
  <c r="W37" i="28"/>
  <c r="W63" i="28"/>
  <c r="W34" i="36"/>
  <c r="W35" i="36" s="1"/>
  <c r="W36" i="36" s="1"/>
  <c r="W38" i="36" s="1"/>
  <c r="W30" i="36" s="1"/>
  <c r="Z80" i="59" s="1"/>
  <c r="W56" i="36"/>
  <c r="W110" i="8"/>
  <c r="W112" i="8" s="1"/>
  <c r="W11" i="35"/>
  <c r="W10" i="6" s="1"/>
  <c r="W9" i="6"/>
  <c r="W13" i="35"/>
  <c r="W14" i="35"/>
  <c r="X13" i="36"/>
  <c r="AA40" i="59" s="1"/>
  <c r="W34" i="8"/>
  <c r="X104" i="7"/>
  <c r="X13" i="49"/>
  <c r="AA6" i="59"/>
  <c r="W504" i="28"/>
  <c r="W503" i="28"/>
  <c r="X20" i="21"/>
  <c r="W15" i="21"/>
  <c r="W48" i="35"/>
  <c r="W49" i="35" s="1"/>
  <c r="W37" i="35"/>
  <c r="V109" i="9"/>
  <c r="W174" i="6" l="1"/>
  <c r="X218" i="6"/>
  <c r="X205" i="6"/>
  <c r="W91" i="9"/>
  <c r="X211" i="6"/>
  <c r="W35" i="8"/>
  <c r="X208" i="6"/>
  <c r="X217" i="6"/>
  <c r="W207" i="6"/>
  <c r="X206" i="6"/>
  <c r="X199" i="6"/>
  <c r="W69" i="28"/>
  <c r="X210" i="6"/>
  <c r="X216" i="6"/>
  <c r="W208" i="6"/>
  <c r="X204" i="6"/>
  <c r="X212" i="6"/>
  <c r="X203" i="6"/>
  <c r="X207" i="6"/>
  <c r="W216" i="6"/>
  <c r="W219" i="6" s="1"/>
  <c r="W149" i="6"/>
  <c r="X213" i="6"/>
  <c r="W204" i="6"/>
  <c r="X149" i="6"/>
  <c r="X7" i="36" s="1"/>
  <c r="AA8" i="59" s="1"/>
  <c r="W212" i="6"/>
  <c r="W211" i="6"/>
  <c r="W210" i="6"/>
  <c r="X19" i="36"/>
  <c r="AA57" i="59" s="1"/>
  <c r="W205" i="6"/>
  <c r="W206" i="6"/>
  <c r="W203" i="6"/>
  <c r="X122" i="8"/>
  <c r="X126" i="8" s="1"/>
  <c r="X127" i="8" s="1"/>
  <c r="X124" i="8"/>
  <c r="W15" i="35"/>
  <c r="W24" i="22"/>
  <c r="W10" i="22"/>
  <c r="W14" i="49"/>
  <c r="W15" i="49" s="1"/>
  <c r="W16" i="49" s="1"/>
  <c r="W19" i="49" s="1"/>
  <c r="W20" i="49" s="1"/>
  <c r="X55" i="35"/>
  <c r="X189" i="6"/>
  <c r="X194" i="6"/>
  <c r="X17" i="6"/>
  <c r="X7" i="6"/>
  <c r="X15" i="6"/>
  <c r="W491" i="28"/>
  <c r="W75" i="28"/>
  <c r="W55" i="35"/>
  <c r="T76" i="77"/>
  <c r="S82" i="77"/>
  <c r="X214" i="6" l="1"/>
  <c r="AA11" i="59" s="1"/>
  <c r="W214" i="6"/>
  <c r="W209" i="6"/>
  <c r="X209" i="6"/>
  <c r="X219" i="6"/>
  <c r="W517" i="28"/>
  <c r="W520" i="28"/>
  <c r="X131" i="8"/>
  <c r="X144" i="8" s="1"/>
  <c r="X132" i="8"/>
  <c r="X145" i="8" s="1"/>
  <c r="X130" i="8"/>
  <c r="W11" i="22"/>
  <c r="W25" i="22"/>
  <c r="W215" i="6"/>
  <c r="W220" i="6" s="1"/>
  <c r="X19" i="6"/>
  <c r="X168" i="6"/>
  <c r="X164" i="6"/>
  <c r="W91" i="28"/>
  <c r="W76" i="28"/>
  <c r="W494" i="28"/>
  <c r="X215" i="6"/>
  <c r="AZ198" i="73"/>
  <c r="AV198" i="73"/>
  <c r="AT198" i="73"/>
  <c r="AR198" i="73"/>
  <c r="AN198" i="73"/>
  <c r="AL198" i="73"/>
  <c r="AJ198" i="73"/>
  <c r="AH198" i="73"/>
  <c r="AF198" i="73"/>
  <c r="AD198" i="73"/>
  <c r="AB198" i="73"/>
  <c r="X198" i="73"/>
  <c r="V198" i="73"/>
  <c r="T198" i="73"/>
  <c r="S198" i="73"/>
  <c r="R198" i="73"/>
  <c r="P198" i="73"/>
  <c r="O198" i="73"/>
  <c r="N198" i="73"/>
  <c r="L198" i="73"/>
  <c r="K198" i="73"/>
  <c r="J198" i="73"/>
  <c r="H198" i="73"/>
  <c r="G198" i="73"/>
  <c r="E198" i="73"/>
  <c r="Z71" i="10"/>
  <c r="T54" i="10"/>
  <c r="Z54" i="10" s="1"/>
  <c r="T39" i="10"/>
  <c r="T25" i="10"/>
  <c r="Z25" i="10" s="1"/>
  <c r="T24" i="10"/>
  <c r="T32" i="10"/>
  <c r="T12" i="10"/>
  <c r="X220" i="6" l="1"/>
  <c r="W495" i="28"/>
  <c r="W521" i="28"/>
  <c r="X84" i="6"/>
  <c r="Y198" i="73"/>
  <c r="X81" i="6"/>
  <c r="X133" i="8"/>
  <c r="X146" i="8" s="1"/>
  <c r="X143" i="8"/>
  <c r="T199" i="10"/>
  <c r="W27" i="22"/>
  <c r="W13" i="22"/>
  <c r="Z12" i="10"/>
  <c r="X37" i="6"/>
  <c r="X38" i="6"/>
  <c r="X39" i="6"/>
  <c r="X40" i="6"/>
  <c r="W516" i="28"/>
  <c r="W95" i="28"/>
  <c r="W515" i="28"/>
  <c r="X9" i="36"/>
  <c r="AA10" i="59" s="1"/>
  <c r="X41" i="6" l="1"/>
  <c r="Z71" i="28"/>
  <c r="Z77" i="28"/>
  <c r="Z78" i="28"/>
  <c r="Z79" i="28"/>
  <c r="Z80" i="28"/>
  <c r="Z82" i="28"/>
  <c r="Z83" i="28"/>
  <c r="Z84" i="28"/>
  <c r="Z86" i="28"/>
  <c r="Z87" i="28"/>
  <c r="Z88" i="28"/>
  <c r="Z90" i="28"/>
  <c r="Z91" i="28"/>
  <c r="Z92" i="28"/>
  <c r="Z94" i="28"/>
  <c r="Z99" i="28"/>
  <c r="Z100" i="28"/>
  <c r="Z101" i="28"/>
  <c r="Z102" i="28"/>
  <c r="Z103" i="28"/>
  <c r="Z104" i="28"/>
  <c r="Z105" i="28"/>
  <c r="Z106" i="28"/>
  <c r="Z107" i="28"/>
  <c r="Z108" i="28"/>
  <c r="Z110" i="28"/>
  <c r="Z111" i="28"/>
  <c r="Z112" i="28"/>
  <c r="Z113" i="28"/>
  <c r="Z114" i="28"/>
  <c r="Z115" i="28"/>
  <c r="Z116" i="28"/>
  <c r="Z117" i="28"/>
  <c r="Z118" i="28"/>
  <c r="Z120" i="28"/>
  <c r="Z121" i="28"/>
  <c r="Z122" i="28"/>
  <c r="Z123" i="28"/>
  <c r="Z124" i="28"/>
  <c r="Z125" i="28"/>
  <c r="Z126" i="28"/>
  <c r="Z127" i="28"/>
  <c r="Z128" i="28"/>
  <c r="Z129" i="28"/>
  <c r="Z130" i="28"/>
  <c r="Z131" i="28"/>
  <c r="Z132" i="28"/>
  <c r="Z133" i="28"/>
  <c r="Z134" i="28"/>
  <c r="Z135" i="28"/>
  <c r="Z136" i="28"/>
  <c r="Z137" i="28"/>
  <c r="Z138" i="28"/>
  <c r="Z139" i="28"/>
  <c r="Z140" i="28"/>
  <c r="Z141" i="28"/>
  <c r="Z142" i="28"/>
  <c r="Z143" i="28"/>
  <c r="Z144" i="28"/>
  <c r="Z145" i="28"/>
  <c r="Z146" i="28"/>
  <c r="Z147" i="28"/>
  <c r="Z148" i="28"/>
  <c r="Z149" i="28"/>
  <c r="Z150" i="28"/>
  <c r="Z151" i="28"/>
  <c r="Z152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Z174" i="28"/>
  <c r="Z175" i="28"/>
  <c r="Z176" i="28"/>
  <c r="Z177" i="28"/>
  <c r="Z178" i="28"/>
  <c r="Z179" i="28"/>
  <c r="Z180" i="28"/>
  <c r="Z181" i="28"/>
  <c r="Z183" i="28"/>
  <c r="Z184" i="28"/>
  <c r="Z185" i="28"/>
  <c r="Z186" i="28"/>
  <c r="Z187" i="28"/>
  <c r="Z188" i="28"/>
  <c r="Z189" i="28"/>
  <c r="Z190" i="28"/>
  <c r="Z191" i="28"/>
  <c r="Z192" i="28"/>
  <c r="Z193" i="28"/>
  <c r="Z194" i="28"/>
  <c r="Z195" i="28"/>
  <c r="Z196" i="28"/>
  <c r="Z197" i="28"/>
  <c r="Z198" i="28"/>
  <c r="Z199" i="28"/>
  <c r="Z200" i="28"/>
  <c r="Z201" i="28"/>
  <c r="Z202" i="28"/>
  <c r="Z203" i="28"/>
  <c r="Z204" i="28"/>
  <c r="Z205" i="28"/>
  <c r="Z206" i="28"/>
  <c r="Z207" i="28"/>
  <c r="Z208" i="28"/>
  <c r="Z209" i="28"/>
  <c r="Z210" i="28"/>
  <c r="Z211" i="28"/>
  <c r="Z212" i="28"/>
  <c r="Z213" i="28"/>
  <c r="Z214" i="28"/>
  <c r="Z215" i="28"/>
  <c r="Z216" i="28"/>
  <c r="Z217" i="28"/>
  <c r="Z220" i="28"/>
  <c r="Z221" i="28"/>
  <c r="Z222" i="28"/>
  <c r="Z223" i="28"/>
  <c r="Z224" i="28"/>
  <c r="Z225" i="28"/>
  <c r="Z226" i="28"/>
  <c r="Z227" i="28"/>
  <c r="Z228" i="28"/>
  <c r="Z229" i="28"/>
  <c r="Z230" i="28"/>
  <c r="Z231" i="28"/>
  <c r="Z232" i="28"/>
  <c r="Z237" i="28"/>
  <c r="Z238" i="28"/>
  <c r="Z239" i="28"/>
  <c r="Z244" i="28"/>
  <c r="Z245" i="28"/>
  <c r="Z246" i="28"/>
  <c r="Z247" i="28"/>
  <c r="Z248" i="28"/>
  <c r="Z249" i="28"/>
  <c r="Z250" i="28"/>
  <c r="Z251" i="28"/>
  <c r="Z252" i="28"/>
  <c r="Z253" i="28"/>
  <c r="Z254" i="28"/>
  <c r="Z255" i="28"/>
  <c r="Z257" i="28"/>
  <c r="Z258" i="28"/>
  <c r="Z259" i="28"/>
  <c r="Z260" i="28"/>
  <c r="Z262" i="28"/>
  <c r="Z263" i="28"/>
  <c r="Z264" i="28"/>
  <c r="Z265" i="28"/>
  <c r="Z266" i="28"/>
  <c r="Z267" i="28"/>
  <c r="Z268" i="28"/>
  <c r="Z270" i="28"/>
  <c r="Z271" i="28"/>
  <c r="Z272" i="28"/>
  <c r="Z273" i="28"/>
  <c r="Z274" i="28"/>
  <c r="Z275" i="28"/>
  <c r="Z276" i="28"/>
  <c r="Z277" i="28"/>
  <c r="Z278" i="28"/>
  <c r="Z279" i="28"/>
  <c r="Z280" i="28"/>
  <c r="Z281" i="28"/>
  <c r="Z282" i="28"/>
  <c r="Z283" i="28"/>
  <c r="Z284" i="28"/>
  <c r="Z285" i="28"/>
  <c r="Z286" i="28"/>
  <c r="Z287" i="28"/>
  <c r="Z288" i="28"/>
  <c r="Z289" i="28"/>
  <c r="Z290" i="28"/>
  <c r="Z291" i="28"/>
  <c r="Z292" i="28"/>
  <c r="Z293" i="28"/>
  <c r="Z294" i="28"/>
  <c r="Z296" i="28"/>
  <c r="Z300" i="28"/>
  <c r="Z301" i="28"/>
  <c r="Z302" i="28"/>
  <c r="Z303" i="28"/>
  <c r="Z305" i="28"/>
  <c r="Z306" i="28"/>
  <c r="Z307" i="28"/>
  <c r="Z308" i="28"/>
  <c r="Z309" i="28"/>
  <c r="Z310" i="28"/>
  <c r="Z311" i="28"/>
  <c r="Z312" i="28"/>
  <c r="Z313" i="28"/>
  <c r="Z314" i="28"/>
  <c r="Z315" i="28"/>
  <c r="Z316" i="28"/>
  <c r="Z317" i="28"/>
  <c r="Z318" i="28"/>
  <c r="Z319" i="28"/>
  <c r="Z320" i="28"/>
  <c r="Z321" i="28"/>
  <c r="Z322" i="28"/>
  <c r="Z323" i="28"/>
  <c r="Z324" i="28"/>
  <c r="Z325" i="28"/>
  <c r="Z326" i="28"/>
  <c r="Z327" i="28"/>
  <c r="Z328" i="28"/>
  <c r="Z329" i="28"/>
  <c r="Z330" i="28"/>
  <c r="Z331" i="28"/>
  <c r="Z332" i="28"/>
  <c r="Z333" i="28"/>
  <c r="Z334" i="28"/>
  <c r="Z335" i="28"/>
  <c r="Z336" i="28"/>
  <c r="Z338" i="28"/>
  <c r="Z339" i="28"/>
  <c r="Z341" i="28"/>
  <c r="Z342" i="28"/>
  <c r="Z343" i="28"/>
  <c r="Z344" i="28"/>
  <c r="Z345" i="28"/>
  <c r="Z346" i="28"/>
  <c r="Z347" i="28"/>
  <c r="Z348" i="28"/>
  <c r="Z350" i="28"/>
  <c r="Z351" i="28"/>
  <c r="Z352" i="28"/>
  <c r="Z353" i="28"/>
  <c r="Z354" i="28"/>
  <c r="Z355" i="28"/>
  <c r="Z356" i="28"/>
  <c r="Z357" i="28"/>
  <c r="Z358" i="28"/>
  <c r="Z359" i="28"/>
  <c r="Z360" i="28"/>
  <c r="Z361" i="28"/>
  <c r="Z362" i="28"/>
  <c r="Z363" i="28"/>
  <c r="Z364" i="28"/>
  <c r="Z365" i="28"/>
  <c r="Z366" i="28"/>
  <c r="Z367" i="28"/>
  <c r="Z368" i="28"/>
  <c r="Z369" i="28"/>
  <c r="Z370" i="28"/>
  <c r="Z371" i="28"/>
  <c r="Z372" i="28"/>
  <c r="Z373" i="28"/>
  <c r="Z374" i="28"/>
  <c r="Z375" i="28"/>
  <c r="Z376" i="28"/>
  <c r="Z377" i="28"/>
  <c r="Z378" i="28"/>
  <c r="Z379" i="28"/>
  <c r="Z380" i="28"/>
  <c r="Z381" i="28"/>
  <c r="Z392" i="28"/>
  <c r="Z393" i="28"/>
  <c r="Z394" i="28"/>
  <c r="Z395" i="28"/>
  <c r="Z398" i="28"/>
  <c r="Z399" i="28"/>
  <c r="Z400" i="28"/>
  <c r="Z401" i="28"/>
  <c r="Z402" i="28"/>
  <c r="Z403" i="28"/>
  <c r="Z405" i="28"/>
  <c r="Z406" i="28"/>
  <c r="Z407" i="28"/>
  <c r="Z408" i="28"/>
  <c r="Z409" i="28"/>
  <c r="Z410" i="28"/>
  <c r="Z411" i="28"/>
  <c r="Z412" i="28"/>
  <c r="Z415" i="28"/>
  <c r="Z416" i="28"/>
  <c r="Z417" i="28"/>
  <c r="Z418" i="28"/>
  <c r="Z419" i="28"/>
  <c r="Z420" i="28"/>
  <c r="Z421" i="28"/>
  <c r="Z422" i="28"/>
  <c r="Z423" i="28"/>
  <c r="Z424" i="28"/>
  <c r="Z425" i="28"/>
  <c r="Z426" i="28"/>
  <c r="Z427" i="28"/>
  <c r="Z428" i="28"/>
  <c r="Z430" i="28"/>
  <c r="Z431" i="28"/>
  <c r="Z436" i="28"/>
  <c r="Z437" i="28"/>
  <c r="Z438" i="28"/>
  <c r="Z439" i="28"/>
  <c r="Z442" i="28"/>
  <c r="Z443" i="28"/>
  <c r="Z444" i="28"/>
  <c r="Z445" i="28"/>
  <c r="Z446" i="28"/>
  <c r="Z447" i="28"/>
  <c r="Z448" i="28"/>
  <c r="Z449" i="28"/>
  <c r="Z450" i="28"/>
  <c r="Z451" i="28"/>
  <c r="Z452" i="28"/>
  <c r="Z453" i="28"/>
  <c r="Z454" i="28"/>
  <c r="Z455" i="28"/>
  <c r="Z456" i="28"/>
  <c r="Z457" i="28"/>
  <c r="Z458" i="28"/>
  <c r="Z459" i="28"/>
  <c r="Z460" i="28"/>
  <c r="Z461" i="28"/>
  <c r="Z462" i="28"/>
  <c r="Z463" i="28"/>
  <c r="Z464" i="28"/>
  <c r="Z465" i="28"/>
  <c r="Z466" i="28"/>
  <c r="Z467" i="28"/>
  <c r="Z468" i="28"/>
  <c r="Z469" i="28"/>
  <c r="Z470" i="28"/>
  <c r="Z472" i="28"/>
  <c r="Z474" i="28"/>
  <c r="Z477" i="28"/>
  <c r="Z478" i="28"/>
  <c r="Z480" i="28"/>
  <c r="Z481" i="28"/>
  <c r="Z482" i="28"/>
  <c r="Z483" i="28"/>
  <c r="Z484" i="28"/>
  <c r="Z485" i="28"/>
  <c r="Z486" i="28"/>
  <c r="Z487" i="28"/>
  <c r="Z488" i="28"/>
  <c r="Z489" i="28"/>
  <c r="Z492" i="28"/>
  <c r="Z493" i="28"/>
  <c r="Z496" i="28"/>
  <c r="Z497" i="28"/>
  <c r="Z498" i="28"/>
  <c r="Z499" i="28"/>
  <c r="Z502" i="28"/>
  <c r="Z518" i="28"/>
  <c r="Z519" i="28"/>
  <c r="Z524" i="28"/>
  <c r="Z525" i="28"/>
  <c r="Z526" i="28"/>
  <c r="Z527" i="28"/>
  <c r="Z528" i="28"/>
  <c r="Z529" i="28"/>
  <c r="Z530" i="28"/>
  <c r="Z531" i="28"/>
  <c r="Z532" i="28"/>
  <c r="Z533" i="28"/>
  <c r="Z534" i="28"/>
  <c r="Z535" i="28"/>
  <c r="Z536" i="28"/>
  <c r="Z537" i="28"/>
  <c r="Z538" i="28"/>
  <c r="Z539" i="28"/>
  <c r="Z540" i="28"/>
  <c r="Z541" i="28"/>
  <c r="Z542" i="28"/>
  <c r="Z543" i="28"/>
  <c r="Z544" i="28"/>
  <c r="Z545" i="28"/>
  <c r="Z546" i="28"/>
  <c r="Z547" i="28"/>
  <c r="Z548" i="28"/>
  <c r="Z549" i="28"/>
  <c r="Z550" i="28"/>
  <c r="Z551" i="28"/>
  <c r="Z552" i="28"/>
  <c r="Z553" i="28"/>
  <c r="Z554" i="28"/>
  <c r="Z555" i="28"/>
  <c r="Z556" i="28"/>
  <c r="Z557" i="28"/>
  <c r="Z558" i="28"/>
  <c r="Z559" i="28"/>
  <c r="Z560" i="28"/>
  <c r="Z561" i="28"/>
  <c r="Z562" i="28"/>
  <c r="Z563" i="28"/>
  <c r="Z564" i="28"/>
  <c r="Z565" i="28"/>
  <c r="Z566" i="28"/>
  <c r="Z567" i="28"/>
  <c r="Z568" i="28"/>
  <c r="Z569" i="28"/>
  <c r="Z570" i="28"/>
  <c r="Z571" i="28"/>
  <c r="Z572" i="28"/>
  <c r="Z573" i="28"/>
  <c r="Z574" i="28"/>
  <c r="Z575" i="28"/>
  <c r="Z576" i="28"/>
  <c r="Z577" i="28"/>
  <c r="Z578" i="28"/>
  <c r="Z579" i="28"/>
  <c r="Z580" i="28"/>
  <c r="Z581" i="28"/>
  <c r="Z582" i="28"/>
  <c r="Z583" i="28"/>
  <c r="Z584" i="28"/>
  <c r="Z585" i="28"/>
  <c r="Z586" i="28"/>
  <c r="Z587" i="28"/>
  <c r="Z588" i="28"/>
  <c r="Z589" i="28"/>
  <c r="Z590" i="28"/>
  <c r="Z591" i="28"/>
  <c r="J71" i="28"/>
  <c r="N71" i="28" s="1"/>
  <c r="J77" i="28"/>
  <c r="N77" i="28" s="1"/>
  <c r="J78" i="28"/>
  <c r="N78" i="28" s="1"/>
  <c r="J79" i="28"/>
  <c r="N79" i="28" s="1"/>
  <c r="J80" i="28"/>
  <c r="N80" i="28" s="1"/>
  <c r="R80" i="28" s="1"/>
  <c r="V80" i="28" s="1"/>
  <c r="J82" i="28"/>
  <c r="N82" i="28" s="1"/>
  <c r="J83" i="28"/>
  <c r="N83" i="28" s="1"/>
  <c r="J84" i="28"/>
  <c r="N84" i="28" s="1"/>
  <c r="R84" i="28" s="1"/>
  <c r="V84" i="28" s="1"/>
  <c r="J86" i="28"/>
  <c r="N86" i="28" s="1"/>
  <c r="J87" i="28"/>
  <c r="N87" i="28" s="1"/>
  <c r="J88" i="28"/>
  <c r="N88" i="28" s="1"/>
  <c r="R88" i="28" s="1"/>
  <c r="V88" i="28" s="1"/>
  <c r="J90" i="28"/>
  <c r="N90" i="28" s="1"/>
  <c r="J91" i="28"/>
  <c r="N91" i="28" s="1"/>
  <c r="J92" i="28"/>
  <c r="N92" i="28" s="1"/>
  <c r="R92" i="28" s="1"/>
  <c r="V92" i="28" s="1"/>
  <c r="J94" i="28"/>
  <c r="N94" i="28" s="1"/>
  <c r="J99" i="28"/>
  <c r="N99" i="28" s="1"/>
  <c r="J100" i="28"/>
  <c r="N100" i="28" s="1"/>
  <c r="J101" i="28"/>
  <c r="N101" i="28" s="1"/>
  <c r="J102" i="28"/>
  <c r="N102" i="28" s="1"/>
  <c r="J103" i="28"/>
  <c r="N103" i="28" s="1"/>
  <c r="J104" i="28"/>
  <c r="N104" i="28" s="1"/>
  <c r="J105" i="28"/>
  <c r="N105" i="28" s="1"/>
  <c r="R105" i="28" s="1"/>
  <c r="V105" i="28" s="1"/>
  <c r="J106" i="28"/>
  <c r="N106" i="28" s="1"/>
  <c r="R106" i="28" s="1"/>
  <c r="V106" i="28" s="1"/>
  <c r="J107" i="28"/>
  <c r="N107" i="28" s="1"/>
  <c r="J108" i="28"/>
  <c r="N108" i="28" s="1"/>
  <c r="J110" i="28"/>
  <c r="N110" i="28" s="1"/>
  <c r="R110" i="28" s="1"/>
  <c r="V110" i="28" s="1"/>
  <c r="J111" i="28"/>
  <c r="N111" i="28" s="1"/>
  <c r="J112" i="28"/>
  <c r="N112" i="28" s="1"/>
  <c r="J113" i="28"/>
  <c r="N113" i="28" s="1"/>
  <c r="J114" i="28"/>
  <c r="N114" i="28" s="1"/>
  <c r="J115" i="28"/>
  <c r="N115" i="28" s="1"/>
  <c r="J116" i="28"/>
  <c r="N116" i="28" s="1"/>
  <c r="J117" i="28"/>
  <c r="N117" i="28" s="1"/>
  <c r="J118" i="28"/>
  <c r="N118" i="28" s="1"/>
  <c r="J120" i="28"/>
  <c r="N120" i="28" s="1"/>
  <c r="J121" i="28"/>
  <c r="N121" i="28" s="1"/>
  <c r="J122" i="28"/>
  <c r="N122" i="28" s="1"/>
  <c r="J123" i="28"/>
  <c r="N123" i="28" s="1"/>
  <c r="J124" i="28"/>
  <c r="N124" i="28" s="1"/>
  <c r="J125" i="28"/>
  <c r="N125" i="28" s="1"/>
  <c r="J126" i="28"/>
  <c r="N126" i="28" s="1"/>
  <c r="J127" i="28"/>
  <c r="N127" i="28" s="1"/>
  <c r="R127" i="28" s="1"/>
  <c r="V127" i="28" s="1"/>
  <c r="J128" i="28"/>
  <c r="N128" i="28" s="1"/>
  <c r="J129" i="28"/>
  <c r="N129" i="28" s="1"/>
  <c r="J130" i="28"/>
  <c r="N130" i="28" s="1"/>
  <c r="J131" i="28"/>
  <c r="N131" i="28" s="1"/>
  <c r="R131" i="28" s="1"/>
  <c r="V131" i="28" s="1"/>
  <c r="J132" i="28"/>
  <c r="N132" i="28" s="1"/>
  <c r="J133" i="28"/>
  <c r="N133" i="28" s="1"/>
  <c r="J134" i="28"/>
  <c r="N134" i="28" s="1"/>
  <c r="J135" i="28"/>
  <c r="N135" i="28" s="1"/>
  <c r="R135" i="28" s="1"/>
  <c r="V135" i="28" s="1"/>
  <c r="J136" i="28"/>
  <c r="N136" i="28" s="1"/>
  <c r="J137" i="28"/>
  <c r="N137" i="28" s="1"/>
  <c r="J138" i="28"/>
  <c r="N138" i="28" s="1"/>
  <c r="J139" i="28"/>
  <c r="N139" i="28" s="1"/>
  <c r="J140" i="28"/>
  <c r="N140" i="28" s="1"/>
  <c r="J141" i="28"/>
  <c r="N141" i="28" s="1"/>
  <c r="R141" i="28" s="1"/>
  <c r="V141" i="28" s="1"/>
  <c r="J142" i="28"/>
  <c r="N142" i="28" s="1"/>
  <c r="J143" i="28"/>
  <c r="N143" i="28" s="1"/>
  <c r="J144" i="28"/>
  <c r="N144" i="28" s="1"/>
  <c r="J145" i="28"/>
  <c r="N145" i="28" s="1"/>
  <c r="J146" i="28"/>
  <c r="N146" i="28" s="1"/>
  <c r="J147" i="28"/>
  <c r="N147" i="28" s="1"/>
  <c r="R147" i="28" s="1"/>
  <c r="V147" i="28" s="1"/>
  <c r="J148" i="28"/>
  <c r="N148" i="28" s="1"/>
  <c r="R148" i="28" s="1"/>
  <c r="V148" i="28" s="1"/>
  <c r="J149" i="28"/>
  <c r="N149" i="28" s="1"/>
  <c r="J150" i="28"/>
  <c r="N150" i="28" s="1"/>
  <c r="J151" i="28"/>
  <c r="N151" i="28" s="1"/>
  <c r="R151" i="28" s="1"/>
  <c r="V151" i="28" s="1"/>
  <c r="J152" i="28"/>
  <c r="N152" i="28" s="1"/>
  <c r="J153" i="28"/>
  <c r="N153" i="28" s="1"/>
  <c r="J154" i="28"/>
  <c r="N154" i="28" s="1"/>
  <c r="J155" i="28"/>
  <c r="N155" i="28" s="1"/>
  <c r="J156" i="28"/>
  <c r="N156" i="28" s="1"/>
  <c r="J157" i="28"/>
  <c r="N157" i="28" s="1"/>
  <c r="J158" i="28"/>
  <c r="N158" i="28" s="1"/>
  <c r="J159" i="28"/>
  <c r="N159" i="28" s="1"/>
  <c r="J160" i="28"/>
  <c r="N160" i="28" s="1"/>
  <c r="J161" i="28"/>
  <c r="N161" i="28" s="1"/>
  <c r="J162" i="28"/>
  <c r="N162" i="28" s="1"/>
  <c r="J163" i="28"/>
  <c r="N163" i="28" s="1"/>
  <c r="R163" i="28" s="1"/>
  <c r="V163" i="28" s="1"/>
  <c r="J164" i="28"/>
  <c r="N164" i="28" s="1"/>
  <c r="J165" i="28"/>
  <c r="N165" i="28" s="1"/>
  <c r="J166" i="28"/>
  <c r="N166" i="28" s="1"/>
  <c r="J167" i="28"/>
  <c r="N167" i="28" s="1"/>
  <c r="J168" i="28"/>
  <c r="N168" i="28" s="1"/>
  <c r="J169" i="28"/>
  <c r="N169" i="28" s="1"/>
  <c r="J170" i="28"/>
  <c r="N170" i="28" s="1"/>
  <c r="J171" i="28"/>
  <c r="N171" i="28" s="1"/>
  <c r="J172" i="28"/>
  <c r="N172" i="28" s="1"/>
  <c r="R172" i="28" s="1"/>
  <c r="V172" i="28" s="1"/>
  <c r="J173" i="28"/>
  <c r="N173" i="28" s="1"/>
  <c r="J174" i="28"/>
  <c r="N174" i="28" s="1"/>
  <c r="J175" i="28"/>
  <c r="N175" i="28" s="1"/>
  <c r="R175" i="28" s="1"/>
  <c r="V175" i="28" s="1"/>
  <c r="J176" i="28"/>
  <c r="N176" i="28" s="1"/>
  <c r="J177" i="28"/>
  <c r="N177" i="28" s="1"/>
  <c r="J178" i="28"/>
  <c r="N178" i="28" s="1"/>
  <c r="J179" i="28"/>
  <c r="N179" i="28" s="1"/>
  <c r="J180" i="28"/>
  <c r="N180" i="28" s="1"/>
  <c r="R180" i="28" s="1"/>
  <c r="V180" i="28" s="1"/>
  <c r="J181" i="28"/>
  <c r="N181" i="28" s="1"/>
  <c r="J183" i="28"/>
  <c r="N183" i="28" s="1"/>
  <c r="J184" i="28"/>
  <c r="N184" i="28" s="1"/>
  <c r="R184" i="28" s="1"/>
  <c r="V184" i="28" s="1"/>
  <c r="J185" i="28"/>
  <c r="N185" i="28" s="1"/>
  <c r="J186" i="28"/>
  <c r="N186" i="28" s="1"/>
  <c r="J187" i="28"/>
  <c r="N187" i="28" s="1"/>
  <c r="J188" i="28"/>
  <c r="N188" i="28" s="1"/>
  <c r="J189" i="28"/>
  <c r="N189" i="28" s="1"/>
  <c r="J190" i="28"/>
  <c r="N190" i="28" s="1"/>
  <c r="J191" i="28"/>
  <c r="N191" i="28" s="1"/>
  <c r="R191" i="28" s="1"/>
  <c r="V191" i="28" s="1"/>
  <c r="J192" i="28"/>
  <c r="N192" i="28" s="1"/>
  <c r="R192" i="28" s="1"/>
  <c r="V192" i="28" s="1"/>
  <c r="J193" i="28"/>
  <c r="N193" i="28" s="1"/>
  <c r="J194" i="28"/>
  <c r="N194" i="28" s="1"/>
  <c r="J195" i="28"/>
  <c r="N195" i="28" s="1"/>
  <c r="J196" i="28"/>
  <c r="N196" i="28" s="1"/>
  <c r="J197" i="28"/>
  <c r="N197" i="28" s="1"/>
  <c r="J198" i="28"/>
  <c r="N198" i="28" s="1"/>
  <c r="J199" i="28"/>
  <c r="N199" i="28" s="1"/>
  <c r="J200" i="28"/>
  <c r="N200" i="28" s="1"/>
  <c r="R200" i="28" s="1"/>
  <c r="V200" i="28" s="1"/>
  <c r="J201" i="28"/>
  <c r="N201" i="28" s="1"/>
  <c r="J202" i="28"/>
  <c r="N202" i="28" s="1"/>
  <c r="J203" i="28"/>
  <c r="N203" i="28" s="1"/>
  <c r="J204" i="28"/>
  <c r="N204" i="28" s="1"/>
  <c r="J205" i="28"/>
  <c r="N205" i="28" s="1"/>
  <c r="R205" i="28" s="1"/>
  <c r="V205" i="28" s="1"/>
  <c r="J206" i="28"/>
  <c r="N206" i="28" s="1"/>
  <c r="J207" i="28"/>
  <c r="N207" i="28" s="1"/>
  <c r="J208" i="28"/>
  <c r="N208" i="28" s="1"/>
  <c r="J209" i="28"/>
  <c r="N209" i="28" s="1"/>
  <c r="J210" i="28"/>
  <c r="N210" i="28" s="1"/>
  <c r="J211" i="28"/>
  <c r="N211" i="28" s="1"/>
  <c r="J212" i="28"/>
  <c r="N212" i="28" s="1"/>
  <c r="J213" i="28"/>
  <c r="N213" i="28" s="1"/>
  <c r="J214" i="28"/>
  <c r="N214" i="28" s="1"/>
  <c r="J215" i="28"/>
  <c r="N215" i="28" s="1"/>
  <c r="J216" i="28"/>
  <c r="N216" i="28" s="1"/>
  <c r="J217" i="28"/>
  <c r="N217" i="28" s="1"/>
  <c r="J220" i="28"/>
  <c r="N220" i="28" s="1"/>
  <c r="J221" i="28"/>
  <c r="N221" i="28" s="1"/>
  <c r="J222" i="28"/>
  <c r="N222" i="28" s="1"/>
  <c r="R222" i="28" s="1"/>
  <c r="V222" i="28" s="1"/>
  <c r="J223" i="28"/>
  <c r="N223" i="28" s="1"/>
  <c r="J224" i="28"/>
  <c r="N224" i="28" s="1"/>
  <c r="J225" i="28"/>
  <c r="N225" i="28" s="1"/>
  <c r="J226" i="28"/>
  <c r="N226" i="28" s="1"/>
  <c r="R226" i="28" s="1"/>
  <c r="V226" i="28" s="1"/>
  <c r="J227" i="28"/>
  <c r="N227" i="28" s="1"/>
  <c r="J228" i="28"/>
  <c r="N228" i="28" s="1"/>
  <c r="J229" i="28"/>
  <c r="N229" i="28" s="1"/>
  <c r="J230" i="28"/>
  <c r="N230" i="28" s="1"/>
  <c r="R230" i="28" s="1"/>
  <c r="V230" i="28" s="1"/>
  <c r="J231" i="28"/>
  <c r="N231" i="28" s="1"/>
  <c r="J232" i="28"/>
  <c r="N232" i="28" s="1"/>
  <c r="J237" i="28"/>
  <c r="N237" i="28" s="1"/>
  <c r="J238" i="28"/>
  <c r="N238" i="28" s="1"/>
  <c r="J239" i="28"/>
  <c r="N239" i="28" s="1"/>
  <c r="J244" i="28"/>
  <c r="N244" i="28" s="1"/>
  <c r="J245" i="28"/>
  <c r="N245" i="28" s="1"/>
  <c r="J246" i="28"/>
  <c r="N246" i="28" s="1"/>
  <c r="J247" i="28"/>
  <c r="N247" i="28" s="1"/>
  <c r="J248" i="28"/>
  <c r="N248" i="28" s="1"/>
  <c r="J249" i="28"/>
  <c r="N249" i="28" s="1"/>
  <c r="J250" i="28"/>
  <c r="N250" i="28" s="1"/>
  <c r="J251" i="28"/>
  <c r="N251" i="28" s="1"/>
  <c r="J252" i="28"/>
  <c r="N252" i="28" s="1"/>
  <c r="J253" i="28"/>
  <c r="N253" i="28" s="1"/>
  <c r="J254" i="28"/>
  <c r="N254" i="28" s="1"/>
  <c r="J255" i="28"/>
  <c r="N255" i="28" s="1"/>
  <c r="J257" i="28"/>
  <c r="N257" i="28" s="1"/>
  <c r="J258" i="28"/>
  <c r="N258" i="28" s="1"/>
  <c r="J259" i="28"/>
  <c r="N259" i="28" s="1"/>
  <c r="R259" i="28" s="1"/>
  <c r="V259" i="28" s="1"/>
  <c r="J260" i="28"/>
  <c r="N260" i="28" s="1"/>
  <c r="J262" i="28"/>
  <c r="N262" i="28" s="1"/>
  <c r="J263" i="28"/>
  <c r="N263" i="28" s="1"/>
  <c r="J264" i="28"/>
  <c r="N264" i="28" s="1"/>
  <c r="J265" i="28"/>
  <c r="N265" i="28" s="1"/>
  <c r="J266" i="28"/>
  <c r="N266" i="28" s="1"/>
  <c r="J267" i="28"/>
  <c r="N267" i="28" s="1"/>
  <c r="J268" i="28"/>
  <c r="N268" i="28" s="1"/>
  <c r="J270" i="28"/>
  <c r="N270" i="28" s="1"/>
  <c r="J271" i="28"/>
  <c r="N271" i="28" s="1"/>
  <c r="J272" i="28"/>
  <c r="N272" i="28" s="1"/>
  <c r="J273" i="28"/>
  <c r="N273" i="28" s="1"/>
  <c r="R273" i="28" s="1"/>
  <c r="V273" i="28" s="1"/>
  <c r="J274" i="28"/>
  <c r="N274" i="28" s="1"/>
  <c r="J275" i="28"/>
  <c r="N275" i="28" s="1"/>
  <c r="J276" i="28"/>
  <c r="N276" i="28" s="1"/>
  <c r="J277" i="28"/>
  <c r="N277" i="28" s="1"/>
  <c r="R277" i="28" s="1"/>
  <c r="V277" i="28" s="1"/>
  <c r="J278" i="28"/>
  <c r="N278" i="28" s="1"/>
  <c r="J279" i="28"/>
  <c r="N279" i="28" s="1"/>
  <c r="J280" i="28"/>
  <c r="N280" i="28" s="1"/>
  <c r="J281" i="28"/>
  <c r="N281" i="28" s="1"/>
  <c r="J282" i="28"/>
  <c r="N282" i="28" s="1"/>
  <c r="J283" i="28"/>
  <c r="N283" i="28" s="1"/>
  <c r="J284" i="28"/>
  <c r="N284" i="28" s="1"/>
  <c r="J285" i="28"/>
  <c r="N285" i="28" s="1"/>
  <c r="J286" i="28"/>
  <c r="N286" i="28" s="1"/>
  <c r="J287" i="28"/>
  <c r="N287" i="28" s="1"/>
  <c r="J288" i="28"/>
  <c r="N288" i="28" s="1"/>
  <c r="J289" i="28"/>
  <c r="N289" i="28" s="1"/>
  <c r="J290" i="28"/>
  <c r="N290" i="28" s="1"/>
  <c r="J291" i="28"/>
  <c r="N291" i="28" s="1"/>
  <c r="J292" i="28"/>
  <c r="N292" i="28" s="1"/>
  <c r="J293" i="28"/>
  <c r="N293" i="28" s="1"/>
  <c r="J294" i="28"/>
  <c r="N294" i="28" s="1"/>
  <c r="J296" i="28"/>
  <c r="N296" i="28" s="1"/>
  <c r="J300" i="28"/>
  <c r="N300" i="28" s="1"/>
  <c r="J301" i="28"/>
  <c r="N301" i="28" s="1"/>
  <c r="J302" i="28"/>
  <c r="N302" i="28" s="1"/>
  <c r="J303" i="28"/>
  <c r="N303" i="28" s="1"/>
  <c r="J305" i="28"/>
  <c r="N305" i="28" s="1"/>
  <c r="J306" i="28"/>
  <c r="N306" i="28" s="1"/>
  <c r="J307" i="28"/>
  <c r="N307" i="28" s="1"/>
  <c r="J308" i="28"/>
  <c r="N308" i="28" s="1"/>
  <c r="J309" i="28"/>
  <c r="N309" i="28" s="1"/>
  <c r="J310" i="28"/>
  <c r="N310" i="28" s="1"/>
  <c r="J311" i="28"/>
  <c r="N311" i="28" s="1"/>
  <c r="J312" i="28"/>
  <c r="N312" i="28" s="1"/>
  <c r="J313" i="28"/>
  <c r="N313" i="28" s="1"/>
  <c r="J314" i="28"/>
  <c r="N314" i="28" s="1"/>
  <c r="J315" i="28"/>
  <c r="N315" i="28" s="1"/>
  <c r="J316" i="28"/>
  <c r="N316" i="28" s="1"/>
  <c r="J317" i="28"/>
  <c r="N317" i="28" s="1"/>
  <c r="J318" i="28"/>
  <c r="N318" i="28" s="1"/>
  <c r="J319" i="28"/>
  <c r="N319" i="28" s="1"/>
  <c r="J320" i="28"/>
  <c r="N320" i="28" s="1"/>
  <c r="J321" i="28"/>
  <c r="N321" i="28" s="1"/>
  <c r="J322" i="28"/>
  <c r="N322" i="28" s="1"/>
  <c r="R322" i="28" s="1"/>
  <c r="V322" i="28" s="1"/>
  <c r="J323" i="28"/>
  <c r="N323" i="28" s="1"/>
  <c r="J324" i="28"/>
  <c r="N324" i="28" s="1"/>
  <c r="R324" i="28" s="1"/>
  <c r="V324" i="28" s="1"/>
  <c r="J325" i="28"/>
  <c r="N325" i="28" s="1"/>
  <c r="J326" i="28"/>
  <c r="N326" i="28" s="1"/>
  <c r="J327" i="28"/>
  <c r="N327" i="28" s="1"/>
  <c r="J328" i="28"/>
  <c r="N328" i="28" s="1"/>
  <c r="J329" i="28"/>
  <c r="N329" i="28" s="1"/>
  <c r="J330" i="28"/>
  <c r="N330" i="28" s="1"/>
  <c r="J331" i="28"/>
  <c r="N331" i="28" s="1"/>
  <c r="J332" i="28"/>
  <c r="N332" i="28" s="1"/>
  <c r="R332" i="28" s="1"/>
  <c r="V332" i="28" s="1"/>
  <c r="J333" i="28"/>
  <c r="N333" i="28" s="1"/>
  <c r="J334" i="28"/>
  <c r="N334" i="28" s="1"/>
  <c r="J335" i="28"/>
  <c r="N335" i="28" s="1"/>
  <c r="J336" i="28"/>
  <c r="N336" i="28" s="1"/>
  <c r="J338" i="28"/>
  <c r="N338" i="28" s="1"/>
  <c r="J339" i="28"/>
  <c r="N339" i="28" s="1"/>
  <c r="R339" i="28" s="1"/>
  <c r="V339" i="28" s="1"/>
  <c r="J341" i="28"/>
  <c r="N341" i="28" s="1"/>
  <c r="J342" i="28"/>
  <c r="N342" i="28" s="1"/>
  <c r="J343" i="28"/>
  <c r="N343" i="28" s="1"/>
  <c r="J344" i="28"/>
  <c r="N344" i="28" s="1"/>
  <c r="J345" i="28"/>
  <c r="N345" i="28" s="1"/>
  <c r="J346" i="28"/>
  <c r="N346" i="28" s="1"/>
  <c r="J347" i="28"/>
  <c r="N347" i="28" s="1"/>
  <c r="J348" i="28"/>
  <c r="N348" i="28" s="1"/>
  <c r="J350" i="28"/>
  <c r="N350" i="28" s="1"/>
  <c r="J351" i="28"/>
  <c r="N351" i="28" s="1"/>
  <c r="J352" i="28"/>
  <c r="N352" i="28" s="1"/>
  <c r="J353" i="28"/>
  <c r="N353" i="28" s="1"/>
  <c r="J354" i="28"/>
  <c r="N354" i="28" s="1"/>
  <c r="J355" i="28"/>
  <c r="N355" i="28" s="1"/>
  <c r="J356" i="28"/>
  <c r="N356" i="28" s="1"/>
  <c r="J357" i="28"/>
  <c r="N357" i="28" s="1"/>
  <c r="J358" i="28"/>
  <c r="N358" i="28" s="1"/>
  <c r="J359" i="28"/>
  <c r="N359" i="28" s="1"/>
  <c r="J360" i="28"/>
  <c r="N360" i="28" s="1"/>
  <c r="J361" i="28"/>
  <c r="N361" i="28" s="1"/>
  <c r="J362" i="28"/>
  <c r="N362" i="28" s="1"/>
  <c r="J363" i="28"/>
  <c r="N363" i="28" s="1"/>
  <c r="J364" i="28"/>
  <c r="N364" i="28" s="1"/>
  <c r="J365" i="28"/>
  <c r="N365" i="28" s="1"/>
  <c r="R365" i="28" s="1"/>
  <c r="V365" i="28" s="1"/>
  <c r="J366" i="28"/>
  <c r="N366" i="28" s="1"/>
  <c r="J367" i="28"/>
  <c r="N367" i="28" s="1"/>
  <c r="J368" i="28"/>
  <c r="N368" i="28" s="1"/>
  <c r="J369" i="28"/>
  <c r="N369" i="28" s="1"/>
  <c r="J370" i="28"/>
  <c r="N370" i="28" s="1"/>
  <c r="J371" i="28"/>
  <c r="N371" i="28" s="1"/>
  <c r="J372" i="28"/>
  <c r="N372" i="28" s="1"/>
  <c r="J373" i="28"/>
  <c r="N373" i="28" s="1"/>
  <c r="J374" i="28"/>
  <c r="N374" i="28" s="1"/>
  <c r="J375" i="28"/>
  <c r="N375" i="28" s="1"/>
  <c r="J376" i="28"/>
  <c r="N376" i="28" s="1"/>
  <c r="J377" i="28"/>
  <c r="N377" i="28" s="1"/>
  <c r="J378" i="28"/>
  <c r="N378" i="28" s="1"/>
  <c r="J379" i="28"/>
  <c r="N379" i="28" s="1"/>
  <c r="J380" i="28"/>
  <c r="N380" i="28" s="1"/>
  <c r="J381" i="28"/>
  <c r="N381" i="28" s="1"/>
  <c r="J391" i="28"/>
  <c r="N391" i="28" s="1"/>
  <c r="J392" i="28"/>
  <c r="N392" i="28" s="1"/>
  <c r="J393" i="28"/>
  <c r="N393" i="28" s="1"/>
  <c r="J394" i="28"/>
  <c r="N394" i="28" s="1"/>
  <c r="J395" i="28"/>
  <c r="N395" i="28" s="1"/>
  <c r="R395" i="28" s="1"/>
  <c r="V395" i="28" s="1"/>
  <c r="J398" i="28"/>
  <c r="N398" i="28" s="1"/>
  <c r="J399" i="28"/>
  <c r="N399" i="28" s="1"/>
  <c r="J400" i="28"/>
  <c r="N400" i="28" s="1"/>
  <c r="J401" i="28"/>
  <c r="N401" i="28" s="1"/>
  <c r="J402" i="28"/>
  <c r="N402" i="28" s="1"/>
  <c r="J403" i="28"/>
  <c r="N403" i="28" s="1"/>
  <c r="J405" i="28"/>
  <c r="N405" i="28" s="1"/>
  <c r="J406" i="28"/>
  <c r="N406" i="28" s="1"/>
  <c r="J407" i="28"/>
  <c r="N407" i="28" s="1"/>
  <c r="R407" i="28" s="1"/>
  <c r="V407" i="28" s="1"/>
  <c r="J408" i="28"/>
  <c r="N408" i="28" s="1"/>
  <c r="R408" i="28" s="1"/>
  <c r="V408" i="28" s="1"/>
  <c r="J409" i="28"/>
  <c r="N409" i="28" s="1"/>
  <c r="J410" i="28"/>
  <c r="N410" i="28" s="1"/>
  <c r="J411" i="28"/>
  <c r="N411" i="28" s="1"/>
  <c r="J412" i="28"/>
  <c r="N412" i="28" s="1"/>
  <c r="J415" i="28"/>
  <c r="N415" i="28" s="1"/>
  <c r="J416" i="28"/>
  <c r="N416" i="28" s="1"/>
  <c r="J417" i="28"/>
  <c r="N417" i="28" s="1"/>
  <c r="J418" i="28"/>
  <c r="N418" i="28" s="1"/>
  <c r="J419" i="28"/>
  <c r="N419" i="28" s="1"/>
  <c r="J420" i="28"/>
  <c r="N420" i="28" s="1"/>
  <c r="R420" i="28" s="1"/>
  <c r="V420" i="28" s="1"/>
  <c r="J421" i="28"/>
  <c r="N421" i="28" s="1"/>
  <c r="J422" i="28"/>
  <c r="N422" i="28" s="1"/>
  <c r="J423" i="28"/>
  <c r="N423" i="28" s="1"/>
  <c r="J424" i="28"/>
  <c r="N424" i="28" s="1"/>
  <c r="J425" i="28"/>
  <c r="N425" i="28" s="1"/>
  <c r="J426" i="28"/>
  <c r="N426" i="28" s="1"/>
  <c r="J427" i="28"/>
  <c r="N427" i="28" s="1"/>
  <c r="J428" i="28"/>
  <c r="N428" i="28" s="1"/>
  <c r="J430" i="28"/>
  <c r="N430" i="28" s="1"/>
  <c r="J431" i="28"/>
  <c r="N431" i="28" s="1"/>
  <c r="J436" i="28"/>
  <c r="N436" i="28" s="1"/>
  <c r="J437" i="28"/>
  <c r="N437" i="28" s="1"/>
  <c r="J438" i="28"/>
  <c r="N438" i="28" s="1"/>
  <c r="J439" i="28"/>
  <c r="N439" i="28" s="1"/>
  <c r="J442" i="28"/>
  <c r="N442" i="28" s="1"/>
  <c r="J443" i="28"/>
  <c r="N443" i="28" s="1"/>
  <c r="J444" i="28"/>
  <c r="N444" i="28" s="1"/>
  <c r="J445" i="28"/>
  <c r="N445" i="28" s="1"/>
  <c r="J446" i="28"/>
  <c r="N446" i="28" s="1"/>
  <c r="J447" i="28"/>
  <c r="N447" i="28" s="1"/>
  <c r="J448" i="28"/>
  <c r="N448" i="28" s="1"/>
  <c r="R448" i="28" s="1"/>
  <c r="V448" i="28" s="1"/>
  <c r="J449" i="28"/>
  <c r="N449" i="28" s="1"/>
  <c r="J450" i="28"/>
  <c r="N450" i="28" s="1"/>
  <c r="R450" i="28" s="1"/>
  <c r="V450" i="28" s="1"/>
  <c r="J451" i="28"/>
  <c r="N451" i="28" s="1"/>
  <c r="J452" i="28"/>
  <c r="N452" i="28" s="1"/>
  <c r="J453" i="28"/>
  <c r="N453" i="28" s="1"/>
  <c r="J454" i="28"/>
  <c r="N454" i="28" s="1"/>
  <c r="J455" i="28"/>
  <c r="N455" i="28" s="1"/>
  <c r="J456" i="28"/>
  <c r="N456" i="28" s="1"/>
  <c r="R456" i="28" s="1"/>
  <c r="V456" i="28" s="1"/>
  <c r="J457" i="28"/>
  <c r="N457" i="28" s="1"/>
  <c r="J458" i="28"/>
  <c r="N458" i="28" s="1"/>
  <c r="J459" i="28"/>
  <c r="N459" i="28" s="1"/>
  <c r="J460" i="28"/>
  <c r="N460" i="28" s="1"/>
  <c r="AB460" i="28" s="1"/>
  <c r="AF460" i="28" s="1"/>
  <c r="J461" i="28"/>
  <c r="N461" i="28" s="1"/>
  <c r="J462" i="28"/>
  <c r="N462" i="28" s="1"/>
  <c r="R462" i="28" s="1"/>
  <c r="V462" i="28" s="1"/>
  <c r="J463" i="28"/>
  <c r="N463" i="28" s="1"/>
  <c r="R463" i="28" s="1"/>
  <c r="V463" i="28" s="1"/>
  <c r="J464" i="28"/>
  <c r="N464" i="28" s="1"/>
  <c r="J465" i="28"/>
  <c r="N465" i="28" s="1"/>
  <c r="J466" i="28"/>
  <c r="N466" i="28" s="1"/>
  <c r="J467" i="28"/>
  <c r="N467" i="28" s="1"/>
  <c r="J468" i="28"/>
  <c r="N468" i="28" s="1"/>
  <c r="J469" i="28"/>
  <c r="N469" i="28" s="1"/>
  <c r="J470" i="28"/>
  <c r="N470" i="28" s="1"/>
  <c r="J472" i="28"/>
  <c r="N472" i="28" s="1"/>
  <c r="J474" i="28"/>
  <c r="N474" i="28" s="1"/>
  <c r="AB474" i="28" s="1"/>
  <c r="AF474" i="28" s="1"/>
  <c r="J477" i="28"/>
  <c r="N477" i="28" s="1"/>
  <c r="J478" i="28"/>
  <c r="N478" i="28" s="1"/>
  <c r="J480" i="28"/>
  <c r="N480" i="28" s="1"/>
  <c r="J481" i="28"/>
  <c r="N481" i="28" s="1"/>
  <c r="J482" i="28"/>
  <c r="N482" i="28" s="1"/>
  <c r="R482" i="28" s="1"/>
  <c r="V482" i="28" s="1"/>
  <c r="J483" i="28"/>
  <c r="N483" i="28" s="1"/>
  <c r="J484" i="28"/>
  <c r="N484" i="28" s="1"/>
  <c r="J485" i="28"/>
  <c r="N485" i="28" s="1"/>
  <c r="J486" i="28"/>
  <c r="N486" i="28" s="1"/>
  <c r="R486" i="28" s="1"/>
  <c r="V486" i="28" s="1"/>
  <c r="J487" i="28"/>
  <c r="N487" i="28" s="1"/>
  <c r="J488" i="28"/>
  <c r="N488" i="28" s="1"/>
  <c r="J489" i="28"/>
  <c r="N489" i="28" s="1"/>
  <c r="J492" i="28"/>
  <c r="N492" i="28" s="1"/>
  <c r="J493" i="28"/>
  <c r="N493" i="28" s="1"/>
  <c r="J496" i="28"/>
  <c r="N496" i="28" s="1"/>
  <c r="J497" i="28"/>
  <c r="N497" i="28" s="1"/>
  <c r="J498" i="28"/>
  <c r="N498" i="28" s="1"/>
  <c r="J499" i="28"/>
  <c r="N499" i="28" s="1"/>
  <c r="J502" i="28"/>
  <c r="N502" i="28" s="1"/>
  <c r="J518" i="28"/>
  <c r="N518" i="28" s="1"/>
  <c r="J519" i="28"/>
  <c r="N519" i="28" s="1"/>
  <c r="J524" i="28"/>
  <c r="N524" i="28" s="1"/>
  <c r="J525" i="28"/>
  <c r="N525" i="28" s="1"/>
  <c r="J526" i="28"/>
  <c r="N526" i="28" s="1"/>
  <c r="J527" i="28"/>
  <c r="N527" i="28" s="1"/>
  <c r="J528" i="28"/>
  <c r="N528" i="28" s="1"/>
  <c r="J529" i="28"/>
  <c r="N529" i="28" s="1"/>
  <c r="J530" i="28"/>
  <c r="N530" i="28" s="1"/>
  <c r="J531" i="28"/>
  <c r="N531" i="28" s="1"/>
  <c r="J532" i="28"/>
  <c r="N532" i="28" s="1"/>
  <c r="J533" i="28"/>
  <c r="N533" i="28" s="1"/>
  <c r="R533" i="28" s="1"/>
  <c r="V533" i="28" s="1"/>
  <c r="J534" i="28"/>
  <c r="N534" i="28" s="1"/>
  <c r="J535" i="28"/>
  <c r="N535" i="28" s="1"/>
  <c r="J536" i="28"/>
  <c r="N536" i="28" s="1"/>
  <c r="J537" i="28"/>
  <c r="N537" i="28" s="1"/>
  <c r="J538" i="28"/>
  <c r="N538" i="28" s="1"/>
  <c r="J539" i="28"/>
  <c r="N539" i="28" s="1"/>
  <c r="J540" i="28"/>
  <c r="N540" i="28" s="1"/>
  <c r="J541" i="28"/>
  <c r="N541" i="28" s="1"/>
  <c r="J542" i="28"/>
  <c r="N542" i="28" s="1"/>
  <c r="J543" i="28"/>
  <c r="N543" i="28" s="1"/>
  <c r="J544" i="28"/>
  <c r="N544" i="28" s="1"/>
  <c r="J545" i="28"/>
  <c r="N545" i="28" s="1"/>
  <c r="J546" i="28"/>
  <c r="N546" i="28" s="1"/>
  <c r="J547" i="28"/>
  <c r="N547" i="28" s="1"/>
  <c r="J548" i="28"/>
  <c r="N548" i="28" s="1"/>
  <c r="J549" i="28"/>
  <c r="N549" i="28" s="1"/>
  <c r="J550" i="28"/>
  <c r="N550" i="28" s="1"/>
  <c r="J551" i="28"/>
  <c r="N551" i="28" s="1"/>
  <c r="J552" i="28"/>
  <c r="N552" i="28" s="1"/>
  <c r="J553" i="28"/>
  <c r="N553" i="28" s="1"/>
  <c r="J554" i="28"/>
  <c r="N554" i="28" s="1"/>
  <c r="J555" i="28"/>
  <c r="N555" i="28" s="1"/>
  <c r="J556" i="28"/>
  <c r="N556" i="28" s="1"/>
  <c r="J557" i="28"/>
  <c r="N557" i="28" s="1"/>
  <c r="J558" i="28"/>
  <c r="N558" i="28" s="1"/>
  <c r="J559" i="28"/>
  <c r="N559" i="28" s="1"/>
  <c r="J560" i="28"/>
  <c r="N560" i="28" s="1"/>
  <c r="J561" i="28"/>
  <c r="N561" i="28" s="1"/>
  <c r="J562" i="28"/>
  <c r="N562" i="28" s="1"/>
  <c r="J563" i="28"/>
  <c r="N563" i="28" s="1"/>
  <c r="J564" i="28"/>
  <c r="N564" i="28" s="1"/>
  <c r="R564" i="28" s="1"/>
  <c r="V564" i="28" s="1"/>
  <c r="J565" i="28"/>
  <c r="N565" i="28" s="1"/>
  <c r="J566" i="28"/>
  <c r="N566" i="28" s="1"/>
  <c r="J567" i="28"/>
  <c r="N567" i="28" s="1"/>
  <c r="J568" i="28"/>
  <c r="N568" i="28" s="1"/>
  <c r="J569" i="28"/>
  <c r="N569" i="28" s="1"/>
  <c r="J570" i="28"/>
  <c r="N570" i="28" s="1"/>
  <c r="J571" i="28"/>
  <c r="N571" i="28" s="1"/>
  <c r="J572" i="28"/>
  <c r="N572" i="28" s="1"/>
  <c r="R572" i="28" s="1"/>
  <c r="V572" i="28" s="1"/>
  <c r="J573" i="28"/>
  <c r="N573" i="28" s="1"/>
  <c r="J574" i="28"/>
  <c r="N574" i="28" s="1"/>
  <c r="J575" i="28"/>
  <c r="N575" i="28" s="1"/>
  <c r="J576" i="28"/>
  <c r="N576" i="28" s="1"/>
  <c r="J577" i="28"/>
  <c r="N577" i="28" s="1"/>
  <c r="R577" i="28" s="1"/>
  <c r="V577" i="28" s="1"/>
  <c r="J578" i="28"/>
  <c r="N578" i="28" s="1"/>
  <c r="J579" i="28"/>
  <c r="N579" i="28" s="1"/>
  <c r="J580" i="28"/>
  <c r="N580" i="28" s="1"/>
  <c r="J581" i="28"/>
  <c r="N581" i="28" s="1"/>
  <c r="R581" i="28" s="1"/>
  <c r="V581" i="28" s="1"/>
  <c r="J582" i="28"/>
  <c r="N582" i="28" s="1"/>
  <c r="J583" i="28"/>
  <c r="N583" i="28" s="1"/>
  <c r="J584" i="28"/>
  <c r="N584" i="28" s="1"/>
  <c r="J585" i="28"/>
  <c r="N585" i="28" s="1"/>
  <c r="J586" i="28"/>
  <c r="N586" i="28" s="1"/>
  <c r="J587" i="28"/>
  <c r="N587" i="28" s="1"/>
  <c r="J588" i="28"/>
  <c r="N588" i="28" s="1"/>
  <c r="J589" i="28"/>
  <c r="N589" i="28" s="1"/>
  <c r="J590" i="28"/>
  <c r="N590" i="28" s="1"/>
  <c r="J591" i="28"/>
  <c r="N591" i="28" s="1"/>
  <c r="J592" i="28"/>
  <c r="N592" i="28" s="1"/>
  <c r="J593" i="28"/>
  <c r="N593" i="28" s="1"/>
  <c r="J594" i="28"/>
  <c r="N594" i="28" s="1"/>
  <c r="AB447" i="28" l="1"/>
  <c r="AF447" i="28" s="1"/>
  <c r="AB301" i="28"/>
  <c r="AF301" i="28" s="1"/>
  <c r="AB591" i="28"/>
  <c r="AF591" i="28" s="1"/>
  <c r="AB555" i="28"/>
  <c r="AF555" i="28" s="1"/>
  <c r="AB465" i="28"/>
  <c r="AF465" i="28" s="1"/>
  <c r="AJ465" i="28" s="1"/>
  <c r="AP465" i="28" s="1"/>
  <c r="AT465" i="28" s="1"/>
  <c r="AX465" i="28" s="1"/>
  <c r="AB422" i="28"/>
  <c r="AF422" i="28" s="1"/>
  <c r="AB590" i="28"/>
  <c r="AF590" i="28" s="1"/>
  <c r="AB554" i="28"/>
  <c r="AF554" i="28" s="1"/>
  <c r="AB464" i="28"/>
  <c r="AF464" i="28" s="1"/>
  <c r="AB421" i="28"/>
  <c r="AF421" i="28" s="1"/>
  <c r="AB274" i="28"/>
  <c r="AF274" i="28" s="1"/>
  <c r="AB247" i="28"/>
  <c r="AF247" i="28" s="1"/>
  <c r="AB320" i="28"/>
  <c r="AF320" i="28" s="1"/>
  <c r="AJ320" i="28" s="1"/>
  <c r="AP320" i="28" s="1"/>
  <c r="AT320" i="28" s="1"/>
  <c r="AX320" i="28" s="1"/>
  <c r="BF320" i="28" s="1"/>
  <c r="BH320" i="28" s="1"/>
  <c r="AB275" i="28"/>
  <c r="AF275" i="28" s="1"/>
  <c r="AB499" i="28"/>
  <c r="AF499" i="28" s="1"/>
  <c r="AB394" i="28"/>
  <c r="AF394" i="28" s="1"/>
  <c r="AJ394" i="28" s="1"/>
  <c r="AP394" i="28" s="1"/>
  <c r="AT394" i="28" s="1"/>
  <c r="AX394" i="28" s="1"/>
  <c r="BF394" i="28" s="1"/>
  <c r="BH394" i="28" s="1"/>
  <c r="AB348" i="28"/>
  <c r="AF348" i="28" s="1"/>
  <c r="AB310" i="28"/>
  <c r="AF310" i="28" s="1"/>
  <c r="AJ310" i="28" s="1"/>
  <c r="AP310" i="28" s="1"/>
  <c r="AT310" i="28" s="1"/>
  <c r="AB208" i="28"/>
  <c r="AF208" i="28" s="1"/>
  <c r="AB171" i="28"/>
  <c r="AF171" i="28" s="1"/>
  <c r="AB91" i="28"/>
  <c r="AF91" i="28" s="1"/>
  <c r="AB214" i="28"/>
  <c r="AF214" i="28" s="1"/>
  <c r="AB129" i="28"/>
  <c r="AF129" i="28" s="1"/>
  <c r="AB450" i="28"/>
  <c r="AF450" i="28" s="1"/>
  <c r="AB317" i="28"/>
  <c r="AF317" i="28" s="1"/>
  <c r="AJ317" i="28" s="1"/>
  <c r="AP317" i="28" s="1"/>
  <c r="AT317" i="28" s="1"/>
  <c r="AB276" i="28"/>
  <c r="AF276" i="28" s="1"/>
  <c r="AB255" i="28"/>
  <c r="AF255" i="28" s="1"/>
  <c r="AB178" i="28"/>
  <c r="AF178" i="28" s="1"/>
  <c r="AB117" i="28"/>
  <c r="AF117" i="28" s="1"/>
  <c r="AB487" i="28"/>
  <c r="AF487" i="28" s="1"/>
  <c r="R487" i="28"/>
  <c r="V487" i="28" s="1"/>
  <c r="R474" i="28"/>
  <c r="V474" i="28" s="1"/>
  <c r="R464" i="28"/>
  <c r="V464" i="28" s="1"/>
  <c r="AB582" i="28"/>
  <c r="AF582" i="28" s="1"/>
  <c r="AB570" i="28"/>
  <c r="AF570" i="28" s="1"/>
  <c r="AB518" i="28"/>
  <c r="AF518" i="28" s="1"/>
  <c r="R460" i="28"/>
  <c r="V460" i="28" s="1"/>
  <c r="AB347" i="28"/>
  <c r="AF347" i="28" s="1"/>
  <c r="AB411" i="28"/>
  <c r="AF411" i="28" s="1"/>
  <c r="AB398" i="28"/>
  <c r="AF398" i="28" s="1"/>
  <c r="AJ398" i="28" s="1"/>
  <c r="AP398" i="28" s="1"/>
  <c r="AT398" i="28" s="1"/>
  <c r="AB318" i="28"/>
  <c r="AF318" i="28" s="1"/>
  <c r="AJ318" i="28" s="1"/>
  <c r="AP318" i="28" s="1"/>
  <c r="AT318" i="28" s="1"/>
  <c r="AX318" i="28" s="1"/>
  <c r="BF318" i="28" s="1"/>
  <c r="BH318" i="28" s="1"/>
  <c r="AB257" i="28"/>
  <c r="AF257" i="28" s="1"/>
  <c r="AB250" i="28"/>
  <c r="AF250" i="28" s="1"/>
  <c r="AB224" i="28"/>
  <c r="AF224" i="28" s="1"/>
  <c r="AB216" i="28"/>
  <c r="AF216" i="28" s="1"/>
  <c r="AB204" i="28"/>
  <c r="AF204" i="28" s="1"/>
  <c r="AB179" i="28"/>
  <c r="AF179" i="28" s="1"/>
  <c r="AB167" i="28"/>
  <c r="AF167" i="28" s="1"/>
  <c r="AB155" i="28"/>
  <c r="AF155" i="28" s="1"/>
  <c r="AB149" i="28"/>
  <c r="AF149" i="28" s="1"/>
  <c r="AB143" i="28"/>
  <c r="AF143" i="28" s="1"/>
  <c r="AB137" i="28"/>
  <c r="AF137" i="28" s="1"/>
  <c r="AB118" i="28"/>
  <c r="AF118" i="28" s="1"/>
  <c r="AB321" i="28"/>
  <c r="AF321" i="28" s="1"/>
  <c r="AJ321" i="28" s="1"/>
  <c r="AP321" i="28" s="1"/>
  <c r="AT321" i="28" s="1"/>
  <c r="R321" i="28"/>
  <c r="V321" i="28" s="1"/>
  <c r="R315" i="28"/>
  <c r="V315" i="28" s="1"/>
  <c r="AB315" i="28"/>
  <c r="AF315" i="28" s="1"/>
  <c r="AJ315" i="28" s="1"/>
  <c r="AP315" i="28" s="1"/>
  <c r="AT315" i="28" s="1"/>
  <c r="AX315" i="28" s="1"/>
  <c r="BF315" i="28" s="1"/>
  <c r="BH315" i="28" s="1"/>
  <c r="AB302" i="28"/>
  <c r="AF302" i="28" s="1"/>
  <c r="R302" i="28"/>
  <c r="V302" i="28" s="1"/>
  <c r="AB419" i="28"/>
  <c r="AF419" i="28" s="1"/>
  <c r="R419" i="28"/>
  <c r="V419" i="28" s="1"/>
  <c r="R422" i="28"/>
  <c r="V422" i="28" s="1"/>
  <c r="R117" i="28"/>
  <c r="V117" i="28" s="1"/>
  <c r="AB270" i="28"/>
  <c r="AF270" i="28" s="1"/>
  <c r="AJ270" i="28" s="1"/>
  <c r="R421" i="28"/>
  <c r="V421" i="28" s="1"/>
  <c r="R348" i="28"/>
  <c r="V348" i="28" s="1"/>
  <c r="R275" i="28"/>
  <c r="V275" i="28" s="1"/>
  <c r="AB322" i="28"/>
  <c r="AF322" i="28" s="1"/>
  <c r="AJ322" i="28" s="1"/>
  <c r="AP322" i="28" s="1"/>
  <c r="AT322" i="28" s="1"/>
  <c r="R347" i="28"/>
  <c r="V347" i="28" s="1"/>
  <c r="R208" i="28"/>
  <c r="V208" i="28" s="1"/>
  <c r="AB408" i="28"/>
  <c r="AF408" i="28" s="1"/>
  <c r="AJ408" i="28" s="1"/>
  <c r="AP408" i="28" s="1"/>
  <c r="AT408" i="28" s="1"/>
  <c r="AB407" i="28"/>
  <c r="AF407" i="28" s="1"/>
  <c r="AJ407" i="28" s="1"/>
  <c r="AP407" i="28" s="1"/>
  <c r="AT407" i="28" s="1"/>
  <c r="AB339" i="28"/>
  <c r="AF339" i="28" s="1"/>
  <c r="AB332" i="28"/>
  <c r="AF332" i="28" s="1"/>
  <c r="AB273" i="28"/>
  <c r="AF273" i="28" s="1"/>
  <c r="AB226" i="28"/>
  <c r="AF226" i="28" s="1"/>
  <c r="R320" i="28"/>
  <c r="V320" i="28" s="1"/>
  <c r="R167" i="28"/>
  <c r="V167" i="28" s="1"/>
  <c r="AB88" i="28"/>
  <c r="AF88" i="28" s="1"/>
  <c r="R394" i="28"/>
  <c r="V394" i="28" s="1"/>
  <c r="R310" i="28"/>
  <c r="V310" i="28" s="1"/>
  <c r="R118" i="28"/>
  <c r="V118" i="28" s="1"/>
  <c r="AB71" i="28"/>
  <c r="AF71" i="28" s="1"/>
  <c r="R71" i="28"/>
  <c r="V71" i="28" s="1"/>
  <c r="AB177" i="28"/>
  <c r="AF177" i="28" s="1"/>
  <c r="R177" i="28"/>
  <c r="V177" i="28" s="1"/>
  <c r="AB230" i="28"/>
  <c r="AF230" i="28" s="1"/>
  <c r="AJ230" i="28" s="1"/>
  <c r="AP230" i="28" s="1"/>
  <c r="AT230" i="28" s="1"/>
  <c r="AX230" i="28" s="1"/>
  <c r="BF230" i="28" s="1"/>
  <c r="BH230" i="28" s="1"/>
  <c r="AB192" i="28"/>
  <c r="AF192" i="28" s="1"/>
  <c r="AB105" i="28"/>
  <c r="AF105" i="28" s="1"/>
  <c r="AB259" i="28"/>
  <c r="AF259" i="28" s="1"/>
  <c r="R129" i="28"/>
  <c r="V129" i="28" s="1"/>
  <c r="AB92" i="28"/>
  <c r="AF92" i="28" s="1"/>
  <c r="AB84" i="28"/>
  <c r="AF84" i="28" s="1"/>
  <c r="AB101" i="28"/>
  <c r="AF101" i="28" s="1"/>
  <c r="R276" i="28"/>
  <c r="V276" i="28" s="1"/>
  <c r="R216" i="28"/>
  <c r="V216" i="28" s="1"/>
  <c r="R91" i="28"/>
  <c r="V91" i="28" s="1"/>
  <c r="R143" i="28"/>
  <c r="V143" i="28" s="1"/>
  <c r="AB141" i="28"/>
  <c r="AF141" i="28" s="1"/>
  <c r="AB147" i="28"/>
  <c r="AF147" i="28" s="1"/>
  <c r="AB131" i="28"/>
  <c r="AF131" i="28" s="1"/>
  <c r="R155" i="28"/>
  <c r="V155" i="28" s="1"/>
  <c r="R179" i="28"/>
  <c r="V179" i="28" s="1"/>
  <c r="R178" i="28"/>
  <c r="V178" i="28" s="1"/>
  <c r="AB184" i="28"/>
  <c r="AF184" i="28" s="1"/>
  <c r="AB402" i="28"/>
  <c r="AF402" i="28" s="1"/>
  <c r="AJ402" i="28" s="1"/>
  <c r="AP402" i="28" s="1"/>
  <c r="AT402" i="28" s="1"/>
  <c r="AX402" i="28" s="1"/>
  <c r="BF402" i="28" s="1"/>
  <c r="BH402" i="28" s="1"/>
  <c r="AB365" i="28"/>
  <c r="AF365" i="28" s="1"/>
  <c r="AB342" i="28"/>
  <c r="AF342" i="28" s="1"/>
  <c r="AB264" i="28"/>
  <c r="AF264" i="28" s="1"/>
  <c r="AJ264" i="28" s="1"/>
  <c r="AP264" i="28" s="1"/>
  <c r="AT264" i="28" s="1"/>
  <c r="AB206" i="28"/>
  <c r="AF206" i="28" s="1"/>
  <c r="AB200" i="28"/>
  <c r="AF200" i="28" s="1"/>
  <c r="AB175" i="28"/>
  <c r="AF175" i="28" s="1"/>
  <c r="AB169" i="28"/>
  <c r="AF169" i="28" s="1"/>
  <c r="AB163" i="28"/>
  <c r="AF163" i="28" s="1"/>
  <c r="AB157" i="28"/>
  <c r="AF157" i="28" s="1"/>
  <c r="AB151" i="28"/>
  <c r="AF151" i="28" s="1"/>
  <c r="AB127" i="28"/>
  <c r="AF127" i="28" s="1"/>
  <c r="AB121" i="28"/>
  <c r="AF121" i="28" s="1"/>
  <c r="AB587" i="28"/>
  <c r="AF587" i="28" s="1"/>
  <c r="AB557" i="28"/>
  <c r="AF557" i="28" s="1"/>
  <c r="AB551" i="28"/>
  <c r="AF551" i="28" s="1"/>
  <c r="AB403" i="28"/>
  <c r="AF403" i="28" s="1"/>
  <c r="AJ403" i="28" s="1"/>
  <c r="AP403" i="28" s="1"/>
  <c r="AT403" i="28" s="1"/>
  <c r="AB395" i="28"/>
  <c r="AF395" i="28" s="1"/>
  <c r="AB356" i="28"/>
  <c r="AF356" i="28" s="1"/>
  <c r="AB251" i="28"/>
  <c r="AF251" i="28" s="1"/>
  <c r="AB156" i="28"/>
  <c r="AF156" i="28" s="1"/>
  <c r="AB86" i="28"/>
  <c r="AF86" i="28" s="1"/>
  <c r="AB486" i="28"/>
  <c r="AF486" i="28" s="1"/>
  <c r="AB553" i="28"/>
  <c r="AF553" i="28" s="1"/>
  <c r="AB463" i="28"/>
  <c r="AF463" i="28" s="1"/>
  <c r="AB451" i="28"/>
  <c r="AF451" i="28" s="1"/>
  <c r="AB437" i="28"/>
  <c r="AF437" i="28" s="1"/>
  <c r="AB420" i="28"/>
  <c r="AF420" i="28" s="1"/>
  <c r="AB364" i="28"/>
  <c r="AF364" i="28" s="1"/>
  <c r="AB225" i="28"/>
  <c r="AF225" i="28" s="1"/>
  <c r="AB519" i="28"/>
  <c r="AF519" i="28" s="1"/>
  <c r="AB534" i="28"/>
  <c r="AF534" i="28" s="1"/>
  <c r="R534" i="28"/>
  <c r="V534" i="28" s="1"/>
  <c r="R519" i="28"/>
  <c r="V519" i="28" s="1"/>
  <c r="R590" i="28"/>
  <c r="V590" i="28" s="1"/>
  <c r="R570" i="28"/>
  <c r="V570" i="28" s="1"/>
  <c r="AB586" i="28"/>
  <c r="AF586" i="28" s="1"/>
  <c r="R553" i="28"/>
  <c r="V553" i="28" s="1"/>
  <c r="AB585" i="28"/>
  <c r="AF585" i="28" s="1"/>
  <c r="R551" i="28"/>
  <c r="V551" i="28" s="1"/>
  <c r="AB581" i="28"/>
  <c r="AF581" i="28" s="1"/>
  <c r="AB577" i="28"/>
  <c r="AF577" i="28" s="1"/>
  <c r="AB564" i="28"/>
  <c r="AF564" i="28" s="1"/>
  <c r="AB185" i="28"/>
  <c r="AF185" i="28" s="1"/>
  <c r="R185" i="28"/>
  <c r="V185" i="28" s="1"/>
  <c r="AB254" i="28"/>
  <c r="AF254" i="28" s="1"/>
  <c r="R254" i="28"/>
  <c r="V254" i="28" s="1"/>
  <c r="R527" i="28"/>
  <c r="V527" i="28" s="1"/>
  <c r="AB527" i="28"/>
  <c r="AF527" i="28" s="1"/>
  <c r="AB343" i="28"/>
  <c r="AF343" i="28" s="1"/>
  <c r="R343" i="28"/>
  <c r="V343" i="28" s="1"/>
  <c r="AB142" i="28"/>
  <c r="AF142" i="28" s="1"/>
  <c r="AJ142" i="28" s="1"/>
  <c r="AP142" i="28" s="1"/>
  <c r="AT142" i="28" s="1"/>
  <c r="AX142" i="28" s="1"/>
  <c r="BF142" i="28" s="1"/>
  <c r="BH142" i="28" s="1"/>
  <c r="R142" i="28"/>
  <c r="V142" i="28" s="1"/>
  <c r="AB574" i="28"/>
  <c r="AF574" i="28" s="1"/>
  <c r="R574" i="28"/>
  <c r="V574" i="28" s="1"/>
  <c r="R550" i="28"/>
  <c r="V550" i="28" s="1"/>
  <c r="AB550" i="28"/>
  <c r="AF550" i="28" s="1"/>
  <c r="AB367" i="28"/>
  <c r="AF367" i="28" s="1"/>
  <c r="R367" i="28"/>
  <c r="V367" i="28" s="1"/>
  <c r="AB573" i="28"/>
  <c r="AF573" i="28" s="1"/>
  <c r="R573" i="28"/>
  <c r="V573" i="28" s="1"/>
  <c r="AB537" i="28"/>
  <c r="AF537" i="28" s="1"/>
  <c r="R537" i="28"/>
  <c r="V537" i="28" s="1"/>
  <c r="AB459" i="28"/>
  <c r="AF459" i="28" s="1"/>
  <c r="R459" i="28"/>
  <c r="V459" i="28" s="1"/>
  <c r="R416" i="28"/>
  <c r="V416" i="28" s="1"/>
  <c r="AB416" i="28"/>
  <c r="AF416" i="28" s="1"/>
  <c r="AB569" i="28"/>
  <c r="AF569" i="28" s="1"/>
  <c r="R569" i="28"/>
  <c r="V569" i="28" s="1"/>
  <c r="R160" i="28"/>
  <c r="V160" i="28" s="1"/>
  <c r="AB160" i="28"/>
  <c r="AF160" i="28" s="1"/>
  <c r="AB454" i="28"/>
  <c r="AF454" i="28" s="1"/>
  <c r="AJ454" i="28" s="1"/>
  <c r="R454" i="28"/>
  <c r="V454" i="28" s="1"/>
  <c r="AB535" i="28"/>
  <c r="AF535" i="28" s="1"/>
  <c r="R535" i="28"/>
  <c r="V535" i="28" s="1"/>
  <c r="AB445" i="28"/>
  <c r="AF445" i="28" s="1"/>
  <c r="R445" i="28"/>
  <c r="V445" i="28" s="1"/>
  <c r="AB325" i="28"/>
  <c r="AF325" i="28" s="1"/>
  <c r="R325" i="28"/>
  <c r="V325" i="28" s="1"/>
  <c r="R211" i="28"/>
  <c r="V211" i="28" s="1"/>
  <c r="AB211" i="28"/>
  <c r="AF211" i="28" s="1"/>
  <c r="R174" i="28"/>
  <c r="V174" i="28" s="1"/>
  <c r="AB174" i="28"/>
  <c r="AF174" i="28" s="1"/>
  <c r="AB113" i="28"/>
  <c r="AF113" i="28" s="1"/>
  <c r="R113" i="28"/>
  <c r="V113" i="28" s="1"/>
  <c r="AB455" i="28"/>
  <c r="AF455" i="28" s="1"/>
  <c r="AJ455" i="28" s="1"/>
  <c r="AP455" i="28" s="1"/>
  <c r="AT455" i="28" s="1"/>
  <c r="AX455" i="28" s="1"/>
  <c r="BF455" i="28" s="1"/>
  <c r="BH455" i="28" s="1"/>
  <c r="R455" i="28"/>
  <c r="V455" i="28" s="1"/>
  <c r="AB483" i="28"/>
  <c r="AF483" i="28" s="1"/>
  <c r="R483" i="28"/>
  <c r="V483" i="28" s="1"/>
  <c r="AB77" i="28"/>
  <c r="AF77" i="28" s="1"/>
  <c r="R77" i="28"/>
  <c r="V77" i="28" s="1"/>
  <c r="AB418" i="28"/>
  <c r="AF418" i="28" s="1"/>
  <c r="R418" i="28"/>
  <c r="V418" i="28" s="1"/>
  <c r="AB571" i="28"/>
  <c r="AF571" i="28" s="1"/>
  <c r="R571" i="28"/>
  <c r="V571" i="28" s="1"/>
  <c r="AB559" i="28"/>
  <c r="AF559" i="28" s="1"/>
  <c r="R559" i="28"/>
  <c r="V559" i="28" s="1"/>
  <c r="AB376" i="28"/>
  <c r="AF376" i="28" s="1"/>
  <c r="AJ376" i="28" s="1"/>
  <c r="R376" i="28"/>
  <c r="V376" i="28" s="1"/>
  <c r="AB126" i="28"/>
  <c r="AF126" i="28" s="1"/>
  <c r="R126" i="28"/>
  <c r="V126" i="28" s="1"/>
  <c r="AB485" i="28"/>
  <c r="AF485" i="28" s="1"/>
  <c r="R485" i="28"/>
  <c r="V485" i="28" s="1"/>
  <c r="AB351" i="28"/>
  <c r="AF351" i="28" s="1"/>
  <c r="R351" i="28"/>
  <c r="V351" i="28" s="1"/>
  <c r="AB210" i="28"/>
  <c r="AF210" i="28" s="1"/>
  <c r="R210" i="28"/>
  <c r="V210" i="28" s="1"/>
  <c r="AB173" i="28"/>
  <c r="AF173" i="28" s="1"/>
  <c r="R173" i="28"/>
  <c r="V173" i="28" s="1"/>
  <c r="R209" i="28"/>
  <c r="V209" i="28" s="1"/>
  <c r="AB209" i="28"/>
  <c r="AF209" i="28" s="1"/>
  <c r="AB466" i="28"/>
  <c r="AF466" i="28" s="1"/>
  <c r="R466" i="28"/>
  <c r="V466" i="28" s="1"/>
  <c r="AB579" i="28"/>
  <c r="AF579" i="28" s="1"/>
  <c r="R579" i="28"/>
  <c r="V579" i="28" s="1"/>
  <c r="AB531" i="28"/>
  <c r="AF531" i="28" s="1"/>
  <c r="R531" i="28"/>
  <c r="V531" i="28" s="1"/>
  <c r="R144" i="28"/>
  <c r="V144" i="28" s="1"/>
  <c r="AB144" i="28"/>
  <c r="AF144" i="28" s="1"/>
  <c r="AB493" i="28"/>
  <c r="AF493" i="28" s="1"/>
  <c r="R493" i="28"/>
  <c r="V493" i="28" s="1"/>
  <c r="R405" i="28"/>
  <c r="V405" i="28" s="1"/>
  <c r="AB405" i="28"/>
  <c r="AF405" i="28" s="1"/>
  <c r="AJ405" i="28" s="1"/>
  <c r="AP405" i="28" s="1"/>
  <c r="AT405" i="28" s="1"/>
  <c r="AB344" i="28"/>
  <c r="AF344" i="28" s="1"/>
  <c r="R344" i="28"/>
  <c r="V344" i="28" s="1"/>
  <c r="AB524" i="28"/>
  <c r="AF524" i="28" s="1"/>
  <c r="R524" i="28"/>
  <c r="V524" i="28" s="1"/>
  <c r="AB271" i="28"/>
  <c r="AF271" i="28" s="1"/>
  <c r="R271" i="28"/>
  <c r="V271" i="28" s="1"/>
  <c r="AB198" i="28"/>
  <c r="AF198" i="28" s="1"/>
  <c r="R198" i="28"/>
  <c r="V198" i="28" s="1"/>
  <c r="AB99" i="28"/>
  <c r="AF99" i="28" s="1"/>
  <c r="R99" i="28"/>
  <c r="V99" i="28" s="1"/>
  <c r="AB529" i="28"/>
  <c r="AF529" i="28" s="1"/>
  <c r="R529" i="28"/>
  <c r="V529" i="28" s="1"/>
  <c r="AB425" i="28"/>
  <c r="AF425" i="28" s="1"/>
  <c r="R425" i="28"/>
  <c r="V425" i="28" s="1"/>
  <c r="R447" i="28"/>
  <c r="V447" i="28" s="1"/>
  <c r="R250" i="28"/>
  <c r="V250" i="28" s="1"/>
  <c r="AB281" i="28"/>
  <c r="AF281" i="28" s="1"/>
  <c r="R281" i="28"/>
  <c r="V281" i="28" s="1"/>
  <c r="AB238" i="28"/>
  <c r="AF238" i="28" s="1"/>
  <c r="R238" i="28"/>
  <c r="V238" i="28" s="1"/>
  <c r="R136" i="28"/>
  <c r="V136" i="28" s="1"/>
  <c r="AB136" i="28"/>
  <c r="AF136" i="28" s="1"/>
  <c r="AB94" i="28"/>
  <c r="AF94" i="28" s="1"/>
  <c r="R94" i="28"/>
  <c r="V94" i="28" s="1"/>
  <c r="AB528" i="28"/>
  <c r="AF528" i="28" s="1"/>
  <c r="R528" i="28"/>
  <c r="V528" i="28" s="1"/>
  <c r="AB280" i="28"/>
  <c r="AF280" i="28" s="1"/>
  <c r="R280" i="28"/>
  <c r="V280" i="28" s="1"/>
  <c r="R587" i="28"/>
  <c r="V587" i="28" s="1"/>
  <c r="R301" i="28"/>
  <c r="V301" i="28" s="1"/>
  <c r="AB461" i="28"/>
  <c r="AF461" i="28" s="1"/>
  <c r="R461" i="28"/>
  <c r="V461" i="28" s="1"/>
  <c r="R449" i="28"/>
  <c r="V449" i="28" s="1"/>
  <c r="AB449" i="28"/>
  <c r="AF449" i="28" s="1"/>
  <c r="AB392" i="28"/>
  <c r="AF392" i="28" s="1"/>
  <c r="AJ392" i="28" s="1"/>
  <c r="AP392" i="28" s="1"/>
  <c r="AT392" i="28" s="1"/>
  <c r="AX392" i="28" s="1"/>
  <c r="BF392" i="28" s="1"/>
  <c r="BH392" i="28" s="1"/>
  <c r="R392" i="28"/>
  <c r="V392" i="28" s="1"/>
  <c r="AB359" i="28"/>
  <c r="AF359" i="28" s="1"/>
  <c r="R359" i="28"/>
  <c r="V359" i="28" s="1"/>
  <c r="AB346" i="28"/>
  <c r="AF346" i="28" s="1"/>
  <c r="R346" i="28"/>
  <c r="V346" i="28" s="1"/>
  <c r="AB78" i="28"/>
  <c r="AF78" i="28" s="1"/>
  <c r="R78" i="28"/>
  <c r="V78" i="28" s="1"/>
  <c r="AB578" i="28"/>
  <c r="AF578" i="28" s="1"/>
  <c r="R578" i="28"/>
  <c r="V578" i="28" s="1"/>
  <c r="AB374" i="28"/>
  <c r="AF374" i="28" s="1"/>
  <c r="AJ374" i="28" s="1"/>
  <c r="R374" i="28"/>
  <c r="V374" i="28" s="1"/>
  <c r="R314" i="28"/>
  <c r="V314" i="28" s="1"/>
  <c r="AB314" i="28"/>
  <c r="AF314" i="28" s="1"/>
  <c r="AJ314" i="28" s="1"/>
  <c r="AB227" i="28"/>
  <c r="AF227" i="28" s="1"/>
  <c r="R227" i="28"/>
  <c r="V227" i="28" s="1"/>
  <c r="R586" i="28"/>
  <c r="V586" i="28" s="1"/>
  <c r="R364" i="28"/>
  <c r="V364" i="28" s="1"/>
  <c r="R149" i="28"/>
  <c r="V149" i="28" s="1"/>
  <c r="AB324" i="28"/>
  <c r="AF324" i="28" s="1"/>
  <c r="AB191" i="28"/>
  <c r="AF191" i="28" s="1"/>
  <c r="R592" i="28"/>
  <c r="AB580" i="28"/>
  <c r="AF580" i="28" s="1"/>
  <c r="R580" i="28"/>
  <c r="V580" i="28" s="1"/>
  <c r="AB568" i="28"/>
  <c r="AF568" i="28" s="1"/>
  <c r="R568" i="28"/>
  <c r="V568" i="28" s="1"/>
  <c r="AB556" i="28"/>
  <c r="AF556" i="28" s="1"/>
  <c r="R556" i="28"/>
  <c r="V556" i="28" s="1"/>
  <c r="AB544" i="28"/>
  <c r="AF544" i="28" s="1"/>
  <c r="R544" i="28"/>
  <c r="V544" i="28" s="1"/>
  <c r="AB532" i="28"/>
  <c r="AF532" i="28" s="1"/>
  <c r="R532" i="28"/>
  <c r="V532" i="28" s="1"/>
  <c r="AB472" i="28"/>
  <c r="AF472" i="28" s="1"/>
  <c r="R472" i="28"/>
  <c r="V472" i="28" s="1"/>
  <c r="AB406" i="28"/>
  <c r="AF406" i="28" s="1"/>
  <c r="AJ406" i="28" s="1"/>
  <c r="AP406" i="28" s="1"/>
  <c r="AT406" i="28" s="1"/>
  <c r="AX406" i="28" s="1"/>
  <c r="BF406" i="28" s="1"/>
  <c r="BH406" i="28" s="1"/>
  <c r="R406" i="28"/>
  <c r="V406" i="28" s="1"/>
  <c r="AB345" i="28"/>
  <c r="AF345" i="28" s="1"/>
  <c r="R345" i="28"/>
  <c r="V345" i="28" s="1"/>
  <c r="AB279" i="28"/>
  <c r="AF279" i="28" s="1"/>
  <c r="R279" i="28"/>
  <c r="V279" i="28" s="1"/>
  <c r="AB266" i="28"/>
  <c r="AF266" i="28" s="1"/>
  <c r="AJ266" i="28" s="1"/>
  <c r="AP266" i="28" s="1"/>
  <c r="AT266" i="28" s="1"/>
  <c r="R266" i="28"/>
  <c r="V266" i="28" s="1"/>
  <c r="AB207" i="28"/>
  <c r="AF207" i="28" s="1"/>
  <c r="R207" i="28"/>
  <c r="V207" i="28" s="1"/>
  <c r="AB183" i="28"/>
  <c r="AF183" i="28" s="1"/>
  <c r="R183" i="28"/>
  <c r="V183" i="28" s="1"/>
  <c r="AB170" i="28"/>
  <c r="AF170" i="28" s="1"/>
  <c r="R170" i="28"/>
  <c r="V170" i="28" s="1"/>
  <c r="AB146" i="28"/>
  <c r="AF146" i="28" s="1"/>
  <c r="R146" i="28"/>
  <c r="V146" i="28" s="1"/>
  <c r="AB134" i="28"/>
  <c r="AF134" i="28" s="1"/>
  <c r="R134" i="28"/>
  <c r="V134" i="28" s="1"/>
  <c r="AB108" i="28"/>
  <c r="AF108" i="28" s="1"/>
  <c r="R108" i="28"/>
  <c r="V108" i="28" s="1"/>
  <c r="AB546" i="28"/>
  <c r="AF546" i="28" s="1"/>
  <c r="R546" i="28"/>
  <c r="V546" i="28" s="1"/>
  <c r="AB489" i="28"/>
  <c r="AF489" i="28" s="1"/>
  <c r="R489" i="28"/>
  <c r="V489" i="28" s="1"/>
  <c r="AB311" i="28"/>
  <c r="AF311" i="28" s="1"/>
  <c r="AJ311" i="28" s="1"/>
  <c r="R311" i="28"/>
  <c r="V311" i="28" s="1"/>
  <c r="AB87" i="28"/>
  <c r="AF87" i="28" s="1"/>
  <c r="R87" i="28"/>
  <c r="V87" i="28" s="1"/>
  <c r="R585" i="28"/>
  <c r="V585" i="28" s="1"/>
  <c r="R356" i="28"/>
  <c r="V356" i="28" s="1"/>
  <c r="R225" i="28"/>
  <c r="V225" i="28" s="1"/>
  <c r="AB533" i="28"/>
  <c r="AF533" i="28" s="1"/>
  <c r="AB172" i="28"/>
  <c r="AF172" i="28" s="1"/>
  <c r="AB424" i="28"/>
  <c r="AF424" i="28" s="1"/>
  <c r="R424" i="28"/>
  <c r="V424" i="28" s="1"/>
  <c r="AB187" i="28"/>
  <c r="AF187" i="28" s="1"/>
  <c r="R187" i="28"/>
  <c r="V187" i="28" s="1"/>
  <c r="AB430" i="28"/>
  <c r="AF430" i="28" s="1"/>
  <c r="R430" i="28"/>
  <c r="V430" i="28" s="1"/>
  <c r="AB357" i="28"/>
  <c r="AF357" i="28" s="1"/>
  <c r="R357" i="28"/>
  <c r="V357" i="28" s="1"/>
  <c r="AB194" i="28"/>
  <c r="AF194" i="28" s="1"/>
  <c r="R194" i="28"/>
  <c r="V194" i="28" s="1"/>
  <c r="R133" i="28"/>
  <c r="V133" i="28" s="1"/>
  <c r="AB133" i="28"/>
  <c r="AF133" i="28" s="1"/>
  <c r="AB545" i="28"/>
  <c r="AF545" i="28" s="1"/>
  <c r="R545" i="28"/>
  <c r="V545" i="28" s="1"/>
  <c r="AB415" i="28"/>
  <c r="AF415" i="28" s="1"/>
  <c r="R415" i="28"/>
  <c r="V415" i="28" s="1"/>
  <c r="AB221" i="28"/>
  <c r="AF221" i="28" s="1"/>
  <c r="R221" i="28"/>
  <c r="V221" i="28" s="1"/>
  <c r="AB525" i="28"/>
  <c r="AF525" i="28" s="1"/>
  <c r="R525" i="28"/>
  <c r="V525" i="28" s="1"/>
  <c r="AB584" i="28"/>
  <c r="AF584" i="28" s="1"/>
  <c r="R584" i="28"/>
  <c r="V584" i="28" s="1"/>
  <c r="AB452" i="28"/>
  <c r="AF452" i="28" s="1"/>
  <c r="R452" i="28"/>
  <c r="V452" i="28" s="1"/>
  <c r="AB138" i="28"/>
  <c r="AF138" i="28" s="1"/>
  <c r="R138" i="28"/>
  <c r="V138" i="28" s="1"/>
  <c r="AB330" i="28"/>
  <c r="AF330" i="28" s="1"/>
  <c r="R330" i="28"/>
  <c r="V330" i="28" s="1"/>
  <c r="AB181" i="28"/>
  <c r="AF181" i="28" s="1"/>
  <c r="R181" i="28"/>
  <c r="V181" i="28" s="1"/>
  <c r="AB562" i="28"/>
  <c r="AF562" i="28" s="1"/>
  <c r="R562" i="28"/>
  <c r="V562" i="28" s="1"/>
  <c r="R453" i="28"/>
  <c r="V453" i="28" s="1"/>
  <c r="AB453" i="28"/>
  <c r="AF453" i="28" s="1"/>
  <c r="AB478" i="28"/>
  <c r="AF478" i="28" s="1"/>
  <c r="R478" i="28"/>
  <c r="V478" i="28" s="1"/>
  <c r="AB162" i="28"/>
  <c r="AF162" i="28" s="1"/>
  <c r="R162" i="28"/>
  <c r="V162" i="28" s="1"/>
  <c r="AB220" i="28"/>
  <c r="AF220" i="28" s="1"/>
  <c r="R220" i="28"/>
  <c r="V220" i="28" s="1"/>
  <c r="AB145" i="28"/>
  <c r="AF145" i="28" s="1"/>
  <c r="R145" i="28"/>
  <c r="V145" i="28" s="1"/>
  <c r="AB176" i="28"/>
  <c r="AF176" i="28" s="1"/>
  <c r="R176" i="28"/>
  <c r="V176" i="28" s="1"/>
  <c r="AB567" i="28"/>
  <c r="AF567" i="28" s="1"/>
  <c r="R567" i="28"/>
  <c r="V567" i="28" s="1"/>
  <c r="AB369" i="28"/>
  <c r="AF369" i="28" s="1"/>
  <c r="R369" i="28"/>
  <c r="V369" i="28" s="1"/>
  <c r="AB306" i="28"/>
  <c r="AF306" i="28" s="1"/>
  <c r="R306" i="28"/>
  <c r="V306" i="28" s="1"/>
  <c r="AB232" i="28"/>
  <c r="AF232" i="28" s="1"/>
  <c r="R232" i="28"/>
  <c r="V232" i="28" s="1"/>
  <c r="AB308" i="28"/>
  <c r="AF308" i="28" s="1"/>
  <c r="R308" i="28"/>
  <c r="V308" i="28" s="1"/>
  <c r="R224" i="28"/>
  <c r="V224" i="28" s="1"/>
  <c r="AB148" i="28"/>
  <c r="AF148" i="28" s="1"/>
  <c r="AB446" i="28"/>
  <c r="AF446" i="28" s="1"/>
  <c r="R446" i="28"/>
  <c r="V446" i="28" s="1"/>
  <c r="R380" i="28"/>
  <c r="V380" i="28" s="1"/>
  <c r="AB380" i="28"/>
  <c r="AF380" i="28" s="1"/>
  <c r="AJ380" i="28" s="1"/>
  <c r="AB329" i="28"/>
  <c r="AF329" i="28" s="1"/>
  <c r="R329" i="28"/>
  <c r="V329" i="28" s="1"/>
  <c r="AB305" i="28"/>
  <c r="AF305" i="28" s="1"/>
  <c r="R305" i="28"/>
  <c r="V305" i="28" s="1"/>
  <c r="AB289" i="28"/>
  <c r="AF289" i="28" s="1"/>
  <c r="R289" i="28"/>
  <c r="V289" i="28" s="1"/>
  <c r="AB205" i="28"/>
  <c r="AF205" i="28" s="1"/>
  <c r="AB180" i="28"/>
  <c r="AF180" i="28" s="1"/>
  <c r="AB307" i="28"/>
  <c r="AF307" i="28" s="1"/>
  <c r="R307" i="28"/>
  <c r="V307" i="28" s="1"/>
  <c r="R465" i="28"/>
  <c r="V465" i="28" s="1"/>
  <c r="AB541" i="28"/>
  <c r="AF541" i="28" s="1"/>
  <c r="R541" i="28"/>
  <c r="V541" i="28" s="1"/>
  <c r="AB469" i="28"/>
  <c r="AF469" i="28" s="1"/>
  <c r="R469" i="28"/>
  <c r="V469" i="28" s="1"/>
  <c r="AB457" i="28"/>
  <c r="AF457" i="28" s="1"/>
  <c r="AJ457" i="28" s="1"/>
  <c r="AP457" i="28" s="1"/>
  <c r="AT457" i="28" s="1"/>
  <c r="AX457" i="28" s="1"/>
  <c r="BF457" i="28" s="1"/>
  <c r="BH457" i="28" s="1"/>
  <c r="R457" i="28"/>
  <c r="V457" i="28" s="1"/>
  <c r="AB428" i="28"/>
  <c r="AF428" i="28" s="1"/>
  <c r="R428" i="28"/>
  <c r="V428" i="28" s="1"/>
  <c r="AB379" i="28"/>
  <c r="AF379" i="28" s="1"/>
  <c r="AJ379" i="28" s="1"/>
  <c r="R379" i="28"/>
  <c r="V379" i="28" s="1"/>
  <c r="AB355" i="28"/>
  <c r="AF355" i="28" s="1"/>
  <c r="R355" i="28"/>
  <c r="V355" i="28" s="1"/>
  <c r="AB328" i="28"/>
  <c r="AF328" i="28" s="1"/>
  <c r="R328" i="28"/>
  <c r="V328" i="28" s="1"/>
  <c r="AB316" i="28"/>
  <c r="AF316" i="28" s="1"/>
  <c r="AJ316" i="28" s="1"/>
  <c r="AP316" i="28" s="1"/>
  <c r="AT316" i="28" s="1"/>
  <c r="R316" i="28"/>
  <c r="V316" i="28" s="1"/>
  <c r="AB288" i="28"/>
  <c r="AF288" i="28" s="1"/>
  <c r="R288" i="28"/>
  <c r="V288" i="28" s="1"/>
  <c r="AB263" i="28"/>
  <c r="AF263" i="28" s="1"/>
  <c r="AJ263" i="28" s="1"/>
  <c r="AP263" i="28" s="1"/>
  <c r="AT263" i="28" s="1"/>
  <c r="R263" i="28"/>
  <c r="V263" i="28" s="1"/>
  <c r="AB249" i="28"/>
  <c r="AF249" i="28" s="1"/>
  <c r="R249" i="28"/>
  <c r="V249" i="28" s="1"/>
  <c r="AB540" i="28"/>
  <c r="AF540" i="28" s="1"/>
  <c r="R540" i="28"/>
  <c r="V540" i="28" s="1"/>
  <c r="AB124" i="28"/>
  <c r="AF124" i="28" s="1"/>
  <c r="R124" i="28"/>
  <c r="V124" i="28" s="1"/>
  <c r="AB83" i="28"/>
  <c r="AF83" i="28" s="1"/>
  <c r="R83" i="28"/>
  <c r="V83" i="28" s="1"/>
  <c r="R518" i="28"/>
  <c r="V518" i="28" s="1"/>
  <c r="R411" i="28"/>
  <c r="V411" i="28" s="1"/>
  <c r="R274" i="28"/>
  <c r="V274" i="28" s="1"/>
  <c r="R137" i="28"/>
  <c r="V137" i="28" s="1"/>
  <c r="AB496" i="28"/>
  <c r="AF496" i="28" s="1"/>
  <c r="R496" i="28"/>
  <c r="V496" i="28" s="1"/>
  <c r="AB427" i="28"/>
  <c r="AF427" i="28" s="1"/>
  <c r="R427" i="28"/>
  <c r="V427" i="28" s="1"/>
  <c r="R378" i="28"/>
  <c r="V378" i="28" s="1"/>
  <c r="AB378" i="28"/>
  <c r="AF378" i="28" s="1"/>
  <c r="AJ378" i="28" s="1"/>
  <c r="AB262" i="28"/>
  <c r="AF262" i="28" s="1"/>
  <c r="AJ262" i="28" s="1"/>
  <c r="AP262" i="28" s="1"/>
  <c r="AT262" i="28" s="1"/>
  <c r="AX262" i="28" s="1"/>
  <c r="R262" i="28"/>
  <c r="V262" i="28" s="1"/>
  <c r="AB248" i="28"/>
  <c r="AF248" i="28" s="1"/>
  <c r="R248" i="28"/>
  <c r="V248" i="28" s="1"/>
  <c r="AB229" i="28"/>
  <c r="AF229" i="28" s="1"/>
  <c r="AJ229" i="28" s="1"/>
  <c r="AP229" i="28" s="1"/>
  <c r="AT229" i="28" s="1"/>
  <c r="AX229" i="28" s="1"/>
  <c r="BF229" i="28" s="1"/>
  <c r="BH229" i="28" s="1"/>
  <c r="R229" i="28"/>
  <c r="V229" i="28" s="1"/>
  <c r="AB215" i="28"/>
  <c r="AF215" i="28" s="1"/>
  <c r="R215" i="28"/>
  <c r="V215" i="28" s="1"/>
  <c r="AB203" i="28"/>
  <c r="AF203" i="28" s="1"/>
  <c r="R203" i="28"/>
  <c r="V203" i="28" s="1"/>
  <c r="AB166" i="28"/>
  <c r="AF166" i="28" s="1"/>
  <c r="R166" i="28"/>
  <c r="V166" i="28" s="1"/>
  <c r="AB154" i="28"/>
  <c r="AF154" i="28" s="1"/>
  <c r="R154" i="28"/>
  <c r="V154" i="28" s="1"/>
  <c r="AB130" i="28"/>
  <c r="AF130" i="28" s="1"/>
  <c r="R130" i="28"/>
  <c r="V130" i="28" s="1"/>
  <c r="AB104" i="28"/>
  <c r="AF104" i="28" s="1"/>
  <c r="R104" i="28"/>
  <c r="V104" i="28" s="1"/>
  <c r="AB594" i="28"/>
  <c r="AF594" i="28" s="1"/>
  <c r="AJ594" i="28" s="1"/>
  <c r="AP594" i="28" s="1"/>
  <c r="AT594" i="28" s="1"/>
  <c r="AX594" i="28" s="1"/>
  <c r="BF594" i="28" s="1"/>
  <c r="BH594" i="28" s="1"/>
  <c r="R594" i="28"/>
  <c r="V594" i="28" s="1"/>
  <c r="AB444" i="28"/>
  <c r="AF444" i="28" s="1"/>
  <c r="R444" i="28"/>
  <c r="V444" i="28" s="1"/>
  <c r="R557" i="28"/>
  <c r="V557" i="28" s="1"/>
  <c r="R403" i="28"/>
  <c r="V403" i="28" s="1"/>
  <c r="R342" i="28"/>
  <c r="V342" i="28" s="1"/>
  <c r="R214" i="28"/>
  <c r="V214" i="28" s="1"/>
  <c r="R169" i="28"/>
  <c r="V169" i="28" s="1"/>
  <c r="R86" i="28"/>
  <c r="V86" i="28" s="1"/>
  <c r="AB462" i="28"/>
  <c r="AF462" i="28" s="1"/>
  <c r="AB106" i="28"/>
  <c r="AF106" i="28" s="1"/>
  <c r="AB283" i="28"/>
  <c r="AF283" i="28" s="1"/>
  <c r="R283" i="28"/>
  <c r="V283" i="28" s="1"/>
  <c r="AB100" i="28"/>
  <c r="AF100" i="28" s="1"/>
  <c r="R100" i="28"/>
  <c r="V100" i="28" s="1"/>
  <c r="AB543" i="28"/>
  <c r="AF543" i="28" s="1"/>
  <c r="R543" i="28"/>
  <c r="V543" i="28" s="1"/>
  <c r="AB381" i="28"/>
  <c r="AF381" i="28" s="1"/>
  <c r="AJ381" i="28" s="1"/>
  <c r="R381" i="28"/>
  <c r="V381" i="28" s="1"/>
  <c r="AB90" i="28"/>
  <c r="AF90" i="28" s="1"/>
  <c r="R90" i="28"/>
  <c r="V90" i="28" s="1"/>
  <c r="AB371" i="28"/>
  <c r="AF371" i="28" s="1"/>
  <c r="R371" i="28"/>
  <c r="V371" i="28" s="1"/>
  <c r="R270" i="28"/>
  <c r="V270" i="28" s="1"/>
  <c r="R132" i="28"/>
  <c r="V132" i="28" s="1"/>
  <c r="AB132" i="28"/>
  <c r="AF132" i="28" s="1"/>
  <c r="AB484" i="28"/>
  <c r="AF484" i="28" s="1"/>
  <c r="R484" i="28"/>
  <c r="V484" i="28" s="1"/>
  <c r="AB458" i="28"/>
  <c r="AF458" i="28" s="1"/>
  <c r="AJ458" i="28" s="1"/>
  <c r="AP458" i="28" s="1"/>
  <c r="AT458" i="28" s="1"/>
  <c r="AX458" i="28" s="1"/>
  <c r="R458" i="28"/>
  <c r="V458" i="28" s="1"/>
  <c r="R417" i="28"/>
  <c r="V417" i="28" s="1"/>
  <c r="AB417" i="28"/>
  <c r="AF417" i="28" s="1"/>
  <c r="AB368" i="28"/>
  <c r="AF368" i="28" s="1"/>
  <c r="R368" i="28"/>
  <c r="V368" i="28" s="1"/>
  <c r="AB217" i="28"/>
  <c r="AF217" i="28" s="1"/>
  <c r="R217" i="28"/>
  <c r="V217" i="28" s="1"/>
  <c r="AB168" i="28"/>
  <c r="AF168" i="28" s="1"/>
  <c r="R168" i="28"/>
  <c r="V168" i="28" s="1"/>
  <c r="AB341" i="28"/>
  <c r="AF341" i="28" s="1"/>
  <c r="R341" i="28"/>
  <c r="V341" i="28" s="1"/>
  <c r="AB267" i="28"/>
  <c r="AF267" i="28" s="1"/>
  <c r="AJ267" i="28" s="1"/>
  <c r="R267" i="28"/>
  <c r="V267" i="28" s="1"/>
  <c r="AB575" i="28"/>
  <c r="AF575" i="28" s="1"/>
  <c r="R575" i="28"/>
  <c r="V575" i="28" s="1"/>
  <c r="AB563" i="28"/>
  <c r="AF563" i="28" s="1"/>
  <c r="R563" i="28"/>
  <c r="V563" i="28" s="1"/>
  <c r="AB539" i="28"/>
  <c r="AF539" i="28" s="1"/>
  <c r="R539" i="28"/>
  <c r="V539" i="28" s="1"/>
  <c r="AB481" i="28"/>
  <c r="AF481" i="28" s="1"/>
  <c r="R481" i="28"/>
  <c r="V481" i="28" s="1"/>
  <c r="AB467" i="28"/>
  <c r="AF467" i="28" s="1"/>
  <c r="R467" i="28"/>
  <c r="V467" i="28" s="1"/>
  <c r="AB443" i="28"/>
  <c r="AF443" i="28" s="1"/>
  <c r="R443" i="28"/>
  <c r="V443" i="28" s="1"/>
  <c r="AB426" i="28"/>
  <c r="AF426" i="28" s="1"/>
  <c r="R426" i="28"/>
  <c r="V426" i="28" s="1"/>
  <c r="R353" i="28"/>
  <c r="V353" i="28" s="1"/>
  <c r="AB353" i="28"/>
  <c r="AF353" i="28" s="1"/>
  <c r="AB202" i="28"/>
  <c r="AF202" i="28" s="1"/>
  <c r="R202" i="28"/>
  <c r="V202" i="28" s="1"/>
  <c r="AB103" i="28"/>
  <c r="AF103" i="28" s="1"/>
  <c r="R103" i="28"/>
  <c r="V103" i="28" s="1"/>
  <c r="R593" i="28"/>
  <c r="V593" i="28" s="1"/>
  <c r="AB593" i="28"/>
  <c r="AF593" i="28" s="1"/>
  <c r="AJ593" i="28" s="1"/>
  <c r="AP593" i="28" s="1"/>
  <c r="AT593" i="28" s="1"/>
  <c r="AX593" i="28" s="1"/>
  <c r="BF593" i="28" s="1"/>
  <c r="BH593" i="28" s="1"/>
  <c r="AB439" i="28"/>
  <c r="AF439" i="28" s="1"/>
  <c r="R439" i="28"/>
  <c r="V439" i="28" s="1"/>
  <c r="R360" i="28"/>
  <c r="V360" i="28" s="1"/>
  <c r="AB360" i="28"/>
  <c r="AF360" i="28" s="1"/>
  <c r="AB253" i="28"/>
  <c r="AF253" i="28" s="1"/>
  <c r="R253" i="28"/>
  <c r="V253" i="28" s="1"/>
  <c r="AB122" i="28"/>
  <c r="AF122" i="28" s="1"/>
  <c r="R122" i="28"/>
  <c r="V122" i="28" s="1"/>
  <c r="R555" i="28"/>
  <c r="V555" i="28" s="1"/>
  <c r="R402" i="28"/>
  <c r="V402" i="28" s="1"/>
  <c r="R264" i="28"/>
  <c r="V264" i="28" s="1"/>
  <c r="AB442" i="28"/>
  <c r="AF442" i="28" s="1"/>
  <c r="R442" i="28"/>
  <c r="V442" i="28" s="1"/>
  <c r="AB412" i="28"/>
  <c r="AF412" i="28" s="1"/>
  <c r="R412" i="28"/>
  <c r="V412" i="28" s="1"/>
  <c r="AB399" i="28"/>
  <c r="AF399" i="28" s="1"/>
  <c r="AJ399" i="28" s="1"/>
  <c r="AP399" i="28" s="1"/>
  <c r="AT399" i="28" s="1"/>
  <c r="R399" i="28"/>
  <c r="V399" i="28" s="1"/>
  <c r="AB352" i="28"/>
  <c r="AF352" i="28" s="1"/>
  <c r="R352" i="28"/>
  <c r="V352" i="28" s="1"/>
  <c r="AB338" i="28"/>
  <c r="AF338" i="28" s="1"/>
  <c r="R338" i="28"/>
  <c r="V338" i="28" s="1"/>
  <c r="AB313" i="28"/>
  <c r="AF313" i="28" s="1"/>
  <c r="AJ313" i="28" s="1"/>
  <c r="R313" i="28"/>
  <c r="V313" i="28" s="1"/>
  <c r="AB589" i="28"/>
  <c r="AF589" i="28" s="1"/>
  <c r="R589" i="28"/>
  <c r="V589" i="28" s="1"/>
  <c r="AB438" i="28"/>
  <c r="AF438" i="28" s="1"/>
  <c r="R438" i="28"/>
  <c r="V438" i="28" s="1"/>
  <c r="AB401" i="28"/>
  <c r="AF401" i="28" s="1"/>
  <c r="AJ401" i="28" s="1"/>
  <c r="AP401" i="28" s="1"/>
  <c r="AT401" i="28" s="1"/>
  <c r="AX401" i="28" s="1"/>
  <c r="BF401" i="28" s="1"/>
  <c r="BH401" i="28" s="1"/>
  <c r="R401" i="28"/>
  <c r="V401" i="28" s="1"/>
  <c r="AB326" i="28"/>
  <c r="AF326" i="28" s="1"/>
  <c r="R326" i="28"/>
  <c r="V326" i="28" s="1"/>
  <c r="AB291" i="28"/>
  <c r="AF291" i="28" s="1"/>
  <c r="R291" i="28"/>
  <c r="V291" i="28" s="1"/>
  <c r="AB252" i="28"/>
  <c r="AF252" i="28" s="1"/>
  <c r="R252" i="28"/>
  <c r="V252" i="28" s="1"/>
  <c r="R159" i="28"/>
  <c r="V159" i="28" s="1"/>
  <c r="AB159" i="28"/>
  <c r="AF159" i="28" s="1"/>
  <c r="AB120" i="28"/>
  <c r="AF120" i="28" s="1"/>
  <c r="R120" i="28"/>
  <c r="V120" i="28" s="1"/>
  <c r="R554" i="28"/>
  <c r="V554" i="28" s="1"/>
  <c r="R398" i="28"/>
  <c r="V398" i="28" s="1"/>
  <c r="R257" i="28"/>
  <c r="V257" i="28" s="1"/>
  <c r="R206" i="28"/>
  <c r="V206" i="28" s="1"/>
  <c r="AB561" i="28"/>
  <c r="AF561" i="28" s="1"/>
  <c r="R561" i="28"/>
  <c r="V561" i="28" s="1"/>
  <c r="AB375" i="28"/>
  <c r="AF375" i="28" s="1"/>
  <c r="AJ375" i="28" s="1"/>
  <c r="R375" i="28"/>
  <c r="V375" i="28" s="1"/>
  <c r="AB363" i="28"/>
  <c r="AF363" i="28" s="1"/>
  <c r="R363" i="28"/>
  <c r="V363" i="28" s="1"/>
  <c r="AB336" i="28"/>
  <c r="AF336" i="28" s="1"/>
  <c r="R336" i="28"/>
  <c r="V336" i="28" s="1"/>
  <c r="AB312" i="28"/>
  <c r="AF312" i="28" s="1"/>
  <c r="AJ312" i="28" s="1"/>
  <c r="R312" i="28"/>
  <c r="V312" i="28" s="1"/>
  <c r="R300" i="28"/>
  <c r="V300" i="28" s="1"/>
  <c r="AB300" i="28"/>
  <c r="AF300" i="28" s="1"/>
  <c r="R272" i="28"/>
  <c r="V272" i="28" s="1"/>
  <c r="AB272" i="28"/>
  <c r="AF272" i="28" s="1"/>
  <c r="AJ272" i="28" s="1"/>
  <c r="AP272" i="28" s="1"/>
  <c r="AT272" i="28" s="1"/>
  <c r="AX272" i="28" s="1"/>
  <c r="BF272" i="28" s="1"/>
  <c r="BH272" i="28" s="1"/>
  <c r="AB588" i="28"/>
  <c r="AF588" i="28" s="1"/>
  <c r="R588" i="28"/>
  <c r="V588" i="28" s="1"/>
  <c r="AB558" i="28"/>
  <c r="AF558" i="28" s="1"/>
  <c r="R558" i="28"/>
  <c r="V558" i="28" s="1"/>
  <c r="AB470" i="28"/>
  <c r="AF470" i="28" s="1"/>
  <c r="R470" i="28"/>
  <c r="V470" i="28" s="1"/>
  <c r="AB436" i="28"/>
  <c r="AF436" i="28" s="1"/>
  <c r="R436" i="28"/>
  <c r="V436" i="28" s="1"/>
  <c r="AB400" i="28"/>
  <c r="AF400" i="28" s="1"/>
  <c r="AJ400" i="28" s="1"/>
  <c r="AP400" i="28" s="1"/>
  <c r="AT400" i="28" s="1"/>
  <c r="AX400" i="28" s="1"/>
  <c r="BF400" i="28" s="1"/>
  <c r="BH400" i="28" s="1"/>
  <c r="R400" i="28"/>
  <c r="V400" i="28" s="1"/>
  <c r="AB290" i="28"/>
  <c r="AF290" i="28" s="1"/>
  <c r="R290" i="28"/>
  <c r="V290" i="28" s="1"/>
  <c r="R195" i="28"/>
  <c r="V195" i="28" s="1"/>
  <c r="AB195" i="28"/>
  <c r="AF195" i="28" s="1"/>
  <c r="R158" i="28"/>
  <c r="V158" i="28" s="1"/>
  <c r="AB158" i="28"/>
  <c r="AF158" i="28" s="1"/>
  <c r="R499" i="28"/>
  <c r="V499" i="28" s="1"/>
  <c r="R451" i="28"/>
  <c r="V451" i="28" s="1"/>
  <c r="R318" i="28"/>
  <c r="V318" i="28" s="1"/>
  <c r="R255" i="28"/>
  <c r="V255" i="28" s="1"/>
  <c r="R157" i="28"/>
  <c r="V157" i="28" s="1"/>
  <c r="AB536" i="28"/>
  <c r="AF536" i="28" s="1"/>
  <c r="R536" i="28"/>
  <c r="V536" i="28" s="1"/>
  <c r="AB150" i="28"/>
  <c r="AF150" i="28" s="1"/>
  <c r="R150" i="28"/>
  <c r="V150" i="28" s="1"/>
  <c r="AB82" i="28"/>
  <c r="AF82" i="28" s="1"/>
  <c r="R82" i="28"/>
  <c r="V82" i="28" s="1"/>
  <c r="AB530" i="28"/>
  <c r="AF530" i="28" s="1"/>
  <c r="R530" i="28"/>
  <c r="V530" i="28" s="1"/>
  <c r="AB468" i="28"/>
  <c r="AF468" i="28" s="1"/>
  <c r="R468" i="28"/>
  <c r="V468" i="28" s="1"/>
  <c r="AB431" i="28"/>
  <c r="AF431" i="28" s="1"/>
  <c r="R431" i="28"/>
  <c r="V431" i="28" s="1"/>
  <c r="AB323" i="28"/>
  <c r="AF323" i="28" s="1"/>
  <c r="R323" i="28"/>
  <c r="V323" i="28" s="1"/>
  <c r="AB287" i="28"/>
  <c r="AF287" i="28" s="1"/>
  <c r="R287" i="28"/>
  <c r="V287" i="28" s="1"/>
  <c r="AB193" i="28"/>
  <c r="AF193" i="28" s="1"/>
  <c r="R193" i="28"/>
  <c r="V193" i="28" s="1"/>
  <c r="AB107" i="28"/>
  <c r="AF107" i="28" s="1"/>
  <c r="R107" i="28"/>
  <c r="V107" i="28" s="1"/>
  <c r="R591" i="28"/>
  <c r="V591" i="28" s="1"/>
  <c r="R251" i="28"/>
  <c r="V251" i="28" s="1"/>
  <c r="R156" i="28"/>
  <c r="V156" i="28" s="1"/>
  <c r="R121" i="28"/>
  <c r="V121" i="28" s="1"/>
  <c r="R526" i="28"/>
  <c r="V526" i="28" s="1"/>
  <c r="AB526" i="28"/>
  <c r="AF526" i="28" s="1"/>
  <c r="AB548" i="28"/>
  <c r="AF548" i="28" s="1"/>
  <c r="R548" i="28"/>
  <c r="V548" i="28" s="1"/>
  <c r="AB199" i="28"/>
  <c r="AF199" i="28" s="1"/>
  <c r="R199" i="28"/>
  <c r="V199" i="28" s="1"/>
  <c r="AB583" i="28"/>
  <c r="AF583" i="28" s="1"/>
  <c r="R583" i="28"/>
  <c r="V583" i="28" s="1"/>
  <c r="AB239" i="28"/>
  <c r="AF239" i="28" s="1"/>
  <c r="R239" i="28"/>
  <c r="V239" i="28" s="1"/>
  <c r="AB112" i="28"/>
  <c r="AF112" i="28" s="1"/>
  <c r="R112" i="28"/>
  <c r="V112" i="28" s="1"/>
  <c r="AB498" i="28"/>
  <c r="AF498" i="28" s="1"/>
  <c r="R498" i="28"/>
  <c r="V498" i="28" s="1"/>
  <c r="AB572" i="28"/>
  <c r="AF572" i="28" s="1"/>
  <c r="R480" i="28"/>
  <c r="V480" i="28" s="1"/>
  <c r="AB480" i="28"/>
  <c r="AF480" i="28" s="1"/>
  <c r="R549" i="28"/>
  <c r="V549" i="28" s="1"/>
  <c r="AB549" i="28"/>
  <c r="AF549" i="28" s="1"/>
  <c r="AB231" i="28"/>
  <c r="AF231" i="28" s="1"/>
  <c r="AJ231" i="28" s="1"/>
  <c r="AP231" i="28" s="1"/>
  <c r="AT231" i="28" s="1"/>
  <c r="AX231" i="28" s="1"/>
  <c r="BF231" i="28" s="1"/>
  <c r="BH231" i="28" s="1"/>
  <c r="R231" i="28"/>
  <c r="V231" i="28" s="1"/>
  <c r="AB538" i="28"/>
  <c r="AF538" i="28" s="1"/>
  <c r="R538" i="28"/>
  <c r="V538" i="28" s="1"/>
  <c r="R492" i="28"/>
  <c r="V492" i="28" s="1"/>
  <c r="AB492" i="28"/>
  <c r="AF492" i="28" s="1"/>
  <c r="AB560" i="28"/>
  <c r="AF560" i="28" s="1"/>
  <c r="R560" i="28"/>
  <c r="V560" i="28" s="1"/>
  <c r="AB296" i="28"/>
  <c r="AF296" i="28" s="1"/>
  <c r="R296" i="28"/>
  <c r="V296" i="28" s="1"/>
  <c r="AB547" i="28"/>
  <c r="AF547" i="28" s="1"/>
  <c r="R547" i="28"/>
  <c r="V547" i="28" s="1"/>
  <c r="AB282" i="28"/>
  <c r="AF282" i="28" s="1"/>
  <c r="R282" i="28"/>
  <c r="V282" i="28" s="1"/>
  <c r="AB186" i="28"/>
  <c r="AF186" i="28" s="1"/>
  <c r="R186" i="28"/>
  <c r="V186" i="28" s="1"/>
  <c r="AB161" i="28"/>
  <c r="AF161" i="28" s="1"/>
  <c r="R161" i="28"/>
  <c r="V161" i="28" s="1"/>
  <c r="AB125" i="28"/>
  <c r="AF125" i="28" s="1"/>
  <c r="R125" i="28"/>
  <c r="V125" i="28" s="1"/>
  <c r="AB377" i="28"/>
  <c r="AF377" i="28" s="1"/>
  <c r="AJ377" i="28" s="1"/>
  <c r="R377" i="28"/>
  <c r="V377" i="28" s="1"/>
  <c r="AB286" i="28"/>
  <c r="AF286" i="28" s="1"/>
  <c r="R286" i="28"/>
  <c r="V286" i="28" s="1"/>
  <c r="AB293" i="28"/>
  <c r="AF293" i="28" s="1"/>
  <c r="R293" i="28"/>
  <c r="V293" i="28" s="1"/>
  <c r="AB268" i="28"/>
  <c r="AF268" i="28" s="1"/>
  <c r="AJ268" i="28" s="1"/>
  <c r="R268" i="28"/>
  <c r="V268" i="28" s="1"/>
  <c r="AB223" i="28"/>
  <c r="AF223" i="28" s="1"/>
  <c r="R223" i="28"/>
  <c r="V223" i="28" s="1"/>
  <c r="AB197" i="28"/>
  <c r="AF197" i="28" s="1"/>
  <c r="R197" i="28"/>
  <c r="V197" i="28" s="1"/>
  <c r="AB111" i="28"/>
  <c r="AF111" i="28" s="1"/>
  <c r="R111" i="28"/>
  <c r="V111" i="28" s="1"/>
  <c r="AB79" i="28"/>
  <c r="AF79" i="28" s="1"/>
  <c r="R79" i="28"/>
  <c r="V79" i="28" s="1"/>
  <c r="AB497" i="28"/>
  <c r="AF497" i="28" s="1"/>
  <c r="R497" i="28"/>
  <c r="V497" i="28" s="1"/>
  <c r="R228" i="28"/>
  <c r="V228" i="28" s="1"/>
  <c r="AB228" i="28"/>
  <c r="AF228" i="28" s="1"/>
  <c r="AJ228" i="28" s="1"/>
  <c r="AP228" i="28" s="1"/>
  <c r="AT228" i="28" s="1"/>
  <c r="AX228" i="28" s="1"/>
  <c r="BF228" i="28" s="1"/>
  <c r="BH228" i="28" s="1"/>
  <c r="R423" i="28"/>
  <c r="V423" i="28" s="1"/>
  <c r="AB423" i="28"/>
  <c r="AF423" i="28" s="1"/>
  <c r="AB362" i="28"/>
  <c r="AF362" i="28" s="1"/>
  <c r="R362" i="28"/>
  <c r="V362" i="28" s="1"/>
  <c r="AB335" i="28"/>
  <c r="AF335" i="28" s="1"/>
  <c r="R335" i="28"/>
  <c r="V335" i="28" s="1"/>
  <c r="R165" i="28"/>
  <c r="V165" i="28" s="1"/>
  <c r="AB165" i="28"/>
  <c r="AF165" i="28" s="1"/>
  <c r="AJ165" i="28" s="1"/>
  <c r="AP165" i="28" s="1"/>
  <c r="AT165" i="28" s="1"/>
  <c r="AX165" i="28" s="1"/>
  <c r="BF165" i="28" s="1"/>
  <c r="BH165" i="28" s="1"/>
  <c r="AB331" i="28"/>
  <c r="AF331" i="28" s="1"/>
  <c r="R331" i="28"/>
  <c r="V331" i="28" s="1"/>
  <c r="AB477" i="28"/>
  <c r="AF477" i="28" s="1"/>
  <c r="R477" i="28"/>
  <c r="V477" i="28" s="1"/>
  <c r="AB409" i="28"/>
  <c r="AF409" i="28" s="1"/>
  <c r="AJ409" i="28" s="1"/>
  <c r="AP409" i="28" s="1"/>
  <c r="AT409" i="28" s="1"/>
  <c r="R409" i="28"/>
  <c r="V409" i="28" s="1"/>
  <c r="AB373" i="28"/>
  <c r="AF373" i="28" s="1"/>
  <c r="AJ373" i="28" s="1"/>
  <c r="R373" i="28"/>
  <c r="V373" i="28" s="1"/>
  <c r="R361" i="28"/>
  <c r="V361" i="28" s="1"/>
  <c r="AB361" i="28"/>
  <c r="AF361" i="28" s="1"/>
  <c r="AB334" i="28"/>
  <c r="AF334" i="28" s="1"/>
  <c r="R334" i="28"/>
  <c r="V334" i="28" s="1"/>
  <c r="AB285" i="28"/>
  <c r="AF285" i="28" s="1"/>
  <c r="R285" i="28"/>
  <c r="V285" i="28" s="1"/>
  <c r="AB246" i="28"/>
  <c r="AF246" i="28" s="1"/>
  <c r="R246" i="28"/>
  <c r="V246" i="28" s="1"/>
  <c r="AB213" i="28"/>
  <c r="AF213" i="28" s="1"/>
  <c r="R213" i="28"/>
  <c r="V213" i="28" s="1"/>
  <c r="AB201" i="28"/>
  <c r="AF201" i="28" s="1"/>
  <c r="R201" i="28"/>
  <c r="V201" i="28" s="1"/>
  <c r="AB189" i="28"/>
  <c r="AF189" i="28" s="1"/>
  <c r="R189" i="28"/>
  <c r="V189" i="28" s="1"/>
  <c r="AB164" i="28"/>
  <c r="AF164" i="28" s="1"/>
  <c r="R164" i="28"/>
  <c r="V164" i="28" s="1"/>
  <c r="AB152" i="28"/>
  <c r="AF152" i="28" s="1"/>
  <c r="R152" i="28"/>
  <c r="V152" i="28" s="1"/>
  <c r="AB128" i="28"/>
  <c r="AF128" i="28" s="1"/>
  <c r="R128" i="28"/>
  <c r="V128" i="28" s="1"/>
  <c r="AB115" i="28"/>
  <c r="AF115" i="28" s="1"/>
  <c r="R115" i="28"/>
  <c r="V115" i="28" s="1"/>
  <c r="AB542" i="28"/>
  <c r="AF542" i="28" s="1"/>
  <c r="R542" i="28"/>
  <c r="V542" i="28" s="1"/>
  <c r="AB391" i="28"/>
  <c r="AF391" i="28" s="1"/>
  <c r="AJ391" i="28" s="1"/>
  <c r="AP391" i="28" s="1"/>
  <c r="AT391" i="28" s="1"/>
  <c r="AX391" i="28" s="1"/>
  <c r="BF391" i="28" s="1"/>
  <c r="BH391" i="28" s="1"/>
  <c r="R391" i="28"/>
  <c r="V391" i="28" s="1"/>
  <c r="AB358" i="28"/>
  <c r="AF358" i="28" s="1"/>
  <c r="R358" i="28"/>
  <c r="V358" i="28" s="1"/>
  <c r="R303" i="28"/>
  <c r="V303" i="28" s="1"/>
  <c r="AB303" i="28"/>
  <c r="AF303" i="28" s="1"/>
  <c r="AB102" i="28"/>
  <c r="AF102" i="28" s="1"/>
  <c r="R102" i="28"/>
  <c r="V102" i="28" s="1"/>
  <c r="R437" i="28"/>
  <c r="V437" i="28" s="1"/>
  <c r="AB566" i="28"/>
  <c r="AF566" i="28" s="1"/>
  <c r="R566" i="28"/>
  <c r="V566" i="28" s="1"/>
  <c r="AB260" i="28"/>
  <c r="AF260" i="28" s="1"/>
  <c r="R260" i="28"/>
  <c r="V260" i="28" s="1"/>
  <c r="AB153" i="28"/>
  <c r="AF153" i="28" s="1"/>
  <c r="AJ153" i="28" s="1"/>
  <c r="AP153" i="28" s="1"/>
  <c r="AT153" i="28" s="1"/>
  <c r="R153" i="28"/>
  <c r="V153" i="28" s="1"/>
  <c r="AB116" i="28"/>
  <c r="AF116" i="28" s="1"/>
  <c r="R116" i="28"/>
  <c r="V116" i="28" s="1"/>
  <c r="AB565" i="28"/>
  <c r="AF565" i="28" s="1"/>
  <c r="R565" i="28"/>
  <c r="V565" i="28" s="1"/>
  <c r="AB502" i="28"/>
  <c r="AF502" i="28" s="1"/>
  <c r="R502" i="28"/>
  <c r="V502" i="28" s="1"/>
  <c r="R576" i="28"/>
  <c r="V576" i="28" s="1"/>
  <c r="AB576" i="28"/>
  <c r="AF576" i="28" s="1"/>
  <c r="R552" i="28"/>
  <c r="V552" i="28" s="1"/>
  <c r="AB552" i="28"/>
  <c r="AF552" i="28" s="1"/>
  <c r="AB488" i="28"/>
  <c r="AF488" i="28" s="1"/>
  <c r="R488" i="28"/>
  <c r="V488" i="28" s="1"/>
  <c r="AB393" i="28"/>
  <c r="AF393" i="28" s="1"/>
  <c r="AJ393" i="28" s="1"/>
  <c r="AP393" i="28" s="1"/>
  <c r="AT393" i="28" s="1"/>
  <c r="AX393" i="28" s="1"/>
  <c r="BF393" i="28" s="1"/>
  <c r="BH393" i="28" s="1"/>
  <c r="R393" i="28"/>
  <c r="V393" i="28" s="1"/>
  <c r="AB333" i="28"/>
  <c r="AF333" i="28" s="1"/>
  <c r="R333" i="28"/>
  <c r="V333" i="28" s="1"/>
  <c r="AB309" i="28"/>
  <c r="AF309" i="28" s="1"/>
  <c r="AJ309" i="28" s="1"/>
  <c r="R309" i="28"/>
  <c r="V309" i="28" s="1"/>
  <c r="AB284" i="28"/>
  <c r="AF284" i="28" s="1"/>
  <c r="R284" i="28"/>
  <c r="V284" i="28" s="1"/>
  <c r="AB258" i="28"/>
  <c r="AF258" i="28" s="1"/>
  <c r="R258" i="28"/>
  <c r="V258" i="28" s="1"/>
  <c r="AB245" i="28"/>
  <c r="AF245" i="28" s="1"/>
  <c r="R245" i="28"/>
  <c r="V245" i="28" s="1"/>
  <c r="R327" i="28"/>
  <c r="V327" i="28" s="1"/>
  <c r="AB327" i="28"/>
  <c r="AF327" i="28" s="1"/>
  <c r="AB196" i="28"/>
  <c r="AF196" i="28" s="1"/>
  <c r="R196" i="28"/>
  <c r="V196" i="28" s="1"/>
  <c r="AB292" i="28"/>
  <c r="AF292" i="28" s="1"/>
  <c r="R292" i="28"/>
  <c r="V292" i="28" s="1"/>
  <c r="AB237" i="28"/>
  <c r="AF237" i="28" s="1"/>
  <c r="R237" i="28"/>
  <c r="V237" i="28" s="1"/>
  <c r="AB410" i="28"/>
  <c r="AF410" i="28" s="1"/>
  <c r="AJ410" i="28" s="1"/>
  <c r="R410" i="28"/>
  <c r="V410" i="28" s="1"/>
  <c r="AB372" i="28"/>
  <c r="AF372" i="28" s="1"/>
  <c r="AJ372" i="28" s="1"/>
  <c r="R372" i="28"/>
  <c r="V372" i="28" s="1"/>
  <c r="AB350" i="28"/>
  <c r="AF350" i="28" s="1"/>
  <c r="R350" i="28"/>
  <c r="V350" i="28" s="1"/>
  <c r="AB190" i="28"/>
  <c r="AF190" i="28" s="1"/>
  <c r="R190" i="28"/>
  <c r="V190" i="28" s="1"/>
  <c r="AB123" i="28"/>
  <c r="AF123" i="28" s="1"/>
  <c r="R123" i="28"/>
  <c r="V123" i="28" s="1"/>
  <c r="R317" i="28"/>
  <c r="V317" i="28" s="1"/>
  <c r="AB140" i="28"/>
  <c r="AF140" i="28" s="1"/>
  <c r="R140" i="28"/>
  <c r="V140" i="28" s="1"/>
  <c r="AB265" i="28"/>
  <c r="AF265" i="28" s="1"/>
  <c r="AJ265" i="28" s="1"/>
  <c r="AP265" i="28" s="1"/>
  <c r="AT265" i="28" s="1"/>
  <c r="R265" i="28"/>
  <c r="V265" i="28" s="1"/>
  <c r="AB319" i="28"/>
  <c r="AF319" i="28" s="1"/>
  <c r="AJ319" i="28" s="1"/>
  <c r="AP319" i="28" s="1"/>
  <c r="AT319" i="28" s="1"/>
  <c r="R319" i="28"/>
  <c r="V319" i="28" s="1"/>
  <c r="AB294" i="28"/>
  <c r="AF294" i="28" s="1"/>
  <c r="R294" i="28"/>
  <c r="V294" i="28" s="1"/>
  <c r="AB244" i="28"/>
  <c r="AF244" i="28" s="1"/>
  <c r="R244" i="28"/>
  <c r="V244" i="28" s="1"/>
  <c r="AB212" i="28"/>
  <c r="AF212" i="28" s="1"/>
  <c r="R212" i="28"/>
  <c r="V212" i="28" s="1"/>
  <c r="AB188" i="28"/>
  <c r="AF188" i="28" s="1"/>
  <c r="R188" i="28"/>
  <c r="V188" i="28" s="1"/>
  <c r="AB139" i="28"/>
  <c r="AF139" i="28" s="1"/>
  <c r="R139" i="28"/>
  <c r="V139" i="28" s="1"/>
  <c r="AB114" i="28"/>
  <c r="AF114" i="28" s="1"/>
  <c r="R114" i="28"/>
  <c r="V114" i="28" s="1"/>
  <c r="AB222" i="28"/>
  <c r="AF222" i="28" s="1"/>
  <c r="R582" i="28"/>
  <c r="V582" i="28" s="1"/>
  <c r="AB278" i="28"/>
  <c r="AF278" i="28" s="1"/>
  <c r="R278" i="28"/>
  <c r="V278" i="28" s="1"/>
  <c r="AB456" i="28"/>
  <c r="AF456" i="28" s="1"/>
  <c r="AJ456" i="28" s="1"/>
  <c r="AP456" i="28" s="1"/>
  <c r="AT456" i="28" s="1"/>
  <c r="AX456" i="28" s="1"/>
  <c r="AB366" i="28"/>
  <c r="AF366" i="28" s="1"/>
  <c r="R366" i="28"/>
  <c r="V366" i="28" s="1"/>
  <c r="AB135" i="28"/>
  <c r="AF135" i="28" s="1"/>
  <c r="AB110" i="28"/>
  <c r="AF110" i="28" s="1"/>
  <c r="R101" i="28"/>
  <c r="V101" i="28" s="1"/>
  <c r="AB277" i="28"/>
  <c r="AF277" i="28" s="1"/>
  <c r="AB482" i="28"/>
  <c r="AF482" i="28" s="1"/>
  <c r="AJ482" i="28" s="1"/>
  <c r="AP482" i="28" s="1"/>
  <c r="AT482" i="28" s="1"/>
  <c r="AB370" i="28"/>
  <c r="AF370" i="28" s="1"/>
  <c r="R370" i="28"/>
  <c r="V370" i="28" s="1"/>
  <c r="AB354" i="28"/>
  <c r="AF354" i="28" s="1"/>
  <c r="R354" i="28"/>
  <c r="V354" i="28" s="1"/>
  <c r="R171" i="28"/>
  <c r="V171" i="28" s="1"/>
  <c r="AB448" i="28"/>
  <c r="AF448" i="28" s="1"/>
  <c r="AB80" i="28"/>
  <c r="AF80" i="28" s="1"/>
  <c r="R247" i="28"/>
  <c r="V247" i="28" s="1"/>
  <c r="R204" i="28"/>
  <c r="V204" i="28" s="1"/>
  <c r="T103" i="9" l="1"/>
  <c r="S82" i="26"/>
  <c r="S114" i="26" l="1"/>
  <c r="R112" i="26"/>
  <c r="R110" i="26"/>
  <c r="R108" i="26"/>
  <c r="R106" i="26"/>
  <c r="R104" i="26"/>
  <c r="R102" i="26"/>
  <c r="R100" i="26"/>
  <c r="R98" i="26"/>
  <c r="S94" i="26"/>
  <c r="R91" i="26"/>
  <c r="R89" i="26"/>
  <c r="R87" i="26"/>
  <c r="R85" i="26"/>
  <c r="S83" i="26"/>
  <c r="R80" i="26"/>
  <c r="R78" i="26"/>
  <c r="S75" i="26"/>
  <c r="R73" i="26"/>
  <c r="R71" i="26"/>
  <c r="R69" i="26"/>
  <c r="R67" i="26"/>
  <c r="R65" i="26"/>
  <c r="R63" i="26"/>
  <c r="R61" i="26"/>
  <c r="R59" i="26"/>
  <c r="R54" i="26"/>
  <c r="R52" i="26"/>
  <c r="S50" i="26"/>
  <c r="R48" i="26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R11" i="26"/>
  <c r="R9" i="26"/>
  <c r="S18" i="26" l="1"/>
  <c r="R50" i="26"/>
  <c r="R56" i="26" s="1"/>
  <c r="S57" i="26"/>
  <c r="R83" i="26"/>
  <c r="R94" i="26"/>
  <c r="R82" i="26"/>
  <c r="R114" i="26"/>
  <c r="R75" i="26"/>
  <c r="R45" i="26"/>
  <c r="R12" i="26"/>
  <c r="S13" i="26"/>
  <c r="S19" i="26"/>
  <c r="S56" i="26"/>
  <c r="S51" i="26"/>
  <c r="U110" i="17"/>
  <c r="R18" i="26" l="1"/>
  <c r="R51" i="26"/>
  <c r="R57" i="26"/>
  <c r="R19" i="26"/>
  <c r="R13" i="26"/>
  <c r="S37" i="27"/>
  <c r="S35" i="27"/>
  <c r="S27" i="27"/>
  <c r="S29" i="27"/>
  <c r="S28" i="27"/>
  <c r="S20" i="27"/>
  <c r="S19" i="27"/>
  <c r="S18" i="27"/>
  <c r="S36" i="27" l="1"/>
  <c r="S39" i="27" s="1"/>
  <c r="R36" i="27"/>
  <c r="R39" i="27" s="1"/>
  <c r="R27" i="27"/>
  <c r="R33" i="27" s="1"/>
  <c r="S26" i="27"/>
  <c r="S33" i="27" s="1"/>
  <c r="S22" i="27"/>
  <c r="S21" i="27"/>
  <c r="S24" i="27" s="1"/>
  <c r="R21" i="27"/>
  <c r="R20" i="27"/>
  <c r="R19" i="27"/>
  <c r="R18" i="27"/>
  <c r="R24" i="27" l="1"/>
  <c r="R117" i="17"/>
  <c r="R115" i="17"/>
  <c r="R119" i="17" s="1"/>
  <c r="S87" i="17"/>
  <c r="R87" i="17"/>
  <c r="S86" i="17"/>
  <c r="R86" i="17"/>
  <c r="S85" i="17"/>
  <c r="R85" i="17"/>
  <c r="S84" i="17"/>
  <c r="R84" i="17"/>
  <c r="S83" i="17"/>
  <c r="R83" i="17"/>
  <c r="S74" i="17"/>
  <c r="R74" i="17"/>
  <c r="S67" i="17"/>
  <c r="S69" i="17" s="1"/>
  <c r="R67" i="17"/>
  <c r="R69" i="17" s="1"/>
  <c r="R61" i="17"/>
  <c r="S59" i="17"/>
  <c r="S60" i="17" s="1"/>
  <c r="R58" i="17"/>
  <c r="R57" i="17"/>
  <c r="R55" i="17"/>
  <c r="S52" i="17"/>
  <c r="S53" i="17" s="1"/>
  <c r="R52" i="17"/>
  <c r="S49" i="17"/>
  <c r="R48" i="17"/>
  <c r="S47" i="17"/>
  <c r="R46" i="17"/>
  <c r="S44" i="17"/>
  <c r="S45" i="17" s="1"/>
  <c r="R44" i="17"/>
  <c r="S43" i="17"/>
  <c r="S41" i="17"/>
  <c r="S39" i="17"/>
  <c r="S26" i="17"/>
  <c r="R26" i="17"/>
  <c r="S22" i="17"/>
  <c r="S16" i="17" s="1"/>
  <c r="R21" i="17"/>
  <c r="R19" i="17"/>
  <c r="R18" i="17"/>
  <c r="R16" i="17"/>
  <c r="R30" i="17" s="1"/>
  <c r="R15" i="17"/>
  <c r="S14" i="17"/>
  <c r="S12" i="17"/>
  <c r="S9" i="17"/>
  <c r="R9" i="17"/>
  <c r="R11" i="17" s="1"/>
  <c r="R22" i="17" l="1"/>
  <c r="R31" i="17" s="1"/>
  <c r="S122" i="17"/>
  <c r="S116" i="17"/>
  <c r="R122" i="17"/>
  <c r="R33" i="17"/>
  <c r="S11" i="17"/>
  <c r="S13" i="17"/>
  <c r="S15" i="17" s="1"/>
  <c r="R59" i="17"/>
  <c r="R62" i="17" s="1"/>
  <c r="R50" i="17"/>
  <c r="R114" i="17" s="1"/>
  <c r="S62" i="17"/>
  <c r="R116" i="17"/>
  <c r="S30" i="17"/>
  <c r="S32" i="17"/>
  <c r="S31" i="17"/>
  <c r="S34" i="17"/>
  <c r="S33" i="17"/>
  <c r="R34" i="17"/>
  <c r="S50" i="17"/>
  <c r="R32" i="17"/>
  <c r="T17" i="49"/>
  <c r="T18" i="49" s="1"/>
  <c r="T11" i="49"/>
  <c r="S11" i="49"/>
  <c r="T9" i="49"/>
  <c r="T8" i="49"/>
  <c r="R60" i="17" l="1"/>
  <c r="S117" i="17"/>
  <c r="R118" i="17"/>
  <c r="R54" i="17"/>
  <c r="S54" i="17"/>
  <c r="S114" i="17"/>
  <c r="S118" i="17" s="1"/>
  <c r="S51" i="17"/>
  <c r="S55" i="17" l="1"/>
  <c r="S115" i="17"/>
  <c r="S119" i="17" s="1"/>
  <c r="S99" i="90"/>
  <c r="S90" i="90"/>
  <c r="S115" i="90" l="1"/>
  <c r="S127" i="90"/>
  <c r="S31" i="15"/>
  <c r="S30" i="15"/>
  <c r="S29" i="15"/>
  <c r="S25" i="15"/>
  <c r="S24" i="15"/>
  <c r="S23" i="15"/>
  <c r="S22" i="15"/>
  <c r="S21" i="15"/>
  <c r="R19" i="15"/>
  <c r="S18" i="15"/>
  <c r="S15" i="15"/>
  <c r="R12" i="15"/>
  <c r="R13" i="15" s="1"/>
  <c r="S10" i="15"/>
  <c r="S9" i="15"/>
  <c r="R9" i="15"/>
  <c r="S8" i="15"/>
  <c r="R8" i="15"/>
  <c r="S7" i="15"/>
  <c r="S6" i="15"/>
  <c r="S5" i="15"/>
  <c r="U4" i="50"/>
  <c r="U5" i="50"/>
  <c r="U6" i="50"/>
  <c r="U7" i="50"/>
  <c r="U8" i="50"/>
  <c r="U9" i="50"/>
  <c r="U10" i="50"/>
  <c r="U11" i="50"/>
  <c r="U12" i="50"/>
  <c r="U13" i="50"/>
  <c r="U14" i="50"/>
  <c r="U15" i="50"/>
  <c r="U16" i="50"/>
  <c r="U17" i="50"/>
  <c r="U18" i="50"/>
  <c r="U19" i="50"/>
  <c r="U20" i="50"/>
  <c r="U21" i="50"/>
  <c r="U22" i="50"/>
  <c r="U23" i="50"/>
  <c r="U24" i="50"/>
  <c r="U25" i="50"/>
  <c r="U26" i="50"/>
  <c r="U27" i="50"/>
  <c r="U29" i="50"/>
  <c r="U30" i="50"/>
  <c r="U31" i="50"/>
  <c r="U32" i="50"/>
  <c r="U33" i="50"/>
  <c r="U34" i="50"/>
  <c r="U35" i="50"/>
  <c r="U36" i="50"/>
  <c r="U37" i="50"/>
  <c r="U39" i="50"/>
  <c r="U40" i="50"/>
  <c r="U41" i="50"/>
  <c r="U42" i="50"/>
  <c r="U43" i="50"/>
  <c r="U44" i="50"/>
  <c r="U45" i="50"/>
  <c r="U47" i="50"/>
  <c r="U48" i="50"/>
  <c r="U49" i="50"/>
  <c r="U50" i="50"/>
  <c r="U51" i="50"/>
  <c r="U52" i="50"/>
  <c r="U53" i="50"/>
  <c r="U79" i="50"/>
  <c r="U128" i="50" s="1"/>
  <c r="U93" i="50"/>
  <c r="U138" i="50" s="1"/>
  <c r="U101" i="50"/>
  <c r="U102" i="50"/>
  <c r="U111" i="50"/>
  <c r="U112" i="50"/>
  <c r="U115" i="50"/>
  <c r="U127" i="50"/>
  <c r="U137" i="50"/>
  <c r="U141" i="50"/>
  <c r="U142" i="50"/>
  <c r="U144" i="50"/>
  <c r="O31" i="72"/>
  <c r="S31" i="72" s="1"/>
  <c r="K31" i="72"/>
  <c r="Y31" i="72" s="1"/>
  <c r="AC31" i="72" s="1"/>
  <c r="AG31" i="72" s="1"/>
  <c r="AM31" i="72" s="1"/>
  <c r="AQ31" i="72" s="1"/>
  <c r="AU31" i="72" s="1"/>
  <c r="BC31" i="72" s="1"/>
  <c r="K32" i="72"/>
  <c r="Y32" i="72" s="1"/>
  <c r="AC32" i="72" s="1"/>
  <c r="AG32" i="72" s="1"/>
  <c r="AM32" i="72" s="1"/>
  <c r="AQ32" i="72" s="1"/>
  <c r="AU32" i="72" s="1"/>
  <c r="BC32" i="72" s="1"/>
  <c r="AU34" i="71"/>
  <c r="AW34" i="71"/>
  <c r="BA34" i="71"/>
  <c r="BE34" i="71"/>
  <c r="BI34" i="71"/>
  <c r="CQ34" i="71"/>
  <c r="CS34" i="71" s="1"/>
  <c r="AY34" i="71" l="1"/>
  <c r="BC34" i="71"/>
  <c r="CU34" i="71"/>
  <c r="BO34" i="71"/>
  <c r="U139" i="50"/>
  <c r="U54" i="50"/>
  <c r="U124" i="50" s="1"/>
  <c r="U46" i="50"/>
  <c r="U120" i="50" s="1"/>
  <c r="U38" i="50"/>
  <c r="U108" i="50" s="1"/>
  <c r="U116" i="50"/>
  <c r="U140" i="50"/>
  <c r="S32" i="15"/>
  <c r="U129" i="50"/>
  <c r="U130" i="50"/>
  <c r="BG34" i="71"/>
  <c r="BK34" i="71" s="1"/>
  <c r="BI7" i="71"/>
  <c r="BI8" i="71"/>
  <c r="BI9" i="71"/>
  <c r="S68" i="90" s="1"/>
  <c r="BI10" i="71"/>
  <c r="BI11" i="71"/>
  <c r="BI12" i="71"/>
  <c r="BI13" i="71"/>
  <c r="BI14" i="71"/>
  <c r="BI15" i="71"/>
  <c r="BI16" i="71"/>
  <c r="BI17" i="71"/>
  <c r="BI18" i="71"/>
  <c r="BI19" i="71"/>
  <c r="S69" i="90" s="1"/>
  <c r="BI20" i="71"/>
  <c r="S70" i="90" s="1"/>
  <c r="BI21" i="71"/>
  <c r="S71" i="90" s="1"/>
  <c r="BI22" i="71"/>
  <c r="S72" i="90" s="1"/>
  <c r="BI24" i="71"/>
  <c r="BI25" i="71"/>
  <c r="BI26" i="71"/>
  <c r="S73" i="90" s="1"/>
  <c r="BI27" i="71"/>
  <c r="BI28" i="71"/>
  <c r="BI29" i="71"/>
  <c r="BI32" i="71"/>
  <c r="BI33" i="71"/>
  <c r="BI35" i="71"/>
  <c r="BI36" i="71"/>
  <c r="BI37" i="71"/>
  <c r="S74" i="90" s="1"/>
  <c r="BI38" i="71"/>
  <c r="BI39" i="71"/>
  <c r="BI40" i="71"/>
  <c r="BI41" i="71"/>
  <c r="S76" i="90" s="1"/>
  <c r="BI42" i="71"/>
  <c r="S77" i="90" s="1"/>
  <c r="BI44" i="71"/>
  <c r="S78" i="90" s="1"/>
  <c r="BI45" i="71"/>
  <c r="BI46" i="71"/>
  <c r="S79" i="90" s="1"/>
  <c r="BI47" i="71"/>
  <c r="S80" i="90" s="1"/>
  <c r="BI48" i="71"/>
  <c r="S81" i="90" s="1"/>
  <c r="BI49" i="71"/>
  <c r="S82" i="90" s="1"/>
  <c r="BI50" i="71"/>
  <c r="S83" i="90" s="1"/>
  <c r="BI51" i="71"/>
  <c r="BI52" i="71"/>
  <c r="BI53" i="71"/>
  <c r="BI54" i="71"/>
  <c r="S84" i="90" s="1"/>
  <c r="BI55" i="71"/>
  <c r="AE176" i="45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60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W41" i="38" s="1"/>
  <c r="X41" i="38"/>
  <c r="W39" i="38"/>
  <c r="W38" i="38"/>
  <c r="W37" i="38"/>
  <c r="W36" i="38"/>
  <c r="X35" i="38"/>
  <c r="X84" i="38" s="1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X13" i="38"/>
  <c r="X62" i="38" s="1"/>
  <c r="W12" i="38"/>
  <c r="W11" i="38"/>
  <c r="W10" i="38"/>
  <c r="W9" i="38"/>
  <c r="W8" i="38"/>
  <c r="W7" i="38"/>
  <c r="X6" i="38"/>
  <c r="BQ34" i="71" l="1"/>
  <c r="BU34" i="71" s="1"/>
  <c r="BY34" i="71" s="1"/>
  <c r="CE34" i="71"/>
  <c r="W35" i="38"/>
  <c r="W13" i="38"/>
  <c r="W43" i="38"/>
  <c r="W40" i="38" s="1"/>
  <c r="W89" i="38"/>
  <c r="X40" i="38"/>
  <c r="X89" i="38" s="1"/>
  <c r="X18" i="38"/>
  <c r="X67" i="38" s="1"/>
  <c r="U94" i="50"/>
  <c r="W67" i="38"/>
  <c r="X90" i="38"/>
  <c r="X16" i="38"/>
  <c r="X65" i="38" s="1"/>
  <c r="X55" i="38"/>
  <c r="W19" i="38"/>
  <c r="W65" i="38"/>
  <c r="W6" i="38"/>
  <c r="W16" i="38" s="1"/>
  <c r="X68" i="38"/>
  <c r="W66" i="38" l="1"/>
  <c r="W18" i="38"/>
  <c r="CI34" i="71"/>
  <c r="CM34" i="71" s="1"/>
  <c r="X17" i="38"/>
  <c r="X66" i="38" s="1"/>
  <c r="X98" i="38" s="1"/>
  <c r="W17" i="38"/>
  <c r="W49" i="38" s="1"/>
  <c r="W98" i="38"/>
  <c r="X49" i="38" l="1"/>
  <c r="T28" i="22"/>
  <c r="T24" i="22"/>
  <c r="T23" i="22"/>
  <c r="T14" i="22"/>
  <c r="T10" i="22"/>
  <c r="T9" i="22"/>
  <c r="S74" i="45"/>
  <c r="S95" i="45"/>
  <c r="W95" i="45" s="1"/>
  <c r="S100" i="45"/>
  <c r="W100" i="45" s="1"/>
  <c r="T12" i="22" l="1"/>
  <c r="T26" i="22"/>
  <c r="W74" i="45"/>
  <c r="N19" i="11"/>
  <c r="R19" i="11" l="1"/>
  <c r="V19" i="11" s="1"/>
  <c r="AB19" i="11"/>
  <c r="AF19" i="11" s="1"/>
  <c r="AJ19" i="11" s="1"/>
  <c r="AP19" i="11" s="1"/>
  <c r="AT19" i="11" s="1"/>
  <c r="AX19" i="11" s="1"/>
  <c r="BF19" i="11" s="1"/>
  <c r="U126" i="45"/>
  <c r="U157" i="45"/>
  <c r="U156" i="45"/>
  <c r="U154" i="45"/>
  <c r="U148" i="45"/>
  <c r="U143" i="45"/>
  <c r="T143" i="45"/>
  <c r="U142" i="45"/>
  <c r="T142" i="45"/>
  <c r="U141" i="45"/>
  <c r="T141" i="45"/>
  <c r="U140" i="45"/>
  <c r="T140" i="45"/>
  <c r="U138" i="45"/>
  <c r="T138" i="45"/>
  <c r="U136" i="45"/>
  <c r="T136" i="45"/>
  <c r="U134" i="45"/>
  <c r="T134" i="45"/>
  <c r="U131" i="45"/>
  <c r="T131" i="45"/>
  <c r="T132" i="45" s="1"/>
  <c r="U122" i="45"/>
  <c r="U159" i="45" s="1"/>
  <c r="U121" i="45"/>
  <c r="T121" i="45"/>
  <c r="T144" i="45" s="1"/>
  <c r="U120" i="45"/>
  <c r="U158" i="45" s="1"/>
  <c r="T91" i="11"/>
  <c r="T89" i="11"/>
  <c r="T83" i="11"/>
  <c r="T78" i="11"/>
  <c r="S78" i="11"/>
  <c r="T77" i="11"/>
  <c r="S77" i="11"/>
  <c r="T76" i="11"/>
  <c r="S76" i="11"/>
  <c r="T75" i="11"/>
  <c r="S75" i="11"/>
  <c r="T73" i="11"/>
  <c r="S73" i="11"/>
  <c r="T71" i="11"/>
  <c r="S71" i="11"/>
  <c r="T69" i="11"/>
  <c r="S69" i="11"/>
  <c r="T66" i="11"/>
  <c r="S66" i="11"/>
  <c r="T64" i="11"/>
  <c r="T59" i="11"/>
  <c r="T57" i="11"/>
  <c r="T56" i="11"/>
  <c r="S56" i="11"/>
  <c r="S58" i="11" s="1"/>
  <c r="T55" i="11"/>
  <c r="T190" i="10"/>
  <c r="T188" i="10"/>
  <c r="T182" i="10"/>
  <c r="T183" i="10" s="1"/>
  <c r="T177" i="10"/>
  <c r="S177" i="10"/>
  <c r="T176" i="10"/>
  <c r="S176" i="10"/>
  <c r="T175" i="10"/>
  <c r="S175" i="10"/>
  <c r="T174" i="10"/>
  <c r="S174" i="10"/>
  <c r="T172" i="10"/>
  <c r="S172" i="10"/>
  <c r="T170" i="10"/>
  <c r="S170" i="10"/>
  <c r="T168" i="10"/>
  <c r="S168" i="10"/>
  <c r="T165" i="10"/>
  <c r="T166" i="10" s="1"/>
  <c r="S165" i="10"/>
  <c r="S166" i="10" s="1"/>
  <c r="T160" i="10"/>
  <c r="S159" i="10"/>
  <c r="T159" i="10"/>
  <c r="T158" i="10"/>
  <c r="T192" i="10" l="1"/>
  <c r="T196" i="10"/>
  <c r="T210" i="10"/>
  <c r="T139" i="45"/>
  <c r="U155" i="45"/>
  <c r="U132" i="45"/>
  <c r="T92" i="11"/>
  <c r="T61" i="11"/>
  <c r="S67" i="11"/>
  <c r="T84" i="11"/>
  <c r="T85" i="11"/>
  <c r="T67" i="11"/>
  <c r="S161" i="10"/>
  <c r="S203" i="10"/>
  <c r="T200" i="10"/>
  <c r="S178" i="10"/>
  <c r="S173" i="10"/>
  <c r="U107" i="50"/>
  <c r="U110" i="50" s="1"/>
  <c r="U117" i="50" s="1"/>
  <c r="S158" i="10"/>
  <c r="S210" i="10" s="1"/>
  <c r="U124" i="45"/>
  <c r="U125" i="45" s="1"/>
  <c r="U123" i="50"/>
  <c r="U125" i="50" s="1"/>
  <c r="T58" i="11"/>
  <c r="U119" i="50"/>
  <c r="U121" i="50" s="1"/>
  <c r="T123" i="45"/>
  <c r="U160" i="45"/>
  <c r="S55" i="11"/>
  <c r="S79" i="11"/>
  <c r="S74" i="11"/>
  <c r="S97" i="11"/>
  <c r="T79" i="11"/>
  <c r="U144" i="45"/>
  <c r="U139" i="45"/>
  <c r="U123" i="45"/>
  <c r="T120" i="45"/>
  <c r="U149" i="45"/>
  <c r="T124" i="45"/>
  <c r="U150" i="45"/>
  <c r="T90" i="11"/>
  <c r="T60" i="11"/>
  <c r="T74" i="11"/>
  <c r="T93" i="11"/>
  <c r="T189" i="10"/>
  <c r="T184" i="10"/>
  <c r="T173" i="10"/>
  <c r="T191" i="10"/>
  <c r="T193" i="10" s="1"/>
  <c r="T178" i="10"/>
  <c r="T161" i="10"/>
  <c r="T3" i="8"/>
  <c r="T94" i="11" l="1"/>
  <c r="U109" i="50"/>
  <c r="T147" i="9"/>
  <c r="T148" i="9" s="1"/>
  <c r="S101" i="9"/>
  <c r="T99" i="9"/>
  <c r="S99" i="9"/>
  <c r="T98" i="9"/>
  <c r="S98" i="9"/>
  <c r="T97" i="9"/>
  <c r="S97" i="9"/>
  <c r="T93" i="9"/>
  <c r="S76" i="9"/>
  <c r="S74" i="9"/>
  <c r="T60" i="9"/>
  <c r="T57" i="9"/>
  <c r="S53" i="9"/>
  <c r="S52" i="9"/>
  <c r="S47" i="9"/>
  <c r="T46" i="9"/>
  <c r="T36" i="9"/>
  <c r="T35" i="9"/>
  <c r="T47" i="9" s="1"/>
  <c r="T34" i="9"/>
  <c r="T31" i="9"/>
  <c r="T25" i="9"/>
  <c r="S24" i="9"/>
  <c r="S22" i="9"/>
  <c r="S25" i="9" s="1"/>
  <c r="S88" i="9" s="1"/>
  <c r="T19" i="9"/>
  <c r="T10" i="9"/>
  <c r="T5" i="9"/>
  <c r="T62" i="9" l="1"/>
  <c r="T48" i="9"/>
  <c r="T49" i="9" s="1"/>
  <c r="T72" i="9" s="1"/>
  <c r="S89" i="90"/>
  <c r="U133" i="50"/>
  <c r="T89" i="9"/>
  <c r="S132" i="26"/>
  <c r="T33" i="22"/>
  <c r="T37" i="9"/>
  <c r="T100" i="9"/>
  <c r="T94" i="9"/>
  <c r="S19" i="15" s="1"/>
  <c r="T90" i="9"/>
  <c r="T96" i="9"/>
  <c r="T14" i="9"/>
  <c r="S77" i="9"/>
  <c r="T91" i="9" l="1"/>
  <c r="T87" i="9"/>
  <c r="T83" i="9"/>
  <c r="T52" i="9"/>
  <c r="T85" i="9"/>
  <c r="T82" i="9"/>
  <c r="T53" i="9"/>
  <c r="T86" i="9"/>
  <c r="T75" i="9"/>
  <c r="T80" i="9"/>
  <c r="T73" i="9"/>
  <c r="T74" i="9" s="1"/>
  <c r="T84" i="9"/>
  <c r="T81" i="9"/>
  <c r="T78" i="9"/>
  <c r="T76" i="9"/>
  <c r="T77" i="9" l="1"/>
  <c r="T79" i="9" s="1"/>
  <c r="T109" i="8" l="1"/>
  <c r="T110" i="8" s="1"/>
  <c r="T52" i="8" s="1"/>
  <c r="T121" i="8" s="1"/>
  <c r="T94" i="8"/>
  <c r="T91" i="8"/>
  <c r="S91" i="8"/>
  <c r="T89" i="8"/>
  <c r="S89" i="8"/>
  <c r="T88" i="8"/>
  <c r="S88" i="8"/>
  <c r="S87" i="8"/>
  <c r="S82" i="8"/>
  <c r="T80" i="8"/>
  <c r="T76" i="8"/>
  <c r="S75" i="8"/>
  <c r="S74" i="8"/>
  <c r="S73" i="8"/>
  <c r="S72" i="8"/>
  <c r="S71" i="8"/>
  <c r="T68" i="8"/>
  <c r="T66" i="8"/>
  <c r="T64" i="8"/>
  <c r="T61" i="8"/>
  <c r="T58" i="8"/>
  <c r="T62" i="8" s="1"/>
  <c r="S52" i="8"/>
  <c r="T49" i="8"/>
  <c r="S49" i="8"/>
  <c r="S46" i="8"/>
  <c r="S45" i="8"/>
  <c r="S44" i="8"/>
  <c r="S43" i="8"/>
  <c r="S41" i="8"/>
  <c r="S40" i="8"/>
  <c r="S39" i="8"/>
  <c r="S42" i="8" s="1"/>
  <c r="T26" i="8"/>
  <c r="T17" i="8"/>
  <c r="S17" i="8"/>
  <c r="S15" i="8"/>
  <c r="S14" i="8"/>
  <c r="T13" i="8"/>
  <c r="T6" i="8"/>
  <c r="S6" i="8"/>
  <c r="S28" i="8" l="1"/>
  <c r="T65" i="8"/>
  <c r="T16" i="8"/>
  <c r="T67" i="8"/>
  <c r="T37" i="8" s="1"/>
  <c r="T69" i="8"/>
  <c r="S24" i="8"/>
  <c r="S27" i="8"/>
  <c r="S59" i="8" s="1"/>
  <c r="S6" i="49"/>
  <c r="S29" i="8"/>
  <c r="S92" i="8"/>
  <c r="T47" i="8"/>
  <c r="T6" i="49"/>
  <c r="S23" i="8"/>
  <c r="T82" i="8"/>
  <c r="T39" i="8"/>
  <c r="T45" i="8"/>
  <c r="T92" i="8"/>
  <c r="T111" i="8"/>
  <c r="T112" i="8" s="1"/>
  <c r="T53" i="8" s="1"/>
  <c r="T123" i="8" s="1"/>
  <c r="T122" i="8" s="1"/>
  <c r="T126" i="8" s="1"/>
  <c r="T127" i="8" s="1"/>
  <c r="T34" i="8"/>
  <c r="S25" i="8"/>
  <c r="S30" i="8"/>
  <c r="S50" i="8"/>
  <c r="S51" i="8" s="1"/>
  <c r="S31" i="8"/>
  <c r="T40" i="8"/>
  <c r="T43" i="8"/>
  <c r="T136" i="8" s="1"/>
  <c r="T46" i="8"/>
  <c r="T138" i="8" s="1"/>
  <c r="T50" i="8"/>
  <c r="T51" i="8" s="1"/>
  <c r="T59" i="8"/>
  <c r="S85" i="8"/>
  <c r="T86" i="8"/>
  <c r="T41" i="8"/>
  <c r="T44" i="8"/>
  <c r="T137" i="8" s="1"/>
  <c r="S69" i="8" l="1"/>
  <c r="S63" i="8"/>
  <c r="S9" i="49"/>
  <c r="T73" i="8"/>
  <c r="T74" i="8"/>
  <c r="S8" i="49"/>
  <c r="T36" i="8"/>
  <c r="T10" i="49"/>
  <c r="T12" i="49" s="1"/>
  <c r="T72" i="8"/>
  <c r="T131" i="8"/>
  <c r="T144" i="8" s="1"/>
  <c r="T130" i="8"/>
  <c r="T143" i="8" s="1"/>
  <c r="T132" i="8"/>
  <c r="T145" i="8" s="1"/>
  <c r="T124" i="8"/>
  <c r="T139" i="8"/>
  <c r="S26" i="8"/>
  <c r="S17" i="49"/>
  <c r="S18" i="49" s="1"/>
  <c r="S65" i="8"/>
  <c r="T78" i="8"/>
  <c r="S6" i="26"/>
  <c r="T42" i="8"/>
  <c r="S67" i="8"/>
  <c r="T63" i="8"/>
  <c r="S109" i="8"/>
  <c r="S35" i="8" l="1"/>
  <c r="S37" i="8"/>
  <c r="S36" i="8"/>
  <c r="T133" i="8"/>
  <c r="T146" i="8" s="1"/>
  <c r="S34" i="8"/>
  <c r="S10" i="49"/>
  <c r="S12" i="49" s="1"/>
  <c r="S111" i="8"/>
  <c r="S110" i="8"/>
  <c r="T35" i="8"/>
  <c r="T70" i="8"/>
  <c r="T71" i="8"/>
  <c r="S112" i="8" l="1"/>
  <c r="S113" i="7" l="1"/>
  <c r="S112" i="7"/>
  <c r="S111" i="7"/>
  <c r="S110" i="7"/>
  <c r="S109" i="7"/>
  <c r="S108" i="7"/>
  <c r="S107" i="7"/>
  <c r="S106" i="7"/>
  <c r="S85" i="7"/>
  <c r="T84" i="7"/>
  <c r="S84" i="7"/>
  <c r="T82" i="7"/>
  <c r="S82" i="7"/>
  <c r="T75" i="7"/>
  <c r="S75" i="7"/>
  <c r="T71" i="7"/>
  <c r="T73" i="7" s="1"/>
  <c r="S71" i="7"/>
  <c r="S73" i="7" s="1"/>
  <c r="T67" i="7"/>
  <c r="T81" i="7" s="1"/>
  <c r="S67" i="7"/>
  <c r="S81" i="7" s="1"/>
  <c r="T21" i="7"/>
  <c r="S49" i="39" s="1"/>
  <c r="S21" i="7"/>
  <c r="S41" i="7" s="1"/>
  <c r="S51" i="7" s="1"/>
  <c r="S61" i="39"/>
  <c r="T43" i="22" s="1"/>
  <c r="S60" i="39"/>
  <c r="T42" i="22" s="1"/>
  <c r="S48" i="39"/>
  <c r="S47" i="39"/>
  <c r="S46" i="39"/>
  <c r="S43" i="39"/>
  <c r="S42" i="39"/>
  <c r="S8" i="39"/>
  <c r="S22" i="39" l="1"/>
  <c r="S37" i="7"/>
  <c r="S103" i="7" s="1"/>
  <c r="T56" i="7"/>
  <c r="T96" i="7" s="1"/>
  <c r="T60" i="7"/>
  <c r="T28" i="7"/>
  <c r="T92" i="7" s="1"/>
  <c r="T32" i="7"/>
  <c r="T98" i="7" s="1"/>
  <c r="S30" i="7"/>
  <c r="S94" i="7" s="1"/>
  <c r="S55" i="7"/>
  <c r="S61" i="7"/>
  <c r="S102" i="7" s="1"/>
  <c r="S24" i="7"/>
  <c r="S31" i="7"/>
  <c r="S95" i="7" s="1"/>
  <c r="S56" i="7"/>
  <c r="S96" i="7" s="1"/>
  <c r="S62" i="7"/>
  <c r="S27" i="7"/>
  <c r="S91" i="7" s="1"/>
  <c r="S33" i="7"/>
  <c r="S99" i="7" s="1"/>
  <c r="S58" i="7"/>
  <c r="S25" i="7"/>
  <c r="S28" i="7"/>
  <c r="S92" i="7" s="1"/>
  <c r="S34" i="7"/>
  <c r="S97" i="7" s="1"/>
  <c r="S59" i="7"/>
  <c r="S68" i="7"/>
  <c r="S78" i="7"/>
  <c r="T25" i="7"/>
  <c r="T29" i="7"/>
  <c r="T93" i="7" s="1"/>
  <c r="T37" i="7"/>
  <c r="T103" i="7" s="1"/>
  <c r="T57" i="7"/>
  <c r="T83" i="7"/>
  <c r="T26" i="7"/>
  <c r="T33" i="7"/>
  <c r="T99" i="7" s="1"/>
  <c r="T54" i="7"/>
  <c r="T61" i="7"/>
  <c r="T102" i="7" s="1"/>
  <c r="T69" i="7"/>
  <c r="T76" i="7"/>
  <c r="T23" i="7"/>
  <c r="T87" i="7" s="1"/>
  <c r="T30" i="7"/>
  <c r="T94" i="7" s="1"/>
  <c r="T58" i="7"/>
  <c r="T27" i="7"/>
  <c r="T91" i="7" s="1"/>
  <c r="T34" i="7"/>
  <c r="T97" i="7" s="1"/>
  <c r="T55" i="7"/>
  <c r="T62" i="7"/>
  <c r="T78" i="7"/>
  <c r="T24" i="7"/>
  <c r="T31" i="7"/>
  <c r="T95" i="7" s="1"/>
  <c r="T36" i="7"/>
  <c r="T90" i="7" s="1"/>
  <c r="T59" i="7"/>
  <c r="S83" i="7"/>
  <c r="S23" i="39"/>
  <c r="T41" i="7"/>
  <c r="T51" i="7" s="1"/>
  <c r="S23" i="7"/>
  <c r="S26" i="7"/>
  <c r="S29" i="7"/>
  <c r="S93" i="7" s="1"/>
  <c r="S32" i="7"/>
  <c r="S98" i="7" s="1"/>
  <c r="S36" i="7"/>
  <c r="S90" i="7" s="1"/>
  <c r="S54" i="7"/>
  <c r="S57" i="7"/>
  <c r="S60" i="7"/>
  <c r="S76" i="7"/>
  <c r="S50" i="39"/>
  <c r="S45" i="39"/>
  <c r="S89" i="7" l="1"/>
  <c r="S51" i="39"/>
  <c r="S24" i="39"/>
  <c r="T38" i="7"/>
  <c r="T53" i="7" s="1"/>
  <c r="T77" i="7" s="1"/>
  <c r="S88" i="7"/>
  <c r="T88" i="7"/>
  <c r="T89" i="7"/>
  <c r="S101" i="7"/>
  <c r="T101" i="7"/>
  <c r="S87" i="7"/>
  <c r="S38" i="7"/>
  <c r="S53" i="7" s="1"/>
  <c r="T63" i="7" l="1"/>
  <c r="T104" i="7"/>
  <c r="S104" i="7"/>
  <c r="S77" i="7"/>
  <c r="S63" i="7"/>
  <c r="T223" i="6" l="1"/>
  <c r="S223" i="6"/>
  <c r="T222" i="6"/>
  <c r="S222" i="6"/>
  <c r="S199" i="6"/>
  <c r="T198" i="6"/>
  <c r="S198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30" i="6"/>
  <c r="S130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T45" i="6"/>
  <c r="S41" i="6"/>
  <c r="T34" i="6"/>
  <c r="T33" i="6"/>
  <c r="T32" i="6"/>
  <c r="T29" i="6"/>
  <c r="T26" i="6"/>
  <c r="S24" i="6"/>
  <c r="T23" i="6"/>
  <c r="S18" i="6"/>
  <c r="S17" i="6"/>
  <c r="S16" i="6"/>
  <c r="S15" i="6"/>
  <c r="T9" i="6"/>
  <c r="T8" i="6"/>
  <c r="S7" i="6"/>
  <c r="S34" i="39" l="1"/>
  <c r="S168" i="6"/>
  <c r="S25" i="6"/>
  <c r="T121" i="6"/>
  <c r="S121" i="6"/>
  <c r="S138" i="6"/>
  <c r="S133" i="6"/>
  <c r="T138" i="6"/>
  <c r="T57" i="6"/>
  <c r="T35" i="6"/>
  <c r="S27" i="6"/>
  <c r="S163" i="6"/>
  <c r="S21" i="6"/>
  <c r="S30" i="6"/>
  <c r="S103" i="6"/>
  <c r="S19" i="6"/>
  <c r="S22" i="6"/>
  <c r="S31" i="6"/>
  <c r="T103" i="6"/>
  <c r="T133" i="6"/>
  <c r="S194" i="6"/>
  <c r="S28" i="6"/>
  <c r="S188" i="6"/>
  <c r="S90" i="77"/>
  <c r="S89" i="77"/>
  <c r="S80" i="77"/>
  <c r="S79" i="77"/>
  <c r="S522" i="28"/>
  <c r="T479" i="28"/>
  <c r="T473" i="28"/>
  <c r="T441" i="28"/>
  <c r="T429" i="28"/>
  <c r="S429" i="28"/>
  <c r="T413" i="28"/>
  <c r="T304" i="28"/>
  <c r="S304" i="28"/>
  <c r="T298" i="28"/>
  <c r="S298" i="28"/>
  <c r="T297" i="28"/>
  <c r="S297" i="28"/>
  <c r="T256" i="28"/>
  <c r="S256" i="28"/>
  <c r="T235" i="28"/>
  <c r="T233" i="28"/>
  <c r="T96" i="28"/>
  <c r="T95" i="28"/>
  <c r="T93" i="28"/>
  <c r="T89" i="28"/>
  <c r="T85" i="28"/>
  <c r="T81" i="28"/>
  <c r="S68" i="28"/>
  <c r="S67" i="28"/>
  <c r="S65" i="28"/>
  <c r="T56" i="28"/>
  <c r="T29" i="28"/>
  <c r="S23" i="28"/>
  <c r="T21" i="28"/>
  <c r="S15" i="28"/>
  <c r="T13" i="28"/>
  <c r="S7" i="28"/>
  <c r="S231" i="73"/>
  <c r="S229" i="73"/>
  <c r="S218" i="73"/>
  <c r="S42" i="77" s="1"/>
  <c r="S209" i="73"/>
  <c r="S173" i="73"/>
  <c r="S160" i="73"/>
  <c r="S171" i="73" s="1"/>
  <c r="S130" i="73"/>
  <c r="S128" i="73"/>
  <c r="S126" i="73"/>
  <c r="S122" i="73"/>
  <c r="S118" i="73"/>
  <c r="S109" i="73"/>
  <c r="S102" i="73"/>
  <c r="S98" i="73"/>
  <c r="S57" i="73"/>
  <c r="S51" i="73"/>
  <c r="S46" i="73"/>
  <c r="S41" i="73"/>
  <c r="S30" i="73"/>
  <c r="S25" i="73"/>
  <c r="S18" i="73"/>
  <c r="T58" i="28" s="1"/>
  <c r="T60" i="28" s="1"/>
  <c r="S16" i="73"/>
  <c r="S118" i="90" s="1"/>
  <c r="S8" i="73"/>
  <c r="W79" i="59"/>
  <c r="W78" i="59"/>
  <c r="W77" i="59"/>
  <c r="V76" i="59"/>
  <c r="V75" i="59"/>
  <c r="W74" i="59"/>
  <c r="V74" i="59"/>
  <c r="W73" i="59"/>
  <c r="V73" i="59"/>
  <c r="W70" i="59"/>
  <c r="V70" i="59"/>
  <c r="W69" i="59"/>
  <c r="V69" i="59"/>
  <c r="W66" i="59"/>
  <c r="V66" i="59"/>
  <c r="W65" i="59"/>
  <c r="V65" i="59"/>
  <c r="W62" i="59"/>
  <c r="V62" i="59"/>
  <c r="W61" i="59"/>
  <c r="V61" i="59"/>
  <c r="W60" i="59"/>
  <c r="W59" i="59"/>
  <c r="V59" i="59"/>
  <c r="W58" i="59"/>
  <c r="V58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V22" i="59"/>
  <c r="W20" i="59"/>
  <c r="W19" i="59"/>
  <c r="W18" i="59"/>
  <c r="W17" i="59"/>
  <c r="W16" i="59"/>
  <c r="V16" i="59"/>
  <c r="V15" i="59"/>
  <c r="W12" i="59"/>
  <c r="V12" i="59"/>
  <c r="V11" i="59"/>
  <c r="S72" i="36"/>
  <c r="S71" i="36"/>
  <c r="S69" i="36"/>
  <c r="S67" i="36"/>
  <c r="S66" i="36"/>
  <c r="T64" i="36"/>
  <c r="T72" i="36" s="1"/>
  <c r="T62" i="36"/>
  <c r="T70" i="36" s="1"/>
  <c r="T61" i="36"/>
  <c r="T69" i="36" s="1"/>
  <c r="T59" i="36"/>
  <c r="T67" i="36" s="1"/>
  <c r="T58" i="36"/>
  <c r="T66" i="36" s="1"/>
  <c r="T57" i="36"/>
  <c r="T17" i="36" s="1"/>
  <c r="W55" i="59" s="1"/>
  <c r="T56" i="36"/>
  <c r="T16" i="36" s="1"/>
  <c r="T33" i="36"/>
  <c r="T40" i="36" s="1"/>
  <c r="S29" i="36"/>
  <c r="R7" i="15" s="1"/>
  <c r="S28" i="36"/>
  <c r="R6" i="15" s="1"/>
  <c r="S27" i="36"/>
  <c r="R5" i="15" s="1"/>
  <c r="T26" i="36"/>
  <c r="T24" i="36"/>
  <c r="W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S16" i="36"/>
  <c r="V54" i="59" s="1"/>
  <c r="S13" i="36"/>
  <c r="V40" i="59" s="1"/>
  <c r="T12" i="36"/>
  <c r="W39" i="59" s="1"/>
  <c r="T11" i="36"/>
  <c r="W38" i="59" s="1"/>
  <c r="T10" i="36"/>
  <c r="S9" i="36"/>
  <c r="V10" i="59" s="1"/>
  <c r="S8" i="36"/>
  <c r="V9" i="59" s="1"/>
  <c r="S7" i="36"/>
  <c r="V8" i="59" s="1"/>
  <c r="S5" i="36"/>
  <c r="S13" i="49" s="1"/>
  <c r="S14" i="49" s="1"/>
  <c r="S15" i="49" s="1"/>
  <c r="S16" i="49" s="1"/>
  <c r="S19" i="49" s="1"/>
  <c r="S20" i="49" s="1"/>
  <c r="T28" i="21"/>
  <c r="S27" i="21"/>
  <c r="T24" i="21"/>
  <c r="T25" i="21" s="1"/>
  <c r="T18" i="21"/>
  <c r="T15" i="21"/>
  <c r="T12" i="21"/>
  <c r="S12" i="21"/>
  <c r="S15" i="21" s="1"/>
  <c r="S34" i="35"/>
  <c r="U100" i="50" s="1"/>
  <c r="U103" i="50" s="1"/>
  <c r="U104" i="50" s="1"/>
  <c r="S23" i="35"/>
  <c r="S13" i="8" s="1"/>
  <c r="S18" i="35"/>
  <c r="S33" i="36" s="1"/>
  <c r="S16" i="35"/>
  <c r="V44" i="59" l="1"/>
  <c r="S68" i="36"/>
  <c r="S6" i="73"/>
  <c r="T46" i="28"/>
  <c r="T35" i="28" s="1"/>
  <c r="S37" i="77"/>
  <c r="S114" i="73"/>
  <c r="S26" i="6"/>
  <c r="S16" i="8"/>
  <c r="S29" i="28"/>
  <c r="S74" i="28" s="1"/>
  <c r="T414" i="28"/>
  <c r="T514" i="28"/>
  <c r="T510" i="28"/>
  <c r="T506" i="28"/>
  <c r="T72" i="28"/>
  <c r="S21" i="28"/>
  <c r="S299" i="28" s="1"/>
  <c r="T73" i="28"/>
  <c r="T107" i="6"/>
  <c r="T150" i="6" s="1"/>
  <c r="S81" i="6"/>
  <c r="S107" i="6"/>
  <c r="S125" i="6"/>
  <c r="T125" i="6"/>
  <c r="T236" i="28"/>
  <c r="T504" i="28" s="1"/>
  <c r="S88" i="77"/>
  <c r="S57" i="36"/>
  <c r="S61" i="36"/>
  <c r="S63" i="36" s="1"/>
  <c r="S12" i="15"/>
  <c r="S13" i="15" s="1"/>
  <c r="S14" i="15" s="1"/>
  <c r="S83" i="77"/>
  <c r="R18" i="15"/>
  <c r="R15" i="15" s="1"/>
  <c r="R16" i="15" s="1"/>
  <c r="S5" i="9"/>
  <c r="S19" i="9" s="1"/>
  <c r="S64" i="36"/>
  <c r="V55" i="59"/>
  <c r="V77" i="59"/>
  <c r="S58" i="36"/>
  <c r="V78" i="59"/>
  <c r="S59" i="36"/>
  <c r="S56" i="36"/>
  <c r="S89" i="9"/>
  <c r="S91" i="9" s="1"/>
  <c r="V6" i="59"/>
  <c r="V79" i="59"/>
  <c r="S84" i="6"/>
  <c r="S133" i="73"/>
  <c r="T299" i="28"/>
  <c r="T490" i="28"/>
  <c r="S5" i="73"/>
  <c r="U143" i="50"/>
  <c r="U145" i="50" s="1"/>
  <c r="U146" i="50" s="1"/>
  <c r="T97" i="28"/>
  <c r="T68" i="36"/>
  <c r="T18" i="36"/>
  <c r="W56" i="59" s="1"/>
  <c r="T71" i="36"/>
  <c r="W49" i="59"/>
  <c r="T13" i="36"/>
  <c r="W40" i="59" s="1"/>
  <c r="T139" i="6"/>
  <c r="W54" i="59"/>
  <c r="T63" i="36"/>
  <c r="T60" i="36"/>
  <c r="W37" i="59"/>
  <c r="W44" i="59"/>
  <c r="V49" i="59"/>
  <c r="S139" i="6"/>
  <c r="S32" i="6"/>
  <c r="S29" i="6"/>
  <c r="S34" i="6"/>
  <c r="S33" i="6"/>
  <c r="S23" i="6"/>
  <c r="T511" i="28"/>
  <c r="T74" i="28"/>
  <c r="T507" i="28"/>
  <c r="S13" i="28"/>
  <c r="T503" i="28"/>
  <c r="T20" i="21"/>
  <c r="S22" i="21"/>
  <c r="S73" i="28" l="1"/>
  <c r="S414" i="28"/>
  <c r="S513" i="28" s="1"/>
  <c r="T67" i="28"/>
  <c r="T37" i="28"/>
  <c r="T515" i="28" s="1"/>
  <c r="T440" i="28"/>
  <c r="T471" i="28" s="1"/>
  <c r="T523" i="28" s="1"/>
  <c r="T48" i="28"/>
  <c r="T69" i="28"/>
  <c r="T148" i="6"/>
  <c r="W15" i="59" s="1"/>
  <c r="T505" i="28"/>
  <c r="S87" i="28"/>
  <c r="S512" i="28" s="1"/>
  <c r="S147" i="6"/>
  <c r="S149" i="6" s="1"/>
  <c r="T513" i="28"/>
  <c r="T509" i="28"/>
  <c r="T98" i="28"/>
  <c r="S83" i="28"/>
  <c r="S507" i="28" s="1"/>
  <c r="T522" i="28"/>
  <c r="S148" i="6"/>
  <c r="T512" i="28"/>
  <c r="S175" i="6"/>
  <c r="S172" i="6"/>
  <c r="S173" i="6"/>
  <c r="S150" i="6"/>
  <c r="T143" i="6"/>
  <c r="T206" i="6" s="1"/>
  <c r="T147" i="6"/>
  <c r="S143" i="6"/>
  <c r="S207" i="6" s="1"/>
  <c r="T173" i="6"/>
  <c r="W22" i="59" s="1"/>
  <c r="T175" i="6"/>
  <c r="T172" i="6"/>
  <c r="T501" i="28"/>
  <c r="T508" i="28"/>
  <c r="T500" i="28"/>
  <c r="S120" i="90"/>
  <c r="S124" i="90" s="1"/>
  <c r="S94" i="77"/>
  <c r="S60" i="36"/>
  <c r="S69" i="9"/>
  <c r="R132" i="26"/>
  <c r="S33" i="22"/>
  <c r="S95" i="9"/>
  <c r="S56" i="9"/>
  <c r="S55" i="9"/>
  <c r="S70" i="9"/>
  <c r="S65" i="9"/>
  <c r="S64" i="9"/>
  <c r="S100" i="9"/>
  <c r="S92" i="9"/>
  <c r="S66" i="9"/>
  <c r="S63" i="9"/>
  <c r="S67" i="9"/>
  <c r="S68" i="9"/>
  <c r="S58" i="9"/>
  <c r="S61" i="9"/>
  <c r="S59" i="9"/>
  <c r="S27" i="9"/>
  <c r="S7" i="9"/>
  <c r="S35" i="6"/>
  <c r="T19" i="36"/>
  <c r="W57" i="59" s="1"/>
  <c r="T75" i="28"/>
  <c r="S236" i="28"/>
  <c r="S72" i="28"/>
  <c r="S501" i="28"/>
  <c r="S509" i="28"/>
  <c r="T491" i="28" l="1"/>
  <c r="T149" i="6"/>
  <c r="T7" i="36" s="1"/>
  <c r="W8" i="59" s="1"/>
  <c r="T70" i="28"/>
  <c r="T520" i="28"/>
  <c r="S508" i="28"/>
  <c r="S500" i="28"/>
  <c r="T174" i="6"/>
  <c r="T8" i="36" s="1"/>
  <c r="W9" i="59" s="1"/>
  <c r="T207" i="6"/>
  <c r="T203" i="6"/>
  <c r="T205" i="6"/>
  <c r="T204" i="6"/>
  <c r="S211" i="6"/>
  <c r="T197" i="6"/>
  <c r="T210" i="6"/>
  <c r="T212" i="6"/>
  <c r="T213" i="6"/>
  <c r="T216" i="6"/>
  <c r="T211" i="6"/>
  <c r="T516" i="28"/>
  <c r="S505" i="28"/>
  <c r="S511" i="28"/>
  <c r="S204" i="6"/>
  <c r="S208" i="6"/>
  <c r="T76" i="28"/>
  <c r="S212" i="6"/>
  <c r="T217" i="6"/>
  <c r="S210" i="6"/>
  <c r="S216" i="6"/>
  <c r="S219" i="6" s="1"/>
  <c r="T218" i="6"/>
  <c r="T208" i="6"/>
  <c r="S203" i="6"/>
  <c r="S205" i="6"/>
  <c r="S213" i="6"/>
  <c r="S174" i="6"/>
  <c r="S206" i="6"/>
  <c r="T199" i="6"/>
  <c r="S57" i="9"/>
  <c r="T494" i="28"/>
  <c r="T495" i="28"/>
  <c r="S60" i="9"/>
  <c r="S21" i="22"/>
  <c r="S7" i="22"/>
  <c r="T517" i="28"/>
  <c r="S79" i="28"/>
  <c r="T214" i="6" l="1"/>
  <c r="W11" i="59" s="1"/>
  <c r="T209" i="6"/>
  <c r="S214" i="6"/>
  <c r="T219" i="6"/>
  <c r="T521" i="28"/>
  <c r="S209" i="6"/>
  <c r="S215" i="6" s="1"/>
  <c r="S220" i="6" s="1"/>
  <c r="S62" i="9"/>
  <c r="S8" i="22"/>
  <c r="S22" i="22"/>
  <c r="T215" i="6"/>
  <c r="S504" i="28"/>
  <c r="S503" i="28"/>
  <c r="T220" i="6" l="1"/>
  <c r="S24" i="22"/>
  <c r="S10" i="22"/>
  <c r="T9" i="36"/>
  <c r="W10" i="59" s="1"/>
  <c r="T47" i="35"/>
  <c r="T46" i="35"/>
  <c r="T45" i="35"/>
  <c r="T44" i="35"/>
  <c r="T43" i="35"/>
  <c r="T42" i="35"/>
  <c r="S42" i="35"/>
  <c r="S41" i="35"/>
  <c r="T40" i="35"/>
  <c r="T39" i="35"/>
  <c r="S39" i="35"/>
  <c r="T36" i="35"/>
  <c r="T48" i="35" s="1"/>
  <c r="S36" i="35"/>
  <c r="S33" i="35"/>
  <c r="T32" i="35"/>
  <c r="T31" i="35"/>
  <c r="T30" i="35"/>
  <c r="T203" i="10" s="1"/>
  <c r="T26" i="35"/>
  <c r="S26" i="35"/>
  <c r="S21" i="35"/>
  <c r="S26" i="9" s="1"/>
  <c r="T20" i="35"/>
  <c r="S20" i="35"/>
  <c r="T19" i="35"/>
  <c r="S19" i="35"/>
  <c r="T14" i="35"/>
  <c r="T5" i="36" s="1"/>
  <c r="T13" i="49" s="1"/>
  <c r="T14" i="49" s="1"/>
  <c r="T15" i="49" s="1"/>
  <c r="T16" i="49" s="1"/>
  <c r="T19" i="49" s="1"/>
  <c r="T20" i="49" s="1"/>
  <c r="T13" i="35"/>
  <c r="T11" i="35"/>
  <c r="T10" i="6" s="1"/>
  <c r="S10" i="35"/>
  <c r="S9" i="35"/>
  <c r="S8" i="35"/>
  <c r="T7" i="35"/>
  <c r="T6" i="6" s="1"/>
  <c r="T6" i="35"/>
  <c r="T5" i="6" s="1"/>
  <c r="S11" i="22" l="1"/>
  <c r="S25" i="22"/>
  <c r="S26" i="21"/>
  <c r="S28" i="21" s="1"/>
  <c r="S34" i="36"/>
  <c r="S35" i="36" s="1"/>
  <c r="S36" i="36" s="1"/>
  <c r="S38" i="36" s="1"/>
  <c r="S30" i="36" s="1"/>
  <c r="V80" i="59" s="1"/>
  <c r="S14" i="35"/>
  <c r="S9" i="6"/>
  <c r="S48" i="35"/>
  <c r="S49" i="35" s="1"/>
  <c r="S55" i="35" s="1"/>
  <c r="S31" i="28"/>
  <c r="S11" i="35"/>
  <c r="S10" i="6" s="1"/>
  <c r="S8" i="6"/>
  <c r="T33" i="35"/>
  <c r="T37" i="35" s="1"/>
  <c r="T97" i="11"/>
  <c r="T34" i="36"/>
  <c r="T16" i="6"/>
  <c r="T18" i="6"/>
  <c r="T17" i="6"/>
  <c r="T15" i="6"/>
  <c r="T7" i="6"/>
  <c r="T15" i="35"/>
  <c r="W6" i="59"/>
  <c r="S37" i="35"/>
  <c r="T8" i="35"/>
  <c r="S13" i="35"/>
  <c r="T41" i="35"/>
  <c r="T49" i="35" s="1"/>
  <c r="K69" i="90"/>
  <c r="G69" i="90"/>
  <c r="E69" i="90"/>
  <c r="S15" i="35" l="1"/>
  <c r="S27" i="22"/>
  <c r="S13" i="22"/>
  <c r="T35" i="36"/>
  <c r="T36" i="36" s="1"/>
  <c r="T38" i="36" s="1"/>
  <c r="T30" i="36" s="1"/>
  <c r="W80" i="59" s="1"/>
  <c r="T41" i="36"/>
  <c r="S37" i="28"/>
  <c r="S63" i="28"/>
  <c r="T25" i="36"/>
  <c r="W76" i="59" s="1"/>
  <c r="U97" i="50"/>
  <c r="U95" i="50" s="1"/>
  <c r="T55" i="35"/>
  <c r="T194" i="6"/>
  <c r="T189" i="6"/>
  <c r="T164" i="6"/>
  <c r="T168" i="6"/>
  <c r="T19" i="6"/>
  <c r="S69" i="28" l="1"/>
  <c r="S75" i="28"/>
  <c r="S491" i="28"/>
  <c r="T40" i="6"/>
  <c r="T39" i="6"/>
  <c r="T38" i="6"/>
  <c r="T37" i="6"/>
  <c r="T84" i="6"/>
  <c r="T81" i="6"/>
  <c r="Q128" i="45"/>
  <c r="P108" i="10"/>
  <c r="Z108" i="10" s="1"/>
  <c r="P89" i="10"/>
  <c r="Z89" i="10" s="1"/>
  <c r="P67" i="10"/>
  <c r="Z67" i="10" s="1"/>
  <c r="P24" i="10"/>
  <c r="P32" i="10"/>
  <c r="Z32" i="10" s="1"/>
  <c r="P39" i="10"/>
  <c r="Z39" i="10" s="1"/>
  <c r="S520" i="28" l="1"/>
  <c r="P199" i="10"/>
  <c r="Z24" i="10"/>
  <c r="S517" i="28"/>
  <c r="S494" i="28"/>
  <c r="S91" i="28"/>
  <c r="S76" i="28"/>
  <c r="T41" i="6"/>
  <c r="S521" i="28" l="1"/>
  <c r="S495" i="28"/>
  <c r="S516" i="28"/>
  <c r="S95" i="28"/>
  <c r="S515" i="28"/>
  <c r="AZ218" i="73" l="1"/>
  <c r="AT218" i="73"/>
  <c r="AT42" i="77" s="1"/>
  <c r="AR218" i="73"/>
  <c r="AN218" i="73"/>
  <c r="AL218" i="73"/>
  <c r="AJ218" i="73"/>
  <c r="AJ42" i="77" s="1"/>
  <c r="AJ37" i="77" s="1"/>
  <c r="AH218" i="73"/>
  <c r="AF218" i="73"/>
  <c r="AF42" i="77" s="1"/>
  <c r="AF37" i="77" s="1"/>
  <c r="AD218" i="73"/>
  <c r="AB218" i="73"/>
  <c r="AB42" i="77" s="1"/>
  <c r="X218" i="73"/>
  <c r="V218" i="73"/>
  <c r="V42" i="77" s="1"/>
  <c r="V37" i="77" s="1"/>
  <c r="T218" i="73"/>
  <c r="R218" i="73"/>
  <c r="R42" i="77" s="1"/>
  <c r="R37" i="77" s="1"/>
  <c r="P218" i="73"/>
  <c r="O218" i="73"/>
  <c r="O42" i="77" s="1"/>
  <c r="N218" i="73"/>
  <c r="N42" i="77" s="1"/>
  <c r="L218" i="73"/>
  <c r="K218" i="73"/>
  <c r="K42" i="77" s="1"/>
  <c r="K37" i="77" s="1"/>
  <c r="J218" i="73"/>
  <c r="J42" i="77" s="1"/>
  <c r="H218" i="73"/>
  <c r="G218" i="73"/>
  <c r="G42" i="77" s="1"/>
  <c r="E218" i="73"/>
  <c r="E42" i="77" s="1"/>
  <c r="AZ231" i="73"/>
  <c r="AV231" i="73"/>
  <c r="AT231" i="73"/>
  <c r="AR231" i="73"/>
  <c r="AN231" i="73"/>
  <c r="AL231" i="73"/>
  <c r="AJ231" i="73"/>
  <c r="AH231" i="73"/>
  <c r="AF231" i="73"/>
  <c r="AD231" i="73"/>
  <c r="AB231" i="73"/>
  <c r="X231" i="73"/>
  <c r="V231" i="73"/>
  <c r="T231" i="73"/>
  <c r="R231" i="73"/>
  <c r="P231" i="73"/>
  <c r="O231" i="73"/>
  <c r="N231" i="73"/>
  <c r="L231" i="73"/>
  <c r="K231" i="73"/>
  <c r="J231" i="73"/>
  <c r="H231" i="73"/>
  <c r="G231" i="73"/>
  <c r="E231" i="73"/>
  <c r="AZ229" i="73"/>
  <c r="AV229" i="73"/>
  <c r="AT229" i="73"/>
  <c r="AR229" i="73"/>
  <c r="AN229" i="73"/>
  <c r="AL229" i="73"/>
  <c r="AJ229" i="73"/>
  <c r="AH229" i="73"/>
  <c r="AF229" i="73"/>
  <c r="AD229" i="73"/>
  <c r="AB229" i="73"/>
  <c r="X229" i="73"/>
  <c r="V229" i="73"/>
  <c r="T229" i="73"/>
  <c r="R229" i="73"/>
  <c r="P229" i="73"/>
  <c r="O229" i="73"/>
  <c r="N229" i="73"/>
  <c r="L229" i="73"/>
  <c r="K229" i="73"/>
  <c r="J229" i="73"/>
  <c r="H229" i="73"/>
  <c r="G229" i="73"/>
  <c r="E229" i="73"/>
  <c r="J37" i="77" l="1"/>
  <c r="L42" i="77"/>
  <c r="O37" i="77"/>
  <c r="Y42" i="77"/>
  <c r="AE42" i="77"/>
  <c r="AE37" i="77" s="1"/>
  <c r="AA42" i="77"/>
  <c r="BE42" i="77" s="1"/>
  <c r="AS42" i="77"/>
  <c r="AS37" i="77" s="1"/>
  <c r="AO42" i="77"/>
  <c r="AO37" i="77" s="1"/>
  <c r="AI42" i="77"/>
  <c r="AI37" i="77" s="1"/>
  <c r="AW42" i="77"/>
  <c r="AW37" i="77" s="1"/>
  <c r="E37" i="77"/>
  <c r="U42" i="77"/>
  <c r="U37" i="77" s="1"/>
  <c r="M42" i="77"/>
  <c r="Q42" i="77"/>
  <c r="Q37" i="77" s="1"/>
  <c r="G37" i="77"/>
  <c r="I42" i="77"/>
  <c r="I37" i="77" s="1"/>
  <c r="AB37" i="77"/>
  <c r="AL42" i="77"/>
  <c r="AT37" i="77"/>
  <c r="AZ42" i="77"/>
  <c r="AZ37" i="77" s="1"/>
  <c r="N37" i="77"/>
  <c r="X42" i="77"/>
  <c r="X37" i="77" s="1"/>
  <c r="Y231" i="73"/>
  <c r="Y229" i="73"/>
  <c r="Y218" i="73"/>
  <c r="Q4" i="83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0" i="83"/>
  <c r="Q21" i="83"/>
  <c r="Q22" i="83"/>
  <c r="Q23" i="83"/>
  <c r="Q24" i="83"/>
  <c r="Q25" i="83"/>
  <c r="Q26" i="83"/>
  <c r="Q27" i="83"/>
  <c r="Q29" i="83"/>
  <c r="Q30" i="83"/>
  <c r="Q31" i="83"/>
  <c r="Q32" i="83"/>
  <c r="Q33" i="83"/>
  <c r="Q34" i="83"/>
  <c r="Q35" i="83"/>
  <c r="Q36" i="83"/>
  <c r="Q37" i="83"/>
  <c r="Q39" i="83"/>
  <c r="Q40" i="83"/>
  <c r="Q41" i="83"/>
  <c r="Q42" i="83"/>
  <c r="Q43" i="83"/>
  <c r="Q44" i="83"/>
  <c r="Q46" i="83"/>
  <c r="Q47" i="83"/>
  <c r="Q48" i="83"/>
  <c r="Q49" i="83"/>
  <c r="Q50" i="83"/>
  <c r="Q52" i="83"/>
  <c r="Q53" i="83"/>
  <c r="Q54" i="83"/>
  <c r="Q55" i="83"/>
  <c r="Q56" i="83"/>
  <c r="Q57" i="83"/>
  <c r="Q58" i="83"/>
  <c r="Q59" i="83"/>
  <c r="Q60" i="83"/>
  <c r="Q61" i="83"/>
  <c r="Q62" i="83"/>
  <c r="Q63" i="83"/>
  <c r="Q64" i="83"/>
  <c r="Q65" i="83"/>
  <c r="Q66" i="83"/>
  <c r="Q67" i="83"/>
  <c r="Q68" i="83"/>
  <c r="Q70" i="83"/>
  <c r="Q72" i="83"/>
  <c r="Q73" i="83"/>
  <c r="Q74" i="83"/>
  <c r="Q75" i="83"/>
  <c r="M37" i="77" l="1"/>
  <c r="Y37" i="77"/>
  <c r="AA37" i="77"/>
  <c r="BE37" i="77" s="1"/>
  <c r="AL37" i="77"/>
  <c r="BB42" i="77"/>
  <c r="BB37" i="77" s="1"/>
  <c r="P42" i="77"/>
  <c r="L37" i="77"/>
  <c r="Z42" i="77"/>
  <c r="Q69" i="83"/>
  <c r="Q76" i="83"/>
  <c r="Q51" i="83"/>
  <c r="Q38" i="83"/>
  <c r="Q45" i="83"/>
  <c r="P147" i="9"/>
  <c r="P148" i="9" s="1"/>
  <c r="AD42" i="77" l="1"/>
  <c r="Z37" i="77"/>
  <c r="T42" i="77"/>
  <c r="T37" i="77" s="1"/>
  <c r="P37" i="77"/>
  <c r="Q77" i="83"/>
  <c r="R109" i="9"/>
  <c r="AH42" i="77" l="1"/>
  <c r="AD37" i="77"/>
  <c r="P61" i="77"/>
  <c r="T61" i="77" s="1"/>
  <c r="P44" i="77"/>
  <c r="T44" i="77" s="1"/>
  <c r="AN42" i="77" l="1"/>
  <c r="AH37" i="77"/>
  <c r="P16" i="52"/>
  <c r="O16" i="52"/>
  <c r="P103" i="9"/>
  <c r="AN37" i="77" l="1"/>
  <c r="AR42" i="77"/>
  <c r="O82" i="26"/>
  <c r="AV42" i="77" l="1"/>
  <c r="AR37" i="77"/>
  <c r="O31" i="15"/>
  <c r="O30" i="15"/>
  <c r="O29" i="15"/>
  <c r="O25" i="15"/>
  <c r="O24" i="15"/>
  <c r="O23" i="15"/>
  <c r="O22" i="15"/>
  <c r="O21" i="15"/>
  <c r="N19" i="15"/>
  <c r="O18" i="15"/>
  <c r="O15" i="15"/>
  <c r="N12" i="15"/>
  <c r="N13" i="15" s="1"/>
  <c r="O10" i="15"/>
  <c r="O9" i="15"/>
  <c r="N9" i="15"/>
  <c r="O8" i="15"/>
  <c r="N8" i="15"/>
  <c r="O7" i="15"/>
  <c r="O6" i="15"/>
  <c r="O5" i="15"/>
  <c r="BD42" i="77" l="1"/>
  <c r="BD37" i="77" s="1"/>
  <c r="AV37" i="77"/>
  <c r="O32" i="15"/>
  <c r="O36" i="15" s="1"/>
  <c r="O16" i="15" s="1"/>
  <c r="O17" i="15" s="1"/>
  <c r="N117" i="17"/>
  <c r="N115" i="17"/>
  <c r="O87" i="17"/>
  <c r="O86" i="17"/>
  <c r="O85" i="17"/>
  <c r="O84" i="17"/>
  <c r="O83" i="17"/>
  <c r="N83" i="17"/>
  <c r="O74" i="17"/>
  <c r="N74" i="17"/>
  <c r="O67" i="17"/>
  <c r="O69" i="17" s="1"/>
  <c r="N67" i="17"/>
  <c r="N69" i="17" s="1"/>
  <c r="N61" i="17"/>
  <c r="O59" i="17"/>
  <c r="O60" i="17" s="1"/>
  <c r="N58" i="17"/>
  <c r="N57" i="17"/>
  <c r="N59" i="17" s="1"/>
  <c r="N55" i="17"/>
  <c r="O52" i="17"/>
  <c r="O53" i="17" s="1"/>
  <c r="N52" i="17"/>
  <c r="O49" i="17"/>
  <c r="N48" i="17"/>
  <c r="O47" i="17"/>
  <c r="N46" i="17"/>
  <c r="O44" i="17"/>
  <c r="O50" i="17" s="1"/>
  <c r="N44" i="17"/>
  <c r="O43" i="17"/>
  <c r="O41" i="17"/>
  <c r="O39" i="17"/>
  <c r="O26" i="17"/>
  <c r="O22" i="17"/>
  <c r="O16" i="17" s="1"/>
  <c r="O34" i="17" s="1"/>
  <c r="N21" i="17"/>
  <c r="N19" i="17"/>
  <c r="N18" i="17"/>
  <c r="N16" i="17"/>
  <c r="N30" i="17" s="1"/>
  <c r="N15" i="17"/>
  <c r="O14" i="17"/>
  <c r="O12" i="17"/>
  <c r="O9" i="17"/>
  <c r="O11" i="17" s="1"/>
  <c r="N9" i="17"/>
  <c r="N11" i="17" s="1"/>
  <c r="O45" i="72"/>
  <c r="K33" i="72"/>
  <c r="Y33" i="72" s="1"/>
  <c r="AC33" i="72" s="1"/>
  <c r="AG33" i="72" s="1"/>
  <c r="AM33" i="72" s="1"/>
  <c r="AQ33" i="72" s="1"/>
  <c r="AU33" i="72" s="1"/>
  <c r="BC33" i="72" s="1"/>
  <c r="O33" i="72"/>
  <c r="S33" i="72" s="1"/>
  <c r="BE7" i="71"/>
  <c r="BO7" i="71" s="1"/>
  <c r="BE8" i="71"/>
  <c r="BO8" i="71" s="1"/>
  <c r="BE9" i="71"/>
  <c r="BE10" i="71"/>
  <c r="BO10" i="71" s="1"/>
  <c r="BE11" i="71"/>
  <c r="BO11" i="71" s="1"/>
  <c r="BE12" i="71"/>
  <c r="BO12" i="71" s="1"/>
  <c r="BE13" i="71"/>
  <c r="BO13" i="71" s="1"/>
  <c r="BE14" i="71"/>
  <c r="BO14" i="71" s="1"/>
  <c r="BE15" i="71"/>
  <c r="BO15" i="71" s="1"/>
  <c r="BE16" i="71"/>
  <c r="BO16" i="71" s="1"/>
  <c r="BE17" i="71"/>
  <c r="BE18" i="71"/>
  <c r="BO18" i="71" s="1"/>
  <c r="BE19" i="71"/>
  <c r="CU19" i="71" s="1"/>
  <c r="BE20" i="71"/>
  <c r="BE21" i="71"/>
  <c r="BE22" i="71"/>
  <c r="BE24" i="71"/>
  <c r="BO24" i="71" s="1"/>
  <c r="BE25" i="71"/>
  <c r="BO25" i="71" s="1"/>
  <c r="BE26" i="71"/>
  <c r="BE27" i="71"/>
  <c r="BO27" i="71" s="1"/>
  <c r="BE28" i="71"/>
  <c r="BO28" i="71" s="1"/>
  <c r="BE29" i="71"/>
  <c r="BO29" i="71" s="1"/>
  <c r="BE32" i="71"/>
  <c r="BO32" i="71" s="1"/>
  <c r="BE33" i="71"/>
  <c r="BO33" i="71" s="1"/>
  <c r="BE35" i="71"/>
  <c r="BO35" i="71" s="1"/>
  <c r="BE36" i="71"/>
  <c r="BO36" i="71" s="1"/>
  <c r="BE37" i="71"/>
  <c r="BE38" i="71"/>
  <c r="BO38" i="71" s="1"/>
  <c r="BE39" i="71"/>
  <c r="BO39" i="71" s="1"/>
  <c r="BE40" i="71"/>
  <c r="BO40" i="71" s="1"/>
  <c r="BE41" i="71"/>
  <c r="BE42" i="71"/>
  <c r="BE44" i="71"/>
  <c r="BE45" i="71"/>
  <c r="BO45" i="71" s="1"/>
  <c r="BE46" i="71"/>
  <c r="BE47" i="71"/>
  <c r="BE48" i="71"/>
  <c r="BE49" i="71"/>
  <c r="BE50" i="71"/>
  <c r="BE51" i="71"/>
  <c r="BO51" i="71" s="1"/>
  <c r="BE52" i="71"/>
  <c r="BO52" i="71" s="1"/>
  <c r="BE53" i="71"/>
  <c r="BO53" i="71" s="1"/>
  <c r="BE54" i="71"/>
  <c r="BE55" i="71"/>
  <c r="BC19" i="71"/>
  <c r="BC17" i="71"/>
  <c r="O122" i="17" l="1"/>
  <c r="BG17" i="71"/>
  <c r="BK17" i="71" s="1"/>
  <c r="N122" i="17"/>
  <c r="BO17" i="71"/>
  <c r="BQ17" i="71" s="1"/>
  <c r="BU17" i="71" s="1"/>
  <c r="BY17" i="71" s="1"/>
  <c r="CE17" i="71" s="1"/>
  <c r="CI17" i="71" s="1"/>
  <c r="CM17" i="71" s="1"/>
  <c r="CU17" i="71"/>
  <c r="N22" i="17"/>
  <c r="N31" i="17" s="1"/>
  <c r="O82" i="90"/>
  <c r="BO49" i="71"/>
  <c r="O76" i="90"/>
  <c r="BO41" i="71"/>
  <c r="O73" i="90"/>
  <c r="BO26" i="71"/>
  <c r="O69" i="90"/>
  <c r="BO19" i="71"/>
  <c r="BQ19" i="71" s="1"/>
  <c r="BU19" i="71" s="1"/>
  <c r="BY19" i="71" s="1"/>
  <c r="CE19" i="71" s="1"/>
  <c r="CI19" i="71" s="1"/>
  <c r="CM19" i="71" s="1"/>
  <c r="O74" i="90"/>
  <c r="BO37" i="71"/>
  <c r="O68" i="90"/>
  <c r="BO9" i="71"/>
  <c r="O81" i="90"/>
  <c r="BO48" i="71"/>
  <c r="O79" i="90"/>
  <c r="BO46" i="71"/>
  <c r="O70" i="90"/>
  <c r="BO20" i="71"/>
  <c r="O77" i="90"/>
  <c r="BO42" i="71"/>
  <c r="O71" i="90"/>
  <c r="BO21" i="71"/>
  <c r="O84" i="90"/>
  <c r="BO54" i="71"/>
  <c r="O80" i="90"/>
  <c r="BO47" i="71"/>
  <c r="BG19" i="71"/>
  <c r="BK19" i="71" s="1"/>
  <c r="O83" i="90"/>
  <c r="BO50" i="71"/>
  <c r="O78" i="90"/>
  <c r="BO44" i="71"/>
  <c r="O72" i="90"/>
  <c r="BO22" i="71"/>
  <c r="O13" i="17"/>
  <c r="O15" i="17" s="1"/>
  <c r="O62" i="17"/>
  <c r="N119" i="17"/>
  <c r="N50" i="17"/>
  <c r="N114" i="17" s="1"/>
  <c r="O33" i="17"/>
  <c r="N62" i="17"/>
  <c r="N60" i="17"/>
  <c r="O54" i="17"/>
  <c r="O114" i="17"/>
  <c r="O51" i="17"/>
  <c r="O55" i="17" s="1"/>
  <c r="O32" i="17"/>
  <c r="O30" i="17"/>
  <c r="N116" i="17"/>
  <c r="O116" i="17"/>
  <c r="O31" i="17"/>
  <c r="O45" i="17"/>
  <c r="AI69" i="90" l="1"/>
  <c r="BE69" i="90"/>
  <c r="N34" i="17"/>
  <c r="N32" i="17"/>
  <c r="O117" i="17"/>
  <c r="O118" i="17"/>
  <c r="N118" i="17"/>
  <c r="N54" i="17"/>
  <c r="O115" i="17"/>
  <c r="O119" i="17" l="1"/>
  <c r="O114" i="26"/>
  <c r="N112" i="26"/>
  <c r="N110" i="26"/>
  <c r="N108" i="26"/>
  <c r="N106" i="26"/>
  <c r="N104" i="26"/>
  <c r="N102" i="26"/>
  <c r="N100" i="26"/>
  <c r="N98" i="26"/>
  <c r="O94" i="26"/>
  <c r="N91" i="26"/>
  <c r="N89" i="26"/>
  <c r="N87" i="26"/>
  <c r="N85" i="26"/>
  <c r="O83" i="26"/>
  <c r="N80" i="26"/>
  <c r="N78" i="26"/>
  <c r="O75" i="26"/>
  <c r="N73" i="26"/>
  <c r="N71" i="26"/>
  <c r="N69" i="26"/>
  <c r="N67" i="26"/>
  <c r="N65" i="26"/>
  <c r="N63" i="26"/>
  <c r="N61" i="26"/>
  <c r="N59" i="26"/>
  <c r="N54" i="26"/>
  <c r="N52" i="26"/>
  <c r="O50" i="26"/>
  <c r="N48" i="26"/>
  <c r="O45" i="26"/>
  <c r="N43" i="26"/>
  <c r="N41" i="26"/>
  <c r="N39" i="26"/>
  <c r="N37" i="26"/>
  <c r="N35" i="26"/>
  <c r="N33" i="26"/>
  <c r="N31" i="26"/>
  <c r="N29" i="26"/>
  <c r="N27" i="26"/>
  <c r="N25" i="26"/>
  <c r="N23" i="26"/>
  <c r="N21" i="26"/>
  <c r="N17" i="26"/>
  <c r="N15" i="26"/>
  <c r="O12" i="26"/>
  <c r="N11" i="26"/>
  <c r="N9" i="26"/>
  <c r="X91" i="26" l="1"/>
  <c r="N50" i="26"/>
  <c r="O57" i="26"/>
  <c r="N84" i="17"/>
  <c r="X87" i="26"/>
  <c r="O19" i="26"/>
  <c r="N26" i="17"/>
  <c r="N33" i="17" s="1"/>
  <c r="N85" i="17"/>
  <c r="X89" i="26"/>
  <c r="N86" i="17"/>
  <c r="X85" i="26"/>
  <c r="N114" i="26"/>
  <c r="N87" i="17"/>
  <c r="N83" i="26"/>
  <c r="N82" i="26"/>
  <c r="N94" i="26"/>
  <c r="N75" i="26"/>
  <c r="N45" i="26"/>
  <c r="N12" i="26"/>
  <c r="N57" i="26"/>
  <c r="N51" i="26"/>
  <c r="N56" i="26"/>
  <c r="O18" i="26"/>
  <c r="O56" i="26"/>
  <c r="O13" i="26"/>
  <c r="O51" i="26"/>
  <c r="N19" i="26" l="1"/>
  <c r="N13" i="26"/>
  <c r="N18" i="26"/>
  <c r="O37" i="27"/>
  <c r="O35" i="27"/>
  <c r="O27" i="27"/>
  <c r="O29" i="27"/>
  <c r="O28" i="27"/>
  <c r="O20" i="27"/>
  <c r="O19" i="27"/>
  <c r="O18" i="27"/>
  <c r="N36" i="27" l="1"/>
  <c r="N27" i="27"/>
  <c r="N21" i="27"/>
  <c r="N18" i="27"/>
  <c r="N20" i="27"/>
  <c r="N19" i="27"/>
  <c r="N39" i="27"/>
  <c r="O36" i="27"/>
  <c r="O39" i="27" s="1"/>
  <c r="N33" i="27"/>
  <c r="O26" i="27"/>
  <c r="O33" i="27" s="1"/>
  <c r="O22" i="27"/>
  <c r="O21" i="27"/>
  <c r="O24" i="27" l="1"/>
  <c r="N24" i="27"/>
  <c r="P28" i="22" l="1"/>
  <c r="P24" i="22"/>
  <c r="P23" i="22"/>
  <c r="P14" i="22"/>
  <c r="P10" i="22"/>
  <c r="P9" i="22"/>
  <c r="P46" i="35"/>
  <c r="Z46" i="35" s="1"/>
  <c r="L46" i="35"/>
  <c r="N46" i="35" s="1"/>
  <c r="P12" i="22" l="1"/>
  <c r="P26" i="22"/>
  <c r="R46" i="35"/>
  <c r="V46" i="35" s="1"/>
  <c r="AB46" i="35"/>
  <c r="AF46" i="35" s="1"/>
  <c r="AJ46" i="35" s="1"/>
  <c r="AP46" i="35" s="1"/>
  <c r="AT46" i="35" s="1"/>
  <c r="AX46" i="35" s="1"/>
  <c r="BF46" i="35" s="1"/>
  <c r="O78" i="45" l="1"/>
  <c r="O174" i="45" s="1"/>
  <c r="O70" i="45"/>
  <c r="AC70" i="45" s="1"/>
  <c r="AG70" i="45" s="1"/>
  <c r="AK70" i="45" s="1"/>
  <c r="AQ70" i="45" s="1"/>
  <c r="AU70" i="45" s="1"/>
  <c r="AY70" i="45" s="1"/>
  <c r="BG70" i="45" s="1"/>
  <c r="BI70" i="45" s="1"/>
  <c r="O71" i="45"/>
  <c r="AC71" i="45" s="1"/>
  <c r="AG71" i="45" s="1"/>
  <c r="AK71" i="45" s="1"/>
  <c r="AQ71" i="45" s="1"/>
  <c r="AU71" i="45" s="1"/>
  <c r="AY71" i="45" s="1"/>
  <c r="BG71" i="45" s="1"/>
  <c r="BI71" i="45" s="1"/>
  <c r="O72" i="45"/>
  <c r="AC72" i="45" s="1"/>
  <c r="AG72" i="45" s="1"/>
  <c r="AK72" i="45" s="1"/>
  <c r="AQ72" i="45" s="1"/>
  <c r="AU72" i="45" s="1"/>
  <c r="AY72" i="45" s="1"/>
  <c r="BG72" i="45" s="1"/>
  <c r="BI72" i="45" s="1"/>
  <c r="S70" i="45" l="1"/>
  <c r="W70" i="45" s="1"/>
  <c r="AC78" i="45"/>
  <c r="S71" i="45"/>
  <c r="W71" i="45" s="1"/>
  <c r="S78" i="45"/>
  <c r="S174" i="45" s="1"/>
  <c r="O34" i="35"/>
  <c r="AG78" i="45" l="1"/>
  <c r="AK78" i="45" s="1"/>
  <c r="AC174" i="45"/>
  <c r="W78" i="45"/>
  <c r="W174" i="45" s="1"/>
  <c r="T96" i="38"/>
  <c r="T95" i="38"/>
  <c r="T94" i="38"/>
  <c r="T93" i="38"/>
  <c r="S92" i="38"/>
  <c r="T91" i="38"/>
  <c r="S90" i="38"/>
  <c r="T88" i="38"/>
  <c r="T87" i="38"/>
  <c r="T86" i="38"/>
  <c r="T85" i="38"/>
  <c r="S84" i="38"/>
  <c r="T82" i="38"/>
  <c r="T81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S68" i="38"/>
  <c r="T64" i="38"/>
  <c r="T63" i="38"/>
  <c r="S62" i="38"/>
  <c r="T61" i="38"/>
  <c r="T60" i="38"/>
  <c r="T59" i="38"/>
  <c r="T58" i="38"/>
  <c r="T57" i="38"/>
  <c r="T56" i="38"/>
  <c r="S55" i="38"/>
  <c r="S53" i="38"/>
  <c r="T52" i="38"/>
  <c r="S52" i="38"/>
  <c r="S47" i="38"/>
  <c r="S46" i="38"/>
  <c r="S45" i="38"/>
  <c r="S44" i="38"/>
  <c r="T43" i="38"/>
  <c r="T92" i="38" s="1"/>
  <c r="S42" i="38"/>
  <c r="S41" i="38" s="1"/>
  <c r="T41" i="38"/>
  <c r="T90" i="38" s="1"/>
  <c r="S39" i="38"/>
  <c r="S38" i="38"/>
  <c r="S37" i="38"/>
  <c r="S36" i="38"/>
  <c r="O167" i="6" s="1"/>
  <c r="T35" i="38"/>
  <c r="T84" i="38" s="1"/>
  <c r="S33" i="38"/>
  <c r="S32" i="38"/>
  <c r="S31" i="38"/>
  <c r="S30" i="38"/>
  <c r="S29" i="38"/>
  <c r="S28" i="38"/>
  <c r="P138" i="45" s="1"/>
  <c r="S27" i="38"/>
  <c r="O73" i="11" s="1"/>
  <c r="S26" i="38"/>
  <c r="O172" i="10" s="1"/>
  <c r="S25" i="38"/>
  <c r="S24" i="38"/>
  <c r="S23" i="38"/>
  <c r="S22" i="38"/>
  <c r="S21" i="38"/>
  <c r="S20" i="38"/>
  <c r="T19" i="38"/>
  <c r="T68" i="38" s="1"/>
  <c r="S15" i="38"/>
  <c r="S14" i="38"/>
  <c r="T13" i="38"/>
  <c r="T62" i="38" s="1"/>
  <c r="S12" i="38"/>
  <c r="S11" i="38"/>
  <c r="S10" i="38"/>
  <c r="S9" i="38"/>
  <c r="S8" i="38"/>
  <c r="S7" i="38"/>
  <c r="T6" i="38"/>
  <c r="T55" i="38" s="1"/>
  <c r="O29" i="72"/>
  <c r="S29" i="72" s="1"/>
  <c r="O30" i="72"/>
  <c r="S30" i="72" s="1"/>
  <c r="O32" i="72"/>
  <c r="S32" i="72" s="1"/>
  <c r="O34" i="72"/>
  <c r="S34" i="72" s="1"/>
  <c r="O35" i="72"/>
  <c r="Q157" i="45"/>
  <c r="Q156" i="45"/>
  <c r="Q154" i="45"/>
  <c r="Q148" i="45"/>
  <c r="Q143" i="45"/>
  <c r="P143" i="45"/>
  <c r="Q142" i="45"/>
  <c r="P142" i="45"/>
  <c r="Q141" i="45"/>
  <c r="P141" i="45"/>
  <c r="Q140" i="45"/>
  <c r="P140" i="45"/>
  <c r="Q138" i="45"/>
  <c r="Q136" i="45"/>
  <c r="P136" i="45"/>
  <c r="Q134" i="45"/>
  <c r="P134" i="45"/>
  <c r="Q131" i="45"/>
  <c r="P131" i="45"/>
  <c r="P132" i="45" s="1"/>
  <c r="Q129" i="45"/>
  <c r="Q122" i="45"/>
  <c r="Q159" i="45" s="1"/>
  <c r="Q121" i="45"/>
  <c r="Q144" i="45" s="1"/>
  <c r="P121" i="45"/>
  <c r="P144" i="45" s="1"/>
  <c r="Q120" i="45"/>
  <c r="Q158" i="45" s="1"/>
  <c r="R43" i="11"/>
  <c r="P91" i="11"/>
  <c r="P89" i="11"/>
  <c r="P83" i="11"/>
  <c r="P78" i="11"/>
  <c r="O78" i="11"/>
  <c r="P77" i="11"/>
  <c r="O77" i="11"/>
  <c r="P76" i="11"/>
  <c r="O76" i="11"/>
  <c r="P75" i="11"/>
  <c r="O75" i="11"/>
  <c r="P73" i="11"/>
  <c r="P71" i="11"/>
  <c r="O71" i="11"/>
  <c r="P69" i="11"/>
  <c r="O69" i="11"/>
  <c r="P66" i="11"/>
  <c r="O66" i="11"/>
  <c r="P64" i="11"/>
  <c r="P59" i="11"/>
  <c r="P57" i="11"/>
  <c r="P56" i="11"/>
  <c r="O56" i="11"/>
  <c r="O55" i="11" s="1"/>
  <c r="P55" i="11"/>
  <c r="P190" i="10"/>
  <c r="P188" i="10"/>
  <c r="P182" i="10"/>
  <c r="P183" i="10" s="1"/>
  <c r="P177" i="10"/>
  <c r="O177" i="10"/>
  <c r="P176" i="10"/>
  <c r="O176" i="10"/>
  <c r="P175" i="10"/>
  <c r="O175" i="10"/>
  <c r="P174" i="10"/>
  <c r="O174" i="10"/>
  <c r="P172" i="10"/>
  <c r="P170" i="10"/>
  <c r="O170" i="10"/>
  <c r="P168" i="10"/>
  <c r="O168" i="10"/>
  <c r="P165" i="10"/>
  <c r="P166" i="10" s="1"/>
  <c r="O165" i="10"/>
  <c r="O166" i="10" s="1"/>
  <c r="P160" i="10"/>
  <c r="P159" i="10"/>
  <c r="O159" i="10"/>
  <c r="P158" i="10"/>
  <c r="P210" i="10" s="1"/>
  <c r="O101" i="9"/>
  <c r="P99" i="9"/>
  <c r="O99" i="9"/>
  <c r="P98" i="9"/>
  <c r="O98" i="9"/>
  <c r="P97" i="9"/>
  <c r="O97" i="9"/>
  <c r="P93" i="9"/>
  <c r="O76" i="9"/>
  <c r="O77" i="9" s="1"/>
  <c r="O74" i="9"/>
  <c r="P60" i="9"/>
  <c r="P57" i="9"/>
  <c r="O53" i="9"/>
  <c r="O52" i="9"/>
  <c r="O47" i="9"/>
  <c r="P46" i="9"/>
  <c r="P36" i="9"/>
  <c r="P48" i="9" s="1"/>
  <c r="P35" i="9"/>
  <c r="P47" i="9" s="1"/>
  <c r="P34" i="9"/>
  <c r="P31" i="9"/>
  <c r="P25" i="9"/>
  <c r="O24" i="9"/>
  <c r="O22" i="9"/>
  <c r="P19" i="9"/>
  <c r="P10" i="9"/>
  <c r="P5" i="9"/>
  <c r="P109" i="8"/>
  <c r="P111" i="8" s="1"/>
  <c r="P94" i="8"/>
  <c r="P91" i="8"/>
  <c r="O91" i="8"/>
  <c r="P89" i="8"/>
  <c r="O89" i="8"/>
  <c r="P88" i="8"/>
  <c r="O88" i="8"/>
  <c r="O87" i="8"/>
  <c r="O82" i="8"/>
  <c r="P80" i="8"/>
  <c r="P76" i="8"/>
  <c r="O75" i="8"/>
  <c r="O74" i="8"/>
  <c r="O73" i="8"/>
  <c r="O72" i="8"/>
  <c r="O71" i="8"/>
  <c r="P68" i="8"/>
  <c r="P66" i="8"/>
  <c r="P64" i="8"/>
  <c r="P61" i="8"/>
  <c r="P58" i="8"/>
  <c r="P62" i="8" s="1"/>
  <c r="O52" i="8"/>
  <c r="P49" i="8"/>
  <c r="O49" i="8"/>
  <c r="O46" i="8"/>
  <c r="O45" i="8"/>
  <c r="O44" i="8"/>
  <c r="O43" i="8"/>
  <c r="O41" i="8"/>
  <c r="O40" i="8"/>
  <c r="O39" i="8"/>
  <c r="P26" i="8"/>
  <c r="P17" i="8"/>
  <c r="O17" i="8"/>
  <c r="O15" i="8"/>
  <c r="O14" i="8"/>
  <c r="P13" i="8"/>
  <c r="O13" i="8"/>
  <c r="P6" i="8"/>
  <c r="O6" i="8"/>
  <c r="O113" i="7"/>
  <c r="O112" i="7"/>
  <c r="O111" i="7"/>
  <c r="O110" i="7"/>
  <c r="O109" i="7"/>
  <c r="O108" i="7"/>
  <c r="O107" i="7"/>
  <c r="O106" i="7"/>
  <c r="O85" i="7"/>
  <c r="P84" i="7"/>
  <c r="O84" i="7"/>
  <c r="P82" i="7"/>
  <c r="O82" i="7"/>
  <c r="P75" i="7"/>
  <c r="O75" i="7"/>
  <c r="P71" i="7"/>
  <c r="P73" i="7" s="1"/>
  <c r="O71" i="7"/>
  <c r="O73" i="7" s="1"/>
  <c r="P67" i="7"/>
  <c r="P81" i="7" s="1"/>
  <c r="O67" i="7"/>
  <c r="O78" i="7" s="1"/>
  <c r="P21" i="7"/>
  <c r="O49" i="39" s="1"/>
  <c r="O21" i="7"/>
  <c r="O41" i="7" s="1"/>
  <c r="O51" i="7" s="1"/>
  <c r="O61" i="39"/>
  <c r="P43" i="22" s="1"/>
  <c r="O60" i="39"/>
  <c r="P42" i="22" s="1"/>
  <c r="O48" i="39"/>
  <c r="O47" i="39"/>
  <c r="O46" i="39"/>
  <c r="O43" i="39"/>
  <c r="O42" i="39"/>
  <c r="O8" i="39"/>
  <c r="P223" i="6"/>
  <c r="O223" i="6"/>
  <c r="P222" i="6"/>
  <c r="O222" i="6"/>
  <c r="O199" i="6"/>
  <c r="P198" i="6"/>
  <c r="O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O132" i="6"/>
  <c r="P131" i="6"/>
  <c r="O131" i="6"/>
  <c r="P130" i="6"/>
  <c r="O130" i="6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P45" i="6"/>
  <c r="O41" i="6"/>
  <c r="P34" i="6"/>
  <c r="P33" i="6"/>
  <c r="P32" i="6"/>
  <c r="P29" i="6"/>
  <c r="P26" i="6"/>
  <c r="P23" i="6"/>
  <c r="O18" i="6"/>
  <c r="O17" i="6"/>
  <c r="O16" i="6"/>
  <c r="O15" i="6"/>
  <c r="P9" i="6"/>
  <c r="P8" i="6"/>
  <c r="O7" i="6"/>
  <c r="O90" i="77"/>
  <c r="O89" i="77"/>
  <c r="O82" i="77"/>
  <c r="O80" i="77"/>
  <c r="O79" i="77"/>
  <c r="S67" i="38" l="1"/>
  <c r="P65" i="8"/>
  <c r="P67" i="8"/>
  <c r="O29" i="8"/>
  <c r="P16" i="8"/>
  <c r="P69" i="8"/>
  <c r="O22" i="39"/>
  <c r="P192" i="10"/>
  <c r="P196" i="10"/>
  <c r="P40" i="8"/>
  <c r="O30" i="6"/>
  <c r="O24" i="7"/>
  <c r="O19" i="6"/>
  <c r="O84" i="6" s="1"/>
  <c r="O30" i="7"/>
  <c r="O94" i="7" s="1"/>
  <c r="O33" i="7"/>
  <c r="O99" i="7" s="1"/>
  <c r="Q132" i="45"/>
  <c r="S35" i="38"/>
  <c r="Q155" i="45"/>
  <c r="S13" i="38"/>
  <c r="AQ78" i="45"/>
  <c r="AU78" i="45" s="1"/>
  <c r="AY78" i="45" s="1"/>
  <c r="BG78" i="45" s="1"/>
  <c r="BI78" i="45" s="1"/>
  <c r="Q126" i="45"/>
  <c r="P93" i="11"/>
  <c r="P67" i="11"/>
  <c r="P92" i="11"/>
  <c r="P61" i="11"/>
  <c r="O67" i="11"/>
  <c r="P84" i="11"/>
  <c r="O88" i="77"/>
  <c r="P14" i="9"/>
  <c r="O158" i="10"/>
  <c r="O210" i="10" s="1"/>
  <c r="O203" i="10"/>
  <c r="P200" i="10"/>
  <c r="AG174" i="45"/>
  <c r="AK174" i="45"/>
  <c r="Y79" i="77"/>
  <c r="O83" i="77"/>
  <c r="Y80" i="77"/>
  <c r="Y82" i="77"/>
  <c r="Y89" i="77"/>
  <c r="Y90" i="77"/>
  <c r="P94" i="9"/>
  <c r="O19" i="15" s="1"/>
  <c r="O132" i="26"/>
  <c r="P33" i="22"/>
  <c r="O42" i="8"/>
  <c r="O97" i="11"/>
  <c r="P74" i="8"/>
  <c r="P36" i="8"/>
  <c r="S89" i="38"/>
  <c r="S66" i="38" s="1"/>
  <c r="S65" i="38"/>
  <c r="P58" i="7"/>
  <c r="O31" i="8"/>
  <c r="O24" i="8"/>
  <c r="O85" i="8"/>
  <c r="O92" i="8"/>
  <c r="O27" i="8"/>
  <c r="Q139" i="45"/>
  <c r="P184" i="10"/>
  <c r="P173" i="10"/>
  <c r="P62" i="9"/>
  <c r="P96" i="9"/>
  <c r="P90" i="9"/>
  <c r="P89" i="9"/>
  <c r="P100" i="9"/>
  <c r="P37" i="9"/>
  <c r="P59" i="8"/>
  <c r="P133" i="6"/>
  <c r="P103" i="6"/>
  <c r="O34" i="39"/>
  <c r="P92" i="8"/>
  <c r="O58" i="7"/>
  <c r="O27" i="7"/>
  <c r="O91" i="7" s="1"/>
  <c r="O61" i="7"/>
  <c r="O102" i="7" s="1"/>
  <c r="O37" i="7"/>
  <c r="O103" i="7" s="1"/>
  <c r="O55" i="7"/>
  <c r="O83" i="7"/>
  <c r="O168" i="6"/>
  <c r="O163" i="6"/>
  <c r="O27" i="6"/>
  <c r="O50" i="8"/>
  <c r="O51" i="8" s="1"/>
  <c r="O58" i="11"/>
  <c r="O79" i="11"/>
  <c r="O74" i="11"/>
  <c r="O178" i="10"/>
  <c r="O161" i="10"/>
  <c r="O173" i="10"/>
  <c r="O16" i="8"/>
  <c r="S43" i="38"/>
  <c r="S40" i="38" s="1"/>
  <c r="S19" i="38"/>
  <c r="S18" i="38" s="1"/>
  <c r="S6" i="38"/>
  <c r="T18" i="38"/>
  <c r="T40" i="38"/>
  <c r="T89" i="38" s="1"/>
  <c r="T16" i="38"/>
  <c r="Q160" i="45"/>
  <c r="Q150" i="45"/>
  <c r="Q123" i="45"/>
  <c r="Q124" i="45"/>
  <c r="Q125" i="45" s="1"/>
  <c r="P123" i="45"/>
  <c r="P139" i="45"/>
  <c r="P120" i="45"/>
  <c r="Q149" i="45"/>
  <c r="P124" i="45"/>
  <c r="P90" i="11"/>
  <c r="P85" i="11"/>
  <c r="P74" i="11"/>
  <c r="P60" i="11"/>
  <c r="P58" i="11"/>
  <c r="P79" i="11"/>
  <c r="P189" i="10"/>
  <c r="P191" i="10"/>
  <c r="P161" i="10"/>
  <c r="P178" i="10"/>
  <c r="O25" i="9"/>
  <c r="O88" i="9" s="1"/>
  <c r="P49" i="9"/>
  <c r="P72" i="9" s="1"/>
  <c r="P72" i="8"/>
  <c r="P73" i="8"/>
  <c r="P37" i="8"/>
  <c r="P43" i="8"/>
  <c r="P136" i="8" s="1"/>
  <c r="P50" i="8"/>
  <c r="P51" i="8" s="1"/>
  <c r="P86" i="8"/>
  <c r="P41" i="8"/>
  <c r="P44" i="8"/>
  <c r="P137" i="8" s="1"/>
  <c r="P47" i="8"/>
  <c r="O23" i="8"/>
  <c r="O28" i="8"/>
  <c r="P110" i="8"/>
  <c r="P46" i="8"/>
  <c r="P138" i="8" s="1"/>
  <c r="P39" i="8"/>
  <c r="P45" i="8"/>
  <c r="O25" i="8"/>
  <c r="O30" i="8"/>
  <c r="P82" i="8"/>
  <c r="P24" i="7"/>
  <c r="P30" i="7"/>
  <c r="P94" i="7" s="1"/>
  <c r="P37" i="7"/>
  <c r="P103" i="7" s="1"/>
  <c r="P59" i="7"/>
  <c r="P69" i="7"/>
  <c r="P25" i="7"/>
  <c r="P31" i="7"/>
  <c r="P95" i="7" s="1"/>
  <c r="P78" i="7"/>
  <c r="P55" i="7"/>
  <c r="P61" i="7"/>
  <c r="P102" i="7" s="1"/>
  <c r="P27" i="7"/>
  <c r="P91" i="7" s="1"/>
  <c r="P33" i="7"/>
  <c r="P99" i="7" s="1"/>
  <c r="P56" i="7"/>
  <c r="P96" i="7" s="1"/>
  <c r="P62" i="7"/>
  <c r="P83" i="7"/>
  <c r="P28" i="7"/>
  <c r="P92" i="7" s="1"/>
  <c r="P34" i="7"/>
  <c r="P97" i="7" s="1"/>
  <c r="O23" i="7"/>
  <c r="O26" i="7"/>
  <c r="O29" i="7"/>
  <c r="O93" i="7" s="1"/>
  <c r="O32" i="7"/>
  <c r="O98" i="7" s="1"/>
  <c r="O36" i="7"/>
  <c r="O90" i="7" s="1"/>
  <c r="O54" i="7"/>
  <c r="O88" i="7" s="1"/>
  <c r="O57" i="7"/>
  <c r="O60" i="7"/>
  <c r="O76" i="7"/>
  <c r="P23" i="7"/>
  <c r="P26" i="7"/>
  <c r="P29" i="7"/>
  <c r="P93" i="7" s="1"/>
  <c r="P32" i="7"/>
  <c r="P98" i="7" s="1"/>
  <c r="P36" i="7"/>
  <c r="P90" i="7" s="1"/>
  <c r="P41" i="7"/>
  <c r="P51" i="7" s="1"/>
  <c r="P54" i="7"/>
  <c r="P57" i="7"/>
  <c r="P60" i="7"/>
  <c r="P76" i="7"/>
  <c r="O81" i="7"/>
  <c r="O23" i="39"/>
  <c r="O25" i="7"/>
  <c r="O28" i="7"/>
  <c r="O92" i="7" s="1"/>
  <c r="O31" i="7"/>
  <c r="O95" i="7" s="1"/>
  <c r="O34" i="7"/>
  <c r="O97" i="7" s="1"/>
  <c r="O56" i="7"/>
  <c r="O96" i="7" s="1"/>
  <c r="O59" i="7"/>
  <c r="O62" i="7"/>
  <c r="O68" i="7"/>
  <c r="O50" i="39"/>
  <c r="O45" i="39"/>
  <c r="P138" i="6"/>
  <c r="O121" i="6"/>
  <c r="P121" i="6"/>
  <c r="O133" i="6"/>
  <c r="P57" i="6"/>
  <c r="P35" i="6"/>
  <c r="O31" i="6"/>
  <c r="O22" i="6"/>
  <c r="O24" i="6"/>
  <c r="O138" i="6"/>
  <c r="O188" i="6"/>
  <c r="O25" i="6"/>
  <c r="O21" i="6"/>
  <c r="O103" i="6"/>
  <c r="O194" i="6"/>
  <c r="O28" i="6"/>
  <c r="S16" i="38" l="1"/>
  <c r="O81" i="6"/>
  <c r="O59" i="8"/>
  <c r="P63" i="8"/>
  <c r="P70" i="8" s="1"/>
  <c r="P34" i="8"/>
  <c r="O51" i="39"/>
  <c r="O24" i="39"/>
  <c r="AY174" i="45"/>
  <c r="BG174" i="45"/>
  <c r="P91" i="9"/>
  <c r="P94" i="11"/>
  <c r="P107" i="6"/>
  <c r="P139" i="6"/>
  <c r="O32" i="6"/>
  <c r="O29" i="6"/>
  <c r="O107" i="6"/>
  <c r="P125" i="6"/>
  <c r="O125" i="6"/>
  <c r="AQ174" i="45"/>
  <c r="P139" i="8"/>
  <c r="AU174" i="45"/>
  <c r="Y88" i="77"/>
  <c r="Y94" i="77" s="1"/>
  <c r="O94" i="77"/>
  <c r="Y83" i="77"/>
  <c r="P78" i="8"/>
  <c r="O6" i="26"/>
  <c r="O89" i="7"/>
  <c r="S17" i="38"/>
  <c r="S49" i="38" s="1"/>
  <c r="P89" i="7"/>
  <c r="P73" i="9"/>
  <c r="P74" i="9" s="1"/>
  <c r="P71" i="8"/>
  <c r="P42" i="8"/>
  <c r="O101" i="7"/>
  <c r="T65" i="38"/>
  <c r="T17" i="38"/>
  <c r="T66" i="38" s="1"/>
  <c r="T67" i="38"/>
  <c r="P193" i="10"/>
  <c r="P83" i="9"/>
  <c r="P81" i="9"/>
  <c r="P53" i="9"/>
  <c r="P87" i="9"/>
  <c r="P75" i="9"/>
  <c r="P76" i="9"/>
  <c r="P52" i="9"/>
  <c r="P84" i="9"/>
  <c r="P80" i="9"/>
  <c r="P82" i="9"/>
  <c r="P85" i="9"/>
  <c r="P86" i="9"/>
  <c r="P78" i="9"/>
  <c r="P52" i="8"/>
  <c r="P121" i="8" s="1"/>
  <c r="P112" i="8"/>
  <c r="P53" i="8" s="1"/>
  <c r="P123" i="8" s="1"/>
  <c r="O67" i="8"/>
  <c r="O109" i="8"/>
  <c r="O110" i="8" s="1"/>
  <c r="O69" i="8"/>
  <c r="O65" i="8"/>
  <c r="O26" i="8"/>
  <c r="P88" i="7"/>
  <c r="P38" i="7"/>
  <c r="P53" i="7" s="1"/>
  <c r="P87" i="7"/>
  <c r="O38" i="7"/>
  <c r="O53" i="7" s="1"/>
  <c r="O87" i="7"/>
  <c r="P101" i="7"/>
  <c r="O139" i="6"/>
  <c r="O34" i="6"/>
  <c r="O33" i="6"/>
  <c r="O23" i="6"/>
  <c r="O26" i="6"/>
  <c r="O34" i="8" l="1"/>
  <c r="O36" i="8"/>
  <c r="O63" i="8"/>
  <c r="P148" i="6"/>
  <c r="P172" i="6"/>
  <c r="P35" i="8"/>
  <c r="O147" i="6"/>
  <c r="O173" i="6"/>
  <c r="O37" i="8"/>
  <c r="P147" i="6"/>
  <c r="P173" i="6"/>
  <c r="O175" i="6"/>
  <c r="P175" i="6"/>
  <c r="P143" i="6"/>
  <c r="O150" i="6"/>
  <c r="P150" i="6"/>
  <c r="O148" i="6"/>
  <c r="O172" i="6"/>
  <c r="O143" i="6"/>
  <c r="P124" i="8"/>
  <c r="P122" i="8"/>
  <c r="P126" i="8" s="1"/>
  <c r="P127" i="8" s="1"/>
  <c r="O104" i="7"/>
  <c r="T49" i="38"/>
  <c r="P77" i="9"/>
  <c r="P79" i="9" s="1"/>
  <c r="O111" i="8"/>
  <c r="O112" i="8" s="1"/>
  <c r="P77" i="7"/>
  <c r="P63" i="7"/>
  <c r="O77" i="7"/>
  <c r="O63" i="7"/>
  <c r="P104" i="7"/>
  <c r="O35" i="6"/>
  <c r="P149" i="6" l="1"/>
  <c r="P174" i="6"/>
  <c r="O35" i="8"/>
  <c r="O174" i="6"/>
  <c r="O211" i="6"/>
  <c r="O149" i="6"/>
  <c r="P197" i="6"/>
  <c r="O208" i="6"/>
  <c r="O206" i="6"/>
  <c r="O205" i="6"/>
  <c r="O204" i="6"/>
  <c r="O210" i="6"/>
  <c r="O203" i="6"/>
  <c r="O216" i="6"/>
  <c r="O219" i="6" s="1"/>
  <c r="P199" i="6"/>
  <c r="P207" i="6"/>
  <c r="P217" i="6"/>
  <c r="P212" i="6"/>
  <c r="P208" i="6"/>
  <c r="P210" i="6"/>
  <c r="P206" i="6"/>
  <c r="P218" i="6"/>
  <c r="P211" i="6"/>
  <c r="P205" i="6"/>
  <c r="P203" i="6"/>
  <c r="P213" i="6"/>
  <c r="P216" i="6"/>
  <c r="P204" i="6"/>
  <c r="O213" i="6"/>
  <c r="O212" i="6"/>
  <c r="O207" i="6"/>
  <c r="P130" i="8"/>
  <c r="P132" i="8"/>
  <c r="P145" i="8" s="1"/>
  <c r="P131" i="8"/>
  <c r="P144" i="8" s="1"/>
  <c r="O209" i="6" l="1"/>
  <c r="O214" i="6"/>
  <c r="O215" i="6" s="1"/>
  <c r="O220" i="6" s="1"/>
  <c r="P214" i="6"/>
  <c r="P219" i="6"/>
  <c r="P209" i="6"/>
  <c r="P215" i="6" s="1"/>
  <c r="P220" i="6" s="1"/>
  <c r="P133" i="8"/>
  <c r="P146" i="8" s="1"/>
  <c r="P143" i="8"/>
  <c r="O522" i="28"/>
  <c r="P479" i="28"/>
  <c r="P473" i="28"/>
  <c r="P441" i="28"/>
  <c r="P429" i="28"/>
  <c r="O429" i="28"/>
  <c r="P413" i="28"/>
  <c r="P304" i="28"/>
  <c r="O304" i="28"/>
  <c r="P298" i="28"/>
  <c r="O298" i="28"/>
  <c r="P297" i="28"/>
  <c r="O297" i="28"/>
  <c r="P256" i="28"/>
  <c r="O256" i="28"/>
  <c r="P235" i="28"/>
  <c r="P233" i="28"/>
  <c r="P96" i="28"/>
  <c r="P95" i="28"/>
  <c r="P93" i="28"/>
  <c r="P89" i="28"/>
  <c r="P85" i="28"/>
  <c r="P81" i="28"/>
  <c r="O68" i="28"/>
  <c r="O67" i="28"/>
  <c r="O65" i="28"/>
  <c r="P56" i="28"/>
  <c r="Z56" i="28" s="1"/>
  <c r="P29" i="28"/>
  <c r="Z29" i="28" s="1"/>
  <c r="O23" i="28"/>
  <c r="P21" i="28"/>
  <c r="Z21" i="28" s="1"/>
  <c r="O15" i="28"/>
  <c r="P13" i="28"/>
  <c r="Z13" i="28" s="1"/>
  <c r="O7" i="28"/>
  <c r="O21" i="28" l="1"/>
  <c r="O29" i="28"/>
  <c r="O74" i="28" s="1"/>
  <c r="P236" i="28"/>
  <c r="P505" i="28" s="1"/>
  <c r="P510" i="28"/>
  <c r="P414" i="28"/>
  <c r="P512" i="28" s="1"/>
  <c r="P514" i="28"/>
  <c r="P72" i="28"/>
  <c r="Z64" i="28"/>
  <c r="Z68" i="28"/>
  <c r="P506" i="28"/>
  <c r="Z65" i="28"/>
  <c r="Z63" i="28"/>
  <c r="P299" i="28"/>
  <c r="P97" i="28"/>
  <c r="P490" i="28"/>
  <c r="P511" i="28"/>
  <c r="P507" i="28"/>
  <c r="P73" i="28"/>
  <c r="O299" i="28"/>
  <c r="O73" i="28"/>
  <c r="O414" i="28"/>
  <c r="P74" i="28"/>
  <c r="P503" i="28"/>
  <c r="O13" i="28"/>
  <c r="P17" i="49"/>
  <c r="P18" i="49" s="1"/>
  <c r="O17" i="49"/>
  <c r="O18" i="49" s="1"/>
  <c r="P11" i="49"/>
  <c r="O11" i="49"/>
  <c r="O10" i="49"/>
  <c r="P9" i="49"/>
  <c r="O9" i="49"/>
  <c r="P8" i="49"/>
  <c r="O8" i="49"/>
  <c r="P6" i="49"/>
  <c r="O6" i="49"/>
  <c r="Q11" i="73"/>
  <c r="U11" i="73" s="1"/>
  <c r="Q15" i="73"/>
  <c r="U15" i="73" s="1"/>
  <c r="Q23" i="73"/>
  <c r="U23" i="73" s="1"/>
  <c r="Q24" i="73"/>
  <c r="U24" i="73" s="1"/>
  <c r="Q112" i="73"/>
  <c r="U112" i="73" s="1"/>
  <c r="Q136" i="73"/>
  <c r="Q172" i="73"/>
  <c r="U172" i="73" s="1"/>
  <c r="M86" i="73"/>
  <c r="Q86" i="73" s="1"/>
  <c r="U86" i="73" s="1"/>
  <c r="M89" i="73"/>
  <c r="O209" i="73"/>
  <c r="O173" i="73"/>
  <c r="O160" i="73"/>
  <c r="O171" i="73" s="1"/>
  <c r="O130" i="73"/>
  <c r="O128" i="73"/>
  <c r="O126" i="73"/>
  <c r="O122" i="73"/>
  <c r="O118" i="73"/>
  <c r="O109" i="73"/>
  <c r="O102" i="73"/>
  <c r="O98" i="73"/>
  <c r="O51" i="73"/>
  <c r="O46" i="73"/>
  <c r="O41" i="73"/>
  <c r="O30" i="73"/>
  <c r="O25" i="73"/>
  <c r="O18" i="73"/>
  <c r="P58" i="28" s="1"/>
  <c r="O16" i="73"/>
  <c r="O118" i="90" s="1"/>
  <c r="O8" i="73"/>
  <c r="S79" i="59"/>
  <c r="S78" i="59"/>
  <c r="S77" i="59"/>
  <c r="R76" i="59"/>
  <c r="R75" i="59"/>
  <c r="S74" i="59"/>
  <c r="R74" i="59"/>
  <c r="S73" i="59"/>
  <c r="R73" i="59"/>
  <c r="S70" i="59"/>
  <c r="R70" i="59"/>
  <c r="S69" i="59"/>
  <c r="R69" i="59"/>
  <c r="S66" i="59"/>
  <c r="R66" i="59"/>
  <c r="S65" i="59"/>
  <c r="R65" i="59"/>
  <c r="S62" i="59"/>
  <c r="R62" i="59"/>
  <c r="S61" i="59"/>
  <c r="R61" i="59"/>
  <c r="S60" i="59"/>
  <c r="S59" i="59"/>
  <c r="R59" i="59"/>
  <c r="S58" i="59"/>
  <c r="R58" i="59"/>
  <c r="R53" i="59"/>
  <c r="S52" i="59"/>
  <c r="R52" i="59"/>
  <c r="S51" i="59"/>
  <c r="R51" i="59"/>
  <c r="S50" i="59"/>
  <c r="R50" i="59"/>
  <c r="S48" i="59"/>
  <c r="R48" i="59"/>
  <c r="S47" i="59"/>
  <c r="R47" i="59"/>
  <c r="S46" i="59"/>
  <c r="R46" i="59"/>
  <c r="S45" i="59"/>
  <c r="R45" i="59"/>
  <c r="S43" i="59"/>
  <c r="R43" i="59"/>
  <c r="S42" i="59"/>
  <c r="R42" i="59"/>
  <c r="S41" i="59"/>
  <c r="R41" i="59"/>
  <c r="R39" i="59"/>
  <c r="R38" i="59"/>
  <c r="R37" i="59"/>
  <c r="S36" i="59"/>
  <c r="R36" i="59"/>
  <c r="S35" i="59"/>
  <c r="R35" i="59"/>
  <c r="S34" i="59"/>
  <c r="R34" i="59"/>
  <c r="S33" i="59"/>
  <c r="R33" i="59"/>
  <c r="S32" i="59"/>
  <c r="R32" i="59"/>
  <c r="S31" i="59"/>
  <c r="R31" i="59"/>
  <c r="S30" i="59"/>
  <c r="R30" i="59"/>
  <c r="S29" i="59"/>
  <c r="R29" i="59"/>
  <c r="S28" i="59"/>
  <c r="R28" i="59"/>
  <c r="S27" i="59"/>
  <c r="S26" i="59"/>
  <c r="S25" i="59"/>
  <c r="S24" i="59"/>
  <c r="S23" i="59"/>
  <c r="R23" i="59"/>
  <c r="S22" i="59"/>
  <c r="R22" i="59"/>
  <c r="S20" i="59"/>
  <c r="S19" i="59"/>
  <c r="S18" i="59"/>
  <c r="S17" i="59"/>
  <c r="S16" i="59"/>
  <c r="R16" i="59"/>
  <c r="S15" i="59"/>
  <c r="R15" i="59"/>
  <c r="S12" i="59"/>
  <c r="R12" i="59"/>
  <c r="S11" i="59"/>
  <c r="R11" i="59"/>
  <c r="O72" i="36"/>
  <c r="O71" i="36"/>
  <c r="O69" i="36"/>
  <c r="O67" i="36"/>
  <c r="O66" i="36"/>
  <c r="P64" i="36"/>
  <c r="P72" i="36" s="1"/>
  <c r="P62" i="36"/>
  <c r="P70" i="36" s="1"/>
  <c r="P61" i="36"/>
  <c r="P59" i="36"/>
  <c r="P67" i="36" s="1"/>
  <c r="P58" i="36"/>
  <c r="P66" i="36" s="1"/>
  <c r="P57" i="36"/>
  <c r="P17" i="36" s="1"/>
  <c r="S55" i="59" s="1"/>
  <c r="P56" i="36"/>
  <c r="P16" i="36" s="1"/>
  <c r="P33" i="36"/>
  <c r="P40" i="36" s="1"/>
  <c r="O29" i="36"/>
  <c r="N7" i="15" s="1"/>
  <c r="O28" i="36"/>
  <c r="N6" i="15" s="1"/>
  <c r="O27" i="36"/>
  <c r="N5" i="15" s="1"/>
  <c r="P26" i="36"/>
  <c r="P24" i="36"/>
  <c r="S75" i="59" s="1"/>
  <c r="P23" i="36"/>
  <c r="S72" i="59" s="1"/>
  <c r="O23" i="36"/>
  <c r="R72" i="59" s="1"/>
  <c r="P22" i="36"/>
  <c r="S68" i="59" s="1"/>
  <c r="O22" i="36"/>
  <c r="R68" i="59" s="1"/>
  <c r="P21" i="36"/>
  <c r="S64" i="59" s="1"/>
  <c r="O21" i="36"/>
  <c r="R64" i="59" s="1"/>
  <c r="O17" i="36"/>
  <c r="O16" i="36"/>
  <c r="R54" i="59" s="1"/>
  <c r="O13" i="36"/>
  <c r="R40" i="59" s="1"/>
  <c r="P12" i="36"/>
  <c r="S39" i="59" s="1"/>
  <c r="P11" i="36"/>
  <c r="S38" i="59" s="1"/>
  <c r="P10" i="36"/>
  <c r="P9" i="36"/>
  <c r="S10" i="59" s="1"/>
  <c r="O9" i="36"/>
  <c r="R10" i="59" s="1"/>
  <c r="P8" i="36"/>
  <c r="S9" i="59" s="1"/>
  <c r="O8" i="36"/>
  <c r="R9" i="59" s="1"/>
  <c r="P7" i="36"/>
  <c r="S8" i="59" s="1"/>
  <c r="O7" i="36"/>
  <c r="R8" i="59" s="1"/>
  <c r="O5" i="36"/>
  <c r="R6" i="59" s="1"/>
  <c r="P28" i="21"/>
  <c r="O27" i="21"/>
  <c r="P24" i="21"/>
  <c r="P25" i="21" s="1"/>
  <c r="P18" i="21"/>
  <c r="P15" i="21"/>
  <c r="P12" i="21"/>
  <c r="O12" i="21"/>
  <c r="O22" i="21" s="1"/>
  <c r="O6" i="73" l="1"/>
  <c r="P46" i="28"/>
  <c r="P35" i="28" s="1"/>
  <c r="P60" i="28"/>
  <c r="Z60" i="28" s="1"/>
  <c r="Z58" i="28"/>
  <c r="O114" i="73"/>
  <c r="O513" i="28"/>
  <c r="O87" i="28"/>
  <c r="O512" i="28" s="1"/>
  <c r="O83" i="28"/>
  <c r="O500" i="28" s="1"/>
  <c r="O509" i="28"/>
  <c r="P504" i="28"/>
  <c r="P98" i="28"/>
  <c r="Y128" i="73"/>
  <c r="Y130" i="73"/>
  <c r="Y209" i="73"/>
  <c r="O12" i="15"/>
  <c r="O13" i="15" s="1"/>
  <c r="O14" i="15" s="1"/>
  <c r="R77" i="59"/>
  <c r="R78" i="59"/>
  <c r="O68" i="36"/>
  <c r="R79" i="59"/>
  <c r="Q89" i="73"/>
  <c r="U89" i="73" s="1"/>
  <c r="AA89" i="73"/>
  <c r="P508" i="28"/>
  <c r="P501" i="28"/>
  <c r="P500" i="28"/>
  <c r="P513" i="28"/>
  <c r="P509" i="28"/>
  <c r="O133" i="73"/>
  <c r="Y133" i="73" s="1"/>
  <c r="Q143" i="50"/>
  <c r="O5" i="73"/>
  <c r="P522" i="28"/>
  <c r="O90" i="9"/>
  <c r="R55" i="59"/>
  <c r="O13" i="49"/>
  <c r="O89" i="9"/>
  <c r="P68" i="36"/>
  <c r="P13" i="36"/>
  <c r="S40" i="59" s="1"/>
  <c r="S37" i="59"/>
  <c r="P63" i="36"/>
  <c r="P60" i="36"/>
  <c r="S54" i="59"/>
  <c r="P18" i="36"/>
  <c r="S56" i="59" s="1"/>
  <c r="R49" i="59"/>
  <c r="S44" i="59"/>
  <c r="S49" i="59"/>
  <c r="R44" i="59"/>
  <c r="O12" i="49"/>
  <c r="O14" i="49" s="1"/>
  <c r="O15" i="49" s="1"/>
  <c r="O16" i="49" s="1"/>
  <c r="O19" i="49" s="1"/>
  <c r="O20" i="49" s="1"/>
  <c r="O236" i="28"/>
  <c r="O72" i="28"/>
  <c r="O501" i="28"/>
  <c r="P69" i="36"/>
  <c r="P71" i="36" s="1"/>
  <c r="P20" i="21"/>
  <c r="O15" i="21"/>
  <c r="O18" i="35"/>
  <c r="O16" i="35"/>
  <c r="P67" i="28" l="1"/>
  <c r="P37" i="28"/>
  <c r="Z46" i="28"/>
  <c r="P440" i="28"/>
  <c r="P471" i="28" s="1"/>
  <c r="P48" i="28"/>
  <c r="O505" i="28"/>
  <c r="O508" i="28"/>
  <c r="O507" i="28"/>
  <c r="O511" i="28"/>
  <c r="O91" i="9"/>
  <c r="P19" i="36"/>
  <c r="S57" i="59" s="1"/>
  <c r="N18" i="15"/>
  <c r="N15" i="15" s="1"/>
  <c r="N16" i="15" s="1"/>
  <c r="O5" i="9"/>
  <c r="O19" i="9" s="1"/>
  <c r="O33" i="36"/>
  <c r="O64" i="36"/>
  <c r="O58" i="36"/>
  <c r="O59" i="36"/>
  <c r="O61" i="36"/>
  <c r="O63" i="36" s="1"/>
  <c r="O79" i="28"/>
  <c r="O42" i="35"/>
  <c r="O41" i="35"/>
  <c r="P40" i="35"/>
  <c r="P39" i="35"/>
  <c r="O39" i="35"/>
  <c r="O36" i="35"/>
  <c r="O33" i="35"/>
  <c r="P32" i="35"/>
  <c r="P31" i="35"/>
  <c r="P30" i="35"/>
  <c r="P203" i="10" s="1"/>
  <c r="P26" i="35"/>
  <c r="P34" i="36" s="1"/>
  <c r="O26" i="35"/>
  <c r="O21" i="35"/>
  <c r="O26" i="9" s="1"/>
  <c r="P20" i="35"/>
  <c r="O20" i="35"/>
  <c r="P19" i="35"/>
  <c r="O19" i="35"/>
  <c r="P14" i="35"/>
  <c r="P5" i="36" s="1"/>
  <c r="P13" i="35"/>
  <c r="P11" i="35"/>
  <c r="P10" i="6" s="1"/>
  <c r="O10" i="35"/>
  <c r="O9" i="35"/>
  <c r="O8" i="35"/>
  <c r="P7" i="35"/>
  <c r="P6" i="6" s="1"/>
  <c r="P6" i="35"/>
  <c r="Z48" i="28" l="1"/>
  <c r="P523" i="28"/>
  <c r="P491" i="28"/>
  <c r="Z35" i="28"/>
  <c r="P35" i="36"/>
  <c r="P36" i="36" s="1"/>
  <c r="P38" i="36" s="1"/>
  <c r="P30" i="36" s="1"/>
  <c r="S80" i="59" s="1"/>
  <c r="P41" i="36"/>
  <c r="O13" i="35"/>
  <c r="O8" i="6"/>
  <c r="O60" i="36"/>
  <c r="O14" i="35"/>
  <c r="O9" i="6"/>
  <c r="O57" i="36"/>
  <c r="O56" i="36"/>
  <c r="O70" i="9"/>
  <c r="N132" i="26"/>
  <c r="O33" i="22"/>
  <c r="O7" i="9"/>
  <c r="O59" i="9"/>
  <c r="O58" i="9"/>
  <c r="O63" i="9"/>
  <c r="O95" i="9"/>
  <c r="O69" i="9"/>
  <c r="O55" i="9"/>
  <c r="O65" i="9"/>
  <c r="O64" i="9"/>
  <c r="O68" i="9"/>
  <c r="O67" i="9"/>
  <c r="O56" i="9"/>
  <c r="O92" i="9"/>
  <c r="O61" i="9"/>
  <c r="O100" i="9"/>
  <c r="O66" i="9"/>
  <c r="O27" i="9"/>
  <c r="P16" i="6"/>
  <c r="P18" i="6"/>
  <c r="P8" i="35"/>
  <c r="P5" i="6"/>
  <c r="O48" i="35"/>
  <c r="O49" i="35" s="1"/>
  <c r="O31" i="28"/>
  <c r="O26" i="21"/>
  <c r="O28" i="21" s="1"/>
  <c r="O34" i="36"/>
  <c r="O35" i="36" s="1"/>
  <c r="O36" i="36" s="1"/>
  <c r="O38" i="36" s="1"/>
  <c r="O30" i="36" s="1"/>
  <c r="R80" i="59" s="1"/>
  <c r="P33" i="35"/>
  <c r="P41" i="35"/>
  <c r="P97" i="11"/>
  <c r="P15" i="35"/>
  <c r="S6" i="59"/>
  <c r="P13" i="49"/>
  <c r="O504" i="28"/>
  <c r="O503" i="28"/>
  <c r="O11" i="35"/>
  <c r="O10" i="6" s="1"/>
  <c r="O37" i="35"/>
  <c r="O15" i="35" l="1"/>
  <c r="Z67" i="28"/>
  <c r="P69" i="28"/>
  <c r="P70" i="28" s="1"/>
  <c r="P516" i="28"/>
  <c r="P494" i="28"/>
  <c r="P495" i="28"/>
  <c r="Z37" i="28"/>
  <c r="P75" i="28"/>
  <c r="P76" i="28" s="1"/>
  <c r="P521" i="28" s="1"/>
  <c r="P515" i="28"/>
  <c r="P517" i="28"/>
  <c r="O55" i="35"/>
  <c r="O21" i="22"/>
  <c r="O7" i="22"/>
  <c r="O57" i="9"/>
  <c r="O60" i="9"/>
  <c r="P189" i="6"/>
  <c r="P194" i="6"/>
  <c r="P17" i="6"/>
  <c r="P15" i="6"/>
  <c r="P7" i="6"/>
  <c r="O37" i="28"/>
  <c r="O63" i="28"/>
  <c r="M4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5" i="83"/>
  <c r="M26" i="83"/>
  <c r="M29" i="83"/>
  <c r="M30" i="83"/>
  <c r="M32" i="83"/>
  <c r="M33" i="83"/>
  <c r="M34" i="83"/>
  <c r="M35" i="83"/>
  <c r="M36" i="83"/>
  <c r="M37" i="83"/>
  <c r="M39" i="83"/>
  <c r="M40" i="83"/>
  <c r="M41" i="83"/>
  <c r="M42" i="83"/>
  <c r="M43" i="83"/>
  <c r="M44" i="83"/>
  <c r="M46" i="83"/>
  <c r="M47" i="83"/>
  <c r="M48" i="83"/>
  <c r="M49" i="83"/>
  <c r="M50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8" i="83"/>
  <c r="M70" i="83"/>
  <c r="M72" i="83"/>
  <c r="M73" i="83"/>
  <c r="M74" i="83"/>
  <c r="M75" i="83"/>
  <c r="Z69" i="28" l="1"/>
  <c r="Z70" i="28" s="1"/>
  <c r="P520" i="28"/>
  <c r="O69" i="28"/>
  <c r="O22" i="22"/>
  <c r="O62" i="9"/>
  <c r="O8" i="22"/>
  <c r="O10" i="22" s="1"/>
  <c r="M76" i="83"/>
  <c r="M51" i="83"/>
  <c r="M45" i="83"/>
  <c r="P19" i="6"/>
  <c r="P168" i="6"/>
  <c r="P164" i="6"/>
  <c r="O491" i="28"/>
  <c r="O75" i="28"/>
  <c r="M69" i="83"/>
  <c r="O520" i="28" l="1"/>
  <c r="P81" i="6"/>
  <c r="O11" i="22"/>
  <c r="O24" i="22"/>
  <c r="P40" i="6"/>
  <c r="P37" i="6"/>
  <c r="P38" i="6"/>
  <c r="P39" i="6"/>
  <c r="P84" i="6"/>
  <c r="O91" i="28"/>
  <c r="O76" i="28"/>
  <c r="O517" i="28"/>
  <c r="O494" i="28"/>
  <c r="L107" i="10"/>
  <c r="M31" i="83" s="1"/>
  <c r="L67" i="10"/>
  <c r="L39" i="10"/>
  <c r="M24" i="83" s="1"/>
  <c r="O521" i="28" l="1"/>
  <c r="O495" i="28"/>
  <c r="L199" i="10"/>
  <c r="O25" i="22"/>
  <c r="O13" i="22"/>
  <c r="M27" i="83"/>
  <c r="M38" i="83" s="1"/>
  <c r="M77" i="83" s="1"/>
  <c r="P41" i="6"/>
  <c r="O516" i="28"/>
  <c r="O95" i="28"/>
  <c r="O515" i="28"/>
  <c r="L103" i="9"/>
  <c r="O27" i="22" l="1"/>
  <c r="M128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9" i="50"/>
  <c r="M30" i="50"/>
  <c r="M31" i="50"/>
  <c r="M32" i="50"/>
  <c r="M33" i="50"/>
  <c r="M34" i="50"/>
  <c r="M35" i="50"/>
  <c r="M36" i="50"/>
  <c r="M37" i="50"/>
  <c r="M4" i="50"/>
  <c r="M20" i="39" l="1"/>
  <c r="Q20" i="39" s="1"/>
  <c r="U20" i="39" s="1"/>
  <c r="AA20" i="39" s="1"/>
  <c r="E209" i="73"/>
  <c r="G209" i="73"/>
  <c r="K209" i="73"/>
  <c r="I7" i="52"/>
  <c r="J7" i="52"/>
  <c r="M7" i="52"/>
  <c r="Q7" i="52" s="1"/>
  <c r="U7" i="52" s="1"/>
  <c r="N7" i="52"/>
  <c r="R7" i="52" s="1"/>
  <c r="V7" i="52" s="1"/>
  <c r="Y7" i="52"/>
  <c r="Z7" i="52"/>
  <c r="AM7" i="52"/>
  <c r="AN7" i="52"/>
  <c r="BA7" i="52"/>
  <c r="BB7" i="52"/>
  <c r="J117" i="17"/>
  <c r="J115" i="17"/>
  <c r="K87" i="17"/>
  <c r="K86" i="17"/>
  <c r="K85" i="17"/>
  <c r="K84" i="17"/>
  <c r="K83" i="17"/>
  <c r="K122" i="17" s="1"/>
  <c r="J83" i="17"/>
  <c r="J122" i="17" s="1"/>
  <c r="K79" i="17"/>
  <c r="J79" i="17"/>
  <c r="K74" i="17"/>
  <c r="J74" i="17"/>
  <c r="K67" i="17"/>
  <c r="K69" i="17" s="1"/>
  <c r="J67" i="17"/>
  <c r="J69" i="17" s="1"/>
  <c r="J61" i="17"/>
  <c r="K59" i="17"/>
  <c r="K62" i="17" s="1"/>
  <c r="J58" i="17"/>
  <c r="J57" i="17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K26" i="17"/>
  <c r="K22" i="17"/>
  <c r="K16" i="17" s="1"/>
  <c r="J21" i="17"/>
  <c r="J19" i="17"/>
  <c r="J18" i="17"/>
  <c r="J16" i="17"/>
  <c r="J30" i="17" s="1"/>
  <c r="J15" i="17"/>
  <c r="K14" i="17"/>
  <c r="K12" i="17"/>
  <c r="K9" i="17"/>
  <c r="K13" i="17" s="1"/>
  <c r="J9" i="17"/>
  <c r="J11" i="17" s="1"/>
  <c r="AB7" i="52" l="1"/>
  <c r="AF7" i="52" s="1"/>
  <c r="AJ7" i="52" s="1"/>
  <c r="AP7" i="52" s="1"/>
  <c r="AT7" i="52" s="1"/>
  <c r="AX7" i="52" s="1"/>
  <c r="BF7" i="52" s="1"/>
  <c r="AE20" i="39"/>
  <c r="AI20" i="39" s="1"/>
  <c r="AO20" i="39" s="1"/>
  <c r="AS20" i="39" s="1"/>
  <c r="AW20" i="39" s="1"/>
  <c r="BE20" i="39" s="1"/>
  <c r="BF20" i="39" s="1"/>
  <c r="BC7" i="52"/>
  <c r="AA7" i="52"/>
  <c r="AE7" i="52" s="1"/>
  <c r="AI7" i="52" s="1"/>
  <c r="AO7" i="52" s="1"/>
  <c r="AS7" i="52" s="1"/>
  <c r="AW7" i="52" s="1"/>
  <c r="BE7" i="52" s="1"/>
  <c r="J22" i="17"/>
  <c r="J32" i="17" s="1"/>
  <c r="K117" i="17"/>
  <c r="BD7" i="52"/>
  <c r="J50" i="17"/>
  <c r="J114" i="17" s="1"/>
  <c r="J59" i="17"/>
  <c r="J62" i="17" s="1"/>
  <c r="K60" i="17"/>
  <c r="J119" i="17"/>
  <c r="K32" i="17"/>
  <c r="K30" i="17"/>
  <c r="K33" i="17"/>
  <c r="J116" i="17"/>
  <c r="K114" i="17"/>
  <c r="K51" i="17"/>
  <c r="K55" i="17" s="1"/>
  <c r="K54" i="17"/>
  <c r="J31" i="17"/>
  <c r="K15" i="17"/>
  <c r="K116" i="17"/>
  <c r="K11" i="17"/>
  <c r="K31" i="17"/>
  <c r="K34" i="17"/>
  <c r="K45" i="17"/>
  <c r="M125" i="73"/>
  <c r="AA125" i="73" s="1"/>
  <c r="AE125" i="73" s="1"/>
  <c r="AI125" i="73" s="1"/>
  <c r="AO125" i="73" s="1"/>
  <c r="AS125" i="73" s="1"/>
  <c r="AW125" i="73" s="1"/>
  <c r="BE125" i="73" s="1"/>
  <c r="K37" i="27"/>
  <c r="K35" i="27"/>
  <c r="K27" i="27"/>
  <c r="K29" i="27"/>
  <c r="K28" i="27"/>
  <c r="K20" i="27"/>
  <c r="K19" i="27"/>
  <c r="K18" i="27"/>
  <c r="J34" i="17" l="1"/>
  <c r="BI20" i="39"/>
  <c r="J60" i="17"/>
  <c r="Q125" i="73"/>
  <c r="U125" i="73" s="1"/>
  <c r="J54" i="17"/>
  <c r="J118" i="17"/>
  <c r="K118" i="17"/>
  <c r="K115" i="17"/>
  <c r="K119" i="17" s="1"/>
  <c r="J39" i="27"/>
  <c r="K36" i="27"/>
  <c r="K39" i="27" s="1"/>
  <c r="J28" i="27"/>
  <c r="J27" i="27"/>
  <c r="K26" i="27"/>
  <c r="K33" i="27" s="1"/>
  <c r="K22" i="27"/>
  <c r="K21" i="27"/>
  <c r="J18" i="27"/>
  <c r="J24" i="27" s="1"/>
  <c r="J33" i="27" l="1"/>
  <c r="K24" i="27"/>
  <c r="K114" i="26"/>
  <c r="J112" i="26"/>
  <c r="J110" i="26"/>
  <c r="J108" i="26"/>
  <c r="J106" i="26"/>
  <c r="J104" i="26"/>
  <c r="J102" i="26"/>
  <c r="J100" i="26"/>
  <c r="J98" i="26"/>
  <c r="K94" i="26"/>
  <c r="J91" i="26"/>
  <c r="J89" i="26"/>
  <c r="J87" i="26"/>
  <c r="J85" i="26"/>
  <c r="K83" i="26"/>
  <c r="K82" i="26"/>
  <c r="J80" i="26"/>
  <c r="J78" i="26"/>
  <c r="K75" i="26"/>
  <c r="J73" i="26"/>
  <c r="J71" i="26"/>
  <c r="J69" i="26"/>
  <c r="J67" i="26"/>
  <c r="J65" i="26"/>
  <c r="J63" i="26"/>
  <c r="J61" i="26"/>
  <c r="J59" i="26"/>
  <c r="J54" i="26"/>
  <c r="J52" i="26"/>
  <c r="K50" i="26"/>
  <c r="J48" i="26"/>
  <c r="K45" i="26"/>
  <c r="J43" i="26"/>
  <c r="J41" i="26"/>
  <c r="J39" i="26"/>
  <c r="J37" i="26"/>
  <c r="J35" i="26"/>
  <c r="J33" i="26"/>
  <c r="J31" i="26"/>
  <c r="J29" i="26"/>
  <c r="J27" i="26"/>
  <c r="J25" i="26"/>
  <c r="J23" i="26"/>
  <c r="J21" i="26"/>
  <c r="J17" i="26"/>
  <c r="J15" i="26"/>
  <c r="K12" i="26"/>
  <c r="J11" i="26"/>
  <c r="J9" i="26"/>
  <c r="AC61" i="50"/>
  <c r="AG61" i="50" s="1"/>
  <c r="AK61" i="50" s="1"/>
  <c r="AQ61" i="50" s="1"/>
  <c r="AU61" i="50" s="1"/>
  <c r="AY61" i="50" s="1"/>
  <c r="BG61" i="50" s="1"/>
  <c r="BH61" i="50" s="1"/>
  <c r="K34" i="72"/>
  <c r="Y34" i="72" s="1"/>
  <c r="AC34" i="72" s="1"/>
  <c r="AG34" i="72" s="1"/>
  <c r="AM34" i="72" s="1"/>
  <c r="AQ34" i="72" s="1"/>
  <c r="AU34" i="72" s="1"/>
  <c r="BC34" i="72" s="1"/>
  <c r="K29" i="72"/>
  <c r="Y29" i="72" s="1"/>
  <c r="AC29" i="72" s="1"/>
  <c r="AG29" i="72" s="1"/>
  <c r="AM29" i="72" s="1"/>
  <c r="AQ29" i="72" s="1"/>
  <c r="AU29" i="72" s="1"/>
  <c r="BC29" i="72" s="1"/>
  <c r="K30" i="72"/>
  <c r="Y30" i="72" s="1"/>
  <c r="AC30" i="72" s="1"/>
  <c r="AG30" i="72" s="1"/>
  <c r="AM30" i="72" s="1"/>
  <c r="AQ30" i="72" s="1"/>
  <c r="AU30" i="72" s="1"/>
  <c r="BC30" i="72" s="1"/>
  <c r="K35" i="72"/>
  <c r="Y35" i="72" s="1"/>
  <c r="AC35" i="72" s="1"/>
  <c r="AG35" i="72" s="1"/>
  <c r="AM35" i="72" s="1"/>
  <c r="J50" i="26" l="1"/>
  <c r="J84" i="17"/>
  <c r="J26" i="17"/>
  <c r="J33" i="17" s="1"/>
  <c r="J87" i="17"/>
  <c r="K57" i="26"/>
  <c r="J85" i="17"/>
  <c r="J86" i="17"/>
  <c r="K19" i="26"/>
  <c r="J12" i="26"/>
  <c r="J83" i="26"/>
  <c r="J114" i="26"/>
  <c r="J82" i="26"/>
  <c r="J94" i="26"/>
  <c r="J75" i="26"/>
  <c r="J45" i="26"/>
  <c r="J57" i="26"/>
  <c r="J51" i="26"/>
  <c r="J56" i="26"/>
  <c r="K18" i="26"/>
  <c r="K56" i="26"/>
  <c r="K13" i="26"/>
  <c r="K51" i="26"/>
  <c r="AU53" i="71"/>
  <c r="AW53" i="71"/>
  <c r="BA53" i="71"/>
  <c r="CQ53" i="71"/>
  <c r="CS53" i="71" s="1"/>
  <c r="AU48" i="71"/>
  <c r="AW48" i="71"/>
  <c r="G81" i="90" s="1"/>
  <c r="BA48" i="71"/>
  <c r="K81" i="90" s="1"/>
  <c r="BA7" i="71"/>
  <c r="BA8" i="71"/>
  <c r="BA9" i="71"/>
  <c r="K68" i="90" s="1"/>
  <c r="BA10" i="71"/>
  <c r="BA11" i="71"/>
  <c r="BA12" i="71"/>
  <c r="BA13" i="71"/>
  <c r="BA14" i="71"/>
  <c r="BA15" i="71"/>
  <c r="BA16" i="71"/>
  <c r="BA18" i="71"/>
  <c r="BA20" i="71"/>
  <c r="K70" i="90" s="1"/>
  <c r="BA21" i="71"/>
  <c r="K71" i="90" s="1"/>
  <c r="BA22" i="71"/>
  <c r="K72" i="90" s="1"/>
  <c r="BA24" i="71"/>
  <c r="BA25" i="71"/>
  <c r="BA26" i="71"/>
  <c r="K73" i="90" s="1"/>
  <c r="BA27" i="71"/>
  <c r="BA28" i="71"/>
  <c r="BA29" i="71"/>
  <c r="BA32" i="71"/>
  <c r="BA33" i="71"/>
  <c r="BA35" i="71"/>
  <c r="BA36" i="71"/>
  <c r="BA37" i="71"/>
  <c r="K74" i="90" s="1"/>
  <c r="BA38" i="71"/>
  <c r="BA39" i="71"/>
  <c r="BA40" i="71"/>
  <c r="BA41" i="71"/>
  <c r="K76" i="90" s="1"/>
  <c r="BA42" i="71"/>
  <c r="K77" i="90" s="1"/>
  <c r="BA44" i="71"/>
  <c r="K78" i="90" s="1"/>
  <c r="BA45" i="71"/>
  <c r="BA46" i="71"/>
  <c r="K79" i="90" s="1"/>
  <c r="BA47" i="71"/>
  <c r="K80" i="90" s="1"/>
  <c r="BA49" i="71"/>
  <c r="K82" i="90" s="1"/>
  <c r="BA50" i="71"/>
  <c r="K83" i="90" s="1"/>
  <c r="BA51" i="71"/>
  <c r="BA52" i="71"/>
  <c r="BA54" i="71"/>
  <c r="K84" i="90" s="1"/>
  <c r="J13" i="26" l="1"/>
  <c r="AY53" i="71"/>
  <c r="CU53" i="71"/>
  <c r="AY48" i="71"/>
  <c r="CU48" i="71"/>
  <c r="E81" i="90"/>
  <c r="J19" i="26"/>
  <c r="J18" i="26"/>
  <c r="BC53" i="71"/>
  <c r="BC48" i="71"/>
  <c r="AI81" i="90" l="1"/>
  <c r="BE81" i="90"/>
  <c r="BQ48" i="71"/>
  <c r="BU48" i="71" s="1"/>
  <c r="BY48" i="71" s="1"/>
  <c r="CE48" i="71" s="1"/>
  <c r="CI48" i="71" s="1"/>
  <c r="CM48" i="71" s="1"/>
  <c r="BG48" i="71"/>
  <c r="BK48" i="71" s="1"/>
  <c r="BQ53" i="71"/>
  <c r="BU53" i="71" s="1"/>
  <c r="BG53" i="71"/>
  <c r="BK53" i="71" s="1"/>
  <c r="L28" i="22"/>
  <c r="L24" i="22"/>
  <c r="L23" i="22"/>
  <c r="L14" i="22"/>
  <c r="L10" i="22"/>
  <c r="L9" i="22"/>
  <c r="K18" i="15"/>
  <c r="M34" i="15"/>
  <c r="Q34" i="15" s="1"/>
  <c r="U34" i="15" s="1"/>
  <c r="Y34" i="15"/>
  <c r="AM34" i="15"/>
  <c r="BA34" i="15"/>
  <c r="K31" i="15"/>
  <c r="K30" i="15"/>
  <c r="K29" i="15"/>
  <c r="K25" i="15"/>
  <c r="K24" i="15"/>
  <c r="K23" i="15"/>
  <c r="K22" i="15"/>
  <c r="K21" i="15"/>
  <c r="J19" i="15"/>
  <c r="K15" i="15"/>
  <c r="J12" i="15"/>
  <c r="J13" i="15" s="1"/>
  <c r="K10" i="15"/>
  <c r="K9" i="15"/>
  <c r="J9" i="15"/>
  <c r="K8" i="15"/>
  <c r="J8" i="15"/>
  <c r="K7" i="15"/>
  <c r="K6" i="15"/>
  <c r="K5" i="15"/>
  <c r="AA34" i="15" l="1"/>
  <c r="AE34" i="15" s="1"/>
  <c r="AI34" i="15" s="1"/>
  <c r="AO34" i="15" s="1"/>
  <c r="AS34" i="15" s="1"/>
  <c r="AW34" i="15" s="1"/>
  <c r="BE34" i="15" s="1"/>
  <c r="L12" i="22"/>
  <c r="L26" i="22"/>
  <c r="BY53" i="71"/>
  <c r="BC34" i="15"/>
  <c r="K32" i="15"/>
  <c r="K36" i="15" s="1"/>
  <c r="CE53" i="71" l="1"/>
  <c r="K16" i="15"/>
  <c r="K17" i="15" s="1"/>
  <c r="L47" i="35"/>
  <c r="H47" i="35"/>
  <c r="F47" i="35"/>
  <c r="P47" i="35"/>
  <c r="Z47" i="35" s="1"/>
  <c r="P45" i="35"/>
  <c r="P44" i="35"/>
  <c r="P43" i="35"/>
  <c r="L3" i="8"/>
  <c r="CI53" i="71" l="1"/>
  <c r="CM53" i="71" s="1"/>
  <c r="P42" i="35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5" i="38"/>
  <c r="O53" i="38"/>
  <c r="P52" i="38"/>
  <c r="O52" i="38"/>
  <c r="O47" i="38"/>
  <c r="O46" i="38"/>
  <c r="O45" i="38"/>
  <c r="O44" i="38"/>
  <c r="P43" i="38"/>
  <c r="O42" i="38"/>
  <c r="O41" i="38" s="1"/>
  <c r="P41" i="38"/>
  <c r="O39" i="38"/>
  <c r="O38" i="38"/>
  <c r="O37" i="38"/>
  <c r="O36" i="38"/>
  <c r="P35" i="38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O15" i="38"/>
  <c r="O14" i="38"/>
  <c r="P13" i="38"/>
  <c r="O12" i="38"/>
  <c r="O11" i="38"/>
  <c r="O10" i="38"/>
  <c r="O9" i="38"/>
  <c r="O8" i="38"/>
  <c r="O7" i="38"/>
  <c r="P6" i="38"/>
  <c r="K116" i="45"/>
  <c r="O116" i="45"/>
  <c r="K75" i="45"/>
  <c r="K76" i="45"/>
  <c r="K77" i="45"/>
  <c r="O75" i="45"/>
  <c r="O76" i="45"/>
  <c r="AC76" i="45" s="1"/>
  <c r="AG76" i="45" s="1"/>
  <c r="AK76" i="45" s="1"/>
  <c r="AQ76" i="45" s="1"/>
  <c r="AU76" i="45" s="1"/>
  <c r="AY76" i="45" s="1"/>
  <c r="BG76" i="45" s="1"/>
  <c r="BI76" i="45" s="1"/>
  <c r="O77" i="45"/>
  <c r="AC77" i="45" s="1"/>
  <c r="AG77" i="45" s="1"/>
  <c r="AK77" i="45" s="1"/>
  <c r="AQ77" i="45" s="1"/>
  <c r="AU77" i="45" s="1"/>
  <c r="AY77" i="45" s="1"/>
  <c r="BG77" i="45" s="1"/>
  <c r="BI77" i="45" s="1"/>
  <c r="O62" i="45"/>
  <c r="AC62" i="45" s="1"/>
  <c r="AG62" i="45" s="1"/>
  <c r="AK62" i="45" s="1"/>
  <c r="AQ62" i="45" s="1"/>
  <c r="AU62" i="45" s="1"/>
  <c r="AY62" i="45" s="1"/>
  <c r="BG62" i="45" s="1"/>
  <c r="BI62" i="45" s="1"/>
  <c r="P92" i="38" l="1"/>
  <c r="P90" i="38"/>
  <c r="P84" i="38"/>
  <c r="P62" i="38"/>
  <c r="O175" i="45"/>
  <c r="N47" i="35" s="1"/>
  <c r="K175" i="45"/>
  <c r="J47" i="35" s="1"/>
  <c r="P16" i="38"/>
  <c r="O89" i="38"/>
  <c r="O66" i="38" s="1"/>
  <c r="S116" i="45"/>
  <c r="W116" i="45" s="1"/>
  <c r="AC116" i="45"/>
  <c r="AG116" i="45" s="1"/>
  <c r="AK116" i="45" s="1"/>
  <c r="AQ116" i="45" s="1"/>
  <c r="AU116" i="45" s="1"/>
  <c r="AY116" i="45" s="1"/>
  <c r="BG116" i="45" s="1"/>
  <c r="BI116" i="45" s="1"/>
  <c r="AC75" i="45"/>
  <c r="S77" i="45"/>
  <c r="W77" i="45" s="1"/>
  <c r="S76" i="45"/>
  <c r="W76" i="45" s="1"/>
  <c r="S62" i="45"/>
  <c r="W62" i="45" s="1"/>
  <c r="S75" i="45"/>
  <c r="O43" i="38"/>
  <c r="O40" i="38" s="1"/>
  <c r="O67" i="38"/>
  <c r="O65" i="38"/>
  <c r="P18" i="38"/>
  <c r="O35" i="38"/>
  <c r="O19" i="38"/>
  <c r="O13" i="38"/>
  <c r="O6" i="38"/>
  <c r="P68" i="38"/>
  <c r="P55" i="38"/>
  <c r="P40" i="38"/>
  <c r="O98" i="38" l="1"/>
  <c r="P67" i="38"/>
  <c r="P65" i="38"/>
  <c r="S175" i="45"/>
  <c r="O18" i="38"/>
  <c r="O17" i="38" s="1"/>
  <c r="AG75" i="45"/>
  <c r="AK75" i="45" s="1"/>
  <c r="AC175" i="45"/>
  <c r="R47" i="35"/>
  <c r="V47" i="35" s="1"/>
  <c r="AB47" i="35"/>
  <c r="AF47" i="35" s="1"/>
  <c r="AJ47" i="35" s="1"/>
  <c r="AP47" i="35" s="1"/>
  <c r="AT47" i="35" s="1"/>
  <c r="AX47" i="35" s="1"/>
  <c r="BF47" i="35" s="1"/>
  <c r="W75" i="45"/>
  <c r="W175" i="45" s="1"/>
  <c r="O16" i="38"/>
  <c r="P89" i="38"/>
  <c r="P17" i="38"/>
  <c r="O49" i="38" l="1"/>
  <c r="AQ75" i="45"/>
  <c r="AU75" i="45" s="1"/>
  <c r="AY75" i="45" s="1"/>
  <c r="BG75" i="45" s="1"/>
  <c r="BI75" i="45" s="1"/>
  <c r="AG175" i="45"/>
  <c r="AK175" i="45"/>
  <c r="P66" i="38"/>
  <c r="P98" i="38" s="1"/>
  <c r="P49" i="38"/>
  <c r="AY175" i="45" l="1"/>
  <c r="BG175" i="45"/>
  <c r="AU175" i="45"/>
  <c r="AQ175" i="45"/>
  <c r="O49" i="45"/>
  <c r="K49" i="45"/>
  <c r="S49" i="45" l="1"/>
  <c r="W49" i="45" s="1"/>
  <c r="AC49" i="45"/>
  <c r="AG49" i="45" s="1"/>
  <c r="AK49" i="45" s="1"/>
  <c r="AQ49" i="45" s="1"/>
  <c r="AU49" i="45" s="1"/>
  <c r="AY49" i="45" s="1"/>
  <c r="BG49" i="45" s="1"/>
  <c r="BI49" i="45" s="1"/>
  <c r="BA49" i="83"/>
  <c r="AS49" i="83"/>
  <c r="AM49" i="83"/>
  <c r="AE49" i="83"/>
  <c r="Y49" i="83"/>
  <c r="U49" i="83"/>
  <c r="I49" i="83"/>
  <c r="G49" i="83"/>
  <c r="BA52" i="50"/>
  <c r="AW52" i="50"/>
  <c r="AS52" i="50"/>
  <c r="AM52" i="50"/>
  <c r="AI52" i="50"/>
  <c r="AE52" i="50"/>
  <c r="Y52" i="50"/>
  <c r="Q52" i="50"/>
  <c r="M52" i="50"/>
  <c r="I52" i="50"/>
  <c r="G52" i="50"/>
  <c r="O29" i="45"/>
  <c r="AC29" i="45" s="1"/>
  <c r="AG29" i="45" s="1"/>
  <c r="AK29" i="45" s="1"/>
  <c r="AQ29" i="45" s="1"/>
  <c r="AU29" i="45" s="1"/>
  <c r="AY29" i="45" s="1"/>
  <c r="BG29" i="45" s="1"/>
  <c r="BI29" i="45" s="1"/>
  <c r="K29" i="45"/>
  <c r="O28" i="45"/>
  <c r="AC28" i="45" s="1"/>
  <c r="AG28" i="45" s="1"/>
  <c r="AK28" i="45" s="1"/>
  <c r="AQ28" i="45" s="1"/>
  <c r="AU28" i="45" s="1"/>
  <c r="AY28" i="45" s="1"/>
  <c r="BG28" i="45" s="1"/>
  <c r="BI28" i="45" s="1"/>
  <c r="K28" i="45"/>
  <c r="N53" i="11"/>
  <c r="N123" i="10"/>
  <c r="N124" i="10"/>
  <c r="N126" i="10"/>
  <c r="J126" i="10"/>
  <c r="N8" i="10"/>
  <c r="N9" i="10"/>
  <c r="N10" i="10"/>
  <c r="N11" i="10"/>
  <c r="N12" i="10"/>
  <c r="N14" i="10"/>
  <c r="N15" i="10"/>
  <c r="N16" i="10"/>
  <c r="N17" i="10"/>
  <c r="N18" i="10"/>
  <c r="N19" i="10"/>
  <c r="N20" i="10"/>
  <c r="N26" i="10"/>
  <c r="N27" i="10"/>
  <c r="N28" i="10"/>
  <c r="N29" i="10"/>
  <c r="N30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7" i="10"/>
  <c r="N58" i="10"/>
  <c r="N59" i="10"/>
  <c r="N61" i="10"/>
  <c r="N62" i="10"/>
  <c r="N63" i="10"/>
  <c r="N64" i="10"/>
  <c r="N65" i="10"/>
  <c r="N66" i="10"/>
  <c r="N68" i="10"/>
  <c r="N69" i="10"/>
  <c r="N70" i="10"/>
  <c r="N71" i="10"/>
  <c r="N72" i="10"/>
  <c r="N73" i="10"/>
  <c r="N74" i="10"/>
  <c r="N75" i="10"/>
  <c r="N77" i="10"/>
  <c r="N78" i="10"/>
  <c r="N79" i="10"/>
  <c r="N80" i="10"/>
  <c r="N81" i="10"/>
  <c r="N82" i="10"/>
  <c r="N83" i="10"/>
  <c r="N84" i="10"/>
  <c r="N85" i="10"/>
  <c r="N87" i="10"/>
  <c r="N88" i="10"/>
  <c r="N89" i="10"/>
  <c r="N91" i="10"/>
  <c r="N92" i="10"/>
  <c r="N93" i="10"/>
  <c r="N96" i="10"/>
  <c r="N97" i="10"/>
  <c r="N98" i="10"/>
  <c r="N99" i="10"/>
  <c r="N100" i="10"/>
  <c r="N101" i="10"/>
  <c r="N102" i="10"/>
  <c r="N103" i="10"/>
  <c r="N104" i="10"/>
  <c r="N108" i="10"/>
  <c r="N109" i="10"/>
  <c r="N110" i="10"/>
  <c r="N111" i="10"/>
  <c r="N112" i="10"/>
  <c r="N115" i="10"/>
  <c r="N116" i="10"/>
  <c r="N117" i="10"/>
  <c r="N119" i="10"/>
  <c r="N121" i="10"/>
  <c r="N122" i="10"/>
  <c r="N125" i="10"/>
  <c r="N127" i="10"/>
  <c r="N128" i="10"/>
  <c r="R128" i="10" s="1"/>
  <c r="V128" i="10" s="1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R152" i="10" s="1"/>
  <c r="V152" i="10" s="1"/>
  <c r="N153" i="10"/>
  <c r="N154" i="10"/>
  <c r="N155" i="10"/>
  <c r="N156" i="10"/>
  <c r="R156" i="10" s="1"/>
  <c r="N157" i="10"/>
  <c r="R157" i="10" s="1"/>
  <c r="R84" i="10" l="1"/>
  <c r="V84" i="10" s="1"/>
  <c r="AB84" i="10"/>
  <c r="AF84" i="10" s="1"/>
  <c r="R42" i="10"/>
  <c r="V42" i="10" s="1"/>
  <c r="AB42" i="10"/>
  <c r="AF42" i="10" s="1"/>
  <c r="AJ42" i="10" s="1"/>
  <c r="AP42" i="10" s="1"/>
  <c r="AT42" i="10" s="1"/>
  <c r="AX42" i="10" s="1"/>
  <c r="R28" i="10"/>
  <c r="V28" i="10" s="1"/>
  <c r="AB28" i="10"/>
  <c r="AF28" i="10" s="1"/>
  <c r="AJ28" i="10" s="1"/>
  <c r="AP28" i="10" s="1"/>
  <c r="AT28" i="10" s="1"/>
  <c r="AX28" i="10" s="1"/>
  <c r="R10" i="10"/>
  <c r="V10" i="10" s="1"/>
  <c r="AB10" i="10"/>
  <c r="AF10" i="10" s="1"/>
  <c r="AJ10" i="10" s="1"/>
  <c r="AP10" i="10" s="1"/>
  <c r="AT10" i="10" s="1"/>
  <c r="AX10" i="10" s="1"/>
  <c r="R41" i="10"/>
  <c r="V41" i="10" s="1"/>
  <c r="AB41" i="10"/>
  <c r="AF41" i="10" s="1"/>
  <c r="AJ41" i="10" s="1"/>
  <c r="AP41" i="10" s="1"/>
  <c r="AT41" i="10" s="1"/>
  <c r="AX41" i="10" s="1"/>
  <c r="R146" i="10"/>
  <c r="V146" i="10" s="1"/>
  <c r="AB146" i="10"/>
  <c r="R57" i="10"/>
  <c r="V57" i="10" s="1"/>
  <c r="AB57" i="10"/>
  <c r="AF57" i="10" s="1"/>
  <c r="R54" i="10"/>
  <c r="V54" i="10" s="1"/>
  <c r="AB54" i="10"/>
  <c r="AF54" i="10" s="1"/>
  <c r="AJ54" i="10" s="1"/>
  <c r="AP54" i="10" s="1"/>
  <c r="AT54" i="10" s="1"/>
  <c r="AX54" i="10" s="1"/>
  <c r="R144" i="10"/>
  <c r="V144" i="10" s="1"/>
  <c r="AB144" i="10"/>
  <c r="R143" i="10"/>
  <c r="V143" i="10" s="1"/>
  <c r="AB143" i="10"/>
  <c r="R81" i="10"/>
  <c r="V81" i="10" s="1"/>
  <c r="AB81" i="10"/>
  <c r="AF81" i="10" s="1"/>
  <c r="AJ81" i="10" s="1"/>
  <c r="AP81" i="10" s="1"/>
  <c r="AT81" i="10" s="1"/>
  <c r="AX81" i="10" s="1"/>
  <c r="R68" i="10"/>
  <c r="V68" i="10" s="1"/>
  <c r="AB68" i="10"/>
  <c r="AF68" i="10" s="1"/>
  <c r="AJ68" i="10" s="1"/>
  <c r="AP68" i="10" s="1"/>
  <c r="AT68" i="10" s="1"/>
  <c r="AX68" i="10" s="1"/>
  <c r="R52" i="10"/>
  <c r="V52" i="10" s="1"/>
  <c r="AB52" i="10"/>
  <c r="AF52" i="10" s="1"/>
  <c r="AJ52" i="10" s="1"/>
  <c r="AP52" i="10" s="1"/>
  <c r="AT52" i="10" s="1"/>
  <c r="AX52" i="10" s="1"/>
  <c r="R40" i="10"/>
  <c r="V40" i="10" s="1"/>
  <c r="AB40" i="10"/>
  <c r="AF40" i="10" s="1"/>
  <c r="AJ40" i="10" s="1"/>
  <c r="AP40" i="10" s="1"/>
  <c r="AT40" i="10" s="1"/>
  <c r="AX40" i="10" s="1"/>
  <c r="R26" i="10"/>
  <c r="V26" i="10" s="1"/>
  <c r="AB26" i="10"/>
  <c r="AF26" i="10" s="1"/>
  <c r="AJ26" i="10" s="1"/>
  <c r="AP26" i="10" s="1"/>
  <c r="AT26" i="10" s="1"/>
  <c r="AX26" i="10" s="1"/>
  <c r="R8" i="10"/>
  <c r="V8" i="10" s="1"/>
  <c r="AB8" i="10"/>
  <c r="AF8" i="10" s="1"/>
  <c r="AJ8" i="10" s="1"/>
  <c r="AP8" i="10" s="1"/>
  <c r="AT8" i="10" s="1"/>
  <c r="AX8" i="10" s="1"/>
  <c r="R29" i="10"/>
  <c r="V29" i="10" s="1"/>
  <c r="AB29" i="10"/>
  <c r="AF29" i="10" s="1"/>
  <c r="AJ29" i="10" s="1"/>
  <c r="AP29" i="10" s="1"/>
  <c r="AT29" i="10" s="1"/>
  <c r="AX29" i="10" s="1"/>
  <c r="R99" i="10"/>
  <c r="V99" i="10" s="1"/>
  <c r="AB99" i="10"/>
  <c r="AF99" i="10" s="1"/>
  <c r="AJ99" i="10" s="1"/>
  <c r="AP99" i="10" s="1"/>
  <c r="AT99" i="10" s="1"/>
  <c r="AX99" i="10" s="1"/>
  <c r="R53" i="10"/>
  <c r="V53" i="10" s="1"/>
  <c r="AB53" i="10"/>
  <c r="AF53" i="10" s="1"/>
  <c r="AJ53" i="10" s="1"/>
  <c r="AP53" i="10" s="1"/>
  <c r="AT53" i="10" s="1"/>
  <c r="AX53" i="10" s="1"/>
  <c r="R112" i="10"/>
  <c r="V112" i="10" s="1"/>
  <c r="AB112" i="10"/>
  <c r="AF112" i="10" s="1"/>
  <c r="AJ112" i="10" s="1"/>
  <c r="AP112" i="10" s="1"/>
  <c r="AT112" i="10" s="1"/>
  <c r="AX112" i="10" s="1"/>
  <c r="R130" i="10"/>
  <c r="V130" i="10" s="1"/>
  <c r="AB130" i="10"/>
  <c r="R111" i="10"/>
  <c r="V111" i="10" s="1"/>
  <c r="AB111" i="10"/>
  <c r="AF111" i="10" s="1"/>
  <c r="AJ111" i="10" s="1"/>
  <c r="AP111" i="10" s="1"/>
  <c r="AT111" i="10" s="1"/>
  <c r="AX111" i="10" s="1"/>
  <c r="R96" i="10"/>
  <c r="V96" i="10" s="1"/>
  <c r="AB96" i="10"/>
  <c r="AF96" i="10" s="1"/>
  <c r="AJ96" i="10" s="1"/>
  <c r="AP96" i="10" s="1"/>
  <c r="AT96" i="10" s="1"/>
  <c r="AX96" i="10" s="1"/>
  <c r="R80" i="10"/>
  <c r="V80" i="10" s="1"/>
  <c r="AB80" i="10"/>
  <c r="AF80" i="10" s="1"/>
  <c r="AJ80" i="10" s="1"/>
  <c r="AP80" i="10" s="1"/>
  <c r="AT80" i="10" s="1"/>
  <c r="AX80" i="10" s="1"/>
  <c r="R66" i="10"/>
  <c r="V66" i="10" s="1"/>
  <c r="AB66" i="10"/>
  <c r="AF66" i="10" s="1"/>
  <c r="AJ66" i="10" s="1"/>
  <c r="AP66" i="10" s="1"/>
  <c r="AT66" i="10" s="1"/>
  <c r="AX66" i="10" s="1"/>
  <c r="R51" i="10"/>
  <c r="V51" i="10" s="1"/>
  <c r="AB51" i="10"/>
  <c r="AF51" i="10" s="1"/>
  <c r="AJ51" i="10" s="1"/>
  <c r="AP51" i="10" s="1"/>
  <c r="AT51" i="10" s="1"/>
  <c r="AX51" i="10" s="1"/>
  <c r="R39" i="10"/>
  <c r="V39" i="10" s="1"/>
  <c r="AB39" i="10"/>
  <c r="AF39" i="10" s="1"/>
  <c r="AJ39" i="10" s="1"/>
  <c r="AP39" i="10" s="1"/>
  <c r="AT39" i="10" s="1"/>
  <c r="AX39" i="10" s="1"/>
  <c r="R20" i="10"/>
  <c r="V20" i="10" s="1"/>
  <c r="AB20" i="10"/>
  <c r="AF20" i="10" s="1"/>
  <c r="AJ20" i="10" s="1"/>
  <c r="AP20" i="10" s="1"/>
  <c r="AT20" i="10" s="1"/>
  <c r="AX20" i="10" s="1"/>
  <c r="R43" i="10"/>
  <c r="V43" i="10" s="1"/>
  <c r="AB43" i="10"/>
  <c r="AF43" i="10" s="1"/>
  <c r="AJ43" i="10" s="1"/>
  <c r="AP43" i="10" s="1"/>
  <c r="AT43" i="10" s="1"/>
  <c r="AX43" i="10" s="1"/>
  <c r="R70" i="10"/>
  <c r="V70" i="10" s="1"/>
  <c r="AB70" i="10"/>
  <c r="AF70" i="10" s="1"/>
  <c r="AJ70" i="10" s="1"/>
  <c r="AP70" i="10" s="1"/>
  <c r="AT70" i="10" s="1"/>
  <c r="AX70" i="10" s="1"/>
  <c r="R69" i="10"/>
  <c r="V69" i="10" s="1"/>
  <c r="AB69" i="10"/>
  <c r="AF69" i="10" s="1"/>
  <c r="AJ69" i="10" s="1"/>
  <c r="AP69" i="10" s="1"/>
  <c r="AT69" i="10" s="1"/>
  <c r="AX69" i="10" s="1"/>
  <c r="R129" i="10"/>
  <c r="V129" i="10" s="1"/>
  <c r="AB129" i="10"/>
  <c r="R50" i="10"/>
  <c r="V50" i="10" s="1"/>
  <c r="AB50" i="10"/>
  <c r="AF50" i="10" s="1"/>
  <c r="AJ50" i="10" s="1"/>
  <c r="AP50" i="10" s="1"/>
  <c r="AT50" i="10" s="1"/>
  <c r="AX50" i="10" s="1"/>
  <c r="R126" i="10"/>
  <c r="V126" i="10" s="1"/>
  <c r="AB126" i="10"/>
  <c r="AF126" i="10" s="1"/>
  <c r="AJ126" i="10" s="1"/>
  <c r="AP126" i="10" s="1"/>
  <c r="AT126" i="10" s="1"/>
  <c r="AX126" i="10" s="1"/>
  <c r="R116" i="10"/>
  <c r="V116" i="10" s="1"/>
  <c r="AB116" i="10"/>
  <c r="AF116" i="10" s="1"/>
  <c r="AJ116" i="10" s="1"/>
  <c r="AP116" i="10" s="1"/>
  <c r="AT116" i="10" s="1"/>
  <c r="AX116" i="10" s="1"/>
  <c r="R98" i="10"/>
  <c r="V98" i="10" s="1"/>
  <c r="AB98" i="10"/>
  <c r="AF98" i="10" s="1"/>
  <c r="AJ98" i="10" s="1"/>
  <c r="AP98" i="10" s="1"/>
  <c r="AT98" i="10" s="1"/>
  <c r="AX98" i="10" s="1"/>
  <c r="R134" i="10"/>
  <c r="V134" i="10" s="1"/>
  <c r="AB134" i="10"/>
  <c r="R132" i="10"/>
  <c r="V132" i="10" s="1"/>
  <c r="AB132" i="10"/>
  <c r="R131" i="10"/>
  <c r="V131" i="10" s="1"/>
  <c r="AB131" i="10"/>
  <c r="R100" i="10"/>
  <c r="V100" i="10" s="1"/>
  <c r="AB100" i="10"/>
  <c r="AF100" i="10" s="1"/>
  <c r="AJ100" i="10" s="1"/>
  <c r="AP100" i="10" s="1"/>
  <c r="AT100" i="10" s="1"/>
  <c r="AX100" i="10" s="1"/>
  <c r="R133" i="10"/>
  <c r="V133" i="10" s="1"/>
  <c r="AB133" i="10"/>
  <c r="R82" i="10"/>
  <c r="V82" i="10" s="1"/>
  <c r="AB82" i="10"/>
  <c r="AF82" i="10" s="1"/>
  <c r="AJ82" i="10" s="1"/>
  <c r="AP82" i="10" s="1"/>
  <c r="AT82" i="10" s="1"/>
  <c r="AX82" i="10" s="1"/>
  <c r="R155" i="10"/>
  <c r="V155" i="10" s="1"/>
  <c r="R153" i="10"/>
  <c r="V153" i="10" s="1"/>
  <c r="R71" i="10"/>
  <c r="V71" i="10" s="1"/>
  <c r="AB71" i="10"/>
  <c r="AF71" i="10" s="1"/>
  <c r="R145" i="10"/>
  <c r="V145" i="10" s="1"/>
  <c r="AB145" i="10"/>
  <c r="R115" i="10"/>
  <c r="V115" i="10" s="1"/>
  <c r="AB115" i="10"/>
  <c r="AF115" i="10" s="1"/>
  <c r="AJ115" i="10" s="1"/>
  <c r="AP115" i="10" s="1"/>
  <c r="AT115" i="10" s="1"/>
  <c r="AX115" i="10" s="1"/>
  <c r="R97" i="10"/>
  <c r="V97" i="10" s="1"/>
  <c r="AB97" i="10"/>
  <c r="AF97" i="10" s="1"/>
  <c r="R93" i="10"/>
  <c r="V93" i="10" s="1"/>
  <c r="AB93" i="10"/>
  <c r="AF93" i="10" s="1"/>
  <c r="AJ93" i="10" s="1"/>
  <c r="AP93" i="10" s="1"/>
  <c r="AT93" i="10" s="1"/>
  <c r="AX93" i="10" s="1"/>
  <c r="R19" i="10"/>
  <c r="V19" i="10" s="1"/>
  <c r="AB19" i="10"/>
  <c r="AF19" i="10" s="1"/>
  <c r="AJ19" i="10" s="1"/>
  <c r="AP19" i="10" s="1"/>
  <c r="AT19" i="10" s="1"/>
  <c r="AX19" i="10" s="1"/>
  <c r="R92" i="10"/>
  <c r="V92" i="10" s="1"/>
  <c r="AB92" i="10"/>
  <c r="AF92" i="10" s="1"/>
  <c r="AJ92" i="10" s="1"/>
  <c r="AP92" i="10" s="1"/>
  <c r="AT92" i="10" s="1"/>
  <c r="AX92" i="10" s="1"/>
  <c r="R37" i="10"/>
  <c r="V37" i="10" s="1"/>
  <c r="AB37" i="10"/>
  <c r="AF37" i="10" s="1"/>
  <c r="AJ37" i="10" s="1"/>
  <c r="AP37" i="10" s="1"/>
  <c r="AT37" i="10" s="1"/>
  <c r="AX37" i="10" s="1"/>
  <c r="R117" i="10"/>
  <c r="V117" i="10" s="1"/>
  <c r="AB117" i="10"/>
  <c r="AF117" i="10" s="1"/>
  <c r="AJ117" i="10" s="1"/>
  <c r="AP117" i="10" s="1"/>
  <c r="AT117" i="10" s="1"/>
  <c r="AX117" i="10" s="1"/>
  <c r="R9" i="10"/>
  <c r="V9" i="10" s="1"/>
  <c r="AB9" i="10"/>
  <c r="AF9" i="10" s="1"/>
  <c r="AJ9" i="10" s="1"/>
  <c r="AP9" i="10" s="1"/>
  <c r="AT9" i="10" s="1"/>
  <c r="AX9" i="10" s="1"/>
  <c r="R142" i="10"/>
  <c r="V142" i="10" s="1"/>
  <c r="R110" i="10"/>
  <c r="V110" i="10" s="1"/>
  <c r="AB110" i="10"/>
  <c r="AF110" i="10" s="1"/>
  <c r="AJ110" i="10" s="1"/>
  <c r="AP110" i="10" s="1"/>
  <c r="AT110" i="10" s="1"/>
  <c r="AX110" i="10" s="1"/>
  <c r="R65" i="10"/>
  <c r="V65" i="10" s="1"/>
  <c r="AB65" i="10"/>
  <c r="AF65" i="10" s="1"/>
  <c r="AJ65" i="10" s="1"/>
  <c r="AP65" i="10" s="1"/>
  <c r="AT65" i="10" s="1"/>
  <c r="AX65" i="10" s="1"/>
  <c r="R64" i="10"/>
  <c r="V64" i="10" s="1"/>
  <c r="AB64" i="10"/>
  <c r="AF64" i="10" s="1"/>
  <c r="AJ64" i="10" s="1"/>
  <c r="AP64" i="10" s="1"/>
  <c r="AT64" i="10" s="1"/>
  <c r="AX64" i="10" s="1"/>
  <c r="R18" i="10"/>
  <c r="V18" i="10" s="1"/>
  <c r="AB18" i="10"/>
  <c r="AF18" i="10" s="1"/>
  <c r="AJ18" i="10" s="1"/>
  <c r="AP18" i="10" s="1"/>
  <c r="AT18" i="10" s="1"/>
  <c r="AX18" i="10" s="1"/>
  <c r="R127" i="10"/>
  <c r="V127" i="10" s="1"/>
  <c r="AB127" i="10"/>
  <c r="AF127" i="10" s="1"/>
  <c r="AJ127" i="10" s="1"/>
  <c r="AP127" i="10" s="1"/>
  <c r="AT127" i="10" s="1"/>
  <c r="AX127" i="10" s="1"/>
  <c r="R91" i="10"/>
  <c r="V91" i="10" s="1"/>
  <c r="AB91" i="10"/>
  <c r="AF91" i="10" s="1"/>
  <c r="AJ91" i="10" s="1"/>
  <c r="AP91" i="10" s="1"/>
  <c r="AT91" i="10" s="1"/>
  <c r="AX91" i="10" s="1"/>
  <c r="R63" i="10"/>
  <c r="V63" i="10" s="1"/>
  <c r="AB63" i="10"/>
  <c r="AF63" i="10" s="1"/>
  <c r="AJ63" i="10" s="1"/>
  <c r="AP63" i="10" s="1"/>
  <c r="AT63" i="10" s="1"/>
  <c r="AX63" i="10" s="1"/>
  <c r="R36" i="10"/>
  <c r="V36" i="10" s="1"/>
  <c r="AB36" i="10"/>
  <c r="AF36" i="10" s="1"/>
  <c r="AJ36" i="10" s="1"/>
  <c r="AP36" i="10" s="1"/>
  <c r="AT36" i="10" s="1"/>
  <c r="AX36" i="10" s="1"/>
  <c r="R123" i="10"/>
  <c r="V123" i="10" s="1"/>
  <c r="AB123" i="10"/>
  <c r="AF123" i="10" s="1"/>
  <c r="AJ123" i="10" s="1"/>
  <c r="AP123" i="10" s="1"/>
  <c r="AT123" i="10" s="1"/>
  <c r="AX123" i="10" s="1"/>
  <c r="R138" i="10"/>
  <c r="V138" i="10" s="1"/>
  <c r="AB138" i="10"/>
  <c r="R104" i="10"/>
  <c r="V104" i="10" s="1"/>
  <c r="AB104" i="10"/>
  <c r="AF104" i="10" s="1"/>
  <c r="R75" i="10"/>
  <c r="V75" i="10" s="1"/>
  <c r="AB75" i="10"/>
  <c r="AF75" i="10" s="1"/>
  <c r="R47" i="10"/>
  <c r="V47" i="10" s="1"/>
  <c r="AB47" i="10"/>
  <c r="AF47" i="10" s="1"/>
  <c r="AJ47" i="10" s="1"/>
  <c r="AP47" i="10" s="1"/>
  <c r="AT47" i="10" s="1"/>
  <c r="AX47" i="10" s="1"/>
  <c r="R137" i="10"/>
  <c r="V137" i="10" s="1"/>
  <c r="AB137" i="10"/>
  <c r="R103" i="10"/>
  <c r="V103" i="10" s="1"/>
  <c r="AB103" i="10"/>
  <c r="AF103" i="10" s="1"/>
  <c r="AJ103" i="10" s="1"/>
  <c r="AP103" i="10" s="1"/>
  <c r="AT103" i="10" s="1"/>
  <c r="AX103" i="10" s="1"/>
  <c r="R74" i="10"/>
  <c r="V74" i="10" s="1"/>
  <c r="AB74" i="10"/>
  <c r="AF74" i="10" s="1"/>
  <c r="AJ74" i="10" s="1"/>
  <c r="AP74" i="10" s="1"/>
  <c r="AT74" i="10" s="1"/>
  <c r="AX74" i="10" s="1"/>
  <c r="R46" i="10"/>
  <c r="V46" i="10" s="1"/>
  <c r="AB46" i="10"/>
  <c r="AF46" i="10" s="1"/>
  <c r="AJ46" i="10" s="1"/>
  <c r="AP46" i="10" s="1"/>
  <c r="AT46" i="10" s="1"/>
  <c r="AX46" i="10" s="1"/>
  <c r="R148" i="10"/>
  <c r="V148" i="10" s="1"/>
  <c r="AB148" i="10"/>
  <c r="R136" i="10"/>
  <c r="V136" i="10" s="1"/>
  <c r="AB136" i="10"/>
  <c r="R121" i="10"/>
  <c r="V121" i="10" s="1"/>
  <c r="AB121" i="10"/>
  <c r="AF121" i="10" s="1"/>
  <c r="AJ121" i="10" s="1"/>
  <c r="AP121" i="10" s="1"/>
  <c r="AT121" i="10" s="1"/>
  <c r="AX121" i="10" s="1"/>
  <c r="R102" i="10"/>
  <c r="V102" i="10" s="1"/>
  <c r="AB102" i="10"/>
  <c r="AF102" i="10" s="1"/>
  <c r="AJ102" i="10" s="1"/>
  <c r="AP102" i="10" s="1"/>
  <c r="AT102" i="10" s="1"/>
  <c r="AX102" i="10" s="1"/>
  <c r="R87" i="10"/>
  <c r="V87" i="10" s="1"/>
  <c r="AB87" i="10"/>
  <c r="AF87" i="10" s="1"/>
  <c r="AJ87" i="10" s="1"/>
  <c r="AP87" i="10" s="1"/>
  <c r="AT87" i="10" s="1"/>
  <c r="AX87" i="10" s="1"/>
  <c r="R73" i="10"/>
  <c r="V73" i="10" s="1"/>
  <c r="AB73" i="10"/>
  <c r="AF73" i="10" s="1"/>
  <c r="AJ73" i="10" s="1"/>
  <c r="AP73" i="10" s="1"/>
  <c r="AT73" i="10" s="1"/>
  <c r="AX73" i="10" s="1"/>
  <c r="R59" i="10"/>
  <c r="V59" i="10" s="1"/>
  <c r="AB59" i="10"/>
  <c r="AF59" i="10" s="1"/>
  <c r="R45" i="10"/>
  <c r="V45" i="10" s="1"/>
  <c r="AB45" i="10"/>
  <c r="AF45" i="10" s="1"/>
  <c r="AJ45" i="10" s="1"/>
  <c r="AP45" i="10" s="1"/>
  <c r="AT45" i="10" s="1"/>
  <c r="AX45" i="10" s="1"/>
  <c r="R33" i="10"/>
  <c r="V33" i="10" s="1"/>
  <c r="AB33" i="10"/>
  <c r="AF33" i="10" s="1"/>
  <c r="AJ33" i="10" s="1"/>
  <c r="AP33" i="10" s="1"/>
  <c r="AT33" i="10" s="1"/>
  <c r="AX33" i="10" s="1"/>
  <c r="R14" i="10"/>
  <c r="V14" i="10" s="1"/>
  <c r="AB14" i="10"/>
  <c r="AF14" i="10" s="1"/>
  <c r="AJ14" i="10" s="1"/>
  <c r="AP14" i="10" s="1"/>
  <c r="AT14" i="10" s="1"/>
  <c r="AX14" i="10" s="1"/>
  <c r="R11" i="10"/>
  <c r="V11" i="10" s="1"/>
  <c r="AB11" i="10"/>
  <c r="AF11" i="10" s="1"/>
  <c r="R83" i="10"/>
  <c r="V83" i="10" s="1"/>
  <c r="AB83" i="10"/>
  <c r="AF83" i="10" s="1"/>
  <c r="AJ83" i="10" s="1"/>
  <c r="AP83" i="10" s="1"/>
  <c r="AT83" i="10" s="1"/>
  <c r="AX83" i="10" s="1"/>
  <c r="R27" i="10"/>
  <c r="V27" i="10" s="1"/>
  <c r="AB27" i="10"/>
  <c r="AF27" i="10" s="1"/>
  <c r="R154" i="10"/>
  <c r="V154" i="10" s="1"/>
  <c r="R141" i="10"/>
  <c r="V141" i="10" s="1"/>
  <c r="AB141" i="10"/>
  <c r="R79" i="10"/>
  <c r="V79" i="10" s="1"/>
  <c r="AB79" i="10"/>
  <c r="AF79" i="10" s="1"/>
  <c r="AJ79" i="10" s="1"/>
  <c r="AP79" i="10" s="1"/>
  <c r="AT79" i="10" s="1"/>
  <c r="AX79" i="10" s="1"/>
  <c r="R38" i="10"/>
  <c r="V38" i="10" s="1"/>
  <c r="AB38" i="10"/>
  <c r="AF38" i="10" s="1"/>
  <c r="AJ38" i="10" s="1"/>
  <c r="AP38" i="10" s="1"/>
  <c r="AT38" i="10" s="1"/>
  <c r="AX38" i="10" s="1"/>
  <c r="R140" i="10"/>
  <c r="V140" i="10" s="1"/>
  <c r="AB140" i="10"/>
  <c r="R109" i="10"/>
  <c r="V109" i="10" s="1"/>
  <c r="AB109" i="10"/>
  <c r="AF109" i="10" s="1"/>
  <c r="AJ109" i="10" s="1"/>
  <c r="AP109" i="10" s="1"/>
  <c r="AT109" i="10" s="1"/>
  <c r="AX109" i="10" s="1"/>
  <c r="R78" i="10"/>
  <c r="V78" i="10" s="1"/>
  <c r="AB78" i="10"/>
  <c r="AF78" i="10" s="1"/>
  <c r="AJ78" i="10" s="1"/>
  <c r="AP78" i="10" s="1"/>
  <c r="AT78" i="10" s="1"/>
  <c r="AX78" i="10" s="1"/>
  <c r="R49" i="10"/>
  <c r="V49" i="10" s="1"/>
  <c r="AB49" i="10"/>
  <c r="AF49" i="10" s="1"/>
  <c r="R124" i="10"/>
  <c r="V124" i="10" s="1"/>
  <c r="AB124" i="10"/>
  <c r="AF124" i="10" s="1"/>
  <c r="AJ124" i="10" s="1"/>
  <c r="AP124" i="10" s="1"/>
  <c r="AT124" i="10" s="1"/>
  <c r="AX124" i="10" s="1"/>
  <c r="R139" i="10"/>
  <c r="V139" i="10" s="1"/>
  <c r="AB139" i="10"/>
  <c r="R108" i="10"/>
  <c r="V108" i="10" s="1"/>
  <c r="AB108" i="10"/>
  <c r="AF108" i="10" s="1"/>
  <c r="AJ108" i="10" s="1"/>
  <c r="AP108" i="10" s="1"/>
  <c r="AT108" i="10" s="1"/>
  <c r="AX108" i="10" s="1"/>
  <c r="R77" i="10"/>
  <c r="V77" i="10" s="1"/>
  <c r="AB77" i="10"/>
  <c r="AF77" i="10" s="1"/>
  <c r="AJ77" i="10" s="1"/>
  <c r="AP77" i="10" s="1"/>
  <c r="AT77" i="10" s="1"/>
  <c r="AX77" i="10" s="1"/>
  <c r="R48" i="10"/>
  <c r="V48" i="10" s="1"/>
  <c r="AB48" i="10"/>
  <c r="AF48" i="10" s="1"/>
  <c r="AJ48" i="10" s="1"/>
  <c r="AP48" i="10" s="1"/>
  <c r="AT48" i="10" s="1"/>
  <c r="AX48" i="10" s="1"/>
  <c r="R17" i="10"/>
  <c r="V17" i="10" s="1"/>
  <c r="AB17" i="10"/>
  <c r="AF17" i="10" s="1"/>
  <c r="AJ17" i="10" s="1"/>
  <c r="AP17" i="10" s="1"/>
  <c r="AT17" i="10" s="1"/>
  <c r="AX17" i="10" s="1"/>
  <c r="R150" i="10"/>
  <c r="V150" i="10" s="1"/>
  <c r="AB150" i="10"/>
  <c r="R125" i="10"/>
  <c r="V125" i="10" s="1"/>
  <c r="AB125" i="10"/>
  <c r="AF125" i="10" s="1"/>
  <c r="AJ125" i="10" s="1"/>
  <c r="AP125" i="10" s="1"/>
  <c r="AT125" i="10" s="1"/>
  <c r="AX125" i="10" s="1"/>
  <c r="R89" i="10"/>
  <c r="V89" i="10" s="1"/>
  <c r="AB89" i="10"/>
  <c r="AF89" i="10" s="1"/>
  <c r="R62" i="10"/>
  <c r="V62" i="10" s="1"/>
  <c r="AB62" i="10"/>
  <c r="AF62" i="10" s="1"/>
  <c r="AJ62" i="10" s="1"/>
  <c r="AP62" i="10" s="1"/>
  <c r="AT62" i="10" s="1"/>
  <c r="AX62" i="10" s="1"/>
  <c r="R35" i="10"/>
  <c r="V35" i="10" s="1"/>
  <c r="AB35" i="10"/>
  <c r="AF35" i="10" s="1"/>
  <c r="AJ35" i="10" s="1"/>
  <c r="AP35" i="10" s="1"/>
  <c r="AT35" i="10" s="1"/>
  <c r="AX35" i="10" s="1"/>
  <c r="R16" i="10"/>
  <c r="V16" i="10" s="1"/>
  <c r="AB16" i="10"/>
  <c r="AF16" i="10" s="1"/>
  <c r="AJ16" i="10" s="1"/>
  <c r="AP16" i="10" s="1"/>
  <c r="AT16" i="10" s="1"/>
  <c r="AX16" i="10" s="1"/>
  <c r="R149" i="10"/>
  <c r="V149" i="10" s="1"/>
  <c r="AB149" i="10"/>
  <c r="R122" i="10"/>
  <c r="V122" i="10" s="1"/>
  <c r="AB122" i="10"/>
  <c r="AF122" i="10" s="1"/>
  <c r="AJ122" i="10" s="1"/>
  <c r="AP122" i="10" s="1"/>
  <c r="AT122" i="10" s="1"/>
  <c r="AX122" i="10" s="1"/>
  <c r="R61" i="10"/>
  <c r="V61" i="10" s="1"/>
  <c r="AB61" i="10"/>
  <c r="AF61" i="10" s="1"/>
  <c r="AJ61" i="10" s="1"/>
  <c r="AP61" i="10" s="1"/>
  <c r="AT61" i="10" s="1"/>
  <c r="AX61" i="10" s="1"/>
  <c r="R34" i="10"/>
  <c r="V34" i="10" s="1"/>
  <c r="AB34" i="10"/>
  <c r="AF34" i="10" s="1"/>
  <c r="AJ34" i="10" s="1"/>
  <c r="AP34" i="10" s="1"/>
  <c r="AT34" i="10" s="1"/>
  <c r="AX34" i="10" s="1"/>
  <c r="R15" i="10"/>
  <c r="V15" i="10" s="1"/>
  <c r="AB15" i="10"/>
  <c r="AF15" i="10" s="1"/>
  <c r="AJ15" i="10" s="1"/>
  <c r="AP15" i="10" s="1"/>
  <c r="AT15" i="10" s="1"/>
  <c r="AX15" i="10" s="1"/>
  <c r="R147" i="10"/>
  <c r="V147" i="10" s="1"/>
  <c r="AB147" i="10"/>
  <c r="R135" i="10"/>
  <c r="V135" i="10" s="1"/>
  <c r="AB135" i="10"/>
  <c r="R119" i="10"/>
  <c r="V119" i="10" s="1"/>
  <c r="AB119" i="10"/>
  <c r="AF119" i="10" s="1"/>
  <c r="R101" i="10"/>
  <c r="V101" i="10" s="1"/>
  <c r="AB101" i="10"/>
  <c r="AF101" i="10" s="1"/>
  <c r="AJ101" i="10" s="1"/>
  <c r="AP101" i="10" s="1"/>
  <c r="AT101" i="10" s="1"/>
  <c r="AX101" i="10" s="1"/>
  <c r="R85" i="10"/>
  <c r="V85" i="10" s="1"/>
  <c r="AB85" i="10"/>
  <c r="AF85" i="10" s="1"/>
  <c r="AJ85" i="10" s="1"/>
  <c r="AP85" i="10" s="1"/>
  <c r="AT85" i="10" s="1"/>
  <c r="AX85" i="10" s="1"/>
  <c r="R72" i="10"/>
  <c r="V72" i="10" s="1"/>
  <c r="AB72" i="10"/>
  <c r="AF72" i="10" s="1"/>
  <c r="R58" i="10"/>
  <c r="V58" i="10" s="1"/>
  <c r="AB58" i="10"/>
  <c r="AF58" i="10" s="1"/>
  <c r="AJ58" i="10" s="1"/>
  <c r="AP58" i="10" s="1"/>
  <c r="AT58" i="10" s="1"/>
  <c r="AX58" i="10" s="1"/>
  <c r="R44" i="10"/>
  <c r="V44" i="10" s="1"/>
  <c r="AB44" i="10"/>
  <c r="AF44" i="10" s="1"/>
  <c r="AJ44" i="10" s="1"/>
  <c r="AP44" i="10" s="1"/>
  <c r="AT44" i="10" s="1"/>
  <c r="AX44" i="10" s="1"/>
  <c r="R30" i="10"/>
  <c r="V30" i="10" s="1"/>
  <c r="AB30" i="10"/>
  <c r="AF30" i="10" s="1"/>
  <c r="R12" i="10"/>
  <c r="V12" i="10" s="1"/>
  <c r="AB12" i="10"/>
  <c r="AF12" i="10" s="1"/>
  <c r="AJ12" i="10" s="1"/>
  <c r="AP12" i="10" s="1"/>
  <c r="AT12" i="10" s="1"/>
  <c r="AX12" i="10" s="1"/>
  <c r="R151" i="10"/>
  <c r="V151" i="10" s="1"/>
  <c r="AB151" i="10"/>
  <c r="R88" i="10"/>
  <c r="V88" i="10" s="1"/>
  <c r="AB88" i="10"/>
  <c r="R53" i="11"/>
  <c r="V53" i="11" s="1"/>
  <c r="AB53" i="11"/>
  <c r="AF53" i="11" s="1"/>
  <c r="AJ53" i="11" s="1"/>
  <c r="AP53" i="11" s="1"/>
  <c r="AT53" i="11" s="1"/>
  <c r="AX53" i="11" s="1"/>
  <c r="BF53" i="11" s="1"/>
  <c r="S28" i="45"/>
  <c r="W28" i="45" s="1"/>
  <c r="S29" i="45"/>
  <c r="W29" i="45" s="1"/>
  <c r="BC49" i="83"/>
  <c r="AA52" i="50"/>
  <c r="K49" i="83"/>
  <c r="AO49" i="83"/>
  <c r="AA49" i="83"/>
  <c r="O49" i="83"/>
  <c r="K52" i="50"/>
  <c r="AO52" i="50"/>
  <c r="BC52" i="50"/>
  <c r="O52" i="50"/>
  <c r="BF123" i="10" l="1"/>
  <c r="BI123" i="10" s="1"/>
  <c r="BF124" i="10"/>
  <c r="BI124" i="10" s="1"/>
  <c r="BF126" i="10"/>
  <c r="BI126" i="10" s="1"/>
  <c r="AF88" i="10"/>
  <c r="AJ88" i="10" s="1"/>
  <c r="AP88" i="10" s="1"/>
  <c r="AT88" i="10" s="1"/>
  <c r="AX88" i="10" s="1"/>
  <c r="BE49" i="83"/>
  <c r="S49" i="83"/>
  <c r="W49" i="83" s="1"/>
  <c r="AC49" i="83"/>
  <c r="AG49" i="83" s="1"/>
  <c r="AK49" i="83" s="1"/>
  <c r="AQ49" i="83" s="1"/>
  <c r="AU49" i="83" s="1"/>
  <c r="AY49" i="83" s="1"/>
  <c r="BG49" i="83" s="1"/>
  <c r="BE52" i="50"/>
  <c r="S52" i="50"/>
  <c r="W52" i="50" s="1"/>
  <c r="AC52" i="50"/>
  <c r="AG52" i="50" s="1"/>
  <c r="AK52" i="50" s="1"/>
  <c r="AQ52" i="50" s="1"/>
  <c r="AU52" i="50" s="1"/>
  <c r="AY52" i="50" s="1"/>
  <c r="BG52" i="50" s="1"/>
  <c r="BH52" i="50" s="1"/>
  <c r="M62" i="39" l="1"/>
  <c r="Q62" i="39" s="1"/>
  <c r="L91" i="11" l="1"/>
  <c r="L89" i="11"/>
  <c r="L83" i="11"/>
  <c r="L78" i="11"/>
  <c r="K78" i="11"/>
  <c r="L77" i="11"/>
  <c r="K77" i="11"/>
  <c r="L76" i="11"/>
  <c r="K76" i="11"/>
  <c r="L75" i="11"/>
  <c r="K75" i="11"/>
  <c r="L73" i="11"/>
  <c r="K73" i="11"/>
  <c r="L71" i="11"/>
  <c r="K71" i="11"/>
  <c r="L69" i="11"/>
  <c r="K69" i="11"/>
  <c r="L66" i="11"/>
  <c r="K66" i="11"/>
  <c r="L64" i="11"/>
  <c r="L59" i="11"/>
  <c r="L57" i="11"/>
  <c r="L56" i="11"/>
  <c r="K56" i="11"/>
  <c r="K97" i="11" s="1"/>
  <c r="L55" i="11"/>
  <c r="L190" i="10"/>
  <c r="L188" i="10"/>
  <c r="L182" i="10"/>
  <c r="L183" i="10" s="1"/>
  <c r="L177" i="10"/>
  <c r="K177" i="10"/>
  <c r="L176" i="10"/>
  <c r="K176" i="10"/>
  <c r="L175" i="10"/>
  <c r="K175" i="10"/>
  <c r="L174" i="10"/>
  <c r="K174" i="10"/>
  <c r="L172" i="10"/>
  <c r="K172" i="10"/>
  <c r="L170" i="10"/>
  <c r="K170" i="10"/>
  <c r="L168" i="10"/>
  <c r="K168" i="10"/>
  <c r="L165" i="10"/>
  <c r="L166" i="10" s="1"/>
  <c r="K165" i="10"/>
  <c r="K166" i="10" s="1"/>
  <c r="L160" i="10"/>
  <c r="K159" i="10"/>
  <c r="L159" i="10"/>
  <c r="L158" i="10"/>
  <c r="L210" i="10" s="1"/>
  <c r="L196" i="10" l="1"/>
  <c r="L61" i="11"/>
  <c r="L79" i="11"/>
  <c r="K67" i="11"/>
  <c r="L84" i="11"/>
  <c r="L85" i="11"/>
  <c r="L67" i="11"/>
  <c r="L92" i="11"/>
  <c r="L192" i="10"/>
  <c r="K158" i="10"/>
  <c r="K210" i="10" s="1"/>
  <c r="K203" i="10"/>
  <c r="L200" i="10"/>
  <c r="L90" i="11"/>
  <c r="K79" i="11"/>
  <c r="K55" i="11"/>
  <c r="K74" i="11"/>
  <c r="K58" i="11"/>
  <c r="L74" i="11"/>
  <c r="L58" i="11"/>
  <c r="L60" i="11"/>
  <c r="K173" i="10"/>
  <c r="K178" i="10"/>
  <c r="K161" i="10"/>
  <c r="L93" i="11"/>
  <c r="L189" i="10"/>
  <c r="L184" i="10"/>
  <c r="L173" i="10"/>
  <c r="L191" i="10"/>
  <c r="L178" i="10"/>
  <c r="L161" i="10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47" i="9"/>
  <c r="L46" i="9"/>
  <c r="L36" i="9"/>
  <c r="L48" i="9" s="1"/>
  <c r="L35" i="9"/>
  <c r="L47" i="9" s="1"/>
  <c r="L34" i="9"/>
  <c r="L31" i="9"/>
  <c r="L25" i="9"/>
  <c r="K24" i="9"/>
  <c r="K22" i="9"/>
  <c r="L19" i="9"/>
  <c r="L10" i="9"/>
  <c r="L5" i="9"/>
  <c r="K25" i="9" l="1"/>
  <c r="K88" i="9" s="1"/>
  <c r="L193" i="10"/>
  <c r="L94" i="11"/>
  <c r="L62" i="9"/>
  <c r="L96" i="9"/>
  <c r="K132" i="26"/>
  <c r="L33" i="22"/>
  <c r="L37" i="9"/>
  <c r="L49" i="9"/>
  <c r="L87" i="9" s="1"/>
  <c r="L14" i="9"/>
  <c r="L100" i="9"/>
  <c r="L89" i="9"/>
  <c r="L94" i="9"/>
  <c r="K19" i="15" s="1"/>
  <c r="L90" i="9"/>
  <c r="L109" i="8"/>
  <c r="L111" i="8" s="1"/>
  <c r="L94" i="8"/>
  <c r="L91" i="8"/>
  <c r="K91" i="8"/>
  <c r="L89" i="8"/>
  <c r="K89" i="8"/>
  <c r="L88" i="8"/>
  <c r="K88" i="8"/>
  <c r="K87" i="8"/>
  <c r="K82" i="8"/>
  <c r="L80" i="8"/>
  <c r="L76" i="8"/>
  <c r="K75" i="8"/>
  <c r="K74" i="8"/>
  <c r="K73" i="8"/>
  <c r="K72" i="8"/>
  <c r="K71" i="8"/>
  <c r="L68" i="8"/>
  <c r="L66" i="8"/>
  <c r="L64" i="8"/>
  <c r="L61" i="8"/>
  <c r="L58" i="8"/>
  <c r="L59" i="8" s="1"/>
  <c r="K52" i="8"/>
  <c r="L49" i="8"/>
  <c r="K49" i="8"/>
  <c r="K46" i="8"/>
  <c r="K45" i="8"/>
  <c r="K44" i="8"/>
  <c r="K43" i="8"/>
  <c r="K41" i="8"/>
  <c r="K40" i="8"/>
  <c r="K39" i="8"/>
  <c r="L26" i="8"/>
  <c r="L17" i="8"/>
  <c r="K17" i="8"/>
  <c r="K15" i="8"/>
  <c r="K14" i="8"/>
  <c r="L13" i="8"/>
  <c r="L6" i="8"/>
  <c r="L67" i="8" l="1"/>
  <c r="L65" i="8"/>
  <c r="L16" i="8"/>
  <c r="L69" i="8"/>
  <c r="L74" i="8" s="1"/>
  <c r="L86" i="8"/>
  <c r="K42" i="8"/>
  <c r="L86" i="9"/>
  <c r="L53" i="9"/>
  <c r="L91" i="9"/>
  <c r="L82" i="8"/>
  <c r="L92" i="8"/>
  <c r="L39" i="8"/>
  <c r="L45" i="8"/>
  <c r="L75" i="9"/>
  <c r="L84" i="9"/>
  <c r="L72" i="9"/>
  <c r="L76" i="9"/>
  <c r="L52" i="9"/>
  <c r="L85" i="9"/>
  <c r="L73" i="9"/>
  <c r="L82" i="9"/>
  <c r="L80" i="9"/>
  <c r="L81" i="9"/>
  <c r="L83" i="9"/>
  <c r="L78" i="9"/>
  <c r="L110" i="8"/>
  <c r="L112" i="8" s="1"/>
  <c r="L53" i="8" s="1"/>
  <c r="L123" i="8" s="1"/>
  <c r="L63" i="8"/>
  <c r="L72" i="8"/>
  <c r="L34" i="8"/>
  <c r="L37" i="8"/>
  <c r="L41" i="8"/>
  <c r="L44" i="8"/>
  <c r="L137" i="8" s="1"/>
  <c r="L47" i="8"/>
  <c r="L62" i="8"/>
  <c r="L40" i="8"/>
  <c r="L43" i="8"/>
  <c r="L136" i="8" s="1"/>
  <c r="L46" i="8"/>
  <c r="L138" i="8" s="1"/>
  <c r="L50" i="8"/>
  <c r="L51" i="8" s="1"/>
  <c r="L36" i="8" l="1"/>
  <c r="L73" i="8"/>
  <c r="L139" i="8"/>
  <c r="L78" i="8"/>
  <c r="K6" i="26"/>
  <c r="L77" i="9"/>
  <c r="L74" i="9"/>
  <c r="L52" i="8"/>
  <c r="L121" i="8" s="1"/>
  <c r="L42" i="8"/>
  <c r="L35" i="8"/>
  <c r="L70" i="8"/>
  <c r="L71" i="8"/>
  <c r="L122" i="8" l="1"/>
  <c r="L126" i="8" s="1"/>
  <c r="L127" i="8" s="1"/>
  <c r="L124" i="8"/>
  <c r="L79" i="9"/>
  <c r="M17" i="7"/>
  <c r="N17" i="7"/>
  <c r="M19" i="7"/>
  <c r="Q19" i="7" s="1"/>
  <c r="N19" i="7"/>
  <c r="R19" i="7" s="1"/>
  <c r="K113" i="7"/>
  <c r="K112" i="7"/>
  <c r="K111" i="7"/>
  <c r="K110" i="7"/>
  <c r="K109" i="7"/>
  <c r="K108" i="7"/>
  <c r="K107" i="7"/>
  <c r="K106" i="7"/>
  <c r="K85" i="7"/>
  <c r="L84" i="7"/>
  <c r="K84" i="7"/>
  <c r="L82" i="7"/>
  <c r="K82" i="7"/>
  <c r="L75" i="7"/>
  <c r="K75" i="7"/>
  <c r="L71" i="7"/>
  <c r="L73" i="7" s="1"/>
  <c r="K71" i="7"/>
  <c r="K73" i="7" s="1"/>
  <c r="L67" i="7"/>
  <c r="K67" i="7"/>
  <c r="K60" i="7" s="1"/>
  <c r="L21" i="7"/>
  <c r="L41" i="7" s="1"/>
  <c r="L51" i="7" s="1"/>
  <c r="K21" i="7"/>
  <c r="K41" i="7" s="1"/>
  <c r="K51" i="7" s="1"/>
  <c r="L130" i="8" l="1"/>
  <c r="L131" i="8"/>
  <c r="L144" i="8" s="1"/>
  <c r="L132" i="8"/>
  <c r="L145" i="8" s="1"/>
  <c r="AB17" i="7"/>
  <c r="AF17" i="7" s="1"/>
  <c r="AJ17" i="7" s="1"/>
  <c r="AP17" i="7" s="1"/>
  <c r="AT17" i="7" s="1"/>
  <c r="R17" i="7"/>
  <c r="V17" i="7" s="1"/>
  <c r="AA17" i="7"/>
  <c r="Q17" i="7"/>
  <c r="U17" i="7" s="1"/>
  <c r="K30" i="7"/>
  <c r="K94" i="7" s="1"/>
  <c r="L83" i="7"/>
  <c r="K33" i="7"/>
  <c r="K99" i="7" s="1"/>
  <c r="K58" i="7"/>
  <c r="K37" i="7"/>
  <c r="K103" i="7" s="1"/>
  <c r="K83" i="7"/>
  <c r="K27" i="7"/>
  <c r="K91" i="7" s="1"/>
  <c r="K24" i="7"/>
  <c r="K55" i="7"/>
  <c r="L30" i="7"/>
  <c r="L94" i="7" s="1"/>
  <c r="L55" i="7"/>
  <c r="L24" i="7"/>
  <c r="L33" i="7"/>
  <c r="L99" i="7" s="1"/>
  <c r="L58" i="7"/>
  <c r="L27" i="7"/>
  <c r="L91" i="7" s="1"/>
  <c r="L37" i="7"/>
  <c r="L103" i="7" s="1"/>
  <c r="L61" i="7"/>
  <c r="L102" i="7" s="1"/>
  <c r="L81" i="7"/>
  <c r="K28" i="7"/>
  <c r="K92" i="7" s="1"/>
  <c r="K34" i="7"/>
  <c r="K97" i="7" s="1"/>
  <c r="K59" i="7"/>
  <c r="L25" i="7"/>
  <c r="L28" i="7"/>
  <c r="L92" i="7" s="1"/>
  <c r="L31" i="7"/>
  <c r="L95" i="7" s="1"/>
  <c r="L34" i="7"/>
  <c r="L97" i="7" s="1"/>
  <c r="L56" i="7"/>
  <c r="L96" i="7" s="1"/>
  <c r="L59" i="7"/>
  <c r="L62" i="7"/>
  <c r="L69" i="7"/>
  <c r="L78" i="7"/>
  <c r="K81" i="7"/>
  <c r="K26" i="7"/>
  <c r="K36" i="7"/>
  <c r="K90" i="7" s="1"/>
  <c r="K57" i="7"/>
  <c r="K76" i="7"/>
  <c r="K61" i="7"/>
  <c r="K102" i="7" s="1"/>
  <c r="K25" i="7"/>
  <c r="K31" i="7"/>
  <c r="K95" i="7" s="1"/>
  <c r="K56" i="7"/>
  <c r="K96" i="7" s="1"/>
  <c r="K62" i="7"/>
  <c r="K68" i="7"/>
  <c r="K78" i="7"/>
  <c r="K23" i="7"/>
  <c r="K29" i="7"/>
  <c r="K93" i="7" s="1"/>
  <c r="K32" i="7"/>
  <c r="K98" i="7" s="1"/>
  <c r="K54" i="7"/>
  <c r="L23" i="7"/>
  <c r="L26" i="7"/>
  <c r="L29" i="7"/>
  <c r="L93" i="7" s="1"/>
  <c r="L32" i="7"/>
  <c r="L98" i="7" s="1"/>
  <c r="L36" i="7"/>
  <c r="L90" i="7" s="1"/>
  <c r="L54" i="7"/>
  <c r="L57" i="7"/>
  <c r="L60" i="7"/>
  <c r="L76" i="7"/>
  <c r="K61" i="39"/>
  <c r="L43" i="22" s="1"/>
  <c r="K60" i="39"/>
  <c r="L42" i="22" s="1"/>
  <c r="K49" i="39"/>
  <c r="K48" i="39"/>
  <c r="K47" i="39"/>
  <c r="K46" i="39"/>
  <c r="K43" i="39"/>
  <c r="K42" i="39"/>
  <c r="K8" i="39"/>
  <c r="K198" i="6"/>
  <c r="E198" i="6"/>
  <c r="G198" i="6"/>
  <c r="Y130" i="6"/>
  <c r="Z130" i="6"/>
  <c r="Z131" i="6"/>
  <c r="AM131" i="6"/>
  <c r="M112" i="6"/>
  <c r="Q112" i="6" s="1"/>
  <c r="U112" i="6" s="1"/>
  <c r="N112" i="6"/>
  <c r="R112" i="6" s="1"/>
  <c r="V112" i="6" s="1"/>
  <c r="Y112" i="6"/>
  <c r="Z112" i="6"/>
  <c r="AM112" i="6"/>
  <c r="AN112" i="6"/>
  <c r="BA112" i="6"/>
  <c r="BB112" i="6"/>
  <c r="M94" i="6"/>
  <c r="Q94" i="6" s="1"/>
  <c r="U94" i="6" s="1"/>
  <c r="N94" i="6"/>
  <c r="Y94" i="6"/>
  <c r="Z94" i="6"/>
  <c r="AM94" i="6"/>
  <c r="AN94" i="6"/>
  <c r="BA94" i="6"/>
  <c r="BB94" i="6"/>
  <c r="L223" i="6"/>
  <c r="K223" i="6"/>
  <c r="L222" i="6"/>
  <c r="K222" i="6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85" i="6"/>
  <c r="K83" i="6"/>
  <c r="K82" i="6"/>
  <c r="K80" i="6"/>
  <c r="K79" i="6"/>
  <c r="L77" i="6"/>
  <c r="K77" i="6"/>
  <c r="L69" i="6"/>
  <c r="K69" i="6"/>
  <c r="L66" i="6"/>
  <c r="K66" i="6"/>
  <c r="L54" i="6"/>
  <c r="L51" i="6"/>
  <c r="L48" i="6"/>
  <c r="L45" i="6"/>
  <c r="K41" i="6"/>
  <c r="L34" i="6"/>
  <c r="L33" i="6"/>
  <c r="L32" i="6"/>
  <c r="L29" i="6"/>
  <c r="L26" i="6"/>
  <c r="L23" i="6"/>
  <c r="K18" i="6"/>
  <c r="K17" i="6"/>
  <c r="K16" i="6"/>
  <c r="K15" i="6"/>
  <c r="L9" i="6"/>
  <c r="L8" i="6"/>
  <c r="K7" i="6"/>
  <c r="K34" i="35"/>
  <c r="K23" i="35"/>
  <c r="K13" i="8" s="1"/>
  <c r="K18" i="35"/>
  <c r="K17" i="35"/>
  <c r="K6" i="8" s="1"/>
  <c r="K16" i="35"/>
  <c r="K22" i="39" l="1"/>
  <c r="K16" i="8"/>
  <c r="AX17" i="7"/>
  <c r="BF17" i="7" s="1"/>
  <c r="BH17" i="7" s="1"/>
  <c r="K34" i="39"/>
  <c r="AB112" i="6"/>
  <c r="AF112" i="6" s="1"/>
  <c r="AJ112" i="6" s="1"/>
  <c r="AP112" i="6" s="1"/>
  <c r="AT112" i="6" s="1"/>
  <c r="AX112" i="6" s="1"/>
  <c r="K31" i="6"/>
  <c r="K30" i="6"/>
  <c r="L133" i="8"/>
  <c r="L146" i="8" s="1"/>
  <c r="L143" i="8"/>
  <c r="K103" i="6"/>
  <c r="BA130" i="6"/>
  <c r="BB130" i="6"/>
  <c r="BA131" i="6"/>
  <c r="BC131" i="6" s="1"/>
  <c r="BJ131" i="6" s="1"/>
  <c r="BD112" i="6"/>
  <c r="BK112" i="6" s="1"/>
  <c r="BC112" i="6"/>
  <c r="BJ112" i="6" s="1"/>
  <c r="J18" i="15"/>
  <c r="J15" i="15" s="1"/>
  <c r="J16" i="15" s="1"/>
  <c r="K5" i="9"/>
  <c r="AE17" i="7"/>
  <c r="AI17" i="7" s="1"/>
  <c r="AO17" i="7" s="1"/>
  <c r="AS17" i="7" s="1"/>
  <c r="K85" i="8"/>
  <c r="K27" i="8"/>
  <c r="K24" i="8"/>
  <c r="K30" i="8"/>
  <c r="K29" i="8"/>
  <c r="K23" i="8"/>
  <c r="K31" i="8"/>
  <c r="K92" i="8"/>
  <c r="K50" i="8"/>
  <c r="K51" i="8" s="1"/>
  <c r="K28" i="8"/>
  <c r="K25" i="8"/>
  <c r="AB94" i="6"/>
  <c r="AF94" i="6" s="1"/>
  <c r="AJ94" i="6" s="1"/>
  <c r="AP94" i="6" s="1"/>
  <c r="AT94" i="6" s="1"/>
  <c r="AX94" i="6" s="1"/>
  <c r="BD94" i="6"/>
  <c r="BK94" i="6" s="1"/>
  <c r="AM130" i="6"/>
  <c r="BC94" i="6"/>
  <c r="BJ94" i="6" s="1"/>
  <c r="AA112" i="6"/>
  <c r="AE112" i="6" s="1"/>
  <c r="AI112" i="6" s="1"/>
  <c r="AO112" i="6" s="1"/>
  <c r="AS112" i="6" s="1"/>
  <c r="AW112" i="6" s="1"/>
  <c r="BB131" i="6"/>
  <c r="Y131" i="6"/>
  <c r="AA94" i="6"/>
  <c r="AE94" i="6" s="1"/>
  <c r="AI94" i="6" s="1"/>
  <c r="AO94" i="6" s="1"/>
  <c r="AS94" i="6" s="1"/>
  <c r="AW94" i="6" s="1"/>
  <c r="AN131" i="6"/>
  <c r="AN130" i="6"/>
  <c r="L101" i="7"/>
  <c r="K89" i="7"/>
  <c r="K45" i="39"/>
  <c r="L103" i="6"/>
  <c r="R94" i="6"/>
  <c r="V94" i="6" s="1"/>
  <c r="K88" i="7"/>
  <c r="L88" i="7"/>
  <c r="L89" i="7"/>
  <c r="K23" i="39"/>
  <c r="K38" i="7"/>
  <c r="K53" i="7" s="1"/>
  <c r="K87" i="7"/>
  <c r="K101" i="7"/>
  <c r="K50" i="39"/>
  <c r="L87" i="7"/>
  <c r="L38" i="7"/>
  <c r="L53" i="7" s="1"/>
  <c r="L121" i="6"/>
  <c r="L57" i="6"/>
  <c r="L35" i="6"/>
  <c r="K28" i="6"/>
  <c r="K163" i="6"/>
  <c r="K24" i="6"/>
  <c r="K19" i="6"/>
  <c r="K27" i="6"/>
  <c r="K121" i="6"/>
  <c r="K138" i="6"/>
  <c r="K168" i="6"/>
  <c r="K194" i="6"/>
  <c r="K25" i="6"/>
  <c r="L138" i="6"/>
  <c r="K188" i="6"/>
  <c r="K21" i="6"/>
  <c r="K133" i="6"/>
  <c r="K22" i="6"/>
  <c r="L133" i="6"/>
  <c r="K67" i="8" l="1"/>
  <c r="K51" i="39"/>
  <c r="K24" i="39"/>
  <c r="K32" i="6"/>
  <c r="AW17" i="7"/>
  <c r="BE17" i="7" s="1"/>
  <c r="BG17" i="7" s="1"/>
  <c r="BD131" i="6"/>
  <c r="BK131" i="6" s="1"/>
  <c r="BD130" i="6"/>
  <c r="BK130" i="6" s="1"/>
  <c r="K125" i="6"/>
  <c r="K172" i="6" s="1"/>
  <c r="BF112" i="6"/>
  <c r="BH112" i="6" s="1"/>
  <c r="K34" i="6"/>
  <c r="BE94" i="6"/>
  <c r="BG94" i="6" s="1"/>
  <c r="BF94" i="6"/>
  <c r="BH94" i="6" s="1"/>
  <c r="BE112" i="6"/>
  <c r="BG112" i="6" s="1"/>
  <c r="K107" i="6"/>
  <c r="K81" i="6"/>
  <c r="L125" i="6"/>
  <c r="L173" i="6" s="1"/>
  <c r="K29" i="6"/>
  <c r="L107" i="6"/>
  <c r="BC130" i="6"/>
  <c r="BJ130" i="6" s="1"/>
  <c r="K26" i="8"/>
  <c r="K69" i="8"/>
  <c r="K27" i="9"/>
  <c r="K55" i="9"/>
  <c r="K69" i="9"/>
  <c r="K68" i="9"/>
  <c r="K63" i="9"/>
  <c r="K70" i="9"/>
  <c r="K92" i="9"/>
  <c r="K56" i="9"/>
  <c r="K66" i="9"/>
  <c r="K64" i="9"/>
  <c r="K67" i="9"/>
  <c r="J132" i="26"/>
  <c r="K100" i="9"/>
  <c r="K61" i="9"/>
  <c r="K33" i="22"/>
  <c r="K7" i="9"/>
  <c r="K59" i="9"/>
  <c r="K65" i="9"/>
  <c r="K58" i="9"/>
  <c r="K95" i="9"/>
  <c r="K65" i="8"/>
  <c r="K59" i="8"/>
  <c r="K109" i="8"/>
  <c r="K111" i="8" s="1"/>
  <c r="K84" i="6"/>
  <c r="L104" i="7"/>
  <c r="L148" i="6"/>
  <c r="L147" i="6"/>
  <c r="L139" i="6"/>
  <c r="K104" i="7"/>
  <c r="K63" i="7"/>
  <c r="K77" i="7"/>
  <c r="L63" i="7"/>
  <c r="L77" i="7"/>
  <c r="K26" i="6"/>
  <c r="K139" i="6"/>
  <c r="K33" i="6"/>
  <c r="K23" i="6"/>
  <c r="K173" i="6" l="1"/>
  <c r="K36" i="8"/>
  <c r="K34" i="8"/>
  <c r="K37" i="8"/>
  <c r="K63" i="8"/>
  <c r="L143" i="6"/>
  <c r="K35" i="6"/>
  <c r="K143" i="6"/>
  <c r="L175" i="6"/>
  <c r="L150" i="6"/>
  <c r="K150" i="6"/>
  <c r="K147" i="6"/>
  <c r="K148" i="6"/>
  <c r="K175" i="6"/>
  <c r="L172" i="6"/>
  <c r="L174" i="6" s="1"/>
  <c r="K60" i="9"/>
  <c r="K110" i="8"/>
  <c r="K112" i="8" s="1"/>
  <c r="K21" i="22"/>
  <c r="K7" i="22"/>
  <c r="K57" i="9"/>
  <c r="L149" i="6"/>
  <c r="K174" i="6"/>
  <c r="L204" i="6"/>
  <c r="L207" i="6"/>
  <c r="K212" i="6" l="1"/>
  <c r="L210" i="6"/>
  <c r="L212" i="6"/>
  <c r="L208" i="6"/>
  <c r="K204" i="6"/>
  <c r="L217" i="6"/>
  <c r="L213" i="6"/>
  <c r="K211" i="6"/>
  <c r="L206" i="6"/>
  <c r="K203" i="6"/>
  <c r="K35" i="8"/>
  <c r="L197" i="6"/>
  <c r="L216" i="6"/>
  <c r="L203" i="6"/>
  <c r="L205" i="6"/>
  <c r="K207" i="6"/>
  <c r="K206" i="6"/>
  <c r="L211" i="6"/>
  <c r="L218" i="6"/>
  <c r="K213" i="6"/>
  <c r="K149" i="6"/>
  <c r="K208" i="6"/>
  <c r="K62" i="9"/>
  <c r="L199" i="6"/>
  <c r="K216" i="6"/>
  <c r="K219" i="6" s="1"/>
  <c r="K210" i="6"/>
  <c r="K205" i="6"/>
  <c r="K8" i="22"/>
  <c r="K22" i="22"/>
  <c r="K209" i="6" l="1"/>
  <c r="L209" i="6"/>
  <c r="L214" i="6"/>
  <c r="L219" i="6"/>
  <c r="K214" i="6"/>
  <c r="K215" i="6" s="1"/>
  <c r="K220" i="6" s="1"/>
  <c r="K24" i="22"/>
  <c r="K10" i="22"/>
  <c r="L215" i="6"/>
  <c r="L220" i="6" s="1"/>
  <c r="K11" i="22" l="1"/>
  <c r="K25" i="22"/>
  <c r="L16" i="77"/>
  <c r="Z16" i="77" s="1"/>
  <c r="AD16" i="77" s="1"/>
  <c r="L17" i="77"/>
  <c r="Z17" i="77" s="1"/>
  <c r="AD17" i="77" s="1"/>
  <c r="L18" i="77"/>
  <c r="Z18" i="77" s="1"/>
  <c r="AD18" i="77" s="1"/>
  <c r="K90" i="77"/>
  <c r="K89" i="77"/>
  <c r="K82" i="77"/>
  <c r="K80" i="77"/>
  <c r="K79" i="77"/>
  <c r="L13" i="28"/>
  <c r="K522" i="28"/>
  <c r="L479" i="28"/>
  <c r="L473" i="28"/>
  <c r="L441" i="28"/>
  <c r="L429" i="28"/>
  <c r="K429" i="28"/>
  <c r="L413" i="28"/>
  <c r="L304" i="28"/>
  <c r="K304" i="28"/>
  <c r="L298" i="28"/>
  <c r="K298" i="28"/>
  <c r="L297" i="28"/>
  <c r="K297" i="28"/>
  <c r="L256" i="28"/>
  <c r="K256" i="28"/>
  <c r="L235" i="28"/>
  <c r="L233" i="28"/>
  <c r="L96" i="28"/>
  <c r="L95" i="28"/>
  <c r="L93" i="28"/>
  <c r="L89" i="28"/>
  <c r="L85" i="28"/>
  <c r="L81" i="28"/>
  <c r="K68" i="28"/>
  <c r="K67" i="28"/>
  <c r="K65" i="28"/>
  <c r="L56" i="28"/>
  <c r="L29" i="28"/>
  <c r="K23" i="28"/>
  <c r="L21" i="28"/>
  <c r="K15" i="28"/>
  <c r="K7" i="28"/>
  <c r="L17" i="49"/>
  <c r="L18" i="49" s="1"/>
  <c r="L11" i="49"/>
  <c r="K11" i="49"/>
  <c r="L9" i="49"/>
  <c r="L8" i="49"/>
  <c r="L6" i="49"/>
  <c r="M177" i="73"/>
  <c r="Q177" i="73" s="1"/>
  <c r="U177" i="73" s="1"/>
  <c r="M129" i="73"/>
  <c r="AA129" i="73" s="1"/>
  <c r="AE129" i="73" s="1"/>
  <c r="AI129" i="73" s="1"/>
  <c r="AO129" i="73" s="1"/>
  <c r="AS129" i="73" s="1"/>
  <c r="AW129" i="73" s="1"/>
  <c r="BE129" i="73" s="1"/>
  <c r="M62" i="73"/>
  <c r="Q62" i="73" s="1"/>
  <c r="U62" i="73" s="1"/>
  <c r="M63" i="73"/>
  <c r="Q63" i="73" s="1"/>
  <c r="U63" i="73" s="1"/>
  <c r="M64" i="73"/>
  <c r="Q64" i="73" s="1"/>
  <c r="U64" i="73" s="1"/>
  <c r="M65" i="73"/>
  <c r="Q65" i="73" s="1"/>
  <c r="U65" i="73" s="1"/>
  <c r="M66" i="73"/>
  <c r="Q66" i="73" s="1"/>
  <c r="U66" i="73" s="1"/>
  <c r="K173" i="73"/>
  <c r="K160" i="73"/>
  <c r="K171" i="73" s="1"/>
  <c r="K130" i="73"/>
  <c r="K128" i="73"/>
  <c r="K126" i="73"/>
  <c r="K122" i="73"/>
  <c r="K118" i="73"/>
  <c r="K109" i="73"/>
  <c r="K102" i="73"/>
  <c r="K98" i="73"/>
  <c r="K57" i="73"/>
  <c r="K51" i="73"/>
  <c r="K46" i="73"/>
  <c r="K41" i="73"/>
  <c r="K30" i="73"/>
  <c r="K25" i="73"/>
  <c r="K18" i="73"/>
  <c r="L58" i="28" s="1"/>
  <c r="L60" i="28" s="1"/>
  <c r="K16" i="73"/>
  <c r="K8" i="73"/>
  <c r="O79" i="59"/>
  <c r="O78" i="59"/>
  <c r="O77" i="59"/>
  <c r="N76" i="59"/>
  <c r="N75" i="59"/>
  <c r="O70" i="59"/>
  <c r="O69" i="59"/>
  <c r="N69" i="59"/>
  <c r="O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8" i="59"/>
  <c r="N48" i="59"/>
  <c r="O47" i="59"/>
  <c r="N47" i="59"/>
  <c r="O46" i="59"/>
  <c r="N46" i="59"/>
  <c r="O45" i="59"/>
  <c r="N45" i="59"/>
  <c r="O43" i="59"/>
  <c r="N43" i="59"/>
  <c r="O42" i="59"/>
  <c r="N42" i="59"/>
  <c r="O41" i="59"/>
  <c r="N41" i="59"/>
  <c r="N39" i="59"/>
  <c r="N38" i="59"/>
  <c r="N37" i="59"/>
  <c r="O36" i="59"/>
  <c r="N36" i="59"/>
  <c r="O35" i="59"/>
  <c r="N35" i="59"/>
  <c r="O34" i="59"/>
  <c r="N34" i="59"/>
  <c r="O33" i="59"/>
  <c r="N33" i="59"/>
  <c r="O32" i="59"/>
  <c r="N32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O11" i="59"/>
  <c r="N11" i="59"/>
  <c r="K72" i="36"/>
  <c r="K64" i="36" s="1"/>
  <c r="K71" i="36"/>
  <c r="K69" i="36"/>
  <c r="K61" i="36" s="1"/>
  <c r="K63" i="36" s="1"/>
  <c r="K67" i="36"/>
  <c r="K59" i="36" s="1"/>
  <c r="K66" i="36"/>
  <c r="L64" i="36"/>
  <c r="L72" i="36" s="1"/>
  <c r="L62" i="36"/>
  <c r="L70" i="36" s="1"/>
  <c r="L61" i="36"/>
  <c r="L69" i="36" s="1"/>
  <c r="L59" i="36"/>
  <c r="L67" i="36" s="1"/>
  <c r="L58" i="36"/>
  <c r="L66" i="36" s="1"/>
  <c r="K58" i="36"/>
  <c r="L57" i="36"/>
  <c r="L17" i="36" s="1"/>
  <c r="O55" i="59" s="1"/>
  <c r="L56" i="36"/>
  <c r="L16" i="36" s="1"/>
  <c r="O54" i="59" s="1"/>
  <c r="L33" i="36"/>
  <c r="L40" i="36" s="1"/>
  <c r="K33" i="36"/>
  <c r="K29" i="36"/>
  <c r="J7" i="15" s="1"/>
  <c r="K28" i="36"/>
  <c r="J6" i="15" s="1"/>
  <c r="K27" i="36"/>
  <c r="J5" i="15" s="1"/>
  <c r="L26" i="36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90" i="9" s="1"/>
  <c r="K19" i="9" s="1"/>
  <c r="K16" i="36"/>
  <c r="K13" i="36"/>
  <c r="N40" i="59" s="1"/>
  <c r="L12" i="36"/>
  <c r="O39" i="59" s="1"/>
  <c r="L11" i="36"/>
  <c r="O38" i="59" s="1"/>
  <c r="L10" i="36"/>
  <c r="O37" i="59" s="1"/>
  <c r="L9" i="36"/>
  <c r="O10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K13" i="49" s="1"/>
  <c r="L28" i="21"/>
  <c r="K27" i="2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8" i="35" s="1"/>
  <c r="K36" i="35"/>
  <c r="K48" i="35" s="1"/>
  <c r="L31" i="35"/>
  <c r="L30" i="35"/>
  <c r="L203" i="10" s="1"/>
  <c r="L26" i="35"/>
  <c r="L34" i="36" s="1"/>
  <c r="K26" i="35"/>
  <c r="K34" i="36" s="1"/>
  <c r="K35" i="36" s="1"/>
  <c r="K21" i="35"/>
  <c r="K26" i="9" s="1"/>
  <c r="L20" i="35"/>
  <c r="K20" i="35"/>
  <c r="L19" i="35"/>
  <c r="K19" i="35"/>
  <c r="L14" i="35"/>
  <c r="L5" i="36" s="1"/>
  <c r="L13" i="49" s="1"/>
  <c r="L13" i="35"/>
  <c r="L11" i="35"/>
  <c r="L10" i="6" s="1"/>
  <c r="K10" i="35"/>
  <c r="K9" i="35"/>
  <c r="K8" i="35"/>
  <c r="L7" i="35"/>
  <c r="L6" i="6" s="1"/>
  <c r="L6" i="35"/>
  <c r="L5" i="6" s="1"/>
  <c r="K6" i="73" l="1"/>
  <c r="L46" i="28"/>
  <c r="L35" i="28" s="1"/>
  <c r="K114" i="73"/>
  <c r="K29" i="28"/>
  <c r="K414" i="28" s="1"/>
  <c r="L72" i="28"/>
  <c r="L510" i="28"/>
  <c r="L414" i="28"/>
  <c r="L513" i="28" s="1"/>
  <c r="L514" i="28"/>
  <c r="L506" i="28"/>
  <c r="K21" i="28"/>
  <c r="K73" i="28" s="1"/>
  <c r="M143" i="50"/>
  <c r="K118" i="90"/>
  <c r="L15" i="35"/>
  <c r="AW128" i="73"/>
  <c r="BE128" i="73" s="1"/>
  <c r="K88" i="77"/>
  <c r="K27" i="22"/>
  <c r="K13" i="22"/>
  <c r="L35" i="36"/>
  <c r="L36" i="36" s="1"/>
  <c r="L38" i="36" s="1"/>
  <c r="L30" i="36" s="1"/>
  <c r="O80" i="59" s="1"/>
  <c r="L41" i="36"/>
  <c r="K12" i="15"/>
  <c r="K13" i="15" s="1"/>
  <c r="K14" i="15" s="1"/>
  <c r="K26" i="21"/>
  <c r="K28" i="21" s="1"/>
  <c r="N44" i="59"/>
  <c r="K83" i="77"/>
  <c r="K14" i="35"/>
  <c r="K9" i="6"/>
  <c r="N77" i="59"/>
  <c r="N78" i="59"/>
  <c r="L8" i="35"/>
  <c r="N79" i="59"/>
  <c r="K11" i="35"/>
  <c r="K10" i="6" s="1"/>
  <c r="K8" i="6"/>
  <c r="N49" i="59"/>
  <c r="P18" i="77"/>
  <c r="T18" i="77" s="1"/>
  <c r="P17" i="77"/>
  <c r="T17" i="77" s="1"/>
  <c r="P16" i="77"/>
  <c r="T16" i="77" s="1"/>
  <c r="K133" i="73"/>
  <c r="Q129" i="73"/>
  <c r="U129" i="73" s="1"/>
  <c r="M128" i="73"/>
  <c r="L299" i="28"/>
  <c r="L236" i="28"/>
  <c r="K60" i="36"/>
  <c r="K68" i="36"/>
  <c r="K5" i="73"/>
  <c r="L490" i="28"/>
  <c r="L97" i="28"/>
  <c r="L73" i="28"/>
  <c r="K56" i="36"/>
  <c r="K89" i="9"/>
  <c r="K91" i="9" s="1"/>
  <c r="N6" i="59"/>
  <c r="N54" i="59"/>
  <c r="N55" i="59"/>
  <c r="K57" i="36"/>
  <c r="L68" i="36"/>
  <c r="L71" i="36"/>
  <c r="L13" i="36"/>
  <c r="O40" i="59" s="1"/>
  <c r="L16" i="6"/>
  <c r="L18" i="6"/>
  <c r="L17" i="6"/>
  <c r="L15" i="6"/>
  <c r="L7" i="6"/>
  <c r="L41" i="35"/>
  <c r="L97" i="11"/>
  <c r="L60" i="36"/>
  <c r="L63" i="36"/>
  <c r="L18" i="36"/>
  <c r="O56" i="59" s="1"/>
  <c r="O49" i="59"/>
  <c r="O44" i="59"/>
  <c r="O6" i="59"/>
  <c r="K31" i="28"/>
  <c r="K13" i="35"/>
  <c r="L511" i="28"/>
  <c r="L74" i="28"/>
  <c r="L503" i="28"/>
  <c r="L507" i="28"/>
  <c r="K13" i="28"/>
  <c r="K36" i="36"/>
  <c r="K38" i="36" s="1"/>
  <c r="K30" i="36" s="1"/>
  <c r="N80" i="59" s="1"/>
  <c r="L20" i="21"/>
  <c r="K15" i="21"/>
  <c r="K74" i="28" l="1"/>
  <c r="K299" i="28"/>
  <c r="L67" i="28"/>
  <c r="L37" i="28"/>
  <c r="L440" i="28"/>
  <c r="L471" i="28" s="1"/>
  <c r="L48" i="28"/>
  <c r="L98" i="28"/>
  <c r="L504" i="28"/>
  <c r="L512" i="28"/>
  <c r="K83" i="28"/>
  <c r="L522" i="28"/>
  <c r="L69" i="28"/>
  <c r="L509" i="28"/>
  <c r="K37" i="28"/>
  <c r="K87" i="28"/>
  <c r="K511" i="28" s="1"/>
  <c r="K513" i="28"/>
  <c r="K15" i="35"/>
  <c r="K94" i="77"/>
  <c r="L19" i="36"/>
  <c r="O57" i="59" s="1"/>
  <c r="Q128" i="73"/>
  <c r="U128" i="73" s="1"/>
  <c r="AA128" i="73"/>
  <c r="AE128" i="73" s="1"/>
  <c r="AI128" i="73" s="1"/>
  <c r="AO128" i="73" s="1"/>
  <c r="L491" i="28"/>
  <c r="L508" i="28"/>
  <c r="L500" i="28"/>
  <c r="L501" i="28"/>
  <c r="L505" i="28"/>
  <c r="L189" i="6"/>
  <c r="L194" i="6"/>
  <c r="L168" i="6"/>
  <c r="L19" i="6"/>
  <c r="L164" i="6"/>
  <c r="K63" i="28"/>
  <c r="K72" i="28"/>
  <c r="K236" i="28"/>
  <c r="K501" i="28"/>
  <c r="K509" i="28"/>
  <c r="N120" i="10"/>
  <c r="N90" i="10"/>
  <c r="N94" i="10"/>
  <c r="N95" i="10"/>
  <c r="N86" i="10"/>
  <c r="J134" i="10"/>
  <c r="J135" i="10"/>
  <c r="N23" i="10"/>
  <c r="N32" i="10"/>
  <c r="L515" i="28" l="1"/>
  <c r="L523" i="28"/>
  <c r="L70" i="28"/>
  <c r="K512" i="28"/>
  <c r="L75" i="28"/>
  <c r="L76" i="28" s="1"/>
  <c r="L521" i="28" s="1"/>
  <c r="K69" i="28"/>
  <c r="K507" i="28"/>
  <c r="K491" i="28"/>
  <c r="K517" i="28" s="1"/>
  <c r="L517" i="28"/>
  <c r="L520" i="28"/>
  <c r="K505" i="28"/>
  <c r="K508" i="28"/>
  <c r="K75" i="28"/>
  <c r="K500" i="28"/>
  <c r="L516" i="28"/>
  <c r="L81" i="6"/>
  <c r="H199" i="10"/>
  <c r="R86" i="10"/>
  <c r="V86" i="10" s="1"/>
  <c r="AB86" i="10"/>
  <c r="AF86" i="10" s="1"/>
  <c r="AJ86" i="10" s="1"/>
  <c r="AP86" i="10" s="1"/>
  <c r="AT86" i="10" s="1"/>
  <c r="AX86" i="10" s="1"/>
  <c r="BF86" i="10" s="1"/>
  <c r="BI86" i="10" s="1"/>
  <c r="R90" i="10"/>
  <c r="V90" i="10" s="1"/>
  <c r="AB90" i="10"/>
  <c r="AF90" i="10" s="1"/>
  <c r="R95" i="10"/>
  <c r="V95" i="10" s="1"/>
  <c r="AB95" i="10"/>
  <c r="AF95" i="10" s="1"/>
  <c r="AJ95" i="10" s="1"/>
  <c r="AP95" i="10" s="1"/>
  <c r="AT95" i="10" s="1"/>
  <c r="AX95" i="10" s="1"/>
  <c r="R120" i="10"/>
  <c r="V120" i="10" s="1"/>
  <c r="AB120" i="10"/>
  <c r="AF120" i="10" s="1"/>
  <c r="AJ120" i="10" s="1"/>
  <c r="AP120" i="10" s="1"/>
  <c r="AT120" i="10" s="1"/>
  <c r="AX120" i="10" s="1"/>
  <c r="R32" i="10"/>
  <c r="V32" i="10" s="1"/>
  <c r="AB32" i="10"/>
  <c r="AF32" i="10" s="1"/>
  <c r="AJ32" i="10" s="1"/>
  <c r="AP32" i="10" s="1"/>
  <c r="AT32" i="10" s="1"/>
  <c r="AX32" i="10" s="1"/>
  <c r="R94" i="10"/>
  <c r="V94" i="10" s="1"/>
  <c r="AB94" i="10"/>
  <c r="AF94" i="10" s="1"/>
  <c r="AJ94" i="10" s="1"/>
  <c r="AP94" i="10" s="1"/>
  <c r="AT94" i="10" s="1"/>
  <c r="AX94" i="10" s="1"/>
  <c r="R23" i="10"/>
  <c r="V23" i="10" s="1"/>
  <c r="AB23" i="10"/>
  <c r="AF23" i="10" s="1"/>
  <c r="AJ23" i="10" s="1"/>
  <c r="AP23" i="10" s="1"/>
  <c r="AT23" i="10" s="1"/>
  <c r="AX23" i="10" s="1"/>
  <c r="L495" i="28"/>
  <c r="L494" i="28"/>
  <c r="L84" i="6"/>
  <c r="L38" i="6"/>
  <c r="L40" i="6"/>
  <c r="L39" i="6"/>
  <c r="L37" i="6"/>
  <c r="K79" i="28"/>
  <c r="K520" i="28" l="1"/>
  <c r="K91" i="28"/>
  <c r="K76" i="28"/>
  <c r="K494" i="28"/>
  <c r="L41" i="6"/>
  <c r="K95" i="28"/>
  <c r="K504" i="28"/>
  <c r="K503" i="28"/>
  <c r="AW7" i="71"/>
  <c r="AW8" i="71"/>
  <c r="AW9" i="71"/>
  <c r="G68" i="90" s="1"/>
  <c r="AW10" i="71"/>
  <c r="AW11" i="71"/>
  <c r="AW12" i="71"/>
  <c r="AW13" i="71"/>
  <c r="AW14" i="71"/>
  <c r="AW15" i="71"/>
  <c r="AW16" i="71"/>
  <c r="AW18" i="71"/>
  <c r="AW20" i="71"/>
  <c r="G70" i="90" s="1"/>
  <c r="AW21" i="71"/>
  <c r="G71" i="90" s="1"/>
  <c r="AW22" i="71"/>
  <c r="AW24" i="71"/>
  <c r="AW25" i="71"/>
  <c r="AW26" i="71"/>
  <c r="G73" i="90" s="1"/>
  <c r="AW27" i="71"/>
  <c r="AW28" i="71"/>
  <c r="AW29" i="71"/>
  <c r="AW32" i="71"/>
  <c r="AW33" i="71"/>
  <c r="AW35" i="71"/>
  <c r="AW36" i="71"/>
  <c r="AW37" i="71"/>
  <c r="G74" i="90" s="1"/>
  <c r="AW38" i="71"/>
  <c r="AW39" i="71"/>
  <c r="AW40" i="71"/>
  <c r="AW41" i="71"/>
  <c r="G76" i="90" s="1"/>
  <c r="AW42" i="71"/>
  <c r="G77" i="90" s="1"/>
  <c r="AW44" i="71"/>
  <c r="AW45" i="71"/>
  <c r="AW46" i="71"/>
  <c r="G79" i="90" s="1"/>
  <c r="AW47" i="71"/>
  <c r="G80" i="90" s="1"/>
  <c r="AW49" i="71"/>
  <c r="G82" i="90" s="1"/>
  <c r="AW50" i="71"/>
  <c r="G83" i="90" s="1"/>
  <c r="AW51" i="71"/>
  <c r="AW52" i="71"/>
  <c r="AW54" i="71"/>
  <c r="G84" i="90" s="1"/>
  <c r="AW55" i="71"/>
  <c r="AW57" i="71"/>
  <c r="G86" i="90" s="1"/>
  <c r="AW58" i="71"/>
  <c r="G87" i="90" s="1"/>
  <c r="AU7" i="71"/>
  <c r="AU8" i="71"/>
  <c r="AU9" i="71"/>
  <c r="AU10" i="71"/>
  <c r="AU11" i="71"/>
  <c r="AU12" i="71"/>
  <c r="AU13" i="71"/>
  <c r="AU14" i="71"/>
  <c r="AU15" i="71"/>
  <c r="AU16" i="71"/>
  <c r="AU18" i="71"/>
  <c r="AU20" i="71"/>
  <c r="AU21" i="71"/>
  <c r="AU24" i="71"/>
  <c r="AU25" i="71"/>
  <c r="AU26" i="71"/>
  <c r="AU27" i="71"/>
  <c r="AU28" i="71"/>
  <c r="AU29" i="71"/>
  <c r="AU32" i="71"/>
  <c r="AU33" i="71"/>
  <c r="AU35" i="71"/>
  <c r="AU36" i="71"/>
  <c r="AU37" i="71"/>
  <c r="AU38" i="71"/>
  <c r="AU39" i="71"/>
  <c r="AU40" i="71"/>
  <c r="AU41" i="71"/>
  <c r="AU42" i="71"/>
  <c r="AU44" i="71"/>
  <c r="AU45" i="71"/>
  <c r="AU46" i="71"/>
  <c r="AU47" i="71"/>
  <c r="AU49" i="71"/>
  <c r="AU50" i="71"/>
  <c r="AU51" i="71"/>
  <c r="AU52" i="71"/>
  <c r="AU54" i="71"/>
  <c r="AU55" i="71"/>
  <c r="AU57" i="71"/>
  <c r="AU58" i="71"/>
  <c r="AO55" i="71"/>
  <c r="AQ55" i="71" s="1"/>
  <c r="AO57" i="71"/>
  <c r="AO58" i="71"/>
  <c r="AK57" i="71"/>
  <c r="AK58" i="71"/>
  <c r="AF57" i="71"/>
  <c r="AF58" i="71"/>
  <c r="AB57" i="71"/>
  <c r="AB58" i="71"/>
  <c r="I55" i="71"/>
  <c r="I57" i="71"/>
  <c r="I58" i="71"/>
  <c r="AW6" i="71"/>
  <c r="AU6" i="71"/>
  <c r="I6" i="71"/>
  <c r="K521" i="28" l="1"/>
  <c r="CU47" i="71"/>
  <c r="K515" i="28"/>
  <c r="K495" i="28"/>
  <c r="K516" i="28"/>
  <c r="CU46" i="71"/>
  <c r="AY8" i="71"/>
  <c r="AY29" i="71"/>
  <c r="AY14" i="71"/>
  <c r="CU9" i="71"/>
  <c r="CU41" i="71"/>
  <c r="CU54" i="71"/>
  <c r="CU8" i="71"/>
  <c r="BC35" i="71"/>
  <c r="BG35" i="71" s="1"/>
  <c r="BK35" i="71" s="1"/>
  <c r="BC18" i="71"/>
  <c r="BG18" i="71" s="1"/>
  <c r="BK18" i="71" s="1"/>
  <c r="AY7" i="71"/>
  <c r="BC36" i="71"/>
  <c r="BG36" i="71" s="1"/>
  <c r="BK36" i="71" s="1"/>
  <c r="X6" i="71"/>
  <c r="N6" i="71"/>
  <c r="BC45" i="71"/>
  <c r="BG45" i="71" s="1"/>
  <c r="BK45" i="71" s="1"/>
  <c r="BC32" i="71"/>
  <c r="BG32" i="71" s="1"/>
  <c r="BK32" i="71" s="1"/>
  <c r="BC15" i="71"/>
  <c r="BG15" i="71" s="1"/>
  <c r="BK15" i="71" s="1"/>
  <c r="E78" i="90"/>
  <c r="BC28" i="71"/>
  <c r="BG28" i="71" s="1"/>
  <c r="BK28" i="71" s="1"/>
  <c r="BC13" i="71"/>
  <c r="BQ13" i="71" s="1"/>
  <c r="BU13" i="71" s="1"/>
  <c r="BY13" i="71" s="1"/>
  <c r="CE13" i="71" s="1"/>
  <c r="CI13" i="71" s="1"/>
  <c r="CM13" i="71" s="1"/>
  <c r="CU13" i="71"/>
  <c r="AY51" i="71"/>
  <c r="BC27" i="71"/>
  <c r="BG27" i="71" s="1"/>
  <c r="BK27" i="71" s="1"/>
  <c r="BC12" i="71"/>
  <c r="BQ12" i="71" s="1"/>
  <c r="BU12" i="71" s="1"/>
  <c r="BY12" i="71" s="1"/>
  <c r="CE12" i="71" s="1"/>
  <c r="CI12" i="71" s="1"/>
  <c r="CM12" i="71" s="1"/>
  <c r="AY55" i="71"/>
  <c r="BC40" i="71"/>
  <c r="BG40" i="71" s="1"/>
  <c r="BK40" i="71" s="1"/>
  <c r="BC11" i="71"/>
  <c r="BQ11" i="71" s="1"/>
  <c r="BU11" i="71" s="1"/>
  <c r="BY11" i="71" s="1"/>
  <c r="CE11" i="71" s="1"/>
  <c r="CI11" i="71" s="1"/>
  <c r="CM11" i="71" s="1"/>
  <c r="CU10" i="71"/>
  <c r="BC52" i="71"/>
  <c r="BG52" i="71" s="1"/>
  <c r="BK52" i="71" s="1"/>
  <c r="BC38" i="71"/>
  <c r="BG38" i="71" s="1"/>
  <c r="BK38" i="71" s="1"/>
  <c r="BC24" i="71"/>
  <c r="BG24" i="71" s="1"/>
  <c r="BK24" i="71" s="1"/>
  <c r="E72" i="90"/>
  <c r="X54" i="71"/>
  <c r="AR54" i="71" s="1"/>
  <c r="X55" i="71"/>
  <c r="AR55" i="71" s="1"/>
  <c r="N55" i="71"/>
  <c r="X58" i="71"/>
  <c r="N58" i="71"/>
  <c r="X57" i="71"/>
  <c r="N57" i="71"/>
  <c r="AY58" i="71"/>
  <c r="E87" i="90"/>
  <c r="BC50" i="71"/>
  <c r="E83" i="90"/>
  <c r="BC42" i="71"/>
  <c r="E77" i="90"/>
  <c r="BC37" i="71"/>
  <c r="E74" i="90"/>
  <c r="BC21" i="71"/>
  <c r="E71" i="90"/>
  <c r="AY44" i="71"/>
  <c r="G78" i="90"/>
  <c r="AY22" i="71"/>
  <c r="G72" i="90"/>
  <c r="AY57" i="71"/>
  <c r="E86" i="90"/>
  <c r="BC49" i="71"/>
  <c r="E82" i="90"/>
  <c r="BC41" i="71"/>
  <c r="E76" i="90"/>
  <c r="BC20" i="71"/>
  <c r="E70" i="90"/>
  <c r="AP58" i="71"/>
  <c r="BC47" i="71"/>
  <c r="E80" i="90"/>
  <c r="BC26" i="71"/>
  <c r="E73" i="90"/>
  <c r="BC54" i="71"/>
  <c r="E84" i="90"/>
  <c r="BC46" i="71"/>
  <c r="E79" i="90"/>
  <c r="BC39" i="71"/>
  <c r="BC33" i="71"/>
  <c r="BC25" i="71"/>
  <c r="BC16" i="71"/>
  <c r="BC10" i="71"/>
  <c r="BC9" i="71"/>
  <c r="E68" i="90"/>
  <c r="AG58" i="71"/>
  <c r="AG55" i="71"/>
  <c r="AP55" i="71"/>
  <c r="AQ57" i="71"/>
  <c r="AG57" i="71"/>
  <c r="AP57" i="71"/>
  <c r="AY52" i="71"/>
  <c r="AY45" i="71"/>
  <c r="AY38" i="71"/>
  <c r="AQ58" i="71"/>
  <c r="AY37" i="71"/>
  <c r="AY28" i="71"/>
  <c r="AY21" i="71"/>
  <c r="AY13" i="71"/>
  <c r="AY50" i="71"/>
  <c r="AY42" i="71"/>
  <c r="AY36" i="71"/>
  <c r="AY27" i="71"/>
  <c r="AY20" i="71"/>
  <c r="AY12" i="71"/>
  <c r="AY49" i="71"/>
  <c r="AY41" i="71"/>
  <c r="AY35" i="71"/>
  <c r="AY26" i="71"/>
  <c r="AY18" i="71"/>
  <c r="AY11" i="71"/>
  <c r="AY47" i="71"/>
  <c r="AY40" i="71"/>
  <c r="AY33" i="71"/>
  <c r="AY25" i="71"/>
  <c r="AY16" i="71"/>
  <c r="AY10" i="71"/>
  <c r="BC51" i="71"/>
  <c r="BC44" i="71"/>
  <c r="BC29" i="71"/>
  <c r="BC22" i="71"/>
  <c r="BC14" i="71"/>
  <c r="BC8" i="71"/>
  <c r="AY54" i="71"/>
  <c r="AY46" i="71"/>
  <c r="AY39" i="71"/>
  <c r="AY32" i="71"/>
  <c r="AY24" i="71"/>
  <c r="AY15" i="71"/>
  <c r="AY9" i="71"/>
  <c r="AY6" i="71"/>
  <c r="BE78" i="90" l="1"/>
  <c r="BE72" i="90"/>
  <c r="AI76" i="90"/>
  <c r="BE76" i="90"/>
  <c r="AI79" i="90"/>
  <c r="BE79" i="90"/>
  <c r="AI84" i="90"/>
  <c r="BE84" i="90"/>
  <c r="AI83" i="90"/>
  <c r="BE83" i="90"/>
  <c r="AI82" i="90"/>
  <c r="BE82" i="90"/>
  <c r="AI74" i="90"/>
  <c r="BE74" i="90"/>
  <c r="AI77" i="90"/>
  <c r="BE77" i="90"/>
  <c r="AI73" i="90"/>
  <c r="BE73" i="90"/>
  <c r="AE68" i="90"/>
  <c r="BE68" i="90"/>
  <c r="AI80" i="90"/>
  <c r="BE80" i="90"/>
  <c r="AI70" i="90"/>
  <c r="BE70" i="90"/>
  <c r="AI71" i="90"/>
  <c r="BE71" i="90"/>
  <c r="BG11" i="71"/>
  <c r="BK11" i="71" s="1"/>
  <c r="BQ35" i="71"/>
  <c r="BU35" i="71" s="1"/>
  <c r="BY35" i="71" s="1"/>
  <c r="CE35" i="71" s="1"/>
  <c r="CI35" i="71" s="1"/>
  <c r="CM35" i="71" s="1"/>
  <c r="BG13" i="71"/>
  <c r="BK13" i="71" s="1"/>
  <c r="E88" i="90"/>
  <c r="AI78" i="90"/>
  <c r="BQ15" i="71"/>
  <c r="BU15" i="71" s="1"/>
  <c r="BY15" i="71" s="1"/>
  <c r="CE15" i="71" s="1"/>
  <c r="CI15" i="71" s="1"/>
  <c r="CM15" i="71" s="1"/>
  <c r="BG12" i="71"/>
  <c r="BK12" i="71" s="1"/>
  <c r="BQ45" i="71"/>
  <c r="BU45" i="71" s="1"/>
  <c r="BY45" i="71" s="1"/>
  <c r="CE45" i="71" s="1"/>
  <c r="CI45" i="71" s="1"/>
  <c r="CM45" i="71" s="1"/>
  <c r="BQ40" i="71"/>
  <c r="BU40" i="71" s="1"/>
  <c r="BY40" i="71" s="1"/>
  <c r="CE40" i="71" s="1"/>
  <c r="CI40" i="71" s="1"/>
  <c r="CM40" i="71" s="1"/>
  <c r="AI72" i="90"/>
  <c r="AI75" i="90"/>
  <c r="BQ27" i="71"/>
  <c r="BU27" i="71" s="1"/>
  <c r="BY27" i="71" s="1"/>
  <c r="CE27" i="71" s="1"/>
  <c r="CI27" i="71" s="1"/>
  <c r="CM27" i="71" s="1"/>
  <c r="BQ24" i="71"/>
  <c r="BU24" i="71" s="1"/>
  <c r="BY24" i="71" s="1"/>
  <c r="CE24" i="71" s="1"/>
  <c r="CI24" i="71" s="1"/>
  <c r="CM24" i="71" s="1"/>
  <c r="BQ18" i="71"/>
  <c r="BU18" i="71" s="1"/>
  <c r="BY18" i="71" s="1"/>
  <c r="CE18" i="71" s="1"/>
  <c r="CI18" i="71" s="1"/>
  <c r="CM18" i="71" s="1"/>
  <c r="AI68" i="90"/>
  <c r="BQ28" i="71"/>
  <c r="BU28" i="71" s="1"/>
  <c r="BY28" i="71" s="1"/>
  <c r="CE28" i="71" s="1"/>
  <c r="CI28" i="71" s="1"/>
  <c r="CM28" i="71" s="1"/>
  <c r="BQ32" i="71"/>
  <c r="BU32" i="71" s="1"/>
  <c r="BY32" i="71" s="1"/>
  <c r="CE32" i="71" s="1"/>
  <c r="CI32" i="71" s="1"/>
  <c r="CM32" i="71" s="1"/>
  <c r="BQ38" i="71"/>
  <c r="BU38" i="71" s="1"/>
  <c r="BY38" i="71" s="1"/>
  <c r="CE38" i="71" s="1"/>
  <c r="CI38" i="71" s="1"/>
  <c r="CM38" i="71" s="1"/>
  <c r="BQ52" i="71"/>
  <c r="BU52" i="71" s="1"/>
  <c r="BY52" i="71" s="1"/>
  <c r="CE52" i="71" s="1"/>
  <c r="CI52" i="71" s="1"/>
  <c r="CM52" i="71" s="1"/>
  <c r="BQ36" i="71"/>
  <c r="BU36" i="71" s="1"/>
  <c r="BY36" i="71" s="1"/>
  <c r="CE36" i="71" s="1"/>
  <c r="CI36" i="71" s="1"/>
  <c r="CM36" i="71" s="1"/>
  <c r="AR57" i="71"/>
  <c r="AR58" i="71"/>
  <c r="BG25" i="71"/>
  <c r="BK25" i="71" s="1"/>
  <c r="BQ25" i="71"/>
  <c r="BU25" i="71" s="1"/>
  <c r="BY25" i="71" s="1"/>
  <c r="CE25" i="71" s="1"/>
  <c r="CI25" i="71" s="1"/>
  <c r="CM25" i="71" s="1"/>
  <c r="BG41" i="71"/>
  <c r="BK41" i="71" s="1"/>
  <c r="BQ41" i="71"/>
  <c r="BU41" i="71" s="1"/>
  <c r="BY41" i="71" s="1"/>
  <c r="CE41" i="71" s="1"/>
  <c r="CI41" i="71" s="1"/>
  <c r="CM41" i="71" s="1"/>
  <c r="BG33" i="71"/>
  <c r="BK33" i="71" s="1"/>
  <c r="BQ33" i="71"/>
  <c r="BU33" i="71" s="1"/>
  <c r="BY33" i="71" s="1"/>
  <c r="CE33" i="71" s="1"/>
  <c r="CI33" i="71" s="1"/>
  <c r="CM33" i="71" s="1"/>
  <c r="BG21" i="71"/>
  <c r="BK21" i="71" s="1"/>
  <c r="BQ21" i="71"/>
  <c r="BU21" i="71" s="1"/>
  <c r="BY21" i="71" s="1"/>
  <c r="CE21" i="71" s="1"/>
  <c r="CI21" i="71" s="1"/>
  <c r="CM21" i="71" s="1"/>
  <c r="BG44" i="71"/>
  <c r="BK44" i="71" s="1"/>
  <c r="BQ44" i="71"/>
  <c r="BU44" i="71" s="1"/>
  <c r="BY44" i="71" s="1"/>
  <c r="CE44" i="71" s="1"/>
  <c r="CI44" i="71" s="1"/>
  <c r="CM44" i="71" s="1"/>
  <c r="BG39" i="71"/>
  <c r="BK39" i="71" s="1"/>
  <c r="BQ39" i="71"/>
  <c r="BU39" i="71" s="1"/>
  <c r="BY39" i="71" s="1"/>
  <c r="CE39" i="71" s="1"/>
  <c r="CI39" i="71" s="1"/>
  <c r="CM39" i="71" s="1"/>
  <c r="BG49" i="71"/>
  <c r="BK49" i="71" s="1"/>
  <c r="BQ49" i="71"/>
  <c r="BU49" i="71" s="1"/>
  <c r="BY49" i="71" s="1"/>
  <c r="CE49" i="71" s="1"/>
  <c r="CI49" i="71" s="1"/>
  <c r="CM49" i="71" s="1"/>
  <c r="BG29" i="71"/>
  <c r="BK29" i="71" s="1"/>
  <c r="BQ29" i="71"/>
  <c r="BU29" i="71" s="1"/>
  <c r="BY29" i="71" s="1"/>
  <c r="CE29" i="71" s="1"/>
  <c r="CI29" i="71" s="1"/>
  <c r="CM29" i="71" s="1"/>
  <c r="BG8" i="71"/>
  <c r="BK8" i="71" s="1"/>
  <c r="BQ8" i="71"/>
  <c r="BU8" i="71" s="1"/>
  <c r="BY8" i="71" s="1"/>
  <c r="CE8" i="71" s="1"/>
  <c r="CI8" i="71" s="1"/>
  <c r="CM8" i="71" s="1"/>
  <c r="BG51" i="71"/>
  <c r="BK51" i="71" s="1"/>
  <c r="BQ51" i="71"/>
  <c r="BU51" i="71" s="1"/>
  <c r="BY51" i="71" s="1"/>
  <c r="CE51" i="71" s="1"/>
  <c r="CI51" i="71" s="1"/>
  <c r="CM51" i="71" s="1"/>
  <c r="BG26" i="71"/>
  <c r="BK26" i="71" s="1"/>
  <c r="BQ26" i="71"/>
  <c r="BU26" i="71" s="1"/>
  <c r="BY26" i="71" s="1"/>
  <c r="CE26" i="71" s="1"/>
  <c r="CI26" i="71" s="1"/>
  <c r="CM26" i="71" s="1"/>
  <c r="BG37" i="71"/>
  <c r="BK37" i="71" s="1"/>
  <c r="BQ37" i="71"/>
  <c r="BU37" i="71" s="1"/>
  <c r="BY37" i="71" s="1"/>
  <c r="CE37" i="71" s="1"/>
  <c r="CI37" i="71" s="1"/>
  <c r="CM37" i="71" s="1"/>
  <c r="BG9" i="71"/>
  <c r="BK9" i="71" s="1"/>
  <c r="BQ9" i="71"/>
  <c r="BU9" i="71" s="1"/>
  <c r="BY9" i="71" s="1"/>
  <c r="CE9" i="71" s="1"/>
  <c r="CI9" i="71" s="1"/>
  <c r="CM9" i="71" s="1"/>
  <c r="BG10" i="71"/>
  <c r="BK10" i="71" s="1"/>
  <c r="BQ10" i="71"/>
  <c r="BU10" i="71" s="1"/>
  <c r="BY10" i="71" s="1"/>
  <c r="CE10" i="71" s="1"/>
  <c r="CI10" i="71" s="1"/>
  <c r="CM10" i="71" s="1"/>
  <c r="BG46" i="71"/>
  <c r="BK46" i="71" s="1"/>
  <c r="BQ46" i="71"/>
  <c r="BU46" i="71" s="1"/>
  <c r="BY46" i="71" s="1"/>
  <c r="CE46" i="71" s="1"/>
  <c r="CI46" i="71" s="1"/>
  <c r="CM46" i="71" s="1"/>
  <c r="BG20" i="71"/>
  <c r="BK20" i="71" s="1"/>
  <c r="BQ20" i="71"/>
  <c r="BU20" i="71" s="1"/>
  <c r="BY20" i="71" s="1"/>
  <c r="CE20" i="71" s="1"/>
  <c r="CI20" i="71" s="1"/>
  <c r="CM20" i="71" s="1"/>
  <c r="BG54" i="71"/>
  <c r="BK54" i="71" s="1"/>
  <c r="BQ54" i="71"/>
  <c r="BU54" i="71" s="1"/>
  <c r="BY54" i="71" s="1"/>
  <c r="CE54" i="71" s="1"/>
  <c r="CI54" i="71" s="1"/>
  <c r="CM54" i="71" s="1"/>
  <c r="BG50" i="71"/>
  <c r="BK50" i="71" s="1"/>
  <c r="BQ50" i="71"/>
  <c r="BU50" i="71" s="1"/>
  <c r="BY50" i="71" s="1"/>
  <c r="CE50" i="71" s="1"/>
  <c r="CI50" i="71" s="1"/>
  <c r="CM50" i="71" s="1"/>
  <c r="BG14" i="71"/>
  <c r="BK14" i="71" s="1"/>
  <c r="BQ14" i="71"/>
  <c r="BU14" i="71" s="1"/>
  <c r="BY14" i="71" s="1"/>
  <c r="CE14" i="71" s="1"/>
  <c r="CI14" i="71" s="1"/>
  <c r="CM14" i="71" s="1"/>
  <c r="BG22" i="71"/>
  <c r="BK22" i="71" s="1"/>
  <c r="BQ22" i="71"/>
  <c r="BU22" i="71" s="1"/>
  <c r="BY22" i="71" s="1"/>
  <c r="CE22" i="71" s="1"/>
  <c r="CI22" i="71" s="1"/>
  <c r="CM22" i="71" s="1"/>
  <c r="BG16" i="71"/>
  <c r="BK16" i="71" s="1"/>
  <c r="BQ16" i="71"/>
  <c r="BU16" i="71" s="1"/>
  <c r="BY16" i="71" s="1"/>
  <c r="CE16" i="71" s="1"/>
  <c r="CI16" i="71" s="1"/>
  <c r="CM16" i="71" s="1"/>
  <c r="BG47" i="71"/>
  <c r="BK47" i="71" s="1"/>
  <c r="BQ47" i="71"/>
  <c r="BU47" i="71" s="1"/>
  <c r="BY47" i="71" s="1"/>
  <c r="CE47" i="71" s="1"/>
  <c r="CI47" i="71" s="1"/>
  <c r="CM47" i="71" s="1"/>
  <c r="BG42" i="71"/>
  <c r="BK42" i="71" s="1"/>
  <c r="BQ42" i="71"/>
  <c r="BU42" i="71" s="1"/>
  <c r="BY42" i="71" s="1"/>
  <c r="CE42" i="71" s="1"/>
  <c r="CI42" i="71" s="1"/>
  <c r="CM42" i="71" s="1"/>
  <c r="F105" i="90"/>
  <c r="G105" i="90"/>
  <c r="H105" i="90"/>
  <c r="I105" i="90"/>
  <c r="J105" i="90"/>
  <c r="K105" i="90"/>
  <c r="L105" i="90"/>
  <c r="M105" i="90"/>
  <c r="N105" i="90"/>
  <c r="O105" i="90"/>
  <c r="P105" i="90"/>
  <c r="Q105" i="90"/>
  <c r="R105" i="90"/>
  <c r="S105" i="90"/>
  <c r="T105" i="90"/>
  <c r="U105" i="90"/>
  <c r="V105" i="90"/>
  <c r="W105" i="90"/>
  <c r="X105" i="90"/>
  <c r="Y105" i="90"/>
  <c r="Z105" i="90"/>
  <c r="AA105" i="90"/>
  <c r="AB105" i="90"/>
  <c r="AC105" i="90"/>
  <c r="AD105" i="90"/>
  <c r="AE105" i="90"/>
  <c r="AJ105" i="90"/>
  <c r="AK105" i="90"/>
  <c r="AL105" i="90"/>
  <c r="AM105" i="90"/>
  <c r="AN105" i="90"/>
  <c r="AO105" i="90"/>
  <c r="AP105" i="90"/>
  <c r="AQ105" i="90"/>
  <c r="AR105" i="90"/>
  <c r="AS105" i="90"/>
  <c r="AT105" i="90"/>
  <c r="AU105" i="90"/>
  <c r="AV105" i="90"/>
  <c r="AW105" i="90"/>
  <c r="AX105" i="90"/>
  <c r="AY105" i="90"/>
  <c r="AZ105" i="90"/>
  <c r="BA105" i="90"/>
  <c r="BB105" i="90"/>
  <c r="BC105" i="90"/>
  <c r="BD105" i="90"/>
  <c r="BE105" i="90"/>
  <c r="E105" i="90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2" i="83"/>
  <c r="G33" i="83"/>
  <c r="G34" i="83"/>
  <c r="G35" i="83"/>
  <c r="G36" i="83"/>
  <c r="G37" i="83"/>
  <c r="I200" i="73" l="1"/>
  <c r="I201" i="73"/>
  <c r="M201" i="73" s="1"/>
  <c r="I202" i="73"/>
  <c r="M202" i="73" s="1"/>
  <c r="I204" i="73"/>
  <c r="I205" i="73"/>
  <c r="M205" i="73" s="1"/>
  <c r="I206" i="73"/>
  <c r="M206" i="73" s="1"/>
  <c r="I207" i="73"/>
  <c r="M207" i="73" s="1"/>
  <c r="I208" i="73"/>
  <c r="M208" i="73" s="1"/>
  <c r="I209" i="73"/>
  <c r="M209" i="73" s="1"/>
  <c r="I210" i="73"/>
  <c r="M210" i="73" s="1"/>
  <c r="I211" i="73"/>
  <c r="M211" i="73" s="1"/>
  <c r="I212" i="73"/>
  <c r="M212" i="73" s="1"/>
  <c r="I213" i="73"/>
  <c r="M213" i="73" s="1"/>
  <c r="I214" i="73"/>
  <c r="M214" i="73" s="1"/>
  <c r="I215" i="73"/>
  <c r="M215" i="73" s="1"/>
  <c r="I216" i="73"/>
  <c r="M216" i="73" s="1"/>
  <c r="I217" i="73"/>
  <c r="M217" i="73" s="1"/>
  <c r="I219" i="73"/>
  <c r="I222" i="73"/>
  <c r="M222" i="73" s="1"/>
  <c r="I223" i="73"/>
  <c r="M223" i="73" s="1"/>
  <c r="I224" i="73"/>
  <c r="M224" i="73" s="1"/>
  <c r="I225" i="73"/>
  <c r="M225" i="73" s="1"/>
  <c r="I226" i="73"/>
  <c r="M226" i="73" s="1"/>
  <c r="I227" i="73"/>
  <c r="M227" i="73" s="1"/>
  <c r="I228" i="73"/>
  <c r="M228" i="73" s="1"/>
  <c r="I230" i="73"/>
  <c r="I232" i="73"/>
  <c r="I233" i="73"/>
  <c r="M233" i="73" s="1"/>
  <c r="I234" i="73"/>
  <c r="I235" i="73"/>
  <c r="I236" i="73"/>
  <c r="I237" i="73"/>
  <c r="I199" i="73"/>
  <c r="M199" i="73" s="1"/>
  <c r="I203" i="73" l="1"/>
  <c r="Q225" i="73"/>
  <c r="U225" i="73" s="1"/>
  <c r="AA225" i="73"/>
  <c r="AE225" i="73" s="1"/>
  <c r="AI225" i="73" s="1"/>
  <c r="AO225" i="73" s="1"/>
  <c r="AS225" i="73" s="1"/>
  <c r="AW225" i="73" s="1"/>
  <c r="BE225" i="73" s="1"/>
  <c r="Q211" i="73"/>
  <c r="U211" i="73" s="1"/>
  <c r="AA211" i="73"/>
  <c r="AE211" i="73" s="1"/>
  <c r="AI211" i="73" s="1"/>
  <c r="AO211" i="73" s="1"/>
  <c r="Q222" i="73"/>
  <c r="U222" i="73" s="1"/>
  <c r="AA222" i="73"/>
  <c r="AE222" i="73" s="1"/>
  <c r="AI222" i="73" s="1"/>
  <c r="AO222" i="73" s="1"/>
  <c r="Q227" i="73"/>
  <c r="U227" i="73" s="1"/>
  <c r="AA227" i="73"/>
  <c r="AE227" i="73" s="1"/>
  <c r="AI227" i="73" s="1"/>
  <c r="AO227" i="73" s="1"/>
  <c r="AS227" i="73" s="1"/>
  <c r="AW227" i="73" s="1"/>
  <c r="BE227" i="73" s="1"/>
  <c r="Q208" i="73"/>
  <c r="U208" i="73" s="1"/>
  <c r="AA208" i="73"/>
  <c r="AE208" i="73" s="1"/>
  <c r="AI208" i="73" s="1"/>
  <c r="AO208" i="73" s="1"/>
  <c r="Q216" i="73"/>
  <c r="U216" i="73" s="1"/>
  <c r="AA216" i="73"/>
  <c r="AE216" i="73" s="1"/>
  <c r="AI216" i="73" s="1"/>
  <c r="AO216" i="73" s="1"/>
  <c r="Q212" i="73"/>
  <c r="U212" i="73" s="1"/>
  <c r="AA212" i="73"/>
  <c r="AE212" i="73" s="1"/>
  <c r="AI212" i="73" s="1"/>
  <c r="AO212" i="73" s="1"/>
  <c r="AS212" i="73" s="1"/>
  <c r="Q209" i="73"/>
  <c r="U209" i="73" s="1"/>
  <c r="AA209" i="73"/>
  <c r="AE209" i="73" s="1"/>
  <c r="AI209" i="73" s="1"/>
  <c r="AO209" i="73" s="1"/>
  <c r="Q217" i="73"/>
  <c r="U217" i="73" s="1"/>
  <c r="AA217" i="73"/>
  <c r="AE217" i="73" s="1"/>
  <c r="AI217" i="73" s="1"/>
  <c r="AO217" i="73" s="1"/>
  <c r="Q215" i="73"/>
  <c r="U215" i="73" s="1"/>
  <c r="AA215" i="73"/>
  <c r="AE215" i="73" s="1"/>
  <c r="AI215" i="73" s="1"/>
  <c r="AO215" i="73" s="1"/>
  <c r="Q226" i="73"/>
  <c r="U226" i="73" s="1"/>
  <c r="AA226" i="73"/>
  <c r="AE226" i="73" s="1"/>
  <c r="AI226" i="73" s="1"/>
  <c r="AO226" i="73" s="1"/>
  <c r="AS226" i="73" s="1"/>
  <c r="AW226" i="73" s="1"/>
  <c r="BE226" i="73" s="1"/>
  <c r="Q224" i="73"/>
  <c r="U224" i="73" s="1"/>
  <c r="AA224" i="73"/>
  <c r="AE224" i="73" s="1"/>
  <c r="AI224" i="73" s="1"/>
  <c r="AO224" i="73" s="1"/>
  <c r="Q207" i="73"/>
  <c r="U207" i="73" s="1"/>
  <c r="AA207" i="73"/>
  <c r="AE207" i="73" s="1"/>
  <c r="AI207" i="73" s="1"/>
  <c r="AO207" i="73" s="1"/>
  <c r="Q210" i="73"/>
  <c r="U210" i="73" s="1"/>
  <c r="AA210" i="73"/>
  <c r="AE210" i="73" s="1"/>
  <c r="AI210" i="73" s="1"/>
  <c r="AO210" i="73" s="1"/>
  <c r="Q223" i="73"/>
  <c r="U223" i="73" s="1"/>
  <c r="AA223" i="73"/>
  <c r="AE223" i="73" s="1"/>
  <c r="AI223" i="73" s="1"/>
  <c r="AO223" i="73" s="1"/>
  <c r="Q206" i="73"/>
  <c r="U206" i="73" s="1"/>
  <c r="AA206" i="73"/>
  <c r="AE206" i="73" s="1"/>
  <c r="AI206" i="73" s="1"/>
  <c r="AO206" i="73" s="1"/>
  <c r="AS206" i="73" s="1"/>
  <c r="AW206" i="73" s="1"/>
  <c r="BE206" i="73" s="1"/>
  <c r="Q233" i="73"/>
  <c r="U233" i="73" s="1"/>
  <c r="AA233" i="73"/>
  <c r="AE233" i="73" s="1"/>
  <c r="AI233" i="73" s="1"/>
  <c r="AO233" i="73" s="1"/>
  <c r="AS233" i="73" s="1"/>
  <c r="Q214" i="73"/>
  <c r="U214" i="73" s="1"/>
  <c r="AA214" i="73"/>
  <c r="AE214" i="73" s="1"/>
  <c r="AI214" i="73" s="1"/>
  <c r="AO214" i="73" s="1"/>
  <c r="Q228" i="73"/>
  <c r="U228" i="73" s="1"/>
  <c r="AA228" i="73"/>
  <c r="AE228" i="73" s="1"/>
  <c r="AI228" i="73" s="1"/>
  <c r="AO228" i="73" s="1"/>
  <c r="AS228" i="73" s="1"/>
  <c r="AW228" i="73" s="1"/>
  <c r="BE228" i="73" s="1"/>
  <c r="Q213" i="73"/>
  <c r="U213" i="73" s="1"/>
  <c r="AA213" i="73"/>
  <c r="AE213" i="73" s="1"/>
  <c r="AI213" i="73" s="1"/>
  <c r="AO213" i="73" s="1"/>
  <c r="AS213" i="73" s="1"/>
  <c r="AW213" i="73" s="1"/>
  <c r="BE213" i="73" s="1"/>
  <c r="Q205" i="73"/>
  <c r="U205" i="73" s="1"/>
  <c r="AA205" i="73"/>
  <c r="AE205" i="73" s="1"/>
  <c r="AI205" i="73" s="1"/>
  <c r="AO205" i="73" s="1"/>
  <c r="AS205" i="73" s="1"/>
  <c r="AW205" i="73" s="1"/>
  <c r="BE205" i="73" s="1"/>
  <c r="Q201" i="73"/>
  <c r="U201" i="73" s="1"/>
  <c r="AA201" i="73"/>
  <c r="AE201" i="73" s="1"/>
  <c r="AI201" i="73" s="1"/>
  <c r="AO201" i="73" s="1"/>
  <c r="AS201" i="73" s="1"/>
  <c r="AW201" i="73" s="1"/>
  <c r="BE201" i="73" s="1"/>
  <c r="Q199" i="73"/>
  <c r="U199" i="73" s="1"/>
  <c r="AA199" i="73"/>
  <c r="AE199" i="73" s="1"/>
  <c r="AI199" i="73" s="1"/>
  <c r="AO199" i="73" s="1"/>
  <c r="AS199" i="73" s="1"/>
  <c r="AW199" i="73" s="1"/>
  <c r="BE199" i="73" s="1"/>
  <c r="Q202" i="73"/>
  <c r="U202" i="73" s="1"/>
  <c r="AA202" i="73"/>
  <c r="AE202" i="73" s="1"/>
  <c r="AI202" i="73" s="1"/>
  <c r="AO202" i="73" s="1"/>
  <c r="AS202" i="73" s="1"/>
  <c r="AW202" i="73" s="1"/>
  <c r="BE202" i="73" s="1"/>
  <c r="M200" i="73"/>
  <c r="AA200" i="73" s="1"/>
  <c r="AE200" i="73" s="1"/>
  <c r="AI200" i="73" s="1"/>
  <c r="AO200" i="73" s="1"/>
  <c r="AS200" i="73" s="1"/>
  <c r="AW200" i="73" s="1"/>
  <c r="BE200" i="73" s="1"/>
  <c r="I198" i="73"/>
  <c r="M219" i="73"/>
  <c r="AA219" i="73" s="1"/>
  <c r="AE219" i="73" s="1"/>
  <c r="AI219" i="73" s="1"/>
  <c r="AO219" i="73" s="1"/>
  <c r="AS219" i="73" s="1"/>
  <c r="I218" i="73"/>
  <c r="M230" i="73"/>
  <c r="AA230" i="73" s="1"/>
  <c r="AE230" i="73" s="1"/>
  <c r="AI230" i="73" s="1"/>
  <c r="AO230" i="73" s="1"/>
  <c r="AS230" i="73" s="1"/>
  <c r="I229" i="73"/>
  <c r="M232" i="73"/>
  <c r="AA232" i="73" s="1"/>
  <c r="AE232" i="73" s="1"/>
  <c r="AI232" i="73" s="1"/>
  <c r="AO232" i="73" s="1"/>
  <c r="I231" i="73"/>
  <c r="M204" i="73"/>
  <c r="H103" i="9"/>
  <c r="H188" i="6"/>
  <c r="H163" i="6"/>
  <c r="AW219" i="73" l="1"/>
  <c r="AS218" i="73"/>
  <c r="AW233" i="73"/>
  <c r="BE233" i="73" s="1"/>
  <c r="AS231" i="73"/>
  <c r="AW198" i="73"/>
  <c r="BE198" i="73" s="1"/>
  <c r="AW230" i="73"/>
  <c r="BE230" i="73" s="1"/>
  <c r="AS229" i="73"/>
  <c r="AW91" i="77"/>
  <c r="AW212" i="73"/>
  <c r="BE212" i="73" s="1"/>
  <c r="AS209" i="73"/>
  <c r="AS198" i="73"/>
  <c r="AA204" i="73"/>
  <c r="M203" i="73"/>
  <c r="Q204" i="73"/>
  <c r="Q203" i="73" s="1"/>
  <c r="Q200" i="73"/>
  <c r="M198" i="73"/>
  <c r="AA198" i="73" s="1"/>
  <c r="AE198" i="73" s="1"/>
  <c r="AI198" i="73" s="1"/>
  <c r="AO198" i="73" s="1"/>
  <c r="Q219" i="73"/>
  <c r="M218" i="73"/>
  <c r="AA218" i="73" s="1"/>
  <c r="AE218" i="73" s="1"/>
  <c r="AI218" i="73" s="1"/>
  <c r="AO218" i="73" s="1"/>
  <c r="Q230" i="73"/>
  <c r="M229" i="73"/>
  <c r="AA229" i="73" s="1"/>
  <c r="AE229" i="73" s="1"/>
  <c r="AI229" i="73" s="1"/>
  <c r="AO229" i="73" s="1"/>
  <c r="Q232" i="73"/>
  <c r="M231" i="73"/>
  <c r="AA231" i="73" s="1"/>
  <c r="AE231" i="73" s="1"/>
  <c r="AI231" i="73" s="1"/>
  <c r="AO231" i="73" s="1"/>
  <c r="K61" i="50"/>
  <c r="BE219" i="73" l="1"/>
  <c r="AW218" i="73"/>
  <c r="BE218" i="73" s="1"/>
  <c r="AW209" i="73"/>
  <c r="BE209" i="73" s="1"/>
  <c r="AW229" i="73"/>
  <c r="BE229" i="73" s="1"/>
  <c r="AW231" i="73"/>
  <c r="BE231" i="73" s="1"/>
  <c r="AE204" i="73"/>
  <c r="AA203" i="73"/>
  <c r="U204" i="73"/>
  <c r="U203" i="73" s="1"/>
  <c r="U200" i="73"/>
  <c r="U198" i="73" s="1"/>
  <c r="Q198" i="73"/>
  <c r="Q231" i="73"/>
  <c r="U231" i="73" s="1"/>
  <c r="U232" i="73"/>
  <c r="U230" i="73"/>
  <c r="Q229" i="73"/>
  <c r="U229" i="73" s="1"/>
  <c r="U219" i="73"/>
  <c r="Q218" i="73"/>
  <c r="U218" i="73" s="1"/>
  <c r="AI204" i="73" l="1"/>
  <c r="AE203" i="73"/>
  <c r="G114" i="26"/>
  <c r="F112" i="26"/>
  <c r="F110" i="26"/>
  <c r="F108" i="26"/>
  <c r="F106" i="26"/>
  <c r="F104" i="26"/>
  <c r="F102" i="26"/>
  <c r="F100" i="26"/>
  <c r="F98" i="26"/>
  <c r="G94" i="26"/>
  <c r="F91" i="26"/>
  <c r="F89" i="26"/>
  <c r="F87" i="26"/>
  <c r="F85" i="26"/>
  <c r="G83" i="26"/>
  <c r="G82" i="26"/>
  <c r="F80" i="26"/>
  <c r="F78" i="26"/>
  <c r="G75" i="26"/>
  <c r="F73" i="26"/>
  <c r="F71" i="26"/>
  <c r="F69" i="26"/>
  <c r="F67" i="26"/>
  <c r="F65" i="26"/>
  <c r="F63" i="26"/>
  <c r="F61" i="26"/>
  <c r="F59" i="26"/>
  <c r="F54" i="26"/>
  <c r="F52" i="26"/>
  <c r="G50" i="26"/>
  <c r="F48" i="26"/>
  <c r="G45" i="26"/>
  <c r="F43" i="26"/>
  <c r="F41" i="26"/>
  <c r="F39" i="26"/>
  <c r="F37" i="26"/>
  <c r="F35" i="26"/>
  <c r="F33" i="26"/>
  <c r="F31" i="26"/>
  <c r="F29" i="26"/>
  <c r="F27" i="26"/>
  <c r="F25" i="26"/>
  <c r="F23" i="26"/>
  <c r="F21" i="26"/>
  <c r="F17" i="26"/>
  <c r="F15" i="26"/>
  <c r="G12" i="26"/>
  <c r="F11" i="26"/>
  <c r="F9" i="26"/>
  <c r="F117" i="17"/>
  <c r="F115" i="17"/>
  <c r="G87" i="17"/>
  <c r="G86" i="17"/>
  <c r="G85" i="17"/>
  <c r="G84" i="17"/>
  <c r="G83" i="17"/>
  <c r="F83" i="17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G26" i="17"/>
  <c r="G22" i="17"/>
  <c r="G16" i="17" s="1"/>
  <c r="G34" i="17" s="1"/>
  <c r="F21" i="17"/>
  <c r="F19" i="17"/>
  <c r="F18" i="17"/>
  <c r="F16" i="17"/>
  <c r="F30" i="17" s="1"/>
  <c r="F15" i="17"/>
  <c r="G14" i="17"/>
  <c r="G12" i="17"/>
  <c r="G9" i="17"/>
  <c r="G11" i="17" s="1"/>
  <c r="F9" i="17"/>
  <c r="F11" i="17" s="1"/>
  <c r="F122" i="17" l="1"/>
  <c r="F87" i="17"/>
  <c r="G57" i="26"/>
  <c r="F84" i="17"/>
  <c r="F86" i="17"/>
  <c r="F85" i="17"/>
  <c r="F50" i="26"/>
  <c r="F26" i="17"/>
  <c r="G19" i="26"/>
  <c r="G122" i="17"/>
  <c r="AI203" i="73"/>
  <c r="AO204" i="73"/>
  <c r="G13" i="17"/>
  <c r="G117" i="17" s="1"/>
  <c r="F22" i="17"/>
  <c r="F32" i="17" s="1"/>
  <c r="F114" i="26"/>
  <c r="F82" i="26"/>
  <c r="F94" i="26"/>
  <c r="F83" i="26"/>
  <c r="F75" i="26"/>
  <c r="F45" i="26"/>
  <c r="F12" i="26"/>
  <c r="G13" i="26"/>
  <c r="G18" i="26"/>
  <c r="G56" i="26"/>
  <c r="G51" i="26"/>
  <c r="F50" i="17"/>
  <c r="F114" i="17" s="1"/>
  <c r="G62" i="17"/>
  <c r="G33" i="17"/>
  <c r="F119" i="17"/>
  <c r="G54" i="17"/>
  <c r="G114" i="17"/>
  <c r="G51" i="17"/>
  <c r="G55" i="17" s="1"/>
  <c r="F62" i="17"/>
  <c r="F60" i="17"/>
  <c r="G32" i="17"/>
  <c r="G30" i="17"/>
  <c r="F116" i="17"/>
  <c r="G116" i="17"/>
  <c r="G31" i="17"/>
  <c r="G45" i="17"/>
  <c r="G37" i="27"/>
  <c r="G35" i="27"/>
  <c r="G28" i="27"/>
  <c r="G29" i="27"/>
  <c r="G27" i="27"/>
  <c r="G26" i="27"/>
  <c r="G20" i="27"/>
  <c r="G19" i="27"/>
  <c r="G18" i="27"/>
  <c r="F31" i="17" l="1"/>
  <c r="F56" i="26"/>
  <c r="F19" i="26"/>
  <c r="F51" i="26"/>
  <c r="F57" i="26"/>
  <c r="F33" i="17"/>
  <c r="F34" i="17"/>
  <c r="AO203" i="73"/>
  <c r="AS204" i="73"/>
  <c r="G15" i="17"/>
  <c r="G118" i="17"/>
  <c r="F13" i="26"/>
  <c r="F18" i="26"/>
  <c r="F54" i="17"/>
  <c r="F118" i="17"/>
  <c r="G115" i="17"/>
  <c r="G119" i="17" s="1"/>
  <c r="F39" i="27"/>
  <c r="G36" i="27"/>
  <c r="G39" i="27" s="1"/>
  <c r="F28" i="27"/>
  <c r="F27" i="27"/>
  <c r="G33" i="27"/>
  <c r="G22" i="27"/>
  <c r="G21" i="27"/>
  <c r="F18" i="27"/>
  <c r="F24" i="27" s="1"/>
  <c r="F33" i="27" l="1"/>
  <c r="AW204" i="73"/>
  <c r="BE204" i="73" s="1"/>
  <c r="AS203" i="73"/>
  <c r="G24" i="27"/>
  <c r="H28" i="22"/>
  <c r="H24" i="22"/>
  <c r="H23" i="22"/>
  <c r="H14" i="22"/>
  <c r="H10" i="22"/>
  <c r="H9" i="22"/>
  <c r="I34" i="15"/>
  <c r="G31" i="15"/>
  <c r="G30" i="15"/>
  <c r="G29" i="15"/>
  <c r="G25" i="15"/>
  <c r="G24" i="15"/>
  <c r="G23" i="15"/>
  <c r="G22" i="15"/>
  <c r="G21" i="15"/>
  <c r="F19" i="15"/>
  <c r="G18" i="15"/>
  <c r="G15" i="15"/>
  <c r="F12" i="15"/>
  <c r="F13" i="15" s="1"/>
  <c r="G10" i="15"/>
  <c r="G9" i="15"/>
  <c r="F9" i="15"/>
  <c r="G8" i="15"/>
  <c r="F8" i="15"/>
  <c r="G7" i="15"/>
  <c r="G6" i="15"/>
  <c r="G5" i="15"/>
  <c r="AW203" i="73" l="1"/>
  <c r="BE203" i="73" s="1"/>
  <c r="H12" i="22"/>
  <c r="H26" i="22"/>
  <c r="G32" i="15"/>
  <c r="G36" i="15" s="1"/>
  <c r="G16" i="15" s="1"/>
  <c r="G17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K68" i="38"/>
  <c r="L64" i="38"/>
  <c r="L63" i="38"/>
  <c r="K62" i="38"/>
  <c r="L61" i="38"/>
  <c r="L60" i="38"/>
  <c r="L59" i="38"/>
  <c r="L58" i="38"/>
  <c r="L57" i="38"/>
  <c r="L56" i="38"/>
  <c r="K55" i="38"/>
  <c r="K53" i="38"/>
  <c r="L52" i="38"/>
  <c r="K52" i="38"/>
  <c r="K47" i="38"/>
  <c r="K46" i="38"/>
  <c r="K45" i="38"/>
  <c r="K44" i="38"/>
  <c r="L43" i="38"/>
  <c r="K42" i="38"/>
  <c r="K41" i="38" s="1"/>
  <c r="L41" i="38"/>
  <c r="K39" i="38"/>
  <c r="K38" i="38"/>
  <c r="K37" i="38"/>
  <c r="K36" i="38"/>
  <c r="L35" i="38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K15" i="38"/>
  <c r="K14" i="38"/>
  <c r="L13" i="38"/>
  <c r="K12" i="38"/>
  <c r="K11" i="38"/>
  <c r="K10" i="38"/>
  <c r="K9" i="38"/>
  <c r="K8" i="38"/>
  <c r="K7" i="38"/>
  <c r="L6" i="38"/>
  <c r="G128" i="73"/>
  <c r="F128" i="73"/>
  <c r="E128" i="73"/>
  <c r="I129" i="73"/>
  <c r="I89" i="73"/>
  <c r="I90" i="73"/>
  <c r="I59" i="73"/>
  <c r="I60" i="73"/>
  <c r="I61" i="73"/>
  <c r="I62" i="73"/>
  <c r="I63" i="73"/>
  <c r="I64" i="73"/>
  <c r="I65" i="73"/>
  <c r="I66" i="73"/>
  <c r="I67" i="73"/>
  <c r="I68" i="73"/>
  <c r="I69" i="73"/>
  <c r="I71" i="73"/>
  <c r="I75" i="73"/>
  <c r="I76" i="73"/>
  <c r="I77" i="73"/>
  <c r="I78" i="73"/>
  <c r="I79" i="73"/>
  <c r="I80" i="73"/>
  <c r="I81" i="73"/>
  <c r="I83" i="73"/>
  <c r="I84" i="73"/>
  <c r="L92" i="38" l="1"/>
  <c r="L90" i="38"/>
  <c r="L84" i="38"/>
  <c r="L68" i="38"/>
  <c r="L62" i="38"/>
  <c r="K13" i="38"/>
  <c r="K65" i="38"/>
  <c r="I128" i="73"/>
  <c r="K67" i="38"/>
  <c r="L18" i="38"/>
  <c r="L16" i="38"/>
  <c r="K89" i="38"/>
  <c r="K66" i="38" s="1"/>
  <c r="K43" i="38"/>
  <c r="K40" i="38" s="1"/>
  <c r="K35" i="38"/>
  <c r="K19" i="38"/>
  <c r="K6" i="38"/>
  <c r="L55" i="38"/>
  <c r="L40" i="38"/>
  <c r="K98" i="38" l="1"/>
  <c r="K16" i="38"/>
  <c r="L67" i="38"/>
  <c r="L65" i="38"/>
  <c r="K18" i="38"/>
  <c r="K17" i="38"/>
  <c r="K49" i="38" s="1"/>
  <c r="L17" i="38"/>
  <c r="L89" i="38"/>
  <c r="I19" i="39"/>
  <c r="I20" i="39"/>
  <c r="I21" i="39"/>
  <c r="I59" i="39"/>
  <c r="L66" i="38" l="1"/>
  <c r="L98" i="38" s="1"/>
  <c r="L49" i="38"/>
  <c r="G32" i="72"/>
  <c r="G35" i="72"/>
  <c r="G30" i="72"/>
  <c r="J151" i="10" l="1"/>
  <c r="J152" i="10"/>
  <c r="J153" i="10"/>
  <c r="J86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3" i="10"/>
  <c r="J26" i="10"/>
  <c r="J27" i="10"/>
  <c r="J28" i="10"/>
  <c r="J29" i="10"/>
  <c r="J30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7" i="10"/>
  <c r="J58" i="10"/>
  <c r="J59" i="10"/>
  <c r="J61" i="10"/>
  <c r="J62" i="10"/>
  <c r="J63" i="10"/>
  <c r="J64" i="10"/>
  <c r="J65" i="10"/>
  <c r="J66" i="10"/>
  <c r="J68" i="10"/>
  <c r="J69" i="10"/>
  <c r="J70" i="10"/>
  <c r="J71" i="10"/>
  <c r="J72" i="10"/>
  <c r="J73" i="10"/>
  <c r="J74" i="10"/>
  <c r="J75" i="10"/>
  <c r="J77" i="10"/>
  <c r="J78" i="10"/>
  <c r="J79" i="10"/>
  <c r="J80" i="10"/>
  <c r="J81" i="10"/>
  <c r="J82" i="10"/>
  <c r="J83" i="10"/>
  <c r="J84" i="10"/>
  <c r="J85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8" i="10"/>
  <c r="J109" i="10"/>
  <c r="J110" i="10"/>
  <c r="J111" i="10"/>
  <c r="J112" i="10"/>
  <c r="J115" i="10"/>
  <c r="J116" i="10"/>
  <c r="J117" i="10"/>
  <c r="J119" i="10"/>
  <c r="J120" i="10"/>
  <c r="J121" i="10"/>
  <c r="J122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9" i="7"/>
  <c r="J49" i="7"/>
  <c r="I17" i="7"/>
  <c r="J17" i="7"/>
  <c r="H3" i="8" l="1"/>
  <c r="I157" i="45" l="1"/>
  <c r="I156" i="45"/>
  <c r="I154" i="45"/>
  <c r="I148" i="45"/>
  <c r="I155" i="45" s="1"/>
  <c r="I143" i="45"/>
  <c r="H143" i="45"/>
  <c r="I142" i="45"/>
  <c r="H142" i="45"/>
  <c r="I141" i="45"/>
  <c r="H141" i="45"/>
  <c r="I140" i="45"/>
  <c r="H140" i="45"/>
  <c r="I138" i="45"/>
  <c r="H138" i="45"/>
  <c r="I136" i="45"/>
  <c r="H136" i="45"/>
  <c r="I134" i="45"/>
  <c r="H134" i="45"/>
  <c r="I131" i="45"/>
  <c r="I132" i="45" s="1"/>
  <c r="H131" i="45"/>
  <c r="H132" i="45" s="1"/>
  <c r="I129" i="45"/>
  <c r="I126" i="45" s="1"/>
  <c r="I122" i="45"/>
  <c r="I159" i="45" s="1"/>
  <c r="I121" i="45"/>
  <c r="I144" i="45" s="1"/>
  <c r="H121" i="45"/>
  <c r="H144" i="45" s="1"/>
  <c r="I120" i="45"/>
  <c r="I158" i="45" s="1"/>
  <c r="I160" i="45" l="1"/>
  <c r="I139" i="45"/>
  <c r="H123" i="45"/>
  <c r="H120" i="45"/>
  <c r="H139" i="45"/>
  <c r="H124" i="45"/>
  <c r="I124" i="45"/>
  <c r="I125" i="45" s="1"/>
  <c r="I123" i="45"/>
  <c r="I149" i="45"/>
  <c r="I150" i="45"/>
  <c r="H91" i="11"/>
  <c r="H89" i="11"/>
  <c r="H83" i="11"/>
  <c r="H78" i="11"/>
  <c r="G78" i="11"/>
  <c r="H77" i="11"/>
  <c r="G77" i="11"/>
  <c r="H76" i="11"/>
  <c r="G76" i="11"/>
  <c r="H75" i="11"/>
  <c r="G75" i="11"/>
  <c r="H73" i="11"/>
  <c r="G73" i="11"/>
  <c r="H71" i="11"/>
  <c r="G71" i="11"/>
  <c r="H69" i="11"/>
  <c r="G69" i="11"/>
  <c r="H66" i="11"/>
  <c r="G66" i="11"/>
  <c r="H64" i="11"/>
  <c r="H59" i="11"/>
  <c r="H57" i="11"/>
  <c r="H56" i="11"/>
  <c r="G56" i="11"/>
  <c r="G79" i="11" s="1"/>
  <c r="H55" i="11"/>
  <c r="H190" i="10"/>
  <c r="H188" i="10"/>
  <c r="H182" i="10"/>
  <c r="H183" i="10" s="1"/>
  <c r="H177" i="10"/>
  <c r="G177" i="10"/>
  <c r="H176" i="10"/>
  <c r="G176" i="10"/>
  <c r="H175" i="10"/>
  <c r="G175" i="10"/>
  <c r="H174" i="10"/>
  <c r="G174" i="10"/>
  <c r="H172" i="10"/>
  <c r="G172" i="10"/>
  <c r="H170" i="10"/>
  <c r="G170" i="10"/>
  <c r="H168" i="10"/>
  <c r="G168" i="10"/>
  <c r="H165" i="10"/>
  <c r="H166" i="10" s="1"/>
  <c r="G165" i="10"/>
  <c r="G166" i="10" s="1"/>
  <c r="H160" i="10"/>
  <c r="H159" i="10"/>
  <c r="G159" i="10"/>
  <c r="H158" i="10"/>
  <c r="H210" i="10" s="1"/>
  <c r="H184" i="10" l="1"/>
  <c r="H92" i="11"/>
  <c r="H61" i="11"/>
  <c r="H79" i="11"/>
  <c r="G67" i="11"/>
  <c r="H84" i="11"/>
  <c r="H85" i="11"/>
  <c r="H67" i="11"/>
  <c r="H196" i="10"/>
  <c r="G178" i="10"/>
  <c r="G203" i="10"/>
  <c r="H200" i="10"/>
  <c r="G58" i="11"/>
  <c r="G173" i="10"/>
  <c r="G55" i="11"/>
  <c r="G97" i="11"/>
  <c r="G158" i="10"/>
  <c r="G210" i="10" s="1"/>
  <c r="H74" i="11"/>
  <c r="G74" i="11"/>
  <c r="H173" i="10"/>
  <c r="G161" i="10"/>
  <c r="H90" i="11"/>
  <c r="H60" i="11"/>
  <c r="H58" i="11"/>
  <c r="H93" i="11"/>
  <c r="H189" i="10"/>
  <c r="H191" i="10"/>
  <c r="H192" i="10"/>
  <c r="H178" i="10"/>
  <c r="H161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G47" i="9"/>
  <c r="H46" i="9"/>
  <c r="H36" i="9"/>
  <c r="H48" i="9" s="1"/>
  <c r="H35" i="9"/>
  <c r="H47" i="9" s="1"/>
  <c r="H34" i="9"/>
  <c r="H31" i="9"/>
  <c r="H25" i="9"/>
  <c r="G24" i="9"/>
  <c r="G22" i="9"/>
  <c r="H19" i="9"/>
  <c r="H10" i="9"/>
  <c r="H5" i="9"/>
  <c r="J11" i="8"/>
  <c r="H109" i="8"/>
  <c r="H111" i="8" s="1"/>
  <c r="H94" i="8"/>
  <c r="H91" i="8"/>
  <c r="G91" i="8"/>
  <c r="H89" i="8"/>
  <c r="G89" i="8"/>
  <c r="H88" i="8"/>
  <c r="G88" i="8"/>
  <c r="G87" i="8"/>
  <c r="G82" i="8"/>
  <c r="H80" i="8"/>
  <c r="H76" i="8"/>
  <c r="G75" i="8"/>
  <c r="G74" i="8"/>
  <c r="G73" i="8"/>
  <c r="G72" i="8"/>
  <c r="G71" i="8"/>
  <c r="H68" i="8"/>
  <c r="H66" i="8"/>
  <c r="H64" i="8"/>
  <c r="H61" i="8"/>
  <c r="H58" i="8"/>
  <c r="H59" i="8" s="1"/>
  <c r="G52" i="8"/>
  <c r="H49" i="8"/>
  <c r="G49" i="8"/>
  <c r="G46" i="8"/>
  <c r="G45" i="8"/>
  <c r="G44" i="8"/>
  <c r="G43" i="8"/>
  <c r="G41" i="8"/>
  <c r="G40" i="8"/>
  <c r="G39" i="8"/>
  <c r="H26" i="8"/>
  <c r="H17" i="8"/>
  <c r="G17" i="8"/>
  <c r="G15" i="8"/>
  <c r="G14" i="8"/>
  <c r="H13" i="8"/>
  <c r="G13" i="8"/>
  <c r="H6" i="8"/>
  <c r="G6" i="8"/>
  <c r="H65" i="8" l="1"/>
  <c r="H72" i="8" s="1"/>
  <c r="H67" i="8"/>
  <c r="H69" i="8"/>
  <c r="H86" i="8"/>
  <c r="H94" i="11"/>
  <c r="G50" i="8"/>
  <c r="G51" i="8" s="1"/>
  <c r="G42" i="8"/>
  <c r="H37" i="9"/>
  <c r="G27" i="8"/>
  <c r="G29" i="8"/>
  <c r="G85" i="8"/>
  <c r="G92" i="8"/>
  <c r="G31" i="8"/>
  <c r="G16" i="8"/>
  <c r="G24" i="8"/>
  <c r="H14" i="9"/>
  <c r="H89" i="9"/>
  <c r="G132" i="26"/>
  <c r="H33" i="22"/>
  <c r="G25" i="9"/>
  <c r="G88" i="9" s="1"/>
  <c r="H193" i="10"/>
  <c r="H49" i="9"/>
  <c r="H76" i="9" s="1"/>
  <c r="H94" i="9"/>
  <c r="G19" i="15" s="1"/>
  <c r="H90" i="9"/>
  <c r="H96" i="9"/>
  <c r="H100" i="9"/>
  <c r="H74" i="8"/>
  <c r="H16" i="8"/>
  <c r="H92" i="8"/>
  <c r="H62" i="9"/>
  <c r="H110" i="8"/>
  <c r="H52" i="8" s="1"/>
  <c r="H121" i="8" s="1"/>
  <c r="H63" i="8"/>
  <c r="H44" i="8"/>
  <c r="H137" i="8" s="1"/>
  <c r="H47" i="8"/>
  <c r="H62" i="8"/>
  <c r="G23" i="8"/>
  <c r="G28" i="8"/>
  <c r="H39" i="8"/>
  <c r="H45" i="8"/>
  <c r="G25" i="8"/>
  <c r="G30" i="8"/>
  <c r="H40" i="8"/>
  <c r="H43" i="8"/>
  <c r="H136" i="8" s="1"/>
  <c r="H46" i="8"/>
  <c r="H138" i="8" s="1"/>
  <c r="H50" i="8"/>
  <c r="H51" i="8" s="1"/>
  <c r="H82" i="8"/>
  <c r="H41" i="8"/>
  <c r="H34" i="8" l="1"/>
  <c r="H36" i="8"/>
  <c r="G59" i="8"/>
  <c r="H73" i="8"/>
  <c r="H35" i="8"/>
  <c r="H37" i="8"/>
  <c r="H139" i="8"/>
  <c r="H78" i="8"/>
  <c r="G6" i="26"/>
  <c r="H91" i="9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H112" i="8"/>
  <c r="H53" i="8" s="1"/>
  <c r="H123" i="8" s="1"/>
  <c r="H124" i="8" s="1"/>
  <c r="G67" i="8"/>
  <c r="G69" i="8"/>
  <c r="G65" i="8"/>
  <c r="G26" i="8"/>
  <c r="G109" i="8"/>
  <c r="G110" i="8" s="1"/>
  <c r="H70" i="8"/>
  <c r="H71" i="8"/>
  <c r="G34" i="8" l="1"/>
  <c r="G63" i="8"/>
  <c r="G36" i="8"/>
  <c r="G37" i="8"/>
  <c r="H122" i="8"/>
  <c r="H126" i="8" s="1"/>
  <c r="H127" i="8" s="1"/>
  <c r="H74" i="9"/>
  <c r="H79" i="9" s="1"/>
  <c r="G111" i="8"/>
  <c r="G112" i="8" s="1"/>
  <c r="G35" i="8" l="1"/>
  <c r="H131" i="8"/>
  <c r="H144" i="8" s="1"/>
  <c r="H130" i="8"/>
  <c r="H132" i="8"/>
  <c r="H145" i="8" s="1"/>
  <c r="G113" i="7"/>
  <c r="G112" i="7"/>
  <c r="G111" i="7"/>
  <c r="G110" i="7"/>
  <c r="G109" i="7"/>
  <c r="G108" i="7"/>
  <c r="G107" i="7"/>
  <c r="G106" i="7"/>
  <c r="G85" i="7"/>
  <c r="H84" i="7"/>
  <c r="G84" i="7"/>
  <c r="H82" i="7"/>
  <c r="G82" i="7"/>
  <c r="H75" i="7"/>
  <c r="G75" i="7"/>
  <c r="H71" i="7"/>
  <c r="H73" i="7" s="1"/>
  <c r="G71" i="7"/>
  <c r="G73" i="7" s="1"/>
  <c r="H67" i="7"/>
  <c r="H60" i="7" s="1"/>
  <c r="G67" i="7"/>
  <c r="G57" i="7" s="1"/>
  <c r="G33" i="7"/>
  <c r="G99" i="7" s="1"/>
  <c r="H21" i="7"/>
  <c r="H41" i="7" s="1"/>
  <c r="H51" i="7" s="1"/>
  <c r="G21" i="7"/>
  <c r="G41" i="7" s="1"/>
  <c r="G51" i="7" s="1"/>
  <c r="I62" i="39"/>
  <c r="G61" i="39"/>
  <c r="G60" i="39"/>
  <c r="G48" i="39"/>
  <c r="G47" i="39"/>
  <c r="G46" i="39"/>
  <c r="G43" i="39"/>
  <c r="G42" i="39"/>
  <c r="G8" i="39"/>
  <c r="G22" i="39" l="1"/>
  <c r="G54" i="7"/>
  <c r="G27" i="7"/>
  <c r="G91" i="7" s="1"/>
  <c r="G29" i="7"/>
  <c r="G93" i="7" s="1"/>
  <c r="G30" i="7"/>
  <c r="G94" i="7" s="1"/>
  <c r="H133" i="8"/>
  <c r="H146" i="8" s="1"/>
  <c r="H143" i="8"/>
  <c r="G23" i="7"/>
  <c r="G87" i="7" s="1"/>
  <c r="G24" i="7"/>
  <c r="G25" i="7"/>
  <c r="G26" i="7"/>
  <c r="G101" i="7" s="1"/>
  <c r="H37" i="7"/>
  <c r="H103" i="7" s="1"/>
  <c r="H57" i="7"/>
  <c r="H30" i="7"/>
  <c r="H94" i="7" s="1"/>
  <c r="G81" i="7"/>
  <c r="G34" i="7"/>
  <c r="G97" i="7" s="1"/>
  <c r="H76" i="7"/>
  <c r="H24" i="7"/>
  <c r="H58" i="7"/>
  <c r="H25" i="7"/>
  <c r="H55" i="7"/>
  <c r="H78" i="7"/>
  <c r="H34" i="7"/>
  <c r="H97" i="7" s="1"/>
  <c r="H29" i="7"/>
  <c r="H93" i="7" s="1"/>
  <c r="H33" i="7"/>
  <c r="H99" i="7" s="1"/>
  <c r="H56" i="7"/>
  <c r="H96" i="7" s="1"/>
  <c r="H61" i="7"/>
  <c r="H102" i="7" s="1"/>
  <c r="H27" i="7"/>
  <c r="H91" i="7" s="1"/>
  <c r="H31" i="7"/>
  <c r="H95" i="7" s="1"/>
  <c r="H23" i="7"/>
  <c r="H87" i="7" s="1"/>
  <c r="H26" i="7"/>
  <c r="H36" i="7"/>
  <c r="H90" i="7" s="1"/>
  <c r="H62" i="7"/>
  <c r="H28" i="7"/>
  <c r="H92" i="7" s="1"/>
  <c r="H32" i="7"/>
  <c r="H98" i="7" s="1"/>
  <c r="H54" i="7"/>
  <c r="H59" i="7"/>
  <c r="G60" i="7"/>
  <c r="G28" i="7"/>
  <c r="G92" i="7" s="1"/>
  <c r="G36" i="7"/>
  <c r="G90" i="7" s="1"/>
  <c r="G58" i="7"/>
  <c r="G68" i="7"/>
  <c r="G31" i="7"/>
  <c r="G95" i="7" s="1"/>
  <c r="G55" i="7"/>
  <c r="G61" i="7"/>
  <c r="G102" i="7" s="1"/>
  <c r="G78" i="7"/>
  <c r="G32" i="7"/>
  <c r="G98" i="7" s="1"/>
  <c r="G37" i="7"/>
  <c r="G103" i="7" s="1"/>
  <c r="G56" i="7"/>
  <c r="G96" i="7" s="1"/>
  <c r="G59" i="7"/>
  <c r="G62" i="7"/>
  <c r="G83" i="7"/>
  <c r="G76" i="7"/>
  <c r="H83" i="7"/>
  <c r="G23" i="39"/>
  <c r="G50" i="39"/>
  <c r="G45" i="39"/>
  <c r="H81" i="7"/>
  <c r="G49" i="39"/>
  <c r="H69" i="7"/>
  <c r="I112" i="6"/>
  <c r="J112" i="6"/>
  <c r="I94" i="6"/>
  <c r="J94" i="6"/>
  <c r="I95" i="6"/>
  <c r="J95" i="6"/>
  <c r="G88" i="7" l="1"/>
  <c r="G24" i="39"/>
  <c r="H101" i="7"/>
  <c r="G89" i="7"/>
  <c r="H88" i="7"/>
  <c r="G104" i="7"/>
  <c r="H89" i="7"/>
  <c r="H38" i="7"/>
  <c r="H53" i="7" s="1"/>
  <c r="G51" i="39"/>
  <c r="G38" i="7"/>
  <c r="G53" i="7" s="1"/>
  <c r="G63" i="7" s="1"/>
  <c r="H223" i="6"/>
  <c r="G223" i="6"/>
  <c r="H222" i="6"/>
  <c r="G222" i="6"/>
  <c r="G199" i="6"/>
  <c r="H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H45" i="6"/>
  <c r="G41" i="6"/>
  <c r="H34" i="6"/>
  <c r="H33" i="6"/>
  <c r="H32" i="6"/>
  <c r="H29" i="6"/>
  <c r="H26" i="6"/>
  <c r="H23" i="6"/>
  <c r="G18" i="6"/>
  <c r="G17" i="6"/>
  <c r="G16" i="6"/>
  <c r="G15" i="6"/>
  <c r="H9" i="6"/>
  <c r="H8" i="6"/>
  <c r="G7" i="6"/>
  <c r="H104" i="7" l="1"/>
  <c r="G30" i="6"/>
  <c r="G34" i="39"/>
  <c r="G188" i="6"/>
  <c r="G22" i="6"/>
  <c r="H138" i="6"/>
  <c r="G77" i="7"/>
  <c r="H63" i="7"/>
  <c r="H77" i="7"/>
  <c r="G121" i="6"/>
  <c r="G133" i="6"/>
  <c r="H103" i="6"/>
  <c r="G138" i="6"/>
  <c r="H57" i="6"/>
  <c r="H35" i="6"/>
  <c r="G31" i="6"/>
  <c r="G27" i="6"/>
  <c r="G168" i="6"/>
  <c r="G163" i="6"/>
  <c r="G24" i="6"/>
  <c r="H133" i="6"/>
  <c r="G28" i="6"/>
  <c r="H121" i="6"/>
  <c r="G25" i="6"/>
  <c r="G21" i="6"/>
  <c r="G103" i="6"/>
  <c r="G194" i="6"/>
  <c r="G19" i="6"/>
  <c r="H5" i="77"/>
  <c r="H6" i="77"/>
  <c r="H8" i="77"/>
  <c r="H9" i="77"/>
  <c r="H10" i="77"/>
  <c r="H11" i="77"/>
  <c r="H12" i="77"/>
  <c r="H14" i="77"/>
  <c r="H15" i="77"/>
  <c r="H16" i="77"/>
  <c r="H17" i="77"/>
  <c r="H19" i="77"/>
  <c r="H20" i="77"/>
  <c r="H22" i="77"/>
  <c r="H23" i="77"/>
  <c r="H24" i="77"/>
  <c r="H25" i="77"/>
  <c r="H27" i="77"/>
  <c r="H28" i="77"/>
  <c r="H29" i="77"/>
  <c r="H30" i="77"/>
  <c r="H31" i="77"/>
  <c r="H33" i="77"/>
  <c r="H34" i="77"/>
  <c r="H35" i="77"/>
  <c r="H43" i="77"/>
  <c r="H45" i="77"/>
  <c r="H46" i="77"/>
  <c r="H47" i="77"/>
  <c r="H48" i="77"/>
  <c r="H49" i="77"/>
  <c r="H50" i="77"/>
  <c r="H51" i="77"/>
  <c r="H52" i="77"/>
  <c r="H54" i="77"/>
  <c r="H55" i="77"/>
  <c r="H56" i="77"/>
  <c r="H57" i="77"/>
  <c r="H58" i="77"/>
  <c r="H59" i="77"/>
  <c r="H60" i="77"/>
  <c r="H62" i="77"/>
  <c r="H63" i="77"/>
  <c r="H64" i="77"/>
  <c r="H65" i="77"/>
  <c r="H66" i="77"/>
  <c r="H67" i="77"/>
  <c r="H68" i="77"/>
  <c r="H69" i="77"/>
  <c r="H71" i="77"/>
  <c r="H72" i="77"/>
  <c r="H73" i="77"/>
  <c r="H74" i="77"/>
  <c r="H75" i="77"/>
  <c r="H79" i="77"/>
  <c r="H80" i="77"/>
  <c r="H82" i="77"/>
  <c r="H76" i="77"/>
  <c r="H86" i="77"/>
  <c r="H85" i="77" s="1"/>
  <c r="H89" i="77"/>
  <c r="H90" i="77"/>
  <c r="G90" i="77"/>
  <c r="G89" i="77"/>
  <c r="G82" i="77"/>
  <c r="G80" i="77"/>
  <c r="G79" i="77"/>
  <c r="H88" i="77" l="1"/>
  <c r="G81" i="6"/>
  <c r="H107" i="6"/>
  <c r="G107" i="6"/>
  <c r="G29" i="6"/>
  <c r="H139" i="6"/>
  <c r="H143" i="6" s="1"/>
  <c r="H21" i="77"/>
  <c r="G32" i="6"/>
  <c r="H125" i="6"/>
  <c r="G125" i="6"/>
  <c r="G88" i="77"/>
  <c r="H36" i="77"/>
  <c r="H94" i="77"/>
  <c r="H83" i="77"/>
  <c r="H32" i="77"/>
  <c r="H70" i="77"/>
  <c r="H13" i="77"/>
  <c r="H53" i="77"/>
  <c r="H26" i="77"/>
  <c r="G83" i="77"/>
  <c r="G139" i="6"/>
  <c r="H147" i="6"/>
  <c r="H148" i="6"/>
  <c r="G84" i="6"/>
  <c r="G34" i="6"/>
  <c r="G26" i="6"/>
  <c r="G33" i="6"/>
  <c r="G23" i="6"/>
  <c r="G522" i="28"/>
  <c r="H479" i="28"/>
  <c r="H473" i="28"/>
  <c r="H441" i="28"/>
  <c r="H429" i="28"/>
  <c r="G429" i="28"/>
  <c r="H413" i="28"/>
  <c r="H304" i="28"/>
  <c r="G304" i="28"/>
  <c r="H298" i="28"/>
  <c r="G298" i="28"/>
  <c r="H297" i="28"/>
  <c r="G297" i="28"/>
  <c r="H256" i="28"/>
  <c r="G256" i="28"/>
  <c r="H235" i="28"/>
  <c r="H233" i="28"/>
  <c r="H96" i="28"/>
  <c r="H95" i="28"/>
  <c r="H93" i="28"/>
  <c r="H89" i="28"/>
  <c r="H85" i="28"/>
  <c r="H81" i="28"/>
  <c r="G68" i="28"/>
  <c r="G67" i="28"/>
  <c r="G65" i="28"/>
  <c r="H56" i="28"/>
  <c r="H29" i="28"/>
  <c r="G23" i="28"/>
  <c r="H21" i="28"/>
  <c r="G15" i="28"/>
  <c r="H13" i="28"/>
  <c r="G7" i="28"/>
  <c r="H173" i="6" l="1"/>
  <c r="H72" i="28"/>
  <c r="H510" i="28"/>
  <c r="G29" i="28"/>
  <c r="H414" i="28"/>
  <c r="H512" i="28" s="1"/>
  <c r="H514" i="28"/>
  <c r="H506" i="28"/>
  <c r="G21" i="28"/>
  <c r="G175" i="6"/>
  <c r="G150" i="6"/>
  <c r="G172" i="6"/>
  <c r="H150" i="6"/>
  <c r="G173" i="6"/>
  <c r="G143" i="6"/>
  <c r="G147" i="6"/>
  <c r="H175" i="6"/>
  <c r="H199" i="6"/>
  <c r="H172" i="6"/>
  <c r="H174" i="6" s="1"/>
  <c r="G148" i="6"/>
  <c r="H511" i="28"/>
  <c r="G94" i="77"/>
  <c r="H299" i="28"/>
  <c r="G35" i="6"/>
  <c r="H236" i="28"/>
  <c r="H490" i="28"/>
  <c r="H74" i="28"/>
  <c r="H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97" i="28"/>
  <c r="H507" i="28"/>
  <c r="H73" i="28"/>
  <c r="H503" i="28"/>
  <c r="G13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G149" i="6" l="1"/>
  <c r="H505" i="28"/>
  <c r="G203" i="6"/>
  <c r="G299" i="28"/>
  <c r="H98" i="28"/>
  <c r="G207" i="6"/>
  <c r="H500" i="28"/>
  <c r="G414" i="28"/>
  <c r="G74" i="28"/>
  <c r="H513" i="28"/>
  <c r="H522" i="28"/>
  <c r="G73" i="28"/>
  <c r="G174" i="6"/>
  <c r="G205" i="6"/>
  <c r="G213" i="6"/>
  <c r="G206" i="6"/>
  <c r="G210" i="6"/>
  <c r="G211" i="6"/>
  <c r="G204" i="6"/>
  <c r="G216" i="6"/>
  <c r="G219" i="6" s="1"/>
  <c r="G212" i="6"/>
  <c r="G208" i="6"/>
  <c r="H509" i="28"/>
  <c r="H508" i="28"/>
  <c r="H501" i="28"/>
  <c r="H504" i="28"/>
  <c r="G12" i="49"/>
  <c r="H219" i="6"/>
  <c r="H209" i="6"/>
  <c r="H214" i="6"/>
  <c r="K11" i="59" s="1"/>
  <c r="G236" i="28"/>
  <c r="G72" i="28"/>
  <c r="G173" i="73"/>
  <c r="G160" i="73"/>
  <c r="G171" i="73" s="1"/>
  <c r="G130" i="73"/>
  <c r="G126" i="73"/>
  <c r="G122" i="73"/>
  <c r="G118" i="73"/>
  <c r="G109" i="73"/>
  <c r="G102" i="73"/>
  <c r="G98" i="73"/>
  <c r="G57" i="73"/>
  <c r="G51" i="73"/>
  <c r="G46" i="73"/>
  <c r="G41" i="73"/>
  <c r="G30" i="73"/>
  <c r="G25" i="73"/>
  <c r="G18" i="73"/>
  <c r="H58" i="28" s="1"/>
  <c r="H60" i="28" s="1"/>
  <c r="G16" i="73"/>
  <c r="G8" i="73"/>
  <c r="K79" i="59"/>
  <c r="K78" i="59"/>
  <c r="K77" i="59"/>
  <c r="J76" i="59"/>
  <c r="J75" i="59"/>
  <c r="K74" i="59"/>
  <c r="J74" i="59"/>
  <c r="K73" i="59"/>
  <c r="J73" i="59"/>
  <c r="K70" i="59"/>
  <c r="J70" i="59"/>
  <c r="K69" i="59"/>
  <c r="J69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K45" i="59"/>
  <c r="J45" i="59"/>
  <c r="K43" i="59"/>
  <c r="J43" i="59"/>
  <c r="K42" i="59"/>
  <c r="J42" i="59"/>
  <c r="K41" i="59"/>
  <c r="J41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G72" i="36"/>
  <c r="G71" i="36"/>
  <c r="G69" i="36"/>
  <c r="G67" i="36"/>
  <c r="G66" i="36"/>
  <c r="H64" i="36"/>
  <c r="H72" i="36" s="1"/>
  <c r="H62" i="36"/>
  <c r="H70" i="36" s="1"/>
  <c r="H61" i="36"/>
  <c r="H69" i="36" s="1"/>
  <c r="H59" i="36"/>
  <c r="H67" i="36" s="1"/>
  <c r="H58" i="36"/>
  <c r="H66" i="36" s="1"/>
  <c r="H57" i="36"/>
  <c r="H17" i="36" s="1"/>
  <c r="K55" i="59" s="1"/>
  <c r="H56" i="36"/>
  <c r="H16" i="36" s="1"/>
  <c r="H33" i="36"/>
  <c r="H40" i="36" s="1"/>
  <c r="G29" i="36"/>
  <c r="F7" i="15" s="1"/>
  <c r="G28" i="36"/>
  <c r="F6" i="15" s="1"/>
  <c r="G27" i="36"/>
  <c r="F5" i="15" s="1"/>
  <c r="H26" i="36"/>
  <c r="H24" i="36"/>
  <c r="K75" i="59" s="1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7" i="36"/>
  <c r="G90" i="9" s="1"/>
  <c r="G16" i="36"/>
  <c r="J54" i="59" s="1"/>
  <c r="G13" i="36"/>
  <c r="J40" i="59" s="1"/>
  <c r="H12" i="36"/>
  <c r="K39" i="59" s="1"/>
  <c r="H11" i="36"/>
  <c r="K38" i="59" s="1"/>
  <c r="H10" i="36"/>
  <c r="K37" i="59" s="1"/>
  <c r="G9" i="36"/>
  <c r="J10" i="59" s="1"/>
  <c r="H8" i="36"/>
  <c r="K9" i="59" s="1"/>
  <c r="G8" i="36"/>
  <c r="J9" i="59" s="1"/>
  <c r="H7" i="36"/>
  <c r="K8" i="59" s="1"/>
  <c r="G7" i="36"/>
  <c r="J8" i="59" s="1"/>
  <c r="G5" i="36"/>
  <c r="G13" i="49" s="1"/>
  <c r="H18" i="21"/>
  <c r="H28" i="21"/>
  <c r="G27" i="21"/>
  <c r="H24" i="21"/>
  <c r="H25" i="21" s="1"/>
  <c r="H15" i="21"/>
  <c r="H12" i="21"/>
  <c r="G12" i="21"/>
  <c r="G15" i="21" s="1"/>
  <c r="G6" i="73" l="1"/>
  <c r="H46" i="28"/>
  <c r="H35" i="28" s="1"/>
  <c r="G114" i="73"/>
  <c r="G87" i="28"/>
  <c r="G513" i="28"/>
  <c r="G501" i="28"/>
  <c r="G505" i="28"/>
  <c r="G509" i="28"/>
  <c r="G83" i="28"/>
  <c r="I143" i="50"/>
  <c r="G118" i="90"/>
  <c r="G214" i="6"/>
  <c r="G209" i="6"/>
  <c r="G12" i="15"/>
  <c r="G13" i="15" s="1"/>
  <c r="G14" i="15" s="1"/>
  <c r="G133" i="73"/>
  <c r="J49" i="59"/>
  <c r="J77" i="59"/>
  <c r="J78" i="59"/>
  <c r="J79" i="59"/>
  <c r="J44" i="59"/>
  <c r="J6" i="59"/>
  <c r="H71" i="36"/>
  <c r="K44" i="59"/>
  <c r="G89" i="9"/>
  <c r="G91" i="9" s="1"/>
  <c r="J55" i="59"/>
  <c r="G68" i="36"/>
  <c r="G14" i="49"/>
  <c r="G15" i="49" s="1"/>
  <c r="G16" i="49" s="1"/>
  <c r="G19" i="49" s="1"/>
  <c r="G20" i="49" s="1"/>
  <c r="G5" i="73"/>
  <c r="H18" i="36"/>
  <c r="K56" i="59" s="1"/>
  <c r="H68" i="36"/>
  <c r="H60" i="36"/>
  <c r="K54" i="59"/>
  <c r="K49" i="59"/>
  <c r="H13" i="36"/>
  <c r="K40" i="59" s="1"/>
  <c r="H215" i="6"/>
  <c r="H220" i="6" s="1"/>
  <c r="G79" i="28"/>
  <c r="H63" i="36"/>
  <c r="H20" i="21"/>
  <c r="G22" i="21"/>
  <c r="G18" i="35"/>
  <c r="G61" i="36" s="1"/>
  <c r="G63" i="36" s="1"/>
  <c r="G16" i="35"/>
  <c r="H67" i="28" l="1"/>
  <c r="H37" i="28"/>
  <c r="H69" i="28"/>
  <c r="H48" i="28"/>
  <c r="H440" i="28"/>
  <c r="H471" i="28" s="1"/>
  <c r="G215" i="6"/>
  <c r="G220" i="6" s="1"/>
  <c r="G512" i="28"/>
  <c r="G511" i="28"/>
  <c r="G508" i="28"/>
  <c r="G500" i="28"/>
  <c r="G507" i="28"/>
  <c r="G58" i="36"/>
  <c r="H19" i="36"/>
  <c r="K57" i="59" s="1"/>
  <c r="F18" i="15"/>
  <c r="F15" i="15" s="1"/>
  <c r="F16" i="15" s="1"/>
  <c r="G5" i="9"/>
  <c r="G33" i="36"/>
  <c r="G64" i="36"/>
  <c r="G59" i="36"/>
  <c r="H9" i="36"/>
  <c r="K10" i="59" s="1"/>
  <c r="G504" i="28"/>
  <c r="G503" i="28"/>
  <c r="H30" i="35"/>
  <c r="H203" i="10" s="1"/>
  <c r="G42" i="35"/>
  <c r="G41" i="35"/>
  <c r="H40" i="35"/>
  <c r="H39" i="35"/>
  <c r="G39" i="35"/>
  <c r="H36" i="35"/>
  <c r="H48" i="35" s="1"/>
  <c r="G36" i="35"/>
  <c r="G31" i="28" s="1"/>
  <c r="G33" i="35"/>
  <c r="H32" i="35"/>
  <c r="H31" i="35"/>
  <c r="H97" i="11" s="1"/>
  <c r="H26" i="35"/>
  <c r="H34" i="36" s="1"/>
  <c r="G26" i="35"/>
  <c r="G21" i="35"/>
  <c r="G26" i="9" s="1"/>
  <c r="H20" i="35"/>
  <c r="G20" i="35"/>
  <c r="H19" i="35"/>
  <c r="G19" i="35"/>
  <c r="H14" i="35"/>
  <c r="H5" i="36" s="1"/>
  <c r="H13" i="35"/>
  <c r="H11" i="35"/>
  <c r="H10" i="6" s="1"/>
  <c r="G10" i="35"/>
  <c r="G9" i="6" s="1"/>
  <c r="G9" i="35"/>
  <c r="G8" i="35"/>
  <c r="H7" i="35"/>
  <c r="H6" i="6" s="1"/>
  <c r="H6" i="35"/>
  <c r="H5" i="6" s="1"/>
  <c r="H70" i="28" l="1"/>
  <c r="H523" i="28"/>
  <c r="H491" i="28"/>
  <c r="H517" i="28" s="1"/>
  <c r="H515" i="28"/>
  <c r="H75" i="28"/>
  <c r="H76" i="28" s="1"/>
  <c r="H521" i="28" s="1"/>
  <c r="H520" i="28"/>
  <c r="G60" i="36"/>
  <c r="H35" i="36"/>
  <c r="H36" i="36" s="1"/>
  <c r="H41" i="36"/>
  <c r="G13" i="35"/>
  <c r="G8" i="6"/>
  <c r="H8" i="35"/>
  <c r="G56" i="36"/>
  <c r="G57" i="36"/>
  <c r="G14" i="35"/>
  <c r="G33" i="22"/>
  <c r="G59" i="9"/>
  <c r="G92" i="9"/>
  <c r="G93" i="9" s="1"/>
  <c r="G100" i="9"/>
  <c r="G7" i="9"/>
  <c r="G58" i="9"/>
  <c r="G63" i="9"/>
  <c r="G70" i="9"/>
  <c r="G69" i="9"/>
  <c r="G55" i="9"/>
  <c r="G95" i="9"/>
  <c r="G64" i="9"/>
  <c r="G56" i="9"/>
  <c r="G66" i="9"/>
  <c r="G61" i="9"/>
  <c r="G65" i="9"/>
  <c r="G27" i="9"/>
  <c r="G67" i="9"/>
  <c r="F132" i="26"/>
  <c r="G68" i="9"/>
  <c r="G19" i="9"/>
  <c r="G26" i="21"/>
  <c r="G28" i="21" s="1"/>
  <c r="G34" i="36"/>
  <c r="G35" i="36" s="1"/>
  <c r="G36" i="36" s="1"/>
  <c r="G38" i="36" s="1"/>
  <c r="G30" i="36" s="1"/>
  <c r="J80" i="59" s="1"/>
  <c r="G37" i="28"/>
  <c r="G63" i="28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37" i="35"/>
  <c r="G48" i="35"/>
  <c r="G49" i="35" s="1"/>
  <c r="G11" i="35"/>
  <c r="G10" i="6" s="1"/>
  <c r="G15" i="35" l="1"/>
  <c r="H494" i="28"/>
  <c r="H516" i="28"/>
  <c r="H495" i="28"/>
  <c r="H38" i="36"/>
  <c r="H30" i="36" s="1"/>
  <c r="K80" i="59" s="1"/>
  <c r="G69" i="28"/>
  <c r="G57" i="9"/>
  <c r="G7" i="22"/>
  <c r="G21" i="22"/>
  <c r="G60" i="9"/>
  <c r="G491" i="28"/>
  <c r="G75" i="28"/>
  <c r="H189" i="6"/>
  <c r="H194" i="6"/>
  <c r="H168" i="6"/>
  <c r="H164" i="6"/>
  <c r="H19" i="6"/>
  <c r="G55" i="35"/>
  <c r="G62" i="9" l="1"/>
  <c r="H81" i="6"/>
  <c r="G520" i="28"/>
  <c r="H84" i="6"/>
  <c r="G22" i="22"/>
  <c r="G8" i="22"/>
  <c r="G91" i="28"/>
  <c r="G76" i="28"/>
  <c r="G517" i="28"/>
  <c r="G494" i="28"/>
  <c r="H40" i="6"/>
  <c r="H37" i="6"/>
  <c r="H38" i="6"/>
  <c r="H39" i="6"/>
  <c r="G495" i="28" l="1"/>
  <c r="G521" i="28"/>
  <c r="G10" i="22"/>
  <c r="G24" i="22"/>
  <c r="G516" i="28"/>
  <c r="G95" i="28"/>
  <c r="G515" i="28"/>
  <c r="H41" i="6"/>
  <c r="E29" i="15"/>
  <c r="E30" i="15"/>
  <c r="E31" i="15"/>
  <c r="D20" i="35"/>
  <c r="D19" i="35"/>
  <c r="D16" i="35"/>
  <c r="D18" i="35"/>
  <c r="G25" i="22" l="1"/>
  <c r="G11" i="22"/>
  <c r="F3" i="8"/>
  <c r="G13" i="22" l="1"/>
  <c r="G27" i="22"/>
  <c r="E79" i="17"/>
  <c r="D79" i="17"/>
  <c r="E74" i="17"/>
  <c r="D74" i="17"/>
  <c r="D91" i="8" l="1"/>
  <c r="D84" i="7" l="1"/>
  <c r="G17" i="59"/>
  <c r="E21" i="77" l="1"/>
  <c r="AI21" i="77" s="1"/>
  <c r="F118" i="10" l="1"/>
  <c r="F113" i="10"/>
  <c r="F107" i="10"/>
  <c r="F76" i="10"/>
  <c r="F55" i="10"/>
  <c r="F60" i="10"/>
  <c r="F56" i="10"/>
  <c r="F25" i="10"/>
  <c r="F31" i="10"/>
  <c r="F24" i="10"/>
  <c r="F13" i="10"/>
  <c r="F199" i="10" l="1"/>
  <c r="N13" i="10"/>
  <c r="G25" i="83"/>
  <c r="J13" i="10"/>
  <c r="N24" i="10"/>
  <c r="G27" i="83"/>
  <c r="J24" i="10"/>
  <c r="N31" i="10"/>
  <c r="G26" i="83"/>
  <c r="J31" i="10"/>
  <c r="N113" i="10"/>
  <c r="J113" i="10"/>
  <c r="N60" i="10"/>
  <c r="G9" i="83"/>
  <c r="J60" i="10"/>
  <c r="N55" i="10"/>
  <c r="J55" i="10"/>
  <c r="N76" i="10"/>
  <c r="J76" i="10"/>
  <c r="N25" i="10"/>
  <c r="G29" i="83"/>
  <c r="J25" i="10"/>
  <c r="N107" i="10"/>
  <c r="AB107" i="10" s="1"/>
  <c r="AF107" i="10" s="1"/>
  <c r="AJ107" i="10" s="1"/>
  <c r="AP107" i="10" s="1"/>
  <c r="AT107" i="10" s="1"/>
  <c r="AX107" i="10" s="1"/>
  <c r="G31" i="83"/>
  <c r="J107" i="10"/>
  <c r="N67" i="10"/>
  <c r="G24" i="83"/>
  <c r="J67" i="10"/>
  <c r="N56" i="10"/>
  <c r="G30" i="83"/>
  <c r="J56" i="10"/>
  <c r="N118" i="10"/>
  <c r="J118" i="10"/>
  <c r="R107" i="10" l="1"/>
  <c r="V107" i="10" s="1"/>
  <c r="R113" i="10"/>
  <c r="V113" i="10" s="1"/>
  <c r="AB113" i="10"/>
  <c r="AF113" i="10" s="1"/>
  <c r="AJ113" i="10" s="1"/>
  <c r="AP113" i="10" s="1"/>
  <c r="AT113" i="10" s="1"/>
  <c r="AX113" i="10" s="1"/>
  <c r="R31" i="10"/>
  <c r="V31" i="10" s="1"/>
  <c r="AB31" i="10"/>
  <c r="AF31" i="10" s="1"/>
  <c r="AJ31" i="10" s="1"/>
  <c r="AP31" i="10" s="1"/>
  <c r="AT31" i="10" s="1"/>
  <c r="AX31" i="10" s="1"/>
  <c r="R56" i="10"/>
  <c r="V56" i="10" s="1"/>
  <c r="AB56" i="10"/>
  <c r="AF56" i="10" s="1"/>
  <c r="AJ56" i="10" s="1"/>
  <c r="AP56" i="10" s="1"/>
  <c r="AT56" i="10" s="1"/>
  <c r="AX56" i="10" s="1"/>
  <c r="R24" i="10"/>
  <c r="V24" i="10" s="1"/>
  <c r="AB24" i="10"/>
  <c r="AF24" i="10" s="1"/>
  <c r="AJ24" i="10" s="1"/>
  <c r="AP24" i="10" s="1"/>
  <c r="AT24" i="10" s="1"/>
  <c r="AX24" i="10" s="1"/>
  <c r="R118" i="10"/>
  <c r="V118" i="10" s="1"/>
  <c r="AB118" i="10"/>
  <c r="AF118" i="10" s="1"/>
  <c r="AJ118" i="10" s="1"/>
  <c r="AP118" i="10" s="1"/>
  <c r="AT118" i="10" s="1"/>
  <c r="AX118" i="10" s="1"/>
  <c r="R25" i="10"/>
  <c r="V25" i="10" s="1"/>
  <c r="AB25" i="10"/>
  <c r="AF25" i="10" s="1"/>
  <c r="AJ25" i="10" s="1"/>
  <c r="AP25" i="10" s="1"/>
  <c r="AT25" i="10" s="1"/>
  <c r="AX25" i="10" s="1"/>
  <c r="R76" i="10"/>
  <c r="V76" i="10" s="1"/>
  <c r="AB76" i="10"/>
  <c r="AF76" i="10" s="1"/>
  <c r="R55" i="10"/>
  <c r="V55" i="10" s="1"/>
  <c r="AB55" i="10"/>
  <c r="AF55" i="10" s="1"/>
  <c r="AJ55" i="10" s="1"/>
  <c r="AP55" i="10" s="1"/>
  <c r="AT55" i="10" s="1"/>
  <c r="AX55" i="10" s="1"/>
  <c r="R13" i="10"/>
  <c r="V13" i="10" s="1"/>
  <c r="AB13" i="10"/>
  <c r="AF13" i="10" s="1"/>
  <c r="AJ13" i="10" s="1"/>
  <c r="AP13" i="10" s="1"/>
  <c r="AT13" i="10" s="1"/>
  <c r="AX13" i="10" s="1"/>
  <c r="R67" i="10"/>
  <c r="V67" i="10" s="1"/>
  <c r="AB67" i="10"/>
  <c r="AF67" i="10" s="1"/>
  <c r="AJ67" i="10" s="1"/>
  <c r="AP67" i="10" s="1"/>
  <c r="AT67" i="10" s="1"/>
  <c r="AX67" i="10" s="1"/>
  <c r="R60" i="10"/>
  <c r="V60" i="10" s="1"/>
  <c r="AB60" i="10"/>
  <c r="AF60" i="10" s="1"/>
  <c r="AJ60" i="10" s="1"/>
  <c r="AP60" i="10" s="1"/>
  <c r="AT60" i="10" s="1"/>
  <c r="AX60" i="10" s="1"/>
  <c r="F103" i="9"/>
  <c r="D85" i="26" l="1"/>
  <c r="D91" i="26"/>
  <c r="D89" i="26"/>
  <c r="D87" i="26"/>
  <c r="D94" i="26" l="1"/>
  <c r="D82" i="7"/>
  <c r="E37" i="27" l="1"/>
  <c r="E35" i="27"/>
  <c r="E29" i="27"/>
  <c r="E27" i="27"/>
  <c r="E20" i="27"/>
  <c r="E19" i="27"/>
  <c r="E18" i="27"/>
  <c r="D30" i="27" l="1"/>
  <c r="D27" i="27"/>
  <c r="D21" i="27"/>
  <c r="D18" i="27"/>
  <c r="F83" i="11" l="1"/>
  <c r="F95" i="9" l="1"/>
  <c r="D99" i="9" l="1"/>
  <c r="F88" i="8"/>
  <c r="D17" i="8" l="1"/>
  <c r="D14" i="8"/>
  <c r="D193" i="6" l="1"/>
  <c r="D167" i="6"/>
  <c r="D130" i="6"/>
  <c r="E130" i="6"/>
  <c r="F130" i="6"/>
  <c r="M130" i="6" l="1"/>
  <c r="I130" i="6"/>
  <c r="N130" i="6"/>
  <c r="J130" i="6"/>
  <c r="E23" i="35"/>
  <c r="E34" i="35"/>
  <c r="E18" i="35"/>
  <c r="E16" i="35"/>
  <c r="R130" i="6" l="1"/>
  <c r="V130" i="6" s="1"/>
  <c r="AB130" i="6"/>
  <c r="AF130" i="6" s="1"/>
  <c r="AJ130" i="6" s="1"/>
  <c r="AP130" i="6" s="1"/>
  <c r="AT130" i="6" s="1"/>
  <c r="AX130" i="6" s="1"/>
  <c r="Q130" i="6"/>
  <c r="U130" i="6" s="1"/>
  <c r="AA130" i="6"/>
  <c r="AE130" i="6" s="1"/>
  <c r="AI130" i="6" s="1"/>
  <c r="AO130" i="6" s="1"/>
  <c r="AS130" i="6" s="1"/>
  <c r="AW130" i="6" s="1"/>
  <c r="BF130" i="6" l="1"/>
  <c r="BH130" i="6" s="1"/>
  <c r="BE130" i="6"/>
  <c r="BG130" i="6" s="1"/>
  <c r="H42" i="35" l="1"/>
  <c r="H43" i="35"/>
  <c r="L43" i="35"/>
  <c r="H44" i="35"/>
  <c r="L44" i="35"/>
  <c r="H45" i="35"/>
  <c r="L45" i="35"/>
  <c r="F45" i="35"/>
  <c r="F44" i="35"/>
  <c r="F43" i="35"/>
  <c r="D25" i="72"/>
  <c r="E25" i="72"/>
  <c r="F25" i="72"/>
  <c r="H25" i="72"/>
  <c r="I25" i="72"/>
  <c r="J25" i="72"/>
  <c r="L25" i="72"/>
  <c r="M25" i="72"/>
  <c r="N25" i="72"/>
  <c r="P25" i="72"/>
  <c r="Q25" i="72"/>
  <c r="R25" i="72"/>
  <c r="T25" i="72"/>
  <c r="U25" i="72"/>
  <c r="V25" i="72"/>
  <c r="X25" i="72"/>
  <c r="Z25" i="72"/>
  <c r="AB25" i="72"/>
  <c r="AD25" i="72"/>
  <c r="AE25" i="72"/>
  <c r="AF25" i="72"/>
  <c r="AH25" i="72"/>
  <c r="AI25" i="72"/>
  <c r="AJ25" i="72"/>
  <c r="AL25" i="72"/>
  <c r="AN25" i="72"/>
  <c r="AO25" i="72"/>
  <c r="AP25" i="72"/>
  <c r="AR25" i="72"/>
  <c r="AT25" i="72"/>
  <c r="AV25" i="72"/>
  <c r="AX25" i="72"/>
  <c r="AZ25" i="72"/>
  <c r="BB25" i="72"/>
  <c r="AK25" i="72" l="1"/>
  <c r="L42" i="35"/>
  <c r="L49" i="35" s="1"/>
  <c r="H49" i="35"/>
  <c r="F42" i="35"/>
  <c r="AY8" i="72"/>
  <c r="AY12" i="72"/>
  <c r="AY13" i="72"/>
  <c r="AY14" i="72"/>
  <c r="AY16" i="72"/>
  <c r="AY17" i="72"/>
  <c r="AY19" i="72"/>
  <c r="AY20" i="72"/>
  <c r="AY21" i="72"/>
  <c r="AY22" i="72"/>
  <c r="AY24" i="72"/>
  <c r="AY26" i="72"/>
  <c r="AY27" i="72"/>
  <c r="AY39" i="72"/>
  <c r="AY40" i="72"/>
  <c r="AY41" i="72"/>
  <c r="AY45" i="72"/>
  <c r="AY47" i="72"/>
  <c r="W8" i="72"/>
  <c r="Y107" i="90" s="1"/>
  <c r="W12" i="72"/>
  <c r="Y111" i="90" s="1"/>
  <c r="W13" i="72"/>
  <c r="Y112" i="90" s="1"/>
  <c r="W14" i="72"/>
  <c r="Y113" i="90" s="1"/>
  <c r="W16" i="72"/>
  <c r="W17" i="72"/>
  <c r="Y114" i="90" s="1"/>
  <c r="W19" i="72"/>
  <c r="W20" i="72"/>
  <c r="W21" i="72"/>
  <c r="W22" i="72"/>
  <c r="W23" i="72"/>
  <c r="W24" i="72"/>
  <c r="W26" i="72"/>
  <c r="W27" i="72"/>
  <c r="W28" i="72"/>
  <c r="AQ35" i="72"/>
  <c r="AU35" i="72" s="1"/>
  <c r="W36" i="72"/>
  <c r="W37" i="72"/>
  <c r="W39" i="72"/>
  <c r="W40" i="72"/>
  <c r="W41" i="72"/>
  <c r="W42" i="72"/>
  <c r="W44" i="72"/>
  <c r="W45" i="72"/>
  <c r="W47" i="72"/>
  <c r="O8" i="72"/>
  <c r="O12" i="72"/>
  <c r="O13" i="72"/>
  <c r="O14" i="72"/>
  <c r="O16" i="72"/>
  <c r="S16" i="72" s="1"/>
  <c r="O17" i="72"/>
  <c r="O19" i="72"/>
  <c r="S19" i="72" s="1"/>
  <c r="O20" i="72"/>
  <c r="S20" i="72" s="1"/>
  <c r="O21" i="72"/>
  <c r="S21" i="72" s="1"/>
  <c r="O22" i="72"/>
  <c r="S22" i="72" s="1"/>
  <c r="O23" i="72"/>
  <c r="O24" i="72"/>
  <c r="S24" i="72" s="1"/>
  <c r="O26" i="72"/>
  <c r="S26" i="72" s="1"/>
  <c r="O27" i="72"/>
  <c r="S27" i="72" s="1"/>
  <c r="O28" i="72"/>
  <c r="S28" i="72" s="1"/>
  <c r="S35" i="72"/>
  <c r="O36" i="72"/>
  <c r="S36" i="72" s="1"/>
  <c r="O37" i="72"/>
  <c r="S37" i="72" s="1"/>
  <c r="O39" i="72"/>
  <c r="S39" i="72" s="1"/>
  <c r="O40" i="72"/>
  <c r="S40" i="72" s="1"/>
  <c r="O41" i="72"/>
  <c r="S41" i="72" s="1"/>
  <c r="O42" i="72"/>
  <c r="S42" i="72" s="1"/>
  <c r="O44" i="72"/>
  <c r="S44" i="72" s="1"/>
  <c r="S45" i="72"/>
  <c r="O47" i="72"/>
  <c r="S47" i="72" s="1"/>
  <c r="K8" i="72"/>
  <c r="M107" i="90" s="1"/>
  <c r="K12" i="72"/>
  <c r="M111" i="90" s="1"/>
  <c r="K13" i="72"/>
  <c r="M112" i="90" s="1"/>
  <c r="K14" i="72"/>
  <c r="M113" i="90" s="1"/>
  <c r="K16" i="72"/>
  <c r="K17" i="72"/>
  <c r="K19" i="72"/>
  <c r="K20" i="72"/>
  <c r="Y20" i="72" s="1"/>
  <c r="AC20" i="72" s="1"/>
  <c r="AG20" i="72" s="1"/>
  <c r="K21" i="72"/>
  <c r="K22" i="72"/>
  <c r="K23" i="72"/>
  <c r="K24" i="72"/>
  <c r="K26" i="72"/>
  <c r="K27" i="72"/>
  <c r="K28" i="72"/>
  <c r="K36" i="72"/>
  <c r="K37" i="72"/>
  <c r="K39" i="72"/>
  <c r="Y39" i="72" s="1"/>
  <c r="AC39" i="72" s="1"/>
  <c r="AG39" i="72" s="1"/>
  <c r="K40" i="72"/>
  <c r="Y40" i="72" s="1"/>
  <c r="AC40" i="72" s="1"/>
  <c r="AG40" i="72" s="1"/>
  <c r="K41" i="72"/>
  <c r="K42" i="72"/>
  <c r="K44" i="72"/>
  <c r="K45" i="72"/>
  <c r="K47" i="72"/>
  <c r="G8" i="72"/>
  <c r="I107" i="90" s="1"/>
  <c r="G12" i="72"/>
  <c r="I111" i="90" s="1"/>
  <c r="G13" i="72"/>
  <c r="I112" i="90" s="1"/>
  <c r="G14" i="72"/>
  <c r="I113" i="90" s="1"/>
  <c r="G16" i="72"/>
  <c r="G17" i="72"/>
  <c r="I114" i="90" s="1"/>
  <c r="G19" i="72"/>
  <c r="G20" i="72"/>
  <c r="G21" i="72"/>
  <c r="G22" i="72"/>
  <c r="G23" i="72"/>
  <c r="G24" i="72"/>
  <c r="G26" i="72"/>
  <c r="G27" i="72"/>
  <c r="G28" i="72"/>
  <c r="G36" i="72"/>
  <c r="G37" i="72"/>
  <c r="G39" i="72"/>
  <c r="G40" i="72"/>
  <c r="G41" i="72"/>
  <c r="G42" i="72"/>
  <c r="G44" i="72"/>
  <c r="G45" i="72"/>
  <c r="G47" i="72"/>
  <c r="BA14" i="72" l="1"/>
  <c r="BA13" i="72"/>
  <c r="Y17" i="72"/>
  <c r="M114" i="90"/>
  <c r="BA12" i="72"/>
  <c r="S8" i="72"/>
  <c r="U107" i="90" s="1"/>
  <c r="Q107" i="90"/>
  <c r="S17" i="72"/>
  <c r="U114" i="90" s="1"/>
  <c r="Q114" i="90"/>
  <c r="S14" i="72"/>
  <c r="U113" i="90" s="1"/>
  <c r="Q113" i="90"/>
  <c r="Y27" i="72"/>
  <c r="AC27" i="72" s="1"/>
  <c r="AG27" i="72" s="1"/>
  <c r="AM27" i="72" s="1"/>
  <c r="AQ27" i="72" s="1"/>
  <c r="AU27" i="72" s="1"/>
  <c r="BC27" i="72" s="1"/>
  <c r="S13" i="72"/>
  <c r="U112" i="90" s="1"/>
  <c r="Q112" i="90"/>
  <c r="S12" i="72"/>
  <c r="U111" i="90" s="1"/>
  <c r="Q111" i="90"/>
  <c r="Y47" i="72"/>
  <c r="AC47" i="72" s="1"/>
  <c r="AG47" i="72" s="1"/>
  <c r="AM47" i="72" s="1"/>
  <c r="AQ47" i="72" s="1"/>
  <c r="AU47" i="72" s="1"/>
  <c r="BC47" i="72" s="1"/>
  <c r="AM20" i="72"/>
  <c r="AQ20" i="72" s="1"/>
  <c r="AU20" i="72" s="1"/>
  <c r="BC20" i="72" s="1"/>
  <c r="AM40" i="72"/>
  <c r="AQ40" i="72" s="1"/>
  <c r="AU40" i="72" s="1"/>
  <c r="BC40" i="72" s="1"/>
  <c r="AM39" i="72"/>
  <c r="AQ39" i="72" s="1"/>
  <c r="AU39" i="72" s="1"/>
  <c r="BC39" i="72" s="1"/>
  <c r="BA19" i="72"/>
  <c r="BA8" i="72"/>
  <c r="BA17" i="72"/>
  <c r="BA26" i="72"/>
  <c r="BA45" i="72"/>
  <c r="BA24" i="72"/>
  <c r="Y16" i="72"/>
  <c r="AC16" i="72" s="1"/>
  <c r="AG16" i="72" s="1"/>
  <c r="Y22" i="72"/>
  <c r="AC22" i="72" s="1"/>
  <c r="AG22" i="72" s="1"/>
  <c r="Y14" i="72"/>
  <c r="BA41" i="72"/>
  <c r="BA22" i="72"/>
  <c r="BA16" i="72"/>
  <c r="Y41" i="72"/>
  <c r="AC41" i="72" s="1"/>
  <c r="AG41" i="72" s="1"/>
  <c r="Y28" i="72"/>
  <c r="AC28" i="72" s="1"/>
  <c r="AG28" i="72" s="1"/>
  <c r="Y21" i="72"/>
  <c r="AC21" i="72" s="1"/>
  <c r="AG21" i="72" s="1"/>
  <c r="Y12" i="72"/>
  <c r="Y26" i="72"/>
  <c r="AC26" i="72" s="1"/>
  <c r="AG26" i="72" s="1"/>
  <c r="Y19" i="72"/>
  <c r="AC19" i="72" s="1"/>
  <c r="AG19" i="72" s="1"/>
  <c r="Y45" i="72"/>
  <c r="AC45" i="72" s="1"/>
  <c r="AG45" i="72" s="1"/>
  <c r="Y8" i="72"/>
  <c r="Y24" i="72"/>
  <c r="AC24" i="72" s="1"/>
  <c r="AG24" i="72" s="1"/>
  <c r="BA47" i="72"/>
  <c r="BA40" i="72"/>
  <c r="BA21" i="72"/>
  <c r="Y37" i="72"/>
  <c r="AC37" i="72" s="1"/>
  <c r="AG37" i="72" s="1"/>
  <c r="Y44" i="72"/>
  <c r="AC44" i="72" s="1"/>
  <c r="Y36" i="72"/>
  <c r="AC36" i="72" s="1"/>
  <c r="Y42" i="72"/>
  <c r="AC42" i="72" s="1"/>
  <c r="AG42" i="72" s="1"/>
  <c r="BA39" i="72"/>
  <c r="BA27" i="72"/>
  <c r="BA20" i="72"/>
  <c r="K25" i="72"/>
  <c r="G25" i="72"/>
  <c r="O25" i="72"/>
  <c r="Y13" i="72"/>
  <c r="S23" i="72"/>
  <c r="S25" i="72" s="1"/>
  <c r="W25" i="72"/>
  <c r="Y23" i="72"/>
  <c r="AP49" i="72"/>
  <c r="AR49" i="72"/>
  <c r="AT49" i="72"/>
  <c r="AV49" i="72"/>
  <c r="AX49" i="72"/>
  <c r="AZ49" i="72"/>
  <c r="BB49" i="72"/>
  <c r="AC14" i="72" l="1"/>
  <c r="AA113" i="90"/>
  <c r="AC12" i="72"/>
  <c r="AA111" i="90"/>
  <c r="AC17" i="72"/>
  <c r="AA114" i="90"/>
  <c r="AC8" i="72"/>
  <c r="AA107" i="90"/>
  <c r="AC13" i="72"/>
  <c r="AA112" i="90"/>
  <c r="AM45" i="72"/>
  <c r="AQ45" i="72" s="1"/>
  <c r="AU45" i="72" s="1"/>
  <c r="BC45" i="72" s="1"/>
  <c r="AM21" i="72"/>
  <c r="AQ21" i="72" s="1"/>
  <c r="AU21" i="72" s="1"/>
  <c r="BC21" i="72" s="1"/>
  <c r="AM16" i="72"/>
  <c r="AM37" i="72"/>
  <c r="AQ37" i="72" s="1"/>
  <c r="AU37" i="72" s="1"/>
  <c r="AM19" i="72"/>
  <c r="AQ19" i="72" s="1"/>
  <c r="AU19" i="72" s="1"/>
  <c r="BC19" i="72" s="1"/>
  <c r="AM28" i="72"/>
  <c r="AQ28" i="72" s="1"/>
  <c r="AU28" i="72" s="1"/>
  <c r="AM42" i="72"/>
  <c r="AQ42" i="72" s="1"/>
  <c r="AU42" i="72" s="1"/>
  <c r="AM24" i="72"/>
  <c r="AQ24" i="72" s="1"/>
  <c r="AU24" i="72" s="1"/>
  <c r="BC24" i="72" s="1"/>
  <c r="AM26" i="72"/>
  <c r="AQ26" i="72" s="1"/>
  <c r="AU26" i="72" s="1"/>
  <c r="BC26" i="72" s="1"/>
  <c r="AM41" i="72"/>
  <c r="AQ41" i="72" s="1"/>
  <c r="AU41" i="72" s="1"/>
  <c r="BC41" i="72" s="1"/>
  <c r="AM22" i="72"/>
  <c r="AQ22" i="72" s="1"/>
  <c r="AU22" i="72" s="1"/>
  <c r="BC22" i="72" s="1"/>
  <c r="AG44" i="72"/>
  <c r="AG36" i="72"/>
  <c r="Y25" i="72"/>
  <c r="AC23" i="72"/>
  <c r="AG13" i="72" l="1"/>
  <c r="AE112" i="90"/>
  <c r="AG17" i="72"/>
  <c r="AE114" i="90"/>
  <c r="AG8" i="72"/>
  <c r="AE107" i="90"/>
  <c r="AG12" i="72"/>
  <c r="AE111" i="90"/>
  <c r="AG14" i="72"/>
  <c r="AE113" i="90"/>
  <c r="AQ16" i="72"/>
  <c r="AM44" i="72"/>
  <c r="AQ44" i="72" s="1"/>
  <c r="AU44" i="72" s="1"/>
  <c r="AM36" i="72"/>
  <c r="AQ36" i="72" s="1"/>
  <c r="AU36" i="72" s="1"/>
  <c r="AC25" i="72"/>
  <c r="AG23" i="72"/>
  <c r="AM23" i="72" s="1"/>
  <c r="AI107" i="90" l="1"/>
  <c r="AM8" i="72"/>
  <c r="AI113" i="90"/>
  <c r="AM14" i="72"/>
  <c r="AI111" i="90"/>
  <c r="AM12" i="72"/>
  <c r="AI114" i="90"/>
  <c r="AM17" i="72"/>
  <c r="AI112" i="90"/>
  <c r="AM13" i="72"/>
  <c r="AU16" i="72"/>
  <c r="BC16" i="72" s="1"/>
  <c r="AY28" i="72"/>
  <c r="BA28" i="72" s="1"/>
  <c r="BC28" i="72"/>
  <c r="AY35" i="72"/>
  <c r="BA35" i="72" s="1"/>
  <c r="BC35" i="72"/>
  <c r="AY36" i="72"/>
  <c r="BA36" i="72" s="1"/>
  <c r="BC36" i="72"/>
  <c r="AY37" i="72"/>
  <c r="BA37" i="72" s="1"/>
  <c r="BC37" i="72"/>
  <c r="AY42" i="72"/>
  <c r="BA42" i="72" s="1"/>
  <c r="BC42" i="72"/>
  <c r="AW25" i="72"/>
  <c r="AY23" i="72"/>
  <c r="AY44" i="72"/>
  <c r="BA44" i="72" s="1"/>
  <c r="BC44" i="72"/>
  <c r="AG25" i="72"/>
  <c r="AM25" i="72" s="1"/>
  <c r="AO111" i="90" l="1"/>
  <c r="AQ12" i="72"/>
  <c r="AO113" i="90"/>
  <c r="AQ14" i="72"/>
  <c r="AQ8" i="72"/>
  <c r="AO107" i="90"/>
  <c r="AO112" i="90"/>
  <c r="AQ13" i="72"/>
  <c r="AQ17" i="72"/>
  <c r="AO114" i="90"/>
  <c r="AY25" i="72"/>
  <c r="BA23" i="72"/>
  <c r="BA25" i="72" s="1"/>
  <c r="AQ23" i="72"/>
  <c r="D132" i="50"/>
  <c r="D131" i="50"/>
  <c r="BA57" i="71"/>
  <c r="K86" i="90" s="1"/>
  <c r="BE57" i="71"/>
  <c r="O86" i="90" s="1"/>
  <c r="BI57" i="71"/>
  <c r="S86" i="90" s="1"/>
  <c r="BS57" i="71"/>
  <c r="AC86" i="90" s="1"/>
  <c r="BW57" i="71"/>
  <c r="AG86" i="90" s="1"/>
  <c r="CA57" i="71"/>
  <c r="AK86" i="90" s="1"/>
  <c r="CG57" i="71"/>
  <c r="AQ86" i="90" s="1"/>
  <c r="CK57" i="71"/>
  <c r="AU86" i="90" s="1"/>
  <c r="CO57" i="71"/>
  <c r="AY86" i="90" s="1"/>
  <c r="CO58" i="71"/>
  <c r="AY87" i="90" s="1"/>
  <c r="CK58" i="71"/>
  <c r="AU87" i="90" s="1"/>
  <c r="CG58" i="71"/>
  <c r="AQ87" i="90" s="1"/>
  <c r="CA58" i="71"/>
  <c r="AK87" i="90" s="1"/>
  <c r="BW58" i="71"/>
  <c r="AG87" i="90" s="1"/>
  <c r="BS58" i="71"/>
  <c r="AC87" i="90" s="1"/>
  <c r="BM58" i="71"/>
  <c r="W87" i="90" s="1"/>
  <c r="BI58" i="71"/>
  <c r="S87" i="90" s="1"/>
  <c r="BE58" i="71"/>
  <c r="O87" i="90" s="1"/>
  <c r="BA58" i="71"/>
  <c r="K87" i="90" s="1"/>
  <c r="BA86" i="90" l="1"/>
  <c r="AY88" i="90"/>
  <c r="BE87" i="90"/>
  <c r="BA87" i="90"/>
  <c r="AU17" i="72"/>
  <c r="AS114" i="90"/>
  <c r="AS112" i="90"/>
  <c r="AU13" i="72"/>
  <c r="AU8" i="72"/>
  <c r="AS107" i="90"/>
  <c r="AS113" i="90"/>
  <c r="AU14" i="72"/>
  <c r="AS111" i="90"/>
  <c r="AU12" i="72"/>
  <c r="U131" i="50"/>
  <c r="AG88" i="90"/>
  <c r="AG95" i="90" s="1"/>
  <c r="AG101" i="90" s="1"/>
  <c r="AI87" i="90"/>
  <c r="AC88" i="90"/>
  <c r="S88" i="90"/>
  <c r="S95" i="90" s="1"/>
  <c r="U132" i="50"/>
  <c r="AQ25" i="72"/>
  <c r="AU23" i="72"/>
  <c r="CQ57" i="71"/>
  <c r="BM57" i="71"/>
  <c r="CC57" i="71"/>
  <c r="BC57" i="71"/>
  <c r="CU58" i="71"/>
  <c r="BO58" i="71"/>
  <c r="CQ58" i="71"/>
  <c r="CC58" i="71"/>
  <c r="BC58" i="71"/>
  <c r="AY95" i="90" l="1"/>
  <c r="BC8" i="72"/>
  <c r="AW107" i="90"/>
  <c r="BC14" i="72"/>
  <c r="AW113" i="90"/>
  <c r="BC13" i="72"/>
  <c r="AW112" i="90"/>
  <c r="BC12" i="72"/>
  <c r="AW111" i="90"/>
  <c r="BC17" i="72"/>
  <c r="AW114" i="90"/>
  <c r="U134" i="50"/>
  <c r="U135" i="50" s="1"/>
  <c r="AG126" i="90"/>
  <c r="AG129" i="90" s="1"/>
  <c r="AC95" i="90"/>
  <c r="AC126" i="90" s="1"/>
  <c r="CS57" i="71"/>
  <c r="CU57" i="71"/>
  <c r="W86" i="90"/>
  <c r="BE86" i="90" s="1"/>
  <c r="S101" i="90"/>
  <c r="S126" i="90"/>
  <c r="S129" i="90" s="1"/>
  <c r="AU25" i="72"/>
  <c r="BC23" i="72"/>
  <c r="BC25" i="72" s="1"/>
  <c r="BO57" i="71"/>
  <c r="BQ57" i="71" s="1"/>
  <c r="BU57" i="71" s="1"/>
  <c r="BY57" i="71" s="1"/>
  <c r="CE57" i="71" s="1"/>
  <c r="BG57" i="71"/>
  <c r="BK57" i="71" s="1"/>
  <c r="CS58" i="71"/>
  <c r="BQ58" i="71"/>
  <c r="BU58" i="71" s="1"/>
  <c r="BY58" i="71" s="1"/>
  <c r="CE58" i="71" s="1"/>
  <c r="BG58" i="71"/>
  <c r="BK58" i="71" s="1"/>
  <c r="AY101" i="90" l="1"/>
  <c r="AY126" i="90"/>
  <c r="AY129" i="90" s="1"/>
  <c r="CI58" i="71"/>
  <c r="CM58" i="71" s="1"/>
  <c r="CI57" i="71"/>
  <c r="CM57" i="71" s="1"/>
  <c r="AC101" i="90"/>
  <c r="W88" i="90"/>
  <c r="AI86" i="90"/>
  <c r="AC129" i="90"/>
  <c r="W95" i="90" l="1"/>
  <c r="W101" i="90" l="1"/>
  <c r="W126" i="90"/>
  <c r="W129" i="90" l="1"/>
  <c r="BA6" i="71" l="1"/>
  <c r="BE6" i="71"/>
  <c r="BI6" i="71"/>
  <c r="BM6" i="71"/>
  <c r="BS6" i="71"/>
  <c r="BW6" i="71"/>
  <c r="CA6" i="71"/>
  <c r="CG6" i="71"/>
  <c r="CK6" i="71"/>
  <c r="CO6" i="71"/>
  <c r="CG7" i="71"/>
  <c r="CQ11" i="71"/>
  <c r="CS11" i="71" s="1"/>
  <c r="CQ12" i="71"/>
  <c r="CS12" i="71" s="1"/>
  <c r="CQ14" i="71"/>
  <c r="CS14" i="71" s="1"/>
  <c r="CQ15" i="71"/>
  <c r="CS15" i="71" s="1"/>
  <c r="CQ16" i="71"/>
  <c r="CS16" i="71" s="1"/>
  <c r="CQ18" i="71"/>
  <c r="CS18" i="71" s="1"/>
  <c r="CQ24" i="71"/>
  <c r="CS24" i="71" s="1"/>
  <c r="CQ25" i="71"/>
  <c r="CS25" i="71" s="1"/>
  <c r="CQ27" i="71"/>
  <c r="CS27" i="71" s="1"/>
  <c r="CQ28" i="71"/>
  <c r="CS28" i="71" s="1"/>
  <c r="CQ29" i="71"/>
  <c r="CS29" i="71" s="1"/>
  <c r="CQ32" i="71"/>
  <c r="CS32" i="71" s="1"/>
  <c r="CQ33" i="71"/>
  <c r="CS33" i="71" s="1"/>
  <c r="CQ35" i="71"/>
  <c r="CS35" i="71" s="1"/>
  <c r="CQ36" i="71"/>
  <c r="CS36" i="71" s="1"/>
  <c r="CQ38" i="71"/>
  <c r="CS38" i="71" s="1"/>
  <c r="CQ39" i="71"/>
  <c r="CS39" i="71" s="1"/>
  <c r="CQ40" i="71"/>
  <c r="CS40" i="71" s="1"/>
  <c r="CQ45" i="71"/>
  <c r="CS45" i="71" s="1"/>
  <c r="CQ51" i="71"/>
  <c r="CS51" i="71" s="1"/>
  <c r="CQ52" i="71"/>
  <c r="CS52" i="71" s="1"/>
  <c r="BA55" i="71"/>
  <c r="BS55" i="71"/>
  <c r="CQ55" i="71"/>
  <c r="AO6" i="71"/>
  <c r="CQ44" i="71" l="1"/>
  <c r="CS44" i="71" s="1"/>
  <c r="CQ37" i="71"/>
  <c r="CS37" i="71" s="1"/>
  <c r="CQ26" i="71"/>
  <c r="CS26" i="71" s="1"/>
  <c r="CQ21" i="71"/>
  <c r="CS21" i="71" s="1"/>
  <c r="CQ20" i="71"/>
  <c r="CS20" i="71" s="1"/>
  <c r="CQ50" i="71"/>
  <c r="CS50" i="71" s="1"/>
  <c r="CQ22" i="71"/>
  <c r="CS22" i="71" s="1"/>
  <c r="CQ49" i="71"/>
  <c r="CS49" i="71" s="1"/>
  <c r="CQ42" i="71"/>
  <c r="CS42" i="71" s="1"/>
  <c r="CU26" i="71"/>
  <c r="CU7" i="71"/>
  <c r="CU51" i="71"/>
  <c r="CU16" i="71"/>
  <c r="CU33" i="71"/>
  <c r="CU20" i="71"/>
  <c r="CU28" i="71"/>
  <c r="CU12" i="71"/>
  <c r="CU38" i="71"/>
  <c r="CU22" i="71"/>
  <c r="CU32" i="71"/>
  <c r="CU15" i="71"/>
  <c r="CU42" i="71"/>
  <c r="CU45" i="71"/>
  <c r="CU40" i="71"/>
  <c r="CU25" i="71"/>
  <c r="CU35" i="71"/>
  <c r="CU18" i="71"/>
  <c r="CU27" i="71"/>
  <c r="CU11" i="71"/>
  <c r="CU36" i="71"/>
  <c r="CU44" i="71"/>
  <c r="CU37" i="71"/>
  <c r="CU21" i="71"/>
  <c r="CU52" i="71"/>
  <c r="CU49" i="71"/>
  <c r="CU29" i="71"/>
  <c r="CU14" i="71"/>
  <c r="CU50" i="71"/>
  <c r="CU39" i="71"/>
  <c r="CU24" i="71"/>
  <c r="CQ7" i="71"/>
  <c r="CQ6" i="71"/>
  <c r="BO6" i="71"/>
  <c r="CC55" i="71"/>
  <c r="CC6" i="71"/>
  <c r="CU6" i="71"/>
  <c r="BO55" i="71"/>
  <c r="BC55" i="71"/>
  <c r="CU55" i="71"/>
  <c r="BC7" i="71"/>
  <c r="BC6" i="71"/>
  <c r="BG7" i="71" l="1"/>
  <c r="BK7" i="71" s="1"/>
  <c r="BQ7" i="71"/>
  <c r="BU7" i="71" s="1"/>
  <c r="BY7" i="71" s="1"/>
  <c r="CE7" i="71" s="1"/>
  <c r="CI7" i="71" s="1"/>
  <c r="CM7" i="71" s="1"/>
  <c r="CS7" i="71"/>
  <c r="CS55" i="71"/>
  <c r="BQ55" i="71"/>
  <c r="BU55" i="71" s="1"/>
  <c r="BY55" i="71" s="1"/>
  <c r="BG55" i="71"/>
  <c r="BK55" i="71" s="1"/>
  <c r="CS6" i="71"/>
  <c r="BG6" i="71"/>
  <c r="BK6" i="71" s="1"/>
  <c r="BQ6" i="71"/>
  <c r="BU6" i="71" s="1"/>
  <c r="BY6" i="71" s="1"/>
  <c r="CE6" i="71" s="1"/>
  <c r="CI6" i="71" s="1"/>
  <c r="CM6" i="71" s="1"/>
  <c r="CE55" i="71" l="1"/>
  <c r="AK6" i="71"/>
  <c r="AP6" i="71" s="1"/>
  <c r="AF6" i="71"/>
  <c r="AB6" i="71"/>
  <c r="AZ75" i="77"/>
  <c r="AL75" i="77"/>
  <c r="L75" i="77"/>
  <c r="Z75" i="77" s="1"/>
  <c r="AD75" i="77" s="1"/>
  <c r="AZ74" i="77"/>
  <c r="AL74" i="77"/>
  <c r="L74" i="77"/>
  <c r="Z74" i="77" s="1"/>
  <c r="AD74" i="77" s="1"/>
  <c r="AZ73" i="77"/>
  <c r="AL73" i="77"/>
  <c r="L73" i="77"/>
  <c r="Z73" i="77" s="1"/>
  <c r="AD73" i="77" s="1"/>
  <c r="AZ72" i="77"/>
  <c r="AL72" i="77"/>
  <c r="L72" i="77"/>
  <c r="Z72" i="77" s="1"/>
  <c r="AD72" i="77" s="1"/>
  <c r="AZ71" i="77"/>
  <c r="AL71" i="77"/>
  <c r="L71" i="77"/>
  <c r="Z71" i="77" s="1"/>
  <c r="AD71" i="77" s="1"/>
  <c r="E70" i="77"/>
  <c r="AI70" i="77" s="1"/>
  <c r="D70" i="77"/>
  <c r="AZ69" i="77"/>
  <c r="AL69" i="77"/>
  <c r="L69" i="77"/>
  <c r="Z69" i="77" s="1"/>
  <c r="AD69" i="77" s="1"/>
  <c r="AZ68" i="77"/>
  <c r="AL68" i="77"/>
  <c r="L68" i="77"/>
  <c r="Z68" i="77" s="1"/>
  <c r="AD68" i="77" s="1"/>
  <c r="AZ67" i="77"/>
  <c r="AL67" i="77"/>
  <c r="L67" i="77"/>
  <c r="Z67" i="77" s="1"/>
  <c r="AD67" i="77" s="1"/>
  <c r="AZ66" i="77"/>
  <c r="AL66" i="77"/>
  <c r="L66" i="77"/>
  <c r="Z66" i="77" s="1"/>
  <c r="AD66" i="77" s="1"/>
  <c r="AZ65" i="77"/>
  <c r="AL65" i="77"/>
  <c r="L65" i="77"/>
  <c r="Z65" i="77" s="1"/>
  <c r="AD65" i="77" s="1"/>
  <c r="AZ64" i="77"/>
  <c r="AL64" i="77"/>
  <c r="L64" i="77"/>
  <c r="Z64" i="77" s="1"/>
  <c r="AD64" i="77" s="1"/>
  <c r="AZ63" i="77"/>
  <c r="AL63" i="77"/>
  <c r="L63" i="77"/>
  <c r="Z63" i="77" s="1"/>
  <c r="AD63" i="77" s="1"/>
  <c r="AZ62" i="77"/>
  <c r="AL62" i="77"/>
  <c r="L62" i="77"/>
  <c r="Z62" i="77" s="1"/>
  <c r="AD62" i="77" s="1"/>
  <c r="AZ60" i="77"/>
  <c r="AL60" i="77"/>
  <c r="L60" i="77"/>
  <c r="AZ59" i="77"/>
  <c r="AL59" i="77"/>
  <c r="L59" i="77"/>
  <c r="Z59" i="77" s="1"/>
  <c r="AD59" i="77" s="1"/>
  <c r="AZ58" i="77"/>
  <c r="AL58" i="77"/>
  <c r="L58" i="77"/>
  <c r="Z58" i="77" s="1"/>
  <c r="AD58" i="77" s="1"/>
  <c r="AZ57" i="77"/>
  <c r="AL57" i="77"/>
  <c r="L57" i="77"/>
  <c r="Z57" i="77" s="1"/>
  <c r="AD57" i="77" s="1"/>
  <c r="AZ56" i="77"/>
  <c r="AL56" i="77"/>
  <c r="L56" i="77"/>
  <c r="Z56" i="77" s="1"/>
  <c r="AD56" i="77" s="1"/>
  <c r="AZ55" i="77"/>
  <c r="AL55" i="77"/>
  <c r="L55" i="77"/>
  <c r="Z55" i="77" s="1"/>
  <c r="AD55" i="77" s="1"/>
  <c r="AZ54" i="77"/>
  <c r="AL54" i="77"/>
  <c r="L54" i="77"/>
  <c r="Z54" i="77" s="1"/>
  <c r="AD54" i="77" s="1"/>
  <c r="E53" i="77"/>
  <c r="AI53" i="77" s="1"/>
  <c r="D53" i="77"/>
  <c r="AZ52" i="77"/>
  <c r="AL52" i="77"/>
  <c r="L52" i="77"/>
  <c r="Z52" i="77" s="1"/>
  <c r="AD52" i="77" s="1"/>
  <c r="AZ51" i="77"/>
  <c r="AL51" i="77"/>
  <c r="L51" i="77"/>
  <c r="Z51" i="77" s="1"/>
  <c r="AD51" i="77" s="1"/>
  <c r="AZ50" i="77"/>
  <c r="AL50" i="77"/>
  <c r="L50" i="77"/>
  <c r="Z50" i="77" s="1"/>
  <c r="AD50" i="77" s="1"/>
  <c r="AZ49" i="77"/>
  <c r="AL49" i="77"/>
  <c r="L49" i="77"/>
  <c r="Z49" i="77" s="1"/>
  <c r="AD49" i="77" s="1"/>
  <c r="AZ48" i="77"/>
  <c r="AL48" i="77"/>
  <c r="L48" i="77"/>
  <c r="Z48" i="77" s="1"/>
  <c r="AD48" i="77" s="1"/>
  <c r="AZ47" i="77"/>
  <c r="AL47" i="77"/>
  <c r="L47" i="77"/>
  <c r="Z47" i="77" s="1"/>
  <c r="AD47" i="77" s="1"/>
  <c r="AZ46" i="77"/>
  <c r="AL46" i="77"/>
  <c r="L46" i="77"/>
  <c r="Z46" i="77" s="1"/>
  <c r="AD46" i="77" s="1"/>
  <c r="AZ45" i="77"/>
  <c r="AL45" i="77"/>
  <c r="L45" i="77"/>
  <c r="Z45" i="77" s="1"/>
  <c r="AD45" i="77" s="1"/>
  <c r="AZ43" i="77"/>
  <c r="AL43" i="77"/>
  <c r="L43" i="77"/>
  <c r="E36" i="77"/>
  <c r="AI36" i="77" s="1"/>
  <c r="D36" i="77"/>
  <c r="AZ35" i="77"/>
  <c r="AL35" i="77"/>
  <c r="L35" i="77"/>
  <c r="Z35" i="77" s="1"/>
  <c r="AD35" i="77" s="1"/>
  <c r="AZ34" i="77"/>
  <c r="AL34" i="77"/>
  <c r="L34" i="77"/>
  <c r="Z34" i="77" s="1"/>
  <c r="AD34" i="77" s="1"/>
  <c r="AZ33" i="77"/>
  <c r="AZ36" i="77" s="1"/>
  <c r="AL33" i="77"/>
  <c r="L33" i="77"/>
  <c r="E32" i="77"/>
  <c r="AI32" i="77" s="1"/>
  <c r="D32" i="77"/>
  <c r="AZ31" i="77"/>
  <c r="AL31" i="77"/>
  <c r="L31" i="77"/>
  <c r="Z31" i="77" s="1"/>
  <c r="AD31" i="77" s="1"/>
  <c r="AZ30" i="77"/>
  <c r="AL30" i="77"/>
  <c r="L30" i="77"/>
  <c r="Z30" i="77" s="1"/>
  <c r="AD30" i="77" s="1"/>
  <c r="AZ29" i="77"/>
  <c r="AL29" i="77"/>
  <c r="L29" i="77"/>
  <c r="Z29" i="77" s="1"/>
  <c r="AD29" i="77" s="1"/>
  <c r="AZ28" i="77"/>
  <c r="AL28" i="77"/>
  <c r="L28" i="77"/>
  <c r="Z28" i="77" s="1"/>
  <c r="AD28" i="77" s="1"/>
  <c r="AZ27" i="77"/>
  <c r="AL27" i="77"/>
  <c r="L27" i="77"/>
  <c r="E26" i="77"/>
  <c r="AI26" i="77" s="1"/>
  <c r="D26" i="77"/>
  <c r="AZ25" i="77"/>
  <c r="AL25" i="77"/>
  <c r="L25" i="77"/>
  <c r="Z25" i="77" s="1"/>
  <c r="AD25" i="77" s="1"/>
  <c r="AZ24" i="77"/>
  <c r="AL24" i="77"/>
  <c r="L24" i="77"/>
  <c r="Z24" i="77" s="1"/>
  <c r="AD24" i="77" s="1"/>
  <c r="AZ23" i="77"/>
  <c r="AL23" i="77"/>
  <c r="L23" i="77"/>
  <c r="Z23" i="77" s="1"/>
  <c r="AD23" i="77" s="1"/>
  <c r="AZ22" i="77"/>
  <c r="AL22" i="77"/>
  <c r="L22" i="77"/>
  <c r="D21" i="77"/>
  <c r="AZ20" i="77"/>
  <c r="AL20" i="77"/>
  <c r="L20" i="77"/>
  <c r="Z20" i="77" s="1"/>
  <c r="AD20" i="77" s="1"/>
  <c r="AZ19" i="77"/>
  <c r="AL19" i="77"/>
  <c r="AL21" i="77" s="1"/>
  <c r="L19" i="77"/>
  <c r="AZ15" i="77"/>
  <c r="AL15" i="77"/>
  <c r="L15" i="77"/>
  <c r="Z15" i="77" s="1"/>
  <c r="AD15" i="77" s="1"/>
  <c r="AZ14" i="77"/>
  <c r="AL14" i="77"/>
  <c r="L14" i="77"/>
  <c r="Z14" i="77" s="1"/>
  <c r="AD14" i="77" s="1"/>
  <c r="E13" i="77"/>
  <c r="AI13" i="77" s="1"/>
  <c r="D13" i="77"/>
  <c r="AZ12" i="77"/>
  <c r="AL12" i="77"/>
  <c r="L12" i="77"/>
  <c r="Z12" i="77" s="1"/>
  <c r="AD12" i="77" s="1"/>
  <c r="AZ11" i="77"/>
  <c r="AL11" i="77"/>
  <c r="L11" i="77"/>
  <c r="Z11" i="77" s="1"/>
  <c r="AD11" i="77" s="1"/>
  <c r="AZ10" i="77"/>
  <c r="AL10" i="77"/>
  <c r="L10" i="77"/>
  <c r="AZ9" i="77"/>
  <c r="AL9" i="77"/>
  <c r="L9" i="77"/>
  <c r="Z9" i="77" s="1"/>
  <c r="AD9" i="77" s="1"/>
  <c r="AZ8" i="77"/>
  <c r="AL8" i="77"/>
  <c r="L8" i="77"/>
  <c r="Z8" i="77" s="1"/>
  <c r="AD8" i="77" s="1"/>
  <c r="E7" i="77"/>
  <c r="AI7" i="77" s="1"/>
  <c r="D7" i="77"/>
  <c r="AZ6" i="77"/>
  <c r="AL6" i="77"/>
  <c r="L6" i="77"/>
  <c r="Z6" i="77" s="1"/>
  <c r="AD6" i="77" s="1"/>
  <c r="AZ5" i="77"/>
  <c r="AL5" i="77"/>
  <c r="L5" i="77"/>
  <c r="Z5" i="77" s="1"/>
  <c r="AD5" i="77" s="1"/>
  <c r="BA4" i="77"/>
  <c r="BA7" i="77" s="1"/>
  <c r="AZ4" i="77"/>
  <c r="AM4" i="77"/>
  <c r="AL4" i="77"/>
  <c r="X4" i="77"/>
  <c r="X7" i="77" s="1"/>
  <c r="M4" i="77"/>
  <c r="M7" i="77" s="1"/>
  <c r="L4" i="77"/>
  <c r="I4" i="77"/>
  <c r="I7" i="77" s="1"/>
  <c r="H4" i="77"/>
  <c r="H7" i="77" s="1"/>
  <c r="AZ7" i="77" l="1"/>
  <c r="AL70" i="77"/>
  <c r="AZ21" i="77"/>
  <c r="CI55" i="71"/>
  <c r="CM55" i="71" s="1"/>
  <c r="AZ32" i="77"/>
  <c r="AQ6" i="71"/>
  <c r="AR6" i="71" s="1"/>
  <c r="L7" i="77"/>
  <c r="AL53" i="77"/>
  <c r="AL36" i="77"/>
  <c r="AL7" i="77"/>
  <c r="Z60" i="77"/>
  <c r="L70" i="77"/>
  <c r="Z43" i="77"/>
  <c r="L53" i="77"/>
  <c r="AM7" i="77"/>
  <c r="BC4" i="77"/>
  <c r="Z33" i="77"/>
  <c r="L36" i="77"/>
  <c r="AZ70" i="77"/>
  <c r="AZ53" i="77"/>
  <c r="Z19" i="77"/>
  <c r="L21" i="77"/>
  <c r="Z10" i="77"/>
  <c r="L13" i="77"/>
  <c r="Z22" i="77"/>
  <c r="L26" i="77"/>
  <c r="AL13" i="77"/>
  <c r="AL26" i="77"/>
  <c r="AZ13" i="77"/>
  <c r="AZ26" i="77"/>
  <c r="Z27" i="77"/>
  <c r="L32" i="77"/>
  <c r="AL32" i="77"/>
  <c r="BB60" i="77"/>
  <c r="BB74" i="77"/>
  <c r="P11" i="77"/>
  <c r="T11" i="77" s="1"/>
  <c r="P15" i="77"/>
  <c r="T15" i="77" s="1"/>
  <c r="P8" i="77"/>
  <c r="T8" i="77" s="1"/>
  <c r="P5" i="77"/>
  <c r="T5" i="77" s="1"/>
  <c r="P9" i="77"/>
  <c r="T9" i="77" s="1"/>
  <c r="P12" i="77"/>
  <c r="T12" i="77" s="1"/>
  <c r="P6" i="77"/>
  <c r="T6" i="77" s="1"/>
  <c r="P10" i="77"/>
  <c r="P14" i="77"/>
  <c r="T14" i="77" s="1"/>
  <c r="BB58" i="77"/>
  <c r="P28" i="77"/>
  <c r="T28" i="77" s="1"/>
  <c r="P34" i="77"/>
  <c r="T34" i="77" s="1"/>
  <c r="P47" i="77"/>
  <c r="T47" i="77" s="1"/>
  <c r="P50" i="77"/>
  <c r="T50" i="77" s="1"/>
  <c r="P59" i="77"/>
  <c r="T59" i="77" s="1"/>
  <c r="P63" i="77"/>
  <c r="T63" i="77" s="1"/>
  <c r="P69" i="77"/>
  <c r="T69" i="77" s="1"/>
  <c r="P72" i="77"/>
  <c r="T72" i="77" s="1"/>
  <c r="P75" i="77"/>
  <c r="T75" i="77" s="1"/>
  <c r="P19" i="77"/>
  <c r="P35" i="77"/>
  <c r="T35" i="77" s="1"/>
  <c r="P45" i="77"/>
  <c r="T45" i="77" s="1"/>
  <c r="P48" i="77"/>
  <c r="T48" i="77" s="1"/>
  <c r="P51" i="77"/>
  <c r="T51" i="77" s="1"/>
  <c r="P54" i="77"/>
  <c r="T54" i="77" s="1"/>
  <c r="P67" i="77"/>
  <c r="T67" i="77" s="1"/>
  <c r="P73" i="77"/>
  <c r="T73" i="77" s="1"/>
  <c r="P20" i="77"/>
  <c r="T20" i="77" s="1"/>
  <c r="P24" i="77"/>
  <c r="T24" i="77" s="1"/>
  <c r="P27" i="77"/>
  <c r="P30" i="77"/>
  <c r="T30" i="77" s="1"/>
  <c r="BB31" i="77"/>
  <c r="P46" i="77"/>
  <c r="T46" i="77" s="1"/>
  <c r="P49" i="77"/>
  <c r="T49" i="77" s="1"/>
  <c r="P58" i="77"/>
  <c r="T58" i="77" s="1"/>
  <c r="P65" i="77"/>
  <c r="T65" i="77" s="1"/>
  <c r="BB66" i="77"/>
  <c r="P71" i="77"/>
  <c r="T71" i="77" s="1"/>
  <c r="BB29" i="77"/>
  <c r="BB55" i="77"/>
  <c r="BB22" i="77"/>
  <c r="AH31" i="77"/>
  <c r="AN31" i="77" s="1"/>
  <c r="AR31" i="77" s="1"/>
  <c r="AV31" i="77" s="1"/>
  <c r="BD31" i="77" s="1"/>
  <c r="BB56" i="77"/>
  <c r="AH15" i="77"/>
  <c r="AN15" i="77" s="1"/>
  <c r="AR15" i="77" s="1"/>
  <c r="AV15" i="77" s="1"/>
  <c r="BD15" i="77" s="1"/>
  <c r="BB19" i="77"/>
  <c r="BB75" i="77"/>
  <c r="BB50" i="77"/>
  <c r="BB71" i="77"/>
  <c r="BB25" i="77"/>
  <c r="BB47" i="77"/>
  <c r="BB51" i="77"/>
  <c r="BB6" i="77"/>
  <c r="AH65" i="77"/>
  <c r="AN65" i="77" s="1"/>
  <c r="AR65" i="77" s="1"/>
  <c r="AV65" i="77" s="1"/>
  <c r="BD65" i="77" s="1"/>
  <c r="BB9" i="77"/>
  <c r="AH12" i="77"/>
  <c r="AN12" i="77" s="1"/>
  <c r="AR12" i="77" s="1"/>
  <c r="AV12" i="77" s="1"/>
  <c r="BD12" i="77" s="1"/>
  <c r="AH58" i="77"/>
  <c r="AN58" i="77" s="1"/>
  <c r="AR58" i="77" s="1"/>
  <c r="AV58" i="77" s="1"/>
  <c r="BD58" i="77" s="1"/>
  <c r="AH67" i="77"/>
  <c r="AN67" i="77" s="1"/>
  <c r="AR67" i="77" s="1"/>
  <c r="AV67" i="77" s="1"/>
  <c r="BD67" i="77" s="1"/>
  <c r="BB10" i="77"/>
  <c r="AH11" i="77"/>
  <c r="AN11" i="77" s="1"/>
  <c r="AR11" i="77" s="1"/>
  <c r="AV11" i="77" s="1"/>
  <c r="BD11" i="77" s="1"/>
  <c r="AH66" i="77"/>
  <c r="AN66" i="77" s="1"/>
  <c r="AR66" i="77" s="1"/>
  <c r="AV66" i="77" s="1"/>
  <c r="BD66" i="77" s="1"/>
  <c r="AH63" i="77"/>
  <c r="AN63" i="77" s="1"/>
  <c r="AR63" i="77" s="1"/>
  <c r="AV63" i="77" s="1"/>
  <c r="BD63" i="77" s="1"/>
  <c r="AH30" i="77"/>
  <c r="AN30" i="77" s="1"/>
  <c r="AR30" i="77" s="1"/>
  <c r="AV30" i="77" s="1"/>
  <c r="BD30" i="77" s="1"/>
  <c r="AH6" i="77"/>
  <c r="AN6" i="77" s="1"/>
  <c r="AR6" i="77" s="1"/>
  <c r="AV6" i="77" s="1"/>
  <c r="BD6" i="77" s="1"/>
  <c r="BB15" i="77"/>
  <c r="BB43" i="77"/>
  <c r="BB54" i="77"/>
  <c r="AH55" i="77"/>
  <c r="AN55" i="77" s="1"/>
  <c r="AR55" i="77" s="1"/>
  <c r="AV55" i="77" s="1"/>
  <c r="BD55" i="77" s="1"/>
  <c r="BB57" i="77"/>
  <c r="BB20" i="77"/>
  <c r="AH24" i="77"/>
  <c r="AN24" i="77" s="1"/>
  <c r="AR24" i="77" s="1"/>
  <c r="AV24" i="77" s="1"/>
  <c r="BD24" i="77" s="1"/>
  <c r="P43" i="77"/>
  <c r="BB69" i="77"/>
  <c r="AH14" i="77"/>
  <c r="AN14" i="77" s="1"/>
  <c r="AR14" i="77" s="1"/>
  <c r="AV14" i="77" s="1"/>
  <c r="BD14" i="77" s="1"/>
  <c r="AH28" i="77"/>
  <c r="AN28" i="77" s="1"/>
  <c r="AR28" i="77" s="1"/>
  <c r="AV28" i="77" s="1"/>
  <c r="BD28" i="77" s="1"/>
  <c r="AH45" i="77"/>
  <c r="AN45" i="77" s="1"/>
  <c r="AR45" i="77" s="1"/>
  <c r="AV45" i="77" s="1"/>
  <c r="BD45" i="77" s="1"/>
  <c r="BB59" i="77"/>
  <c r="BB5" i="77"/>
  <c r="BB14" i="77"/>
  <c r="BB23" i="77"/>
  <c r="BB24" i="77"/>
  <c r="BB33" i="77"/>
  <c r="BB45" i="77"/>
  <c r="BB49" i="77"/>
  <c r="BB63" i="77"/>
  <c r="AH5" i="77"/>
  <c r="AN5" i="77" s="1"/>
  <c r="AR5" i="77" s="1"/>
  <c r="AV5" i="77" s="1"/>
  <c r="BD5" i="77" s="1"/>
  <c r="BB27" i="77"/>
  <c r="P31" i="77"/>
  <c r="T31" i="77" s="1"/>
  <c r="AH47" i="77"/>
  <c r="AN47" i="77" s="1"/>
  <c r="AR47" i="77" s="1"/>
  <c r="AV47" i="77" s="1"/>
  <c r="BD47" i="77" s="1"/>
  <c r="P66" i="77"/>
  <c r="T66" i="77" s="1"/>
  <c r="AH20" i="77"/>
  <c r="AN20" i="77" s="1"/>
  <c r="AR20" i="77" s="1"/>
  <c r="AV20" i="77" s="1"/>
  <c r="BD20" i="77" s="1"/>
  <c r="AH50" i="77"/>
  <c r="AN50" i="77" s="1"/>
  <c r="AR50" i="77" s="1"/>
  <c r="AV50" i="77" s="1"/>
  <c r="BD50" i="77" s="1"/>
  <c r="AH54" i="77"/>
  <c r="AN54" i="77" s="1"/>
  <c r="AR54" i="77" s="1"/>
  <c r="AV54" i="77" s="1"/>
  <c r="BD54" i="77" s="1"/>
  <c r="AH68" i="77"/>
  <c r="AN68" i="77" s="1"/>
  <c r="AR68" i="77" s="1"/>
  <c r="AV68" i="77" s="1"/>
  <c r="BD68" i="77" s="1"/>
  <c r="AH69" i="77"/>
  <c r="AN69" i="77" s="1"/>
  <c r="AR69" i="77" s="1"/>
  <c r="AV69" i="77" s="1"/>
  <c r="BD69" i="77" s="1"/>
  <c r="BB30" i="77"/>
  <c r="BB52" i="77"/>
  <c r="AH62" i="77"/>
  <c r="AN62" i="77" s="1"/>
  <c r="AR62" i="77" s="1"/>
  <c r="AV62" i="77" s="1"/>
  <c r="BD62" i="77" s="1"/>
  <c r="BB68" i="77"/>
  <c r="BB72" i="77"/>
  <c r="P4" i="77"/>
  <c r="AH8" i="77"/>
  <c r="AN8" i="77" s="1"/>
  <c r="AR8" i="77" s="1"/>
  <c r="AV8" i="77" s="1"/>
  <c r="BD8" i="77" s="1"/>
  <c r="AH23" i="77"/>
  <c r="AN23" i="77" s="1"/>
  <c r="AR23" i="77" s="1"/>
  <c r="AV23" i="77" s="1"/>
  <c r="BD23" i="77" s="1"/>
  <c r="P33" i="77"/>
  <c r="BB35" i="77"/>
  <c r="BB64" i="77"/>
  <c r="BB65" i="77"/>
  <c r="P68" i="77"/>
  <c r="T68" i="77" s="1"/>
  <c r="AG6" i="71"/>
  <c r="AH73" i="77"/>
  <c r="AN73" i="77" s="1"/>
  <c r="AR73" i="77" s="1"/>
  <c r="AV73" i="77" s="1"/>
  <c r="BD73" i="77" s="1"/>
  <c r="BB73" i="77"/>
  <c r="BB67" i="77"/>
  <c r="P23" i="77"/>
  <c r="T23" i="77" s="1"/>
  <c r="P22" i="77"/>
  <c r="AH34" i="77"/>
  <c r="AN34" i="77" s="1"/>
  <c r="AR34" i="77" s="1"/>
  <c r="AV34" i="77" s="1"/>
  <c r="BD34" i="77" s="1"/>
  <c r="BB4" i="77"/>
  <c r="AH9" i="77"/>
  <c r="AN9" i="77" s="1"/>
  <c r="AR9" i="77" s="1"/>
  <c r="AV9" i="77" s="1"/>
  <c r="BD9" i="77" s="1"/>
  <c r="P55" i="77"/>
  <c r="T55" i="77" s="1"/>
  <c r="P64" i="77"/>
  <c r="T64" i="77" s="1"/>
  <c r="AH64" i="77"/>
  <c r="AN64" i="77" s="1"/>
  <c r="AR64" i="77" s="1"/>
  <c r="AV64" i="77" s="1"/>
  <c r="BD64" i="77" s="1"/>
  <c r="BB34" i="77"/>
  <c r="AH35" i="77"/>
  <c r="AN35" i="77" s="1"/>
  <c r="AR35" i="77" s="1"/>
  <c r="AV35" i="77" s="1"/>
  <c r="BD35" i="77" s="1"/>
  <c r="BB11" i="77"/>
  <c r="P29" i="77"/>
  <c r="T29" i="77" s="1"/>
  <c r="AH29" i="77"/>
  <c r="AN29" i="77" s="1"/>
  <c r="AR29" i="77" s="1"/>
  <c r="AV29" i="77" s="1"/>
  <c r="BD29" i="77" s="1"/>
  <c r="P56" i="77"/>
  <c r="T56" i="77" s="1"/>
  <c r="AH56" i="77"/>
  <c r="AN56" i="77" s="1"/>
  <c r="AR56" i="77" s="1"/>
  <c r="AV56" i="77" s="1"/>
  <c r="BD56" i="77" s="1"/>
  <c r="P60" i="77"/>
  <c r="AH57" i="77"/>
  <c r="AN57" i="77" s="1"/>
  <c r="AR57" i="77" s="1"/>
  <c r="AV57" i="77" s="1"/>
  <c r="BD57" i="77" s="1"/>
  <c r="P57" i="77"/>
  <c r="T57" i="77" s="1"/>
  <c r="P62" i="77"/>
  <c r="T62" i="77" s="1"/>
  <c r="AH25" i="77"/>
  <c r="AN25" i="77" s="1"/>
  <c r="AR25" i="77" s="1"/>
  <c r="AV25" i="77" s="1"/>
  <c r="BD25" i="77" s="1"/>
  <c r="P25" i="77"/>
  <c r="T25" i="77" s="1"/>
  <c r="Z4" i="77"/>
  <c r="Z7" i="77" s="1"/>
  <c r="BB8" i="77"/>
  <c r="AH51" i="77"/>
  <c r="AN51" i="77" s="1"/>
  <c r="AR51" i="77" s="1"/>
  <c r="AV51" i="77" s="1"/>
  <c r="BD51" i="77" s="1"/>
  <c r="P52" i="77"/>
  <c r="T52" i="77" s="1"/>
  <c r="AH52" i="77"/>
  <c r="AN52" i="77" s="1"/>
  <c r="AR52" i="77" s="1"/>
  <c r="AV52" i="77" s="1"/>
  <c r="BD52" i="77" s="1"/>
  <c r="BB62" i="77"/>
  <c r="BB46" i="77"/>
  <c r="BB28" i="77"/>
  <c r="AH46" i="77"/>
  <c r="AN46" i="77" s="1"/>
  <c r="AR46" i="77" s="1"/>
  <c r="AV46" i="77" s="1"/>
  <c r="BD46" i="77" s="1"/>
  <c r="BB12" i="77"/>
  <c r="AH49" i="77"/>
  <c r="AN49" i="77" s="1"/>
  <c r="AR49" i="77" s="1"/>
  <c r="AV49" i="77" s="1"/>
  <c r="BD49" i="77" s="1"/>
  <c r="AH72" i="77"/>
  <c r="AN72" i="77" s="1"/>
  <c r="AR72" i="77" s="1"/>
  <c r="AV72" i="77" s="1"/>
  <c r="BD72" i="77" s="1"/>
  <c r="P74" i="77"/>
  <c r="T74" i="77" s="1"/>
  <c r="AH74" i="77"/>
  <c r="AN74" i="77" s="1"/>
  <c r="AR74" i="77" s="1"/>
  <c r="AV74" i="77" s="1"/>
  <c r="BD74" i="77" s="1"/>
  <c r="AH48" i="77"/>
  <c r="AN48" i="77" s="1"/>
  <c r="AR48" i="77" s="1"/>
  <c r="AV48" i="77" s="1"/>
  <c r="BD48" i="77" s="1"/>
  <c r="BB48" i="77"/>
  <c r="AH75" i="77"/>
  <c r="AN75" i="77" s="1"/>
  <c r="AR75" i="77" s="1"/>
  <c r="AV75" i="77" s="1"/>
  <c r="BD75" i="77" s="1"/>
  <c r="AH59" i="77"/>
  <c r="AN59" i="77" s="1"/>
  <c r="AR59" i="77" s="1"/>
  <c r="AV59" i="77" s="1"/>
  <c r="BD59" i="77" s="1"/>
  <c r="AH71" i="77"/>
  <c r="AN71" i="77" s="1"/>
  <c r="AR71" i="77" s="1"/>
  <c r="AV71" i="77" s="1"/>
  <c r="BD71" i="77" s="1"/>
  <c r="BB36" i="77" l="1"/>
  <c r="BB7" i="77"/>
  <c r="T43" i="77"/>
  <c r="T53" i="77" s="1"/>
  <c r="P53" i="77"/>
  <c r="BB70" i="77"/>
  <c r="BB13" i="77"/>
  <c r="AD19" i="77"/>
  <c r="AD21" i="77" s="1"/>
  <c r="Z21" i="77"/>
  <c r="BB21" i="77"/>
  <c r="T19" i="77"/>
  <c r="T21" i="77" s="1"/>
  <c r="P21" i="77"/>
  <c r="T10" i="77"/>
  <c r="T13" i="77" s="1"/>
  <c r="P13" i="77"/>
  <c r="AD27" i="77"/>
  <c r="AD32" i="77" s="1"/>
  <c r="Z32" i="77"/>
  <c r="T22" i="77"/>
  <c r="T26" i="77" s="1"/>
  <c r="P26" i="77"/>
  <c r="T27" i="77"/>
  <c r="T32" i="77" s="1"/>
  <c r="P32" i="77"/>
  <c r="AD33" i="77"/>
  <c r="AD36" i="77" s="1"/>
  <c r="Z36" i="77"/>
  <c r="T4" i="77"/>
  <c r="T7" i="77" s="1"/>
  <c r="P7" i="77"/>
  <c r="BB53" i="77"/>
  <c r="BB26" i="77"/>
  <c r="BC7" i="77"/>
  <c r="BE4" i="77"/>
  <c r="BE7" i="77" s="1"/>
  <c r="T33" i="77"/>
  <c r="T36" i="77" s="1"/>
  <c r="P36" i="77"/>
  <c r="T60" i="77"/>
  <c r="T70" i="77" s="1"/>
  <c r="P70" i="77"/>
  <c r="BB32" i="77"/>
  <c r="AD22" i="77"/>
  <c r="Z26" i="77"/>
  <c r="AD43" i="77"/>
  <c r="AD53" i="77" s="1"/>
  <c r="Z53" i="77"/>
  <c r="AD10" i="77"/>
  <c r="AD13" i="77" s="1"/>
  <c r="Z13" i="77"/>
  <c r="AD60" i="77"/>
  <c r="AD70" i="77" s="1"/>
  <c r="Z70" i="77"/>
  <c r="AD4" i="77"/>
  <c r="AD7" i="77" s="1"/>
  <c r="AD26" i="77" l="1"/>
  <c r="AH22" i="77"/>
  <c r="AH43" i="77"/>
  <c r="AH53" i="77" s="1"/>
  <c r="AH19" i="77"/>
  <c r="AH21" i="77" s="1"/>
  <c r="AH33" i="77"/>
  <c r="AH36" i="77" s="1"/>
  <c r="AH60" i="77"/>
  <c r="AH70" i="77" s="1"/>
  <c r="AH27" i="77"/>
  <c r="AH32" i="77" s="1"/>
  <c r="AH10" i="77"/>
  <c r="AH13" i="77" s="1"/>
  <c r="AH4" i="77"/>
  <c r="AH7" i="77" s="1"/>
  <c r="AN33" i="77" l="1"/>
  <c r="AN36" i="77" s="1"/>
  <c r="AN43" i="77"/>
  <c r="AN53" i="77" s="1"/>
  <c r="AN19" i="77"/>
  <c r="AN21" i="77" s="1"/>
  <c r="AN22" i="77"/>
  <c r="AH26" i="77"/>
  <c r="AR19" i="77"/>
  <c r="AN4" i="77"/>
  <c r="AN7" i="77" s="1"/>
  <c r="AN27" i="77"/>
  <c r="AN32" i="77" s="1"/>
  <c r="AN60" i="77"/>
  <c r="AN70" i="77" s="1"/>
  <c r="AR33" i="77"/>
  <c r="AR36" i="77" s="1"/>
  <c r="AR43" i="77"/>
  <c r="AR53" i="77" s="1"/>
  <c r="AN10" i="77"/>
  <c r="AN13" i="77" s="1"/>
  <c r="AV19" i="77" l="1"/>
  <c r="AV21" i="77" s="1"/>
  <c r="AR21" i="77"/>
  <c r="AR22" i="77"/>
  <c r="AN26" i="77"/>
  <c r="AR10" i="77"/>
  <c r="AR13" i="77" s="1"/>
  <c r="AR4" i="77"/>
  <c r="AR7" i="77" s="1"/>
  <c r="AR27" i="77"/>
  <c r="AR32" i="77" s="1"/>
  <c r="BD19" i="77"/>
  <c r="BD21" i="77" s="1"/>
  <c r="AV43" i="77"/>
  <c r="AV53" i="77" s="1"/>
  <c r="AR60" i="77"/>
  <c r="AR70" i="77" s="1"/>
  <c r="AV33" i="77"/>
  <c r="AV36" i="77" s="1"/>
  <c r="AR26" i="77" l="1"/>
  <c r="AV22" i="77"/>
  <c r="BD43" i="77"/>
  <c r="BD53" i="77" s="1"/>
  <c r="BD33" i="77"/>
  <c r="BD36" i="77" s="1"/>
  <c r="AV4" i="77"/>
  <c r="AV7" i="77" s="1"/>
  <c r="AV10" i="77"/>
  <c r="AV13" i="77" s="1"/>
  <c r="AV27" i="77"/>
  <c r="AV32" i="77" s="1"/>
  <c r="AV60" i="77"/>
  <c r="AV70" i="77" s="1"/>
  <c r="AV26" i="77" l="1"/>
  <c r="BD22" i="77"/>
  <c r="BD26" i="77" s="1"/>
  <c r="BD4" i="77"/>
  <c r="BD7" i="77" s="1"/>
  <c r="BD60" i="77"/>
  <c r="BD70" i="77" s="1"/>
  <c r="BD27" i="77"/>
  <c r="BD32" i="77" s="1"/>
  <c r="BD10" i="77"/>
  <c r="BD13" i="77" s="1"/>
  <c r="K9" i="45" l="1"/>
  <c r="K10" i="45"/>
  <c r="K11" i="45"/>
  <c r="K12" i="45"/>
  <c r="K13" i="45"/>
  <c r="K14" i="45"/>
  <c r="K15" i="45"/>
  <c r="K16" i="45"/>
  <c r="K17" i="45"/>
  <c r="K18" i="45"/>
  <c r="K19" i="45"/>
  <c r="K20" i="45"/>
  <c r="K22" i="45"/>
  <c r="K23" i="45"/>
  <c r="K24" i="45"/>
  <c r="K25" i="45"/>
  <c r="K26" i="45"/>
  <c r="K27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K63" i="45"/>
  <c r="K64" i="45"/>
  <c r="K65" i="45"/>
  <c r="K66" i="45"/>
  <c r="K67" i="45"/>
  <c r="K68" i="45"/>
  <c r="K69" i="45"/>
  <c r="K72" i="45"/>
  <c r="K73" i="45"/>
  <c r="K88" i="45"/>
  <c r="K89" i="45"/>
  <c r="K90" i="45"/>
  <c r="K91" i="45"/>
  <c r="K92" i="45"/>
  <c r="K93" i="45"/>
  <c r="K96" i="45"/>
  <c r="K97" i="45"/>
  <c r="K101" i="45"/>
  <c r="K102" i="45"/>
  <c r="K103" i="45"/>
  <c r="K104" i="45"/>
  <c r="K105" i="45"/>
  <c r="K106" i="45"/>
  <c r="K107" i="45"/>
  <c r="K108" i="45"/>
  <c r="K109" i="45"/>
  <c r="K110" i="45"/>
  <c r="K111" i="45"/>
  <c r="K112" i="45"/>
  <c r="K113" i="45"/>
  <c r="K114" i="45"/>
  <c r="K115" i="45"/>
  <c r="K119" i="45"/>
  <c r="BC9" i="45"/>
  <c r="BC10" i="45"/>
  <c r="BC11" i="45"/>
  <c r="BE11" i="45" s="1"/>
  <c r="BL11" i="45" s="1"/>
  <c r="BC12" i="45"/>
  <c r="BE12" i="45" s="1"/>
  <c r="BL12" i="45" s="1"/>
  <c r="BC13" i="45"/>
  <c r="BE13" i="45" s="1"/>
  <c r="BL13" i="45" s="1"/>
  <c r="BC14" i="45"/>
  <c r="BC15" i="45"/>
  <c r="BC16" i="45"/>
  <c r="BC17" i="45"/>
  <c r="BC18" i="45"/>
  <c r="BC19" i="45"/>
  <c r="BC20" i="45"/>
  <c r="BC22" i="45"/>
  <c r="BC23" i="45"/>
  <c r="BC24" i="45"/>
  <c r="BC25" i="45"/>
  <c r="BC26" i="45"/>
  <c r="BC27" i="45"/>
  <c r="BC31" i="45"/>
  <c r="BC32" i="45"/>
  <c r="BC33" i="45"/>
  <c r="BC34" i="45"/>
  <c r="BE34" i="45" s="1"/>
  <c r="BL34" i="45" s="1"/>
  <c r="BC35" i="45"/>
  <c r="BC36" i="45"/>
  <c r="BC37" i="45"/>
  <c r="BC38" i="45"/>
  <c r="BC39" i="45"/>
  <c r="BC40" i="45"/>
  <c r="BC41" i="45"/>
  <c r="BC42" i="45"/>
  <c r="BC43" i="45"/>
  <c r="BC44" i="45"/>
  <c r="BC45" i="45"/>
  <c r="BC46" i="45"/>
  <c r="BE46" i="45" s="1"/>
  <c r="BL46" i="45" s="1"/>
  <c r="BC47" i="45"/>
  <c r="BC48" i="45"/>
  <c r="BC50" i="45"/>
  <c r="BC51" i="45"/>
  <c r="BC52" i="45"/>
  <c r="BC53" i="45"/>
  <c r="BC54" i="45"/>
  <c r="BE54" i="45" s="1"/>
  <c r="BL54" i="45" s="1"/>
  <c r="BC55" i="45"/>
  <c r="BC56" i="45"/>
  <c r="BC57" i="45"/>
  <c r="BC58" i="45"/>
  <c r="BC59" i="45"/>
  <c r="BE59" i="45" s="1"/>
  <c r="BL59" i="45" s="1"/>
  <c r="BC60" i="45"/>
  <c r="BC61" i="45"/>
  <c r="BC63" i="45"/>
  <c r="BC64" i="45"/>
  <c r="BC65" i="45"/>
  <c r="BC66" i="45"/>
  <c r="BE66" i="45" s="1"/>
  <c r="BL66" i="45" s="1"/>
  <c r="BC67" i="45"/>
  <c r="BE67" i="45" s="1"/>
  <c r="BL67" i="45" s="1"/>
  <c r="BC68" i="45"/>
  <c r="BC69" i="45"/>
  <c r="BE69" i="45" s="1"/>
  <c r="BL69" i="45" s="1"/>
  <c r="BC72" i="45"/>
  <c r="BC73" i="45"/>
  <c r="BC88" i="45"/>
  <c r="BC89" i="45"/>
  <c r="BC90" i="45"/>
  <c r="BC91" i="45"/>
  <c r="BC92" i="45"/>
  <c r="BC93" i="45"/>
  <c r="BC96" i="45"/>
  <c r="BC97" i="45"/>
  <c r="BC101" i="45"/>
  <c r="BC102" i="45"/>
  <c r="BC103" i="45"/>
  <c r="BC104" i="45"/>
  <c r="BC105" i="45"/>
  <c r="BC106" i="45"/>
  <c r="BC107" i="45"/>
  <c r="BC108" i="45"/>
  <c r="BC109" i="45"/>
  <c r="BC110" i="45"/>
  <c r="BE110" i="45" s="1"/>
  <c r="BL110" i="45" s="1"/>
  <c r="BC111" i="45"/>
  <c r="BC112" i="45"/>
  <c r="BE112" i="45" s="1"/>
  <c r="BL112" i="45" s="1"/>
  <c r="BC113" i="45"/>
  <c r="BC114" i="45"/>
  <c r="BE114" i="45" s="1"/>
  <c r="BL114" i="45" s="1"/>
  <c r="BC115" i="45"/>
  <c r="BE26" i="45"/>
  <c r="BL26" i="45" s="1"/>
  <c r="BE40" i="45"/>
  <c r="BL40" i="45" s="1"/>
  <c r="BE41" i="45"/>
  <c r="BL41" i="45" s="1"/>
  <c r="BE53" i="45"/>
  <c r="BL53" i="45" s="1"/>
  <c r="BE96" i="45"/>
  <c r="BL96" i="45" s="1"/>
  <c r="BE97" i="45"/>
  <c r="BL97" i="45" s="1"/>
  <c r="BE102" i="45"/>
  <c r="BL102" i="45" s="1"/>
  <c r="BE111" i="45"/>
  <c r="BL111" i="45" s="1"/>
  <c r="O9" i="45"/>
  <c r="O10" i="45"/>
  <c r="AC10" i="45" s="1"/>
  <c r="AG10" i="45" s="1"/>
  <c r="AK10" i="45" s="1"/>
  <c r="AQ10" i="45" s="1"/>
  <c r="AU10" i="45" s="1"/>
  <c r="AY10" i="45" s="1"/>
  <c r="BG10" i="45" s="1"/>
  <c r="BI10" i="45" s="1"/>
  <c r="O11" i="45"/>
  <c r="AC11" i="45" s="1"/>
  <c r="AG11" i="45" s="1"/>
  <c r="AK11" i="45" s="1"/>
  <c r="AQ11" i="45" s="1"/>
  <c r="AU11" i="45" s="1"/>
  <c r="AY11" i="45" s="1"/>
  <c r="BG11" i="45" s="1"/>
  <c r="BI11" i="45" s="1"/>
  <c r="O12" i="45"/>
  <c r="AC12" i="45" s="1"/>
  <c r="AG12" i="45" s="1"/>
  <c r="AK12" i="45" s="1"/>
  <c r="AQ12" i="45" s="1"/>
  <c r="AU12" i="45" s="1"/>
  <c r="AY12" i="45" s="1"/>
  <c r="BG12" i="45" s="1"/>
  <c r="BI12" i="45" s="1"/>
  <c r="O13" i="45"/>
  <c r="AC13" i="45" s="1"/>
  <c r="AG13" i="45" s="1"/>
  <c r="AK13" i="45" s="1"/>
  <c r="AQ13" i="45" s="1"/>
  <c r="AU13" i="45" s="1"/>
  <c r="AY13" i="45" s="1"/>
  <c r="BG13" i="45" s="1"/>
  <c r="BI13" i="45" s="1"/>
  <c r="O14" i="45"/>
  <c r="AC14" i="45" s="1"/>
  <c r="AG14" i="45" s="1"/>
  <c r="AK14" i="45" s="1"/>
  <c r="AQ14" i="45" s="1"/>
  <c r="AU14" i="45" s="1"/>
  <c r="AY14" i="45" s="1"/>
  <c r="BG14" i="45" s="1"/>
  <c r="BI14" i="45" s="1"/>
  <c r="O15" i="45"/>
  <c r="AC15" i="45" s="1"/>
  <c r="AG15" i="45" s="1"/>
  <c r="AK15" i="45" s="1"/>
  <c r="AQ15" i="45" s="1"/>
  <c r="AU15" i="45" s="1"/>
  <c r="AY15" i="45" s="1"/>
  <c r="BG15" i="45" s="1"/>
  <c r="BI15" i="45" s="1"/>
  <c r="O16" i="45"/>
  <c r="AC16" i="45" s="1"/>
  <c r="AG16" i="45" s="1"/>
  <c r="AK16" i="45" s="1"/>
  <c r="AQ16" i="45" s="1"/>
  <c r="AU16" i="45" s="1"/>
  <c r="AY16" i="45" s="1"/>
  <c r="BG16" i="45" s="1"/>
  <c r="BI16" i="45" s="1"/>
  <c r="O17" i="45"/>
  <c r="AC17" i="45" s="1"/>
  <c r="AG17" i="45" s="1"/>
  <c r="AK17" i="45" s="1"/>
  <c r="AQ17" i="45" s="1"/>
  <c r="AU17" i="45" s="1"/>
  <c r="AY17" i="45" s="1"/>
  <c r="BG17" i="45" s="1"/>
  <c r="BI17" i="45" s="1"/>
  <c r="O18" i="45"/>
  <c r="AC18" i="45" s="1"/>
  <c r="AG18" i="45" s="1"/>
  <c r="AK18" i="45" s="1"/>
  <c r="AQ18" i="45" s="1"/>
  <c r="AU18" i="45" s="1"/>
  <c r="AY18" i="45" s="1"/>
  <c r="BG18" i="45" s="1"/>
  <c r="BI18" i="45" s="1"/>
  <c r="O19" i="45"/>
  <c r="AC19" i="45" s="1"/>
  <c r="AG19" i="45" s="1"/>
  <c r="AK19" i="45" s="1"/>
  <c r="AQ19" i="45" s="1"/>
  <c r="AU19" i="45" s="1"/>
  <c r="AY19" i="45" s="1"/>
  <c r="BG19" i="45" s="1"/>
  <c r="BI19" i="45" s="1"/>
  <c r="O20" i="45"/>
  <c r="AC20" i="45" s="1"/>
  <c r="AG20" i="45" s="1"/>
  <c r="AK20" i="45" s="1"/>
  <c r="AQ20" i="45" s="1"/>
  <c r="AU20" i="45" s="1"/>
  <c r="AY20" i="45" s="1"/>
  <c r="BG20" i="45" s="1"/>
  <c r="BI20" i="45" s="1"/>
  <c r="O22" i="45"/>
  <c r="AC22" i="45" s="1"/>
  <c r="AG22" i="45" s="1"/>
  <c r="AK22" i="45" s="1"/>
  <c r="AQ22" i="45" s="1"/>
  <c r="AU22" i="45" s="1"/>
  <c r="AY22" i="45" s="1"/>
  <c r="BG22" i="45" s="1"/>
  <c r="BI22" i="45" s="1"/>
  <c r="O23" i="45"/>
  <c r="AC23" i="45" s="1"/>
  <c r="AG23" i="45" s="1"/>
  <c r="AK23" i="45" s="1"/>
  <c r="AQ23" i="45" s="1"/>
  <c r="AU23" i="45" s="1"/>
  <c r="AY23" i="45" s="1"/>
  <c r="BG23" i="45" s="1"/>
  <c r="BI23" i="45" s="1"/>
  <c r="O24" i="45"/>
  <c r="AC24" i="45" s="1"/>
  <c r="AG24" i="45" s="1"/>
  <c r="AK24" i="45" s="1"/>
  <c r="AQ24" i="45" s="1"/>
  <c r="AU24" i="45" s="1"/>
  <c r="AY24" i="45" s="1"/>
  <c r="BG24" i="45" s="1"/>
  <c r="BI24" i="45" s="1"/>
  <c r="O25" i="45"/>
  <c r="AC25" i="45" s="1"/>
  <c r="AG25" i="45" s="1"/>
  <c r="AK25" i="45" s="1"/>
  <c r="AQ25" i="45" s="1"/>
  <c r="AU25" i="45" s="1"/>
  <c r="AY25" i="45" s="1"/>
  <c r="BG25" i="45" s="1"/>
  <c r="BI25" i="45" s="1"/>
  <c r="O26" i="45"/>
  <c r="AC26" i="45" s="1"/>
  <c r="AG26" i="45" s="1"/>
  <c r="AK26" i="45" s="1"/>
  <c r="AQ26" i="45" s="1"/>
  <c r="AU26" i="45" s="1"/>
  <c r="AY26" i="45" s="1"/>
  <c r="BG26" i="45" s="1"/>
  <c r="BI26" i="45" s="1"/>
  <c r="O27" i="45"/>
  <c r="AC27" i="45" s="1"/>
  <c r="AG27" i="45" s="1"/>
  <c r="AK27" i="45" s="1"/>
  <c r="AQ27" i="45" s="1"/>
  <c r="AU27" i="45" s="1"/>
  <c r="AY27" i="45" s="1"/>
  <c r="BG27" i="45" s="1"/>
  <c r="BI27" i="45" s="1"/>
  <c r="O31" i="45"/>
  <c r="AC31" i="45" s="1"/>
  <c r="AG31" i="45" s="1"/>
  <c r="AK31" i="45" s="1"/>
  <c r="AQ31" i="45" s="1"/>
  <c r="AU31" i="45" s="1"/>
  <c r="AY31" i="45" s="1"/>
  <c r="BG31" i="45" s="1"/>
  <c r="BI31" i="45" s="1"/>
  <c r="O32" i="45"/>
  <c r="AC32" i="45" s="1"/>
  <c r="AG32" i="45" s="1"/>
  <c r="AK32" i="45" s="1"/>
  <c r="AQ32" i="45" s="1"/>
  <c r="AU32" i="45" s="1"/>
  <c r="AY32" i="45" s="1"/>
  <c r="BG32" i="45" s="1"/>
  <c r="BI32" i="45" s="1"/>
  <c r="O33" i="45"/>
  <c r="AC33" i="45" s="1"/>
  <c r="AG33" i="45" s="1"/>
  <c r="AK33" i="45" s="1"/>
  <c r="AQ33" i="45" s="1"/>
  <c r="AU33" i="45" s="1"/>
  <c r="AY33" i="45" s="1"/>
  <c r="BG33" i="45" s="1"/>
  <c r="BI33" i="45" s="1"/>
  <c r="O34" i="45"/>
  <c r="AC34" i="45" s="1"/>
  <c r="AG34" i="45" s="1"/>
  <c r="AK34" i="45" s="1"/>
  <c r="AQ34" i="45" s="1"/>
  <c r="AU34" i="45" s="1"/>
  <c r="AY34" i="45" s="1"/>
  <c r="BG34" i="45" s="1"/>
  <c r="BI34" i="45" s="1"/>
  <c r="O35" i="45"/>
  <c r="AC35" i="45" s="1"/>
  <c r="AG35" i="45" s="1"/>
  <c r="AK35" i="45" s="1"/>
  <c r="AQ35" i="45" s="1"/>
  <c r="AU35" i="45" s="1"/>
  <c r="AY35" i="45" s="1"/>
  <c r="BG35" i="45" s="1"/>
  <c r="BI35" i="45" s="1"/>
  <c r="O36" i="45"/>
  <c r="AC36" i="45" s="1"/>
  <c r="AG36" i="45" s="1"/>
  <c r="AK36" i="45" s="1"/>
  <c r="AQ36" i="45" s="1"/>
  <c r="AU36" i="45" s="1"/>
  <c r="AY36" i="45" s="1"/>
  <c r="BG36" i="45" s="1"/>
  <c r="BI36" i="45" s="1"/>
  <c r="O37" i="45"/>
  <c r="AC37" i="45" s="1"/>
  <c r="AG37" i="45" s="1"/>
  <c r="AK37" i="45" s="1"/>
  <c r="AQ37" i="45" s="1"/>
  <c r="AU37" i="45" s="1"/>
  <c r="AY37" i="45" s="1"/>
  <c r="BG37" i="45" s="1"/>
  <c r="BI37" i="45" s="1"/>
  <c r="O38" i="45"/>
  <c r="AC38" i="45" s="1"/>
  <c r="AG38" i="45" s="1"/>
  <c r="AK38" i="45" s="1"/>
  <c r="AQ38" i="45" s="1"/>
  <c r="AU38" i="45" s="1"/>
  <c r="AY38" i="45" s="1"/>
  <c r="BG38" i="45" s="1"/>
  <c r="BI38" i="45" s="1"/>
  <c r="O39" i="45"/>
  <c r="AC39" i="45" s="1"/>
  <c r="AG39" i="45" s="1"/>
  <c r="AK39" i="45" s="1"/>
  <c r="AQ39" i="45" s="1"/>
  <c r="AU39" i="45" s="1"/>
  <c r="AY39" i="45" s="1"/>
  <c r="BG39" i="45" s="1"/>
  <c r="BI39" i="45" s="1"/>
  <c r="O40" i="45"/>
  <c r="AC40" i="45" s="1"/>
  <c r="AG40" i="45" s="1"/>
  <c r="AK40" i="45" s="1"/>
  <c r="AQ40" i="45" s="1"/>
  <c r="AU40" i="45" s="1"/>
  <c r="AY40" i="45" s="1"/>
  <c r="BG40" i="45" s="1"/>
  <c r="BI40" i="45" s="1"/>
  <c r="O41" i="45"/>
  <c r="AC41" i="45" s="1"/>
  <c r="AG41" i="45" s="1"/>
  <c r="AK41" i="45" s="1"/>
  <c r="AQ41" i="45" s="1"/>
  <c r="AU41" i="45" s="1"/>
  <c r="AY41" i="45" s="1"/>
  <c r="BG41" i="45" s="1"/>
  <c r="BI41" i="45" s="1"/>
  <c r="O42" i="45"/>
  <c r="AC42" i="45" s="1"/>
  <c r="AG42" i="45" s="1"/>
  <c r="AK42" i="45" s="1"/>
  <c r="AQ42" i="45" s="1"/>
  <c r="AU42" i="45" s="1"/>
  <c r="AY42" i="45" s="1"/>
  <c r="BG42" i="45" s="1"/>
  <c r="BI42" i="45" s="1"/>
  <c r="O43" i="45"/>
  <c r="AC43" i="45" s="1"/>
  <c r="AG43" i="45" s="1"/>
  <c r="AK43" i="45" s="1"/>
  <c r="AQ43" i="45" s="1"/>
  <c r="AU43" i="45" s="1"/>
  <c r="AY43" i="45" s="1"/>
  <c r="BG43" i="45" s="1"/>
  <c r="BI43" i="45" s="1"/>
  <c r="O44" i="45"/>
  <c r="AC44" i="45" s="1"/>
  <c r="AG44" i="45" s="1"/>
  <c r="AK44" i="45" s="1"/>
  <c r="AQ44" i="45" s="1"/>
  <c r="AU44" i="45" s="1"/>
  <c r="AY44" i="45" s="1"/>
  <c r="BG44" i="45" s="1"/>
  <c r="BI44" i="45" s="1"/>
  <c r="O45" i="45"/>
  <c r="AC45" i="45" s="1"/>
  <c r="AG45" i="45" s="1"/>
  <c r="AK45" i="45" s="1"/>
  <c r="AQ45" i="45" s="1"/>
  <c r="AU45" i="45" s="1"/>
  <c r="AY45" i="45" s="1"/>
  <c r="BG45" i="45" s="1"/>
  <c r="BI45" i="45" s="1"/>
  <c r="O46" i="45"/>
  <c r="AC46" i="45" s="1"/>
  <c r="AG46" i="45" s="1"/>
  <c r="AK46" i="45" s="1"/>
  <c r="AQ46" i="45" s="1"/>
  <c r="AU46" i="45" s="1"/>
  <c r="AY46" i="45" s="1"/>
  <c r="BG46" i="45" s="1"/>
  <c r="BI46" i="45" s="1"/>
  <c r="O47" i="45"/>
  <c r="AC47" i="45" s="1"/>
  <c r="AG47" i="45" s="1"/>
  <c r="AK47" i="45" s="1"/>
  <c r="AQ47" i="45" s="1"/>
  <c r="AU47" i="45" s="1"/>
  <c r="AY47" i="45" s="1"/>
  <c r="BG47" i="45" s="1"/>
  <c r="BI47" i="45" s="1"/>
  <c r="O48" i="45"/>
  <c r="AC48" i="45" s="1"/>
  <c r="AG48" i="45" s="1"/>
  <c r="AK48" i="45" s="1"/>
  <c r="AQ48" i="45" s="1"/>
  <c r="AU48" i="45" s="1"/>
  <c r="AY48" i="45" s="1"/>
  <c r="BG48" i="45" s="1"/>
  <c r="BI48" i="45" s="1"/>
  <c r="O50" i="45"/>
  <c r="O51" i="45"/>
  <c r="AC51" i="45" s="1"/>
  <c r="AG51" i="45" s="1"/>
  <c r="AK51" i="45" s="1"/>
  <c r="AQ51" i="45" s="1"/>
  <c r="AU51" i="45" s="1"/>
  <c r="AY51" i="45" s="1"/>
  <c r="BG51" i="45" s="1"/>
  <c r="BI51" i="45" s="1"/>
  <c r="O52" i="45"/>
  <c r="AC52" i="45" s="1"/>
  <c r="AG52" i="45" s="1"/>
  <c r="AK52" i="45" s="1"/>
  <c r="AQ52" i="45" s="1"/>
  <c r="AU52" i="45" s="1"/>
  <c r="AY52" i="45" s="1"/>
  <c r="BG52" i="45" s="1"/>
  <c r="BI52" i="45" s="1"/>
  <c r="O53" i="45"/>
  <c r="AC53" i="45" s="1"/>
  <c r="AG53" i="45" s="1"/>
  <c r="AK53" i="45" s="1"/>
  <c r="AQ53" i="45" s="1"/>
  <c r="AU53" i="45" s="1"/>
  <c r="AY53" i="45" s="1"/>
  <c r="BG53" i="45" s="1"/>
  <c r="BI53" i="45" s="1"/>
  <c r="O54" i="45"/>
  <c r="AC54" i="45" s="1"/>
  <c r="AG54" i="45" s="1"/>
  <c r="AK54" i="45" s="1"/>
  <c r="AQ54" i="45" s="1"/>
  <c r="AU54" i="45" s="1"/>
  <c r="AY54" i="45" s="1"/>
  <c r="BG54" i="45" s="1"/>
  <c r="BI54" i="45" s="1"/>
  <c r="O55" i="45"/>
  <c r="AC55" i="45" s="1"/>
  <c r="AG55" i="45" s="1"/>
  <c r="AK55" i="45" s="1"/>
  <c r="AQ55" i="45" s="1"/>
  <c r="AU55" i="45" s="1"/>
  <c r="AY55" i="45" s="1"/>
  <c r="BG55" i="45" s="1"/>
  <c r="BI55" i="45" s="1"/>
  <c r="O56" i="45"/>
  <c r="AC56" i="45" s="1"/>
  <c r="AG56" i="45" s="1"/>
  <c r="AK56" i="45" s="1"/>
  <c r="AQ56" i="45" s="1"/>
  <c r="AU56" i="45" s="1"/>
  <c r="AY56" i="45" s="1"/>
  <c r="BG56" i="45" s="1"/>
  <c r="BI56" i="45" s="1"/>
  <c r="O57" i="45"/>
  <c r="AC57" i="45" s="1"/>
  <c r="AG57" i="45" s="1"/>
  <c r="AK57" i="45" s="1"/>
  <c r="AQ57" i="45" s="1"/>
  <c r="AU57" i="45" s="1"/>
  <c r="AY57" i="45" s="1"/>
  <c r="BG57" i="45" s="1"/>
  <c r="BI57" i="45" s="1"/>
  <c r="O58" i="45"/>
  <c r="AC58" i="45" s="1"/>
  <c r="AG58" i="45" s="1"/>
  <c r="AK58" i="45" s="1"/>
  <c r="AQ58" i="45" s="1"/>
  <c r="AU58" i="45" s="1"/>
  <c r="AY58" i="45" s="1"/>
  <c r="BG58" i="45" s="1"/>
  <c r="BI58" i="45" s="1"/>
  <c r="O59" i="45"/>
  <c r="AC59" i="45" s="1"/>
  <c r="AG59" i="45" s="1"/>
  <c r="AK59" i="45" s="1"/>
  <c r="AQ59" i="45" s="1"/>
  <c r="AU59" i="45" s="1"/>
  <c r="AY59" i="45" s="1"/>
  <c r="BG59" i="45" s="1"/>
  <c r="BI59" i="45" s="1"/>
  <c r="O60" i="45"/>
  <c r="O61" i="45"/>
  <c r="AC61" i="45" s="1"/>
  <c r="AG61" i="45" s="1"/>
  <c r="AK61" i="45" s="1"/>
  <c r="AQ61" i="45" s="1"/>
  <c r="AU61" i="45" s="1"/>
  <c r="AY61" i="45" s="1"/>
  <c r="BG61" i="45" s="1"/>
  <c r="BI61" i="45" s="1"/>
  <c r="O63" i="45"/>
  <c r="AC63" i="45" s="1"/>
  <c r="AG63" i="45" s="1"/>
  <c r="AK63" i="45" s="1"/>
  <c r="AQ63" i="45" s="1"/>
  <c r="AU63" i="45" s="1"/>
  <c r="AY63" i="45" s="1"/>
  <c r="BG63" i="45" s="1"/>
  <c r="BI63" i="45" s="1"/>
  <c r="O64" i="45"/>
  <c r="AC64" i="45" s="1"/>
  <c r="AG64" i="45" s="1"/>
  <c r="AK64" i="45" s="1"/>
  <c r="AQ64" i="45" s="1"/>
  <c r="AU64" i="45" s="1"/>
  <c r="AY64" i="45" s="1"/>
  <c r="BG64" i="45" s="1"/>
  <c r="BI64" i="45" s="1"/>
  <c r="O65" i="45"/>
  <c r="AC65" i="45" s="1"/>
  <c r="AG65" i="45" s="1"/>
  <c r="AK65" i="45" s="1"/>
  <c r="AQ65" i="45" s="1"/>
  <c r="AU65" i="45" s="1"/>
  <c r="AY65" i="45" s="1"/>
  <c r="BG65" i="45" s="1"/>
  <c r="BI65" i="45" s="1"/>
  <c r="O66" i="45"/>
  <c r="AC66" i="45" s="1"/>
  <c r="AG66" i="45" s="1"/>
  <c r="AK66" i="45" s="1"/>
  <c r="AQ66" i="45" s="1"/>
  <c r="AU66" i="45" s="1"/>
  <c r="AY66" i="45" s="1"/>
  <c r="BG66" i="45" s="1"/>
  <c r="BI66" i="45" s="1"/>
  <c r="O67" i="45"/>
  <c r="AC67" i="45" s="1"/>
  <c r="AG67" i="45" s="1"/>
  <c r="AK67" i="45" s="1"/>
  <c r="AQ67" i="45" s="1"/>
  <c r="AU67" i="45" s="1"/>
  <c r="AY67" i="45" s="1"/>
  <c r="BG67" i="45" s="1"/>
  <c r="BI67" i="45" s="1"/>
  <c r="O68" i="45"/>
  <c r="AC68" i="45" s="1"/>
  <c r="AG68" i="45" s="1"/>
  <c r="AK68" i="45" s="1"/>
  <c r="AQ68" i="45" s="1"/>
  <c r="AU68" i="45" s="1"/>
  <c r="AY68" i="45" s="1"/>
  <c r="BG68" i="45" s="1"/>
  <c r="BI68" i="45" s="1"/>
  <c r="O69" i="45"/>
  <c r="AC69" i="45" s="1"/>
  <c r="AG69" i="45" s="1"/>
  <c r="AK69" i="45" s="1"/>
  <c r="AQ69" i="45" s="1"/>
  <c r="AU69" i="45" s="1"/>
  <c r="AY69" i="45" s="1"/>
  <c r="BG69" i="45" s="1"/>
  <c r="BI69" i="45" s="1"/>
  <c r="O73" i="45"/>
  <c r="AC73" i="45" s="1"/>
  <c r="AG73" i="45" s="1"/>
  <c r="AK73" i="45" s="1"/>
  <c r="AQ73" i="45" s="1"/>
  <c r="AU73" i="45" s="1"/>
  <c r="AY73" i="45" s="1"/>
  <c r="BG73" i="45" s="1"/>
  <c r="BI73" i="45" s="1"/>
  <c r="O88" i="45"/>
  <c r="O89" i="45"/>
  <c r="AC89" i="45" s="1"/>
  <c r="AG89" i="45" s="1"/>
  <c r="AK89" i="45" s="1"/>
  <c r="AQ89" i="45" s="1"/>
  <c r="AU89" i="45" s="1"/>
  <c r="AY89" i="45" s="1"/>
  <c r="BG89" i="45" s="1"/>
  <c r="BI89" i="45" s="1"/>
  <c r="O90" i="45"/>
  <c r="O91" i="45"/>
  <c r="AC91" i="45" s="1"/>
  <c r="AG91" i="45" s="1"/>
  <c r="AK91" i="45" s="1"/>
  <c r="AQ91" i="45" s="1"/>
  <c r="AU91" i="45" s="1"/>
  <c r="AY91" i="45" s="1"/>
  <c r="BG91" i="45" s="1"/>
  <c r="BI91" i="45" s="1"/>
  <c r="O92" i="45"/>
  <c r="AC92" i="45" s="1"/>
  <c r="AG92" i="45" s="1"/>
  <c r="AK92" i="45" s="1"/>
  <c r="AQ92" i="45" s="1"/>
  <c r="AU92" i="45" s="1"/>
  <c r="AY92" i="45" s="1"/>
  <c r="BG92" i="45" s="1"/>
  <c r="BI92" i="45" s="1"/>
  <c r="O93" i="45"/>
  <c r="O96" i="45"/>
  <c r="AC96" i="45" s="1"/>
  <c r="AG96" i="45" s="1"/>
  <c r="AK96" i="45" s="1"/>
  <c r="AQ96" i="45" s="1"/>
  <c r="AU96" i="45" s="1"/>
  <c r="AY96" i="45" s="1"/>
  <c r="BG96" i="45" s="1"/>
  <c r="BI96" i="45" s="1"/>
  <c r="O97" i="45"/>
  <c r="O101" i="45"/>
  <c r="O102" i="45"/>
  <c r="AC102" i="45" s="1"/>
  <c r="AG102" i="45" s="1"/>
  <c r="AK102" i="45" s="1"/>
  <c r="AQ102" i="45" s="1"/>
  <c r="AU102" i="45" s="1"/>
  <c r="AY102" i="45" s="1"/>
  <c r="BG102" i="45" s="1"/>
  <c r="BI102" i="45" s="1"/>
  <c r="O103" i="45"/>
  <c r="AC103" i="45" s="1"/>
  <c r="AG103" i="45" s="1"/>
  <c r="AK103" i="45" s="1"/>
  <c r="AQ103" i="45" s="1"/>
  <c r="AU103" i="45" s="1"/>
  <c r="AY103" i="45" s="1"/>
  <c r="BG103" i="45" s="1"/>
  <c r="BI103" i="45" s="1"/>
  <c r="O104" i="45"/>
  <c r="AC104" i="45" s="1"/>
  <c r="AG104" i="45" s="1"/>
  <c r="AK104" i="45" s="1"/>
  <c r="AQ104" i="45" s="1"/>
  <c r="AU104" i="45" s="1"/>
  <c r="AY104" i="45" s="1"/>
  <c r="BG104" i="45" s="1"/>
  <c r="BI104" i="45" s="1"/>
  <c r="O105" i="45"/>
  <c r="AC105" i="45" s="1"/>
  <c r="AG105" i="45" s="1"/>
  <c r="AK105" i="45" s="1"/>
  <c r="AQ105" i="45" s="1"/>
  <c r="AU105" i="45" s="1"/>
  <c r="AY105" i="45" s="1"/>
  <c r="BG105" i="45" s="1"/>
  <c r="BI105" i="45" s="1"/>
  <c r="O106" i="45"/>
  <c r="AC106" i="45" s="1"/>
  <c r="AG106" i="45" s="1"/>
  <c r="AK106" i="45" s="1"/>
  <c r="AQ106" i="45" s="1"/>
  <c r="AU106" i="45" s="1"/>
  <c r="AY106" i="45" s="1"/>
  <c r="BG106" i="45" s="1"/>
  <c r="BI106" i="45" s="1"/>
  <c r="O107" i="45"/>
  <c r="AC107" i="45" s="1"/>
  <c r="AG107" i="45" s="1"/>
  <c r="AK107" i="45" s="1"/>
  <c r="AQ107" i="45" s="1"/>
  <c r="AU107" i="45" s="1"/>
  <c r="AY107" i="45" s="1"/>
  <c r="BG107" i="45" s="1"/>
  <c r="BI107" i="45" s="1"/>
  <c r="O108" i="45"/>
  <c r="AC108" i="45" s="1"/>
  <c r="AG108" i="45" s="1"/>
  <c r="AK108" i="45" s="1"/>
  <c r="AQ108" i="45" s="1"/>
  <c r="AU108" i="45" s="1"/>
  <c r="AY108" i="45" s="1"/>
  <c r="BG108" i="45" s="1"/>
  <c r="BI108" i="45" s="1"/>
  <c r="O109" i="45"/>
  <c r="AC109" i="45" s="1"/>
  <c r="AG109" i="45" s="1"/>
  <c r="AK109" i="45" s="1"/>
  <c r="AQ109" i="45" s="1"/>
  <c r="AU109" i="45" s="1"/>
  <c r="AY109" i="45" s="1"/>
  <c r="BG109" i="45" s="1"/>
  <c r="BI109" i="45" s="1"/>
  <c r="O110" i="45"/>
  <c r="AC110" i="45" s="1"/>
  <c r="AG110" i="45" s="1"/>
  <c r="AK110" i="45" s="1"/>
  <c r="AQ110" i="45" s="1"/>
  <c r="AU110" i="45" s="1"/>
  <c r="AY110" i="45" s="1"/>
  <c r="BG110" i="45" s="1"/>
  <c r="BI110" i="45" s="1"/>
  <c r="O111" i="45"/>
  <c r="AC111" i="45" s="1"/>
  <c r="AG111" i="45" s="1"/>
  <c r="AK111" i="45" s="1"/>
  <c r="AQ111" i="45" s="1"/>
  <c r="AU111" i="45" s="1"/>
  <c r="AY111" i="45" s="1"/>
  <c r="BG111" i="45" s="1"/>
  <c r="BI111" i="45" s="1"/>
  <c r="O112" i="45"/>
  <c r="AC112" i="45" s="1"/>
  <c r="AG112" i="45" s="1"/>
  <c r="AK112" i="45" s="1"/>
  <c r="AQ112" i="45" s="1"/>
  <c r="AU112" i="45" s="1"/>
  <c r="AY112" i="45" s="1"/>
  <c r="BG112" i="45" s="1"/>
  <c r="BI112" i="45" s="1"/>
  <c r="O113" i="45"/>
  <c r="AC113" i="45" s="1"/>
  <c r="AG113" i="45" s="1"/>
  <c r="AK113" i="45" s="1"/>
  <c r="AQ113" i="45" s="1"/>
  <c r="AU113" i="45" s="1"/>
  <c r="AY113" i="45" s="1"/>
  <c r="BG113" i="45" s="1"/>
  <c r="BI113" i="45" s="1"/>
  <c r="O114" i="45"/>
  <c r="AC114" i="45" s="1"/>
  <c r="AG114" i="45" s="1"/>
  <c r="AK114" i="45" s="1"/>
  <c r="AQ114" i="45" s="1"/>
  <c r="AU114" i="45" s="1"/>
  <c r="AY114" i="45" s="1"/>
  <c r="BG114" i="45" s="1"/>
  <c r="BI114" i="45" s="1"/>
  <c r="O115" i="45"/>
  <c r="AC115" i="45" s="1"/>
  <c r="AG115" i="45" s="1"/>
  <c r="AK115" i="45" s="1"/>
  <c r="AQ115" i="45" s="1"/>
  <c r="AU115" i="45" s="1"/>
  <c r="AY115" i="45" s="1"/>
  <c r="BG115" i="45" s="1"/>
  <c r="BI115" i="45" s="1"/>
  <c r="O119" i="45"/>
  <c r="AC93" i="45" l="1"/>
  <c r="BE108" i="45"/>
  <c r="BL108" i="45" s="1"/>
  <c r="BE91" i="45"/>
  <c r="BL91" i="45" s="1"/>
  <c r="BE63" i="45"/>
  <c r="BL63" i="45" s="1"/>
  <c r="BE61" i="45"/>
  <c r="BL61" i="45" s="1"/>
  <c r="BE48" i="45"/>
  <c r="BL48" i="45" s="1"/>
  <c r="BE36" i="45"/>
  <c r="BL36" i="45" s="1"/>
  <c r="BE20" i="45"/>
  <c r="BL20" i="45" s="1"/>
  <c r="BE89" i="45"/>
  <c r="BL89" i="45" s="1"/>
  <c r="BE47" i="45"/>
  <c r="BL47" i="45" s="1"/>
  <c r="K172" i="45"/>
  <c r="BE50" i="45"/>
  <c r="BL50" i="45" s="1"/>
  <c r="BE43" i="45"/>
  <c r="BL43" i="45" s="1"/>
  <c r="BE37" i="45"/>
  <c r="BL37" i="45" s="1"/>
  <c r="BE31" i="45"/>
  <c r="BL31" i="45" s="1"/>
  <c r="K171" i="45"/>
  <c r="AO173" i="45"/>
  <c r="BC172" i="45"/>
  <c r="K173" i="45"/>
  <c r="BC171" i="45"/>
  <c r="BE22" i="45"/>
  <c r="BL22" i="45" s="1"/>
  <c r="BC173" i="45"/>
  <c r="AO172" i="45"/>
  <c r="AO171" i="45"/>
  <c r="O172" i="45"/>
  <c r="O171" i="45"/>
  <c r="AC88" i="45"/>
  <c r="AC173" i="45" s="1"/>
  <c r="O173" i="45"/>
  <c r="BE109" i="45"/>
  <c r="BL109" i="45" s="1"/>
  <c r="S119" i="45"/>
  <c r="W119" i="45" s="1"/>
  <c r="AC119" i="45"/>
  <c r="AC97" i="45"/>
  <c r="AG97" i="45" s="1"/>
  <c r="AK97" i="45" s="1"/>
  <c r="AQ97" i="45" s="1"/>
  <c r="AU97" i="45" s="1"/>
  <c r="AY97" i="45" s="1"/>
  <c r="BG97" i="45" s="1"/>
  <c r="BI97" i="45" s="1"/>
  <c r="S97" i="45"/>
  <c r="W97" i="45" s="1"/>
  <c r="AC101" i="45"/>
  <c r="AG101" i="45" s="1"/>
  <c r="AK101" i="45" s="1"/>
  <c r="AQ101" i="45" s="1"/>
  <c r="AU101" i="45" s="1"/>
  <c r="AY101" i="45" s="1"/>
  <c r="BG101" i="45" s="1"/>
  <c r="BI101" i="45" s="1"/>
  <c r="S101" i="45"/>
  <c r="W101" i="45" s="1"/>
  <c r="S50" i="45"/>
  <c r="W50" i="45" s="1"/>
  <c r="AC50" i="45"/>
  <c r="AG50" i="45" s="1"/>
  <c r="AK50" i="45" s="1"/>
  <c r="AQ50" i="45" s="1"/>
  <c r="AU50" i="45" s="1"/>
  <c r="AY50" i="45" s="1"/>
  <c r="BG50" i="45" s="1"/>
  <c r="BI50" i="45" s="1"/>
  <c r="AC9" i="45"/>
  <c r="AG9" i="45" s="1"/>
  <c r="AK9" i="45" s="1"/>
  <c r="AQ9" i="45" s="1"/>
  <c r="AU9" i="45" s="1"/>
  <c r="AY9" i="45" s="1"/>
  <c r="BG9" i="45" s="1"/>
  <c r="BI9" i="45" s="1"/>
  <c r="BE93" i="45"/>
  <c r="BL93" i="45" s="1"/>
  <c r="BE65" i="45"/>
  <c r="BL65" i="45" s="1"/>
  <c r="BE39" i="45"/>
  <c r="BL39" i="45" s="1"/>
  <c r="BE24" i="45"/>
  <c r="BL24" i="45" s="1"/>
  <c r="AC90" i="45"/>
  <c r="AC60" i="45"/>
  <c r="S68" i="45"/>
  <c r="W68" i="45" s="1"/>
  <c r="S89" i="45"/>
  <c r="W89" i="45" s="1"/>
  <c r="S96" i="45"/>
  <c r="W96" i="45" s="1"/>
  <c r="S88" i="45"/>
  <c r="S102" i="45"/>
  <c r="W102" i="45" s="1"/>
  <c r="S107" i="45"/>
  <c r="W107" i="45" s="1"/>
  <c r="S114" i="45"/>
  <c r="W114" i="45" s="1"/>
  <c r="S112" i="45"/>
  <c r="W112" i="45" s="1"/>
  <c r="S111" i="45"/>
  <c r="W111" i="45" s="1"/>
  <c r="S105" i="45"/>
  <c r="W105" i="45" s="1"/>
  <c r="S108" i="45"/>
  <c r="W108" i="45" s="1"/>
  <c r="S106" i="45"/>
  <c r="W106" i="45" s="1"/>
  <c r="S110" i="45"/>
  <c r="W110" i="45" s="1"/>
  <c r="S104" i="45"/>
  <c r="W104" i="45" s="1"/>
  <c r="S113" i="45"/>
  <c r="W113" i="45" s="1"/>
  <c r="S115" i="45"/>
  <c r="W115" i="45" s="1"/>
  <c r="S109" i="45"/>
  <c r="W109" i="45" s="1"/>
  <c r="S103" i="45"/>
  <c r="W103" i="45" s="1"/>
  <c r="S42" i="45"/>
  <c r="W42" i="45" s="1"/>
  <c r="S36" i="45"/>
  <c r="W36" i="45" s="1"/>
  <c r="S27" i="45"/>
  <c r="W27" i="45" s="1"/>
  <c r="S20" i="45"/>
  <c r="W20" i="45" s="1"/>
  <c r="S14" i="45"/>
  <c r="W14" i="45" s="1"/>
  <c r="S67" i="45"/>
  <c r="W67" i="45" s="1"/>
  <c r="S35" i="45"/>
  <c r="W35" i="45" s="1"/>
  <c r="S26" i="45"/>
  <c r="W26" i="45" s="1"/>
  <c r="S19" i="45"/>
  <c r="W19" i="45" s="1"/>
  <c r="S13" i="45"/>
  <c r="W13" i="45" s="1"/>
  <c r="S55" i="45"/>
  <c r="W55" i="45" s="1"/>
  <c r="S60" i="45"/>
  <c r="S66" i="45"/>
  <c r="W66" i="45" s="1"/>
  <c r="S46" i="45"/>
  <c r="W46" i="45" s="1"/>
  <c r="S40" i="45"/>
  <c r="W40" i="45" s="1"/>
  <c r="S34" i="45"/>
  <c r="W34" i="45" s="1"/>
  <c r="S25" i="45"/>
  <c r="W25" i="45" s="1"/>
  <c r="S18" i="45"/>
  <c r="W18" i="45" s="1"/>
  <c r="S12" i="45"/>
  <c r="W12" i="45" s="1"/>
  <c r="S48" i="45"/>
  <c r="W48" i="45" s="1"/>
  <c r="S54" i="45"/>
  <c r="W54" i="45" s="1"/>
  <c r="S53" i="45"/>
  <c r="W53" i="45" s="1"/>
  <c r="S93" i="45"/>
  <c r="S73" i="45"/>
  <c r="W73" i="45" s="1"/>
  <c r="S65" i="45"/>
  <c r="W65" i="45" s="1"/>
  <c r="S58" i="45"/>
  <c r="W58" i="45" s="1"/>
  <c r="S52" i="45"/>
  <c r="W52" i="45" s="1"/>
  <c r="S45" i="45"/>
  <c r="W45" i="45" s="1"/>
  <c r="S39" i="45"/>
  <c r="W39" i="45" s="1"/>
  <c r="S33" i="45"/>
  <c r="W33" i="45" s="1"/>
  <c r="S24" i="45"/>
  <c r="W24" i="45" s="1"/>
  <c r="S17" i="45"/>
  <c r="W17" i="45" s="1"/>
  <c r="S11" i="45"/>
  <c r="W11" i="45" s="1"/>
  <c r="S61" i="45"/>
  <c r="W61" i="45" s="1"/>
  <c r="S41" i="45"/>
  <c r="W41" i="45" s="1"/>
  <c r="S92" i="45"/>
  <c r="W92" i="45" s="1"/>
  <c r="S72" i="45"/>
  <c r="W72" i="45" s="1"/>
  <c r="S64" i="45"/>
  <c r="W64" i="45" s="1"/>
  <c r="S57" i="45"/>
  <c r="W57" i="45" s="1"/>
  <c r="S51" i="45"/>
  <c r="W51" i="45" s="1"/>
  <c r="S44" i="45"/>
  <c r="W44" i="45" s="1"/>
  <c r="S38" i="45"/>
  <c r="W38" i="45" s="1"/>
  <c r="S32" i="45"/>
  <c r="W32" i="45" s="1"/>
  <c r="S23" i="45"/>
  <c r="W23" i="45" s="1"/>
  <c r="S16" i="45"/>
  <c r="W16" i="45" s="1"/>
  <c r="S10" i="45"/>
  <c r="W10" i="45" s="1"/>
  <c r="BE9" i="45"/>
  <c r="BL9" i="45" s="1"/>
  <c r="S90" i="45"/>
  <c r="S47" i="45"/>
  <c r="W47" i="45" s="1"/>
  <c r="S59" i="45"/>
  <c r="W59" i="45" s="1"/>
  <c r="S91" i="45"/>
  <c r="W91" i="45" s="1"/>
  <c r="S69" i="45"/>
  <c r="W69" i="45" s="1"/>
  <c r="S63" i="45"/>
  <c r="W63" i="45" s="1"/>
  <c r="S56" i="45"/>
  <c r="W56" i="45" s="1"/>
  <c r="S43" i="45"/>
  <c r="W43" i="45" s="1"/>
  <c r="S37" i="45"/>
  <c r="W37" i="45" s="1"/>
  <c r="S31" i="45"/>
  <c r="W31" i="45" s="1"/>
  <c r="S22" i="45"/>
  <c r="W22" i="45" s="1"/>
  <c r="S15" i="45"/>
  <c r="W15" i="45" s="1"/>
  <c r="S9" i="45"/>
  <c r="BE60" i="45"/>
  <c r="BL60" i="45" s="1"/>
  <c r="BE88" i="45"/>
  <c r="BL88" i="45" s="1"/>
  <c r="BE90" i="45"/>
  <c r="BL90" i="45" s="1"/>
  <c r="BE92" i="45"/>
  <c r="BL92" i="45" s="1"/>
  <c r="BE64" i="45"/>
  <c r="BL64" i="45" s="1"/>
  <c r="BE51" i="45"/>
  <c r="BL51" i="45" s="1"/>
  <c r="BE38" i="45"/>
  <c r="BL38" i="45" s="1"/>
  <c r="BE23" i="45"/>
  <c r="BL23" i="45" s="1"/>
  <c r="BE10" i="45"/>
  <c r="BL10" i="45" s="1"/>
  <c r="BE35" i="45"/>
  <c r="BL35" i="45" s="1"/>
  <c r="BE19" i="45"/>
  <c r="BL19" i="45" s="1"/>
  <c r="BE18" i="45"/>
  <c r="BL18" i="45" s="1"/>
  <c r="BE104" i="45"/>
  <c r="BL104" i="45" s="1"/>
  <c r="BE73" i="45"/>
  <c r="BL73" i="45" s="1"/>
  <c r="BE58" i="45"/>
  <c r="BL58" i="45" s="1"/>
  <c r="BE45" i="45"/>
  <c r="BL45" i="45" s="1"/>
  <c r="BE33" i="45"/>
  <c r="BL33" i="45" s="1"/>
  <c r="BE17" i="45"/>
  <c r="BL17" i="45" s="1"/>
  <c r="BE115" i="45"/>
  <c r="BL115" i="45" s="1"/>
  <c r="BE103" i="45"/>
  <c r="BL103" i="45" s="1"/>
  <c r="BE72" i="45"/>
  <c r="BL72" i="45" s="1"/>
  <c r="BE57" i="45"/>
  <c r="BL57" i="45" s="1"/>
  <c r="BE44" i="45"/>
  <c r="BL44" i="45" s="1"/>
  <c r="BE32" i="45"/>
  <c r="BL32" i="45" s="1"/>
  <c r="BE16" i="45"/>
  <c r="BL16" i="45" s="1"/>
  <c r="BE15" i="45"/>
  <c r="BL15" i="45" s="1"/>
  <c r="BE113" i="45"/>
  <c r="BL113" i="45" s="1"/>
  <c r="BE101" i="45"/>
  <c r="BL101" i="45" s="1"/>
  <c r="BE68" i="45"/>
  <c r="BL68" i="45" s="1"/>
  <c r="BE55" i="45"/>
  <c r="BL55" i="45" s="1"/>
  <c r="BE42" i="45"/>
  <c r="BL42" i="45" s="1"/>
  <c r="BE27" i="45"/>
  <c r="BL27" i="45" s="1"/>
  <c r="BE14" i="45"/>
  <c r="BL14" i="45" s="1"/>
  <c r="BE56" i="45"/>
  <c r="BL56" i="45" s="1"/>
  <c r="BE25" i="45"/>
  <c r="BL25" i="45" s="1"/>
  <c r="BE52" i="45"/>
  <c r="BL52" i="45" s="1"/>
  <c r="BE107" i="45"/>
  <c r="BL107" i="45" s="1"/>
  <c r="BE106" i="45"/>
  <c r="BL106" i="45" s="1"/>
  <c r="BE105" i="45"/>
  <c r="BL105" i="45" s="1"/>
  <c r="J8" i="11"/>
  <c r="J9" i="11"/>
  <c r="J10" i="11"/>
  <c r="J11" i="11"/>
  <c r="J12" i="11"/>
  <c r="J13" i="11"/>
  <c r="J14" i="11"/>
  <c r="J15" i="11"/>
  <c r="J16" i="11"/>
  <c r="J18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N9" i="11"/>
  <c r="N10" i="11"/>
  <c r="W93" i="45" l="1"/>
  <c r="AG93" i="45"/>
  <c r="BE173" i="45"/>
  <c r="BE171" i="45"/>
  <c r="S172" i="45"/>
  <c r="S173" i="45"/>
  <c r="BE172" i="45"/>
  <c r="S171" i="45"/>
  <c r="AG60" i="45"/>
  <c r="AK60" i="45" s="1"/>
  <c r="AQ60" i="45" s="1"/>
  <c r="AU60" i="45" s="1"/>
  <c r="AY60" i="45" s="1"/>
  <c r="BG60" i="45" s="1"/>
  <c r="BI60" i="45" s="1"/>
  <c r="AC171" i="45"/>
  <c r="AG90" i="45"/>
  <c r="AK90" i="45" s="1"/>
  <c r="AQ90" i="45" s="1"/>
  <c r="AU90" i="45" s="1"/>
  <c r="AY90" i="45" s="1"/>
  <c r="BG90" i="45" s="1"/>
  <c r="BI90" i="45" s="1"/>
  <c r="AC172" i="45"/>
  <c r="AG88" i="45"/>
  <c r="AK88" i="45" s="1"/>
  <c r="AQ88" i="45" s="1"/>
  <c r="AU88" i="45" s="1"/>
  <c r="AY88" i="45" s="1"/>
  <c r="BG88" i="45" s="1"/>
  <c r="BI88" i="45" s="1"/>
  <c r="W60" i="45"/>
  <c r="W171" i="45" s="1"/>
  <c r="W9" i="45"/>
  <c r="R9" i="11"/>
  <c r="V9" i="11" s="1"/>
  <c r="AB9" i="11"/>
  <c r="AF9" i="11" s="1"/>
  <c r="AJ9" i="11" s="1"/>
  <c r="AP9" i="11" s="1"/>
  <c r="AT9" i="11" s="1"/>
  <c r="AX9" i="11" s="1"/>
  <c r="R10" i="11"/>
  <c r="V10" i="11" s="1"/>
  <c r="AB10" i="11"/>
  <c r="AF10" i="11" s="1"/>
  <c r="AJ10" i="11" s="1"/>
  <c r="AP10" i="11" s="1"/>
  <c r="AT10" i="11" s="1"/>
  <c r="AX10" i="11" s="1"/>
  <c r="W88" i="45"/>
  <c r="W173" i="45" s="1"/>
  <c r="W90" i="45"/>
  <c r="F129" i="90"/>
  <c r="H129" i="90"/>
  <c r="J129" i="90"/>
  <c r="L129" i="90"/>
  <c r="N129" i="90"/>
  <c r="P129" i="90"/>
  <c r="R129" i="90"/>
  <c r="T129" i="90"/>
  <c r="V129" i="90"/>
  <c r="X129" i="90"/>
  <c r="Z129" i="90"/>
  <c r="AB129" i="90"/>
  <c r="AD129" i="90"/>
  <c r="AJ129" i="90"/>
  <c r="AL129" i="90"/>
  <c r="AN129" i="90"/>
  <c r="AP129" i="90"/>
  <c r="AR129" i="90"/>
  <c r="AT129" i="90"/>
  <c r="AV129" i="90"/>
  <c r="AX129" i="90"/>
  <c r="AZ129" i="90"/>
  <c r="BB129" i="90"/>
  <c r="BD129" i="90"/>
  <c r="F124" i="90"/>
  <c r="J124" i="90"/>
  <c r="N124" i="90"/>
  <c r="R124" i="90"/>
  <c r="V124" i="90"/>
  <c r="AB124" i="90"/>
  <c r="AJ124" i="90"/>
  <c r="AP124" i="90"/>
  <c r="AT124" i="90"/>
  <c r="AX124" i="90"/>
  <c r="F101" i="90"/>
  <c r="H101" i="90"/>
  <c r="J101" i="90"/>
  <c r="L101" i="90"/>
  <c r="N101" i="90"/>
  <c r="P101" i="90"/>
  <c r="R101" i="90"/>
  <c r="T101" i="90"/>
  <c r="V101" i="90"/>
  <c r="X101" i="90"/>
  <c r="Z101" i="90"/>
  <c r="AB101" i="90"/>
  <c r="AD101" i="90"/>
  <c r="AJ101" i="90"/>
  <c r="AL101" i="90"/>
  <c r="AN101" i="90"/>
  <c r="AP101" i="90"/>
  <c r="AR101" i="90"/>
  <c r="AT101" i="90"/>
  <c r="AV101" i="90"/>
  <c r="AX101" i="90"/>
  <c r="AZ101" i="90"/>
  <c r="BB101" i="90"/>
  <c r="BD101" i="90"/>
  <c r="AO93" i="90"/>
  <c r="AS93" i="90" s="1"/>
  <c r="AW93" i="90" s="1"/>
  <c r="AM93" i="90"/>
  <c r="BC93" i="90" s="1"/>
  <c r="AE93" i="90"/>
  <c r="AA93" i="90"/>
  <c r="Y93" i="90"/>
  <c r="U93" i="90"/>
  <c r="Q93" i="90"/>
  <c r="AU90" i="90"/>
  <c r="AQ90" i="90"/>
  <c r="AK90" i="90"/>
  <c r="O90" i="90"/>
  <c r="K90" i="90"/>
  <c r="G90" i="90"/>
  <c r="E90" i="90"/>
  <c r="M93" i="90"/>
  <c r="I93" i="90"/>
  <c r="I94" i="90"/>
  <c r="AO91" i="90"/>
  <c r="AS91" i="90" s="1"/>
  <c r="AW91" i="90" s="1"/>
  <c r="AO92" i="90"/>
  <c r="AS92" i="90" s="1"/>
  <c r="AW92" i="90" s="1"/>
  <c r="AO94" i="90"/>
  <c r="AS94" i="90" s="1"/>
  <c r="AW94" i="90" s="1"/>
  <c r="AO97" i="90"/>
  <c r="AS97" i="90" s="1"/>
  <c r="AW97" i="90" s="1"/>
  <c r="AO98" i="90"/>
  <c r="AS98" i="90" s="1"/>
  <c r="AW98" i="90" s="1"/>
  <c r="AM91" i="90"/>
  <c r="BC91" i="90" s="1"/>
  <c r="AM92" i="90"/>
  <c r="BC92" i="90" s="1"/>
  <c r="AM94" i="90"/>
  <c r="BC94" i="90" s="1"/>
  <c r="AM97" i="90"/>
  <c r="BC97" i="90" s="1"/>
  <c r="AM98" i="90"/>
  <c r="BC98" i="90" s="1"/>
  <c r="AE91" i="90"/>
  <c r="AE92" i="90"/>
  <c r="AE94" i="90"/>
  <c r="AE97" i="90"/>
  <c r="AE98" i="90"/>
  <c r="AA91" i="90"/>
  <c r="AA92" i="90"/>
  <c r="AA94" i="90"/>
  <c r="AA97" i="90"/>
  <c r="AA98" i="90"/>
  <c r="Y91" i="90"/>
  <c r="Y92" i="90"/>
  <c r="Y94" i="90"/>
  <c r="Y97" i="90"/>
  <c r="Y98" i="90"/>
  <c r="U91" i="90"/>
  <c r="U92" i="90"/>
  <c r="U94" i="90"/>
  <c r="U97" i="90"/>
  <c r="U98" i="90"/>
  <c r="Q91" i="90"/>
  <c r="Q92" i="90"/>
  <c r="Q94" i="90"/>
  <c r="Q97" i="90"/>
  <c r="Q98" i="90"/>
  <c r="M91" i="90"/>
  <c r="M92" i="90"/>
  <c r="M94" i="90"/>
  <c r="M97" i="90"/>
  <c r="M98" i="90"/>
  <c r="I97" i="90"/>
  <c r="I98" i="90"/>
  <c r="I91" i="90"/>
  <c r="I92" i="90"/>
  <c r="AU99" i="90"/>
  <c r="AQ99" i="90"/>
  <c r="AK99" i="90"/>
  <c r="K99" i="90"/>
  <c r="G99" i="90"/>
  <c r="G89" i="90"/>
  <c r="AN93" i="8"/>
  <c r="BE90" i="90" l="1"/>
  <c r="BA99" i="90"/>
  <c r="BA90" i="90"/>
  <c r="W172" i="45"/>
  <c r="AK93" i="45"/>
  <c r="AI90" i="90"/>
  <c r="K127" i="90"/>
  <c r="AG172" i="45"/>
  <c r="AG171" i="45"/>
  <c r="AG173" i="45"/>
  <c r="M90" i="90"/>
  <c r="I90" i="90"/>
  <c r="AM90" i="90"/>
  <c r="AE90" i="90"/>
  <c r="U90" i="90"/>
  <c r="Y90" i="90"/>
  <c r="AA90" i="90"/>
  <c r="Q90" i="90"/>
  <c r="AO90" i="90"/>
  <c r="AS90" i="90" s="1"/>
  <c r="AW90" i="90" s="1"/>
  <c r="G115" i="90"/>
  <c r="K115" i="90"/>
  <c r="AK127" i="90"/>
  <c r="AQ127" i="90"/>
  <c r="AU127" i="90"/>
  <c r="AK115" i="90"/>
  <c r="AQ115" i="90"/>
  <c r="AM99" i="90"/>
  <c r="O115" i="90"/>
  <c r="AU115" i="90"/>
  <c r="BA115" i="90" s="1"/>
  <c r="BA127" i="90" l="1"/>
  <c r="BC90" i="90"/>
  <c r="BC99" i="90"/>
  <c r="AQ93" i="45"/>
  <c r="AM127" i="90"/>
  <c r="BC127" i="90" s="1"/>
  <c r="AM115" i="90"/>
  <c r="BC115" i="90" s="1"/>
  <c r="Y115" i="90"/>
  <c r="AU93" i="45" l="1"/>
  <c r="AY93" i="45" s="1"/>
  <c r="BG93" i="45" s="1"/>
  <c r="BI93" i="45" s="1"/>
  <c r="BF262" i="28" l="1"/>
  <c r="BH262" i="28" s="1"/>
  <c r="BB262" i="28"/>
  <c r="BD262" i="28" s="1"/>
  <c r="BK262" i="28" s="1"/>
  <c r="BB438" i="28"/>
  <c r="BF465" i="28"/>
  <c r="BH465" i="28" s="1"/>
  <c r="BB440" i="28"/>
  <c r="BB442" i="28"/>
  <c r="BB443" i="28"/>
  <c r="BB444" i="28"/>
  <c r="BB445" i="28"/>
  <c r="BB446" i="28"/>
  <c r="BB447" i="28"/>
  <c r="BB448" i="28"/>
  <c r="BB449" i="28"/>
  <c r="BB450" i="28"/>
  <c r="BB451" i="28"/>
  <c r="BB452" i="28"/>
  <c r="BB453" i="28"/>
  <c r="BB454" i="28"/>
  <c r="BB456" i="28"/>
  <c r="BB458" i="28"/>
  <c r="BB459" i="28"/>
  <c r="BB460" i="28"/>
  <c r="BB461" i="28"/>
  <c r="BB462" i="28"/>
  <c r="BB463" i="28"/>
  <c r="BB464" i="28"/>
  <c r="BB465" i="28"/>
  <c r="BD465" i="28" s="1"/>
  <c r="BK465" i="28" s="1"/>
  <c r="BB466" i="28"/>
  <c r="BB467" i="28"/>
  <c r="BB468" i="28"/>
  <c r="BB469" i="28"/>
  <c r="BB264" i="28"/>
  <c r="BB265" i="28"/>
  <c r="BB266" i="28"/>
  <c r="BB267" i="28"/>
  <c r="BB268" i="28"/>
  <c r="BB270" i="28"/>
  <c r="BB271" i="28"/>
  <c r="BB273" i="28"/>
  <c r="BB274" i="28"/>
  <c r="BB275" i="28"/>
  <c r="BB276" i="28"/>
  <c r="BB277" i="28"/>
  <c r="BB278" i="28"/>
  <c r="BB279" i="28"/>
  <c r="BB280" i="28"/>
  <c r="BB281" i="28"/>
  <c r="BB282" i="28"/>
  <c r="BB283" i="28"/>
  <c r="BB284" i="28"/>
  <c r="BB285" i="28"/>
  <c r="BB286" i="28"/>
  <c r="BB287" i="28"/>
  <c r="BB288" i="28"/>
  <c r="BB289" i="28"/>
  <c r="BB290" i="28"/>
  <c r="BB291" i="28"/>
  <c r="BB292" i="28"/>
  <c r="BB293" i="28"/>
  <c r="BB294" i="28"/>
  <c r="BB296" i="28"/>
  <c r="BB245" i="28"/>
  <c r="BB247" i="28"/>
  <c r="BB249" i="28"/>
  <c r="BB251" i="28"/>
  <c r="BB253" i="28"/>
  <c r="BB254" i="28"/>
  <c r="BB101" i="28"/>
  <c r="BB102" i="28"/>
  <c r="BB103" i="28"/>
  <c r="BB104" i="28"/>
  <c r="BB105" i="28"/>
  <c r="BB106" i="28"/>
  <c r="BB120" i="28"/>
  <c r="BB121" i="28"/>
  <c r="BB122" i="28"/>
  <c r="BB123" i="28"/>
  <c r="BB124" i="28"/>
  <c r="BB125" i="28"/>
  <c r="BB126" i="28"/>
  <c r="BB127" i="28"/>
  <c r="BB128" i="28"/>
  <c r="BB129" i="28"/>
  <c r="BB130" i="28"/>
  <c r="BB131" i="28"/>
  <c r="BB132" i="28"/>
  <c r="BB133" i="28"/>
  <c r="BB134" i="28"/>
  <c r="BB135" i="28"/>
  <c r="BB136" i="28"/>
  <c r="BB137" i="28"/>
  <c r="BB138" i="28"/>
  <c r="BB139" i="28"/>
  <c r="BB140" i="28"/>
  <c r="BB141" i="28"/>
  <c r="BB143" i="28"/>
  <c r="BB144" i="28"/>
  <c r="BB145" i="28"/>
  <c r="BB146" i="28"/>
  <c r="BB147" i="28"/>
  <c r="BB148" i="28"/>
  <c r="BB149" i="28"/>
  <c r="BB150" i="28"/>
  <c r="BB151" i="28"/>
  <c r="BB152" i="28"/>
  <c r="BB153" i="28"/>
  <c r="BD153" i="28" s="1"/>
  <c r="BK153" i="28" s="1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D165" i="28" s="1"/>
  <c r="BK165" i="28" s="1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87" i="28"/>
  <c r="BB188" i="28"/>
  <c r="BB190" i="28"/>
  <c r="BB191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09" i="28"/>
  <c r="BB210" i="28"/>
  <c r="BB211" i="28"/>
  <c r="BB212" i="28"/>
  <c r="BB213" i="28"/>
  <c r="BB214" i="28"/>
  <c r="BB215" i="28"/>
  <c r="BB216" i="28"/>
  <c r="BB217" i="28"/>
  <c r="BB220" i="28"/>
  <c r="BB221" i="28"/>
  <c r="BB222" i="28"/>
  <c r="BB223" i="28"/>
  <c r="BB224" i="28"/>
  <c r="BB225" i="28"/>
  <c r="BB226" i="28"/>
  <c r="BB227" i="28"/>
  <c r="Y67" i="39"/>
  <c r="Y66" i="39"/>
  <c r="BA67" i="39"/>
  <c r="BA66" i="39"/>
  <c r="BC66" i="39" l="1"/>
  <c r="AA66" i="39"/>
  <c r="AA67" i="39"/>
  <c r="BC67" i="39"/>
  <c r="BB3" i="8" l="1"/>
  <c r="BE66" i="39"/>
  <c r="BE67" i="39"/>
  <c r="BD418" i="28"/>
  <c r="BK418" i="28" s="1"/>
  <c r="BD423" i="28"/>
  <c r="BK423" i="28" s="1"/>
  <c r="AN101" i="28"/>
  <c r="BD101" i="28" s="1"/>
  <c r="BK101" i="28" s="1"/>
  <c r="AJ101" i="28" l="1"/>
  <c r="AP101" i="28" s="1"/>
  <c r="AT101" i="28" l="1"/>
  <c r="AX101" i="28" s="1"/>
  <c r="BF101" i="28" s="1"/>
  <c r="BH101" i="28" s="1"/>
  <c r="J63" i="11"/>
  <c r="J62" i="11"/>
  <c r="AA128" i="45"/>
  <c r="AA127" i="45"/>
  <c r="K128" i="45"/>
  <c r="K127" i="45"/>
  <c r="M129" i="45" l="1"/>
  <c r="G129" i="45"/>
  <c r="BC128" i="45"/>
  <c r="AO128" i="45"/>
  <c r="O128" i="45"/>
  <c r="BC127" i="45"/>
  <c r="AO127" i="45"/>
  <c r="O127" i="45"/>
  <c r="M126" i="45" l="1"/>
  <c r="AA129" i="45"/>
  <c r="AA126" i="45" s="1"/>
  <c r="BE128" i="45"/>
  <c r="BL128" i="45" s="1"/>
  <c r="AO129" i="45"/>
  <c r="S128" i="45"/>
  <c r="W128" i="45" s="1"/>
  <c r="AC128" i="45"/>
  <c r="AC127" i="45"/>
  <c r="AG127" i="45" s="1"/>
  <c r="AK127" i="45" s="1"/>
  <c r="G126" i="45"/>
  <c r="K129" i="45"/>
  <c r="K126" i="45" s="1"/>
  <c r="BC129" i="45"/>
  <c r="BC126" i="45" s="1"/>
  <c r="O129" i="45"/>
  <c r="S129" i="45" s="1"/>
  <c r="W129" i="45" s="1"/>
  <c r="BE127" i="45"/>
  <c r="BL127" i="45" s="1"/>
  <c r="S127" i="45"/>
  <c r="AZ143" i="45"/>
  <c r="AY78" i="11"/>
  <c r="AY177" i="10"/>
  <c r="AY98" i="9"/>
  <c r="AX87" i="17"/>
  <c r="AZ141" i="45"/>
  <c r="AY76" i="11"/>
  <c r="AY175" i="10"/>
  <c r="AX85" i="17"/>
  <c r="AY192" i="6"/>
  <c r="AY89" i="8"/>
  <c r="AY84" i="7"/>
  <c r="AZ140" i="45"/>
  <c r="AY75" i="11"/>
  <c r="AY174" i="10"/>
  <c r="AY97" i="9"/>
  <c r="AX84" i="17"/>
  <c r="AX26" i="17"/>
  <c r="AX33" i="17" s="1"/>
  <c r="AY88" i="8"/>
  <c r="AY191" i="6"/>
  <c r="AY166" i="6"/>
  <c r="BB163" i="6"/>
  <c r="BB165" i="6" s="1"/>
  <c r="BB188" i="6"/>
  <c r="BB190" i="6" s="1"/>
  <c r="BE129" i="45" l="1"/>
  <c r="AO126" i="45"/>
  <c r="AC129" i="45"/>
  <c r="AC126" i="45" s="1"/>
  <c r="AG128" i="45"/>
  <c r="AK128" i="45" s="1"/>
  <c r="AQ128" i="45" s="1"/>
  <c r="AU128" i="45" s="1"/>
  <c r="O126" i="45"/>
  <c r="S126" i="45"/>
  <c r="W127" i="45"/>
  <c r="W126" i="45" s="1"/>
  <c r="BE126" i="45" l="1"/>
  <c r="BL126" i="45" s="1"/>
  <c r="BL129" i="45"/>
  <c r="AX86" i="17"/>
  <c r="AY128" i="45"/>
  <c r="AG129" i="45"/>
  <c r="AK129" i="45" s="1"/>
  <c r="AQ129" i="45" s="1"/>
  <c r="AU129" i="45" s="1"/>
  <c r="AQ127" i="45"/>
  <c r="AU127" i="45" s="1"/>
  <c r="BA72" i="83"/>
  <c r="BA73" i="83"/>
  <c r="BA74" i="83"/>
  <c r="BA75" i="83"/>
  <c r="BA70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68" i="83"/>
  <c r="BA52" i="83"/>
  <c r="BA47" i="83"/>
  <c r="BA48" i="83"/>
  <c r="BA50" i="83"/>
  <c r="BA46" i="83"/>
  <c r="BA40" i="83"/>
  <c r="BA41" i="83"/>
  <c r="BA42" i="83"/>
  <c r="BA43" i="83"/>
  <c r="BA44" i="83"/>
  <c r="BA39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9" i="83"/>
  <c r="BA30" i="83"/>
  <c r="BA31" i="83"/>
  <c r="BA32" i="83"/>
  <c r="BA33" i="83"/>
  <c r="BA34" i="83"/>
  <c r="BA35" i="83"/>
  <c r="BA36" i="83"/>
  <c r="BA37" i="83"/>
  <c r="BA4" i="83"/>
  <c r="BA62" i="73"/>
  <c r="BA63" i="73"/>
  <c r="BA64" i="73"/>
  <c r="BG128" i="45" l="1"/>
  <c r="BI128" i="45" s="1"/>
  <c r="AY129" i="45"/>
  <c r="AY127" i="45"/>
  <c r="AG126" i="45"/>
  <c r="AK126" i="45"/>
  <c r="AQ126" i="45"/>
  <c r="BA45" i="83"/>
  <c r="BA76" i="83"/>
  <c r="BA69" i="83"/>
  <c r="BA51" i="83"/>
  <c r="BA38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C42" i="38"/>
  <c r="BC41" i="38" s="1"/>
  <c r="BD41" i="38"/>
  <c r="BC39" i="38"/>
  <c r="BC38" i="38"/>
  <c r="BC37" i="38"/>
  <c r="BC36" i="38"/>
  <c r="AY167" i="6" s="1"/>
  <c r="BD35" i="38"/>
  <c r="BC33" i="38"/>
  <c r="BC32" i="38"/>
  <c r="BC31" i="38"/>
  <c r="BC30" i="38"/>
  <c r="BC29" i="38"/>
  <c r="BC28" i="38"/>
  <c r="AZ138" i="45" s="1"/>
  <c r="BC27" i="38"/>
  <c r="AY73" i="11" s="1"/>
  <c r="AY74" i="11" s="1"/>
  <c r="BC26" i="38"/>
  <c r="AY172" i="10" s="1"/>
  <c r="BC25" i="38"/>
  <c r="BC24" i="38"/>
  <c r="AY99" i="9" s="1"/>
  <c r="AY100" i="9" s="1"/>
  <c r="BC23" i="38"/>
  <c r="AY91" i="8" s="1"/>
  <c r="BC22" i="38"/>
  <c r="AY82" i="7" s="1"/>
  <c r="BC21" i="38"/>
  <c r="BC20" i="38"/>
  <c r="AY193" i="6" s="1"/>
  <c r="BD19" i="38"/>
  <c r="BC15" i="38"/>
  <c r="BC14" i="38"/>
  <c r="BC13" i="38" s="1"/>
  <c r="BD13" i="38"/>
  <c r="BC12" i="38"/>
  <c r="BC11" i="38"/>
  <c r="BC10" i="38"/>
  <c r="BC9" i="38"/>
  <c r="BC8" i="38"/>
  <c r="BC7" i="38"/>
  <c r="BD6" i="38"/>
  <c r="AZ139" i="45" l="1"/>
  <c r="AY194" i="6"/>
  <c r="AY92" i="8"/>
  <c r="AY168" i="6"/>
  <c r="AY173" i="10"/>
  <c r="AY83" i="7"/>
  <c r="BB36" i="59" s="1"/>
  <c r="BD92" i="38"/>
  <c r="BD90" i="38"/>
  <c r="BD84" i="38"/>
  <c r="BD68" i="38"/>
  <c r="BD62" i="38"/>
  <c r="BG127" i="45"/>
  <c r="BI127" i="45" s="1"/>
  <c r="BG129" i="45"/>
  <c r="BI129" i="45" s="1"/>
  <c r="BC67" i="38"/>
  <c r="BC65" i="38"/>
  <c r="AU126" i="45"/>
  <c r="BA77" i="83"/>
  <c r="BD16" i="38"/>
  <c r="BC89" i="38"/>
  <c r="BC43" i="38"/>
  <c r="BC40" i="38" s="1"/>
  <c r="BC35" i="38"/>
  <c r="BC19" i="38"/>
  <c r="BC6" i="38"/>
  <c r="BC16" i="38" s="1"/>
  <c r="BD18" i="38"/>
  <c r="BD55" i="38"/>
  <c r="BD40" i="38"/>
  <c r="AN109" i="9"/>
  <c r="Z109" i="9"/>
  <c r="N109" i="9"/>
  <c r="BB109" i="9"/>
  <c r="BC66" i="38" l="1"/>
  <c r="BD65" i="38"/>
  <c r="BC98" i="38"/>
  <c r="BC18" i="38"/>
  <c r="BD67" i="38"/>
  <c r="AZ26" i="36"/>
  <c r="AZ25" i="36"/>
  <c r="BC76" i="59" s="1"/>
  <c r="BC17" i="38"/>
  <c r="BC49" i="38" s="1"/>
  <c r="BD109" i="9"/>
  <c r="AB109" i="9"/>
  <c r="BG126" i="45"/>
  <c r="BI126" i="45" s="1"/>
  <c r="AY126" i="45"/>
  <c r="BD17" i="38"/>
  <c r="BD89" i="38"/>
  <c r="BA89" i="73"/>
  <c r="BA90" i="73"/>
  <c r="BD66" i="38" l="1"/>
  <c r="BD98" i="38" s="1"/>
  <c r="BD49" i="38"/>
  <c r="P90" i="77" l="1"/>
  <c r="T90" i="77" s="1"/>
  <c r="AF90" i="77"/>
  <c r="AH90" i="77"/>
  <c r="AJ90" i="77"/>
  <c r="AL90" i="77"/>
  <c r="AN90" i="77"/>
  <c r="AR90" i="77"/>
  <c r="AV90" i="77"/>
  <c r="AW90" i="77"/>
  <c r="AZ90" i="77"/>
  <c r="BB90" i="77"/>
  <c r="BD90" i="77"/>
  <c r="E90" i="77"/>
  <c r="P89" i="77"/>
  <c r="AF89" i="77"/>
  <c r="AH89" i="77"/>
  <c r="AH88" i="77" s="1"/>
  <c r="AJ89" i="77"/>
  <c r="AL89" i="77"/>
  <c r="AN89" i="77"/>
  <c r="AR89" i="77"/>
  <c r="AV89" i="77"/>
  <c r="AW89" i="77"/>
  <c r="AZ89" i="77"/>
  <c r="BB89" i="77"/>
  <c r="BD89" i="77"/>
  <c r="E89" i="77"/>
  <c r="E80" i="77"/>
  <c r="AI80" i="77" s="1"/>
  <c r="P80" i="77"/>
  <c r="T80" i="77" s="1"/>
  <c r="AF80" i="77"/>
  <c r="AF83" i="77" s="1"/>
  <c r="AH80" i="77"/>
  <c r="AJ80" i="77"/>
  <c r="AL80" i="77"/>
  <c r="AN80" i="77"/>
  <c r="AR80" i="77"/>
  <c r="AV80" i="77"/>
  <c r="AZ80" i="77"/>
  <c r="BB80" i="77"/>
  <c r="BD80" i="77"/>
  <c r="E82" i="77"/>
  <c r="AI82" i="77" s="1"/>
  <c r="P82" i="77"/>
  <c r="T82" i="77" s="1"/>
  <c r="AH82" i="77"/>
  <c r="AJ82" i="77"/>
  <c r="AL82" i="77"/>
  <c r="AN82" i="77"/>
  <c r="AR82" i="77"/>
  <c r="AV82" i="77"/>
  <c r="AZ82" i="77"/>
  <c r="BB82" i="77"/>
  <c r="BD82" i="77"/>
  <c r="P79" i="77"/>
  <c r="AH79" i="77"/>
  <c r="AJ79" i="77"/>
  <c r="AL79" i="77"/>
  <c r="AN79" i="77"/>
  <c r="AR79" i="77"/>
  <c r="AV79" i="77"/>
  <c r="AZ79" i="77"/>
  <c r="BB79" i="77"/>
  <c r="BD79" i="77"/>
  <c r="E79" i="77"/>
  <c r="AI79" i="77" s="1"/>
  <c r="AZ86" i="77"/>
  <c r="AZ85" i="77" s="1"/>
  <c r="AL86" i="77"/>
  <c r="AL85" i="77" s="1"/>
  <c r="AR76" i="77"/>
  <c r="AV76" i="77" s="1"/>
  <c r="AZ76" i="77" s="1"/>
  <c r="BB76" i="77" s="1"/>
  <c r="AL76" i="77"/>
  <c r="L76" i="77"/>
  <c r="Z76" i="77" s="1"/>
  <c r="AD76" i="77" s="1"/>
  <c r="BA136" i="73"/>
  <c r="I137" i="73"/>
  <c r="M137" i="73"/>
  <c r="Q137" i="73" s="1"/>
  <c r="Y137" i="73"/>
  <c r="AM137" i="73"/>
  <c r="BA137" i="73"/>
  <c r="I138" i="73"/>
  <c r="M138" i="73"/>
  <c r="Y138" i="73"/>
  <c r="AM138" i="73"/>
  <c r="BA138" i="73"/>
  <c r="I139" i="73"/>
  <c r="M139" i="73"/>
  <c r="Q139" i="73" s="1"/>
  <c r="U139" i="73" s="1"/>
  <c r="Y139" i="73"/>
  <c r="AM139" i="73"/>
  <c r="BA139" i="73"/>
  <c r="I140" i="73"/>
  <c r="M140" i="73"/>
  <c r="Y140" i="73"/>
  <c r="AM140" i="73"/>
  <c r="BA140" i="73"/>
  <c r="I141" i="73"/>
  <c r="M141" i="73"/>
  <c r="Q141" i="73" s="1"/>
  <c r="Y141" i="73"/>
  <c r="AM141" i="73"/>
  <c r="BA141" i="73"/>
  <c r="I142" i="73"/>
  <c r="M142" i="73"/>
  <c r="Q142" i="73" s="1"/>
  <c r="Y142" i="73"/>
  <c r="AM142" i="73"/>
  <c r="BA142" i="73"/>
  <c r="I143" i="73"/>
  <c r="M143" i="73"/>
  <c r="Q143" i="73" s="1"/>
  <c r="Y143" i="73"/>
  <c r="AM143" i="73"/>
  <c r="BA143" i="73"/>
  <c r="I144" i="73"/>
  <c r="M144" i="73"/>
  <c r="Y144" i="73"/>
  <c r="AM144" i="73"/>
  <c r="BA144" i="73"/>
  <c r="I149" i="73"/>
  <c r="M149" i="73"/>
  <c r="Y149" i="73"/>
  <c r="AM149" i="73"/>
  <c r="BA149" i="73"/>
  <c r="I150" i="73"/>
  <c r="M150" i="73"/>
  <c r="Y150" i="73"/>
  <c r="AM150" i="73"/>
  <c r="BA150" i="73"/>
  <c r="I152" i="73"/>
  <c r="M152" i="73"/>
  <c r="Q152" i="73" s="1"/>
  <c r="Y152" i="73"/>
  <c r="AM152" i="73"/>
  <c r="BA152" i="73"/>
  <c r="I154" i="73"/>
  <c r="M154" i="73"/>
  <c r="Y154" i="73"/>
  <c r="AM154" i="73"/>
  <c r="BA154" i="73"/>
  <c r="I155" i="73"/>
  <c r="M155" i="73"/>
  <c r="Q155" i="73" s="1"/>
  <c r="Y155" i="73"/>
  <c r="AM155" i="73"/>
  <c r="BA155" i="73"/>
  <c r="I156" i="73"/>
  <c r="M156" i="73"/>
  <c r="Y156" i="73"/>
  <c r="AM156" i="73"/>
  <c r="BA156" i="73"/>
  <c r="AR88" i="77" l="1"/>
  <c r="P88" i="77"/>
  <c r="AN88" i="77"/>
  <c r="BB88" i="77"/>
  <c r="AL88" i="77"/>
  <c r="AL94" i="77" s="1"/>
  <c r="BD88" i="77"/>
  <c r="AA138" i="73"/>
  <c r="AE138" i="73" s="1"/>
  <c r="AI138" i="73" s="1"/>
  <c r="AO138" i="73" s="1"/>
  <c r="AS138" i="73" s="1"/>
  <c r="AW138" i="73" s="1"/>
  <c r="AZ88" i="77"/>
  <c r="AZ94" i="77" s="1"/>
  <c r="P83" i="77"/>
  <c r="AV88" i="77"/>
  <c r="AJ88" i="77"/>
  <c r="AJ94" i="77" s="1"/>
  <c r="AW88" i="77"/>
  <c r="AW94" i="77" s="1"/>
  <c r="AF88" i="77"/>
  <c r="AF94" i="77" s="1"/>
  <c r="AI89" i="77"/>
  <c r="E88" i="77"/>
  <c r="AO89" i="77"/>
  <c r="AI90" i="77"/>
  <c r="AO90" i="77"/>
  <c r="AV83" i="77"/>
  <c r="AR83" i="77"/>
  <c r="AO82" i="77"/>
  <c r="AM89" i="77"/>
  <c r="AW79" i="77"/>
  <c r="AS90" i="77"/>
  <c r="BA90" i="77"/>
  <c r="U90" i="77"/>
  <c r="M90" i="77"/>
  <c r="Q90" i="77"/>
  <c r="I90" i="77"/>
  <c r="AA90" i="77"/>
  <c r="AE90" i="77"/>
  <c r="BA79" i="77"/>
  <c r="AS79" i="77"/>
  <c r="AW80" i="77"/>
  <c r="AM80" i="77"/>
  <c r="Q80" i="77"/>
  <c r="M80" i="77"/>
  <c r="U80" i="77"/>
  <c r="I80" i="77"/>
  <c r="AA80" i="77"/>
  <c r="AE80" i="77"/>
  <c r="AS89" i="77"/>
  <c r="BA89" i="77"/>
  <c r="E83" i="77"/>
  <c r="AI83" i="77" s="1"/>
  <c r="M79" i="77"/>
  <c r="U79" i="77"/>
  <c r="Q79" i="77"/>
  <c r="AE79" i="77"/>
  <c r="I79" i="77"/>
  <c r="AA79" i="77"/>
  <c r="AN83" i="77"/>
  <c r="AM82" i="77"/>
  <c r="Q89" i="77"/>
  <c r="U89" i="77"/>
  <c r="M89" i="77"/>
  <c r="AE89" i="77"/>
  <c r="AA89" i="77"/>
  <c r="I89" i="77"/>
  <c r="BD83" i="77"/>
  <c r="AL83" i="77"/>
  <c r="BA80" i="77"/>
  <c r="AS80" i="77"/>
  <c r="BB83" i="77"/>
  <c r="AO79" i="77"/>
  <c r="AW82" i="77"/>
  <c r="AZ83" i="77"/>
  <c r="AJ83" i="77"/>
  <c r="M82" i="77"/>
  <c r="Q82" i="77"/>
  <c r="U82" i="77"/>
  <c r="I82" i="77"/>
  <c r="AA82" i="77"/>
  <c r="AE82" i="77"/>
  <c r="AM90" i="77"/>
  <c r="AH83" i="77"/>
  <c r="AM79" i="77"/>
  <c r="AS82" i="77"/>
  <c r="BA82" i="77"/>
  <c r="AO80" i="77"/>
  <c r="T89" i="77"/>
  <c r="T88" i="77" s="1"/>
  <c r="T79" i="77"/>
  <c r="T83" i="77" s="1"/>
  <c r="BC138" i="73"/>
  <c r="BC140" i="73"/>
  <c r="BC144" i="73"/>
  <c r="Q154" i="73"/>
  <c r="U154" i="73" s="1"/>
  <c r="Q149" i="73"/>
  <c r="U149" i="73" s="1"/>
  <c r="Q150" i="73"/>
  <c r="U150" i="73" s="1"/>
  <c r="AA144" i="73"/>
  <c r="AE144" i="73" s="1"/>
  <c r="AI144" i="73" s="1"/>
  <c r="AO144" i="73" s="1"/>
  <c r="AS144" i="73" s="1"/>
  <c r="Q144" i="73"/>
  <c r="U144" i="73" s="1"/>
  <c r="BC141" i="73"/>
  <c r="Q138" i="73"/>
  <c r="U138" i="73" s="1"/>
  <c r="Q156" i="73"/>
  <c r="U156" i="73" s="1"/>
  <c r="BC154" i="73"/>
  <c r="Q140" i="73"/>
  <c r="U140" i="73" s="1"/>
  <c r="AA142" i="73"/>
  <c r="AE142" i="73" s="1"/>
  <c r="AI142" i="73" s="1"/>
  <c r="AO142" i="73" s="1"/>
  <c r="AS142" i="73" s="1"/>
  <c r="AA143" i="73"/>
  <c r="AE143" i="73" s="1"/>
  <c r="AI143" i="73" s="1"/>
  <c r="AO143" i="73" s="1"/>
  <c r="AS143" i="73" s="1"/>
  <c r="BC139" i="73"/>
  <c r="BC137" i="73"/>
  <c r="BC152" i="73"/>
  <c r="AA137" i="73"/>
  <c r="AE137" i="73" s="1"/>
  <c r="AI137" i="73" s="1"/>
  <c r="AO137" i="73" s="1"/>
  <c r="AS137" i="73" s="1"/>
  <c r="AW137" i="73" s="1"/>
  <c r="BC156" i="73"/>
  <c r="AA150" i="73"/>
  <c r="AE150" i="73" s="1"/>
  <c r="BC143" i="73"/>
  <c r="AA139" i="73"/>
  <c r="AE139" i="73" s="1"/>
  <c r="AI139" i="73" s="1"/>
  <c r="AO139" i="73" s="1"/>
  <c r="AS139" i="73" s="1"/>
  <c r="AA155" i="73"/>
  <c r="AE155" i="73" s="1"/>
  <c r="U142" i="73"/>
  <c r="AA141" i="73"/>
  <c r="AE141" i="73" s="1"/>
  <c r="AI141" i="73" s="1"/>
  <c r="AO141" i="73" s="1"/>
  <c r="AS141" i="73" s="1"/>
  <c r="U137" i="73"/>
  <c r="AA140" i="73"/>
  <c r="AE140" i="73" s="1"/>
  <c r="AI140" i="73" s="1"/>
  <c r="AO140" i="73" s="1"/>
  <c r="AS140" i="73" s="1"/>
  <c r="BC155" i="73"/>
  <c r="AA152" i="73"/>
  <c r="AE152" i="73" s="1"/>
  <c r="BC149" i="73"/>
  <c r="U143" i="73"/>
  <c r="BC150" i="73"/>
  <c r="AA149" i="73"/>
  <c r="AE149" i="73" s="1"/>
  <c r="BC142" i="73"/>
  <c r="U141" i="73"/>
  <c r="AA154" i="73"/>
  <c r="AE154" i="73" s="1"/>
  <c r="BB86" i="77"/>
  <c r="BB85" i="77" s="1"/>
  <c r="BD76" i="77"/>
  <c r="AA156" i="73"/>
  <c r="AE156" i="73" s="1"/>
  <c r="U155" i="73"/>
  <c r="AH86" i="77"/>
  <c r="AH85" i="77" s="1"/>
  <c r="U152" i="73"/>
  <c r="P86" i="77"/>
  <c r="P85" i="77" s="1"/>
  <c r="BA177" i="73"/>
  <c r="BA178" i="73"/>
  <c r="BA179" i="73"/>
  <c r="I88" i="77" l="1"/>
  <c r="M88" i="77"/>
  <c r="M94" i="77" s="1"/>
  <c r="Q88" i="77"/>
  <c r="Q94" i="77" s="1"/>
  <c r="U88" i="77"/>
  <c r="U94" i="77" s="1"/>
  <c r="BE138" i="73"/>
  <c r="AW140" i="73"/>
  <c r="AW144" i="73"/>
  <c r="AW139" i="73"/>
  <c r="AW141" i="73"/>
  <c r="AW143" i="73"/>
  <c r="AW142" i="73"/>
  <c r="BE137" i="73"/>
  <c r="AS88" i="77"/>
  <c r="AS94" i="77" s="1"/>
  <c r="AE88" i="77"/>
  <c r="AE94" i="77" s="1"/>
  <c r="AO88" i="77"/>
  <c r="AA88" i="77"/>
  <c r="AA94" i="77" s="1"/>
  <c r="M83" i="77"/>
  <c r="AM88" i="77"/>
  <c r="AM94" i="77" s="1"/>
  <c r="AI88" i="77"/>
  <c r="BA88" i="77"/>
  <c r="BA94" i="77" s="1"/>
  <c r="BC80" i="77"/>
  <c r="BE80" i="77" s="1"/>
  <c r="P94" i="77"/>
  <c r="BC82" i="77"/>
  <c r="BE82" i="77" s="1"/>
  <c r="AH94" i="77"/>
  <c r="E94" i="77"/>
  <c r="AI156" i="73"/>
  <c r="AO156" i="73" s="1"/>
  <c r="AS156" i="73" s="1"/>
  <c r="AI149" i="73"/>
  <c r="AO149" i="73" s="1"/>
  <c r="AS149" i="73" s="1"/>
  <c r="AI154" i="73"/>
  <c r="AO154" i="73" s="1"/>
  <c r="AS154" i="73" s="1"/>
  <c r="AI150" i="73"/>
  <c r="AO150" i="73" s="1"/>
  <c r="AS150" i="73" s="1"/>
  <c r="AI152" i="73"/>
  <c r="AO152" i="73" s="1"/>
  <c r="AS152" i="73" s="1"/>
  <c r="AI155" i="73"/>
  <c r="AO155" i="73" s="1"/>
  <c r="AS155" i="73" s="1"/>
  <c r="AO83" i="77"/>
  <c r="BC90" i="77"/>
  <c r="BE90" i="77" s="1"/>
  <c r="BB94" i="77"/>
  <c r="U83" i="77"/>
  <c r="BC79" i="77"/>
  <c r="AM83" i="77"/>
  <c r="AS83" i="77"/>
  <c r="AA83" i="77"/>
  <c r="BA83" i="77"/>
  <c r="AW83" i="77"/>
  <c r="I83" i="77"/>
  <c r="BC89" i="77"/>
  <c r="AE83" i="77"/>
  <c r="I94" i="77"/>
  <c r="Q83" i="77"/>
  <c r="T86" i="77"/>
  <c r="T85" i="77" s="1"/>
  <c r="AN86" i="77"/>
  <c r="BB63" i="11"/>
  <c r="BB62" i="11"/>
  <c r="BE140" i="73" l="1"/>
  <c r="AW152" i="73"/>
  <c r="AW154" i="73"/>
  <c r="AW155" i="73"/>
  <c r="AW149" i="73"/>
  <c r="BE143" i="73"/>
  <c r="BE141" i="73"/>
  <c r="BE144" i="73"/>
  <c r="AW150" i="73"/>
  <c r="AW156" i="73"/>
  <c r="BE142" i="73"/>
  <c r="BE139" i="73"/>
  <c r="AN85" i="77"/>
  <c r="AN94" i="77" s="1"/>
  <c r="BC88" i="77"/>
  <c r="BC94" i="77" s="1"/>
  <c r="AI94" i="77"/>
  <c r="AO94" i="77"/>
  <c r="T94" i="77"/>
  <c r="BE89" i="77"/>
  <c r="BC83" i="77"/>
  <c r="BE79" i="77"/>
  <c r="BE83" i="77" s="1"/>
  <c r="BH83" i="77" s="1"/>
  <c r="AR86" i="77"/>
  <c r="BB225" i="6"/>
  <c r="J225" i="6"/>
  <c r="N225" i="6"/>
  <c r="R225" i="6" s="1"/>
  <c r="V225" i="6" s="1"/>
  <c r="Z225" i="6"/>
  <c r="AN225" i="6"/>
  <c r="BE149" i="73" l="1"/>
  <c r="BE155" i="73"/>
  <c r="BE156" i="73"/>
  <c r="BE150" i="73"/>
  <c r="BE154" i="73"/>
  <c r="BE152" i="73"/>
  <c r="AR85" i="77"/>
  <c r="AR94" i="77" s="1"/>
  <c r="BE88" i="77"/>
  <c r="BE94" i="77" s="1"/>
  <c r="BH94" i="77" s="1"/>
  <c r="BD225" i="6"/>
  <c r="BK225" i="6" s="1"/>
  <c r="AB225" i="6"/>
  <c r="AJ225" i="6" s="1"/>
  <c r="AP225" i="6" s="1"/>
  <c r="AT225" i="6" s="1"/>
  <c r="AX225" i="6" s="1"/>
  <c r="BF225" i="6" s="1"/>
  <c r="BH225" i="6" s="1"/>
  <c r="AV86" i="77"/>
  <c r="AV85" i="77" l="1"/>
  <c r="AV94" i="77" s="1"/>
  <c r="BD86" i="77"/>
  <c r="AF225" i="6"/>
  <c r="BD85" i="77" l="1"/>
  <c r="BD94" i="77" s="1"/>
  <c r="AX39" i="27"/>
  <c r="AY36" i="27"/>
  <c r="AY26" i="27"/>
  <c r="AY21" i="27"/>
  <c r="AX24" i="27"/>
  <c r="AZ28" i="22"/>
  <c r="AZ24" i="22"/>
  <c r="AZ23" i="22"/>
  <c r="AZ14" i="22"/>
  <c r="AZ10" i="22"/>
  <c r="AZ9" i="22"/>
  <c r="AZ12" i="22" l="1"/>
  <c r="AY24" i="27"/>
  <c r="AZ26" i="22"/>
  <c r="AY33" i="27"/>
  <c r="AY39" i="27"/>
  <c r="BA40" i="50"/>
  <c r="BA41" i="50"/>
  <c r="BA42" i="50"/>
  <c r="BA43" i="50"/>
  <c r="BA44" i="50"/>
  <c r="BA45" i="50"/>
  <c r="BA39" i="50"/>
  <c r="BA5" i="50"/>
  <c r="BA6" i="50"/>
  <c r="BA7" i="50"/>
  <c r="BA8" i="50"/>
  <c r="BA9" i="50"/>
  <c r="BA10" i="50"/>
  <c r="BA11" i="50"/>
  <c r="BA12" i="50"/>
  <c r="BA13" i="50"/>
  <c r="BA14" i="50"/>
  <c r="BA15" i="50"/>
  <c r="BA16" i="50"/>
  <c r="BA17" i="50"/>
  <c r="BA18" i="50"/>
  <c r="BA19" i="50"/>
  <c r="BA20" i="50"/>
  <c r="BA21" i="50"/>
  <c r="BA22" i="50"/>
  <c r="BA23" i="50"/>
  <c r="BA24" i="50"/>
  <c r="BA25" i="50"/>
  <c r="BA26" i="50"/>
  <c r="BA27" i="50"/>
  <c r="BA29" i="50"/>
  <c r="BA30" i="50"/>
  <c r="BA31" i="50"/>
  <c r="BA32" i="50"/>
  <c r="BA33" i="50"/>
  <c r="BA34" i="50"/>
  <c r="BA35" i="50"/>
  <c r="BA36" i="50"/>
  <c r="BA37" i="50"/>
  <c r="BA4" i="50"/>
  <c r="BD135" i="50"/>
  <c r="BD117" i="50"/>
  <c r="BD93" i="50"/>
  <c r="BD79" i="50"/>
  <c r="BD54" i="50"/>
  <c r="BD46" i="50"/>
  <c r="BD38" i="50"/>
  <c r="BC92" i="50"/>
  <c r="BC91" i="50"/>
  <c r="BC90" i="50"/>
  <c r="BC89" i="50"/>
  <c r="BC88" i="50"/>
  <c r="BC87" i="50"/>
  <c r="BC84" i="50"/>
  <c r="BC83" i="50"/>
  <c r="BC82" i="50"/>
  <c r="BC81" i="50"/>
  <c r="BC80" i="50"/>
  <c r="BC78" i="50"/>
  <c r="BC77" i="50"/>
  <c r="BC76" i="50"/>
  <c r="BC75" i="50"/>
  <c r="BC74" i="50"/>
  <c r="BC73" i="50"/>
  <c r="BC72" i="50"/>
  <c r="BC71" i="50"/>
  <c r="BC70" i="50"/>
  <c r="BC69" i="50"/>
  <c r="BC68" i="50"/>
  <c r="BC66" i="50"/>
  <c r="BC65" i="50"/>
  <c r="BC64" i="50"/>
  <c r="BC63" i="50"/>
  <c r="BC62" i="50"/>
  <c r="BC60" i="50"/>
  <c r="BC59" i="50"/>
  <c r="BC58" i="50"/>
  <c r="BC57" i="50"/>
  <c r="BC56" i="50"/>
  <c r="BC55" i="50"/>
  <c r="BA144" i="50"/>
  <c r="BA142" i="50"/>
  <c r="BA141" i="50"/>
  <c r="BA137" i="50"/>
  <c r="BF135" i="50"/>
  <c r="AZ135" i="50"/>
  <c r="AZ133" i="50"/>
  <c r="AZ132" i="50"/>
  <c r="AZ131" i="50"/>
  <c r="BA127" i="50"/>
  <c r="BF117" i="50"/>
  <c r="AZ117" i="50"/>
  <c r="BA115" i="50"/>
  <c r="AZ115" i="50"/>
  <c r="BA112" i="50"/>
  <c r="AZ112" i="50"/>
  <c r="BA111" i="50"/>
  <c r="AZ111" i="50"/>
  <c r="BF103" i="50"/>
  <c r="AZ103" i="50"/>
  <c r="BA102" i="50"/>
  <c r="BA101" i="50"/>
  <c r="BF93" i="50"/>
  <c r="BA93" i="50"/>
  <c r="BA138" i="50" s="1"/>
  <c r="AZ93" i="50"/>
  <c r="BF79" i="50"/>
  <c r="BA79" i="50"/>
  <c r="AZ79" i="50"/>
  <c r="BF54" i="50"/>
  <c r="AZ54" i="50"/>
  <c r="BA53" i="50"/>
  <c r="BA51" i="50"/>
  <c r="BA50" i="50"/>
  <c r="BA49" i="50"/>
  <c r="BA48" i="50"/>
  <c r="BA47" i="50"/>
  <c r="BF46" i="50"/>
  <c r="AZ46" i="50"/>
  <c r="BF38" i="50"/>
  <c r="AZ38" i="50"/>
  <c r="BA140" i="50" l="1"/>
  <c r="BA13" i="61"/>
  <c r="BA9" i="61"/>
  <c r="BA5" i="61"/>
  <c r="BA15" i="61"/>
  <c r="BA12" i="61"/>
  <c r="BA8" i="61"/>
  <c r="BA4" i="61"/>
  <c r="BA11" i="61"/>
  <c r="BA7" i="61"/>
  <c r="BA14" i="61"/>
  <c r="BA10" i="61"/>
  <c r="BA6" i="61"/>
  <c r="BA128" i="50"/>
  <c r="BA129" i="50" s="1"/>
  <c r="AX122" i="17"/>
  <c r="AY122" i="17"/>
  <c r="BD94" i="50"/>
  <c r="BC93" i="50"/>
  <c r="BA38" i="50"/>
  <c r="BC79" i="50"/>
  <c r="AZ104" i="50"/>
  <c r="BF104" i="50"/>
  <c r="BA116" i="50"/>
  <c r="AZ94" i="50"/>
  <c r="BF94" i="50"/>
  <c r="BA54" i="50"/>
  <c r="BA139" i="50"/>
  <c r="BA46" i="50"/>
  <c r="BA130" i="50"/>
  <c r="BA16" i="61" l="1"/>
  <c r="BA124" i="50"/>
  <c r="BA120" i="50"/>
  <c r="BA108" i="50"/>
  <c r="AZ162" i="10"/>
  <c r="BA94" i="50"/>
  <c r="AZ163" i="10" l="1"/>
  <c r="BF10" i="11"/>
  <c r="BF58" i="10" l="1"/>
  <c r="BI58" i="10" s="1"/>
  <c r="BB58" i="10"/>
  <c r="BB59" i="10"/>
  <c r="BM59" i="10" s="1"/>
  <c r="BD58" i="10" l="1"/>
  <c r="BK58" i="10" s="1"/>
  <c r="BM58" i="10"/>
  <c r="BB11" i="8"/>
  <c r="BA119" i="50" l="1"/>
  <c r="BB8" i="10"/>
  <c r="BM8" i="10" s="1"/>
  <c r="BB9" i="10"/>
  <c r="BM9" i="10" s="1"/>
  <c r="BB10" i="10"/>
  <c r="BM10" i="10" s="1"/>
  <c r="BB11" i="10"/>
  <c r="BM11" i="10" s="1"/>
  <c r="BB12" i="10"/>
  <c r="BM12" i="10" s="1"/>
  <c r="BB13" i="10"/>
  <c r="BM13" i="10" s="1"/>
  <c r="BB14" i="10"/>
  <c r="BM14" i="10" s="1"/>
  <c r="BB15" i="10"/>
  <c r="BM15" i="10" s="1"/>
  <c r="BB16" i="10"/>
  <c r="BM16" i="10" s="1"/>
  <c r="BB17" i="10"/>
  <c r="BM17" i="10" s="1"/>
  <c r="BB18" i="10"/>
  <c r="BM18" i="10" s="1"/>
  <c r="BB19" i="10"/>
  <c r="BM19" i="10" s="1"/>
  <c r="BB20" i="10"/>
  <c r="BM20" i="10" s="1"/>
  <c r="BB23" i="10"/>
  <c r="BM23" i="10" s="1"/>
  <c r="BB26" i="10"/>
  <c r="BM26" i="10" s="1"/>
  <c r="BB27" i="10"/>
  <c r="BM27" i="10" s="1"/>
  <c r="BB28" i="10"/>
  <c r="BB29" i="10"/>
  <c r="BM29" i="10" s="1"/>
  <c r="BB30" i="10"/>
  <c r="BM30" i="10" s="1"/>
  <c r="BB31" i="10"/>
  <c r="BM31" i="10" s="1"/>
  <c r="BB33" i="10"/>
  <c r="BM33" i="10" s="1"/>
  <c r="BB34" i="10"/>
  <c r="BM34" i="10" s="1"/>
  <c r="BB35" i="10"/>
  <c r="BM35" i="10" s="1"/>
  <c r="BB36" i="10"/>
  <c r="BM36" i="10" s="1"/>
  <c r="BB37" i="10"/>
  <c r="BM37" i="10" s="1"/>
  <c r="BB38" i="10"/>
  <c r="BM38" i="10" s="1"/>
  <c r="BB41" i="10"/>
  <c r="BM41" i="10" s="1"/>
  <c r="BB42" i="10"/>
  <c r="BM42" i="10" s="1"/>
  <c r="BB43" i="10"/>
  <c r="BM43" i="10" s="1"/>
  <c r="BB44" i="10"/>
  <c r="BM44" i="10" s="1"/>
  <c r="BB45" i="10"/>
  <c r="BM45" i="10" s="1"/>
  <c r="BB46" i="10"/>
  <c r="BM46" i="10" s="1"/>
  <c r="BB47" i="10"/>
  <c r="BM47" i="10" s="1"/>
  <c r="BB48" i="10"/>
  <c r="BM48" i="10" s="1"/>
  <c r="BB49" i="10"/>
  <c r="BM49" i="10" s="1"/>
  <c r="BB50" i="10"/>
  <c r="BM50" i="10" s="1"/>
  <c r="BB51" i="10"/>
  <c r="BM51" i="10" s="1"/>
  <c r="BB52" i="10"/>
  <c r="BM52" i="10" s="1"/>
  <c r="BB53" i="10"/>
  <c r="BM53" i="10" s="1"/>
  <c r="BB54" i="10"/>
  <c r="BM54" i="10" s="1"/>
  <c r="BB56" i="10"/>
  <c r="BM56" i="10" s="1"/>
  <c r="BB57" i="10"/>
  <c r="BM57" i="10" s="1"/>
  <c r="BB61" i="10"/>
  <c r="BM61" i="10" s="1"/>
  <c r="BB62" i="10"/>
  <c r="BM62" i="10" s="1"/>
  <c r="BB63" i="10"/>
  <c r="BM63" i="10" s="1"/>
  <c r="BB65" i="10"/>
  <c r="BM65" i="10" s="1"/>
  <c r="BB66" i="10"/>
  <c r="BM66" i="10" s="1"/>
  <c r="BB68" i="10"/>
  <c r="BM68" i="10" s="1"/>
  <c r="BB69" i="10"/>
  <c r="BM69" i="10" s="1"/>
  <c r="BB70" i="10"/>
  <c r="BM70" i="10" s="1"/>
  <c r="BB71" i="10"/>
  <c r="BM71" i="10" s="1"/>
  <c r="BB72" i="10"/>
  <c r="BM72" i="10" s="1"/>
  <c r="BB73" i="10"/>
  <c r="BM73" i="10" s="1"/>
  <c r="BB74" i="10"/>
  <c r="BM74" i="10" s="1"/>
  <c r="BB76" i="10"/>
  <c r="BM76" i="10" s="1"/>
  <c r="BB77" i="10"/>
  <c r="BB78" i="10"/>
  <c r="BM78" i="10" s="1"/>
  <c r="BB79" i="10"/>
  <c r="BM79" i="10" s="1"/>
  <c r="BB80" i="10"/>
  <c r="BM80" i="10" s="1"/>
  <c r="BB81" i="10"/>
  <c r="BM81" i="10" s="1"/>
  <c r="BB82" i="10"/>
  <c r="BM82" i="10" s="1"/>
  <c r="BB83" i="10"/>
  <c r="BM83" i="10" s="1"/>
  <c r="BB84" i="10"/>
  <c r="BM84" i="10" s="1"/>
  <c r="BB87" i="10"/>
  <c r="BM87" i="10" s="1"/>
  <c r="BB88" i="10"/>
  <c r="BM88" i="10" s="1"/>
  <c r="BB89" i="10"/>
  <c r="BM89" i="10" s="1"/>
  <c r="BB90" i="10"/>
  <c r="BM90" i="10" s="1"/>
  <c r="BB91" i="10"/>
  <c r="BM91" i="10" s="1"/>
  <c r="BB92" i="10"/>
  <c r="BM92" i="10" s="1"/>
  <c r="BB93" i="10"/>
  <c r="BM93" i="10" s="1"/>
  <c r="BB94" i="10"/>
  <c r="BM94" i="10" s="1"/>
  <c r="BB95" i="10"/>
  <c r="BM95" i="10" s="1"/>
  <c r="BB96" i="10"/>
  <c r="BM96" i="10" s="1"/>
  <c r="BB97" i="10"/>
  <c r="BM97" i="10" s="1"/>
  <c r="BB98" i="10"/>
  <c r="BM98" i="10" s="1"/>
  <c r="BB99" i="10"/>
  <c r="BM99" i="10" s="1"/>
  <c r="BB100" i="10"/>
  <c r="BM100" i="10" s="1"/>
  <c r="BB101" i="10"/>
  <c r="BM101" i="10" s="1"/>
  <c r="BB102" i="10"/>
  <c r="BM102" i="10" s="1"/>
  <c r="BB103" i="10"/>
  <c r="BM103" i="10" s="1"/>
  <c r="BB104" i="10"/>
  <c r="BM104" i="10" s="1"/>
  <c r="BB107" i="10"/>
  <c r="BM107" i="10" s="1"/>
  <c r="BB108" i="10"/>
  <c r="BM108" i="10" s="1"/>
  <c r="BB109" i="10"/>
  <c r="BM109" i="10" s="1"/>
  <c r="BB110" i="10"/>
  <c r="BM110" i="10" s="1"/>
  <c r="BB111" i="10"/>
  <c r="BM111" i="10" s="1"/>
  <c r="BB112" i="10"/>
  <c r="BM112" i="10" s="1"/>
  <c r="BB113" i="10"/>
  <c r="BM113" i="10" s="1"/>
  <c r="BB115" i="10"/>
  <c r="BM115" i="10" s="1"/>
  <c r="BB116" i="10"/>
  <c r="BM116" i="10" s="1"/>
  <c r="BB117" i="10"/>
  <c r="BM117" i="10" s="1"/>
  <c r="BB118" i="10"/>
  <c r="BM118" i="10" s="1"/>
  <c r="BB119" i="10"/>
  <c r="BM119" i="10" s="1"/>
  <c r="BB120" i="10"/>
  <c r="BM120" i="10" s="1"/>
  <c r="BB121" i="10"/>
  <c r="BM121" i="10" s="1"/>
  <c r="BB150" i="10"/>
  <c r="BM150" i="10" s="1"/>
  <c r="BB151" i="10"/>
  <c r="BM151" i="10" s="1"/>
  <c r="BB152" i="10"/>
  <c r="BM152" i="10" s="1"/>
  <c r="BB153" i="10"/>
  <c r="BM153" i="10" s="1"/>
  <c r="BA11" i="8"/>
  <c r="AZ10" i="49"/>
  <c r="AZ12" i="49" s="1"/>
  <c r="AZ14" i="49" s="1"/>
  <c r="AZ15" i="49" s="1"/>
  <c r="AZ16" i="49" s="1"/>
  <c r="AZ19" i="49" s="1"/>
  <c r="AZ20" i="49" s="1"/>
  <c r="BA49" i="7"/>
  <c r="BB49" i="7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X50" i="39"/>
  <c r="AX45" i="39"/>
  <c r="AX8" i="39"/>
  <c r="BA198" i="6"/>
  <c r="BA121" i="50" l="1"/>
  <c r="BD28" i="10"/>
  <c r="BK28" i="10" s="1"/>
  <c r="BM28" i="10"/>
  <c r="BD77" i="10"/>
  <c r="BK77" i="10" s="1"/>
  <c r="BM77" i="10"/>
  <c r="AX51" i="39"/>
  <c r="AX22" i="39"/>
  <c r="AX24" i="39" s="1"/>
  <c r="AY2" i="17"/>
  <c r="AY2" i="26"/>
  <c r="AZ33" i="22"/>
  <c r="BA133" i="50"/>
  <c r="BA123" i="50"/>
  <c r="BA125" i="50" l="1"/>
  <c r="AX2" i="26"/>
  <c r="AX2" i="17"/>
  <c r="BA107" i="50"/>
  <c r="BA109" i="50" l="1"/>
  <c r="BA110" i="50"/>
  <c r="BA117" i="50" l="1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BB120" i="6" l="1"/>
  <c r="BB102" i="6"/>
  <c r="BB115" i="6"/>
  <c r="BB97" i="6"/>
  <c r="BA115" i="6"/>
  <c r="BA102" i="6"/>
  <c r="BA97" i="6"/>
  <c r="BA120" i="6"/>
  <c r="BB121" i="6" l="1"/>
  <c r="BA121" i="6"/>
  <c r="BB103" i="6"/>
  <c r="BA103" i="6"/>
  <c r="BA125" i="6" l="1"/>
  <c r="BB125" i="6"/>
  <c r="BA107" i="6"/>
  <c r="BB107" i="6"/>
  <c r="BA7" i="73" l="1"/>
  <c r="BA9" i="73"/>
  <c r="BA10" i="73"/>
  <c r="BA14" i="73"/>
  <c r="BA17" i="73"/>
  <c r="AZ18" i="73"/>
  <c r="BB18" i="73"/>
  <c r="BA19" i="73"/>
  <c r="BA20" i="73"/>
  <c r="BA21" i="73"/>
  <c r="BA26" i="73"/>
  <c r="BA27" i="73"/>
  <c r="BA28" i="73"/>
  <c r="BA29" i="73"/>
  <c r="BA31" i="73"/>
  <c r="BA32" i="73"/>
  <c r="BA33" i="73"/>
  <c r="BA35" i="73"/>
  <c r="BA36" i="73"/>
  <c r="BA37" i="73"/>
  <c r="BA39" i="73"/>
  <c r="BA40" i="73"/>
  <c r="BA42" i="73"/>
  <c r="BA43" i="73"/>
  <c r="BA44" i="73"/>
  <c r="BA45" i="73"/>
  <c r="BA47" i="73"/>
  <c r="BA48" i="73"/>
  <c r="BA49" i="73"/>
  <c r="BA50" i="73"/>
  <c r="BA52" i="73"/>
  <c r="BA54" i="73"/>
  <c r="BA55" i="73"/>
  <c r="BA56" i="73"/>
  <c r="BA58" i="73"/>
  <c r="BA59" i="73"/>
  <c r="BA60" i="73"/>
  <c r="BA61" i="73"/>
  <c r="BA65" i="73"/>
  <c r="BA66" i="73"/>
  <c r="BA67" i="73"/>
  <c r="BA68" i="73"/>
  <c r="BA69" i="73"/>
  <c r="BA75" i="73"/>
  <c r="BA76" i="73"/>
  <c r="BA77" i="73"/>
  <c r="BA78" i="73"/>
  <c r="BA79" i="73"/>
  <c r="BA80" i="73"/>
  <c r="BA81" i="73"/>
  <c r="BA83" i="73"/>
  <c r="BA84" i="73"/>
  <c r="BA86" i="73"/>
  <c r="BA91" i="73"/>
  <c r="BA92" i="73"/>
  <c r="BA93" i="73"/>
  <c r="BA94" i="73"/>
  <c r="BA95" i="73"/>
  <c r="BA96" i="73"/>
  <c r="BA97" i="73"/>
  <c r="BA99" i="73"/>
  <c r="BA100" i="73"/>
  <c r="BA113" i="73"/>
  <c r="BA101" i="73"/>
  <c r="BA103" i="73"/>
  <c r="BA104" i="73"/>
  <c r="BA105" i="73"/>
  <c r="BA107" i="73"/>
  <c r="BA110" i="73"/>
  <c r="BA111" i="73"/>
  <c r="BA119" i="73"/>
  <c r="BA120" i="73"/>
  <c r="BA121" i="73"/>
  <c r="AZ122" i="73"/>
  <c r="BB122" i="73"/>
  <c r="BA123" i="73"/>
  <c r="BA124" i="73"/>
  <c r="AZ126" i="73"/>
  <c r="BB126" i="73"/>
  <c r="BA127" i="73"/>
  <c r="AZ130" i="73"/>
  <c r="BB130" i="73"/>
  <c r="BA131" i="73"/>
  <c r="BA132" i="73"/>
  <c r="BA157" i="73"/>
  <c r="BA159" i="73"/>
  <c r="BA161" i="73"/>
  <c r="BA162" i="73"/>
  <c r="BA164" i="73"/>
  <c r="BA165" i="73"/>
  <c r="BA167" i="73"/>
  <c r="BA168" i="73"/>
  <c r="BA169" i="73"/>
  <c r="BA170" i="73"/>
  <c r="AZ171" i="73"/>
  <c r="BB171" i="73"/>
  <c r="BA174" i="73"/>
  <c r="BA175" i="73"/>
  <c r="AZ133" i="73" l="1"/>
  <c r="BB133" i="73"/>
  <c r="BA18" i="73"/>
  <c r="BA143" i="50"/>
  <c r="BJ140" i="50" l="1"/>
  <c r="BJ138" i="50"/>
  <c r="BA145" i="50"/>
  <c r="BA146" i="50" s="1"/>
  <c r="AY203" i="10"/>
  <c r="AY33" i="22" l="1"/>
  <c r="AZ203" i="10"/>
  <c r="AY21" i="22" l="1"/>
  <c r="AY7" i="22"/>
  <c r="AZ97" i="50"/>
  <c r="AZ95" i="50" s="1"/>
  <c r="AY8" i="22" l="1"/>
  <c r="AY22" i="22"/>
  <c r="BA97" i="50"/>
  <c r="BA80" i="83"/>
  <c r="BA78" i="83" s="1"/>
  <c r="AY24" i="22" l="1"/>
  <c r="AY10" i="22"/>
  <c r="BA95" i="50"/>
  <c r="AY11" i="22" l="1"/>
  <c r="AY25" i="22"/>
  <c r="AY27" i="22" l="1"/>
  <c r="AY13" i="22"/>
  <c r="AX16" i="61" l="1"/>
  <c r="BB64" i="10" l="1"/>
  <c r="BM64" i="10" s="1"/>
  <c r="BB67" i="10" l="1"/>
  <c r="BM67" i="10" s="1"/>
  <c r="K74" i="50" l="1"/>
  <c r="S74" i="50"/>
  <c r="W74" i="50" s="1"/>
  <c r="BE74" i="50"/>
  <c r="AW48" i="50"/>
  <c r="AW49" i="50"/>
  <c r="AW50" i="50"/>
  <c r="AW51" i="50"/>
  <c r="AW53" i="50"/>
  <c r="AW40" i="50"/>
  <c r="AW41" i="50"/>
  <c r="AW42" i="50"/>
  <c r="AW43" i="50"/>
  <c r="AW44" i="50"/>
  <c r="AW45" i="50"/>
  <c r="AW39" i="50"/>
  <c r="AW5" i="50"/>
  <c r="AW6" i="50"/>
  <c r="AW7" i="50"/>
  <c r="AW8" i="50"/>
  <c r="AW9" i="50"/>
  <c r="AW10" i="50"/>
  <c r="AW11" i="50"/>
  <c r="AW12" i="50"/>
  <c r="AW13" i="50"/>
  <c r="AW14" i="50"/>
  <c r="AW15" i="50"/>
  <c r="AW16" i="50"/>
  <c r="AW17" i="50"/>
  <c r="AW18" i="50"/>
  <c r="AW19" i="50"/>
  <c r="AW20" i="50"/>
  <c r="AW21" i="50"/>
  <c r="AW22" i="50"/>
  <c r="AW23" i="50"/>
  <c r="AW24" i="50"/>
  <c r="AW25" i="50"/>
  <c r="AW26" i="50"/>
  <c r="AW27" i="50"/>
  <c r="AW29" i="50"/>
  <c r="AW30" i="50"/>
  <c r="AW31" i="50"/>
  <c r="AW32" i="50"/>
  <c r="AW33" i="50"/>
  <c r="AW34" i="50"/>
  <c r="AW35" i="50"/>
  <c r="AW36" i="50"/>
  <c r="AW37" i="50"/>
  <c r="AW4" i="50"/>
  <c r="AW144" i="50"/>
  <c r="AW142" i="50"/>
  <c r="AW141" i="50"/>
  <c r="AW137" i="50"/>
  <c r="AX135" i="50"/>
  <c r="AV135" i="50"/>
  <c r="AV133" i="50"/>
  <c r="AV132" i="50"/>
  <c r="AV131" i="50"/>
  <c r="AW127" i="50"/>
  <c r="AX117" i="50"/>
  <c r="AV117" i="50"/>
  <c r="AW115" i="50"/>
  <c r="AV115" i="50"/>
  <c r="AW112" i="50"/>
  <c r="AV112" i="50"/>
  <c r="AW111" i="50"/>
  <c r="AV111" i="50"/>
  <c r="AX103" i="50"/>
  <c r="AV103" i="50"/>
  <c r="AW102" i="50"/>
  <c r="AW101" i="50"/>
  <c r="AX93" i="50"/>
  <c r="AW93" i="50"/>
  <c r="AW138" i="50" s="1"/>
  <c r="AV93" i="50"/>
  <c r="AX79" i="50"/>
  <c r="AW79" i="50"/>
  <c r="AW128" i="50" s="1"/>
  <c r="AV79" i="50"/>
  <c r="AX54" i="50"/>
  <c r="AV54" i="50"/>
  <c r="AW47" i="50"/>
  <c r="AX46" i="50"/>
  <c r="AV46" i="50"/>
  <c r="AX38" i="50"/>
  <c r="AV38" i="50"/>
  <c r="G32" i="50"/>
  <c r="I32" i="50"/>
  <c r="Q32" i="50"/>
  <c r="AE32" i="50"/>
  <c r="AI32" i="50"/>
  <c r="AS32" i="50"/>
  <c r="G33" i="50"/>
  <c r="I33" i="50"/>
  <c r="Q33" i="50"/>
  <c r="AE33" i="50"/>
  <c r="AI33" i="50"/>
  <c r="G34" i="50"/>
  <c r="I34" i="50"/>
  <c r="Q34" i="50"/>
  <c r="AE34" i="50"/>
  <c r="AI34" i="50"/>
  <c r="AM34" i="50"/>
  <c r="AS34" i="50"/>
  <c r="G35" i="50"/>
  <c r="I35" i="50"/>
  <c r="Q35" i="50"/>
  <c r="AE35" i="50"/>
  <c r="AI35" i="50"/>
  <c r="AM35" i="50"/>
  <c r="AS35" i="50"/>
  <c r="G36" i="50"/>
  <c r="I36" i="50"/>
  <c r="Q36" i="50"/>
  <c r="AE36" i="50"/>
  <c r="AI36" i="50"/>
  <c r="AM36" i="50"/>
  <c r="AS36" i="50"/>
  <c r="G37" i="50"/>
  <c r="I37" i="50"/>
  <c r="Q37" i="50"/>
  <c r="AE37" i="50"/>
  <c r="AI37" i="50"/>
  <c r="AM37" i="50"/>
  <c r="AS37" i="50"/>
  <c r="BG102" i="50" l="1"/>
  <c r="AW13" i="61"/>
  <c r="AW9" i="61"/>
  <c r="AW5" i="61"/>
  <c r="BG101" i="50"/>
  <c r="AW15" i="61"/>
  <c r="AW12" i="61"/>
  <c r="AW8" i="61"/>
  <c r="AW4" i="61"/>
  <c r="AW11" i="61"/>
  <c r="AW7" i="61"/>
  <c r="AW14" i="61"/>
  <c r="AW10" i="61"/>
  <c r="AW6" i="61"/>
  <c r="BC37" i="50"/>
  <c r="BC34" i="50"/>
  <c r="BC36" i="50"/>
  <c r="AW139" i="50"/>
  <c r="BC32" i="50"/>
  <c r="BC35" i="50"/>
  <c r="AC74" i="50"/>
  <c r="AG74" i="50" s="1"/>
  <c r="AA32" i="50"/>
  <c r="AV104" i="50"/>
  <c r="AW116" i="50"/>
  <c r="AW54" i="50"/>
  <c r="AV94" i="50"/>
  <c r="AX104" i="50"/>
  <c r="AO36" i="50"/>
  <c r="K36" i="50"/>
  <c r="O33" i="50"/>
  <c r="S33" i="50" s="1"/>
  <c r="W33" i="50" s="1"/>
  <c r="AX94" i="50"/>
  <c r="AW46" i="50"/>
  <c r="AW129" i="50"/>
  <c r="AW38" i="50"/>
  <c r="AW130" i="50"/>
  <c r="AW140" i="50"/>
  <c r="AO37" i="50"/>
  <c r="AA35" i="50"/>
  <c r="O37" i="50"/>
  <c r="S37" i="50" s="1"/>
  <c r="W37" i="50" s="1"/>
  <c r="K37" i="50"/>
  <c r="AA36" i="50"/>
  <c r="AO34" i="50"/>
  <c r="K34" i="50"/>
  <c r="AO35" i="50"/>
  <c r="O35" i="50"/>
  <c r="S35" i="50" s="1"/>
  <c r="W35" i="50" s="1"/>
  <c r="AA34" i="50"/>
  <c r="K32" i="50"/>
  <c r="K35" i="50"/>
  <c r="K33" i="50"/>
  <c r="O36" i="50"/>
  <c r="O34" i="50"/>
  <c r="O32" i="50"/>
  <c r="AW16" i="61" l="1"/>
  <c r="BE37" i="50"/>
  <c r="AW120" i="50"/>
  <c r="AW124" i="50"/>
  <c r="BE34" i="50"/>
  <c r="BE36" i="50"/>
  <c r="AW108" i="50"/>
  <c r="AV162" i="10"/>
  <c r="AK74" i="50"/>
  <c r="AQ74" i="50" s="1"/>
  <c r="AU74" i="50" s="1"/>
  <c r="AY74" i="50" s="1"/>
  <c r="BG74" i="50" s="1"/>
  <c r="BH74" i="50" s="1"/>
  <c r="BE35" i="50"/>
  <c r="AC35" i="50"/>
  <c r="AG35" i="50" s="1"/>
  <c r="AW94" i="50"/>
  <c r="S32" i="50"/>
  <c r="W32" i="50" s="1"/>
  <c r="AC32" i="50"/>
  <c r="AG32" i="50" s="1"/>
  <c r="AK32" i="50" s="1"/>
  <c r="S34" i="50"/>
  <c r="W34" i="50" s="1"/>
  <c r="AC34" i="50"/>
  <c r="AG34" i="50" s="1"/>
  <c r="S36" i="50"/>
  <c r="W36" i="50" s="1"/>
  <c r="AC36" i="50"/>
  <c r="AG36" i="50" s="1"/>
  <c r="AV163" i="10" l="1"/>
  <c r="AK35" i="50"/>
  <c r="AQ35" i="50" s="1"/>
  <c r="AU35" i="50" s="1"/>
  <c r="AY35" i="50" s="1"/>
  <c r="BG35" i="50" s="1"/>
  <c r="BH35" i="50" s="1"/>
  <c r="AK36" i="50"/>
  <c r="AQ36" i="50" s="1"/>
  <c r="AU36" i="50" s="1"/>
  <c r="AY36" i="50" s="1"/>
  <c r="BG36" i="50" s="1"/>
  <c r="BH36" i="50" s="1"/>
  <c r="AK34" i="50"/>
  <c r="AQ34" i="50" s="1"/>
  <c r="AU34" i="50" s="1"/>
  <c r="AY34" i="50" s="1"/>
  <c r="BG34" i="50" s="1"/>
  <c r="BH34" i="50" s="1"/>
  <c r="AX153" i="28" l="1"/>
  <c r="BF153" i="28" s="1"/>
  <c r="BH153" i="28" s="1"/>
  <c r="AV143" i="45" l="1"/>
  <c r="AU78" i="11"/>
  <c r="AU177" i="10"/>
  <c r="AU98" i="9"/>
  <c r="AT87" i="17"/>
  <c r="AV141" i="45"/>
  <c r="AU76" i="11"/>
  <c r="AU175" i="10"/>
  <c r="AT85" i="17"/>
  <c r="AU192" i="6"/>
  <c r="AV140" i="45"/>
  <c r="AU75" i="11"/>
  <c r="AU174" i="10"/>
  <c r="AU97" i="9"/>
  <c r="AT84" i="17"/>
  <c r="AT26" i="17"/>
  <c r="AT33" i="17" s="1"/>
  <c r="AU191" i="6"/>
  <c r="AU166" i="6"/>
  <c r="G64" i="83"/>
  <c r="I64" i="83"/>
  <c r="U64" i="83"/>
  <c r="Y64" i="83"/>
  <c r="AE64" i="83"/>
  <c r="AM64" i="83"/>
  <c r="AS64" i="83"/>
  <c r="BC64" i="83" s="1"/>
  <c r="AA64" i="83" l="1"/>
  <c r="O64" i="83"/>
  <c r="S64" i="83" s="1"/>
  <c r="K64" i="83"/>
  <c r="AO64" i="83"/>
  <c r="BE64" i="83" s="1"/>
  <c r="AT86" i="17" l="1"/>
  <c r="AC64" i="83"/>
  <c r="AG64" i="83" s="1"/>
  <c r="AK64" i="83" s="1"/>
  <c r="AQ64" i="83" s="1"/>
  <c r="AU64" i="83" s="1"/>
  <c r="AY64" i="83" s="1"/>
  <c r="BG64" i="83" s="1"/>
  <c r="AU122" i="17" l="1"/>
  <c r="AT122" i="17" l="1"/>
  <c r="F223" i="6" l="1"/>
  <c r="F222" i="6"/>
  <c r="BF28" i="10" l="1"/>
  <c r="BI28" i="10" s="1"/>
  <c r="AV32" i="35" l="1"/>
  <c r="BB32" i="35" s="1"/>
  <c r="AV31" i="35"/>
  <c r="AV41" i="35" l="1"/>
  <c r="AV97" i="11"/>
  <c r="AY74" i="59"/>
  <c r="AW123" i="50"/>
  <c r="AY68" i="59"/>
  <c r="AW119" i="50"/>
  <c r="AX74" i="59"/>
  <c r="AY72" i="59"/>
  <c r="AY70" i="59"/>
  <c r="G47" i="83"/>
  <c r="I47" i="83"/>
  <c r="U47" i="83"/>
  <c r="Y47" i="83"/>
  <c r="AE47" i="83"/>
  <c r="AM47" i="83"/>
  <c r="AS47" i="83"/>
  <c r="BC47" i="83" s="1"/>
  <c r="I26" i="83"/>
  <c r="O26" i="83" s="1"/>
  <c r="U26" i="83"/>
  <c r="Y26" i="83"/>
  <c r="AE26" i="83"/>
  <c r="AM26" i="83"/>
  <c r="AS26" i="83"/>
  <c r="BC26" i="83" s="1"/>
  <c r="I23" i="83"/>
  <c r="O23" i="83" s="1"/>
  <c r="U23" i="83"/>
  <c r="Y23" i="83"/>
  <c r="AE23" i="83"/>
  <c r="AM23" i="83"/>
  <c r="I22" i="83"/>
  <c r="O22" i="83" s="1"/>
  <c r="U22" i="83"/>
  <c r="Y22" i="83"/>
  <c r="AE22" i="83"/>
  <c r="AM22" i="83"/>
  <c r="AS22" i="83"/>
  <c r="BC22" i="83" s="1"/>
  <c r="I20" i="83"/>
  <c r="O20" i="83" s="1"/>
  <c r="U20" i="83"/>
  <c r="Y20" i="83"/>
  <c r="AE20" i="83"/>
  <c r="AM20" i="83"/>
  <c r="AS20" i="83"/>
  <c r="BC20" i="83" s="1"/>
  <c r="I21" i="83"/>
  <c r="O21" i="83" s="1"/>
  <c r="U21" i="83"/>
  <c r="Y21" i="83"/>
  <c r="AE21" i="83"/>
  <c r="AM21" i="83"/>
  <c r="AS21" i="83"/>
  <c r="BC21" i="83" s="1"/>
  <c r="AW125" i="50" l="1"/>
  <c r="AW121" i="50"/>
  <c r="AA21" i="83"/>
  <c r="AC21" i="83" s="1"/>
  <c r="AA20" i="83"/>
  <c r="AC20" i="83" s="1"/>
  <c r="AA22" i="83"/>
  <c r="AC22" i="83" s="1"/>
  <c r="AA23" i="83"/>
  <c r="AC23" i="83" s="1"/>
  <c r="AA26" i="83"/>
  <c r="AC26" i="83" s="1"/>
  <c r="AO47" i="83"/>
  <c r="BE47" i="83" s="1"/>
  <c r="K47" i="83"/>
  <c r="AA47" i="83"/>
  <c r="O47" i="83"/>
  <c r="AO26" i="83"/>
  <c r="BE26" i="83" s="1"/>
  <c r="K26" i="83"/>
  <c r="K20" i="83"/>
  <c r="AO23" i="83"/>
  <c r="K23" i="83"/>
  <c r="AO20" i="83"/>
  <c r="BE20" i="83" s="1"/>
  <c r="AO22" i="83"/>
  <c r="BE22" i="83" s="1"/>
  <c r="K22" i="83"/>
  <c r="AO21" i="83"/>
  <c r="BE21" i="83" s="1"/>
  <c r="K21" i="83"/>
  <c r="AU89" i="90"/>
  <c r="AY60" i="59"/>
  <c r="AW133" i="50" l="1"/>
  <c r="S47" i="83"/>
  <c r="W47" i="83" s="1"/>
  <c r="AC47" i="83"/>
  <c r="AG47" i="83" s="1"/>
  <c r="AK47" i="83" s="1"/>
  <c r="AQ47" i="83" s="1"/>
  <c r="AU47" i="83" s="1"/>
  <c r="AY47" i="83" s="1"/>
  <c r="BG47" i="83" s="1"/>
  <c r="S26" i="83"/>
  <c r="W26" i="83" s="1"/>
  <c r="AG26" i="83"/>
  <c r="AK26" i="83" s="1"/>
  <c r="AQ26" i="83" s="1"/>
  <c r="AU26" i="83" s="1"/>
  <c r="AY26" i="83" s="1"/>
  <c r="BG26" i="83" s="1"/>
  <c r="AG21" i="83"/>
  <c r="AK21" i="83" s="1"/>
  <c r="AQ21" i="83" s="1"/>
  <c r="AU21" i="83" s="1"/>
  <c r="AY21" i="83" s="1"/>
  <c r="BG21" i="83" s="1"/>
  <c r="S23" i="83"/>
  <c r="W23" i="83" s="1"/>
  <c r="AG23" i="83"/>
  <c r="AK23" i="83" s="1"/>
  <c r="S22" i="83"/>
  <c r="W22" i="83" s="1"/>
  <c r="AG22" i="83"/>
  <c r="AK22" i="83" s="1"/>
  <c r="S21" i="83"/>
  <c r="W21" i="83" s="1"/>
  <c r="S20" i="83"/>
  <c r="W20" i="83" s="1"/>
  <c r="AG20" i="83"/>
  <c r="AK20" i="83" s="1"/>
  <c r="AW107" i="50" l="1"/>
  <c r="AV30" i="35"/>
  <c r="AQ22" i="83"/>
  <c r="AU22" i="83" s="1"/>
  <c r="AY22" i="83" s="1"/>
  <c r="BG22" i="83" s="1"/>
  <c r="AQ20" i="83"/>
  <c r="AU20" i="83" s="1"/>
  <c r="AY20" i="83" s="1"/>
  <c r="BG20" i="83" s="1"/>
  <c r="AQ23" i="83"/>
  <c r="AV40" i="35"/>
  <c r="AV49" i="35" s="1"/>
  <c r="AY66" i="59"/>
  <c r="AY64" i="59"/>
  <c r="AW110" i="50" l="1"/>
  <c r="AW109" i="50"/>
  <c r="AV33" i="35"/>
  <c r="AV37" i="35" s="1"/>
  <c r="AW80" i="83" s="1"/>
  <c r="AW78" i="83" s="1"/>
  <c r="AV203" i="10"/>
  <c r="AW81" i="8"/>
  <c r="AW73" i="8"/>
  <c r="AW52" i="8"/>
  <c r="AW117" i="50" l="1"/>
  <c r="AV25" i="36"/>
  <c r="AY76" i="59" s="1"/>
  <c r="AV55" i="35"/>
  <c r="AV10" i="49"/>
  <c r="AV12" i="49" s="1"/>
  <c r="AV14" i="49" s="1"/>
  <c r="AV15" i="49" s="1"/>
  <c r="AV16" i="49" s="1"/>
  <c r="AV19" i="49" s="1"/>
  <c r="AV20" i="49" s="1"/>
  <c r="AV15" i="36" s="1"/>
  <c r="AU2" i="26"/>
  <c r="AU2" i="17"/>
  <c r="AX66" i="59" l="1"/>
  <c r="AX70" i="59"/>
  <c r="AW113" i="7"/>
  <c r="AW112" i="7"/>
  <c r="AW111" i="7"/>
  <c r="AW110" i="7"/>
  <c r="AW109" i="7"/>
  <c r="AW108" i="7"/>
  <c r="AW107" i="7"/>
  <c r="AW106" i="7"/>
  <c r="AW85" i="7"/>
  <c r="AU113" i="7"/>
  <c r="AU112" i="7"/>
  <c r="AU111" i="7"/>
  <c r="AU110" i="7"/>
  <c r="AU109" i="7"/>
  <c r="AU108" i="7"/>
  <c r="AU107" i="7"/>
  <c r="AU106" i="7"/>
  <c r="AV84" i="7"/>
  <c r="AU84" i="7"/>
  <c r="AV82" i="7"/>
  <c r="AU82" i="7"/>
  <c r="AV75" i="7"/>
  <c r="AU75" i="7"/>
  <c r="AV71" i="7"/>
  <c r="AU71" i="7"/>
  <c r="AV67" i="7"/>
  <c r="AU67" i="7"/>
  <c r="AV21" i="7"/>
  <c r="AU21" i="7"/>
  <c r="AU73" i="7" l="1"/>
  <c r="AV35" i="7"/>
  <c r="AV73" i="7"/>
  <c r="AU35" i="7"/>
  <c r="AU41" i="7"/>
  <c r="AV26" i="7"/>
  <c r="AV37" i="7"/>
  <c r="AV103" i="7" s="1"/>
  <c r="AV36" i="7"/>
  <c r="AV90" i="7" s="1"/>
  <c r="AV34" i="7"/>
  <c r="AV97" i="7" s="1"/>
  <c r="AU37" i="7"/>
  <c r="AU103" i="7" s="1"/>
  <c r="AU34" i="7"/>
  <c r="AU97" i="7" s="1"/>
  <c r="AU36" i="7"/>
  <c r="AU90" i="7" s="1"/>
  <c r="AU61" i="7"/>
  <c r="AU102" i="7" s="1"/>
  <c r="AU26" i="7"/>
  <c r="AV41" i="7"/>
  <c r="AU49" i="39"/>
  <c r="AV83" i="7"/>
  <c r="AY36" i="59" s="1"/>
  <c r="AV32" i="7"/>
  <c r="AV98" i="7" s="1"/>
  <c r="AV29" i="7"/>
  <c r="AV93" i="7" s="1"/>
  <c r="AY33" i="59" s="1"/>
  <c r="AV55" i="7"/>
  <c r="AV58" i="7"/>
  <c r="AU58" i="7"/>
  <c r="AV61" i="7"/>
  <c r="AV102" i="7" s="1"/>
  <c r="AV23" i="7"/>
  <c r="AV87" i="7" s="1"/>
  <c r="AY29" i="59" s="1"/>
  <c r="AT2" i="26"/>
  <c r="AT2" i="17"/>
  <c r="AU55" i="7"/>
  <c r="AU29" i="7"/>
  <c r="AU93" i="7" s="1"/>
  <c r="AX33" i="59" s="1"/>
  <c r="AU23" i="7"/>
  <c r="AU87" i="7" s="1"/>
  <c r="AX29" i="59" s="1"/>
  <c r="AU32" i="7"/>
  <c r="AU98" i="7" s="1"/>
  <c r="AU83" i="7"/>
  <c r="AX36" i="59" s="1"/>
  <c r="AU81" i="7"/>
  <c r="AX28" i="59" s="1"/>
  <c r="AV81" i="7"/>
  <c r="AY28" i="59" s="1"/>
  <c r="AU24" i="7"/>
  <c r="AU27" i="7"/>
  <c r="AU91" i="7" s="1"/>
  <c r="AU30" i="7"/>
  <c r="AU94" i="7" s="1"/>
  <c r="AX34" i="59" s="1"/>
  <c r="AU33" i="7"/>
  <c r="AU99" i="7" s="1"/>
  <c r="AU56" i="7"/>
  <c r="AU96" i="7" s="1"/>
  <c r="AU59" i="7"/>
  <c r="AU62" i="7"/>
  <c r="AU68" i="7"/>
  <c r="AU78" i="7"/>
  <c r="AV24" i="7"/>
  <c r="AV27" i="7"/>
  <c r="AV91" i="7" s="1"/>
  <c r="AV30" i="7"/>
  <c r="AV94" i="7" s="1"/>
  <c r="AY34" i="59" s="1"/>
  <c r="AV33" i="7"/>
  <c r="AV99" i="7" s="1"/>
  <c r="AV56" i="7"/>
  <c r="AV96" i="7" s="1"/>
  <c r="AV59" i="7"/>
  <c r="AV62" i="7"/>
  <c r="AV69" i="7"/>
  <c r="AV78" i="7"/>
  <c r="AU25" i="7"/>
  <c r="AU28" i="7"/>
  <c r="AU92" i="7" s="1"/>
  <c r="AU31" i="7"/>
  <c r="AU95" i="7" s="1"/>
  <c r="AX35" i="59" s="1"/>
  <c r="AU54" i="7"/>
  <c r="AU57" i="7"/>
  <c r="AU60" i="7"/>
  <c r="AU76" i="7"/>
  <c r="AV25" i="7"/>
  <c r="AV28" i="7"/>
  <c r="AV92" i="7" s="1"/>
  <c r="AV31" i="7"/>
  <c r="AV95" i="7" s="1"/>
  <c r="AY35" i="59" s="1"/>
  <c r="AV54" i="7"/>
  <c r="AV57" i="7"/>
  <c r="AV60" i="7"/>
  <c r="AV76" i="7"/>
  <c r="AT50" i="39"/>
  <c r="AT45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V101" i="7" l="1"/>
  <c r="AY32" i="59" s="1"/>
  <c r="AU51" i="39"/>
  <c r="AU101" i="7"/>
  <c r="AX32" i="59" s="1"/>
  <c r="AV51" i="7"/>
  <c r="AU51" i="7"/>
  <c r="AV89" i="7"/>
  <c r="AY31" i="59" s="1"/>
  <c r="AU89" i="7"/>
  <c r="AX31" i="59" s="1"/>
  <c r="AT51" i="39"/>
  <c r="AT22" i="39"/>
  <c r="AW41" i="6"/>
  <c r="AV38" i="7"/>
  <c r="AV53" i="7" s="1"/>
  <c r="AU88" i="7"/>
  <c r="AV88" i="7"/>
  <c r="AU38" i="7"/>
  <c r="AU53" i="7" s="1"/>
  <c r="AU104" i="7" l="1"/>
  <c r="AX30" i="59"/>
  <c r="AV104" i="7"/>
  <c r="AY30" i="59"/>
  <c r="AT24" i="39"/>
  <c r="AV63" i="7"/>
  <c r="AV77" i="7"/>
  <c r="AU63" i="7"/>
  <c r="AU77" i="7"/>
  <c r="AZ60" i="59" l="1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W143" i="50" l="1"/>
  <c r="AV97" i="50"/>
  <c r="AV95" i="50" s="1"/>
  <c r="AV1" i="35"/>
  <c r="AV21" i="35" s="1"/>
  <c r="AV26" i="9" s="1"/>
  <c r="AR1" i="35"/>
  <c r="AR21" i="35" s="1"/>
  <c r="AW145" i="50" l="1"/>
  <c r="AU120" i="90"/>
  <c r="AW97" i="50"/>
  <c r="AW95" i="50" l="1"/>
  <c r="AW146" i="50"/>
  <c r="AU124" i="90"/>
  <c r="AV75" i="8" l="1"/>
  <c r="M142" i="45"/>
  <c r="L142" i="45"/>
  <c r="G142" i="45"/>
  <c r="F142" i="45"/>
  <c r="F77" i="11"/>
  <c r="E77" i="11"/>
  <c r="AR176" i="10"/>
  <c r="AQ176" i="10"/>
  <c r="F176" i="10"/>
  <c r="E176" i="10"/>
  <c r="AY53" i="59" l="1"/>
  <c r="AS70" i="83"/>
  <c r="BC70" i="83" s="1"/>
  <c r="AS72" i="83"/>
  <c r="BC72" i="83" s="1"/>
  <c r="AS73" i="83"/>
  <c r="BC73" i="83" s="1"/>
  <c r="AS74" i="83"/>
  <c r="BC74" i="83" s="1"/>
  <c r="AS75" i="83"/>
  <c r="BC75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3" i="83"/>
  <c r="BC63" i="83" s="1"/>
  <c r="AS65" i="83"/>
  <c r="BC65" i="83" s="1"/>
  <c r="AS66" i="83"/>
  <c r="BC66" i="83" s="1"/>
  <c r="AS67" i="83"/>
  <c r="BC67" i="83" s="1"/>
  <c r="AS52" i="83"/>
  <c r="BC52" i="83" s="1"/>
  <c r="AS48" i="83"/>
  <c r="BC48" i="83" s="1"/>
  <c r="AS50" i="83"/>
  <c r="BC50" i="83" s="1"/>
  <c r="AS46" i="83"/>
  <c r="BC46" i="83" s="1"/>
  <c r="AS40" i="83"/>
  <c r="BC40" i="83" s="1"/>
  <c r="AS41" i="83"/>
  <c r="BC41" i="83" s="1"/>
  <c r="AS42" i="83"/>
  <c r="BC42" i="83" s="1"/>
  <c r="AS43" i="83"/>
  <c r="BC43" i="83" s="1"/>
  <c r="AS44" i="83"/>
  <c r="BC44" i="83" s="1"/>
  <c r="AS39" i="83"/>
  <c r="BC39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30" i="83"/>
  <c r="BC30" i="83" s="1"/>
  <c r="AS31" i="83"/>
  <c r="BC31" i="83" s="1"/>
  <c r="AS33" i="83"/>
  <c r="BC33" i="83" s="1"/>
  <c r="AS34" i="83"/>
  <c r="BC34" i="83" s="1"/>
  <c r="AS35" i="83"/>
  <c r="BC35" i="83" s="1"/>
  <c r="AS36" i="83"/>
  <c r="BC36" i="83" s="1"/>
  <c r="AS37" i="83"/>
  <c r="BC37" i="83" s="1"/>
  <c r="AS4" i="83"/>
  <c r="BC4" i="83" s="1"/>
  <c r="BC45" i="83" l="1"/>
  <c r="BC51" i="83"/>
  <c r="BC76" i="83"/>
  <c r="AS76" i="83"/>
  <c r="AS51" i="83"/>
  <c r="AS45" i="83"/>
  <c r="BE13" i="38" l="1"/>
  <c r="BE12" i="38"/>
  <c r="AX310" i="28" l="1"/>
  <c r="BF310" i="28" s="1"/>
  <c r="BH310" i="28" s="1"/>
  <c r="AT423" i="28"/>
  <c r="AX423" i="28" s="1"/>
  <c r="BF423" i="28" s="1"/>
  <c r="BH423" i="28" s="1"/>
  <c r="AT418" i="28"/>
  <c r="AX418" i="28" s="1"/>
  <c r="BF418" i="28" s="1"/>
  <c r="BH418" i="28" s="1"/>
  <c r="BD168" i="28"/>
  <c r="BK168" i="28" s="1"/>
  <c r="AP168" i="28"/>
  <c r="AT168" i="28" l="1"/>
  <c r="AX168" i="28" s="1"/>
  <c r="BF168" i="28" s="1"/>
  <c r="BH168" i="28" s="1"/>
  <c r="BF77" i="10"/>
  <c r="BI77" i="10" s="1"/>
  <c r="BB135" i="10"/>
  <c r="BM135" i="10" s="1"/>
  <c r="BF85" i="10"/>
  <c r="BI85" i="10" s="1"/>
  <c r="BB75" i="10"/>
  <c r="BM75" i="10" s="1"/>
  <c r="BB60" i="10"/>
  <c r="BM60" i="10" s="1"/>
  <c r="BB55" i="10"/>
  <c r="BM55" i="10" s="1"/>
  <c r="BB40" i="10" l="1"/>
  <c r="BM40" i="10" s="1"/>
  <c r="AS23" i="83"/>
  <c r="BB24" i="10"/>
  <c r="BM24" i="10" s="1"/>
  <c r="AS27" i="83"/>
  <c r="BC27" i="83" s="1"/>
  <c r="BB25" i="10"/>
  <c r="BM25" i="10" s="1"/>
  <c r="AS29" i="83"/>
  <c r="BC29" i="83" s="1"/>
  <c r="BB32" i="10"/>
  <c r="BM32" i="10" s="1"/>
  <c r="AS9" i="83"/>
  <c r="BB39" i="10"/>
  <c r="BM39" i="10" s="1"/>
  <c r="AS24" i="83"/>
  <c r="BC24" i="83" s="1"/>
  <c r="BB85" i="10"/>
  <c r="AS33" i="50"/>
  <c r="AS32" i="83"/>
  <c r="BC32" i="83" s="1"/>
  <c r="BC33" i="50" l="1"/>
  <c r="BD85" i="10"/>
  <c r="BK85" i="10" s="1"/>
  <c r="BM85" i="10"/>
  <c r="BC9" i="83"/>
  <c r="AS38" i="83"/>
  <c r="BC23" i="83"/>
  <c r="BE23" i="83" s="1"/>
  <c r="AU23" i="83"/>
  <c r="AY23" i="83" s="1"/>
  <c r="BG23" i="83" s="1"/>
  <c r="AS40" i="50"/>
  <c r="AS41" i="50"/>
  <c r="AS42" i="50"/>
  <c r="AS43" i="50"/>
  <c r="AS44" i="50"/>
  <c r="AS45" i="50"/>
  <c r="AS39" i="50"/>
  <c r="AS5" i="50"/>
  <c r="AS6" i="50"/>
  <c r="AS7" i="50"/>
  <c r="AS8" i="50"/>
  <c r="AS9" i="50"/>
  <c r="AS10" i="50"/>
  <c r="AS11" i="50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AS24" i="50"/>
  <c r="AS25" i="50"/>
  <c r="AS26" i="50"/>
  <c r="AS27" i="50"/>
  <c r="AS29" i="50"/>
  <c r="AS30" i="50"/>
  <c r="AS31" i="50"/>
  <c r="AS4" i="50"/>
  <c r="AT135" i="50"/>
  <c r="AT117" i="50"/>
  <c r="AT103" i="50"/>
  <c r="AT93" i="50"/>
  <c r="AT79" i="50"/>
  <c r="AT54" i="50"/>
  <c r="AT46" i="50"/>
  <c r="AT38" i="50"/>
  <c r="AS144" i="50"/>
  <c r="AS142" i="50"/>
  <c r="AS141" i="50"/>
  <c r="AS137" i="50"/>
  <c r="AR135" i="50"/>
  <c r="AR133" i="50"/>
  <c r="AR132" i="50"/>
  <c r="AR131" i="50"/>
  <c r="AS127" i="50"/>
  <c r="AR117" i="50"/>
  <c r="AS115" i="50"/>
  <c r="AR115" i="50"/>
  <c r="AS112" i="50"/>
  <c r="AR112" i="50"/>
  <c r="AS111" i="50"/>
  <c r="AR111" i="50"/>
  <c r="AR103" i="50"/>
  <c r="AS102" i="50"/>
  <c r="AS101" i="50"/>
  <c r="AS93" i="50"/>
  <c r="AR93" i="50"/>
  <c r="AS79" i="50"/>
  <c r="AR79" i="50"/>
  <c r="AR54" i="50"/>
  <c r="AS53" i="50"/>
  <c r="AS51" i="50"/>
  <c r="AS50" i="50"/>
  <c r="AS49" i="50"/>
  <c r="AS48" i="50"/>
  <c r="AS47" i="50"/>
  <c r="AR46" i="50"/>
  <c r="AR38" i="50"/>
  <c r="BC47" i="50" l="1"/>
  <c r="BC51" i="50"/>
  <c r="BC142" i="50"/>
  <c r="BC30" i="50"/>
  <c r="BC25" i="50"/>
  <c r="BC9" i="50"/>
  <c r="BC5" i="50"/>
  <c r="BC43" i="50"/>
  <c r="BC48" i="50"/>
  <c r="BC53" i="50"/>
  <c r="BC112" i="50"/>
  <c r="BC127" i="50"/>
  <c r="BC144" i="50"/>
  <c r="BC29" i="50"/>
  <c r="BC8" i="50"/>
  <c r="BC39" i="50"/>
  <c r="BC42" i="50"/>
  <c r="BC49" i="50"/>
  <c r="BC137" i="50"/>
  <c r="BC4" i="50"/>
  <c r="BC27" i="50"/>
  <c r="BC23" i="50"/>
  <c r="BC11" i="50"/>
  <c r="BC7" i="50"/>
  <c r="BC45" i="50"/>
  <c r="BC41" i="50"/>
  <c r="BC50" i="50"/>
  <c r="BC111" i="50"/>
  <c r="BC115" i="50"/>
  <c r="BC141" i="50"/>
  <c r="BC31" i="50"/>
  <c r="BC26" i="50"/>
  <c r="BC10" i="50"/>
  <c r="BC6" i="50"/>
  <c r="BC44" i="50"/>
  <c r="BC40" i="50"/>
  <c r="BC38" i="83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101" i="50"/>
  <c r="AY101" i="50"/>
  <c r="AU102" i="50"/>
  <c r="AY102" i="50"/>
  <c r="AS128" i="50"/>
  <c r="AS68" i="83"/>
  <c r="AR104" i="50"/>
  <c r="AT104" i="50"/>
  <c r="AR94" i="50"/>
  <c r="AT94" i="50"/>
  <c r="AS54" i="50"/>
  <c r="AS116" i="50"/>
  <c r="AS46" i="50"/>
  <c r="AS38" i="50"/>
  <c r="AS138" i="50"/>
  <c r="BC138" i="50" s="1"/>
  <c r="AU69" i="59"/>
  <c r="AT69" i="59"/>
  <c r="AR190" i="10"/>
  <c r="AR188" i="10"/>
  <c r="AR182" i="10"/>
  <c r="AR177" i="10"/>
  <c r="AQ177" i="10"/>
  <c r="AR175" i="10"/>
  <c r="AQ175" i="10"/>
  <c r="AR174" i="10"/>
  <c r="AQ174" i="10"/>
  <c r="AR172" i="10"/>
  <c r="AR170" i="10"/>
  <c r="AQ170" i="10"/>
  <c r="AR168" i="10"/>
  <c r="AU65" i="59" s="1"/>
  <c r="AQ168" i="10"/>
  <c r="AT65" i="59" s="1"/>
  <c r="AR165" i="10"/>
  <c r="AQ165" i="10"/>
  <c r="AR160" i="10"/>
  <c r="AR158" i="10"/>
  <c r="AR210" i="10" s="1"/>
  <c r="AR159" i="10"/>
  <c r="AR199" i="10"/>
  <c r="AR39" i="35" s="1"/>
  <c r="BB39" i="35" s="1"/>
  <c r="BC46" i="50" l="1"/>
  <c r="BC54" i="50"/>
  <c r="AQ166" i="10"/>
  <c r="AR183" i="10"/>
  <c r="BC139" i="50"/>
  <c r="AR166" i="10"/>
  <c r="BC128" i="50"/>
  <c r="BC129" i="50" s="1"/>
  <c r="BC116" i="50"/>
  <c r="AS124" i="50"/>
  <c r="AS108" i="50"/>
  <c r="AR191" i="10"/>
  <c r="AR192" i="10"/>
  <c r="AR193" i="10" s="1"/>
  <c r="AS120" i="50"/>
  <c r="AS94" i="50"/>
  <c r="AS119" i="50"/>
  <c r="AR31" i="35"/>
  <c r="BB31" i="35" s="1"/>
  <c r="AS107" i="50"/>
  <c r="AR30" i="35"/>
  <c r="AS129" i="50"/>
  <c r="AS130" i="50"/>
  <c r="AR173" i="10"/>
  <c r="BB64" i="11"/>
  <c r="AS69" i="83"/>
  <c r="AS77" i="83" s="1"/>
  <c r="BC77" i="83" s="1"/>
  <c r="BC68" i="83"/>
  <c r="AS16" i="61"/>
  <c r="BC38" i="50"/>
  <c r="AS123" i="50"/>
  <c r="AR162" i="10"/>
  <c r="AS140" i="50"/>
  <c r="BC140" i="50" s="1"/>
  <c r="AS139" i="50"/>
  <c r="AT70" i="59"/>
  <c r="AR22" i="36"/>
  <c r="AU68" i="59" s="1"/>
  <c r="AU70" i="59"/>
  <c r="AR189" i="10"/>
  <c r="AR184" i="10"/>
  <c r="AR200" i="10"/>
  <c r="AR40" i="35" s="1"/>
  <c r="BB40" i="35" s="1"/>
  <c r="AR161" i="10"/>
  <c r="AR21" i="36" s="1"/>
  <c r="AU64" i="59" s="1"/>
  <c r="AR178" i="10"/>
  <c r="AU66" i="59" s="1"/>
  <c r="AR196" i="10"/>
  <c r="AS121" i="50" l="1"/>
  <c r="BC119" i="50"/>
  <c r="BC124" i="50"/>
  <c r="BC108" i="50"/>
  <c r="BC123" i="50"/>
  <c r="BC107" i="50"/>
  <c r="BC120" i="50"/>
  <c r="BC130" i="50"/>
  <c r="AR163" i="10"/>
  <c r="AR203" i="10"/>
  <c r="BB30" i="35"/>
  <c r="AR33" i="35"/>
  <c r="AR37" i="35" s="1"/>
  <c r="AR25" i="36" s="1"/>
  <c r="AU76" i="59" s="1"/>
  <c r="AS110" i="50"/>
  <c r="AS109" i="50"/>
  <c r="AR41" i="35"/>
  <c r="BB41" i="35" s="1"/>
  <c r="AR97" i="11"/>
  <c r="BB61" i="11"/>
  <c r="BC69" i="83"/>
  <c r="BB162" i="10"/>
  <c r="BM162" i="10" s="1"/>
  <c r="BC94" i="50"/>
  <c r="AS125" i="50"/>
  <c r="BC121" i="50" l="1"/>
  <c r="BC125" i="50"/>
  <c r="BC109" i="50"/>
  <c r="BC110" i="50"/>
  <c r="BC117" i="50" s="1"/>
  <c r="AS117" i="50"/>
  <c r="AR49" i="35"/>
  <c r="AT159" i="9"/>
  <c r="AT158" i="9"/>
  <c r="AT157" i="9"/>
  <c r="AQ104" i="9"/>
  <c r="AT59" i="59" s="1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T58" i="59" s="1"/>
  <c r="AQ51" i="9"/>
  <c r="AQ47" i="9"/>
  <c r="AR46" i="9"/>
  <c r="AR20" i="35" s="1"/>
  <c r="BB20" i="35" s="1"/>
  <c r="AR36" i="9"/>
  <c r="AR35" i="9"/>
  <c r="AR47" i="9" s="1"/>
  <c r="AR34" i="9"/>
  <c r="AR31" i="9"/>
  <c r="AR25" i="9"/>
  <c r="AQ24" i="9"/>
  <c r="AQ22" i="9"/>
  <c r="AR19" i="9"/>
  <c r="AR57" i="36" s="1"/>
  <c r="AR17" i="36" s="1"/>
  <c r="AR10" i="9"/>
  <c r="AR5" i="9"/>
  <c r="BJ137" i="9" s="1"/>
  <c r="AR10" i="49"/>
  <c r="AR12" i="49" s="1"/>
  <c r="AR14" i="49" s="1"/>
  <c r="AR15" i="49" s="1"/>
  <c r="AR16" i="49" s="1"/>
  <c r="AR19" i="49" s="1"/>
  <c r="AR20" i="49" s="1"/>
  <c r="AR21" i="39"/>
  <c r="BB142" i="6"/>
  <c r="BB141" i="6"/>
  <c r="BB140" i="6"/>
  <c r="BA140" i="6"/>
  <c r="BB137" i="6"/>
  <c r="BA137" i="6"/>
  <c r="BB136" i="6"/>
  <c r="BA136" i="6"/>
  <c r="BB135" i="6"/>
  <c r="BA135" i="6"/>
  <c r="BB134" i="6"/>
  <c r="BA134" i="6"/>
  <c r="BB132" i="6"/>
  <c r="BA132" i="6"/>
  <c r="BB129" i="6"/>
  <c r="BA129" i="6"/>
  <c r="BB128" i="6"/>
  <c r="BA128" i="6"/>
  <c r="BB127" i="6"/>
  <c r="BA127" i="6"/>
  <c r="AU60" i="59" l="1"/>
  <c r="BJ126" i="9"/>
  <c r="AQ132" i="26"/>
  <c r="AR33" i="22"/>
  <c r="AR55" i="35"/>
  <c r="AU55" i="59"/>
  <c r="AR18" i="36"/>
  <c r="AU56" i="59" s="1"/>
  <c r="AS133" i="50"/>
  <c r="AQ89" i="90"/>
  <c r="BA89" i="90" s="1"/>
  <c r="BA61" i="39"/>
  <c r="AV21" i="39"/>
  <c r="BA8" i="39"/>
  <c r="BA42" i="39"/>
  <c r="BA43" i="39"/>
  <c r="BA46" i="39"/>
  <c r="BA47" i="39"/>
  <c r="BA48" i="39"/>
  <c r="BA60" i="39"/>
  <c r="AQ2" i="17"/>
  <c r="AQ2" i="26"/>
  <c r="AQ6" i="26"/>
  <c r="AR96" i="9"/>
  <c r="BB138" i="6"/>
  <c r="BB133" i="6"/>
  <c r="BA133" i="6"/>
  <c r="BA138" i="6"/>
  <c r="AR62" i="9"/>
  <c r="AR48" i="9"/>
  <c r="AR49" i="9" s="1"/>
  <c r="AR14" i="9"/>
  <c r="AR90" i="9"/>
  <c r="AR89" i="9"/>
  <c r="AR100" i="9"/>
  <c r="AR94" i="9"/>
  <c r="AQ19" i="15" s="1"/>
  <c r="AQ25" i="9"/>
  <c r="AQ88" i="9" s="1"/>
  <c r="AR37" i="9"/>
  <c r="AR19" i="35" s="1"/>
  <c r="BB19" i="35" s="1"/>
  <c r="BC133" i="50" l="1"/>
  <c r="BB139" i="6"/>
  <c r="BB143" i="6" s="1"/>
  <c r="BB206" i="6" s="1"/>
  <c r="BA45" i="39"/>
  <c r="BA50" i="39"/>
  <c r="BA23" i="39"/>
  <c r="BA22" i="39"/>
  <c r="BA34" i="39"/>
  <c r="BD21" i="39"/>
  <c r="BB179" i="6"/>
  <c r="BB178" i="6"/>
  <c r="BB177" i="6"/>
  <c r="BB153" i="6"/>
  <c r="BB152" i="6"/>
  <c r="BB154" i="6"/>
  <c r="BA139" i="6"/>
  <c r="BA143" i="6" s="1"/>
  <c r="BA206" i="6" s="1"/>
  <c r="AR86" i="9"/>
  <c r="AR52" i="9"/>
  <c r="AU58" i="59" s="1"/>
  <c r="AR83" i="9"/>
  <c r="AR87" i="9"/>
  <c r="AU61" i="59" s="1"/>
  <c r="AR82" i="9"/>
  <c r="AU62" i="59" s="1"/>
  <c r="AR85" i="9"/>
  <c r="AR73" i="9"/>
  <c r="AR81" i="9"/>
  <c r="AR91" i="9"/>
  <c r="AR84" i="9"/>
  <c r="AR76" i="9"/>
  <c r="AR75" i="9"/>
  <c r="AR72" i="9"/>
  <c r="AR53" i="9"/>
  <c r="AR80" i="9"/>
  <c r="AR78" i="9"/>
  <c r="BB197" i="6" l="1"/>
  <c r="BA24" i="39"/>
  <c r="AR77" i="9"/>
  <c r="AR74" i="9"/>
  <c r="AR79" i="9" l="1"/>
  <c r="BB17" i="49" l="1"/>
  <c r="BB9" i="49"/>
  <c r="BB8" i="49"/>
  <c r="BA173" i="73"/>
  <c r="BA130" i="73"/>
  <c r="BA126" i="73"/>
  <c r="BA122" i="73"/>
  <c r="BA102" i="73"/>
  <c r="BA98" i="73"/>
  <c r="BA57" i="73"/>
  <c r="BA51" i="73"/>
  <c r="BA46" i="73"/>
  <c r="BA41" i="73"/>
  <c r="BA30" i="73"/>
  <c r="BA25" i="73"/>
  <c r="AQ90" i="9"/>
  <c r="AQ159" i="10"/>
  <c r="AQ203" i="10" l="1"/>
  <c r="BB441" i="28"/>
  <c r="AQ5" i="9"/>
  <c r="AQ178" i="10"/>
  <c r="AT66" i="59" s="1"/>
  <c r="AQ158" i="10"/>
  <c r="AQ210" i="10" s="1"/>
  <c r="AQ161" i="10"/>
  <c r="BA171" i="73"/>
  <c r="BA160" i="73"/>
  <c r="BA118" i="73"/>
  <c r="BA133" i="73" s="1"/>
  <c r="BA6" i="73"/>
  <c r="BA8" i="73"/>
  <c r="BA16" i="73"/>
  <c r="AS143" i="50"/>
  <c r="AQ89" i="9"/>
  <c r="AQ91" i="9" s="1"/>
  <c r="BA11" i="49"/>
  <c r="BB11" i="49"/>
  <c r="BB6" i="49"/>
  <c r="BA109" i="73"/>
  <c r="BA114" i="73" s="1"/>
  <c r="BB18" i="49"/>
  <c r="BA5" i="73"/>
  <c r="AQ19" i="9" l="1"/>
  <c r="AP132" i="26"/>
  <c r="AQ33" i="22"/>
  <c r="AQ63" i="9"/>
  <c r="AQ66" i="9"/>
  <c r="AQ92" i="9"/>
  <c r="AQ95" i="9"/>
  <c r="AQ65" i="9"/>
  <c r="AQ55" i="9"/>
  <c r="AQ27" i="9"/>
  <c r="AQ7" i="9"/>
  <c r="AQ64" i="9"/>
  <c r="AQ61" i="9"/>
  <c r="AQ59" i="9"/>
  <c r="AQ67" i="9"/>
  <c r="AQ70" i="9"/>
  <c r="AQ58" i="9"/>
  <c r="AQ56" i="9"/>
  <c r="AQ69" i="9"/>
  <c r="AQ68" i="9"/>
  <c r="AP2" i="17"/>
  <c r="AP2" i="26"/>
  <c r="BC143" i="50"/>
  <c r="AS145" i="50"/>
  <c r="AQ120" i="90"/>
  <c r="BA120" i="90" s="1"/>
  <c r="AQ21" i="22" l="1"/>
  <c r="AQ7" i="22"/>
  <c r="AQ57" i="9"/>
  <c r="AQ60" i="9"/>
  <c r="AQ62" i="9" s="1"/>
  <c r="BC145" i="50"/>
  <c r="AS146" i="50"/>
  <c r="BC146" i="50" s="1"/>
  <c r="AQ124" i="90"/>
  <c r="BA124" i="90" s="1"/>
  <c r="AQ22" i="22" l="1"/>
  <c r="AQ8" i="22"/>
  <c r="AQ10" i="22" l="1"/>
  <c r="AQ24" i="22"/>
  <c r="AQ26" i="9"/>
  <c r="AQ25" i="22" l="1"/>
  <c r="AQ11" i="22"/>
  <c r="AR97" i="50"/>
  <c r="AR95" i="50" s="1"/>
  <c r="AS97" i="50"/>
  <c r="AS80" i="83"/>
  <c r="AQ13" i="22" l="1"/>
  <c r="AQ27" i="22"/>
  <c r="AS95" i="50"/>
  <c r="AS78" i="83"/>
  <c r="BC80" i="83"/>
  <c r="BC78" i="83" s="1"/>
  <c r="AM32" i="50"/>
  <c r="AM33" i="50"/>
  <c r="AO33" i="50" l="1"/>
  <c r="BE33" i="50" s="1"/>
  <c r="AO32" i="50"/>
  <c r="BE32" i="50" s="1"/>
  <c r="AQ32" i="50"/>
  <c r="AU32" i="50" s="1"/>
  <c r="AY32" i="50" s="1"/>
  <c r="BG32" i="50" s="1"/>
  <c r="BH32" i="50" s="1"/>
  <c r="AR15" i="36" l="1"/>
  <c r="AU53" i="59" l="1"/>
  <c r="AR75" i="8"/>
  <c r="BB99" i="8"/>
  <c r="BB100" i="8"/>
  <c r="BB101" i="8"/>
  <c r="BB102" i="8"/>
  <c r="BB103" i="8"/>
  <c r="BB104" i="8"/>
  <c r="BB105" i="8"/>
  <c r="BB106" i="8"/>
  <c r="BB107" i="8"/>
  <c r="AN99" i="8"/>
  <c r="AN100" i="8"/>
  <c r="AN101" i="8"/>
  <c r="AN102" i="8"/>
  <c r="AN103" i="8"/>
  <c r="AN104" i="8"/>
  <c r="AN105" i="8"/>
  <c r="AN106" i="8"/>
  <c r="AN107" i="8"/>
  <c r="Z99" i="8"/>
  <c r="Z100" i="8"/>
  <c r="Z101" i="8"/>
  <c r="Z102" i="8"/>
  <c r="Z103" i="8"/>
  <c r="Z104" i="8"/>
  <c r="Z105" i="8"/>
  <c r="Z106" i="8"/>
  <c r="Z107" i="8"/>
  <c r="N99" i="8"/>
  <c r="N100" i="8"/>
  <c r="N101" i="8"/>
  <c r="N102" i="8"/>
  <c r="N103" i="8"/>
  <c r="N104" i="8"/>
  <c r="N105" i="8"/>
  <c r="N106" i="8"/>
  <c r="N107" i="8"/>
  <c r="J99" i="8"/>
  <c r="J100" i="8"/>
  <c r="J101" i="8"/>
  <c r="J102" i="8"/>
  <c r="J103" i="8"/>
  <c r="J104" i="8"/>
  <c r="J105" i="8"/>
  <c r="J106" i="8"/>
  <c r="J107" i="8"/>
  <c r="R102" i="8" l="1"/>
  <c r="V102" i="8" s="1"/>
  <c r="R107" i="8"/>
  <c r="V107" i="8" s="1"/>
  <c r="R106" i="8"/>
  <c r="V106" i="8" s="1"/>
  <c r="AB107" i="8"/>
  <c r="BD106" i="8"/>
  <c r="BD105" i="8"/>
  <c r="AB99" i="8"/>
  <c r="BD107" i="8"/>
  <c r="BD103" i="8"/>
  <c r="BD101" i="8"/>
  <c r="AB105" i="8"/>
  <c r="BD100" i="8"/>
  <c r="AB104" i="8"/>
  <c r="AF104" i="8" s="1"/>
  <c r="AJ104" i="8" s="1"/>
  <c r="AP104" i="8" s="1"/>
  <c r="AT104" i="8" s="1"/>
  <c r="BD99" i="8"/>
  <c r="AB101" i="8"/>
  <c r="AB100" i="8"/>
  <c r="BD102" i="8"/>
  <c r="R101" i="8"/>
  <c r="V101" i="8" s="1"/>
  <c r="R100" i="8"/>
  <c r="V100" i="8" s="1"/>
  <c r="AB102" i="8"/>
  <c r="R99" i="8"/>
  <c r="V99" i="8" s="1"/>
  <c r="AB106" i="8"/>
  <c r="BD104" i="8"/>
  <c r="AB103" i="8"/>
  <c r="R105" i="8"/>
  <c r="V105" i="8" s="1"/>
  <c r="R103" i="8"/>
  <c r="V103" i="8" s="1"/>
  <c r="R104" i="8"/>
  <c r="V104" i="8" s="1"/>
  <c r="AF100" i="8" l="1"/>
  <c r="AJ100" i="8" s="1"/>
  <c r="AP100" i="8" s="1"/>
  <c r="AT100" i="8" s="1"/>
  <c r="AX100" i="8" s="1"/>
  <c r="BF100" i="8" s="1"/>
  <c r="AF101" i="8"/>
  <c r="AJ101" i="8" s="1"/>
  <c r="AP101" i="8" s="1"/>
  <c r="AT101" i="8" s="1"/>
  <c r="AX101" i="8" s="1"/>
  <c r="BF101" i="8" s="1"/>
  <c r="AF106" i="8"/>
  <c r="AJ106" i="8" s="1"/>
  <c r="AP106" i="8" s="1"/>
  <c r="AT106" i="8" s="1"/>
  <c r="AX106" i="8" s="1"/>
  <c r="BF106" i="8" s="1"/>
  <c r="AF107" i="8"/>
  <c r="AJ107" i="8" s="1"/>
  <c r="AP107" i="8" s="1"/>
  <c r="AT107" i="8" s="1"/>
  <c r="AX107" i="8" s="1"/>
  <c r="BF107" i="8" s="1"/>
  <c r="AF99" i="8"/>
  <c r="AJ99" i="8" s="1"/>
  <c r="AP99" i="8" s="1"/>
  <c r="AT99" i="8" s="1"/>
  <c r="AX99" i="8" s="1"/>
  <c r="BF99" i="8" s="1"/>
  <c r="AF103" i="8"/>
  <c r="AJ103" i="8" s="1"/>
  <c r="AP103" i="8" s="1"/>
  <c r="AT103" i="8" s="1"/>
  <c r="AX103" i="8" s="1"/>
  <c r="BF103" i="8" s="1"/>
  <c r="AF105" i="8"/>
  <c r="AJ105" i="8" s="1"/>
  <c r="AP105" i="8" s="1"/>
  <c r="AT105" i="8" s="1"/>
  <c r="AX105" i="8" s="1"/>
  <c r="BF105" i="8" s="1"/>
  <c r="AF102" i="8"/>
  <c r="AJ102" i="8" s="1"/>
  <c r="AP102" i="8" s="1"/>
  <c r="AT102" i="8" s="1"/>
  <c r="AX102" i="8" s="1"/>
  <c r="BF102" i="8" s="1"/>
  <c r="AX104" i="8"/>
  <c r="BF104" i="8" s="1"/>
  <c r="BH104" i="8" s="1"/>
  <c r="BH105" i="8" l="1"/>
  <c r="BH102" i="8"/>
  <c r="BH103" i="8"/>
  <c r="BH107" i="8"/>
  <c r="BH106" i="8"/>
  <c r="BH101" i="8"/>
  <c r="BH100" i="8"/>
  <c r="BH99" i="8"/>
  <c r="AM70" i="83"/>
  <c r="AM72" i="83"/>
  <c r="AM73" i="83"/>
  <c r="AM74" i="83"/>
  <c r="AM75" i="83"/>
  <c r="AM53" i="83"/>
  <c r="AM54" i="83"/>
  <c r="AM55" i="83"/>
  <c r="AM56" i="83"/>
  <c r="AM57" i="83"/>
  <c r="AM58" i="83"/>
  <c r="AM59" i="83"/>
  <c r="AM60" i="83"/>
  <c r="AM61" i="83"/>
  <c r="AM62" i="83"/>
  <c r="AM63" i="83"/>
  <c r="AM65" i="83"/>
  <c r="AM66" i="83"/>
  <c r="AM67" i="83"/>
  <c r="AM52" i="83"/>
  <c r="AM48" i="83"/>
  <c r="AM50" i="83"/>
  <c r="AM46" i="83"/>
  <c r="AM40" i="83"/>
  <c r="AM41" i="83"/>
  <c r="AM42" i="83"/>
  <c r="AM43" i="83"/>
  <c r="AM44" i="83"/>
  <c r="AM39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9" i="83"/>
  <c r="AM30" i="83"/>
  <c r="AM31" i="83"/>
  <c r="AM32" i="83"/>
  <c r="AM33" i="83"/>
  <c r="AM34" i="83"/>
  <c r="AM35" i="83"/>
  <c r="AM36" i="83"/>
  <c r="AM37" i="83"/>
  <c r="AM4" i="83"/>
  <c r="AM76" i="83" l="1"/>
  <c r="AM51" i="83"/>
  <c r="AM45" i="83"/>
  <c r="AM38" i="83"/>
  <c r="AN63" i="11" l="1"/>
  <c r="BD63" i="11" s="1"/>
  <c r="AN62" i="11"/>
  <c r="BD62" i="11" s="1"/>
  <c r="Z63" i="11"/>
  <c r="Z62" i="11"/>
  <c r="N63" i="11"/>
  <c r="R63" i="11" s="1"/>
  <c r="V63" i="11" s="1"/>
  <c r="N62" i="11"/>
  <c r="R62" i="11" s="1"/>
  <c r="F64" i="11"/>
  <c r="F61" i="11" l="1"/>
  <c r="J64" i="11"/>
  <c r="J61" i="11" s="1"/>
  <c r="V62" i="11"/>
  <c r="AN64" i="11"/>
  <c r="Z64" i="11"/>
  <c r="Z61" i="11" s="1"/>
  <c r="AB63" i="11"/>
  <c r="AF63" i="11" s="1"/>
  <c r="AJ63" i="11" s="1"/>
  <c r="AB62" i="11"/>
  <c r="AF62" i="11" s="1"/>
  <c r="AJ62" i="11" s="1"/>
  <c r="N64" i="11"/>
  <c r="R64" i="11" s="1"/>
  <c r="V64" i="11" s="1"/>
  <c r="AP63" i="11" l="1"/>
  <c r="AT63" i="11" s="1"/>
  <c r="AP62" i="11"/>
  <c r="AT62" i="11" s="1"/>
  <c r="AN61" i="11"/>
  <c r="BD64" i="11"/>
  <c r="BD61" i="11" s="1"/>
  <c r="V61" i="11"/>
  <c r="R61" i="11"/>
  <c r="AB64" i="11"/>
  <c r="AF64" i="11" s="1"/>
  <c r="AJ64" i="11" s="1"/>
  <c r="N61" i="11"/>
  <c r="AX62" i="11" l="1"/>
  <c r="AX63" i="11"/>
  <c r="AJ61" i="11"/>
  <c r="AB61" i="11"/>
  <c r="AP64" i="11"/>
  <c r="AF61" i="11"/>
  <c r="BF63" i="11" l="1"/>
  <c r="BF62" i="11"/>
  <c r="AP61" i="11"/>
  <c r="AT64" i="11"/>
  <c r="AP159" i="9"/>
  <c r="AP158" i="9"/>
  <c r="AP157" i="9"/>
  <c r="AN159" i="9"/>
  <c r="AN158" i="9"/>
  <c r="AN157" i="9"/>
  <c r="AT61" i="11" l="1"/>
  <c r="AX64" i="11"/>
  <c r="AX61" i="11" l="1"/>
  <c r="BF64" i="11"/>
  <c r="BF61" i="11" s="1"/>
  <c r="AL1" i="35"/>
  <c r="AL21" i="35" s="1"/>
  <c r="AL26" i="9" s="1"/>
  <c r="AN438" i="28" l="1"/>
  <c r="BD438" i="28" s="1"/>
  <c r="BK438" i="28" s="1"/>
  <c r="AJ425" i="28" l="1"/>
  <c r="AP425" i="28" s="1"/>
  <c r="AT425" i="28" s="1"/>
  <c r="AX425" i="28" s="1"/>
  <c r="BF425" i="28" s="1"/>
  <c r="BH425" i="28" s="1"/>
  <c r="AN425" i="28"/>
  <c r="BD425" i="28" s="1"/>
  <c r="BK425" i="28" s="1"/>
  <c r="AJ422" i="28"/>
  <c r="BD422" i="28"/>
  <c r="BK422" i="28" s="1"/>
  <c r="AP422" i="28" l="1"/>
  <c r="AT422" i="28" s="1"/>
  <c r="AX422" i="28" s="1"/>
  <c r="BF422" i="28" s="1"/>
  <c r="BH422" i="28" s="1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BC8" i="39" l="1"/>
  <c r="AM48" i="50"/>
  <c r="AM49" i="50"/>
  <c r="AM50" i="50"/>
  <c r="AM51" i="50"/>
  <c r="AM53" i="50"/>
  <c r="AM40" i="50"/>
  <c r="AM41" i="50"/>
  <c r="AM42" i="50"/>
  <c r="AM43" i="50"/>
  <c r="AM44" i="50"/>
  <c r="AM45" i="50"/>
  <c r="AM39" i="50"/>
  <c r="AM5" i="50"/>
  <c r="AM6" i="50"/>
  <c r="AM7" i="50"/>
  <c r="AM8" i="50"/>
  <c r="AM9" i="50"/>
  <c r="AM10" i="50"/>
  <c r="AM11" i="50"/>
  <c r="AM12" i="50"/>
  <c r="AM13" i="50"/>
  <c r="AM14" i="50"/>
  <c r="AM15" i="50"/>
  <c r="AM16" i="50"/>
  <c r="AM17" i="50"/>
  <c r="AM18" i="50"/>
  <c r="AM19" i="50"/>
  <c r="AM20" i="50"/>
  <c r="AM21" i="50"/>
  <c r="AM22" i="50"/>
  <c r="AM23" i="50"/>
  <c r="AM24" i="50"/>
  <c r="AM25" i="50"/>
  <c r="AM26" i="50"/>
  <c r="AM27" i="50"/>
  <c r="AM29" i="50"/>
  <c r="AM30" i="50"/>
  <c r="AM31" i="50"/>
  <c r="AM4" i="50"/>
  <c r="AO92" i="50"/>
  <c r="BE92" i="50" s="1"/>
  <c r="AO91" i="50"/>
  <c r="BE91" i="50" s="1"/>
  <c r="AO90" i="50"/>
  <c r="BE90" i="50" s="1"/>
  <c r="AO89" i="50"/>
  <c r="BE89" i="50" s="1"/>
  <c r="AO88" i="50"/>
  <c r="BE88" i="50" s="1"/>
  <c r="AO87" i="50"/>
  <c r="BE87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BE78" i="50"/>
  <c r="BE77" i="50"/>
  <c r="BE76" i="50"/>
  <c r="BE75" i="50"/>
  <c r="BE73" i="50"/>
  <c r="BE72" i="50"/>
  <c r="BE71" i="50"/>
  <c r="BE70" i="50"/>
  <c r="BE69" i="50"/>
  <c r="BE68" i="50"/>
  <c r="BE66" i="50"/>
  <c r="BE65" i="50"/>
  <c r="BE64" i="50"/>
  <c r="BE63" i="50"/>
  <c r="BE62" i="50"/>
  <c r="BE60" i="50"/>
  <c r="BE59" i="50"/>
  <c r="BE58" i="50"/>
  <c r="BE57" i="50"/>
  <c r="BE56" i="50"/>
  <c r="AO55" i="50"/>
  <c r="BE55" i="50" s="1"/>
  <c r="AM144" i="50"/>
  <c r="AM142" i="50"/>
  <c r="AM141" i="50"/>
  <c r="AM137" i="50"/>
  <c r="AP135" i="50"/>
  <c r="AL135" i="50"/>
  <c r="AL133" i="50"/>
  <c r="AL132" i="50"/>
  <c r="AL131" i="50"/>
  <c r="AM127" i="50"/>
  <c r="AP117" i="50"/>
  <c r="AL117" i="50"/>
  <c r="AM115" i="50"/>
  <c r="AL115" i="50"/>
  <c r="AM112" i="50"/>
  <c r="AL112" i="50"/>
  <c r="AM111" i="50"/>
  <c r="AL111" i="50"/>
  <c r="AP103" i="50"/>
  <c r="AL103" i="50"/>
  <c r="AM102" i="50"/>
  <c r="AM101" i="50"/>
  <c r="AP93" i="50"/>
  <c r="AM93" i="50"/>
  <c r="AM138" i="50" s="1"/>
  <c r="AL93" i="50"/>
  <c r="AP79" i="50"/>
  <c r="AM79" i="50"/>
  <c r="AL79" i="50"/>
  <c r="AP54" i="50"/>
  <c r="AL54" i="50"/>
  <c r="AM47" i="50"/>
  <c r="AP46" i="50"/>
  <c r="AL46" i="50"/>
  <c r="AP38" i="50"/>
  <c r="AL38" i="50"/>
  <c r="AM15" i="61" l="1"/>
  <c r="AM12" i="61"/>
  <c r="AM8" i="61"/>
  <c r="AM4" i="61"/>
  <c r="AM11" i="61"/>
  <c r="AM7" i="61"/>
  <c r="AM14" i="61"/>
  <c r="AM10" i="61"/>
  <c r="AM6" i="61"/>
  <c r="AM13" i="61"/>
  <c r="AM9" i="61"/>
  <c r="AM5" i="61"/>
  <c r="BE79" i="50"/>
  <c r="BE93" i="50"/>
  <c r="AL104" i="50"/>
  <c r="AO93" i="50"/>
  <c r="AM128" i="50"/>
  <c r="AM68" i="83"/>
  <c r="AM69" i="83" s="1"/>
  <c r="AM77" i="83" s="1"/>
  <c r="AP104" i="50"/>
  <c r="AM123" i="50"/>
  <c r="AO79" i="50"/>
  <c r="AM116" i="50"/>
  <c r="AM38" i="50"/>
  <c r="AM54" i="50"/>
  <c r="AP94" i="50"/>
  <c r="AL94" i="50"/>
  <c r="AM139" i="50"/>
  <c r="AM46" i="50"/>
  <c r="AM140" i="50"/>
  <c r="AN74" i="59"/>
  <c r="AM16" i="61" l="1"/>
  <c r="AM129" i="50"/>
  <c r="AM120" i="50"/>
  <c r="AM124" i="50"/>
  <c r="AM125" i="50" s="1"/>
  <c r="AM108" i="50"/>
  <c r="AL162" i="10"/>
  <c r="AM130" i="50"/>
  <c r="AM94" i="50"/>
  <c r="AL163" i="10" l="1"/>
  <c r="AN45" i="11"/>
  <c r="AN46" i="11"/>
  <c r="AN47" i="11"/>
  <c r="AN48" i="11"/>
  <c r="AN49" i="11"/>
  <c r="AN50" i="11"/>
  <c r="AN51" i="11"/>
  <c r="AN52" i="11"/>
  <c r="AN54" i="11"/>
  <c r="BD54" i="11" s="1"/>
  <c r="AN42" i="11"/>
  <c r="BD42" i="11" s="1"/>
  <c r="AP142" i="10"/>
  <c r="BD8" i="10"/>
  <c r="BK8" i="10" s="1"/>
  <c r="BD9" i="10"/>
  <c r="BK9" i="10" s="1"/>
  <c r="BD10" i="10"/>
  <c r="BK10" i="10" s="1"/>
  <c r="BD11" i="10"/>
  <c r="BK11" i="10" s="1"/>
  <c r="BD13" i="10"/>
  <c r="BK13" i="10" s="1"/>
  <c r="BD14" i="10"/>
  <c r="BK14" i="10" s="1"/>
  <c r="BD15" i="10"/>
  <c r="BK15" i="10" s="1"/>
  <c r="BD16" i="10"/>
  <c r="BK16" i="10" s="1"/>
  <c r="BD17" i="10"/>
  <c r="BK17" i="10" s="1"/>
  <c r="BD18" i="10"/>
  <c r="BK18" i="10" s="1"/>
  <c r="BD19" i="10"/>
  <c r="BK19" i="10" s="1"/>
  <c r="BD20" i="10"/>
  <c r="BK20" i="10" s="1"/>
  <c r="BD25" i="10"/>
  <c r="BK25" i="10" s="1"/>
  <c r="BD26" i="10"/>
  <c r="BK26" i="10" s="1"/>
  <c r="BD27" i="10"/>
  <c r="BK27" i="10" s="1"/>
  <c r="BD29" i="10"/>
  <c r="BK29" i="10" s="1"/>
  <c r="BD30" i="10"/>
  <c r="BK30" i="10" s="1"/>
  <c r="BD31" i="10"/>
  <c r="BK31" i="10" s="1"/>
  <c r="BD32" i="10"/>
  <c r="BK32" i="10" s="1"/>
  <c r="BD33" i="10"/>
  <c r="BK33" i="10" s="1"/>
  <c r="BD34" i="10"/>
  <c r="BK34" i="10" s="1"/>
  <c r="BD35" i="10"/>
  <c r="BK35" i="10" s="1"/>
  <c r="BD36" i="10"/>
  <c r="BK36" i="10" s="1"/>
  <c r="BD37" i="10"/>
  <c r="BK37" i="10" s="1"/>
  <c r="BD38" i="10"/>
  <c r="BK38" i="10" s="1"/>
  <c r="BD39" i="10"/>
  <c r="BK39" i="10" s="1"/>
  <c r="BD40" i="10"/>
  <c r="BK40" i="10" s="1"/>
  <c r="BD41" i="10"/>
  <c r="BK41" i="10" s="1"/>
  <c r="BD42" i="10"/>
  <c r="BK42" i="10" s="1"/>
  <c r="BD43" i="10"/>
  <c r="BK43" i="10" s="1"/>
  <c r="BD44" i="10"/>
  <c r="BK44" i="10" s="1"/>
  <c r="BD45" i="10"/>
  <c r="BK45" i="10" s="1"/>
  <c r="BD46" i="10"/>
  <c r="BK46" i="10" s="1"/>
  <c r="BD47" i="10"/>
  <c r="BK47" i="10" s="1"/>
  <c r="BD48" i="10"/>
  <c r="BK48" i="10" s="1"/>
  <c r="BD49" i="10"/>
  <c r="BK49" i="10" s="1"/>
  <c r="BD50" i="10"/>
  <c r="BK50" i="10" s="1"/>
  <c r="BD51" i="10"/>
  <c r="BK51" i="10" s="1"/>
  <c r="BD52" i="10"/>
  <c r="BK52" i="10" s="1"/>
  <c r="BD53" i="10"/>
  <c r="BK53" i="10" s="1"/>
  <c r="BD54" i="10"/>
  <c r="BK54" i="10" s="1"/>
  <c r="BD55" i="10"/>
  <c r="BK55" i="10" s="1"/>
  <c r="BD57" i="10"/>
  <c r="BK57" i="10" s="1"/>
  <c r="BD59" i="10"/>
  <c r="BK59" i="10" s="1"/>
  <c r="BD61" i="10"/>
  <c r="BK61" i="10" s="1"/>
  <c r="BD62" i="10"/>
  <c r="BK62" i="10" s="1"/>
  <c r="BD63" i="10"/>
  <c r="BK63" i="10" s="1"/>
  <c r="BD64" i="10"/>
  <c r="BK64" i="10" s="1"/>
  <c r="BD65" i="10"/>
  <c r="BK65" i="10" s="1"/>
  <c r="BD66" i="10"/>
  <c r="BK66" i="10" s="1"/>
  <c r="BD68" i="10"/>
  <c r="BK68" i="10" s="1"/>
  <c r="BD69" i="10"/>
  <c r="BK69" i="10" s="1"/>
  <c r="BD70" i="10"/>
  <c r="BK70" i="10" s="1"/>
  <c r="BD71" i="10"/>
  <c r="BK71" i="10" s="1"/>
  <c r="BD72" i="10"/>
  <c r="BK72" i="10" s="1"/>
  <c r="BD73" i="10"/>
  <c r="BK73" i="10" s="1"/>
  <c r="BD74" i="10"/>
  <c r="BK74" i="10" s="1"/>
  <c r="BD75" i="10"/>
  <c r="BK75" i="10" s="1"/>
  <c r="BD76" i="10"/>
  <c r="BK76" i="10" s="1"/>
  <c r="BD78" i="10"/>
  <c r="BK78" i="10" s="1"/>
  <c r="BD79" i="10"/>
  <c r="BK79" i="10" s="1"/>
  <c r="BD80" i="10"/>
  <c r="BK80" i="10" s="1"/>
  <c r="BD81" i="10"/>
  <c r="BK81" i="10" s="1"/>
  <c r="BD82" i="10"/>
  <c r="BK82" i="10" s="1"/>
  <c r="BD83" i="10"/>
  <c r="BK83" i="10" s="1"/>
  <c r="BD87" i="10"/>
  <c r="BK87" i="10" s="1"/>
  <c r="BD88" i="10"/>
  <c r="BK88" i="10" s="1"/>
  <c r="BD89" i="10"/>
  <c r="BK89" i="10" s="1"/>
  <c r="BD91" i="10"/>
  <c r="BK91" i="10" s="1"/>
  <c r="BD92" i="10"/>
  <c r="BK92" i="10" s="1"/>
  <c r="BD93" i="10"/>
  <c r="BK93" i="10" s="1"/>
  <c r="BD94" i="10"/>
  <c r="BK94" i="10" s="1"/>
  <c r="BD95" i="10"/>
  <c r="BK95" i="10" s="1"/>
  <c r="BD96" i="10"/>
  <c r="BK96" i="10" s="1"/>
  <c r="BD97" i="10"/>
  <c r="BK97" i="10" s="1"/>
  <c r="BD98" i="10"/>
  <c r="BK98" i="10" s="1"/>
  <c r="BD99" i="10"/>
  <c r="BK99" i="10" s="1"/>
  <c r="BD100" i="10"/>
  <c r="BK100" i="10" s="1"/>
  <c r="BD101" i="10"/>
  <c r="BK101" i="10" s="1"/>
  <c r="BD102" i="10"/>
  <c r="BK102" i="10" s="1"/>
  <c r="BD103" i="10"/>
  <c r="BK103" i="10" s="1"/>
  <c r="BD104" i="10"/>
  <c r="BK104" i="10" s="1"/>
  <c r="BD107" i="10"/>
  <c r="BK107" i="10" s="1"/>
  <c r="BD108" i="10"/>
  <c r="BK108" i="10" s="1"/>
  <c r="BD109" i="10"/>
  <c r="BK109" i="10" s="1"/>
  <c r="BD110" i="10"/>
  <c r="BK110" i="10" s="1"/>
  <c r="BD111" i="10"/>
  <c r="BK111" i="10" s="1"/>
  <c r="BD112" i="10"/>
  <c r="BK112" i="10" s="1"/>
  <c r="BD113" i="10"/>
  <c r="BK113" i="10" s="1"/>
  <c r="BD115" i="10"/>
  <c r="BK115" i="10" s="1"/>
  <c r="BD116" i="10"/>
  <c r="BK116" i="10" s="1"/>
  <c r="BD117" i="10"/>
  <c r="BK117" i="10" s="1"/>
  <c r="BD118" i="10"/>
  <c r="BK118" i="10" s="1"/>
  <c r="BD119" i="10"/>
  <c r="BK119" i="10" s="1"/>
  <c r="BD120" i="10"/>
  <c r="BK120" i="10" s="1"/>
  <c r="BD121" i="10"/>
  <c r="BK121" i="10" s="1"/>
  <c r="AN129" i="10"/>
  <c r="AN130" i="10"/>
  <c r="AN131" i="10"/>
  <c r="AN132" i="10"/>
  <c r="AN133" i="10"/>
  <c r="AN134" i="10"/>
  <c r="AN135" i="10"/>
  <c r="BD135" i="10" s="1"/>
  <c r="BK135" i="10" s="1"/>
  <c r="AN136" i="10"/>
  <c r="AN137" i="10"/>
  <c r="AN138" i="10"/>
  <c r="AN139" i="10"/>
  <c r="AN140" i="10"/>
  <c r="AN141" i="10"/>
  <c r="AN142" i="10"/>
  <c r="AN143" i="10"/>
  <c r="AN144" i="10"/>
  <c r="AN145" i="10"/>
  <c r="AN147" i="10"/>
  <c r="AN148" i="10"/>
  <c r="AN149" i="10"/>
  <c r="AN150" i="10"/>
  <c r="BD150" i="10" s="1"/>
  <c r="BK150" i="10" s="1"/>
  <c r="AN151" i="10"/>
  <c r="BD151" i="10" s="1"/>
  <c r="BK151" i="10" s="1"/>
  <c r="AN152" i="10"/>
  <c r="BD152" i="10" s="1"/>
  <c r="BK152" i="10" s="1"/>
  <c r="AN153" i="10"/>
  <c r="BD153" i="10" s="1"/>
  <c r="BK153" i="10" s="1"/>
  <c r="AN154" i="10"/>
  <c r="AN155" i="10"/>
  <c r="AN156" i="10"/>
  <c r="AN157" i="10"/>
  <c r="AN66" i="59"/>
  <c r="AM107" i="50"/>
  <c r="AT142" i="10" l="1"/>
  <c r="AX142" i="10" s="1"/>
  <c r="AM119" i="50"/>
  <c r="AM110" i="50"/>
  <c r="AM109" i="50"/>
  <c r="AN70" i="59"/>
  <c r="AM121" i="50" l="1"/>
  <c r="AM117" i="50"/>
  <c r="AK89" i="90" l="1"/>
  <c r="AN11" i="8"/>
  <c r="BD11" i="8" s="1"/>
  <c r="AM11" i="8"/>
  <c r="BC11" i="8" s="1"/>
  <c r="AL10" i="49"/>
  <c r="AL12" i="49" s="1"/>
  <c r="AL14" i="49" s="1"/>
  <c r="AL15" i="49" s="1"/>
  <c r="AL16" i="49" s="1"/>
  <c r="AL19" i="49" s="1"/>
  <c r="AL20" i="49" s="1"/>
  <c r="AN49" i="7"/>
  <c r="BD49" i="7" s="1"/>
  <c r="AM49" i="7"/>
  <c r="BC49" i="7" l="1"/>
  <c r="AM133" i="50"/>
  <c r="AJ2" i="17" l="1"/>
  <c r="AJ2" i="26"/>
  <c r="AK2" i="17"/>
  <c r="AK2" i="26"/>
  <c r="AJ50" i="39" l="1"/>
  <c r="AJ45" i="39"/>
  <c r="AJ8" i="39"/>
  <c r="AJ22" i="39" l="1"/>
  <c r="AJ51" i="39"/>
  <c r="AJ24" i="39"/>
  <c r="AN440" i="28" l="1"/>
  <c r="BD440" i="28" s="1"/>
  <c r="BK440" i="28" s="1"/>
  <c r="AN442" i="28"/>
  <c r="BD442" i="28" s="1"/>
  <c r="BK442" i="28" s="1"/>
  <c r="AN443" i="28"/>
  <c r="BD443" i="28" s="1"/>
  <c r="BK443" i="28" s="1"/>
  <c r="AN444" i="28"/>
  <c r="BD444" i="28" s="1"/>
  <c r="BK444" i="28" s="1"/>
  <c r="AN445" i="28"/>
  <c r="BD445" i="28" s="1"/>
  <c r="BK445" i="28" s="1"/>
  <c r="AN446" i="28"/>
  <c r="BD446" i="28" s="1"/>
  <c r="BK446" i="28" s="1"/>
  <c r="AN447" i="28"/>
  <c r="BD447" i="28" s="1"/>
  <c r="BK447" i="28" s="1"/>
  <c r="AN448" i="28"/>
  <c r="BD448" i="28" s="1"/>
  <c r="BK448" i="28" s="1"/>
  <c r="AN449" i="28"/>
  <c r="BD449" i="28" s="1"/>
  <c r="BK449" i="28" s="1"/>
  <c r="AN450" i="28"/>
  <c r="BD450" i="28" s="1"/>
  <c r="BK450" i="28" s="1"/>
  <c r="AN451" i="28"/>
  <c r="BD451" i="28" s="1"/>
  <c r="BK451" i="28" s="1"/>
  <c r="AN452" i="28"/>
  <c r="BD452" i="28" s="1"/>
  <c r="BK452" i="28" s="1"/>
  <c r="AN453" i="28"/>
  <c r="BD453" i="28" s="1"/>
  <c r="BK453" i="28" s="1"/>
  <c r="AN454" i="28"/>
  <c r="BD454" i="28" s="1"/>
  <c r="BK454" i="28" s="1"/>
  <c r="BD456" i="28"/>
  <c r="BK456" i="28" s="1"/>
  <c r="BD458" i="28"/>
  <c r="BK458" i="28" s="1"/>
  <c r="BD459" i="28"/>
  <c r="BK459" i="28" s="1"/>
  <c r="BD460" i="28"/>
  <c r="BK460" i="28" s="1"/>
  <c r="BD461" i="28"/>
  <c r="BK461" i="28" s="1"/>
  <c r="BD462" i="28"/>
  <c r="BK462" i="28" s="1"/>
  <c r="BD463" i="28"/>
  <c r="BK463" i="28" s="1"/>
  <c r="AN464" i="28"/>
  <c r="BD464" i="28" s="1"/>
  <c r="BK464" i="28" s="1"/>
  <c r="BD466" i="28"/>
  <c r="BK466" i="28" s="1"/>
  <c r="AN467" i="28"/>
  <c r="BD467" i="28" s="1"/>
  <c r="BK467" i="28" s="1"/>
  <c r="AN468" i="28"/>
  <c r="AN469" i="28"/>
  <c r="AN417" i="28"/>
  <c r="BD417" i="28" s="1"/>
  <c r="BK417" i="28" s="1"/>
  <c r="BD419" i="28"/>
  <c r="BK419" i="28" s="1"/>
  <c r="BD420" i="28"/>
  <c r="BK420" i="28" s="1"/>
  <c r="BD421" i="28"/>
  <c r="BK421" i="28" s="1"/>
  <c r="BD424" i="28"/>
  <c r="BK424" i="28" s="1"/>
  <c r="AN426" i="28"/>
  <c r="BD426" i="28" s="1"/>
  <c r="BK426" i="28" s="1"/>
  <c r="AN427" i="28"/>
  <c r="AN308" i="28"/>
  <c r="BD308" i="28" s="1"/>
  <c r="BK308" i="28" s="1"/>
  <c r="AN309" i="28"/>
  <c r="BD309" i="28" s="1"/>
  <c r="BK309" i="28" s="1"/>
  <c r="AN311" i="28"/>
  <c r="BD311" i="28" s="1"/>
  <c r="BK311" i="28" s="1"/>
  <c r="AN312" i="28"/>
  <c r="BD312" i="28" s="1"/>
  <c r="BK312" i="28" s="1"/>
  <c r="AN313" i="28"/>
  <c r="BD313" i="28" s="1"/>
  <c r="BK313" i="28" s="1"/>
  <c r="AN314" i="28"/>
  <c r="BD314" i="28" s="1"/>
  <c r="BK314" i="28" s="1"/>
  <c r="AN358" i="28"/>
  <c r="BD358" i="28" s="1"/>
  <c r="BK358" i="28" s="1"/>
  <c r="AN359" i="28"/>
  <c r="BD359" i="28" s="1"/>
  <c r="BK359" i="28" s="1"/>
  <c r="AN360" i="28"/>
  <c r="BD360" i="28" s="1"/>
  <c r="BK360" i="28" s="1"/>
  <c r="AN361" i="28"/>
  <c r="BD361" i="28" s="1"/>
  <c r="BK361" i="28" s="1"/>
  <c r="AN362" i="28"/>
  <c r="BD362" i="28" s="1"/>
  <c r="BK362" i="28" s="1"/>
  <c r="AN363" i="28"/>
  <c r="BD363" i="28" s="1"/>
  <c r="BK363" i="28" s="1"/>
  <c r="AN364" i="28"/>
  <c r="BD364" i="28" s="1"/>
  <c r="BK364" i="28" s="1"/>
  <c r="AN365" i="28"/>
  <c r="BD365" i="28" s="1"/>
  <c r="BK365" i="28" s="1"/>
  <c r="AN366" i="28"/>
  <c r="BD366" i="28" s="1"/>
  <c r="BK366" i="28" s="1"/>
  <c r="AN367" i="28"/>
  <c r="BD367" i="28" s="1"/>
  <c r="BK367" i="28" s="1"/>
  <c r="AN368" i="28"/>
  <c r="BD368" i="28" s="1"/>
  <c r="BK368" i="28" s="1"/>
  <c r="AN369" i="28"/>
  <c r="BD369" i="28" s="1"/>
  <c r="BK369" i="28" s="1"/>
  <c r="AN370" i="28"/>
  <c r="BD370" i="28" s="1"/>
  <c r="BK370" i="28" s="1"/>
  <c r="AN371" i="28"/>
  <c r="BD371" i="28" s="1"/>
  <c r="BK371" i="28" s="1"/>
  <c r="AN372" i="28"/>
  <c r="BD372" i="28" s="1"/>
  <c r="BK372" i="28" s="1"/>
  <c r="AN373" i="28"/>
  <c r="BD373" i="28" s="1"/>
  <c r="BK373" i="28" s="1"/>
  <c r="AN374" i="28"/>
  <c r="BD374" i="28" s="1"/>
  <c r="BK374" i="28" s="1"/>
  <c r="AN375" i="28"/>
  <c r="BD375" i="28" s="1"/>
  <c r="BK375" i="28" s="1"/>
  <c r="AN376" i="28"/>
  <c r="BD376" i="28" s="1"/>
  <c r="BK376" i="28" s="1"/>
  <c r="AN377" i="28"/>
  <c r="BD377" i="28" s="1"/>
  <c r="BK377" i="28" s="1"/>
  <c r="AN378" i="28"/>
  <c r="BD378" i="28" s="1"/>
  <c r="BK378" i="28" s="1"/>
  <c r="AN379" i="28"/>
  <c r="BD379" i="28" s="1"/>
  <c r="BK379" i="28" s="1"/>
  <c r="AN380" i="28"/>
  <c r="BD380" i="28" s="1"/>
  <c r="BK380" i="28" s="1"/>
  <c r="AN381" i="28"/>
  <c r="BD381" i="28" s="1"/>
  <c r="BK381" i="28" s="1"/>
  <c r="AN399" i="28"/>
  <c r="BD399" i="28" s="1"/>
  <c r="BK399" i="28" s="1"/>
  <c r="AN409" i="28"/>
  <c r="BD409" i="28" s="1"/>
  <c r="BK409" i="28" s="1"/>
  <c r="AN410" i="28"/>
  <c r="BD410" i="28" s="1"/>
  <c r="BK410" i="28" s="1"/>
  <c r="AN411" i="28"/>
  <c r="BD411" i="28" s="1"/>
  <c r="BK411" i="28" s="1"/>
  <c r="AN260" i="28"/>
  <c r="BD264" i="28"/>
  <c r="BK264" i="28" s="1"/>
  <c r="BD265" i="28"/>
  <c r="BK265" i="28" s="1"/>
  <c r="BD266" i="28"/>
  <c r="BK266" i="28" s="1"/>
  <c r="AN267" i="28"/>
  <c r="BD267" i="28" s="1"/>
  <c r="BK267" i="28" s="1"/>
  <c r="AN268" i="28"/>
  <c r="BD268" i="28" s="1"/>
  <c r="BK268" i="28" s="1"/>
  <c r="AN270" i="28"/>
  <c r="BD270" i="28" s="1"/>
  <c r="BK270" i="28" s="1"/>
  <c r="AN271" i="28"/>
  <c r="BD271" i="28" s="1"/>
  <c r="BK271" i="28" s="1"/>
  <c r="BD273" i="28"/>
  <c r="BK273" i="28" s="1"/>
  <c r="BD274" i="28"/>
  <c r="BK274" i="28" s="1"/>
  <c r="AN275" i="28"/>
  <c r="BD275" i="28" s="1"/>
  <c r="BK275" i="28" s="1"/>
  <c r="AN276" i="28"/>
  <c r="BD276" i="28" s="1"/>
  <c r="BK276" i="28" s="1"/>
  <c r="AN277" i="28"/>
  <c r="BD277" i="28" s="1"/>
  <c r="BK277" i="28" s="1"/>
  <c r="AN278" i="28"/>
  <c r="BD278" i="28" s="1"/>
  <c r="BK278" i="28" s="1"/>
  <c r="AN279" i="28"/>
  <c r="BD279" i="28" s="1"/>
  <c r="BK279" i="28" s="1"/>
  <c r="AN280" i="28"/>
  <c r="BD280" i="28" s="1"/>
  <c r="BK280" i="28" s="1"/>
  <c r="AN281" i="28"/>
  <c r="BD281" i="28" s="1"/>
  <c r="BK281" i="28" s="1"/>
  <c r="AN282" i="28"/>
  <c r="BD282" i="28" s="1"/>
  <c r="BK282" i="28" s="1"/>
  <c r="AN283" i="28"/>
  <c r="BD283" i="28" s="1"/>
  <c r="BK283" i="28" s="1"/>
  <c r="AN284" i="28"/>
  <c r="BD284" i="28" s="1"/>
  <c r="BK284" i="28" s="1"/>
  <c r="AN285" i="28"/>
  <c r="BD285" i="28" s="1"/>
  <c r="BK285" i="28" s="1"/>
  <c r="AN286" i="28"/>
  <c r="BD286" i="28" s="1"/>
  <c r="BK286" i="28" s="1"/>
  <c r="AN287" i="28"/>
  <c r="BD287" i="28" s="1"/>
  <c r="BK287" i="28" s="1"/>
  <c r="AN288" i="28"/>
  <c r="BD288" i="28" s="1"/>
  <c r="BK288" i="28" s="1"/>
  <c r="AN289" i="28"/>
  <c r="BD289" i="28" s="1"/>
  <c r="BK289" i="28" s="1"/>
  <c r="AN290" i="28"/>
  <c r="BD290" i="28" s="1"/>
  <c r="BK290" i="28" s="1"/>
  <c r="AN291" i="28"/>
  <c r="BD291" i="28" s="1"/>
  <c r="BK291" i="28" s="1"/>
  <c r="AN292" i="28"/>
  <c r="BD292" i="28" s="1"/>
  <c r="BK292" i="28" s="1"/>
  <c r="AN293" i="28"/>
  <c r="BD293" i="28" s="1"/>
  <c r="BK293" i="28" s="1"/>
  <c r="AN294" i="28"/>
  <c r="BD294" i="28" s="1"/>
  <c r="BK294" i="28" s="1"/>
  <c r="AN296" i="28"/>
  <c r="BD296" i="28" s="1"/>
  <c r="BK296" i="28" s="1"/>
  <c r="AP244" i="28"/>
  <c r="AT244" i="28" s="1"/>
  <c r="AX244" i="28" s="1"/>
  <c r="AP246" i="28"/>
  <c r="AT246" i="28" s="1"/>
  <c r="AX246" i="28" s="1"/>
  <c r="AP248" i="28"/>
  <c r="AT248" i="28" s="1"/>
  <c r="AX248" i="28" s="1"/>
  <c r="AP250" i="28"/>
  <c r="AT250" i="28" s="1"/>
  <c r="AX250" i="28" s="1"/>
  <c r="AP252" i="28"/>
  <c r="AT252" i="28" s="1"/>
  <c r="AX252" i="28" s="1"/>
  <c r="AN244" i="28"/>
  <c r="AN245" i="28"/>
  <c r="BD245" i="28" s="1"/>
  <c r="BK245" i="28" s="1"/>
  <c r="AN246" i="28"/>
  <c r="AN247" i="28"/>
  <c r="BD247" i="28" s="1"/>
  <c r="BK247" i="28" s="1"/>
  <c r="AN248" i="28"/>
  <c r="AN249" i="28"/>
  <c r="BD249" i="28" s="1"/>
  <c r="BK249" i="28" s="1"/>
  <c r="AN250" i="28"/>
  <c r="AN251" i="28"/>
  <c r="BD251" i="28" s="1"/>
  <c r="BK251" i="28" s="1"/>
  <c r="AN252" i="28"/>
  <c r="AN253" i="28"/>
  <c r="BD253" i="28" s="1"/>
  <c r="BK253" i="28" s="1"/>
  <c r="AN254" i="28"/>
  <c r="BD254" i="28" s="1"/>
  <c r="BK254" i="28" s="1"/>
  <c r="AN255" i="28"/>
  <c r="AN102" i="28"/>
  <c r="BD102" i="28" s="1"/>
  <c r="BK102" i="28" s="1"/>
  <c r="AN103" i="28"/>
  <c r="BD103" i="28" s="1"/>
  <c r="BK103" i="28" s="1"/>
  <c r="AN104" i="28"/>
  <c r="BD104" i="28" s="1"/>
  <c r="BK104" i="28" s="1"/>
  <c r="AN105" i="28"/>
  <c r="BD105" i="28" s="1"/>
  <c r="BK105" i="28" s="1"/>
  <c r="AN106" i="28"/>
  <c r="BD106" i="28" s="1"/>
  <c r="BK106" i="28" s="1"/>
  <c r="AN107" i="28"/>
  <c r="AN108" i="28"/>
  <c r="AN110" i="28"/>
  <c r="AN111" i="28"/>
  <c r="AN112" i="28"/>
  <c r="AN113" i="28"/>
  <c r="AN114" i="28"/>
  <c r="AN115" i="28"/>
  <c r="AN116" i="28"/>
  <c r="AN117" i="28"/>
  <c r="BD117" i="28" s="1"/>
  <c r="BK117" i="28" s="1"/>
  <c r="AN118" i="28"/>
  <c r="BD118" i="28" s="1"/>
  <c r="BK118" i="28" s="1"/>
  <c r="AN120" i="28"/>
  <c r="BD120" i="28" s="1"/>
  <c r="BK120" i="28" s="1"/>
  <c r="AN121" i="28"/>
  <c r="BD121" i="28" s="1"/>
  <c r="BK121" i="28" s="1"/>
  <c r="AN122" i="28"/>
  <c r="BD122" i="28" s="1"/>
  <c r="BK122" i="28" s="1"/>
  <c r="AN123" i="28"/>
  <c r="BD123" i="28" s="1"/>
  <c r="BK123" i="28" s="1"/>
  <c r="AN124" i="28"/>
  <c r="BD124" i="28" s="1"/>
  <c r="BK124" i="28" s="1"/>
  <c r="AN125" i="28"/>
  <c r="BD125" i="28" s="1"/>
  <c r="BK125" i="28" s="1"/>
  <c r="AN126" i="28"/>
  <c r="BD126" i="28" s="1"/>
  <c r="BK126" i="28" s="1"/>
  <c r="AN127" i="28"/>
  <c r="BD127" i="28" s="1"/>
  <c r="BK127" i="28" s="1"/>
  <c r="AN128" i="28"/>
  <c r="BD128" i="28" s="1"/>
  <c r="BK128" i="28" s="1"/>
  <c r="AN129" i="28"/>
  <c r="BD129" i="28" s="1"/>
  <c r="BK129" i="28" s="1"/>
  <c r="AN130" i="28"/>
  <c r="BD130" i="28" s="1"/>
  <c r="BK130" i="28" s="1"/>
  <c r="AN131" i="28"/>
  <c r="BD131" i="28" s="1"/>
  <c r="BK131" i="28" s="1"/>
  <c r="AN132" i="28"/>
  <c r="BD132" i="28" s="1"/>
  <c r="BK132" i="28" s="1"/>
  <c r="AN133" i="28"/>
  <c r="BD133" i="28" s="1"/>
  <c r="BK133" i="28" s="1"/>
  <c r="AN134" i="28"/>
  <c r="BD134" i="28" s="1"/>
  <c r="BK134" i="28" s="1"/>
  <c r="AN135" i="28"/>
  <c r="BD135" i="28" s="1"/>
  <c r="BK135" i="28" s="1"/>
  <c r="AN136" i="28"/>
  <c r="BD136" i="28" s="1"/>
  <c r="BK136" i="28" s="1"/>
  <c r="AN137" i="28"/>
  <c r="BD137" i="28" s="1"/>
  <c r="BK137" i="28" s="1"/>
  <c r="AN138" i="28"/>
  <c r="BD138" i="28" s="1"/>
  <c r="BK138" i="28" s="1"/>
  <c r="AN139" i="28"/>
  <c r="BD139" i="28" s="1"/>
  <c r="BK139" i="28" s="1"/>
  <c r="AN140" i="28"/>
  <c r="BD140" i="28" s="1"/>
  <c r="BK140" i="28" s="1"/>
  <c r="AN141" i="28"/>
  <c r="BD141" i="28" s="1"/>
  <c r="BK141" i="28" s="1"/>
  <c r="BD143" i="28"/>
  <c r="BK143" i="28" s="1"/>
  <c r="AN144" i="28"/>
  <c r="BD144" i="28" s="1"/>
  <c r="BK144" i="28" s="1"/>
  <c r="AN145" i="28"/>
  <c r="BD145" i="28" s="1"/>
  <c r="BK145" i="28" s="1"/>
  <c r="AN146" i="28"/>
  <c r="BD146" i="28" s="1"/>
  <c r="BK146" i="28" s="1"/>
  <c r="AN147" i="28"/>
  <c r="BD147" i="28" s="1"/>
  <c r="BK147" i="28" s="1"/>
  <c r="AN148" i="28"/>
  <c r="BD148" i="28" s="1"/>
  <c r="BK148" i="28" s="1"/>
  <c r="AN149" i="28"/>
  <c r="BD149" i="28" s="1"/>
  <c r="BK149" i="28" s="1"/>
  <c r="AN150" i="28"/>
  <c r="BD150" i="28" s="1"/>
  <c r="BK150" i="28" s="1"/>
  <c r="AN151" i="28"/>
  <c r="BD151" i="28" s="1"/>
  <c r="BK151" i="28" s="1"/>
  <c r="AN152" i="28"/>
  <c r="BD152" i="28" s="1"/>
  <c r="BK152" i="28" s="1"/>
  <c r="BD154" i="28"/>
  <c r="BK154" i="28" s="1"/>
  <c r="BD155" i="28"/>
  <c r="BK155" i="28" s="1"/>
  <c r="BD156" i="28"/>
  <c r="BK156" i="28" s="1"/>
  <c r="BD157" i="28"/>
  <c r="BK157" i="28" s="1"/>
  <c r="AN158" i="28"/>
  <c r="BD158" i="28" s="1"/>
  <c r="BK158" i="28" s="1"/>
  <c r="AN159" i="28"/>
  <c r="BD159" i="28" s="1"/>
  <c r="BK159" i="28" s="1"/>
  <c r="AN160" i="28"/>
  <c r="BD160" i="28" s="1"/>
  <c r="BK160" i="28" s="1"/>
  <c r="AN161" i="28"/>
  <c r="BD161" i="28" s="1"/>
  <c r="BK161" i="28" s="1"/>
  <c r="AN162" i="28"/>
  <c r="BD162" i="28" s="1"/>
  <c r="BK162" i="28" s="1"/>
  <c r="AN163" i="28"/>
  <c r="BD163" i="28" s="1"/>
  <c r="BK163" i="28" s="1"/>
  <c r="AN164" i="28"/>
  <c r="BD164" i="28" s="1"/>
  <c r="BK164" i="28" s="1"/>
  <c r="BD166" i="28"/>
  <c r="BK166" i="28" s="1"/>
  <c r="BD167" i="28"/>
  <c r="BK167" i="28" s="1"/>
  <c r="BD169" i="28"/>
  <c r="BK169" i="28" s="1"/>
  <c r="BD170" i="28"/>
  <c r="BK170" i="28" s="1"/>
  <c r="BD171" i="28"/>
  <c r="BK171" i="28" s="1"/>
  <c r="BD172" i="28"/>
  <c r="BK172" i="28" s="1"/>
  <c r="BD173" i="28"/>
  <c r="BK173" i="28" s="1"/>
  <c r="AN174" i="28"/>
  <c r="BD174" i="28" s="1"/>
  <c r="BK174" i="28" s="1"/>
  <c r="AN175" i="28"/>
  <c r="BD175" i="28" s="1"/>
  <c r="BK175" i="28" s="1"/>
  <c r="AN176" i="28"/>
  <c r="BD176" i="28" s="1"/>
  <c r="BK176" i="28" s="1"/>
  <c r="AN177" i="28"/>
  <c r="BD177" i="28" s="1"/>
  <c r="BK177" i="28" s="1"/>
  <c r="AN178" i="28"/>
  <c r="BD178" i="28" s="1"/>
  <c r="BK178" i="28" s="1"/>
  <c r="AN179" i="28"/>
  <c r="AN180" i="28"/>
  <c r="AN181" i="28"/>
  <c r="AN183" i="28"/>
  <c r="AN184" i="28"/>
  <c r="AN185" i="28"/>
  <c r="AN186" i="28"/>
  <c r="AN187" i="28"/>
  <c r="BD187" i="28" s="1"/>
  <c r="BK187" i="28" s="1"/>
  <c r="AN188" i="28"/>
  <c r="BD188" i="28" s="1"/>
  <c r="BK188" i="28" s="1"/>
  <c r="AN189" i="28"/>
  <c r="BD189" i="28" s="1"/>
  <c r="BK189" i="28" s="1"/>
  <c r="AN190" i="28"/>
  <c r="BD190" i="28" s="1"/>
  <c r="BK190" i="28" s="1"/>
  <c r="AN191" i="28"/>
  <c r="BD191" i="28" s="1"/>
  <c r="BK191" i="28" s="1"/>
  <c r="AN192" i="28"/>
  <c r="BD192" i="28" s="1"/>
  <c r="BK192" i="28" s="1"/>
  <c r="AN193" i="28"/>
  <c r="BD193" i="28" s="1"/>
  <c r="BK193" i="28" s="1"/>
  <c r="AN194" i="28"/>
  <c r="BD194" i="28" s="1"/>
  <c r="BK194" i="28" s="1"/>
  <c r="AN195" i="28"/>
  <c r="BD195" i="28" s="1"/>
  <c r="BK195" i="28" s="1"/>
  <c r="AN196" i="28"/>
  <c r="BD196" i="28" s="1"/>
  <c r="BK196" i="28" s="1"/>
  <c r="AN197" i="28"/>
  <c r="BD197" i="28" s="1"/>
  <c r="BK197" i="28" s="1"/>
  <c r="AN198" i="28"/>
  <c r="BD198" i="28" s="1"/>
  <c r="BK198" i="28" s="1"/>
  <c r="AN199" i="28"/>
  <c r="BD199" i="28" s="1"/>
  <c r="BK199" i="28" s="1"/>
  <c r="AN200" i="28"/>
  <c r="BD200" i="28" s="1"/>
  <c r="BK200" i="28" s="1"/>
  <c r="AN201" i="28"/>
  <c r="BD201" i="28" s="1"/>
  <c r="BK201" i="28" s="1"/>
  <c r="AN202" i="28"/>
  <c r="BD202" i="28" s="1"/>
  <c r="BK202" i="28" s="1"/>
  <c r="AN203" i="28"/>
  <c r="BD203" i="28" s="1"/>
  <c r="BK203" i="28" s="1"/>
  <c r="AN204" i="28"/>
  <c r="BD204" i="28" s="1"/>
  <c r="BK204" i="28" s="1"/>
  <c r="AN205" i="28"/>
  <c r="BD205" i="28" s="1"/>
  <c r="BK205" i="28" s="1"/>
  <c r="AN206" i="28"/>
  <c r="BD206" i="28" s="1"/>
  <c r="BK206" i="28" s="1"/>
  <c r="AN207" i="28"/>
  <c r="BD207" i="28" s="1"/>
  <c r="BK207" i="28" s="1"/>
  <c r="AN208" i="28"/>
  <c r="BD208" i="28" s="1"/>
  <c r="BK208" i="28" s="1"/>
  <c r="AN209" i="28"/>
  <c r="BD209" i="28" s="1"/>
  <c r="BK209" i="28" s="1"/>
  <c r="AN210" i="28"/>
  <c r="BD210" i="28" s="1"/>
  <c r="BK210" i="28" s="1"/>
  <c r="AN211" i="28"/>
  <c r="BD211" i="28" s="1"/>
  <c r="BK211" i="28" s="1"/>
  <c r="AN212" i="28"/>
  <c r="BD212" i="28" s="1"/>
  <c r="BK212" i="28" s="1"/>
  <c r="AN213" i="28"/>
  <c r="BD213" i="28" s="1"/>
  <c r="BK213" i="28" s="1"/>
  <c r="AN214" i="28"/>
  <c r="BD214" i="28" s="1"/>
  <c r="BK214" i="28" s="1"/>
  <c r="AN215" i="28"/>
  <c r="BD215" i="28" s="1"/>
  <c r="BK215" i="28" s="1"/>
  <c r="AN216" i="28"/>
  <c r="BD216" i="28" s="1"/>
  <c r="BK216" i="28" s="1"/>
  <c r="AN217" i="28"/>
  <c r="BD217" i="28" s="1"/>
  <c r="BK217" i="28" s="1"/>
  <c r="AN220" i="28"/>
  <c r="BD220" i="28" s="1"/>
  <c r="BK220" i="28" s="1"/>
  <c r="AN221" i="28"/>
  <c r="BD221" i="28" s="1"/>
  <c r="BK221" i="28" s="1"/>
  <c r="AN222" i="28"/>
  <c r="BD222" i="28" s="1"/>
  <c r="BK222" i="28" s="1"/>
  <c r="AN223" i="28"/>
  <c r="BD223" i="28" s="1"/>
  <c r="BK223" i="28" s="1"/>
  <c r="AN224" i="28"/>
  <c r="BD224" i="28" s="1"/>
  <c r="BK224" i="28" s="1"/>
  <c r="AN225" i="28"/>
  <c r="BD225" i="28" s="1"/>
  <c r="BK225" i="28" s="1"/>
  <c r="AN226" i="28"/>
  <c r="BD226" i="28" s="1"/>
  <c r="BK226" i="28" s="1"/>
  <c r="AM177" i="73"/>
  <c r="BC177" i="73" s="1"/>
  <c r="AM178" i="73"/>
  <c r="BC178" i="73" s="1"/>
  <c r="AM179" i="73"/>
  <c r="BC179" i="73" s="1"/>
  <c r="AM157" i="73"/>
  <c r="AM89" i="73"/>
  <c r="BC89" i="73" s="1"/>
  <c r="AM59" i="73"/>
  <c r="AM60" i="73"/>
  <c r="AM61" i="73"/>
  <c r="AM62" i="73"/>
  <c r="BC62" i="73" s="1"/>
  <c r="AM63" i="73"/>
  <c r="BC63" i="73" s="1"/>
  <c r="AM64" i="73"/>
  <c r="BC64" i="73" s="1"/>
  <c r="AM65" i="73"/>
  <c r="AM66" i="73"/>
  <c r="AM67" i="73"/>
  <c r="AM68" i="73"/>
  <c r="AM69" i="73"/>
  <c r="AM71" i="73"/>
  <c r="BC71" i="73" s="1"/>
  <c r="BD185" i="28" l="1"/>
  <c r="BK185" i="28" s="1"/>
  <c r="BD184" i="28"/>
  <c r="BK184" i="28" s="1"/>
  <c r="BD181" i="28"/>
  <c r="BK181" i="28" s="1"/>
  <c r="BD116" i="28"/>
  <c r="BK116" i="28" s="1"/>
  <c r="BD180" i="28"/>
  <c r="BK180" i="28" s="1"/>
  <c r="BD115" i="28"/>
  <c r="BK115" i="28" s="1"/>
  <c r="BD179" i="28"/>
  <c r="BK179" i="28" s="1"/>
  <c r="BD114" i="28"/>
  <c r="BK114" i="28" s="1"/>
  <c r="BD113" i="28"/>
  <c r="BK113" i="28" s="1"/>
  <c r="BD183" i="28"/>
  <c r="BK183" i="28" s="1"/>
  <c r="BD112" i="28"/>
  <c r="BK112" i="28" s="1"/>
  <c r="BD111" i="28"/>
  <c r="BK111" i="28" s="1"/>
  <c r="BD110" i="28"/>
  <c r="BK110" i="28" s="1"/>
  <c r="BD108" i="28"/>
  <c r="BK108" i="28" s="1"/>
  <c r="BD186" i="28"/>
  <c r="BK186" i="28" s="1"/>
  <c r="BD107" i="28"/>
  <c r="BK107" i="28" s="1"/>
  <c r="AM143" i="50"/>
  <c r="AM145" i="50" l="1"/>
  <c r="AK120" i="90"/>
  <c r="AM146" i="50"/>
  <c r="AK124" i="90" l="1"/>
  <c r="AL15" i="36" l="1"/>
  <c r="AO53" i="59" l="1"/>
  <c r="AL75" i="8"/>
  <c r="AL97" i="50"/>
  <c r="AL95" i="50" s="1"/>
  <c r="AM80" i="83" l="1"/>
  <c r="AM78" i="83" s="1"/>
  <c r="AM97" i="50" l="1"/>
  <c r="AM95" i="50" l="1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20" i="50"/>
  <c r="AI21" i="50"/>
  <c r="AI22" i="50"/>
  <c r="AI23" i="50"/>
  <c r="AI24" i="50"/>
  <c r="AI25" i="50"/>
  <c r="AI26" i="50"/>
  <c r="AI27" i="50"/>
  <c r="AI29" i="50"/>
  <c r="AI31" i="50"/>
  <c r="AE19" i="50"/>
  <c r="AE11" i="61" s="1"/>
  <c r="AE20" i="50"/>
  <c r="AE12" i="61" s="1"/>
  <c r="AE21" i="50"/>
  <c r="AE13" i="61" s="1"/>
  <c r="AE22" i="50"/>
  <c r="AE14" i="61" s="1"/>
  <c r="AE23" i="50"/>
  <c r="AE25" i="50"/>
  <c r="AE26" i="50"/>
  <c r="AE29" i="50"/>
  <c r="AE31" i="50"/>
  <c r="Y12" i="61"/>
  <c r="Y13" i="61"/>
  <c r="Y14" i="61"/>
  <c r="U12" i="61"/>
  <c r="U13" i="61"/>
  <c r="U14" i="61"/>
  <c r="U15" i="61"/>
  <c r="Q20" i="50"/>
  <c r="Q21" i="50"/>
  <c r="Q22" i="50"/>
  <c r="Q23" i="50"/>
  <c r="Q25" i="50"/>
  <c r="Q26" i="50"/>
  <c r="Q27" i="50"/>
  <c r="Q29" i="50"/>
  <c r="Q30" i="50"/>
  <c r="Q31" i="50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9" i="50"/>
  <c r="I30" i="50"/>
  <c r="I31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9" i="50"/>
  <c r="G30" i="50"/>
  <c r="G31" i="50"/>
  <c r="AI15" i="61" l="1"/>
  <c r="AI11" i="61"/>
  <c r="AO11" i="61" s="1"/>
  <c r="BE11" i="61" s="1"/>
  <c r="Q14" i="61"/>
  <c r="Q13" i="61"/>
  <c r="Q12" i="61"/>
  <c r="AO23" i="50"/>
  <c r="BE23" i="50" s="1"/>
  <c r="AO25" i="50"/>
  <c r="BE25" i="50" s="1"/>
  <c r="K27" i="50"/>
  <c r="K26" i="50"/>
  <c r="K31" i="50"/>
  <c r="K30" i="50"/>
  <c r="K23" i="50"/>
  <c r="K29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O26" i="50"/>
  <c r="BE26" i="50" s="1"/>
  <c r="AO31" i="50"/>
  <c r="BE31" i="50" s="1"/>
  <c r="AO19" i="50"/>
  <c r="BE19" i="50" s="1"/>
  <c r="AO20" i="50"/>
  <c r="BE20" i="50" s="1"/>
  <c r="AO29" i="50"/>
  <c r="BE29" i="50" s="1"/>
  <c r="AO22" i="50"/>
  <c r="BE22" i="50" s="1"/>
  <c r="AO21" i="50"/>
  <c r="BE21" i="50" s="1"/>
  <c r="AI14" i="61"/>
  <c r="AI13" i="61"/>
  <c r="O29" i="50"/>
  <c r="S29" i="50" s="1"/>
  <c r="W29" i="50" s="1"/>
  <c r="AI12" i="61"/>
  <c r="O26" i="50"/>
  <c r="S26" i="50" s="1"/>
  <c r="W26" i="50" s="1"/>
  <c r="AA25" i="50"/>
  <c r="O27" i="50"/>
  <c r="S27" i="50" s="1"/>
  <c r="W27" i="50" s="1"/>
  <c r="AA26" i="50"/>
  <c r="O22" i="50"/>
  <c r="S22" i="50" s="1"/>
  <c r="W22" i="50" s="1"/>
  <c r="AA21" i="50"/>
  <c r="O21" i="50"/>
  <c r="S21" i="50" s="1"/>
  <c r="W21" i="50" s="1"/>
  <c r="O31" i="50"/>
  <c r="S31" i="50" s="1"/>
  <c r="W31" i="50" s="1"/>
  <c r="AA30" i="50"/>
  <c r="O24" i="50"/>
  <c r="O23" i="50"/>
  <c r="S23" i="50" s="1"/>
  <c r="W23" i="50" s="1"/>
  <c r="AA22" i="50"/>
  <c r="AA20" i="50"/>
  <c r="O20" i="50"/>
  <c r="S20" i="50" s="1"/>
  <c r="W20" i="50" s="1"/>
  <c r="AA31" i="50"/>
  <c r="O30" i="50"/>
  <c r="S30" i="50" s="1"/>
  <c r="W30" i="50" s="1"/>
  <c r="O25" i="50"/>
  <c r="S25" i="50" s="1"/>
  <c r="W25" i="50" s="1"/>
  <c r="AA23" i="50"/>
  <c r="H135" i="50"/>
  <c r="J135" i="50"/>
  <c r="L135" i="50"/>
  <c r="N135" i="50"/>
  <c r="P135" i="50"/>
  <c r="R135" i="50"/>
  <c r="T135" i="50"/>
  <c r="V135" i="50"/>
  <c r="X135" i="50"/>
  <c r="Z135" i="50"/>
  <c r="AB135" i="50"/>
  <c r="AD135" i="50"/>
  <c r="AF135" i="50"/>
  <c r="AH135" i="50"/>
  <c r="AJ135" i="50"/>
  <c r="H117" i="50"/>
  <c r="J117" i="50"/>
  <c r="L117" i="50"/>
  <c r="N117" i="50"/>
  <c r="P117" i="50"/>
  <c r="R117" i="50"/>
  <c r="T117" i="50"/>
  <c r="V117" i="50"/>
  <c r="X117" i="50"/>
  <c r="Z117" i="50"/>
  <c r="AB117" i="50"/>
  <c r="AD117" i="50"/>
  <c r="AF117" i="50"/>
  <c r="AH117" i="50"/>
  <c r="AJ117" i="50"/>
  <c r="AI144" i="50"/>
  <c r="AI142" i="50"/>
  <c r="AI141" i="50"/>
  <c r="AE144" i="50"/>
  <c r="AE142" i="50"/>
  <c r="AE141" i="50"/>
  <c r="Y144" i="50"/>
  <c r="Y142" i="50"/>
  <c r="Y141" i="50"/>
  <c r="Q144" i="50"/>
  <c r="Q142" i="50"/>
  <c r="Q141" i="50"/>
  <c r="M144" i="50"/>
  <c r="M142" i="50"/>
  <c r="M141" i="50"/>
  <c r="I144" i="50"/>
  <c r="I142" i="50"/>
  <c r="I141" i="50"/>
  <c r="G142" i="50"/>
  <c r="G141" i="50"/>
  <c r="AI115" i="50"/>
  <c r="AI112" i="50"/>
  <c r="AI111" i="50"/>
  <c r="AE115" i="50"/>
  <c r="Q115" i="50"/>
  <c r="Q112" i="50"/>
  <c r="Q111" i="50"/>
  <c r="M115" i="50"/>
  <c r="M112" i="50"/>
  <c r="M111" i="50"/>
  <c r="I115" i="50"/>
  <c r="I112" i="50"/>
  <c r="I111" i="50"/>
  <c r="H38" i="50"/>
  <c r="J38" i="50"/>
  <c r="L38" i="50"/>
  <c r="N38" i="50"/>
  <c r="P38" i="50"/>
  <c r="R38" i="50"/>
  <c r="T38" i="50"/>
  <c r="V38" i="50"/>
  <c r="X38" i="50"/>
  <c r="Z38" i="50"/>
  <c r="AB38" i="50"/>
  <c r="AD38" i="50"/>
  <c r="AF38" i="50"/>
  <c r="AH38" i="50"/>
  <c r="AJ38" i="50"/>
  <c r="H46" i="50"/>
  <c r="J46" i="50"/>
  <c r="L46" i="50"/>
  <c r="N46" i="50"/>
  <c r="P46" i="50"/>
  <c r="R46" i="50"/>
  <c r="T46" i="50"/>
  <c r="V46" i="50"/>
  <c r="X46" i="50"/>
  <c r="Z46" i="50"/>
  <c r="AB46" i="50"/>
  <c r="AD46" i="50"/>
  <c r="AF46" i="50"/>
  <c r="AH46" i="50"/>
  <c r="AJ46" i="50"/>
  <c r="H54" i="50"/>
  <c r="J54" i="50"/>
  <c r="L54" i="50"/>
  <c r="N54" i="50"/>
  <c r="P54" i="50"/>
  <c r="R54" i="50"/>
  <c r="T54" i="50"/>
  <c r="V54" i="50"/>
  <c r="X54" i="50"/>
  <c r="Z54" i="50"/>
  <c r="AB54" i="50"/>
  <c r="AD54" i="50"/>
  <c r="AF54" i="50"/>
  <c r="AH54" i="50"/>
  <c r="AJ54" i="50"/>
  <c r="H79" i="50"/>
  <c r="I79" i="50"/>
  <c r="J79" i="50"/>
  <c r="L79" i="50"/>
  <c r="M79" i="50"/>
  <c r="M128" i="50" s="1"/>
  <c r="N79" i="50"/>
  <c r="P79" i="50"/>
  <c r="Q79" i="50"/>
  <c r="R79" i="50"/>
  <c r="T79" i="50"/>
  <c r="V79" i="50"/>
  <c r="X79" i="50"/>
  <c r="Y79" i="50"/>
  <c r="Z79" i="50"/>
  <c r="AB79" i="50"/>
  <c r="AD79" i="50"/>
  <c r="AE79" i="50"/>
  <c r="AF79" i="50"/>
  <c r="AH79" i="50"/>
  <c r="AI79" i="50"/>
  <c r="AJ79" i="50"/>
  <c r="H93" i="50"/>
  <c r="I93" i="50"/>
  <c r="J93" i="50"/>
  <c r="L93" i="50"/>
  <c r="M93" i="50"/>
  <c r="N93" i="50"/>
  <c r="P93" i="50"/>
  <c r="Q93" i="50"/>
  <c r="R93" i="50"/>
  <c r="T93" i="50"/>
  <c r="V93" i="50"/>
  <c r="X93" i="50"/>
  <c r="Y93" i="50"/>
  <c r="Z93" i="50"/>
  <c r="AB93" i="50"/>
  <c r="AD93" i="50"/>
  <c r="AE93" i="50"/>
  <c r="AF93" i="50"/>
  <c r="AH93" i="50"/>
  <c r="AI93" i="50"/>
  <c r="AJ93" i="50"/>
  <c r="AA55" i="50"/>
  <c r="AA80" i="50"/>
  <c r="AA81" i="50"/>
  <c r="AA82" i="50"/>
  <c r="AA83" i="50"/>
  <c r="AA84" i="50"/>
  <c r="AA87" i="50"/>
  <c r="AA88" i="50"/>
  <c r="AA89" i="50"/>
  <c r="AA90" i="50"/>
  <c r="AA91" i="50"/>
  <c r="AA92" i="50"/>
  <c r="O55" i="50"/>
  <c r="S55" i="50" s="1"/>
  <c r="W55" i="50" s="1"/>
  <c r="S56" i="50"/>
  <c r="W56" i="50" s="1"/>
  <c r="S57" i="50"/>
  <c r="W57" i="50" s="1"/>
  <c r="S58" i="50"/>
  <c r="W58" i="50" s="1"/>
  <c r="S59" i="50"/>
  <c r="W59" i="50" s="1"/>
  <c r="S64" i="50"/>
  <c r="W64" i="50" s="1"/>
  <c r="S65" i="50"/>
  <c r="W65" i="50" s="1"/>
  <c r="S70" i="50"/>
  <c r="W70" i="50" s="1"/>
  <c r="S71" i="50"/>
  <c r="W71" i="50" s="1"/>
  <c r="S72" i="50"/>
  <c r="W72" i="50" s="1"/>
  <c r="S75" i="50"/>
  <c r="W75" i="50" s="1"/>
  <c r="S76" i="50"/>
  <c r="W76" i="50" s="1"/>
  <c r="S77" i="50"/>
  <c r="W77" i="50" s="1"/>
  <c r="S78" i="50"/>
  <c r="W78" i="50" s="1"/>
  <c r="O80" i="50"/>
  <c r="O81" i="50"/>
  <c r="O82" i="50"/>
  <c r="S82" i="50" s="1"/>
  <c r="W82" i="50" s="1"/>
  <c r="O83" i="50"/>
  <c r="S83" i="50" s="1"/>
  <c r="W83" i="50" s="1"/>
  <c r="O84" i="50"/>
  <c r="S84" i="50" s="1"/>
  <c r="W84" i="50" s="1"/>
  <c r="O87" i="50"/>
  <c r="S87" i="50" s="1"/>
  <c r="W87" i="50" s="1"/>
  <c r="O88" i="50"/>
  <c r="S88" i="50" s="1"/>
  <c r="W88" i="50" s="1"/>
  <c r="O89" i="50"/>
  <c r="O90" i="50"/>
  <c r="S90" i="50" s="1"/>
  <c r="W90" i="50" s="1"/>
  <c r="O91" i="50"/>
  <c r="O92" i="50"/>
  <c r="S92" i="50" s="1"/>
  <c r="W92" i="50" s="1"/>
  <c r="K55" i="50"/>
  <c r="K56" i="50"/>
  <c r="K57" i="50"/>
  <c r="K58" i="50"/>
  <c r="K59" i="50"/>
  <c r="K60" i="50"/>
  <c r="K62" i="50"/>
  <c r="K63" i="50"/>
  <c r="K64" i="50"/>
  <c r="K65" i="50"/>
  <c r="K66" i="50"/>
  <c r="K68" i="50"/>
  <c r="K69" i="50"/>
  <c r="K70" i="50"/>
  <c r="K71" i="50"/>
  <c r="K72" i="50"/>
  <c r="K73" i="50"/>
  <c r="K75" i="50"/>
  <c r="K76" i="50"/>
  <c r="K77" i="50"/>
  <c r="K78" i="50"/>
  <c r="K80" i="50"/>
  <c r="K81" i="50"/>
  <c r="K82" i="50"/>
  <c r="K83" i="50"/>
  <c r="K84" i="50"/>
  <c r="K87" i="50"/>
  <c r="K88" i="50"/>
  <c r="K89" i="50"/>
  <c r="K90" i="50"/>
  <c r="K91" i="50"/>
  <c r="K92" i="50"/>
  <c r="AH133" i="50"/>
  <c r="AF133" i="50"/>
  <c r="AH132" i="50"/>
  <c r="AF132" i="50"/>
  <c r="AH131" i="50"/>
  <c r="AF131" i="50"/>
  <c r="X133" i="50"/>
  <c r="V133" i="50"/>
  <c r="T133" i="50"/>
  <c r="R133" i="50"/>
  <c r="X132" i="50"/>
  <c r="V132" i="50"/>
  <c r="T132" i="50"/>
  <c r="R132" i="50"/>
  <c r="X131" i="50"/>
  <c r="V131" i="50"/>
  <c r="T131" i="50"/>
  <c r="R131" i="50"/>
  <c r="H131" i="50"/>
  <c r="J131" i="50"/>
  <c r="L131" i="50"/>
  <c r="H132" i="50"/>
  <c r="J132" i="50"/>
  <c r="L132" i="50"/>
  <c r="H133" i="50"/>
  <c r="J133" i="50"/>
  <c r="L133" i="50"/>
  <c r="AH115" i="50"/>
  <c r="AF115" i="50"/>
  <c r="AH112" i="50"/>
  <c r="AF112" i="50"/>
  <c r="AH111" i="50"/>
  <c r="AF111" i="50"/>
  <c r="X115" i="50"/>
  <c r="V115" i="50"/>
  <c r="T115" i="50"/>
  <c r="R115" i="50"/>
  <c r="X112" i="50"/>
  <c r="V112" i="50"/>
  <c r="T112" i="50"/>
  <c r="R112" i="50"/>
  <c r="X111" i="50"/>
  <c r="V111" i="50"/>
  <c r="T111" i="50"/>
  <c r="R111" i="50"/>
  <c r="J111" i="50"/>
  <c r="L111" i="50"/>
  <c r="J112" i="50"/>
  <c r="L112" i="50"/>
  <c r="J115" i="50"/>
  <c r="L115" i="50"/>
  <c r="H111" i="50"/>
  <c r="G112" i="50"/>
  <c r="G115" i="50"/>
  <c r="G111" i="50"/>
  <c r="O14" i="61" l="1"/>
  <c r="S14" i="61" s="1"/>
  <c r="W14" i="61" s="1"/>
  <c r="AA12" i="61"/>
  <c r="AA13" i="61"/>
  <c r="AA14" i="61"/>
  <c r="O12" i="61"/>
  <c r="S12" i="61" s="1"/>
  <c r="W12" i="61" s="1"/>
  <c r="O15" i="61"/>
  <c r="O13" i="61"/>
  <c r="AC21" i="50"/>
  <c r="AG21" i="50" s="1"/>
  <c r="AO115" i="50"/>
  <c r="BE115" i="50" s="1"/>
  <c r="AO144" i="50"/>
  <c r="BE144" i="50" s="1"/>
  <c r="AO141" i="50"/>
  <c r="BE141" i="50" s="1"/>
  <c r="AO142" i="50"/>
  <c r="BE142" i="50" s="1"/>
  <c r="AO12" i="61"/>
  <c r="BE12" i="61" s="1"/>
  <c r="AO14" i="61"/>
  <c r="AO13" i="61"/>
  <c r="AC89" i="50"/>
  <c r="AG89" i="50" s="1"/>
  <c r="AK89" i="50" s="1"/>
  <c r="AQ89" i="50" s="1"/>
  <c r="AU89" i="50" s="1"/>
  <c r="AY89" i="50" s="1"/>
  <c r="BG89" i="50" s="1"/>
  <c r="BH89" i="50" s="1"/>
  <c r="AC26" i="50"/>
  <c r="AG26" i="50" s="1"/>
  <c r="AC22" i="50"/>
  <c r="AG22" i="50" s="1"/>
  <c r="AC25" i="50"/>
  <c r="AG25" i="50" s="1"/>
  <c r="AK25" i="50" s="1"/>
  <c r="R94" i="50"/>
  <c r="AD94" i="50"/>
  <c r="AC23" i="50"/>
  <c r="AG23" i="50" s="1"/>
  <c r="AK23" i="50" s="1"/>
  <c r="AC30" i="50"/>
  <c r="AC31" i="50"/>
  <c r="AG31" i="50" s="1"/>
  <c r="AK31" i="50" s="1"/>
  <c r="AC20" i="50"/>
  <c r="AG20" i="50" s="1"/>
  <c r="AC60" i="50"/>
  <c r="AG60" i="50" s="1"/>
  <c r="AK60" i="50" s="1"/>
  <c r="AQ60" i="50" s="1"/>
  <c r="AU60" i="50" s="1"/>
  <c r="AY60" i="50" s="1"/>
  <c r="BG60" i="50" s="1"/>
  <c r="BH60" i="50" s="1"/>
  <c r="AF94" i="50"/>
  <c r="AB94" i="50"/>
  <c r="H94" i="50"/>
  <c r="T94" i="50"/>
  <c r="P94" i="50"/>
  <c r="AC69" i="50"/>
  <c r="AG69" i="50" s="1"/>
  <c r="AC68" i="50"/>
  <c r="AG68" i="50" s="1"/>
  <c r="K142" i="50"/>
  <c r="AC81" i="50"/>
  <c r="AG81" i="50" s="1"/>
  <c r="AK81" i="50" s="1"/>
  <c r="AQ81" i="50" s="1"/>
  <c r="AU81" i="50" s="1"/>
  <c r="AY81" i="50" s="1"/>
  <c r="BG81" i="50" s="1"/>
  <c r="BH81" i="50" s="1"/>
  <c r="AC77" i="50"/>
  <c r="AG77" i="50" s="1"/>
  <c r="AK77" i="50" s="1"/>
  <c r="AQ77" i="50" s="1"/>
  <c r="AU77" i="50" s="1"/>
  <c r="AY77" i="50" s="1"/>
  <c r="BG77" i="50" s="1"/>
  <c r="BH77" i="50" s="1"/>
  <c r="AC64" i="50"/>
  <c r="AG64" i="50" s="1"/>
  <c r="AC58" i="50"/>
  <c r="AG58" i="50" s="1"/>
  <c r="AK58" i="50" s="1"/>
  <c r="AQ58" i="50" s="1"/>
  <c r="AU58" i="50" s="1"/>
  <c r="AY58" i="50" s="1"/>
  <c r="BG58" i="50" s="1"/>
  <c r="BH58" i="50" s="1"/>
  <c r="AC87" i="50"/>
  <c r="AG87" i="50" s="1"/>
  <c r="AK87" i="50" s="1"/>
  <c r="AQ87" i="50" s="1"/>
  <c r="AU87" i="50" s="1"/>
  <c r="AY87" i="50" s="1"/>
  <c r="BG87" i="50" s="1"/>
  <c r="BH87" i="50" s="1"/>
  <c r="AC91" i="50"/>
  <c r="AG91" i="50" s="1"/>
  <c r="AK91" i="50" s="1"/>
  <c r="AQ91" i="50" s="1"/>
  <c r="AU91" i="50" s="1"/>
  <c r="AY91" i="50" s="1"/>
  <c r="BG91" i="50" s="1"/>
  <c r="BH91" i="50" s="1"/>
  <c r="AC76" i="50"/>
  <c r="AG76" i="50" s="1"/>
  <c r="AK76" i="50" s="1"/>
  <c r="AQ76" i="50" s="1"/>
  <c r="AU76" i="50" s="1"/>
  <c r="AY76" i="50" s="1"/>
  <c r="BG76" i="50" s="1"/>
  <c r="BH76" i="50" s="1"/>
  <c r="AC63" i="50"/>
  <c r="AG63" i="50" s="1"/>
  <c r="S63" i="50"/>
  <c r="W63" i="50" s="1"/>
  <c r="S81" i="50"/>
  <c r="W81" i="50" s="1"/>
  <c r="AA79" i="50"/>
  <c r="AC90" i="50"/>
  <c r="AG90" i="50" s="1"/>
  <c r="AK90" i="50" s="1"/>
  <c r="AQ90" i="50" s="1"/>
  <c r="AU90" i="50" s="1"/>
  <c r="AY90" i="50" s="1"/>
  <c r="BG90" i="50" s="1"/>
  <c r="BH90" i="50" s="1"/>
  <c r="AC75" i="50"/>
  <c r="AG75" i="50" s="1"/>
  <c r="AC62" i="50"/>
  <c r="AC84" i="50"/>
  <c r="AG84" i="50" s="1"/>
  <c r="AK84" i="50" s="1"/>
  <c r="AQ84" i="50" s="1"/>
  <c r="AC73" i="50"/>
  <c r="AG73" i="50" s="1"/>
  <c r="AC72" i="50"/>
  <c r="AG72" i="50" s="1"/>
  <c r="S68" i="50"/>
  <c r="W68" i="50" s="1"/>
  <c r="AC71" i="50"/>
  <c r="AG71" i="50" s="1"/>
  <c r="K111" i="50"/>
  <c r="S62" i="50"/>
  <c r="W62" i="50" s="1"/>
  <c r="AC56" i="50"/>
  <c r="AG56" i="50" s="1"/>
  <c r="AK56" i="50" s="1"/>
  <c r="AQ56" i="50" s="1"/>
  <c r="AU56" i="50" s="1"/>
  <c r="AY56" i="50" s="1"/>
  <c r="BG56" i="50" s="1"/>
  <c r="BH56" i="50" s="1"/>
  <c r="S91" i="50"/>
  <c r="W91" i="50" s="1"/>
  <c r="S60" i="50"/>
  <c r="W60" i="50" s="1"/>
  <c r="AC78" i="50"/>
  <c r="AG78" i="50" s="1"/>
  <c r="AK78" i="50" s="1"/>
  <c r="AQ78" i="50" s="1"/>
  <c r="AU78" i="50" s="1"/>
  <c r="AY78" i="50" s="1"/>
  <c r="BG78" i="50" s="1"/>
  <c r="BH78" i="50" s="1"/>
  <c r="AC65" i="50"/>
  <c r="AG65" i="50" s="1"/>
  <c r="S89" i="50"/>
  <c r="W89" i="50" s="1"/>
  <c r="AC83" i="50"/>
  <c r="AG83" i="50" s="1"/>
  <c r="AK83" i="50" s="1"/>
  <c r="AQ83" i="50" s="1"/>
  <c r="AU83" i="50" s="1"/>
  <c r="AY83" i="50" s="1"/>
  <c r="BG83" i="50" s="1"/>
  <c r="BH83" i="50" s="1"/>
  <c r="AC70" i="50"/>
  <c r="AG70" i="50" s="1"/>
  <c r="O93" i="50"/>
  <c r="AC66" i="50"/>
  <c r="AG66" i="50" s="1"/>
  <c r="AC59" i="50"/>
  <c r="AG59" i="50" s="1"/>
  <c r="AK59" i="50" s="1"/>
  <c r="AQ59" i="50" s="1"/>
  <c r="AU59" i="50" s="1"/>
  <c r="AY59" i="50" s="1"/>
  <c r="BG59" i="50" s="1"/>
  <c r="BH59" i="50" s="1"/>
  <c r="K79" i="50"/>
  <c r="S73" i="50"/>
  <c r="W73" i="50" s="1"/>
  <c r="AC92" i="50"/>
  <c r="AG92" i="50" s="1"/>
  <c r="AK92" i="50" s="1"/>
  <c r="AQ92" i="50" s="1"/>
  <c r="AU92" i="50" s="1"/>
  <c r="AY92" i="50" s="1"/>
  <c r="BG92" i="50" s="1"/>
  <c r="BH92" i="50" s="1"/>
  <c r="K115" i="50"/>
  <c r="AC88" i="50"/>
  <c r="AG88" i="50" s="1"/>
  <c r="AK88" i="50" s="1"/>
  <c r="AQ88" i="50" s="1"/>
  <c r="AU88" i="50" s="1"/>
  <c r="AY88" i="50" s="1"/>
  <c r="BG88" i="50" s="1"/>
  <c r="BH88" i="50" s="1"/>
  <c r="AC57" i="50"/>
  <c r="AG57" i="50" s="1"/>
  <c r="AK57" i="50" s="1"/>
  <c r="AQ57" i="50" s="1"/>
  <c r="AU57" i="50" s="1"/>
  <c r="AY57" i="50" s="1"/>
  <c r="BG57" i="50" s="1"/>
  <c r="BH57" i="50" s="1"/>
  <c r="K112" i="50"/>
  <c r="O79" i="50"/>
  <c r="K93" i="50"/>
  <c r="AA93" i="50"/>
  <c r="AC82" i="50"/>
  <c r="AG82" i="50" s="1"/>
  <c r="AK82" i="50" s="1"/>
  <c r="AQ82" i="50" s="1"/>
  <c r="AU82" i="50" s="1"/>
  <c r="AY82" i="50" s="1"/>
  <c r="BG82" i="50" s="1"/>
  <c r="BH82" i="50" s="1"/>
  <c r="AC55" i="50"/>
  <c r="S69" i="50"/>
  <c r="W69" i="50" s="1"/>
  <c r="S80" i="50"/>
  <c r="S66" i="50"/>
  <c r="W66" i="50" s="1"/>
  <c r="AC80" i="50"/>
  <c r="AA144" i="50"/>
  <c r="AA141" i="50"/>
  <c r="AA142" i="50"/>
  <c r="O141" i="50"/>
  <c r="O142" i="50"/>
  <c r="K141" i="50"/>
  <c r="O115" i="50"/>
  <c r="S115" i="50" s="1"/>
  <c r="W115" i="50" s="1"/>
  <c r="O111" i="50"/>
  <c r="O112" i="50"/>
  <c r="Z94" i="50"/>
  <c r="N94" i="50"/>
  <c r="AJ94" i="50"/>
  <c r="X94" i="50"/>
  <c r="L94" i="50"/>
  <c r="AH94" i="50"/>
  <c r="V94" i="50"/>
  <c r="J94" i="50"/>
  <c r="AU84" i="50" l="1"/>
  <c r="AK68" i="50"/>
  <c r="AQ68" i="50" s="1"/>
  <c r="AU68" i="50" s="1"/>
  <c r="AY68" i="50" s="1"/>
  <c r="BG68" i="50" s="1"/>
  <c r="BH68" i="50" s="1"/>
  <c r="AK69" i="50"/>
  <c r="AQ69" i="50" s="1"/>
  <c r="AU69" i="50" s="1"/>
  <c r="AY69" i="50" s="1"/>
  <c r="BG69" i="50" s="1"/>
  <c r="BH69" i="50" s="1"/>
  <c r="AK65" i="50"/>
  <c r="AQ65" i="50" s="1"/>
  <c r="AU65" i="50" s="1"/>
  <c r="AY65" i="50" s="1"/>
  <c r="BG65" i="50" s="1"/>
  <c r="BH65" i="50" s="1"/>
  <c r="AK63" i="50"/>
  <c r="AQ63" i="50" s="1"/>
  <c r="AU63" i="50" s="1"/>
  <c r="AY63" i="50" s="1"/>
  <c r="BG63" i="50" s="1"/>
  <c r="BH63" i="50" s="1"/>
  <c r="AK75" i="50"/>
  <c r="AQ75" i="50" s="1"/>
  <c r="AU75" i="50" s="1"/>
  <c r="AY75" i="50" s="1"/>
  <c r="BG75" i="50" s="1"/>
  <c r="BH75" i="50" s="1"/>
  <c r="AK66" i="50"/>
  <c r="AQ66" i="50" s="1"/>
  <c r="AU66" i="50" s="1"/>
  <c r="AY66" i="50" s="1"/>
  <c r="BG66" i="50" s="1"/>
  <c r="BH66" i="50" s="1"/>
  <c r="AK71" i="50"/>
  <c r="AQ71" i="50" s="1"/>
  <c r="AU71" i="50" s="1"/>
  <c r="AY71" i="50" s="1"/>
  <c r="BG71" i="50" s="1"/>
  <c r="BH71" i="50" s="1"/>
  <c r="AK70" i="50"/>
  <c r="AQ70" i="50" s="1"/>
  <c r="AU70" i="50" s="1"/>
  <c r="AY70" i="50" s="1"/>
  <c r="BG70" i="50" s="1"/>
  <c r="BH70" i="50" s="1"/>
  <c r="AK72" i="50"/>
  <c r="AQ72" i="50" s="1"/>
  <c r="AU72" i="50" s="1"/>
  <c r="AY72" i="50" s="1"/>
  <c r="BG72" i="50" s="1"/>
  <c r="BH72" i="50" s="1"/>
  <c r="AK73" i="50"/>
  <c r="AQ73" i="50" s="1"/>
  <c r="AU73" i="50" s="1"/>
  <c r="AY73" i="50" s="1"/>
  <c r="BG73" i="50" s="1"/>
  <c r="BH73" i="50" s="1"/>
  <c r="AK64" i="50"/>
  <c r="AQ64" i="50" s="1"/>
  <c r="AU64" i="50" s="1"/>
  <c r="AY64" i="50" s="1"/>
  <c r="BG64" i="50" s="1"/>
  <c r="BH64" i="50" s="1"/>
  <c r="AK26" i="50"/>
  <c r="AQ26" i="50" s="1"/>
  <c r="AU26" i="50" s="1"/>
  <c r="AY26" i="50" s="1"/>
  <c r="BG26" i="50" s="1"/>
  <c r="BH26" i="50" s="1"/>
  <c r="AK21" i="50"/>
  <c r="AQ21" i="50" s="1"/>
  <c r="AU21" i="50" s="1"/>
  <c r="AY21" i="50" s="1"/>
  <c r="BG21" i="50" s="1"/>
  <c r="BH21" i="50" s="1"/>
  <c r="AK22" i="50"/>
  <c r="AQ22" i="50" s="1"/>
  <c r="AU22" i="50" s="1"/>
  <c r="AY22" i="50" s="1"/>
  <c r="BG22" i="50" s="1"/>
  <c r="BH22" i="50" s="1"/>
  <c r="AK20" i="50"/>
  <c r="AQ20" i="50" s="1"/>
  <c r="AU20" i="50" s="1"/>
  <c r="AY20" i="50" s="1"/>
  <c r="BG20" i="50" s="1"/>
  <c r="BH20" i="50" s="1"/>
  <c r="AG62" i="50"/>
  <c r="AC13" i="61"/>
  <c r="AG13" i="61" s="1"/>
  <c r="S13" i="61"/>
  <c r="W13" i="61" s="1"/>
  <c r="AC14" i="61"/>
  <c r="AC12" i="61"/>
  <c r="AG12" i="61" s="1"/>
  <c r="W79" i="50"/>
  <c r="S79" i="50"/>
  <c r="W80" i="50"/>
  <c r="W93" i="50" s="1"/>
  <c r="S93" i="50"/>
  <c r="AC93" i="50"/>
  <c r="AG80" i="50"/>
  <c r="AC79" i="50"/>
  <c r="AG55" i="50"/>
  <c r="AC141" i="50"/>
  <c r="AG141" i="50" s="1"/>
  <c r="AK141" i="50" s="1"/>
  <c r="AQ141" i="50" s="1"/>
  <c r="AU141" i="50" s="1"/>
  <c r="AY141" i="50" s="1"/>
  <c r="BG141" i="50" s="1"/>
  <c r="BH141" i="50" s="1"/>
  <c r="AC142" i="50"/>
  <c r="AG142" i="50" s="1"/>
  <c r="AK142" i="50" s="1"/>
  <c r="AQ142" i="50" s="1"/>
  <c r="AU142" i="50" s="1"/>
  <c r="AY142" i="50" s="1"/>
  <c r="BG142" i="50" s="1"/>
  <c r="BH142" i="50" s="1"/>
  <c r="S141" i="50"/>
  <c r="W141" i="50" s="1"/>
  <c r="S142" i="50"/>
  <c r="W142" i="50" s="1"/>
  <c r="S111" i="50"/>
  <c r="W111" i="50" s="1"/>
  <c r="S112" i="50"/>
  <c r="W112" i="50" s="1"/>
  <c r="AM53" i="38"/>
  <c r="AD21" i="35"/>
  <c r="AD26" i="9" s="1"/>
  <c r="P1" i="35"/>
  <c r="P21" i="35" s="1"/>
  <c r="P26" i="9" s="1"/>
  <c r="L1" i="35"/>
  <c r="L21" i="35" s="1"/>
  <c r="L26" i="9" s="1"/>
  <c r="F1" i="35"/>
  <c r="AY84" i="50" l="1"/>
  <c r="BG84" i="50" s="1"/>
  <c r="BH84" i="50" s="1"/>
  <c r="AK62" i="50"/>
  <c r="AG79" i="50"/>
  <c r="AK55" i="50"/>
  <c r="AK80" i="50"/>
  <c r="AG93" i="50"/>
  <c r="AK54" i="83"/>
  <c r="AQ54" i="83" s="1"/>
  <c r="AU54" i="83" s="1"/>
  <c r="AY54" i="83" s="1"/>
  <c r="BG54" i="83" s="1"/>
  <c r="AQ62" i="50" l="1"/>
  <c r="AU62" i="50" s="1"/>
  <c r="AY62" i="50" s="1"/>
  <c r="BG62" i="50" s="1"/>
  <c r="BH62" i="50" s="1"/>
  <c r="AK79" i="50"/>
  <c r="AQ55" i="50"/>
  <c r="AU55" i="50" s="1"/>
  <c r="AK93" i="50"/>
  <c r="AQ80" i="50"/>
  <c r="AJ158" i="9"/>
  <c r="AJ159" i="9"/>
  <c r="AJ157" i="9"/>
  <c r="AQ93" i="50" l="1"/>
  <c r="AU80" i="50"/>
  <c r="AQ79" i="50"/>
  <c r="AU79" i="50" l="1"/>
  <c r="AY55" i="50"/>
  <c r="AU93" i="50"/>
  <c r="AY80" i="50"/>
  <c r="AJ205" i="28"/>
  <c r="AP205" i="28" s="1"/>
  <c r="AJ251" i="28"/>
  <c r="AP251" i="28" s="1"/>
  <c r="AT251" i="28" s="1"/>
  <c r="AX251" i="28" s="1"/>
  <c r="BF251" i="28" s="1"/>
  <c r="BH251" i="28" s="1"/>
  <c r="AJ140" i="28"/>
  <c r="AP140" i="28" s="1"/>
  <c r="AJ141" i="28"/>
  <c r="AP141" i="28" s="1"/>
  <c r="AT205" i="28" l="1"/>
  <c r="AX205" i="28" s="1"/>
  <c r="BF205" i="28" s="1"/>
  <c r="BH205" i="28" s="1"/>
  <c r="AT141" i="28"/>
  <c r="AX141" i="28" s="1"/>
  <c r="BF141" i="28" s="1"/>
  <c r="BH141" i="28" s="1"/>
  <c r="AT140" i="28"/>
  <c r="AX140" i="28" s="1"/>
  <c r="BF140" i="28" s="1"/>
  <c r="BH140" i="28" s="1"/>
  <c r="AY79" i="50"/>
  <c r="BG55" i="50"/>
  <c r="AY93" i="50"/>
  <c r="BG80" i="50"/>
  <c r="BG93" i="50" l="1"/>
  <c r="BH80" i="50"/>
  <c r="BG79" i="50"/>
  <c r="BH55" i="50"/>
  <c r="AN146" i="10"/>
  <c r="AI30" i="50"/>
  <c r="BD60" i="10" l="1"/>
  <c r="BK60" i="10" s="1"/>
  <c r="BD67" i="10"/>
  <c r="BK67" i="10" s="1"/>
  <c r="AE24" i="50"/>
  <c r="AE15" i="61" l="1"/>
  <c r="AO15" i="61" s="1"/>
  <c r="AO24" i="50"/>
  <c r="BE24" i="50" s="1"/>
  <c r="AI40" i="50" l="1"/>
  <c r="AI41" i="50"/>
  <c r="AI42" i="50"/>
  <c r="AI43" i="50"/>
  <c r="AI44" i="50"/>
  <c r="AI45" i="50"/>
  <c r="AI39" i="50"/>
  <c r="AI5" i="50"/>
  <c r="AI6" i="50"/>
  <c r="AI7" i="50"/>
  <c r="AI8" i="50"/>
  <c r="AI9" i="50"/>
  <c r="AI10" i="50"/>
  <c r="AI11" i="50"/>
  <c r="AI12" i="50"/>
  <c r="AI13" i="50"/>
  <c r="AI14" i="50"/>
  <c r="AI15" i="50"/>
  <c r="AI16" i="50"/>
  <c r="AI17" i="50"/>
  <c r="AI18" i="50"/>
  <c r="AI4" i="50"/>
  <c r="AI137" i="50"/>
  <c r="AI127" i="50"/>
  <c r="AI102" i="50"/>
  <c r="AI101" i="50"/>
  <c r="AI138" i="50"/>
  <c r="AI128" i="50"/>
  <c r="AI53" i="50"/>
  <c r="AI51" i="50"/>
  <c r="AI50" i="50"/>
  <c r="AI49" i="50"/>
  <c r="AI48" i="50"/>
  <c r="AI47" i="50"/>
  <c r="AI119" i="50"/>
  <c r="AI81" i="8"/>
  <c r="AI73" i="8"/>
  <c r="AI52" i="8"/>
  <c r="AH10" i="49"/>
  <c r="AH12" i="49" s="1"/>
  <c r="AH14" i="49" s="1"/>
  <c r="AH15" i="49" s="1"/>
  <c r="AH16" i="49" s="1"/>
  <c r="AH19" i="49" s="1"/>
  <c r="AH20" i="49" s="1"/>
  <c r="AQ102" i="50" l="1"/>
  <c r="AI9" i="61"/>
  <c r="AI5" i="61"/>
  <c r="AI8" i="61"/>
  <c r="AQ101" i="50"/>
  <c r="AI7" i="61"/>
  <c r="AI10" i="61"/>
  <c r="AI6" i="61"/>
  <c r="AI132" i="50"/>
  <c r="AI131" i="50"/>
  <c r="AI123" i="50"/>
  <c r="AI107" i="50"/>
  <c r="AI133" i="50"/>
  <c r="AI46" i="50"/>
  <c r="AI54" i="50"/>
  <c r="AI38" i="50"/>
  <c r="AI129" i="50"/>
  <c r="AI116" i="50"/>
  <c r="AI139" i="50"/>
  <c r="AJ74" i="59"/>
  <c r="AI140" i="50"/>
  <c r="AI130" i="50"/>
  <c r="AJ70" i="59"/>
  <c r="AJ66" i="59"/>
  <c r="AI120" i="50" l="1"/>
  <c r="AI124" i="50"/>
  <c r="AI125" i="50" s="1"/>
  <c r="AI108" i="50"/>
  <c r="AH162" i="10"/>
  <c r="AI134" i="50"/>
  <c r="AI135" i="50" s="1"/>
  <c r="AF2" i="17"/>
  <c r="AF2" i="26"/>
  <c r="AG2" i="26"/>
  <c r="AG2" i="17"/>
  <c r="AI94" i="50"/>
  <c r="AI113" i="7"/>
  <c r="AI112" i="7"/>
  <c r="AI111" i="7"/>
  <c r="AI110" i="7"/>
  <c r="AI109" i="7"/>
  <c r="AI108" i="7"/>
  <c r="AI107" i="7"/>
  <c r="AI106" i="7"/>
  <c r="AI85" i="7"/>
  <c r="AF50" i="39"/>
  <c r="AF45" i="39"/>
  <c r="AF8" i="39"/>
  <c r="AI109" i="50" l="1"/>
  <c r="AI121" i="50"/>
  <c r="AI110" i="50"/>
  <c r="AH163" i="10"/>
  <c r="AF22" i="39"/>
  <c r="AF51" i="39"/>
  <c r="AI117" i="50" l="1"/>
  <c r="AF24" i="39"/>
  <c r="AJ442" i="28" l="1"/>
  <c r="AP442" i="28" s="1"/>
  <c r="AT442" i="28" s="1"/>
  <c r="AX442" i="28" s="1"/>
  <c r="BF442" i="28" s="1"/>
  <c r="BH442" i="28" s="1"/>
  <c r="AI143" i="50" l="1"/>
  <c r="AI145" i="50" l="1"/>
  <c r="AI97" i="50"/>
  <c r="AA73" i="8"/>
  <c r="AI95" i="50" l="1"/>
  <c r="AI146" i="50"/>
  <c r="AE53" i="83"/>
  <c r="AE54" i="83"/>
  <c r="AO54" i="83" s="1"/>
  <c r="BE54" i="83" s="1"/>
  <c r="AE55" i="83"/>
  <c r="AE56" i="83"/>
  <c r="AE57" i="83"/>
  <c r="AE58" i="83"/>
  <c r="AE59" i="83"/>
  <c r="AE60" i="83"/>
  <c r="AE61" i="83"/>
  <c r="AE62" i="83"/>
  <c r="AE63" i="83"/>
  <c r="AE65" i="83"/>
  <c r="AE66" i="83"/>
  <c r="AE67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9" i="83"/>
  <c r="AE31" i="83"/>
  <c r="AE32" i="83"/>
  <c r="AE33" i="83"/>
  <c r="AE34" i="83"/>
  <c r="AE35" i="83"/>
  <c r="AE36" i="83"/>
  <c r="AE37" i="83"/>
  <c r="BF87" i="10"/>
  <c r="BI87" i="10" s="1"/>
  <c r="BF88" i="10"/>
  <c r="BI88" i="10" s="1"/>
  <c r="AF151" i="10"/>
  <c r="BF31" i="10"/>
  <c r="BI31" i="10" s="1"/>
  <c r="AF135" i="10"/>
  <c r="AJ135" i="10" l="1"/>
  <c r="AJ151" i="10"/>
  <c r="AP151" i="10" l="1"/>
  <c r="AP135" i="10"/>
  <c r="AB168" i="26"/>
  <c r="AE89" i="73"/>
  <c r="AT151" i="10" l="1"/>
  <c r="AX151" i="10" s="1"/>
  <c r="AT135" i="10"/>
  <c r="AX135" i="10" s="1"/>
  <c r="AI89" i="73"/>
  <c r="AO89" i="73" s="1"/>
  <c r="AS89" i="73" s="1"/>
  <c r="AW89" i="73" s="1"/>
  <c r="AB173" i="26"/>
  <c r="BF135" i="10" l="1"/>
  <c r="BI135" i="10" s="1"/>
  <c r="BF151" i="10"/>
  <c r="BI151" i="10" s="1"/>
  <c r="BE89" i="73"/>
  <c r="AB165" i="26"/>
  <c r="AB172" i="26"/>
  <c r="AE14" i="50" l="1"/>
  <c r="AE6" i="61" l="1"/>
  <c r="AO6" i="61"/>
  <c r="BE6" i="61" s="1"/>
  <c r="AO14" i="50"/>
  <c r="BE14" i="50" s="1"/>
  <c r="AQ12" i="38" l="1"/>
  <c r="BG12" i="38" s="1"/>
  <c r="BD23" i="10" l="1"/>
  <c r="BK23" i="10" s="1"/>
  <c r="BD12" i="10" l="1"/>
  <c r="BK12" i="10" s="1"/>
  <c r="AE9" i="83"/>
  <c r="AO9" i="83" s="1"/>
  <c r="BE9" i="83" s="1"/>
  <c r="BD24" i="10"/>
  <c r="BK24" i="10" s="1"/>
  <c r="AE27" i="50"/>
  <c r="AE27" i="83"/>
  <c r="BD56" i="10"/>
  <c r="BK56" i="10" s="1"/>
  <c r="AE30" i="50"/>
  <c r="AE30" i="83"/>
  <c r="BD84" i="10"/>
  <c r="BK84" i="10" s="1"/>
  <c r="AE112" i="50"/>
  <c r="AJ84" i="10"/>
  <c r="BD90" i="10"/>
  <c r="BK90" i="10" s="1"/>
  <c r="AE111" i="50"/>
  <c r="AO27" i="50" l="1"/>
  <c r="BE27" i="50" s="1"/>
  <c r="AO112" i="50"/>
  <c r="BE112" i="50" s="1"/>
  <c r="AO111" i="50"/>
  <c r="BE111" i="50" s="1"/>
  <c r="AP84" i="10"/>
  <c r="AT84" i="10" s="1"/>
  <c r="AO30" i="50"/>
  <c r="BE30" i="50" s="1"/>
  <c r="AG30" i="50"/>
  <c r="AK30" i="50" s="1"/>
  <c r="AF74" i="59"/>
  <c r="AX84" i="10" l="1"/>
  <c r="AJ445" i="28"/>
  <c r="AP445" i="28" s="1"/>
  <c r="BF84" i="10" l="1"/>
  <c r="BI84" i="10" s="1"/>
  <c r="AT445" i="28"/>
  <c r="AX445" i="28" s="1"/>
  <c r="BF445" i="28" s="1"/>
  <c r="BH445" i="28" s="1"/>
  <c r="AJ330" i="28"/>
  <c r="AP330" i="28" l="1"/>
  <c r="AM89" i="90"/>
  <c r="BC89" i="90" s="1"/>
  <c r="AD10" i="49"/>
  <c r="AD12" i="49" s="1"/>
  <c r="AD14" i="49" s="1"/>
  <c r="AD15" i="49" s="1"/>
  <c r="AD16" i="49" s="1"/>
  <c r="AD19" i="49" s="1"/>
  <c r="AD20" i="49" s="1"/>
  <c r="AC6" i="49"/>
  <c r="AB50" i="39"/>
  <c r="AB45" i="39"/>
  <c r="AB8" i="39"/>
  <c r="AT330" i="28" l="1"/>
  <c r="AX330" i="28" s="1"/>
  <c r="BF330" i="28" s="1"/>
  <c r="BH330" i="28" s="1"/>
  <c r="AM42" i="39"/>
  <c r="AB22" i="39"/>
  <c r="AM43" i="39"/>
  <c r="AM46" i="39"/>
  <c r="AM47" i="39"/>
  <c r="AM48" i="39"/>
  <c r="AM49" i="39"/>
  <c r="AB51" i="39"/>
  <c r="AM60" i="39"/>
  <c r="AM61" i="39"/>
  <c r="AE133" i="50"/>
  <c r="AM8" i="39"/>
  <c r="AF66" i="59"/>
  <c r="AC17" i="49"/>
  <c r="AC18" i="49" s="1"/>
  <c r="AF70" i="59"/>
  <c r="AC8" i="49"/>
  <c r="AC9" i="49"/>
  <c r="AO133" i="50" l="1"/>
  <c r="BE133" i="50" s="1"/>
  <c r="AM22" i="39"/>
  <c r="BC48" i="39"/>
  <c r="AM23" i="39"/>
  <c r="BC47" i="39"/>
  <c r="AM45" i="39"/>
  <c r="BC61" i="39"/>
  <c r="BC46" i="39"/>
  <c r="BC60" i="39"/>
  <c r="BC43" i="39"/>
  <c r="AB24" i="39"/>
  <c r="BC42" i="39"/>
  <c r="AB2" i="17"/>
  <c r="AB2" i="26"/>
  <c r="AC2" i="17"/>
  <c r="AC2" i="26"/>
  <c r="AM50" i="39"/>
  <c r="AC10" i="49" l="1"/>
  <c r="AC12" i="49" s="1"/>
  <c r="AC14" i="49" s="1"/>
  <c r="AC15" i="49" s="1"/>
  <c r="AC16" i="49" s="1"/>
  <c r="AC19" i="49" s="1"/>
  <c r="AC20" i="49" s="1"/>
  <c r="BC23" i="39"/>
  <c r="BC50" i="39"/>
  <c r="BC45" i="39"/>
  <c r="AM24" i="39"/>
  <c r="AM51" i="39"/>
  <c r="BC22" i="39"/>
  <c r="BC24" i="39" l="1"/>
  <c r="AN441" i="28"/>
  <c r="BD441" i="28" s="1"/>
  <c r="BK441" i="28" s="1"/>
  <c r="AN11" i="49"/>
  <c r="BD11" i="49" s="1"/>
  <c r="AM11" i="49"/>
  <c r="BC11" i="49" s="1"/>
  <c r="AN10" i="49"/>
  <c r="AM10" i="49"/>
  <c r="AN9" i="49"/>
  <c r="BD9" i="49" s="1"/>
  <c r="AM9" i="49"/>
  <c r="AN8" i="49"/>
  <c r="BD8" i="49" s="1"/>
  <c r="AM8" i="49"/>
  <c r="AN6" i="49"/>
  <c r="BD6" i="49" s="1"/>
  <c r="AM6" i="49"/>
  <c r="AE143" i="50" l="1"/>
  <c r="AM34" i="39"/>
  <c r="AM18" i="49"/>
  <c r="AM17" i="49"/>
  <c r="AN18" i="49"/>
  <c r="BD18" i="49" s="1"/>
  <c r="AN17" i="49"/>
  <c r="BD17" i="49" s="1"/>
  <c r="AM12" i="49"/>
  <c r="AN12" i="49"/>
  <c r="AO143" i="50" l="1"/>
  <c r="BE143" i="50" s="1"/>
  <c r="BC34" i="39"/>
  <c r="AM120" i="90" l="1"/>
  <c r="BC120" i="90" s="1"/>
  <c r="AD15" i="36" l="1"/>
  <c r="AD75" i="8" s="1"/>
  <c r="AG53" i="59" l="1"/>
  <c r="Y70" i="83"/>
  <c r="Y72" i="83"/>
  <c r="Y73" i="83"/>
  <c r="Y74" i="83"/>
  <c r="Y75" i="83"/>
  <c r="Y53" i="83"/>
  <c r="Y54" i="83"/>
  <c r="Y55" i="83"/>
  <c r="Y56" i="83"/>
  <c r="Y57" i="83"/>
  <c r="Y58" i="83"/>
  <c r="Y59" i="83"/>
  <c r="Y60" i="83"/>
  <c r="Y61" i="83"/>
  <c r="Y62" i="83"/>
  <c r="Y63" i="83"/>
  <c r="Y65" i="83"/>
  <c r="Y66" i="83"/>
  <c r="Y67" i="83"/>
  <c r="Y68" i="83"/>
  <c r="Y52" i="83"/>
  <c r="Y48" i="83"/>
  <c r="Y50" i="83"/>
  <c r="Y46" i="83"/>
  <c r="Y40" i="83"/>
  <c r="Y41" i="83"/>
  <c r="Y42" i="83"/>
  <c r="Y43" i="83"/>
  <c r="Y44" i="83"/>
  <c r="Y39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30" i="83"/>
  <c r="Y31" i="83"/>
  <c r="Y33" i="83"/>
  <c r="Y34" i="83"/>
  <c r="Y35" i="83"/>
  <c r="Y36" i="83"/>
  <c r="Y76" i="83" l="1"/>
  <c r="Y69" i="83"/>
  <c r="Y51" i="83"/>
  <c r="Y45" i="83"/>
  <c r="Y18" i="83" l="1"/>
  <c r="Y112" i="50"/>
  <c r="Y4" i="83"/>
  <c r="Y111" i="50"/>
  <c r="AA111" i="50" l="1"/>
  <c r="AC111" i="50" s="1"/>
  <c r="AG111" i="50" s="1"/>
  <c r="AK111" i="50" s="1"/>
  <c r="AQ111" i="50" s="1"/>
  <c r="AU111" i="50" s="1"/>
  <c r="AY111" i="50" s="1"/>
  <c r="BG111" i="50" s="1"/>
  <c r="BH111" i="50" s="1"/>
  <c r="AA112" i="50"/>
  <c r="AC112" i="50" s="1"/>
  <c r="AG112" i="50" s="1"/>
  <c r="AK112" i="50" s="1"/>
  <c r="AQ112" i="50" s="1"/>
  <c r="AU112" i="50" s="1"/>
  <c r="AY112" i="50" s="1"/>
  <c r="BG112" i="50" s="1"/>
  <c r="BH112" i="50" s="1"/>
  <c r="Y32" i="83"/>
  <c r="AA33" i="50"/>
  <c r="AC33" i="50" s="1"/>
  <c r="AG33" i="50" s="1"/>
  <c r="Y24" i="83"/>
  <c r="Y15" i="61"/>
  <c r="Y29" i="83"/>
  <c r="AA29" i="50"/>
  <c r="AC29" i="50" s="1"/>
  <c r="AG29" i="50" s="1"/>
  <c r="AK29" i="50" s="1"/>
  <c r="Y37" i="83"/>
  <c r="AA37" i="50"/>
  <c r="AC37" i="50" s="1"/>
  <c r="AG37" i="50" s="1"/>
  <c r="Y27" i="83"/>
  <c r="Y115" i="50"/>
  <c r="AA115" i="50" l="1"/>
  <c r="AC115" i="50" s="1"/>
  <c r="AG115" i="50" s="1"/>
  <c r="AK115" i="50" s="1"/>
  <c r="AQ115" i="50" s="1"/>
  <c r="AU115" i="50" s="1"/>
  <c r="AY115" i="50" s="1"/>
  <c r="BG115" i="50" s="1"/>
  <c r="BH115" i="50" s="1"/>
  <c r="AK33" i="50"/>
  <c r="AQ33" i="50" s="1"/>
  <c r="AU33" i="50" s="1"/>
  <c r="AY33" i="50" s="1"/>
  <c r="BG33" i="50" s="1"/>
  <c r="BH33" i="50" s="1"/>
  <c r="AK37" i="50"/>
  <c r="AQ37" i="50" s="1"/>
  <c r="AU37" i="50" s="1"/>
  <c r="AY37" i="50" s="1"/>
  <c r="BG37" i="50" s="1"/>
  <c r="BH37" i="50" s="1"/>
  <c r="Y38" i="83"/>
  <c r="Y77" i="83" s="1"/>
  <c r="AB159" i="9"/>
  <c r="Z159" i="9"/>
  <c r="AB158" i="9"/>
  <c r="Z158" i="9"/>
  <c r="AB157" i="9"/>
  <c r="Z157" i="9"/>
  <c r="Y48" i="50" l="1"/>
  <c r="Y49" i="50"/>
  <c r="Y50" i="50"/>
  <c r="Y51" i="50"/>
  <c r="Y53" i="50"/>
  <c r="Y40" i="50"/>
  <c r="Y41" i="50"/>
  <c r="Y42" i="50"/>
  <c r="Y43" i="50"/>
  <c r="Y44" i="50"/>
  <c r="Y45" i="50"/>
  <c r="Y39" i="50"/>
  <c r="Y4" i="61"/>
  <c r="Y5" i="61"/>
  <c r="Y6" i="61"/>
  <c r="Y7" i="61"/>
  <c r="Y8" i="61"/>
  <c r="Y9" i="61"/>
  <c r="Y10" i="61"/>
  <c r="Y11" i="61"/>
  <c r="Y4" i="50"/>
  <c r="Y137" i="50"/>
  <c r="Y127" i="50"/>
  <c r="Y102" i="50"/>
  <c r="Y101" i="50"/>
  <c r="Y100" i="50"/>
  <c r="Y138" i="50"/>
  <c r="Y47" i="50"/>
  <c r="Y16" i="61" l="1"/>
  <c r="Y54" i="50"/>
  <c r="Y124" i="50" s="1"/>
  <c r="Y38" i="50"/>
  <c r="Y46" i="50"/>
  <c r="Y120" i="50" s="1"/>
  <c r="Y139" i="50"/>
  <c r="Y103" i="50"/>
  <c r="Y104" i="50" s="1"/>
  <c r="Y140" i="50"/>
  <c r="Y116" i="50"/>
  <c r="Y128" i="50"/>
  <c r="Y129" i="50" s="1"/>
  <c r="AJ420" i="28"/>
  <c r="X1" i="35"/>
  <c r="X21" i="35" s="1"/>
  <c r="X26" i="9" s="1"/>
  <c r="AP420" i="28" l="1"/>
  <c r="AT420" i="28" s="1"/>
  <c r="AX420" i="28" s="1"/>
  <c r="BF420" i="28" s="1"/>
  <c r="BH420" i="28" s="1"/>
  <c r="Y108" i="50"/>
  <c r="X162" i="10"/>
  <c r="X163" i="10" s="1"/>
  <c r="Y94" i="50"/>
  <c r="Y130" i="50"/>
  <c r="AJ128" i="28" l="1"/>
  <c r="AP128" i="28" s="1"/>
  <c r="AJ144" i="28"/>
  <c r="AP144" i="28" s="1"/>
  <c r="AJ103" i="28"/>
  <c r="AP103" i="28" s="1"/>
  <c r="AJ107" i="28"/>
  <c r="AP107" i="28" s="1"/>
  <c r="AT107" i="28" l="1"/>
  <c r="AX107" i="28" s="1"/>
  <c r="BF107" i="28" s="1"/>
  <c r="BH107" i="28" s="1"/>
  <c r="AT144" i="28"/>
  <c r="AX144" i="28" s="1"/>
  <c r="BF144" i="28" s="1"/>
  <c r="BH144" i="28" s="1"/>
  <c r="AT103" i="28"/>
  <c r="AX103" i="28" s="1"/>
  <c r="BF103" i="28" s="1"/>
  <c r="BH103" i="28" s="1"/>
  <c r="AT128" i="28"/>
  <c r="AX128" i="28" s="1"/>
  <c r="BF128" i="28" s="1"/>
  <c r="BH128" i="28" s="1"/>
  <c r="Y78" i="90"/>
  <c r="Y82" i="90" l="1"/>
  <c r="Y74" i="90"/>
  <c r="Y84" i="90"/>
  <c r="Y72" i="90"/>
  <c r="Y76" i="90"/>
  <c r="Y83" i="90"/>
  <c r="Y79" i="90"/>
  <c r="Y69" i="90"/>
  <c r="Y70" i="90"/>
  <c r="Y80" i="90"/>
  <c r="Y87" i="90"/>
  <c r="Y86" i="90"/>
  <c r="Y81" i="90"/>
  <c r="Y77" i="90"/>
  <c r="Y73" i="90"/>
  <c r="Y71" i="90"/>
  <c r="Y68" i="90" l="1"/>
  <c r="Y62" i="39"/>
  <c r="Z62" i="39"/>
  <c r="U62" i="39"/>
  <c r="AA62" i="39" l="1"/>
  <c r="BF121" i="10"/>
  <c r="BI121" i="10" s="1"/>
  <c r="BF116" i="10"/>
  <c r="BI116" i="10" s="1"/>
  <c r="BF81" i="10"/>
  <c r="BI81" i="10" s="1"/>
  <c r="BF80" i="10"/>
  <c r="BI80" i="10" s="1"/>
  <c r="BF66" i="10"/>
  <c r="BI66" i="10" s="1"/>
  <c r="AE62" i="39" l="1"/>
  <c r="Y123" i="50"/>
  <c r="Y125" i="50" s="1"/>
  <c r="Y119" i="50"/>
  <c r="Y121" i="50" s="1"/>
  <c r="Z74" i="59"/>
  <c r="Z70" i="59"/>
  <c r="BF33" i="10"/>
  <c r="BI33" i="10" s="1"/>
  <c r="AI62" i="39" l="1"/>
  <c r="AO62" i="39" l="1"/>
  <c r="BF36" i="10"/>
  <c r="BI36" i="10" s="1"/>
  <c r="Z152" i="10"/>
  <c r="AB152" i="10" s="1"/>
  <c r="Z153" i="10"/>
  <c r="AB153" i="10" s="1"/>
  <c r="Z154" i="10"/>
  <c r="AB154" i="10" s="1"/>
  <c r="Z155" i="10"/>
  <c r="AB155" i="10" s="1"/>
  <c r="Z156" i="10"/>
  <c r="Z157" i="10"/>
  <c r="AS62" i="39" l="1"/>
  <c r="Z66" i="59"/>
  <c r="Y107" i="50"/>
  <c r="AW62" i="39" l="1"/>
  <c r="Y109" i="50"/>
  <c r="Y110" i="50"/>
  <c r="Y117" i="50" s="1"/>
  <c r="BE62" i="39" l="1"/>
  <c r="Y49" i="7"/>
  <c r="Z49" i="7"/>
  <c r="BF62" i="39" l="1"/>
  <c r="BI62" i="39"/>
  <c r="Y133" i="50"/>
  <c r="Z11" i="8"/>
  <c r="Y11" i="8"/>
  <c r="X10" i="49"/>
  <c r="X12" i="49" s="1"/>
  <c r="X14" i="49" s="1"/>
  <c r="X15" i="49" s="1"/>
  <c r="X16" i="49" s="1"/>
  <c r="X19" i="49" s="1"/>
  <c r="X20" i="49" s="1"/>
  <c r="T1" i="35"/>
  <c r="T21" i="35" s="1"/>
  <c r="T26" i="9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V50" i="39"/>
  <c r="V45" i="39"/>
  <c r="V8" i="39"/>
  <c r="V51" i="39" l="1"/>
  <c r="V22" i="39"/>
  <c r="BF458" i="28"/>
  <c r="BH458" i="28" s="1"/>
  <c r="AJ328" i="28"/>
  <c r="AJ329" i="28"/>
  <c r="AJ331" i="28"/>
  <c r="AJ245" i="28"/>
  <c r="AP245" i="28" s="1"/>
  <c r="AT245" i="28" s="1"/>
  <c r="AX245" i="28" s="1"/>
  <c r="BF245" i="28" s="1"/>
  <c r="BH245" i="28" s="1"/>
  <c r="AJ249" i="28"/>
  <c r="AP249" i="28" s="1"/>
  <c r="AT249" i="28" s="1"/>
  <c r="AX249" i="28" s="1"/>
  <c r="BF249" i="28" s="1"/>
  <c r="BH249" i="28" s="1"/>
  <c r="AJ254" i="28"/>
  <c r="AP254" i="28" s="1"/>
  <c r="AT254" i="28" s="1"/>
  <c r="AX254" i="28" s="1"/>
  <c r="BF254" i="28" s="1"/>
  <c r="BH254" i="28" s="1"/>
  <c r="AJ214" i="28"/>
  <c r="AP214" i="28" s="1"/>
  <c r="AJ132" i="28"/>
  <c r="AP132" i="28" s="1"/>
  <c r="AJ135" i="28"/>
  <c r="AP135" i="28" s="1"/>
  <c r="AJ138" i="28"/>
  <c r="AP138" i="28" s="1"/>
  <c r="AJ145" i="28"/>
  <c r="AP145" i="28" s="1"/>
  <c r="AJ146" i="28"/>
  <c r="AP146" i="28" s="1"/>
  <c r="AJ190" i="28"/>
  <c r="AP190" i="28" s="1"/>
  <c r="AJ192" i="28"/>
  <c r="AP192" i="28" s="1"/>
  <c r="Z479" i="28"/>
  <c r="Z473" i="28"/>
  <c r="Z441" i="28"/>
  <c r="Z440" i="28"/>
  <c r="Z298" i="28"/>
  <c r="Z297" i="28"/>
  <c r="Z235" i="28"/>
  <c r="Z233" i="28"/>
  <c r="Z96" i="28"/>
  <c r="Z95" i="28"/>
  <c r="Z93" i="28"/>
  <c r="Z89" i="28"/>
  <c r="Z85" i="28"/>
  <c r="Z81" i="28"/>
  <c r="Y61" i="73"/>
  <c r="Y62" i="73"/>
  <c r="AA62" i="73" s="1"/>
  <c r="AE62" i="73" s="1"/>
  <c r="Y63" i="73"/>
  <c r="AA63" i="73" s="1"/>
  <c r="AE63" i="73" s="1"/>
  <c r="Y64" i="73"/>
  <c r="Y65" i="73"/>
  <c r="Y177" i="73"/>
  <c r="AA177" i="73" s="1"/>
  <c r="AE177" i="73" s="1"/>
  <c r="Y178" i="73"/>
  <c r="Y179" i="73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Y35" i="35"/>
  <c r="X122" i="90" s="1"/>
  <c r="X124" i="90" s="1"/>
  <c r="Z35" i="35"/>
  <c r="Y122" i="90" s="1"/>
  <c r="Z42" i="35"/>
  <c r="Z43" i="35"/>
  <c r="Z44" i="35"/>
  <c r="Z45" i="35"/>
  <c r="Y50" i="35"/>
  <c r="Z50" i="35"/>
  <c r="Y51" i="35"/>
  <c r="Z51" i="35"/>
  <c r="Y53" i="35"/>
  <c r="Z53" i="35"/>
  <c r="AT135" i="28" l="1"/>
  <c r="AX135" i="28" s="1"/>
  <c r="BF135" i="28" s="1"/>
  <c r="BH135" i="28" s="1"/>
  <c r="AT146" i="28"/>
  <c r="AX146" i="28" s="1"/>
  <c r="BF146" i="28" s="1"/>
  <c r="BH146" i="28" s="1"/>
  <c r="AT132" i="28"/>
  <c r="AX132" i="28" s="1"/>
  <c r="BF132" i="28" s="1"/>
  <c r="BH132" i="28" s="1"/>
  <c r="AT145" i="28"/>
  <c r="AX145" i="28" s="1"/>
  <c r="BF145" i="28" s="1"/>
  <c r="BH145" i="28" s="1"/>
  <c r="AT138" i="28"/>
  <c r="AX138" i="28" s="1"/>
  <c r="BF138" i="28" s="1"/>
  <c r="BH138" i="28" s="1"/>
  <c r="AT190" i="28"/>
  <c r="AX190" i="28" s="1"/>
  <c r="BF190" i="28" s="1"/>
  <c r="BH190" i="28" s="1"/>
  <c r="AT192" i="28"/>
  <c r="AX192" i="28" s="1"/>
  <c r="BF192" i="28" s="1"/>
  <c r="BH192" i="28" s="1"/>
  <c r="AT214" i="28"/>
  <c r="AX214" i="28" s="1"/>
  <c r="BF214" i="28" s="1"/>
  <c r="BH214" i="28" s="1"/>
  <c r="AP328" i="28"/>
  <c r="AP331" i="28"/>
  <c r="AP329" i="28"/>
  <c r="AI63" i="73"/>
  <c r="AO63" i="73" s="1"/>
  <c r="AS63" i="73" s="1"/>
  <c r="AW63" i="73" s="1"/>
  <c r="AI62" i="73"/>
  <c r="AO62" i="73" s="1"/>
  <c r="AS62" i="73" s="1"/>
  <c r="AW62" i="73" s="1"/>
  <c r="AI177" i="73"/>
  <c r="AO177" i="73" s="1"/>
  <c r="AS177" i="73" s="1"/>
  <c r="AW177" i="73" s="1"/>
  <c r="Z72" i="28"/>
  <c r="Z506" i="28"/>
  <c r="Z256" i="28"/>
  <c r="Z510" i="28"/>
  <c r="Z304" i="28"/>
  <c r="Z414" i="28"/>
  <c r="Z413" i="28"/>
  <c r="Z514" i="28"/>
  <c r="Z429" i="28"/>
  <c r="Z236" i="28"/>
  <c r="Z11" i="35"/>
  <c r="Y143" i="50"/>
  <c r="W2" i="26"/>
  <c r="W2" i="17"/>
  <c r="V2" i="26"/>
  <c r="V2" i="17"/>
  <c r="Z26" i="35"/>
  <c r="Y80" i="83"/>
  <c r="Y78" i="83" s="1"/>
  <c r="Y33" i="35"/>
  <c r="V24" i="39"/>
  <c r="Z511" i="28"/>
  <c r="Z507" i="28"/>
  <c r="Z73" i="28"/>
  <c r="Z74" i="28"/>
  <c r="Z503" i="28"/>
  <c r="Y26" i="35"/>
  <c r="Y145" i="50" l="1"/>
  <c r="Y146" i="50" s="1"/>
  <c r="BE177" i="73"/>
  <c r="BE62" i="73"/>
  <c r="BE63" i="73"/>
  <c r="AT329" i="28"/>
  <c r="AX329" i="28" s="1"/>
  <c r="BF329" i="28" s="1"/>
  <c r="BH329" i="28" s="1"/>
  <c r="AT331" i="28"/>
  <c r="AX331" i="28" s="1"/>
  <c r="BF331" i="28" s="1"/>
  <c r="BH331" i="28" s="1"/>
  <c r="AT328" i="28"/>
  <c r="AX328" i="28" s="1"/>
  <c r="BF328" i="28" s="1"/>
  <c r="BH328" i="28" s="1"/>
  <c r="Z505" i="28"/>
  <c r="Z500" i="28"/>
  <c r="Z299" i="28"/>
  <c r="Z75" i="28"/>
  <c r="Z97" i="28"/>
  <c r="Z98" i="28" s="1"/>
  <c r="Z512" i="28"/>
  <c r="Z513" i="28"/>
  <c r="Z504" i="28"/>
  <c r="Z520" i="28"/>
  <c r="Z523" i="28"/>
  <c r="Z471" i="28"/>
  <c r="Z522" i="28"/>
  <c r="Z490" i="28"/>
  <c r="Z508" i="28"/>
  <c r="Y97" i="50"/>
  <c r="Y95" i="50" s="1"/>
  <c r="Z509" i="28"/>
  <c r="Z501" i="28"/>
  <c r="Z515" i="28"/>
  <c r="Z521" i="28" l="1"/>
  <c r="Z76" i="28"/>
  <c r="Z494" i="28"/>
  <c r="Z491" i="28"/>
  <c r="Z517" i="28"/>
  <c r="Z495" i="28"/>
  <c r="Z516" i="28"/>
  <c r="V159" i="9" l="1"/>
  <c r="V158" i="9"/>
  <c r="V157" i="9"/>
  <c r="G54" i="83" l="1"/>
  <c r="I54" i="83"/>
  <c r="U54" i="83"/>
  <c r="AA54" i="83" s="1"/>
  <c r="U70" i="83"/>
  <c r="U72" i="83"/>
  <c r="U73" i="83"/>
  <c r="U74" i="83"/>
  <c r="U75" i="83"/>
  <c r="U53" i="83"/>
  <c r="AA53" i="83" s="1"/>
  <c r="U55" i="83"/>
  <c r="AA55" i="83" s="1"/>
  <c r="U56" i="83"/>
  <c r="AA56" i="83" s="1"/>
  <c r="U57" i="83"/>
  <c r="AA57" i="83" s="1"/>
  <c r="U58" i="83"/>
  <c r="AA58" i="83" s="1"/>
  <c r="U59" i="83"/>
  <c r="AA59" i="83" s="1"/>
  <c r="U60" i="83"/>
  <c r="AA60" i="83" s="1"/>
  <c r="U61" i="83"/>
  <c r="AA61" i="83" s="1"/>
  <c r="U62" i="83"/>
  <c r="AA62" i="83" s="1"/>
  <c r="U63" i="83"/>
  <c r="AA63" i="83" s="1"/>
  <c r="U65" i="83"/>
  <c r="AA65" i="83" s="1"/>
  <c r="U66" i="83"/>
  <c r="AA66" i="83" s="1"/>
  <c r="U67" i="83"/>
  <c r="AA67" i="83" s="1"/>
  <c r="U68" i="83"/>
  <c r="U52" i="83"/>
  <c r="U48" i="83"/>
  <c r="U50" i="83"/>
  <c r="U46" i="83"/>
  <c r="U40" i="83"/>
  <c r="U41" i="83"/>
  <c r="U42" i="83"/>
  <c r="U43" i="83"/>
  <c r="U44" i="83"/>
  <c r="U39" i="83"/>
  <c r="U5" i="83"/>
  <c r="AA5" i="83" s="1"/>
  <c r="U7" i="83"/>
  <c r="AA7" i="83" s="1"/>
  <c r="U8" i="83"/>
  <c r="AA8" i="83" s="1"/>
  <c r="U10" i="83"/>
  <c r="AA10" i="83" s="1"/>
  <c r="U11" i="83"/>
  <c r="AA11" i="83" s="1"/>
  <c r="U12" i="83"/>
  <c r="AA12" i="83" s="1"/>
  <c r="U13" i="83"/>
  <c r="AA13" i="83" s="1"/>
  <c r="U14" i="83"/>
  <c r="AA14" i="83" s="1"/>
  <c r="U15" i="83"/>
  <c r="AA15" i="83" s="1"/>
  <c r="U16" i="83"/>
  <c r="AA16" i="83" s="1"/>
  <c r="U17" i="83"/>
  <c r="AA17" i="83" s="1"/>
  <c r="U18" i="83"/>
  <c r="AA18" i="83" s="1"/>
  <c r="U19" i="83"/>
  <c r="AA19" i="83" s="1"/>
  <c r="U24" i="83"/>
  <c r="AA24" i="83" s="1"/>
  <c r="U25" i="83"/>
  <c r="AA25" i="83" s="1"/>
  <c r="U29" i="83"/>
  <c r="AA29" i="83" s="1"/>
  <c r="U30" i="83"/>
  <c r="AA30" i="83" s="1"/>
  <c r="U31" i="83"/>
  <c r="AA31" i="83" s="1"/>
  <c r="U32" i="83"/>
  <c r="AA32" i="83" s="1"/>
  <c r="U33" i="83"/>
  <c r="AA33" i="83" s="1"/>
  <c r="U34" i="83"/>
  <c r="AA34" i="83" s="1"/>
  <c r="U35" i="83"/>
  <c r="AA35" i="83" s="1"/>
  <c r="U36" i="83"/>
  <c r="AA36" i="83" s="1"/>
  <c r="U37" i="83"/>
  <c r="AA37" i="83" s="1"/>
  <c r="U4" i="83"/>
  <c r="O54" i="83" l="1"/>
  <c r="AC54" i="83" s="1"/>
  <c r="S54" i="83"/>
  <c r="W54" i="83" s="1"/>
  <c r="K54" i="83"/>
  <c r="U69" i="83"/>
  <c r="U76" i="83"/>
  <c r="U51" i="83"/>
  <c r="U45" i="83"/>
  <c r="U190" i="6" l="1"/>
  <c r="U165" i="6"/>
  <c r="AA27" i="50" l="1"/>
  <c r="AC27" i="50" s="1"/>
  <c r="AG27" i="50" s="1"/>
  <c r="AK27" i="50" s="1"/>
  <c r="Q24" i="50" l="1"/>
  <c r="U27" i="83"/>
  <c r="AA27" i="83" s="1"/>
  <c r="U9" i="83"/>
  <c r="AA9" i="83" s="1"/>
  <c r="U6" i="83"/>
  <c r="AA6" i="83" s="1"/>
  <c r="S24" i="50" l="1"/>
  <c r="W24" i="50" s="1"/>
  <c r="Q15" i="61"/>
  <c r="AA24" i="50"/>
  <c r="AC24" i="50" s="1"/>
  <c r="AG24" i="50" s="1"/>
  <c r="AK24" i="50" s="1"/>
  <c r="U38" i="83"/>
  <c r="U77" i="83" s="1"/>
  <c r="AA15" i="61" l="1"/>
  <c r="AC15" i="61" s="1"/>
  <c r="S15" i="61"/>
  <c r="M49" i="7"/>
  <c r="N49" i="7"/>
  <c r="AB49" i="7" s="1"/>
  <c r="AF49" i="7" s="1"/>
  <c r="AJ49" i="7" s="1"/>
  <c r="AA49" i="7" l="1"/>
  <c r="AP49" i="7"/>
  <c r="AT49" i="7" s="1"/>
  <c r="AX49" i="7" s="1"/>
  <c r="R49" i="7"/>
  <c r="Q49" i="7"/>
  <c r="U49" i="7" l="1"/>
  <c r="AE49" i="7"/>
  <c r="BF49" i="7"/>
  <c r="BH49" i="7" s="1"/>
  <c r="V49" i="7"/>
  <c r="AI49" i="7" l="1"/>
  <c r="AO49" i="7" l="1"/>
  <c r="AS49" i="7" l="1"/>
  <c r="AW49" i="7" l="1"/>
  <c r="BE49" i="7" l="1"/>
  <c r="BG49" i="7" s="1"/>
  <c r="R173" i="26"/>
  <c r="R168" i="26" l="1"/>
  <c r="R165" i="26" l="1"/>
  <c r="R172" i="26"/>
  <c r="U6" i="61" l="1"/>
  <c r="U7" i="61"/>
  <c r="U8" i="61"/>
  <c r="U9" i="61"/>
  <c r="U10" i="61"/>
  <c r="U11" i="61"/>
  <c r="Q18" i="72"/>
  <c r="Q38" i="72"/>
  <c r="Q46" i="72"/>
  <c r="BJ59" i="71"/>
  <c r="BH59" i="71"/>
  <c r="Q49" i="72" l="1"/>
  <c r="BI59" i="71"/>
  <c r="BI61" i="71" s="1"/>
  <c r="Q51" i="72" l="1"/>
  <c r="U198" i="6" l="1"/>
  <c r="U37" i="36" l="1"/>
  <c r="V37" i="36"/>
  <c r="V93" i="8"/>
  <c r="U81" i="8"/>
  <c r="U73" i="8"/>
  <c r="U52" i="8"/>
  <c r="T144" i="7"/>
  <c r="T146" i="7" s="1"/>
  <c r="T147" i="7" s="1"/>
  <c r="T138" i="7"/>
  <c r="T140" i="7" s="1"/>
  <c r="T141" i="7" s="1"/>
  <c r="T129" i="7"/>
  <c r="T131" i="7" s="1"/>
  <c r="T121" i="7"/>
  <c r="U115" i="7"/>
  <c r="S115" i="7"/>
  <c r="U114" i="7"/>
  <c r="S114" i="7"/>
  <c r="U113" i="7"/>
  <c r="U112" i="7"/>
  <c r="U111" i="7"/>
  <c r="U110" i="7"/>
  <c r="U109" i="7"/>
  <c r="U108" i="7"/>
  <c r="U107" i="7"/>
  <c r="U106" i="7"/>
  <c r="U85" i="7"/>
  <c r="R50" i="39"/>
  <c r="R45" i="39"/>
  <c r="R8" i="39"/>
  <c r="R51" i="39" l="1"/>
  <c r="R22" i="39"/>
  <c r="T132" i="7"/>
  <c r="T123" i="7"/>
  <c r="T124" i="7" s="1"/>
  <c r="T130" i="7"/>
  <c r="R24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U523" i="28"/>
  <c r="U522" i="28"/>
  <c r="R2" i="17" l="1"/>
  <c r="R2" i="26"/>
  <c r="S2" i="17"/>
  <c r="S2" i="26"/>
  <c r="U41" i="6"/>
  <c r="T133" i="7"/>
  <c r="T125" i="7"/>
  <c r="T126" i="7"/>
  <c r="T127" i="7" s="1"/>
  <c r="T128" i="7" l="1"/>
  <c r="T135" i="7" s="1"/>
  <c r="X45" i="59" l="1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U72" i="36"/>
  <c r="U71" i="36"/>
  <c r="U69" i="36"/>
  <c r="U67" i="36"/>
  <c r="U66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U68" i="36" l="1"/>
  <c r="X6" i="59"/>
  <c r="U80" i="83" l="1"/>
  <c r="U78" i="83" s="1"/>
  <c r="E122" i="90" l="1"/>
  <c r="BE122" i="90" s="1"/>
  <c r="E117" i="90"/>
  <c r="BE117" i="90" s="1"/>
  <c r="E99" i="90"/>
  <c r="E43" i="39"/>
  <c r="E42" i="39"/>
  <c r="E61" i="39"/>
  <c r="E60" i="39"/>
  <c r="M46" i="72"/>
  <c r="I46" i="72"/>
  <c r="E46" i="72"/>
  <c r="C46" i="72"/>
  <c r="M38" i="72"/>
  <c r="I38" i="72"/>
  <c r="E38" i="72"/>
  <c r="C38" i="72"/>
  <c r="C25" i="72"/>
  <c r="M18" i="72"/>
  <c r="I18" i="72"/>
  <c r="E18" i="72"/>
  <c r="C18" i="72"/>
  <c r="E49" i="72" l="1"/>
  <c r="C49" i="72"/>
  <c r="I49" i="72"/>
  <c r="M49" i="72"/>
  <c r="O46" i="72"/>
  <c r="S46" i="72" s="1"/>
  <c r="K46" i="72"/>
  <c r="G46" i="72"/>
  <c r="K38" i="72"/>
  <c r="O38" i="72"/>
  <c r="S38" i="72" s="1"/>
  <c r="G38" i="72"/>
  <c r="K18" i="72"/>
  <c r="O18" i="72"/>
  <c r="S18" i="72" s="1"/>
  <c r="G18" i="72"/>
  <c r="Y43" i="39"/>
  <c r="Y42" i="39"/>
  <c r="I99" i="90"/>
  <c r="M99" i="90"/>
  <c r="E115" i="90"/>
  <c r="Y61" i="39"/>
  <c r="Y60" i="39"/>
  <c r="T15" i="36"/>
  <c r="AI115" i="90" l="1"/>
  <c r="BE115" i="90"/>
  <c r="W53" i="59"/>
  <c r="T75" i="8"/>
  <c r="AA115" i="90"/>
  <c r="M115" i="90"/>
  <c r="I115" i="90"/>
  <c r="U115" i="90"/>
  <c r="Q115" i="90"/>
  <c r="AO115" i="90"/>
  <c r="AS115" i="90" s="1"/>
  <c r="AW115" i="90" s="1"/>
  <c r="AE115" i="90"/>
  <c r="T22" i="59" l="1"/>
  <c r="P9" i="52" l="1"/>
  <c r="P17" i="52" s="1"/>
  <c r="O9" i="52"/>
  <c r="O17" i="52" s="1"/>
  <c r="Q5" i="50" l="1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19" i="50"/>
  <c r="Q11" i="61"/>
  <c r="AA18" i="50"/>
  <c r="Q10" i="61"/>
  <c r="AA17" i="50"/>
  <c r="Q9" i="61"/>
  <c r="AA16" i="50"/>
  <c r="Q8" i="61"/>
  <c r="AA15" i="50"/>
  <c r="Q7" i="61"/>
  <c r="Q4" i="61"/>
  <c r="AA11" i="61" l="1"/>
  <c r="AA9" i="61"/>
  <c r="AA6" i="61"/>
  <c r="AA7" i="61"/>
  <c r="AA10" i="61"/>
  <c r="AA8" i="61"/>
  <c r="Q16" i="61"/>
  <c r="BF94" i="10" l="1"/>
  <c r="BI94" i="10" s="1"/>
  <c r="BF93" i="10"/>
  <c r="BI93" i="10" s="1"/>
  <c r="BF92" i="10"/>
  <c r="BI92" i="10" s="1"/>
  <c r="F80" i="8" l="1"/>
  <c r="J79" i="8"/>
  <c r="J77" i="8"/>
  <c r="J80" i="8" l="1"/>
  <c r="R159" i="9" l="1"/>
  <c r="R158" i="9"/>
  <c r="R157" i="9"/>
  <c r="E223" i="6" l="1"/>
  <c r="E222" i="6"/>
  <c r="Y17" i="35" l="1"/>
  <c r="Y16" i="35"/>
  <c r="Y18" i="35" l="1"/>
  <c r="Y34" i="35"/>
  <c r="Y36" i="35" s="1"/>
  <c r="AC12" i="38"/>
  <c r="P10" i="49"/>
  <c r="P12" i="49" s="1"/>
  <c r="P14" i="49" s="1"/>
  <c r="P15" i="49" s="1"/>
  <c r="P16" i="49" s="1"/>
  <c r="P19" i="49" s="1"/>
  <c r="P20" i="49" s="1"/>
  <c r="P144" i="7"/>
  <c r="P146" i="7" s="1"/>
  <c r="P147" i="7" s="1"/>
  <c r="P138" i="7"/>
  <c r="P140" i="7" s="1"/>
  <c r="P141" i="7" s="1"/>
  <c r="P129" i="7"/>
  <c r="P121" i="7"/>
  <c r="O115" i="7"/>
  <c r="O114" i="7"/>
  <c r="Z132" i="6"/>
  <c r="Y132" i="6"/>
  <c r="Z17" i="49"/>
  <c r="Q133" i="50" l="1"/>
  <c r="O89" i="90"/>
  <c r="AA143" i="50"/>
  <c r="Y34" i="39"/>
  <c r="Y46" i="39"/>
  <c r="Y47" i="39"/>
  <c r="Y48" i="39"/>
  <c r="Y48" i="35"/>
  <c r="Y37" i="35"/>
  <c r="Y8" i="39"/>
  <c r="Z18" i="49"/>
  <c r="P123" i="7"/>
  <c r="P124" i="7" s="1"/>
  <c r="P126" i="7" s="1"/>
  <c r="P127" i="7" s="1"/>
  <c r="P130" i="7"/>
  <c r="P131" i="7"/>
  <c r="P132" i="7" s="1"/>
  <c r="Q43" i="35"/>
  <c r="U43" i="35" s="1"/>
  <c r="Q44" i="35"/>
  <c r="U44" i="35" s="1"/>
  <c r="Q45" i="35"/>
  <c r="U45" i="35" s="1"/>
  <c r="Y42" i="35"/>
  <c r="Y39" i="35"/>
  <c r="Z31" i="35"/>
  <c r="Z30" i="35"/>
  <c r="Z20" i="35"/>
  <c r="Y20" i="35"/>
  <c r="Y9" i="35"/>
  <c r="AA133" i="50" l="1"/>
  <c r="Y89" i="90"/>
  <c r="O120" i="90"/>
  <c r="Y50" i="39"/>
  <c r="Y23" i="39"/>
  <c r="Y22" i="39"/>
  <c r="Y49" i="39"/>
  <c r="Y45" i="39"/>
  <c r="N2" i="26"/>
  <c r="N2" i="17"/>
  <c r="O2" i="17"/>
  <c r="O2" i="26"/>
  <c r="T98" i="38"/>
  <c r="Z14" i="35"/>
  <c r="Y41" i="35"/>
  <c r="Y49" i="35" s="1"/>
  <c r="Z13" i="35"/>
  <c r="Y10" i="35"/>
  <c r="Y11" i="35" s="1"/>
  <c r="Y19" i="35"/>
  <c r="Z19" i="35"/>
  <c r="Z32" i="35"/>
  <c r="Z33" i="35" s="1"/>
  <c r="S98" i="38"/>
  <c r="P125" i="7"/>
  <c r="P128" i="7" s="1"/>
  <c r="Z41" i="35"/>
  <c r="P133" i="7"/>
  <c r="O124" i="90" l="1"/>
  <c r="Y120" i="90"/>
  <c r="Y124" i="90" s="1"/>
  <c r="Y51" i="39"/>
  <c r="Y24" i="39"/>
  <c r="Z15" i="35"/>
  <c r="Y13" i="35"/>
  <c r="Y14" i="35"/>
  <c r="P135" i="7"/>
  <c r="Y15" i="35" l="1"/>
  <c r="N79" i="8" l="1"/>
  <c r="R79" i="8" s="1"/>
  <c r="V79" i="8" s="1"/>
  <c r="N77" i="8"/>
  <c r="F76" i="8"/>
  <c r="J76" i="8" l="1"/>
  <c r="N76" i="8"/>
  <c r="R76" i="8" s="1"/>
  <c r="V76" i="8" s="1"/>
  <c r="R77" i="8"/>
  <c r="N80" i="8"/>
  <c r="R80" i="8" l="1"/>
  <c r="V77" i="8"/>
  <c r="V80" i="8" l="1"/>
  <c r="J3" i="8" l="1"/>
  <c r="H1" i="35"/>
  <c r="H21" i="35" s="1"/>
  <c r="H26" i="9" s="1"/>
  <c r="AJ438" i="28" l="1"/>
  <c r="AP438" i="28" s="1"/>
  <c r="AT438" i="28" s="1"/>
  <c r="AX438" i="28" s="1"/>
  <c r="BF438" i="28" s="1"/>
  <c r="BH438" i="28" s="1"/>
  <c r="B10" i="6" l="1"/>
  <c r="F8" i="6"/>
  <c r="F9" i="6"/>
  <c r="AX398" i="28" l="1"/>
  <c r="BF398" i="28" s="1"/>
  <c r="BH398" i="28" s="1"/>
  <c r="AJ367" i="28"/>
  <c r="AP367" i="28" s="1"/>
  <c r="AT367" i="28" l="1"/>
  <c r="AX367" i="28" s="1"/>
  <c r="BF367" i="28" s="1"/>
  <c r="BH367" i="28" s="1"/>
  <c r="I11" i="8"/>
  <c r="M11" i="8"/>
  <c r="N11" i="8"/>
  <c r="AB11" i="8" l="1"/>
  <c r="AF11" i="8" s="1"/>
  <c r="AJ11" i="8" s="1"/>
  <c r="AP11" i="8" s="1"/>
  <c r="AT11" i="8" s="1"/>
  <c r="AX11" i="8" s="1"/>
  <c r="BF11" i="8" s="1"/>
  <c r="BH11" i="8" s="1"/>
  <c r="R11" i="8"/>
  <c r="V11" i="8" s="1"/>
  <c r="AA11" i="8"/>
  <c r="AE11" i="8" s="1"/>
  <c r="AI11" i="8" s="1"/>
  <c r="AO11" i="8" s="1"/>
  <c r="AS11" i="8" s="1"/>
  <c r="AW11" i="8" s="1"/>
  <c r="BE11" i="8" s="1"/>
  <c r="BG11" i="8" s="1"/>
  <c r="Q11" i="8"/>
  <c r="U11" i="8" s="1"/>
  <c r="N159" i="9"/>
  <c r="N158" i="9"/>
  <c r="N157" i="9"/>
  <c r="L24" i="36" l="1"/>
  <c r="O75" i="59" s="1"/>
  <c r="R12" i="38" l="1"/>
  <c r="V12" i="38" s="1"/>
  <c r="Z12" i="38" s="1"/>
  <c r="M48" i="50"/>
  <c r="M49" i="50"/>
  <c r="M50" i="50"/>
  <c r="M51" i="50"/>
  <c r="M53" i="50"/>
  <c r="M40" i="50"/>
  <c r="M41" i="50"/>
  <c r="M42" i="50"/>
  <c r="M43" i="50"/>
  <c r="M44" i="50"/>
  <c r="M45" i="50"/>
  <c r="M39" i="50"/>
  <c r="M4" i="61"/>
  <c r="M5" i="61"/>
  <c r="M6" i="61"/>
  <c r="M7" i="61"/>
  <c r="M8" i="61"/>
  <c r="M9" i="61"/>
  <c r="M10" i="61"/>
  <c r="M137" i="50"/>
  <c r="M127" i="50"/>
  <c r="M130" i="50" s="1"/>
  <c r="M100" i="50"/>
  <c r="M138" i="50"/>
  <c r="M47" i="50"/>
  <c r="M16" i="61" l="1"/>
  <c r="M54" i="50"/>
  <c r="M124" i="50" s="1"/>
  <c r="M38" i="50"/>
  <c r="L162" i="10" s="1"/>
  <c r="L163" i="10" s="1"/>
  <c r="M46" i="50"/>
  <c r="M120" i="50" s="1"/>
  <c r="M129" i="50"/>
  <c r="M139" i="50"/>
  <c r="M116" i="50"/>
  <c r="M140" i="50"/>
  <c r="I51" i="72"/>
  <c r="AZ59" i="71"/>
  <c r="BB59" i="71"/>
  <c r="BD59" i="71"/>
  <c r="BF59" i="71"/>
  <c r="BL59" i="71"/>
  <c r="BN59" i="71"/>
  <c r="BP59" i="71"/>
  <c r="BR59" i="71"/>
  <c r="BT59" i="71"/>
  <c r="BV59" i="71"/>
  <c r="BV61" i="71" s="1"/>
  <c r="BX59" i="71"/>
  <c r="BZ59" i="71"/>
  <c r="BZ61" i="71" s="1"/>
  <c r="CB59" i="71"/>
  <c r="CD59" i="71"/>
  <c r="CF59" i="71"/>
  <c r="CF61" i="71" s="1"/>
  <c r="CH59" i="71"/>
  <c r="CJ59" i="71"/>
  <c r="CJ61" i="71" s="1"/>
  <c r="CL59" i="71"/>
  <c r="CN59" i="71"/>
  <c r="CN61" i="71" s="1"/>
  <c r="CP59" i="71"/>
  <c r="CR59" i="71"/>
  <c r="CT59" i="71"/>
  <c r="M94" i="50" l="1"/>
  <c r="M108" i="50"/>
  <c r="AF143" i="10"/>
  <c r="AF144" i="10"/>
  <c r="AF145" i="10"/>
  <c r="AF146" i="10"/>
  <c r="AF147" i="10"/>
  <c r="AF148" i="10"/>
  <c r="AF149" i="10"/>
  <c r="AF150" i="10"/>
  <c r="AF152" i="10"/>
  <c r="AF153" i="10"/>
  <c r="AF154" i="10"/>
  <c r="AF155" i="10"/>
  <c r="AB156" i="10"/>
  <c r="AF156" i="10" s="1"/>
  <c r="AB157" i="10"/>
  <c r="AF157" i="10" s="1"/>
  <c r="N49" i="11"/>
  <c r="AB49" i="11" s="1"/>
  <c r="AF49" i="11" s="1"/>
  <c r="N50" i="11"/>
  <c r="AB50" i="11" s="1"/>
  <c r="AF50" i="11" s="1"/>
  <c r="N8" i="11"/>
  <c r="N11" i="11"/>
  <c r="N12" i="11"/>
  <c r="N13" i="11"/>
  <c r="N14" i="11"/>
  <c r="N15" i="11"/>
  <c r="N16" i="11"/>
  <c r="N18" i="11"/>
  <c r="N20" i="11"/>
  <c r="N21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AB42" i="11" s="1"/>
  <c r="M157" i="45"/>
  <c r="M156" i="45"/>
  <c r="M154" i="45"/>
  <c r="M148" i="45"/>
  <c r="M143" i="45"/>
  <c r="L143" i="45"/>
  <c r="M141" i="45"/>
  <c r="L141" i="45"/>
  <c r="M140" i="45"/>
  <c r="L140" i="45"/>
  <c r="M138" i="45"/>
  <c r="L138" i="45"/>
  <c r="M136" i="45"/>
  <c r="L136" i="45"/>
  <c r="M134" i="45"/>
  <c r="O73" i="59" s="1"/>
  <c r="L134" i="45"/>
  <c r="N73" i="59" s="1"/>
  <c r="M131" i="45"/>
  <c r="L131" i="45"/>
  <c r="L132" i="45" s="1"/>
  <c r="M122" i="45"/>
  <c r="M159" i="45" s="1"/>
  <c r="M121" i="45"/>
  <c r="L121" i="45"/>
  <c r="M120" i="45"/>
  <c r="M29" i="9"/>
  <c r="K89" i="90"/>
  <c r="M149" i="45" l="1"/>
  <c r="M132" i="45"/>
  <c r="AJ153" i="10"/>
  <c r="AJ146" i="10"/>
  <c r="AJ145" i="10"/>
  <c r="AJ152" i="10"/>
  <c r="AJ157" i="10"/>
  <c r="AJ150" i="10"/>
  <c r="AJ144" i="10"/>
  <c r="AJ156" i="10"/>
  <c r="AJ149" i="10"/>
  <c r="AJ143" i="10"/>
  <c r="AJ155" i="10"/>
  <c r="AJ148" i="10"/>
  <c r="AJ154" i="10"/>
  <c r="AJ147" i="10"/>
  <c r="R15" i="11"/>
  <c r="V15" i="11" s="1"/>
  <c r="AB15" i="11"/>
  <c r="AF15" i="11" s="1"/>
  <c r="AJ15" i="11" s="1"/>
  <c r="AP15" i="11" s="1"/>
  <c r="AT15" i="11" s="1"/>
  <c r="AX15" i="11" s="1"/>
  <c r="R41" i="11"/>
  <c r="V41" i="11" s="1"/>
  <c r="AB41" i="11"/>
  <c r="AF41" i="11" s="1"/>
  <c r="R14" i="11"/>
  <c r="V14" i="11" s="1"/>
  <c r="AB14" i="11"/>
  <c r="R24" i="11"/>
  <c r="V24" i="11" s="1"/>
  <c r="AB24" i="11"/>
  <c r="AF24" i="11" s="1"/>
  <c r="AJ24" i="11" s="1"/>
  <c r="AP24" i="11" s="1"/>
  <c r="AT24" i="11" s="1"/>
  <c r="AX24" i="11" s="1"/>
  <c r="R28" i="11"/>
  <c r="V28" i="11" s="1"/>
  <c r="AB28" i="11"/>
  <c r="AF28" i="11" s="1"/>
  <c r="R13" i="11"/>
  <c r="V13" i="11" s="1"/>
  <c r="AB13" i="11"/>
  <c r="R30" i="11"/>
  <c r="V30" i="11" s="1"/>
  <c r="AB30" i="11"/>
  <c r="AF30" i="11" s="1"/>
  <c r="AJ30" i="11" s="1"/>
  <c r="AP30" i="11" s="1"/>
  <c r="AT30" i="11" s="1"/>
  <c r="AX30" i="11" s="1"/>
  <c r="R23" i="11"/>
  <c r="V23" i="11" s="1"/>
  <c r="AB23" i="11"/>
  <c r="R33" i="11"/>
  <c r="V33" i="11" s="1"/>
  <c r="AB33" i="11"/>
  <c r="R27" i="11"/>
  <c r="V27" i="11" s="1"/>
  <c r="AB27" i="11"/>
  <c r="AF27" i="11" s="1"/>
  <c r="R20" i="11"/>
  <c r="V20" i="11" s="1"/>
  <c r="AB20" i="11"/>
  <c r="AF20" i="11" s="1"/>
  <c r="AJ20" i="11" s="1"/>
  <c r="AP20" i="11" s="1"/>
  <c r="AT20" i="11" s="1"/>
  <c r="AX20" i="11" s="1"/>
  <c r="R12" i="11"/>
  <c r="V12" i="11" s="1"/>
  <c r="AB12" i="11"/>
  <c r="R36" i="11"/>
  <c r="V36" i="11" s="1"/>
  <c r="AB36" i="11"/>
  <c r="AF36" i="11" s="1"/>
  <c r="AJ36" i="11" s="1"/>
  <c r="AP36" i="11" s="1"/>
  <c r="AT36" i="11" s="1"/>
  <c r="AX36" i="11" s="1"/>
  <c r="R29" i="11"/>
  <c r="V29" i="11" s="1"/>
  <c r="AB29" i="11"/>
  <c r="R34" i="11"/>
  <c r="V34" i="11" s="1"/>
  <c r="AB34" i="11"/>
  <c r="R38" i="11"/>
  <c r="V38" i="11" s="1"/>
  <c r="AB38" i="11"/>
  <c r="AF38" i="11" s="1"/>
  <c r="R32" i="11"/>
  <c r="V32" i="11" s="1"/>
  <c r="AB32" i="11"/>
  <c r="R26" i="11"/>
  <c r="V26" i="11" s="1"/>
  <c r="AB26" i="11"/>
  <c r="R18" i="11"/>
  <c r="V18" i="11" s="1"/>
  <c r="AB18" i="11"/>
  <c r="AF18" i="11" s="1"/>
  <c r="AJ18" i="11" s="1"/>
  <c r="AP18" i="11" s="1"/>
  <c r="AT18" i="11" s="1"/>
  <c r="AX18" i="11" s="1"/>
  <c r="R11" i="11"/>
  <c r="V11" i="11" s="1"/>
  <c r="AB11" i="11"/>
  <c r="R35" i="11"/>
  <c r="V35" i="11" s="1"/>
  <c r="AB35" i="11"/>
  <c r="AF35" i="11" s="1"/>
  <c r="AJ35" i="11" s="1"/>
  <c r="AP35" i="11" s="1"/>
  <c r="AT35" i="11" s="1"/>
  <c r="AX35" i="11" s="1"/>
  <c r="R40" i="11"/>
  <c r="V40" i="11" s="1"/>
  <c r="AB40" i="11"/>
  <c r="AF40" i="11" s="1"/>
  <c r="R21" i="11"/>
  <c r="V21" i="11" s="1"/>
  <c r="AB21" i="11"/>
  <c r="AF21" i="11" s="1"/>
  <c r="AJ21" i="11" s="1"/>
  <c r="AP21" i="11" s="1"/>
  <c r="AT21" i="11" s="1"/>
  <c r="AX21" i="11" s="1"/>
  <c r="R39" i="11"/>
  <c r="V39" i="11" s="1"/>
  <c r="AB39" i="11"/>
  <c r="R37" i="11"/>
  <c r="V37" i="11" s="1"/>
  <c r="AB37" i="11"/>
  <c r="AF37" i="11" s="1"/>
  <c r="AJ37" i="11" s="1"/>
  <c r="AP37" i="11" s="1"/>
  <c r="AT37" i="11" s="1"/>
  <c r="AX37" i="11" s="1"/>
  <c r="R31" i="11"/>
  <c r="V31" i="11" s="1"/>
  <c r="AB31" i="11"/>
  <c r="R25" i="11"/>
  <c r="V25" i="11" s="1"/>
  <c r="AB25" i="11"/>
  <c r="R16" i="11"/>
  <c r="V16" i="11" s="1"/>
  <c r="AB16" i="11"/>
  <c r="AF16" i="11" s="1"/>
  <c r="AJ16" i="11" s="1"/>
  <c r="AP16" i="11" s="1"/>
  <c r="AT16" i="11" s="1"/>
  <c r="AX16" i="11" s="1"/>
  <c r="R8" i="11"/>
  <c r="V8" i="11" s="1"/>
  <c r="AB8" i="11"/>
  <c r="AF8" i="11" s="1"/>
  <c r="AJ8" i="11" s="1"/>
  <c r="AP8" i="11" s="1"/>
  <c r="AT8" i="11" s="1"/>
  <c r="AX8" i="11" s="1"/>
  <c r="AF42" i="11"/>
  <c r="R42" i="11"/>
  <c r="V42" i="11" s="1"/>
  <c r="AJ50" i="11"/>
  <c r="AP50" i="11" s="1"/>
  <c r="AT50" i="11" s="1"/>
  <c r="R50" i="11"/>
  <c r="V50" i="11" s="1"/>
  <c r="AJ49" i="11"/>
  <c r="AP49" i="11" s="1"/>
  <c r="AT49" i="11" s="1"/>
  <c r="R49" i="11"/>
  <c r="V49" i="11" s="1"/>
  <c r="L32" i="35"/>
  <c r="L33" i="35" s="1"/>
  <c r="M139" i="45"/>
  <c r="L124" i="45"/>
  <c r="L139" i="45"/>
  <c r="M158" i="45"/>
  <c r="M150" i="45"/>
  <c r="M133" i="50"/>
  <c r="AF140" i="10"/>
  <c r="AF132" i="10"/>
  <c r="BF113" i="10"/>
  <c r="BI113" i="10" s="1"/>
  <c r="AJ104" i="10"/>
  <c r="BF98" i="10"/>
  <c r="BI98" i="10" s="1"/>
  <c r="AJ89" i="10"/>
  <c r="AF136" i="10"/>
  <c r="BF95" i="10"/>
  <c r="BI95" i="10" s="1"/>
  <c r="AF139" i="10"/>
  <c r="AF131" i="10"/>
  <c r="BF120" i="10"/>
  <c r="BI120" i="10" s="1"/>
  <c r="BF112" i="10"/>
  <c r="BI112" i="10" s="1"/>
  <c r="BF103" i="10"/>
  <c r="BI103" i="10" s="1"/>
  <c r="AJ97" i="10"/>
  <c r="BF83" i="10"/>
  <c r="BI83" i="10" s="1"/>
  <c r="BF110" i="10"/>
  <c r="BI110" i="10" s="1"/>
  <c r="AF137" i="10"/>
  <c r="AF129" i="10"/>
  <c r="AJ119" i="10"/>
  <c r="BF111" i="10"/>
  <c r="BI111" i="10" s="1"/>
  <c r="BF102" i="10"/>
  <c r="BI102" i="10" s="1"/>
  <c r="BF96" i="10"/>
  <c r="BI96" i="10" s="1"/>
  <c r="AF134" i="10"/>
  <c r="BF117" i="10"/>
  <c r="BI117" i="10" s="1"/>
  <c r="BF109" i="10"/>
  <c r="BI109" i="10" s="1"/>
  <c r="BF100" i="10"/>
  <c r="BI100" i="10" s="1"/>
  <c r="BF91" i="10"/>
  <c r="BI91" i="10" s="1"/>
  <c r="BF118" i="10"/>
  <c r="BI118" i="10" s="1"/>
  <c r="BF101" i="10"/>
  <c r="BI101" i="10" s="1"/>
  <c r="AF141" i="10"/>
  <c r="AF133" i="10"/>
  <c r="BF115" i="10"/>
  <c r="BI115" i="10" s="1"/>
  <c r="BF107" i="10"/>
  <c r="BI107" i="10" s="1"/>
  <c r="BF99" i="10"/>
  <c r="BI99" i="10" s="1"/>
  <c r="AJ90" i="10"/>
  <c r="BF61" i="10"/>
  <c r="BI61" i="10" s="1"/>
  <c r="BF53" i="10"/>
  <c r="BI53" i="10" s="1"/>
  <c r="BF46" i="10"/>
  <c r="BI46" i="10" s="1"/>
  <c r="BF74" i="10"/>
  <c r="BI74" i="10" s="1"/>
  <c r="BF68" i="10"/>
  <c r="BI68" i="10" s="1"/>
  <c r="BF60" i="10"/>
  <c r="BI60" i="10" s="1"/>
  <c r="BF51" i="10"/>
  <c r="BI51" i="10" s="1"/>
  <c r="BF45" i="10"/>
  <c r="BI45" i="10" s="1"/>
  <c r="BF39" i="10"/>
  <c r="BI39" i="10" s="1"/>
  <c r="AJ27" i="10"/>
  <c r="BF17" i="10"/>
  <c r="BI17" i="10" s="1"/>
  <c r="BF10" i="10"/>
  <c r="BI10" i="10" s="1"/>
  <c r="AJ75" i="10"/>
  <c r="AJ11" i="10"/>
  <c r="BF82" i="10"/>
  <c r="BI82" i="10" s="1"/>
  <c r="BF73" i="10"/>
  <c r="BI73" i="10" s="1"/>
  <c r="BF67" i="10"/>
  <c r="BI67" i="10" s="1"/>
  <c r="AJ59" i="10"/>
  <c r="BF50" i="10"/>
  <c r="BI50" i="10" s="1"/>
  <c r="BF44" i="10"/>
  <c r="BI44" i="10" s="1"/>
  <c r="BF38" i="10"/>
  <c r="BI38" i="10" s="1"/>
  <c r="BF26" i="10"/>
  <c r="BI26" i="10" s="1"/>
  <c r="BF16" i="10"/>
  <c r="BI16" i="10" s="1"/>
  <c r="BF9" i="10"/>
  <c r="BI9" i="10" s="1"/>
  <c r="BF69" i="10"/>
  <c r="BI69" i="10" s="1"/>
  <c r="BF18" i="10"/>
  <c r="BI18" i="10" s="1"/>
  <c r="BF79" i="10"/>
  <c r="BI79" i="10" s="1"/>
  <c r="AJ72" i="10"/>
  <c r="BF65" i="10"/>
  <c r="BI65" i="10" s="1"/>
  <c r="BF56" i="10"/>
  <c r="BI56" i="10" s="1"/>
  <c r="AJ49" i="10"/>
  <c r="BF43" i="10"/>
  <c r="BI43" i="10" s="1"/>
  <c r="BF37" i="10"/>
  <c r="BI37" i="10" s="1"/>
  <c r="BF23" i="10"/>
  <c r="BI23" i="10" s="1"/>
  <c r="BF15" i="10"/>
  <c r="BI15" i="10" s="1"/>
  <c r="BF8" i="10"/>
  <c r="BI8" i="10" s="1"/>
  <c r="BF29" i="10"/>
  <c r="BI29" i="10" s="1"/>
  <c r="BF78" i="10"/>
  <c r="BI78" i="10" s="1"/>
  <c r="AJ71" i="10"/>
  <c r="BF63" i="10"/>
  <c r="BI63" i="10" s="1"/>
  <c r="BF55" i="10"/>
  <c r="BI55" i="10" s="1"/>
  <c r="BF48" i="10"/>
  <c r="BI48" i="10" s="1"/>
  <c r="BF42" i="10"/>
  <c r="BI42" i="10" s="1"/>
  <c r="BF35" i="10"/>
  <c r="BI35" i="10" s="1"/>
  <c r="BF20" i="10"/>
  <c r="BI20" i="10" s="1"/>
  <c r="BF14" i="10"/>
  <c r="BI14" i="10" s="1"/>
  <c r="BF40" i="10"/>
  <c r="BI40" i="10" s="1"/>
  <c r="AJ76" i="10"/>
  <c r="BF70" i="10"/>
  <c r="BI70" i="10" s="1"/>
  <c r="BF62" i="10"/>
  <c r="BI62" i="10" s="1"/>
  <c r="BF54" i="10"/>
  <c r="BI54" i="10" s="1"/>
  <c r="BF47" i="10"/>
  <c r="BI47" i="10" s="1"/>
  <c r="BF41" i="10"/>
  <c r="BI41" i="10" s="1"/>
  <c r="BF34" i="10"/>
  <c r="BI34" i="10" s="1"/>
  <c r="BF19" i="10"/>
  <c r="BI19" i="10" s="1"/>
  <c r="BF12" i="10"/>
  <c r="BI12" i="10" s="1"/>
  <c r="M124" i="45"/>
  <c r="M125" i="45" s="1"/>
  <c r="M123" i="50"/>
  <c r="M125" i="50" s="1"/>
  <c r="M119" i="50"/>
  <c r="M121" i="50" s="1"/>
  <c r="M101" i="50"/>
  <c r="M155" i="45"/>
  <c r="L144" i="45"/>
  <c r="N74" i="59" s="1"/>
  <c r="L123" i="45"/>
  <c r="M144" i="45"/>
  <c r="O74" i="59" s="1"/>
  <c r="L120" i="45"/>
  <c r="M123" i="45"/>
  <c r="L23" i="36" s="1"/>
  <c r="O72" i="59" s="1"/>
  <c r="N70" i="59"/>
  <c r="M107" i="50"/>
  <c r="AP71" i="10" l="1"/>
  <c r="AT71" i="10" s="1"/>
  <c r="AP11" i="10"/>
  <c r="AT11" i="10" s="1"/>
  <c r="AP97" i="10"/>
  <c r="AT97" i="10" s="1"/>
  <c r="AP75" i="10"/>
  <c r="AT75" i="10" s="1"/>
  <c r="AP76" i="10"/>
  <c r="AT76" i="10" s="1"/>
  <c r="AP90" i="10"/>
  <c r="AT90" i="10" s="1"/>
  <c r="AP72" i="10"/>
  <c r="AT72" i="10" s="1"/>
  <c r="AP104" i="10"/>
  <c r="AT104" i="10" s="1"/>
  <c r="AP89" i="10"/>
  <c r="AT89" i="10" s="1"/>
  <c r="AP49" i="10"/>
  <c r="AT49" i="10" s="1"/>
  <c r="AP27" i="10"/>
  <c r="AT27" i="10" s="1"/>
  <c r="AP59" i="10"/>
  <c r="AT59" i="10" s="1"/>
  <c r="AX59" i="10" s="1"/>
  <c r="AP119" i="10"/>
  <c r="AT119" i="10" s="1"/>
  <c r="L37" i="35"/>
  <c r="M80" i="83" s="1"/>
  <c r="M78" i="83" s="1"/>
  <c r="AJ41" i="11"/>
  <c r="AP41" i="11" s="1"/>
  <c r="AT41" i="11" s="1"/>
  <c r="AX41" i="11" s="1"/>
  <c r="AJ28" i="11"/>
  <c r="AP28" i="11" s="1"/>
  <c r="AT28" i="11" s="1"/>
  <c r="AX28" i="11" s="1"/>
  <c r="AJ40" i="11"/>
  <c r="AP40" i="11" s="1"/>
  <c r="AT40" i="11" s="1"/>
  <c r="AX40" i="11" s="1"/>
  <c r="AJ38" i="11"/>
  <c r="AP38" i="11" s="1"/>
  <c r="AT38" i="11" s="1"/>
  <c r="AX38" i="11" s="1"/>
  <c r="AJ27" i="11"/>
  <c r="AP27" i="11" s="1"/>
  <c r="AT27" i="11" s="1"/>
  <c r="AX27" i="11" s="1"/>
  <c r="AJ42" i="11"/>
  <c r="AP42" i="11" s="1"/>
  <c r="AT42" i="11" s="1"/>
  <c r="AX42" i="11" s="1"/>
  <c r="AP155" i="10"/>
  <c r="AP157" i="10"/>
  <c r="AP143" i="10"/>
  <c r="AP152" i="10"/>
  <c r="AP148" i="10"/>
  <c r="AP149" i="10"/>
  <c r="AP145" i="10"/>
  <c r="AP150" i="10"/>
  <c r="AP147" i="10"/>
  <c r="AP156" i="10"/>
  <c r="AP146" i="10"/>
  <c r="AP154" i="10"/>
  <c r="AP144" i="10"/>
  <c r="AP153" i="10"/>
  <c r="AJ160" i="10"/>
  <c r="AJ139" i="10"/>
  <c r="AJ133" i="10"/>
  <c r="AJ132" i="10"/>
  <c r="AJ141" i="10"/>
  <c r="AJ136" i="10"/>
  <c r="AJ140" i="10"/>
  <c r="AJ129" i="10"/>
  <c r="AJ134" i="10"/>
  <c r="AJ137" i="10"/>
  <c r="AJ131" i="10"/>
  <c r="AF26" i="11"/>
  <c r="AF32" i="11"/>
  <c r="AF13" i="11"/>
  <c r="AF39" i="11"/>
  <c r="AF25" i="11"/>
  <c r="AF34" i="11"/>
  <c r="AJ34" i="11" s="1"/>
  <c r="AP34" i="11" s="1"/>
  <c r="AT34" i="11" s="1"/>
  <c r="AX34" i="11" s="1"/>
  <c r="AF33" i="11"/>
  <c r="AF14" i="11"/>
  <c r="AF12" i="11"/>
  <c r="AF31" i="11"/>
  <c r="AF11" i="11"/>
  <c r="AF29" i="11"/>
  <c r="AJ29" i="11" s="1"/>
  <c r="AP29" i="11" s="1"/>
  <c r="AT29" i="11" s="1"/>
  <c r="AX29" i="11" s="1"/>
  <c r="AF23" i="11"/>
  <c r="M160" i="45"/>
  <c r="M110" i="50"/>
  <c r="M117" i="50" s="1"/>
  <c r="M109" i="50"/>
  <c r="AJ192" i="10" l="1"/>
  <c r="BF59" i="10"/>
  <c r="BI59" i="10" s="1"/>
  <c r="AX104" i="10"/>
  <c r="AX97" i="10"/>
  <c r="AX119" i="10"/>
  <c r="AX90" i="10"/>
  <c r="AX89" i="10"/>
  <c r="AX75" i="10"/>
  <c r="AX27" i="10"/>
  <c r="AX72" i="10"/>
  <c r="AX49" i="10"/>
  <c r="AX11" i="10"/>
  <c r="AX76" i="10"/>
  <c r="AX71" i="10"/>
  <c r="L55" i="35"/>
  <c r="AT150" i="10"/>
  <c r="AX150" i="10" s="1"/>
  <c r="AT155" i="10"/>
  <c r="AX155" i="10" s="1"/>
  <c r="AT154" i="10"/>
  <c r="AX154" i="10" s="1"/>
  <c r="AT156" i="10"/>
  <c r="AX156" i="10" s="1"/>
  <c r="AT149" i="10"/>
  <c r="AX149" i="10" s="1"/>
  <c r="L25" i="36"/>
  <c r="O76" i="59" s="1"/>
  <c r="AT148" i="10"/>
  <c r="AX148" i="10" s="1"/>
  <c r="AT152" i="10"/>
  <c r="AX152" i="10" s="1"/>
  <c r="AT147" i="10"/>
  <c r="AX147" i="10" s="1"/>
  <c r="AT153" i="10"/>
  <c r="AX153" i="10" s="1"/>
  <c r="AT157" i="10"/>
  <c r="AX157" i="10" s="1"/>
  <c r="AT146" i="10"/>
  <c r="AT145" i="10"/>
  <c r="AT143" i="10"/>
  <c r="AT144" i="10"/>
  <c r="AJ184" i="10"/>
  <c r="AJ12" i="11"/>
  <c r="AP12" i="11" s="1"/>
  <c r="AT12" i="11" s="1"/>
  <c r="AX12" i="11" s="1"/>
  <c r="AJ13" i="11"/>
  <c r="AP13" i="11" s="1"/>
  <c r="AT13" i="11" s="1"/>
  <c r="AX13" i="11" s="1"/>
  <c r="AJ32" i="11"/>
  <c r="AP32" i="11" s="1"/>
  <c r="AT32" i="11" s="1"/>
  <c r="AX32" i="11" s="1"/>
  <c r="AJ23" i="11"/>
  <c r="AP23" i="11" s="1"/>
  <c r="AT23" i="11" s="1"/>
  <c r="AX23" i="11" s="1"/>
  <c r="AJ33" i="11"/>
  <c r="AP33" i="11" s="1"/>
  <c r="AT33" i="11" s="1"/>
  <c r="AX33" i="11" s="1"/>
  <c r="AJ11" i="11"/>
  <c r="AP11" i="11" s="1"/>
  <c r="AT11" i="11" s="1"/>
  <c r="AX11" i="11" s="1"/>
  <c r="AJ26" i="11"/>
  <c r="AP26" i="11" s="1"/>
  <c r="AT26" i="11" s="1"/>
  <c r="AX26" i="11" s="1"/>
  <c r="AJ39" i="11"/>
  <c r="AP39" i="11" s="1"/>
  <c r="AT39" i="11" s="1"/>
  <c r="AX39" i="11" s="1"/>
  <c r="AJ14" i="11"/>
  <c r="AP14" i="11" s="1"/>
  <c r="AT14" i="11" s="1"/>
  <c r="AX14" i="11" s="1"/>
  <c r="AJ31" i="11"/>
  <c r="AP31" i="11" s="1"/>
  <c r="AT31" i="11" s="1"/>
  <c r="AX31" i="11" s="1"/>
  <c r="AJ25" i="11"/>
  <c r="AP25" i="11" s="1"/>
  <c r="AT25" i="11" s="1"/>
  <c r="AX25" i="11" s="1"/>
  <c r="AP140" i="10"/>
  <c r="AP141" i="10"/>
  <c r="AP136" i="10"/>
  <c r="AP131" i="10"/>
  <c r="AP137" i="10"/>
  <c r="AP134" i="10"/>
  <c r="AP133" i="10"/>
  <c r="AP132" i="10"/>
  <c r="AP129" i="10"/>
  <c r="AP139" i="10"/>
  <c r="L10" i="49"/>
  <c r="L12" i="49" s="1"/>
  <c r="L14" i="49" s="1"/>
  <c r="L15" i="49" s="1"/>
  <c r="L16" i="49" s="1"/>
  <c r="L19" i="49" s="1"/>
  <c r="L20" i="49" s="1"/>
  <c r="K6" i="49"/>
  <c r="BF71" i="10" l="1"/>
  <c r="BI71" i="10" s="1"/>
  <c r="BF72" i="10"/>
  <c r="BI72" i="10" s="1"/>
  <c r="BF90" i="10"/>
  <c r="BI90" i="10" s="1"/>
  <c r="BF76" i="10"/>
  <c r="BI76" i="10" s="1"/>
  <c r="BF27" i="10"/>
  <c r="BI27" i="10" s="1"/>
  <c r="BF119" i="10"/>
  <c r="BI119" i="10" s="1"/>
  <c r="BF152" i="10"/>
  <c r="BI152" i="10" s="1"/>
  <c r="BF11" i="10"/>
  <c r="BI11" i="10" s="1"/>
  <c r="BF75" i="10"/>
  <c r="BI75" i="10" s="1"/>
  <c r="BF97" i="10"/>
  <c r="BI97" i="10" s="1"/>
  <c r="BF49" i="10"/>
  <c r="BI49" i="10" s="1"/>
  <c r="BF89" i="10"/>
  <c r="BI89" i="10" s="1"/>
  <c r="BF104" i="10"/>
  <c r="BI104" i="10" s="1"/>
  <c r="AT132" i="10"/>
  <c r="AX132" i="10" s="1"/>
  <c r="AT141" i="10"/>
  <c r="AX141" i="10" s="1"/>
  <c r="AT139" i="10"/>
  <c r="AX139" i="10" s="1"/>
  <c r="AT133" i="10"/>
  <c r="AX133" i="10" s="1"/>
  <c r="AT136" i="10"/>
  <c r="AX136" i="10" s="1"/>
  <c r="AT140" i="10"/>
  <c r="AX140" i="10" s="1"/>
  <c r="AT134" i="10"/>
  <c r="AX134" i="10" s="1"/>
  <c r="AT137" i="10"/>
  <c r="AX137" i="10" s="1"/>
  <c r="AT131" i="10"/>
  <c r="AX131" i="10" s="1"/>
  <c r="AX146" i="10"/>
  <c r="AX145" i="10"/>
  <c r="AX143" i="10"/>
  <c r="AX144" i="10"/>
  <c r="AT129" i="10"/>
  <c r="K8" i="49"/>
  <c r="K9" i="49"/>
  <c r="K17" i="49"/>
  <c r="K18" i="49" s="1"/>
  <c r="M21" i="39"/>
  <c r="Q21" i="39" s="1"/>
  <c r="BF131" i="10" l="1"/>
  <c r="BI131" i="10" s="1"/>
  <c r="BF136" i="10"/>
  <c r="BI136" i="10" s="1"/>
  <c r="BF132" i="10"/>
  <c r="BI132" i="10" s="1"/>
  <c r="BF137" i="10"/>
  <c r="BI137" i="10" s="1"/>
  <c r="BF133" i="10"/>
  <c r="BI133" i="10" s="1"/>
  <c r="BF134" i="10"/>
  <c r="BI134" i="10" s="1"/>
  <c r="AX160" i="10"/>
  <c r="AX129" i="10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92" i="10" l="1"/>
  <c r="U21" i="39"/>
  <c r="BF122" i="10" l="1"/>
  <c r="BI122" i="10" s="1"/>
  <c r="AA21" i="39"/>
  <c r="AX399" i="28"/>
  <c r="BF399" i="28" s="1"/>
  <c r="BH399" i="28" s="1"/>
  <c r="AP377" i="28"/>
  <c r="AJ371" i="28"/>
  <c r="AP371" i="28" s="1"/>
  <c r="AJ364" i="28"/>
  <c r="AP364" i="28" s="1"/>
  <c r="AJ352" i="28"/>
  <c r="AP352" i="28" s="1"/>
  <c r="AJ338" i="28"/>
  <c r="AX321" i="28"/>
  <c r="BF321" i="28" s="1"/>
  <c r="BH321" i="28" s="1"/>
  <c r="AJ468" i="28"/>
  <c r="AP468" i="28" s="1"/>
  <c r="AJ395" i="28"/>
  <c r="AP376" i="28"/>
  <c r="AJ370" i="28"/>
  <c r="AP370" i="28" s="1"/>
  <c r="AJ363" i="28"/>
  <c r="AP363" i="28" s="1"/>
  <c r="AJ351" i="28"/>
  <c r="AP351" i="28" s="1"/>
  <c r="AJ344" i="28"/>
  <c r="AJ336" i="28"/>
  <c r="AX319" i="28"/>
  <c r="BF319" i="28" s="1"/>
  <c r="BH319" i="28" s="1"/>
  <c r="AJ285" i="28"/>
  <c r="AP285" i="28" s="1"/>
  <c r="AT285" i="28" s="1"/>
  <c r="AJ467" i="28"/>
  <c r="AP467" i="28" s="1"/>
  <c r="AP381" i="28"/>
  <c r="AP375" i="28"/>
  <c r="AJ369" i="28"/>
  <c r="AP369" i="28" s="1"/>
  <c r="AJ362" i="28"/>
  <c r="AP362" i="28" s="1"/>
  <c r="AJ350" i="28"/>
  <c r="AJ343" i="28"/>
  <c r="AJ335" i="28"/>
  <c r="AX317" i="28"/>
  <c r="BF317" i="28" s="1"/>
  <c r="BH317" i="28" s="1"/>
  <c r="AJ466" i="28"/>
  <c r="AP380" i="28"/>
  <c r="AJ368" i="28"/>
  <c r="AP368" i="28" s="1"/>
  <c r="AJ361" i="28"/>
  <c r="AP361" i="28" s="1"/>
  <c r="AJ348" i="28"/>
  <c r="AJ342" i="28"/>
  <c r="AJ324" i="28"/>
  <c r="AX316" i="28"/>
  <c r="BF316" i="28" s="1"/>
  <c r="BH316" i="28" s="1"/>
  <c r="AJ222" i="28"/>
  <c r="AP222" i="28" s="1"/>
  <c r="AJ453" i="28"/>
  <c r="AP453" i="28" s="1"/>
  <c r="AP379" i="28"/>
  <c r="AP373" i="28"/>
  <c r="AJ366" i="28"/>
  <c r="AP366" i="28" s="1"/>
  <c r="AJ360" i="28"/>
  <c r="AP360" i="28" s="1"/>
  <c r="AJ347" i="28"/>
  <c r="AJ341" i="28"/>
  <c r="AJ323" i="28"/>
  <c r="AP314" i="28"/>
  <c r="AJ221" i="28"/>
  <c r="AP221" i="28" s="1"/>
  <c r="AX403" i="28"/>
  <c r="BF403" i="28" s="1"/>
  <c r="BH403" i="28" s="1"/>
  <c r="AP378" i="28"/>
  <c r="AP372" i="28"/>
  <c r="AJ365" i="28"/>
  <c r="AP365" i="28" s="1"/>
  <c r="AJ359" i="28"/>
  <c r="AP359" i="28" s="1"/>
  <c r="AJ339" i="28"/>
  <c r="AX322" i="28"/>
  <c r="BF322" i="28" s="1"/>
  <c r="BH322" i="28" s="1"/>
  <c r="AJ134" i="28"/>
  <c r="AP134" i="28" s="1"/>
  <c r="AJ186" i="28"/>
  <c r="AP186" i="28" s="1"/>
  <c r="AJ169" i="28"/>
  <c r="AP169" i="28" s="1"/>
  <c r="AJ147" i="28"/>
  <c r="AP147" i="28" s="1"/>
  <c r="AJ133" i="28"/>
  <c r="AP133" i="28" s="1"/>
  <c r="AJ125" i="28"/>
  <c r="AP125" i="28" s="1"/>
  <c r="AJ170" i="28"/>
  <c r="AP170" i="28" s="1"/>
  <c r="AJ126" i="28"/>
  <c r="AP126" i="28" s="1"/>
  <c r="AJ174" i="28"/>
  <c r="AP174" i="28" s="1"/>
  <c r="AJ161" i="28"/>
  <c r="AP161" i="28" s="1"/>
  <c r="AJ143" i="28"/>
  <c r="AJ131" i="28"/>
  <c r="AP131" i="28" s="1"/>
  <c r="AJ124" i="28"/>
  <c r="AP124" i="28" s="1"/>
  <c r="AJ157" i="28"/>
  <c r="AJ173" i="28"/>
  <c r="AP173" i="28" s="1"/>
  <c r="AJ160" i="28"/>
  <c r="AP160" i="28" s="1"/>
  <c r="AJ139" i="28"/>
  <c r="AP139" i="28" s="1"/>
  <c r="AJ130" i="28"/>
  <c r="AP130" i="28" s="1"/>
  <c r="AJ123" i="28"/>
  <c r="AP123" i="28" s="1"/>
  <c r="AJ187" i="28"/>
  <c r="AP187" i="28" s="1"/>
  <c r="AJ172" i="28"/>
  <c r="AP172" i="28" s="1"/>
  <c r="AJ159" i="28"/>
  <c r="AP159" i="28" s="1"/>
  <c r="AJ137" i="28"/>
  <c r="AP137" i="28" s="1"/>
  <c r="AJ129" i="28"/>
  <c r="AP129" i="28" s="1"/>
  <c r="AJ122" i="28"/>
  <c r="AP122" i="28" s="1"/>
  <c r="AJ185" i="28"/>
  <c r="AP185" i="28" s="1"/>
  <c r="AJ171" i="28"/>
  <c r="AP171" i="28" s="1"/>
  <c r="AJ158" i="28"/>
  <c r="AP158" i="28" s="1"/>
  <c r="AJ136" i="28"/>
  <c r="AP136" i="28" s="1"/>
  <c r="AJ127" i="28"/>
  <c r="AP127" i="28" s="1"/>
  <c r="M179" i="73"/>
  <c r="Q179" i="73" s="1"/>
  <c r="U179" i="73" s="1"/>
  <c r="M167" i="73"/>
  <c r="M77" i="73"/>
  <c r="M78" i="73"/>
  <c r="M79" i="73"/>
  <c r="M80" i="73"/>
  <c r="M60" i="73"/>
  <c r="M61" i="73"/>
  <c r="Q61" i="73" s="1"/>
  <c r="U61" i="73" s="1"/>
  <c r="M37" i="73"/>
  <c r="M39" i="73"/>
  <c r="M20" i="73"/>
  <c r="Q20" i="73" s="1"/>
  <c r="U20" i="73" s="1"/>
  <c r="M21" i="73"/>
  <c r="M22" i="73"/>
  <c r="Q22" i="73" s="1"/>
  <c r="U22" i="73" s="1"/>
  <c r="AT467" i="28" l="1"/>
  <c r="AX467" i="28" s="1"/>
  <c r="BF467" i="28" s="1"/>
  <c r="BH467" i="28" s="1"/>
  <c r="AT453" i="28"/>
  <c r="AX453" i="28" s="1"/>
  <c r="BF453" i="28" s="1"/>
  <c r="BH453" i="28" s="1"/>
  <c r="AT468" i="28"/>
  <c r="AX468" i="28" s="1"/>
  <c r="BF468" i="28" s="1"/>
  <c r="BH468" i="28" s="1"/>
  <c r="AT359" i="28"/>
  <c r="AX359" i="28" s="1"/>
  <c r="BF359" i="28" s="1"/>
  <c r="BH359" i="28" s="1"/>
  <c r="AT373" i="28"/>
  <c r="AX373" i="28" s="1"/>
  <c r="BF373" i="28" s="1"/>
  <c r="BH373" i="28" s="1"/>
  <c r="AT361" i="28"/>
  <c r="AX361" i="28" s="1"/>
  <c r="BF361" i="28" s="1"/>
  <c r="BH361" i="28" s="1"/>
  <c r="AT362" i="28"/>
  <c r="AX362" i="28" s="1"/>
  <c r="BF362" i="28" s="1"/>
  <c r="BH362" i="28" s="1"/>
  <c r="AT376" i="28"/>
  <c r="AX376" i="28" s="1"/>
  <c r="BF376" i="28" s="1"/>
  <c r="BH376" i="28" s="1"/>
  <c r="AT377" i="28"/>
  <c r="AX377" i="28" s="1"/>
  <c r="BF377" i="28" s="1"/>
  <c r="BH377" i="28" s="1"/>
  <c r="AT365" i="28"/>
  <c r="AX365" i="28" s="1"/>
  <c r="BF365" i="28" s="1"/>
  <c r="BH365" i="28" s="1"/>
  <c r="AT221" i="28"/>
  <c r="AX221" i="28" s="1"/>
  <c r="BF221" i="28" s="1"/>
  <c r="BH221" i="28" s="1"/>
  <c r="AT379" i="28"/>
  <c r="AX379" i="28" s="1"/>
  <c r="BF379" i="28" s="1"/>
  <c r="BH379" i="28" s="1"/>
  <c r="AT368" i="28"/>
  <c r="AX368" i="28" s="1"/>
  <c r="BF368" i="28" s="1"/>
  <c r="BH368" i="28" s="1"/>
  <c r="AT369" i="28"/>
  <c r="AX369" i="28" s="1"/>
  <c r="BF369" i="28" s="1"/>
  <c r="BH369" i="28" s="1"/>
  <c r="AT351" i="28"/>
  <c r="AX351" i="28" s="1"/>
  <c r="BF351" i="28" s="1"/>
  <c r="BH351" i="28" s="1"/>
  <c r="AT352" i="28"/>
  <c r="AX352" i="28" s="1"/>
  <c r="BF352" i="28" s="1"/>
  <c r="BH352" i="28" s="1"/>
  <c r="AT372" i="28"/>
  <c r="AX372" i="28" s="1"/>
  <c r="BF372" i="28" s="1"/>
  <c r="BH372" i="28" s="1"/>
  <c r="AT314" i="28"/>
  <c r="AX314" i="28" s="1"/>
  <c r="BF314" i="28" s="1"/>
  <c r="BH314" i="28" s="1"/>
  <c r="AT360" i="28"/>
  <c r="AX360" i="28" s="1"/>
  <c r="BF360" i="28" s="1"/>
  <c r="BH360" i="28" s="1"/>
  <c r="AT380" i="28"/>
  <c r="AX380" i="28" s="1"/>
  <c r="BF380" i="28" s="1"/>
  <c r="BH380" i="28" s="1"/>
  <c r="AT375" i="28"/>
  <c r="AX375" i="28" s="1"/>
  <c r="BF375" i="28" s="1"/>
  <c r="BH375" i="28" s="1"/>
  <c r="AT363" i="28"/>
  <c r="AX363" i="28" s="1"/>
  <c r="BF363" i="28" s="1"/>
  <c r="BH363" i="28" s="1"/>
  <c r="AT364" i="28"/>
  <c r="AX364" i="28" s="1"/>
  <c r="BF364" i="28" s="1"/>
  <c r="BH364" i="28" s="1"/>
  <c r="AT378" i="28"/>
  <c r="AX378" i="28" s="1"/>
  <c r="BF378" i="28" s="1"/>
  <c r="BH378" i="28" s="1"/>
  <c r="AT366" i="28"/>
  <c r="AX366" i="28" s="1"/>
  <c r="BF366" i="28" s="1"/>
  <c r="BH366" i="28" s="1"/>
  <c r="AT222" i="28"/>
  <c r="AX222" i="28" s="1"/>
  <c r="BF222" i="28" s="1"/>
  <c r="BH222" i="28" s="1"/>
  <c r="AT381" i="28"/>
  <c r="AX381" i="28" s="1"/>
  <c r="BF381" i="28" s="1"/>
  <c r="BH381" i="28" s="1"/>
  <c r="AT370" i="28"/>
  <c r="AX370" i="28" s="1"/>
  <c r="BF370" i="28" s="1"/>
  <c r="BH370" i="28" s="1"/>
  <c r="AT371" i="28"/>
  <c r="AX371" i="28" s="1"/>
  <c r="BF371" i="28" s="1"/>
  <c r="BH371" i="28" s="1"/>
  <c r="AT127" i="28"/>
  <c r="AX127" i="28" s="1"/>
  <c r="BF127" i="28" s="1"/>
  <c r="BH127" i="28" s="1"/>
  <c r="AT185" i="28"/>
  <c r="AX185" i="28" s="1"/>
  <c r="BF185" i="28" s="1"/>
  <c r="BH185" i="28" s="1"/>
  <c r="AT159" i="28"/>
  <c r="AX159" i="28" s="1"/>
  <c r="BF159" i="28" s="1"/>
  <c r="BH159" i="28" s="1"/>
  <c r="AT130" i="28"/>
  <c r="AX130" i="28" s="1"/>
  <c r="BF130" i="28" s="1"/>
  <c r="BH130" i="28" s="1"/>
  <c r="AT161" i="28"/>
  <c r="AX161" i="28" s="1"/>
  <c r="BF161" i="28" s="1"/>
  <c r="BH161" i="28" s="1"/>
  <c r="AT125" i="28"/>
  <c r="AX125" i="28" s="1"/>
  <c r="BF125" i="28" s="1"/>
  <c r="BH125" i="28" s="1"/>
  <c r="AT186" i="28"/>
  <c r="AX186" i="28" s="1"/>
  <c r="BF186" i="28" s="1"/>
  <c r="BH186" i="28" s="1"/>
  <c r="AT136" i="28"/>
  <c r="AX136" i="28" s="1"/>
  <c r="BF136" i="28" s="1"/>
  <c r="BH136" i="28" s="1"/>
  <c r="AT122" i="28"/>
  <c r="AX122" i="28" s="1"/>
  <c r="BF122" i="28" s="1"/>
  <c r="BH122" i="28" s="1"/>
  <c r="AT172" i="28"/>
  <c r="AX172" i="28" s="1"/>
  <c r="BF172" i="28" s="1"/>
  <c r="BH172" i="28" s="1"/>
  <c r="AT139" i="28"/>
  <c r="AX139" i="28" s="1"/>
  <c r="BF139" i="28" s="1"/>
  <c r="BH139" i="28" s="1"/>
  <c r="AT124" i="28"/>
  <c r="AX124" i="28" s="1"/>
  <c r="BF124" i="28" s="1"/>
  <c r="BH124" i="28" s="1"/>
  <c r="AT174" i="28"/>
  <c r="AX174" i="28" s="1"/>
  <c r="BF174" i="28" s="1"/>
  <c r="BH174" i="28" s="1"/>
  <c r="AT133" i="28"/>
  <c r="AX133" i="28" s="1"/>
  <c r="BF133" i="28" s="1"/>
  <c r="BH133" i="28" s="1"/>
  <c r="AT134" i="28"/>
  <c r="AX134" i="28" s="1"/>
  <c r="BF134" i="28" s="1"/>
  <c r="BH134" i="28" s="1"/>
  <c r="AT158" i="28"/>
  <c r="AX158" i="28" s="1"/>
  <c r="BF158" i="28" s="1"/>
  <c r="BH158" i="28" s="1"/>
  <c r="AT129" i="28"/>
  <c r="AX129" i="28" s="1"/>
  <c r="BF129" i="28" s="1"/>
  <c r="BH129" i="28" s="1"/>
  <c r="AT187" i="28"/>
  <c r="AX187" i="28" s="1"/>
  <c r="BF187" i="28" s="1"/>
  <c r="BH187" i="28" s="1"/>
  <c r="AT160" i="28"/>
  <c r="AX160" i="28" s="1"/>
  <c r="BF160" i="28" s="1"/>
  <c r="BH160" i="28" s="1"/>
  <c r="AT131" i="28"/>
  <c r="AX131" i="28" s="1"/>
  <c r="BF131" i="28" s="1"/>
  <c r="BH131" i="28" s="1"/>
  <c r="AT126" i="28"/>
  <c r="AX126" i="28" s="1"/>
  <c r="BF126" i="28" s="1"/>
  <c r="BH126" i="28" s="1"/>
  <c r="AT147" i="28"/>
  <c r="AX147" i="28" s="1"/>
  <c r="BF147" i="28" s="1"/>
  <c r="BH147" i="28" s="1"/>
  <c r="AT171" i="28"/>
  <c r="AX171" i="28" s="1"/>
  <c r="BF171" i="28" s="1"/>
  <c r="BH171" i="28" s="1"/>
  <c r="AT137" i="28"/>
  <c r="AX137" i="28" s="1"/>
  <c r="BF137" i="28" s="1"/>
  <c r="BH137" i="28" s="1"/>
  <c r="AT123" i="28"/>
  <c r="AX123" i="28" s="1"/>
  <c r="BF123" i="28" s="1"/>
  <c r="BH123" i="28" s="1"/>
  <c r="AT173" i="28"/>
  <c r="AX173" i="28" s="1"/>
  <c r="BF173" i="28" s="1"/>
  <c r="BH173" i="28" s="1"/>
  <c r="AT170" i="28"/>
  <c r="AX170" i="28" s="1"/>
  <c r="BF170" i="28" s="1"/>
  <c r="BH170" i="28" s="1"/>
  <c r="AT169" i="28"/>
  <c r="AX169" i="28" s="1"/>
  <c r="BF169" i="28" s="1"/>
  <c r="BH169" i="28" s="1"/>
  <c r="AP341" i="28"/>
  <c r="AP344" i="28"/>
  <c r="AP338" i="28"/>
  <c r="AP347" i="28"/>
  <c r="AP324" i="28"/>
  <c r="AP335" i="28"/>
  <c r="AP342" i="28"/>
  <c r="AP343" i="28"/>
  <c r="AP339" i="28"/>
  <c r="AP323" i="28"/>
  <c r="AP348" i="28"/>
  <c r="AP350" i="28"/>
  <c r="AP336" i="28"/>
  <c r="AP157" i="28"/>
  <c r="AP143" i="28"/>
  <c r="AP466" i="28"/>
  <c r="AP395" i="28"/>
  <c r="Q80" i="73"/>
  <c r="U80" i="73" s="1"/>
  <c r="Q79" i="73"/>
  <c r="U79" i="73" s="1"/>
  <c r="Q78" i="73"/>
  <c r="U78" i="73" s="1"/>
  <c r="Q167" i="73"/>
  <c r="U167" i="73" s="1"/>
  <c r="Q77" i="73"/>
  <c r="U77" i="73" s="1"/>
  <c r="Q21" i="73"/>
  <c r="U21" i="73" s="1"/>
  <c r="Q60" i="73"/>
  <c r="U60" i="73" s="1"/>
  <c r="Q37" i="73"/>
  <c r="U37" i="73" s="1"/>
  <c r="Q39" i="73"/>
  <c r="U39" i="73" s="1"/>
  <c r="AE21" i="39"/>
  <c r="AI21" i="39" s="1"/>
  <c r="AA179" i="73"/>
  <c r="AE179" i="73" s="1"/>
  <c r="AA64" i="73"/>
  <c r="AE64" i="73" s="1"/>
  <c r="AA61" i="73"/>
  <c r="AE61" i="73" s="1"/>
  <c r="M145" i="50"/>
  <c r="M146" i="50" s="1"/>
  <c r="G42" i="59"/>
  <c r="G43" i="59"/>
  <c r="G46" i="59"/>
  <c r="G47" i="59"/>
  <c r="G48" i="59"/>
  <c r="H43" i="59"/>
  <c r="AT466" i="28" l="1"/>
  <c r="AX466" i="28" s="1"/>
  <c r="BF466" i="28" s="1"/>
  <c r="BH466" i="28" s="1"/>
  <c r="AT338" i="28"/>
  <c r="AX338" i="28" s="1"/>
  <c r="BF338" i="28" s="1"/>
  <c r="BH338" i="28" s="1"/>
  <c r="AT395" i="28"/>
  <c r="AX395" i="28" s="1"/>
  <c r="BF395" i="28" s="1"/>
  <c r="BH395" i="28" s="1"/>
  <c r="AT350" i="28"/>
  <c r="AX350" i="28" s="1"/>
  <c r="BF350" i="28" s="1"/>
  <c r="BH350" i="28" s="1"/>
  <c r="AT343" i="28"/>
  <c r="AX343" i="28" s="1"/>
  <c r="BF343" i="28" s="1"/>
  <c r="BH343" i="28" s="1"/>
  <c r="AT347" i="28"/>
  <c r="AX347" i="28" s="1"/>
  <c r="BF347" i="28" s="1"/>
  <c r="BH347" i="28" s="1"/>
  <c r="AT348" i="28"/>
  <c r="AX348" i="28" s="1"/>
  <c r="BF348" i="28" s="1"/>
  <c r="BH348" i="28" s="1"/>
  <c r="AT323" i="28"/>
  <c r="AX323" i="28" s="1"/>
  <c r="BF323" i="28" s="1"/>
  <c r="BH323" i="28" s="1"/>
  <c r="AT335" i="28"/>
  <c r="AX335" i="28" s="1"/>
  <c r="BF335" i="28" s="1"/>
  <c r="BH335" i="28" s="1"/>
  <c r="AT344" i="28"/>
  <c r="AX344" i="28" s="1"/>
  <c r="BF344" i="28" s="1"/>
  <c r="BH344" i="28" s="1"/>
  <c r="AT342" i="28"/>
  <c r="AX342" i="28" s="1"/>
  <c r="BF342" i="28" s="1"/>
  <c r="BH342" i="28" s="1"/>
  <c r="AT336" i="28"/>
  <c r="AX336" i="28" s="1"/>
  <c r="BF336" i="28" s="1"/>
  <c r="BH336" i="28" s="1"/>
  <c r="AT339" i="28"/>
  <c r="AX339" i="28" s="1"/>
  <c r="BF339" i="28" s="1"/>
  <c r="BH339" i="28" s="1"/>
  <c r="AT324" i="28"/>
  <c r="AX324" i="28" s="1"/>
  <c r="BF324" i="28" s="1"/>
  <c r="BH324" i="28" s="1"/>
  <c r="AT341" i="28"/>
  <c r="AX341" i="28" s="1"/>
  <c r="BF341" i="28" s="1"/>
  <c r="BH341" i="28" s="1"/>
  <c r="AT143" i="28"/>
  <c r="AX143" i="28" s="1"/>
  <c r="BF143" i="28" s="1"/>
  <c r="BH143" i="28" s="1"/>
  <c r="AT157" i="28"/>
  <c r="AX157" i="28" s="1"/>
  <c r="BF157" i="28" s="1"/>
  <c r="BH157" i="28" s="1"/>
  <c r="AI64" i="73"/>
  <c r="AO64" i="73" s="1"/>
  <c r="AS64" i="73" s="1"/>
  <c r="AW64" i="73" s="1"/>
  <c r="AI61" i="73"/>
  <c r="AO61" i="73" s="1"/>
  <c r="AS61" i="73" s="1"/>
  <c r="AW61" i="73" s="1"/>
  <c r="K120" i="90"/>
  <c r="AI179" i="73"/>
  <c r="AO179" i="73" s="1"/>
  <c r="AS179" i="73" s="1"/>
  <c r="AW179" i="73" s="1"/>
  <c r="G49" i="59"/>
  <c r="G44" i="59"/>
  <c r="BH60" i="59"/>
  <c r="BF60" i="59"/>
  <c r="BD60" i="59"/>
  <c r="BE179" i="73" l="1"/>
  <c r="K124" i="90"/>
  <c r="AO21" i="39"/>
  <c r="AS21" i="39" l="1"/>
  <c r="AW21" i="39" l="1"/>
  <c r="BE21" i="39" l="1"/>
  <c r="BF21" i="39" l="1"/>
  <c r="BI21" i="39"/>
  <c r="M97" i="50"/>
  <c r="M95" i="50" s="1"/>
  <c r="I70" i="83"/>
  <c r="I72" i="83"/>
  <c r="I73" i="83"/>
  <c r="I74" i="83"/>
  <c r="I75" i="83"/>
  <c r="I53" i="83"/>
  <c r="I55" i="83"/>
  <c r="I56" i="83"/>
  <c r="I57" i="83"/>
  <c r="I58" i="83"/>
  <c r="I59" i="83"/>
  <c r="I60" i="83"/>
  <c r="I61" i="83"/>
  <c r="I62" i="83"/>
  <c r="I63" i="83"/>
  <c r="I65" i="83"/>
  <c r="I66" i="83"/>
  <c r="I67" i="83"/>
  <c r="I68" i="83"/>
  <c r="I52" i="83"/>
  <c r="I50" i="83"/>
  <c r="I48" i="83"/>
  <c r="I46" i="83"/>
  <c r="I40" i="83"/>
  <c r="I41" i="83"/>
  <c r="I42" i="83"/>
  <c r="I43" i="83"/>
  <c r="I44" i="83"/>
  <c r="I39" i="83"/>
  <c r="I5" i="83"/>
  <c r="O5" i="83" s="1"/>
  <c r="AC5" i="83" s="1"/>
  <c r="I6" i="83"/>
  <c r="O6" i="83" s="1"/>
  <c r="AC6" i="83" s="1"/>
  <c r="I7" i="83"/>
  <c r="O7" i="83" s="1"/>
  <c r="AC7" i="83" s="1"/>
  <c r="I8" i="83"/>
  <c r="O8" i="83" s="1"/>
  <c r="AC8" i="83" s="1"/>
  <c r="I10" i="83"/>
  <c r="O10" i="83" s="1"/>
  <c r="AC10" i="83" s="1"/>
  <c r="I11" i="83"/>
  <c r="O11" i="83" s="1"/>
  <c r="AC11" i="83" s="1"/>
  <c r="I12" i="83"/>
  <c r="O12" i="83" s="1"/>
  <c r="AC12" i="83" s="1"/>
  <c r="I13" i="83"/>
  <c r="O13" i="83" s="1"/>
  <c r="AC13" i="83" s="1"/>
  <c r="I14" i="83"/>
  <c r="O14" i="83" s="1"/>
  <c r="AC14" i="83" s="1"/>
  <c r="I15" i="83"/>
  <c r="O15" i="83" s="1"/>
  <c r="AC15" i="83" s="1"/>
  <c r="I16" i="83"/>
  <c r="O16" i="83" s="1"/>
  <c r="AC16" i="83" s="1"/>
  <c r="I17" i="83"/>
  <c r="O17" i="83" s="1"/>
  <c r="AC17" i="83" s="1"/>
  <c r="I19" i="83"/>
  <c r="O19" i="83" s="1"/>
  <c r="AC19" i="83" s="1"/>
  <c r="I24" i="83"/>
  <c r="O24" i="83" s="1"/>
  <c r="AC24" i="83" s="1"/>
  <c r="I25" i="83"/>
  <c r="O25" i="83" s="1"/>
  <c r="AC25" i="83" s="1"/>
  <c r="I30" i="83"/>
  <c r="O30" i="83" s="1"/>
  <c r="AC30" i="83" s="1"/>
  <c r="I31" i="83"/>
  <c r="O31" i="83" s="1"/>
  <c r="AC31" i="83" s="1"/>
  <c r="I33" i="83"/>
  <c r="O33" i="83" s="1"/>
  <c r="AC33" i="83" s="1"/>
  <c r="I34" i="83"/>
  <c r="O34" i="83" s="1"/>
  <c r="AC34" i="83" s="1"/>
  <c r="I35" i="83"/>
  <c r="O35" i="83" s="1"/>
  <c r="AC35" i="83" s="1"/>
  <c r="I36" i="83"/>
  <c r="O36" i="83" s="1"/>
  <c r="AC36" i="83" s="1"/>
  <c r="I37" i="83"/>
  <c r="O37" i="83" s="1"/>
  <c r="AC37" i="83" s="1"/>
  <c r="I4" i="83"/>
  <c r="J107" i="9"/>
  <c r="J108" i="9"/>
  <c r="I76" i="83" l="1"/>
  <c r="I51" i="83"/>
  <c r="I45" i="83"/>
  <c r="I69" i="83"/>
  <c r="I29" i="9"/>
  <c r="J53" i="6" l="1"/>
  <c r="J52" i="6"/>
  <c r="J50" i="6"/>
  <c r="J49" i="6"/>
  <c r="J47" i="6"/>
  <c r="J46" i="6"/>
  <c r="J44" i="6"/>
  <c r="J43" i="6"/>
  <c r="E298" i="28" l="1"/>
  <c r="E297" i="28"/>
  <c r="I20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2" i="11" l="1"/>
  <c r="R22" i="11" l="1"/>
  <c r="V22" i="11" s="1"/>
  <c r="AB22" i="11"/>
  <c r="J7" i="10"/>
  <c r="J127" i="10"/>
  <c r="J129" i="10"/>
  <c r="J131" i="10"/>
  <c r="J132" i="10"/>
  <c r="J133" i="10"/>
  <c r="J136" i="10"/>
  <c r="J137" i="10"/>
  <c r="J139" i="10"/>
  <c r="J140" i="10"/>
  <c r="J141" i="10"/>
  <c r="J143" i="10"/>
  <c r="J144" i="10"/>
  <c r="J145" i="10"/>
  <c r="J146" i="10"/>
  <c r="J147" i="10"/>
  <c r="J148" i="10"/>
  <c r="J149" i="10"/>
  <c r="J150" i="10"/>
  <c r="J154" i="10"/>
  <c r="J155" i="10"/>
  <c r="J156" i="10"/>
  <c r="J54" i="11"/>
  <c r="J52" i="11"/>
  <c r="J51" i="11"/>
  <c r="J50" i="11"/>
  <c r="J49" i="11"/>
  <c r="J48" i="11"/>
  <c r="J47" i="11"/>
  <c r="J46" i="11"/>
  <c r="J45" i="11"/>
  <c r="J44" i="11"/>
  <c r="I9" i="83"/>
  <c r="O9" i="83" s="1"/>
  <c r="AC9" i="83" s="1"/>
  <c r="AF22" i="11" l="1"/>
  <c r="J138" i="10"/>
  <c r="I29" i="83"/>
  <c r="O29" i="83" s="1"/>
  <c r="AC29" i="83" s="1"/>
  <c r="I18" i="83"/>
  <c r="O18" i="83" s="1"/>
  <c r="AC18" i="83" s="1"/>
  <c r="J130" i="10"/>
  <c r="I27" i="83"/>
  <c r="O27" i="83" s="1"/>
  <c r="AC27" i="83" s="1"/>
  <c r="I32" i="83"/>
  <c r="O32" i="83" s="1"/>
  <c r="AC32" i="83" s="1"/>
  <c r="AJ22" i="11" l="1"/>
  <c r="AP22" i="11" s="1"/>
  <c r="AT22" i="11" s="1"/>
  <c r="AX22" i="11" s="1"/>
  <c r="AF130" i="10"/>
  <c r="BF108" i="10"/>
  <c r="BI108" i="10" s="1"/>
  <c r="AF138" i="10"/>
  <c r="BF25" i="10"/>
  <c r="BI25" i="10" s="1"/>
  <c r="BF64" i="10"/>
  <c r="BI64" i="10" s="1"/>
  <c r="BF24" i="10"/>
  <c r="BI24" i="10" s="1"/>
  <c r="AJ30" i="10"/>
  <c r="I38" i="83"/>
  <c r="I77" i="83" s="1"/>
  <c r="I177" i="73"/>
  <c r="I167" i="73"/>
  <c r="I168" i="73"/>
  <c r="I164" i="73"/>
  <c r="I157" i="73"/>
  <c r="I96" i="73"/>
  <c r="I86" i="73"/>
  <c r="I49" i="73"/>
  <c r="I50" i="73"/>
  <c r="I33" i="73"/>
  <c r="I35" i="73"/>
  <c r="I36" i="73"/>
  <c r="I37" i="73"/>
  <c r="I39" i="73"/>
  <c r="I40" i="73"/>
  <c r="AP30" i="10" l="1"/>
  <c r="AT30" i="10" s="1"/>
  <c r="AJ138" i="10"/>
  <c r="AJ130" i="10"/>
  <c r="AX30" i="10" l="1"/>
  <c r="AP130" i="10"/>
  <c r="AP138" i="10"/>
  <c r="G127" i="90"/>
  <c r="BF30" i="10" l="1"/>
  <c r="BI30" i="10" s="1"/>
  <c r="AT138" i="10"/>
  <c r="AX138" i="10" s="1"/>
  <c r="AT130" i="10"/>
  <c r="AX130" i="10" s="1"/>
  <c r="H21" i="39"/>
  <c r="BF130" i="10" l="1"/>
  <c r="BI130" i="10" s="1"/>
  <c r="BF138" i="10"/>
  <c r="BI138" i="10" s="1"/>
  <c r="N12" i="38"/>
  <c r="I48" i="50"/>
  <c r="I49" i="50"/>
  <c r="I50" i="50"/>
  <c r="I51" i="50"/>
  <c r="I53" i="50"/>
  <c r="I40" i="50"/>
  <c r="I41" i="50"/>
  <c r="I42" i="50"/>
  <c r="I43" i="50"/>
  <c r="I44" i="50"/>
  <c r="I45" i="50"/>
  <c r="I39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7" i="50"/>
  <c r="I127" i="50"/>
  <c r="I100" i="50"/>
  <c r="I138" i="50"/>
  <c r="I128" i="50"/>
  <c r="I47" i="50"/>
  <c r="I7" i="61" l="1"/>
  <c r="I6" i="61"/>
  <c r="I5" i="61"/>
  <c r="I10" i="61"/>
  <c r="I4" i="61"/>
  <c r="I9" i="61"/>
  <c r="I8" i="61"/>
  <c r="I54" i="50"/>
  <c r="I124" i="50" s="1"/>
  <c r="I38" i="50"/>
  <c r="I46" i="50"/>
  <c r="I139" i="50"/>
  <c r="I129" i="50"/>
  <c r="I116" i="50"/>
  <c r="I140" i="50"/>
  <c r="I130" i="50"/>
  <c r="H10" i="49"/>
  <c r="H12" i="49" s="1"/>
  <c r="H14" i="49" s="1"/>
  <c r="H15" i="49" s="1"/>
  <c r="H16" i="49" s="1"/>
  <c r="H19" i="49" s="1"/>
  <c r="H20" i="49" s="1"/>
  <c r="I16" i="61" l="1"/>
  <c r="I108" i="50"/>
  <c r="H162" i="10"/>
  <c r="H163" i="10" s="1"/>
  <c r="I119" i="50"/>
  <c r="I123" i="50"/>
  <c r="I125" i="50" s="1"/>
  <c r="I133" i="50"/>
  <c r="I94" i="50"/>
  <c r="I120" i="50"/>
  <c r="I101" i="50"/>
  <c r="I121" i="50" l="1"/>
  <c r="I107" i="50"/>
  <c r="I109" i="50" s="1"/>
  <c r="G2" i="17"/>
  <c r="G2" i="26"/>
  <c r="F2" i="17"/>
  <c r="F2" i="26"/>
  <c r="H55" i="35"/>
  <c r="I110" i="50" l="1"/>
  <c r="I117" i="50" s="1"/>
  <c r="L22" i="59" l="1"/>
  <c r="L15" i="59"/>
  <c r="M12" i="59"/>
  <c r="L12" i="59"/>
  <c r="L11" i="59"/>
  <c r="I145" i="50" l="1"/>
  <c r="I146" i="50" s="1"/>
  <c r="G120" i="90" l="1"/>
  <c r="I97" i="50"/>
  <c r="I95" i="50" s="1"/>
  <c r="I80" i="83"/>
  <c r="I78" i="83" s="1"/>
  <c r="G124" i="90" l="1"/>
  <c r="E127" i="90"/>
  <c r="I127" i="90" l="1"/>
  <c r="M127" i="90"/>
  <c r="E46" i="8" l="1"/>
  <c r="H47" i="59" s="1"/>
  <c r="E20" i="35" l="1"/>
  <c r="E19" i="35"/>
  <c r="I19" i="35" l="1"/>
  <c r="M19" i="35"/>
  <c r="I20" i="35"/>
  <c r="M20" i="35"/>
  <c r="G53" i="83"/>
  <c r="G55" i="83"/>
  <c r="G56" i="83"/>
  <c r="G57" i="83"/>
  <c r="G58" i="83"/>
  <c r="G59" i="83"/>
  <c r="G60" i="83"/>
  <c r="G61" i="83"/>
  <c r="G62" i="83"/>
  <c r="G63" i="83"/>
  <c r="G65" i="83"/>
  <c r="G66" i="83"/>
  <c r="G67" i="83"/>
  <c r="O67" i="83" s="1"/>
  <c r="AC67" i="83" s="1"/>
  <c r="G52" i="83"/>
  <c r="G70" i="83"/>
  <c r="G72" i="83"/>
  <c r="K72" i="83" s="1"/>
  <c r="G73" i="83"/>
  <c r="K73" i="83" s="1"/>
  <c r="G74" i="83"/>
  <c r="G75" i="83"/>
  <c r="K60" i="83" l="1"/>
  <c r="O60" i="83"/>
  <c r="AC60" i="83" s="1"/>
  <c r="K53" i="83"/>
  <c r="O53" i="83"/>
  <c r="AC53" i="83" s="1"/>
  <c r="K61" i="83"/>
  <c r="O61" i="83"/>
  <c r="AC61" i="83" s="1"/>
  <c r="K66" i="83"/>
  <c r="O66" i="83"/>
  <c r="AC66" i="83" s="1"/>
  <c r="K59" i="83"/>
  <c r="O59" i="83"/>
  <c r="AC59" i="83" s="1"/>
  <c r="K55" i="83"/>
  <c r="O55" i="83"/>
  <c r="AC55" i="83" s="1"/>
  <c r="K65" i="83"/>
  <c r="O65" i="83"/>
  <c r="AC65" i="83" s="1"/>
  <c r="K58" i="83"/>
  <c r="O58" i="83"/>
  <c r="AC58" i="83" s="1"/>
  <c r="K63" i="83"/>
  <c r="O63" i="83"/>
  <c r="K57" i="83"/>
  <c r="O57" i="83"/>
  <c r="AC57" i="83" s="1"/>
  <c r="K70" i="83"/>
  <c r="O70" i="83"/>
  <c r="S70" i="83" s="1"/>
  <c r="K62" i="83"/>
  <c r="O62" i="83"/>
  <c r="AC62" i="83" s="1"/>
  <c r="K56" i="83"/>
  <c r="O56" i="83"/>
  <c r="AC56" i="83" s="1"/>
  <c r="Q19" i="35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S63" i="83" l="1"/>
  <c r="AC63" i="83"/>
  <c r="K14" i="83"/>
  <c r="K13" i="83"/>
  <c r="S13" i="83"/>
  <c r="W13" i="83" s="1"/>
  <c r="G14" i="50"/>
  <c r="G6" i="61" l="1"/>
  <c r="K14" i="50"/>
  <c r="AG14" i="83"/>
  <c r="AK14" i="83" s="1"/>
  <c r="AQ14" i="83" s="1"/>
  <c r="AU14" i="83" s="1"/>
  <c r="AY14" i="83" s="1"/>
  <c r="BG14" i="83" s="1"/>
  <c r="S14" i="83"/>
  <c r="W14" i="83" s="1"/>
  <c r="O14" i="50"/>
  <c r="G48" i="83"/>
  <c r="G50" i="83"/>
  <c r="O6" i="61" l="1"/>
  <c r="K6" i="61"/>
  <c r="AC14" i="50"/>
  <c r="AG14" i="50" s="1"/>
  <c r="S14" i="50"/>
  <c r="W14" i="50" s="1"/>
  <c r="K50" i="83"/>
  <c r="O50" i="83"/>
  <c r="S50" i="83" s="1"/>
  <c r="K48" i="83"/>
  <c r="O48" i="83"/>
  <c r="S48" i="83" s="1"/>
  <c r="AK14" i="50" l="1"/>
  <c r="AQ14" i="50" s="1"/>
  <c r="AU14" i="50" s="1"/>
  <c r="AY14" i="50" s="1"/>
  <c r="BG14" i="50" s="1"/>
  <c r="BH14" i="50" s="1"/>
  <c r="AC6" i="61"/>
  <c r="AG6" i="61" s="1"/>
  <c r="AK6" i="61" s="1"/>
  <c r="AQ6" i="61" s="1"/>
  <c r="AU6" i="61" s="1"/>
  <c r="AY6" i="61" s="1"/>
  <c r="BG6" i="61" s="1"/>
  <c r="S6" i="61"/>
  <c r="W6" i="61" s="1"/>
  <c r="BF13" i="10"/>
  <c r="BI13" i="10" s="1"/>
  <c r="AJ57" i="10"/>
  <c r="BF32" i="10"/>
  <c r="BI32" i="10" s="1"/>
  <c r="BF52" i="10"/>
  <c r="BI52" i="10" s="1"/>
  <c r="AP57" i="10" l="1"/>
  <c r="AT57" i="10" s="1"/>
  <c r="AJ199" i="10"/>
  <c r="E106" i="7"/>
  <c r="AX57" i="10" l="1"/>
  <c r="I12" i="38"/>
  <c r="I11" i="38"/>
  <c r="BF57" i="10" l="1"/>
  <c r="BI57" i="10" s="1"/>
  <c r="M12" i="38"/>
  <c r="Q12" i="38"/>
  <c r="F24" i="36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I106" i="90" s="1"/>
  <c r="O7" i="72"/>
  <c r="S7" i="72" l="1"/>
  <c r="U106" i="90" s="1"/>
  <c r="Q106" i="90"/>
  <c r="E48" i="39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BJ100" i="6" s="1"/>
  <c r="AN100" i="6"/>
  <c r="BD100" i="6" s="1"/>
  <c r="BK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BJ101" i="6" s="1"/>
  <c r="AN101" i="6"/>
  <c r="BD101" i="6" s="1"/>
  <c r="BK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AX101" i="6"/>
  <c r="AW100" i="6"/>
  <c r="AX100" i="6"/>
  <c r="BF100" i="6" l="1"/>
  <c r="BH100" i="6" s="1"/>
  <c r="BE100" i="6"/>
  <c r="BG100" i="6" s="1"/>
  <c r="BF101" i="6"/>
  <c r="BH101" i="6" s="1"/>
  <c r="BE101" i="6"/>
  <c r="BG101" i="6" s="1"/>
  <c r="D25" i="35"/>
  <c r="D15" i="8" s="1"/>
  <c r="D33" i="36" l="1"/>
  <c r="D58" i="36"/>
  <c r="D64" i="36"/>
  <c r="D61" i="36"/>
  <c r="D63" i="36" s="1"/>
  <c r="D59" i="36"/>
  <c r="D60" i="36" l="1"/>
  <c r="D56" i="36"/>
  <c r="D57" i="36"/>
  <c r="I16" i="7"/>
  <c r="J16" i="7"/>
  <c r="Y16" i="7" l="1"/>
  <c r="Z16" i="7"/>
  <c r="M16" i="7"/>
  <c r="Q16" i="7" s="1"/>
  <c r="U16" i="7" s="1"/>
  <c r="N16" i="7"/>
  <c r="AB16" i="7" l="1"/>
  <c r="AA16" i="7"/>
  <c r="R16" i="7"/>
  <c r="V16" i="7" s="1"/>
  <c r="AE16" i="7" l="1"/>
  <c r="AI16" i="7"/>
  <c r="AO16" i="7" s="1"/>
  <c r="AF16" i="7"/>
  <c r="AS16" i="7" l="1"/>
  <c r="AW16" i="7" s="1"/>
  <c r="AJ16" i="7"/>
  <c r="AP16" i="7" s="1"/>
  <c r="BE16" i="7" l="1"/>
  <c r="BG16" i="7" s="1"/>
  <c r="AT16" i="7"/>
  <c r="AX16" i="7" s="1"/>
  <c r="BF16" i="7" l="1"/>
  <c r="BH16" i="7" s="1"/>
  <c r="BA27" i="15" l="1"/>
  <c r="BA28" i="15"/>
  <c r="BA33" i="15"/>
  <c r="BA35" i="15"/>
  <c r="AM27" i="15"/>
  <c r="BC27" i="15" s="1"/>
  <c r="AM28" i="15"/>
  <c r="AM33" i="15"/>
  <c r="AM35" i="15"/>
  <c r="Y27" i="15"/>
  <c r="Y33" i="15"/>
  <c r="Y35" i="15"/>
  <c r="M27" i="15"/>
  <c r="Q27" i="15" s="1"/>
  <c r="M28" i="15"/>
  <c r="Q28" i="15" s="1"/>
  <c r="M33" i="15"/>
  <c r="Q33" i="15" s="1"/>
  <c r="M35" i="15"/>
  <c r="Q35" i="15" s="1"/>
  <c r="I27" i="15"/>
  <c r="I28" i="15"/>
  <c r="I33" i="15"/>
  <c r="I35" i="15"/>
  <c r="BC28" i="15" l="1"/>
  <c r="AA33" i="15"/>
  <c r="AE33" i="15" s="1"/>
  <c r="AA35" i="15"/>
  <c r="AE35" i="15" s="1"/>
  <c r="AA27" i="15"/>
  <c r="AE27" i="15" s="1"/>
  <c r="BC33" i="15"/>
  <c r="BC35" i="15"/>
  <c r="U35" i="15"/>
  <c r="U33" i="15"/>
  <c r="U27" i="15"/>
  <c r="AI27" i="15" l="1"/>
  <c r="AO27" i="15" s="1"/>
  <c r="AS27" i="15" s="1"/>
  <c r="AI35" i="15"/>
  <c r="AO35" i="15" s="1"/>
  <c r="AS35" i="15" s="1"/>
  <c r="AI33" i="15"/>
  <c r="AO33" i="15" s="1"/>
  <c r="AS33" i="15" s="1"/>
  <c r="AW27" i="15" l="1"/>
  <c r="BE27" i="15" s="1"/>
  <c r="AW33" i="15"/>
  <c r="BE33" i="15" s="1"/>
  <c r="AW35" i="15"/>
  <c r="BE35" i="15" s="1"/>
  <c r="F14" i="35"/>
  <c r="F13" i="35"/>
  <c r="AE53" i="50" l="1"/>
  <c r="AE51" i="50"/>
  <c r="AE50" i="50"/>
  <c r="AE49" i="50"/>
  <c r="AE48" i="50"/>
  <c r="AE47" i="50"/>
  <c r="Q53" i="50"/>
  <c r="Q51" i="50"/>
  <c r="Q50" i="50"/>
  <c r="Q49" i="50"/>
  <c r="Q48" i="50"/>
  <c r="Q47" i="50"/>
  <c r="G53" i="50"/>
  <c r="G51" i="50"/>
  <c r="G50" i="50"/>
  <c r="G49" i="50"/>
  <c r="G48" i="50"/>
  <c r="G47" i="50"/>
  <c r="AE137" i="50"/>
  <c r="Q137" i="50"/>
  <c r="AE5" i="50"/>
  <c r="AE6" i="50"/>
  <c r="AE7" i="50"/>
  <c r="AE8" i="50"/>
  <c r="AE10" i="50"/>
  <c r="AE11" i="50"/>
  <c r="AE12" i="50"/>
  <c r="AE13" i="50"/>
  <c r="AE15" i="50"/>
  <c r="AE16" i="50"/>
  <c r="AE17" i="50"/>
  <c r="AE18" i="50"/>
  <c r="AA6" i="50"/>
  <c r="AA7" i="50"/>
  <c r="AA8" i="50"/>
  <c r="AA9" i="50"/>
  <c r="AA10" i="50"/>
  <c r="AA11" i="50"/>
  <c r="AA12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5" i="10"/>
  <c r="BB127" i="10"/>
  <c r="BB129" i="10"/>
  <c r="BB130" i="10"/>
  <c r="BB131" i="10"/>
  <c r="BB132" i="10"/>
  <c r="BB133" i="10"/>
  <c r="BB134" i="10"/>
  <c r="BB136" i="10"/>
  <c r="BB137" i="10"/>
  <c r="BB138" i="10"/>
  <c r="BB139" i="10"/>
  <c r="BB140" i="10"/>
  <c r="BB141" i="10"/>
  <c r="BB142" i="10"/>
  <c r="BB143" i="10"/>
  <c r="BB144" i="10"/>
  <c r="BB146" i="10"/>
  <c r="BB147" i="10"/>
  <c r="BB148" i="10"/>
  <c r="BB149" i="10"/>
  <c r="BB154" i="10"/>
  <c r="BB155" i="10"/>
  <c r="BB156" i="10"/>
  <c r="BB157" i="10"/>
  <c r="BM157" i="10" s="1"/>
  <c r="V156" i="10"/>
  <c r="J157" i="10"/>
  <c r="AN478" i="28"/>
  <c r="BB478" i="28"/>
  <c r="BE56" i="28"/>
  <c r="BG56" i="28" s="1"/>
  <c r="BE48" i="28"/>
  <c r="BG48" i="28" s="1"/>
  <c r="F18" i="73"/>
  <c r="H18" i="73"/>
  <c r="I58" i="28" s="1"/>
  <c r="I60" i="28" s="1"/>
  <c r="J18" i="73"/>
  <c r="L18" i="73"/>
  <c r="N18" i="73"/>
  <c r="P18" i="73"/>
  <c r="R18" i="73"/>
  <c r="T18" i="73"/>
  <c r="V18" i="73"/>
  <c r="X18" i="73"/>
  <c r="Z18" i="73"/>
  <c r="AB18" i="73"/>
  <c r="AD18" i="73"/>
  <c r="AF18" i="73"/>
  <c r="AH18" i="73"/>
  <c r="AJ18" i="73"/>
  <c r="AL18" i="73"/>
  <c r="AN18" i="73"/>
  <c r="AR18" i="73"/>
  <c r="AT18" i="73"/>
  <c r="AV18" i="73"/>
  <c r="BD18" i="73"/>
  <c r="E18" i="73"/>
  <c r="F58" i="28" s="1"/>
  <c r="J58" i="28" l="1"/>
  <c r="N58" i="28" s="1"/>
  <c r="F60" i="28"/>
  <c r="J60" i="28" s="1"/>
  <c r="N60" i="28" s="1"/>
  <c r="BD144" i="10"/>
  <c r="BK144" i="10" s="1"/>
  <c r="BM144" i="10"/>
  <c r="BD131" i="10"/>
  <c r="BK131" i="10" s="1"/>
  <c r="BM131" i="10"/>
  <c r="BD132" i="10"/>
  <c r="BK132" i="10" s="1"/>
  <c r="BM132" i="10"/>
  <c r="BD143" i="10"/>
  <c r="BK143" i="10" s="1"/>
  <c r="BM143" i="10"/>
  <c r="BD142" i="10"/>
  <c r="BK142" i="10" s="1"/>
  <c r="BM142" i="10"/>
  <c r="BD129" i="10"/>
  <c r="BK129" i="10" s="1"/>
  <c r="BM129" i="10"/>
  <c r="BD148" i="10"/>
  <c r="BK148" i="10" s="1"/>
  <c r="BM148" i="10"/>
  <c r="BD134" i="10"/>
  <c r="BK134" i="10" s="1"/>
  <c r="BM134" i="10"/>
  <c r="BD141" i="10"/>
  <c r="BK141" i="10" s="1"/>
  <c r="BM141" i="10"/>
  <c r="BD127" i="10"/>
  <c r="BK127" i="10" s="1"/>
  <c r="BM127" i="10"/>
  <c r="BD125" i="10"/>
  <c r="BK125" i="10" s="1"/>
  <c r="BM125" i="10"/>
  <c r="BD147" i="10"/>
  <c r="BK147" i="10" s="1"/>
  <c r="BM147" i="10"/>
  <c r="BD133" i="10"/>
  <c r="BK133" i="10" s="1"/>
  <c r="BM133" i="10"/>
  <c r="BD155" i="10"/>
  <c r="BK155" i="10" s="1"/>
  <c r="BM155" i="10"/>
  <c r="BD154" i="10"/>
  <c r="BK154" i="10" s="1"/>
  <c r="BM154" i="10"/>
  <c r="BD137" i="10"/>
  <c r="BK137" i="10" s="1"/>
  <c r="BM137" i="10"/>
  <c r="BD146" i="10"/>
  <c r="BK146" i="10" s="1"/>
  <c r="BM146" i="10"/>
  <c r="BD156" i="10"/>
  <c r="BK156" i="10" s="1"/>
  <c r="BM156" i="10"/>
  <c r="BD139" i="10"/>
  <c r="BK139" i="10" s="1"/>
  <c r="BM139" i="10"/>
  <c r="BD149" i="10"/>
  <c r="BK149" i="10" s="1"/>
  <c r="BM149" i="10"/>
  <c r="BD136" i="10"/>
  <c r="BK136" i="10" s="1"/>
  <c r="BM136" i="10"/>
  <c r="BD130" i="10"/>
  <c r="BK130" i="10" s="1"/>
  <c r="BM130" i="10"/>
  <c r="BD138" i="10"/>
  <c r="BK138" i="10" s="1"/>
  <c r="BM138" i="10"/>
  <c r="BD140" i="10"/>
  <c r="BK140" i="10" s="1"/>
  <c r="BM140" i="10"/>
  <c r="AE10" i="61"/>
  <c r="AO10" i="61" s="1"/>
  <c r="BE10" i="61" s="1"/>
  <c r="AE5" i="61"/>
  <c r="AO8" i="50"/>
  <c r="BE8" i="50" s="1"/>
  <c r="AO49" i="50"/>
  <c r="BE49" i="50" s="1"/>
  <c r="AE9" i="61"/>
  <c r="AO9" i="61" s="1"/>
  <c r="BE9" i="61" s="1"/>
  <c r="AE4" i="61"/>
  <c r="AO7" i="50"/>
  <c r="BE7" i="50" s="1"/>
  <c r="AO137" i="50"/>
  <c r="BE137" i="50" s="1"/>
  <c r="AO50" i="50"/>
  <c r="BE50" i="50" s="1"/>
  <c r="AE8" i="61"/>
  <c r="AO8" i="61" s="1"/>
  <c r="BE8" i="61" s="1"/>
  <c r="AO11" i="50"/>
  <c r="BE11" i="50" s="1"/>
  <c r="AO6" i="50"/>
  <c r="BE6" i="50" s="1"/>
  <c r="AO47" i="50"/>
  <c r="BE47" i="50" s="1"/>
  <c r="AO51" i="50"/>
  <c r="BE51" i="50" s="1"/>
  <c r="AE7" i="61"/>
  <c r="AO10" i="50"/>
  <c r="BE10" i="50" s="1"/>
  <c r="AO48" i="50"/>
  <c r="BE48" i="50" s="1"/>
  <c r="AO53" i="50"/>
  <c r="BE53" i="50" s="1"/>
  <c r="G7" i="6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1" i="50"/>
  <c r="AO18" i="50"/>
  <c r="BE18" i="50" s="1"/>
  <c r="AO17" i="50"/>
  <c r="BE17" i="50" s="1"/>
  <c r="AO5" i="50"/>
  <c r="BE5" i="50" s="1"/>
  <c r="AA5" i="50"/>
  <c r="AO16" i="50"/>
  <c r="BE16" i="50" s="1"/>
  <c r="AO12" i="50"/>
  <c r="BE12" i="50" s="1"/>
  <c r="AO7" i="61"/>
  <c r="BE7" i="61" s="1"/>
  <c r="AO15" i="50"/>
  <c r="BE15" i="50" s="1"/>
  <c r="AO5" i="61"/>
  <c r="BE5" i="61" s="1"/>
  <c r="AO13" i="50"/>
  <c r="BE13" i="50" s="1"/>
  <c r="AA13" i="50"/>
  <c r="U5" i="61"/>
  <c r="AA5" i="61" s="1"/>
  <c r="AA48" i="50"/>
  <c r="AA49" i="50"/>
  <c r="AA50" i="50"/>
  <c r="AA53" i="50"/>
  <c r="O19" i="50"/>
  <c r="AC19" i="50" s="1"/>
  <c r="O5" i="50"/>
  <c r="O47" i="50"/>
  <c r="K47" i="50"/>
  <c r="O18" i="50"/>
  <c r="K48" i="50"/>
  <c r="O48" i="50"/>
  <c r="K49" i="50"/>
  <c r="O49" i="50"/>
  <c r="O17" i="50"/>
  <c r="O16" i="50"/>
  <c r="O50" i="50"/>
  <c r="K50" i="50"/>
  <c r="O15" i="50"/>
  <c r="O51" i="50"/>
  <c r="K51" i="50"/>
  <c r="O13" i="50"/>
  <c r="O53" i="50"/>
  <c r="K53" i="50"/>
  <c r="O12" i="50"/>
  <c r="Q54" i="50"/>
  <c r="AA47" i="50"/>
  <c r="AE54" i="50"/>
  <c r="O11" i="50"/>
  <c r="O10" i="50"/>
  <c r="O8" i="50"/>
  <c r="AA137" i="50"/>
  <c r="K25" i="50"/>
  <c r="O7" i="50"/>
  <c r="O6" i="50"/>
  <c r="U4" i="61"/>
  <c r="Q128" i="50"/>
  <c r="AJ478" i="28"/>
  <c r="AP478" i="28" s="1"/>
  <c r="AT478" i="28" s="1"/>
  <c r="BF141" i="10"/>
  <c r="BI141" i="10" s="1"/>
  <c r="BF157" i="10"/>
  <c r="BI157" i="10" s="1"/>
  <c r="BF150" i="10"/>
  <c r="BI150" i="10" s="1"/>
  <c r="BF154" i="10"/>
  <c r="BI154" i="10" s="1"/>
  <c r="G54" i="50"/>
  <c r="BD157" i="10"/>
  <c r="BK157" i="10" s="1"/>
  <c r="V157" i="10"/>
  <c r="BF156" i="10"/>
  <c r="BI156" i="10" s="1"/>
  <c r="BF148" i="10"/>
  <c r="BI148" i="10" s="1"/>
  <c r="BF139" i="10"/>
  <c r="BI139" i="10" s="1"/>
  <c r="BF129" i="10"/>
  <c r="BI129" i="10" s="1"/>
  <c r="BF153" i="10"/>
  <c r="BI153" i="10" s="1"/>
  <c r="BF142" i="10"/>
  <c r="BI142" i="10" s="1"/>
  <c r="BF127" i="10"/>
  <c r="BI127" i="10" s="1"/>
  <c r="BF155" i="10"/>
  <c r="BI155" i="10" s="1"/>
  <c r="BF125" i="10"/>
  <c r="BI125" i="10" s="1"/>
  <c r="BF149" i="10"/>
  <c r="BI149" i="10" s="1"/>
  <c r="AE116" i="50"/>
  <c r="BD478" i="28"/>
  <c r="BK478" i="28" s="1"/>
  <c r="R60" i="28" l="1"/>
  <c r="V60" i="28" s="1"/>
  <c r="AB60" i="28"/>
  <c r="AF60" i="28" s="1"/>
  <c r="AJ60" i="28" s="1"/>
  <c r="AP60" i="28" s="1"/>
  <c r="AT60" i="28" s="1"/>
  <c r="AX60" i="28" s="1"/>
  <c r="BF60" i="28" s="1"/>
  <c r="BS63" i="28" s="1"/>
  <c r="R58" i="28"/>
  <c r="V58" i="28" s="1"/>
  <c r="AB58" i="28"/>
  <c r="AF58" i="28" s="1"/>
  <c r="AJ58" i="28" s="1"/>
  <c r="AP58" i="28" s="1"/>
  <c r="AT58" i="28" s="1"/>
  <c r="AX58" i="28" s="1"/>
  <c r="BF58" i="28" s="1"/>
  <c r="AO54" i="50"/>
  <c r="BE54" i="50"/>
  <c r="AO116" i="50"/>
  <c r="BE116" i="50" s="1"/>
  <c r="O10" i="61"/>
  <c r="S10" i="61" s="1"/>
  <c r="W10" i="61" s="1"/>
  <c r="O9" i="61"/>
  <c r="K9" i="61"/>
  <c r="O5" i="61"/>
  <c r="K5" i="61"/>
  <c r="O8" i="61"/>
  <c r="K8" i="61"/>
  <c r="O11" i="61"/>
  <c r="K11" i="61"/>
  <c r="O7" i="61"/>
  <c r="K7" i="61"/>
  <c r="AX478" i="28"/>
  <c r="BF478" i="28" s="1"/>
  <c r="BH478" i="28" s="1"/>
  <c r="AE16" i="61"/>
  <c r="U16" i="61"/>
  <c r="AA54" i="50"/>
  <c r="AA128" i="50"/>
  <c r="AQ31" i="50"/>
  <c r="AU31" i="50" s="1"/>
  <c r="AY31" i="50" s="1"/>
  <c r="BG31" i="50" s="1"/>
  <c r="BH31" i="50" s="1"/>
  <c r="AC48" i="50"/>
  <c r="AG48" i="50" s="1"/>
  <c r="AK48" i="50" s="1"/>
  <c r="AQ48" i="50" s="1"/>
  <c r="AU48" i="50" s="1"/>
  <c r="AY48" i="50" s="1"/>
  <c r="BG48" i="50" s="1"/>
  <c r="BH48" i="50" s="1"/>
  <c r="S48" i="50"/>
  <c r="W48" i="50" s="1"/>
  <c r="AC51" i="50"/>
  <c r="AG51" i="50" s="1"/>
  <c r="AK51" i="50" s="1"/>
  <c r="AQ51" i="50" s="1"/>
  <c r="AU51" i="50" s="1"/>
  <c r="AY51" i="50" s="1"/>
  <c r="BG51" i="50" s="1"/>
  <c r="BH51" i="50" s="1"/>
  <c r="S51" i="50"/>
  <c r="W51" i="50" s="1"/>
  <c r="AC10" i="50"/>
  <c r="AG10" i="50" s="1"/>
  <c r="S10" i="50"/>
  <c r="W10" i="50" s="1"/>
  <c r="S12" i="50"/>
  <c r="W12" i="50" s="1"/>
  <c r="AC12" i="50"/>
  <c r="AG12" i="50" s="1"/>
  <c r="S18" i="50"/>
  <c r="W18" i="50" s="1"/>
  <c r="AC18" i="50"/>
  <c r="AG18" i="50" s="1"/>
  <c r="AC15" i="50"/>
  <c r="AG15" i="50" s="1"/>
  <c r="S15" i="50"/>
  <c r="W15" i="50" s="1"/>
  <c r="S50" i="50"/>
  <c r="W50" i="50" s="1"/>
  <c r="AC50" i="50"/>
  <c r="AG50" i="50" s="1"/>
  <c r="AK50" i="50" s="1"/>
  <c r="AQ50" i="50" s="1"/>
  <c r="AU50" i="50" s="1"/>
  <c r="AY50" i="50" s="1"/>
  <c r="BG50" i="50" s="1"/>
  <c r="BH50" i="50" s="1"/>
  <c r="K54" i="50"/>
  <c r="S11" i="50"/>
  <c r="W11" i="50" s="1"/>
  <c r="AC11" i="50"/>
  <c r="AG11" i="50" s="1"/>
  <c r="O54" i="50"/>
  <c r="AC47" i="50"/>
  <c r="S47" i="50"/>
  <c r="AQ25" i="50"/>
  <c r="AU25" i="50" s="1"/>
  <c r="AY25" i="50" s="1"/>
  <c r="BG25" i="50" s="1"/>
  <c r="BH25" i="50" s="1"/>
  <c r="AC53" i="50"/>
  <c r="AG53" i="50" s="1"/>
  <c r="AK53" i="50" s="1"/>
  <c r="AQ53" i="50" s="1"/>
  <c r="AU53" i="50" s="1"/>
  <c r="AY53" i="50" s="1"/>
  <c r="BG53" i="50" s="1"/>
  <c r="BH53" i="50" s="1"/>
  <c r="S53" i="50"/>
  <c r="W53" i="50" s="1"/>
  <c r="AC16" i="50"/>
  <c r="AG16" i="50" s="1"/>
  <c r="S16" i="50"/>
  <c r="W16" i="50" s="1"/>
  <c r="S7" i="50"/>
  <c r="W7" i="50" s="1"/>
  <c r="AC7" i="50"/>
  <c r="AG7" i="50" s="1"/>
  <c r="S13" i="50"/>
  <c r="W13" i="50" s="1"/>
  <c r="AC13" i="50"/>
  <c r="AG13" i="50" s="1"/>
  <c r="AC17" i="50"/>
  <c r="AG17" i="50" s="1"/>
  <c r="S17" i="50"/>
  <c r="W17" i="50" s="1"/>
  <c r="AC5" i="50"/>
  <c r="S5" i="50"/>
  <c r="S8" i="50"/>
  <c r="W8" i="50" s="1"/>
  <c r="AC8" i="50"/>
  <c r="AG8" i="50" s="1"/>
  <c r="AC6" i="50"/>
  <c r="AG6" i="50" s="1"/>
  <c r="S6" i="50"/>
  <c r="W6" i="50" s="1"/>
  <c r="S49" i="50"/>
  <c r="W49" i="50" s="1"/>
  <c r="AC49" i="50"/>
  <c r="AG49" i="50" s="1"/>
  <c r="AK49" i="50" s="1"/>
  <c r="AQ49" i="50" s="1"/>
  <c r="AU49" i="50" s="1"/>
  <c r="AY49" i="50" s="1"/>
  <c r="BG49" i="50" s="1"/>
  <c r="BH49" i="50" s="1"/>
  <c r="S19" i="50"/>
  <c r="W19" i="50" s="1"/>
  <c r="AG19" i="50"/>
  <c r="AC10" i="61" l="1"/>
  <c r="AK6" i="50"/>
  <c r="AQ6" i="50" s="1"/>
  <c r="AU6" i="50" s="1"/>
  <c r="AY6" i="50" s="1"/>
  <c r="BG6" i="50" s="1"/>
  <c r="BH6" i="50" s="1"/>
  <c r="AK10" i="50"/>
  <c r="AQ10" i="50" s="1"/>
  <c r="AU10" i="50" s="1"/>
  <c r="AY10" i="50" s="1"/>
  <c r="BG10" i="50" s="1"/>
  <c r="BH10" i="50" s="1"/>
  <c r="AK16" i="50"/>
  <c r="AQ16" i="50" s="1"/>
  <c r="AU16" i="50" s="1"/>
  <c r="AY16" i="50" s="1"/>
  <c r="BG16" i="50" s="1"/>
  <c r="BH16" i="50" s="1"/>
  <c r="AK13" i="50"/>
  <c r="AQ13" i="50" s="1"/>
  <c r="AU13" i="50" s="1"/>
  <c r="AY13" i="50" s="1"/>
  <c r="BG13" i="50" s="1"/>
  <c r="BH13" i="50" s="1"/>
  <c r="AK8" i="50"/>
  <c r="AQ8" i="50" s="1"/>
  <c r="AU8" i="50" s="1"/>
  <c r="AY8" i="50" s="1"/>
  <c r="BG8" i="50" s="1"/>
  <c r="BH8" i="50" s="1"/>
  <c r="AK11" i="50"/>
  <c r="AQ11" i="50" s="1"/>
  <c r="AU11" i="50" s="1"/>
  <c r="AY11" i="50" s="1"/>
  <c r="BG11" i="50" s="1"/>
  <c r="BH11" i="50" s="1"/>
  <c r="AK18" i="50"/>
  <c r="AQ18" i="50" s="1"/>
  <c r="AU18" i="50" s="1"/>
  <c r="AY18" i="50" s="1"/>
  <c r="BG18" i="50" s="1"/>
  <c r="BH18" i="50" s="1"/>
  <c r="AK7" i="50"/>
  <c r="AQ7" i="50" s="1"/>
  <c r="AU7" i="50" s="1"/>
  <c r="AY7" i="50" s="1"/>
  <c r="BG7" i="50" s="1"/>
  <c r="BH7" i="50" s="1"/>
  <c r="AK12" i="50"/>
  <c r="AQ12" i="50" s="1"/>
  <c r="AU12" i="50" s="1"/>
  <c r="AY12" i="50" s="1"/>
  <c r="BG12" i="50" s="1"/>
  <c r="BH12" i="50" s="1"/>
  <c r="AK17" i="50"/>
  <c r="AQ17" i="50" s="1"/>
  <c r="AU17" i="50" s="1"/>
  <c r="AY17" i="50" s="1"/>
  <c r="BG17" i="50" s="1"/>
  <c r="BH17" i="50" s="1"/>
  <c r="AK19" i="50"/>
  <c r="AQ19" i="50" s="1"/>
  <c r="AU19" i="50" s="1"/>
  <c r="AY19" i="50" s="1"/>
  <c r="BG19" i="50" s="1"/>
  <c r="BH19" i="50" s="1"/>
  <c r="AK15" i="50"/>
  <c r="AQ15" i="50" s="1"/>
  <c r="AU15" i="50" s="1"/>
  <c r="AY15" i="50" s="1"/>
  <c r="BG15" i="50" s="1"/>
  <c r="BH15" i="50" s="1"/>
  <c r="AC8" i="61"/>
  <c r="AG8" i="61" s="1"/>
  <c r="AK8" i="61" s="1"/>
  <c r="AQ8" i="61" s="1"/>
  <c r="AU8" i="61" s="1"/>
  <c r="AY8" i="61" s="1"/>
  <c r="BG8" i="61" s="1"/>
  <c r="S8" i="61"/>
  <c r="W8" i="61" s="1"/>
  <c r="AC7" i="61"/>
  <c r="AG7" i="61" s="1"/>
  <c r="AK7" i="61" s="1"/>
  <c r="AQ7" i="61" s="1"/>
  <c r="AU7" i="61" s="1"/>
  <c r="AY7" i="61" s="1"/>
  <c r="BG7" i="61" s="1"/>
  <c r="S7" i="61"/>
  <c r="W7" i="61" s="1"/>
  <c r="AC5" i="61"/>
  <c r="AG5" i="61" s="1"/>
  <c r="S5" i="61"/>
  <c r="W5" i="61" s="1"/>
  <c r="AC11" i="61"/>
  <c r="AG11" i="61" s="1"/>
  <c r="S11" i="61"/>
  <c r="W11" i="61" s="1"/>
  <c r="AC9" i="61"/>
  <c r="AG9" i="61" s="1"/>
  <c r="AK9" i="61" s="1"/>
  <c r="AQ9" i="61" s="1"/>
  <c r="AU9" i="61" s="1"/>
  <c r="AY9" i="61" s="1"/>
  <c r="BG9" i="61" s="1"/>
  <c r="S9" i="61"/>
  <c r="W9" i="61" s="1"/>
  <c r="AG10" i="61"/>
  <c r="AK10" i="61" s="1"/>
  <c r="AQ10" i="61" s="1"/>
  <c r="AU10" i="61" s="1"/>
  <c r="AY10" i="61" s="1"/>
  <c r="BG10" i="61" s="1"/>
  <c r="W5" i="50"/>
  <c r="AG5" i="50"/>
  <c r="AK5" i="50" s="1"/>
  <c r="W47" i="50"/>
  <c r="W54" i="50" s="1"/>
  <c r="S54" i="50"/>
  <c r="AC54" i="50"/>
  <c r="AG47" i="50"/>
  <c r="AK47" i="50" l="1"/>
  <c r="AG54" i="50"/>
  <c r="AQ5" i="50" l="1"/>
  <c r="AU5" i="50" s="1"/>
  <c r="AY5" i="50" s="1"/>
  <c r="BG5" i="50" s="1"/>
  <c r="BH5" i="50" s="1"/>
  <c r="AK54" i="50"/>
  <c r="AQ47" i="50"/>
  <c r="AU47" i="50" s="1"/>
  <c r="AU54" i="50" l="1"/>
  <c r="AY47" i="50"/>
  <c r="AQ54" i="50"/>
  <c r="AY54" i="50" l="1"/>
  <c r="BG47" i="50"/>
  <c r="BG54" i="50" l="1"/>
  <c r="BH54" i="50" s="1"/>
  <c r="BH47" i="50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2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2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l="1"/>
  <c r="AZ68" i="17"/>
  <c r="BA12" i="17"/>
  <c r="AZ73" i="17"/>
  <c r="BA14" i="17"/>
  <c r="AZ76" i="17"/>
  <c r="AZ77" i="17"/>
  <c r="AZ13" i="17"/>
  <c r="AZ65" i="17"/>
  <c r="AZ78" i="17"/>
  <c r="AZ66" i="17"/>
  <c r="AZ81" i="17"/>
  <c r="AZ71" i="17"/>
  <c r="AZ82" i="17"/>
  <c r="BA22" i="17"/>
  <c r="BA49" i="17"/>
  <c r="BA43" i="17"/>
  <c r="BA41" i="17"/>
  <c r="BA39" i="17"/>
  <c r="BA59" i="17"/>
  <c r="BA62" i="17" s="1"/>
  <c r="AZ14" i="17"/>
  <c r="BA68" i="17"/>
  <c r="BA72" i="17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BA79" i="17" l="1"/>
  <c r="BA74" i="17"/>
  <c r="AZ79" i="17"/>
  <c r="AZ74" i="17"/>
  <c r="AZ15" i="17"/>
  <c r="BA60" i="17"/>
  <c r="AZ67" i="17"/>
  <c r="AZ69" i="17" s="1"/>
  <c r="AZ83" i="17"/>
  <c r="BA83" i="17"/>
  <c r="BA67" i="17"/>
  <c r="BA69" i="17" s="1"/>
  <c r="BA45" i="17"/>
  <c r="BA50" i="17"/>
  <c r="BA10" i="15"/>
  <c r="AM175" i="73"/>
  <c r="AM174" i="73"/>
  <c r="AM170" i="73"/>
  <c r="AM169" i="73"/>
  <c r="AM168" i="73"/>
  <c r="AM167" i="73"/>
  <c r="AM165" i="73"/>
  <c r="AM164" i="73"/>
  <c r="AM162" i="73"/>
  <c r="AM161" i="73"/>
  <c r="AM159" i="73"/>
  <c r="AM132" i="73"/>
  <c r="AM131" i="73"/>
  <c r="AM127" i="73"/>
  <c r="AM124" i="73"/>
  <c r="AM123" i="73"/>
  <c r="AM121" i="73"/>
  <c r="AM120" i="73"/>
  <c r="AM119" i="73"/>
  <c r="AM111" i="73"/>
  <c r="AM110" i="73"/>
  <c r="AM107" i="73"/>
  <c r="AM105" i="73"/>
  <c r="AM104" i="73"/>
  <c r="AM103" i="73"/>
  <c r="AM101" i="73"/>
  <c r="AM113" i="73"/>
  <c r="AM100" i="73"/>
  <c r="AM99" i="73"/>
  <c r="AM97" i="73"/>
  <c r="AM96" i="73"/>
  <c r="AM95" i="73"/>
  <c r="AM94" i="73"/>
  <c r="AM93" i="73"/>
  <c r="AM92" i="73"/>
  <c r="AM91" i="73"/>
  <c r="AM90" i="73"/>
  <c r="BC90" i="73" s="1"/>
  <c r="AM86" i="73"/>
  <c r="AM84" i="73"/>
  <c r="AM83" i="73"/>
  <c r="AM81" i="73"/>
  <c r="AM80" i="73"/>
  <c r="AM79" i="73"/>
  <c r="AM78" i="73"/>
  <c r="AM77" i="73"/>
  <c r="AM76" i="73"/>
  <c r="AM75" i="73"/>
  <c r="AM58" i="73"/>
  <c r="AM56" i="73"/>
  <c r="AM55" i="73"/>
  <c r="AM54" i="73"/>
  <c r="AM52" i="73"/>
  <c r="AM50" i="73"/>
  <c r="AM49" i="73"/>
  <c r="AM48" i="73"/>
  <c r="AM47" i="73"/>
  <c r="AM45" i="73"/>
  <c r="AM44" i="73"/>
  <c r="AM43" i="73"/>
  <c r="AM42" i="73"/>
  <c r="AM40" i="73"/>
  <c r="AM39" i="73"/>
  <c r="AM37" i="73"/>
  <c r="AM36" i="73"/>
  <c r="AM35" i="73"/>
  <c r="AM33" i="73"/>
  <c r="AM32" i="73"/>
  <c r="AM31" i="73"/>
  <c r="AM29" i="73"/>
  <c r="AM28" i="73"/>
  <c r="AM27" i="73"/>
  <c r="AM26" i="73"/>
  <c r="AM21" i="73"/>
  <c r="AM20" i="73"/>
  <c r="AM19" i="73"/>
  <c r="AM17" i="73"/>
  <c r="AM14" i="73"/>
  <c r="AM10" i="73"/>
  <c r="AM9" i="73"/>
  <c r="AM7" i="73"/>
  <c r="Y7" i="73"/>
  <c r="Y9" i="73"/>
  <c r="Y10" i="73"/>
  <c r="Y14" i="73"/>
  <c r="Y17" i="73"/>
  <c r="Y19" i="73"/>
  <c r="Y20" i="73"/>
  <c r="Y21" i="73"/>
  <c r="Y26" i="73"/>
  <c r="Y27" i="73"/>
  <c r="Y28" i="73"/>
  <c r="Y29" i="73"/>
  <c r="Y31" i="73"/>
  <c r="Y32" i="73"/>
  <c r="Y33" i="73"/>
  <c r="Y35" i="73"/>
  <c r="Y36" i="73"/>
  <c r="Y37" i="73"/>
  <c r="AA37" i="73" s="1"/>
  <c r="Y39" i="73"/>
  <c r="Y40" i="73"/>
  <c r="Y42" i="73"/>
  <c r="Y43" i="73"/>
  <c r="Y44" i="73"/>
  <c r="Y45" i="73"/>
  <c r="Y47" i="73"/>
  <c r="Y48" i="73"/>
  <c r="Y49" i="73"/>
  <c r="Y50" i="73"/>
  <c r="Y52" i="73"/>
  <c r="Y54" i="73"/>
  <c r="Y55" i="73"/>
  <c r="Y56" i="73"/>
  <c r="Y58" i="73"/>
  <c r="Y59" i="73"/>
  <c r="Y60" i="73"/>
  <c r="AA65" i="73"/>
  <c r="AE65" i="73" s="1"/>
  <c r="Y66" i="73"/>
  <c r="Y67" i="73"/>
  <c r="Y68" i="73"/>
  <c r="Y69" i="73"/>
  <c r="Y71" i="73"/>
  <c r="Y75" i="73"/>
  <c r="Y76" i="73"/>
  <c r="Y77" i="73"/>
  <c r="Y78" i="73"/>
  <c r="Y79" i="73"/>
  <c r="AA79" i="73" s="1"/>
  <c r="AE79" i="73" s="1"/>
  <c r="Y80" i="73"/>
  <c r="AA80" i="73" s="1"/>
  <c r="AE80" i="73" s="1"/>
  <c r="Y81" i="73"/>
  <c r="Y83" i="73"/>
  <c r="Y84" i="73"/>
  <c r="Y86" i="73"/>
  <c r="Y90" i="73"/>
  <c r="Y91" i="73"/>
  <c r="Y92" i="73"/>
  <c r="Y93" i="73"/>
  <c r="Y94" i="73"/>
  <c r="Y95" i="73"/>
  <c r="Y96" i="73"/>
  <c r="Y97" i="73"/>
  <c r="Y99" i="73"/>
  <c r="Y100" i="73"/>
  <c r="Y113" i="73"/>
  <c r="Y101" i="73"/>
  <c r="Y103" i="73"/>
  <c r="Y104" i="73"/>
  <c r="Y105" i="73"/>
  <c r="Y107" i="73"/>
  <c r="Y110" i="73"/>
  <c r="Y111" i="73"/>
  <c r="Y119" i="73"/>
  <c r="Y120" i="73"/>
  <c r="Y121" i="73"/>
  <c r="Y123" i="73"/>
  <c r="Y124" i="73"/>
  <c r="Y157" i="73"/>
  <c r="Y159" i="73"/>
  <c r="Y161" i="73"/>
  <c r="Y162" i="73"/>
  <c r="Y164" i="73"/>
  <c r="Y165" i="73"/>
  <c r="Y167" i="73"/>
  <c r="AA167" i="73" s="1"/>
  <c r="AE167" i="73" s="1"/>
  <c r="AI167" i="73" s="1"/>
  <c r="AO167" i="73" s="1"/>
  <c r="AS167" i="73" s="1"/>
  <c r="Y168" i="73"/>
  <c r="Y169" i="73"/>
  <c r="Y170" i="73"/>
  <c r="Y174" i="73"/>
  <c r="Y175" i="73"/>
  <c r="E16" i="73"/>
  <c r="G143" i="50" s="1"/>
  <c r="BD171" i="73"/>
  <c r="BD130" i="73"/>
  <c r="BD126" i="73"/>
  <c r="BD122" i="73"/>
  <c r="BD102" i="73"/>
  <c r="BD114" i="73" s="1"/>
  <c r="AW167" i="73" l="1"/>
  <c r="BD133" i="73"/>
  <c r="AZ122" i="17"/>
  <c r="BA122" i="17"/>
  <c r="AI80" i="73"/>
  <c r="AO80" i="73" s="1"/>
  <c r="AS80" i="73" s="1"/>
  <c r="AW80" i="73" s="1"/>
  <c r="AI65" i="73"/>
  <c r="AO65" i="73" s="1"/>
  <c r="AS65" i="73" s="1"/>
  <c r="AW65" i="73" s="1"/>
  <c r="AI79" i="73"/>
  <c r="AO79" i="73" s="1"/>
  <c r="AS79" i="73" s="1"/>
  <c r="AW79" i="73" s="1"/>
  <c r="E118" i="90"/>
  <c r="BE118" i="90" s="1"/>
  <c r="BC167" i="73"/>
  <c r="Y16" i="73"/>
  <c r="Y118" i="90" s="1"/>
  <c r="Q145" i="50"/>
  <c r="AA145" i="50" s="1"/>
  <c r="AM16" i="73"/>
  <c r="AM118" i="90" s="1"/>
  <c r="BC118" i="90" s="1"/>
  <c r="AE145" i="50"/>
  <c r="AA20" i="73"/>
  <c r="AE20" i="73" s="1"/>
  <c r="Y18" i="73"/>
  <c r="AM18" i="73"/>
  <c r="BC20" i="73"/>
  <c r="BA114" i="17"/>
  <c r="BA51" i="17"/>
  <c r="BA115" i="17" s="1"/>
  <c r="AO145" i="50" l="1"/>
  <c r="BE145" i="50" s="1"/>
  <c r="BE167" i="73"/>
  <c r="AI20" i="73"/>
  <c r="AO20" i="73" s="1"/>
  <c r="E120" i="90"/>
  <c r="BE120" i="90" s="1"/>
  <c r="K143" i="50"/>
  <c r="O143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B89" i="26"/>
  <c r="BB87" i="26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E124" i="90" l="1"/>
  <c r="BE124" i="90" s="1"/>
  <c r="AI120" i="90"/>
  <c r="M120" i="90"/>
  <c r="AA120" i="90"/>
  <c r="I120" i="90"/>
  <c r="AE120" i="90"/>
  <c r="Q120" i="90"/>
  <c r="AO120" i="90"/>
  <c r="U120" i="90"/>
  <c r="AC143" i="50"/>
  <c r="AG143" i="50" s="1"/>
  <c r="AK143" i="50" s="1"/>
  <c r="AQ143" i="50" s="1"/>
  <c r="AU143" i="50" s="1"/>
  <c r="AY143" i="50" s="1"/>
  <c r="BG143" i="50" s="1"/>
  <c r="BH143" i="50" s="1"/>
  <c r="S143" i="50"/>
  <c r="W143" i="50" s="1"/>
  <c r="BA112" i="26"/>
  <c r="BA110" i="26"/>
  <c r="BA108" i="26"/>
  <c r="BA106" i="26"/>
  <c r="BA104" i="26"/>
  <c r="BA102" i="26"/>
  <c r="BA100" i="26"/>
  <c r="BA98" i="26"/>
  <c r="BA93" i="26"/>
  <c r="BA91" i="26"/>
  <c r="BA89" i="26"/>
  <c r="BA87" i="26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BB77" i="11" l="1"/>
  <c r="BB142" i="45"/>
  <c r="BA77" i="11"/>
  <c r="BA176" i="10"/>
  <c r="BB176" i="10"/>
  <c r="BC142" i="45"/>
  <c r="AS120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20" i="90" l="1"/>
  <c r="BA18" i="26"/>
  <c r="BA19" i="26"/>
  <c r="G137" i="50"/>
  <c r="K137" i="50" l="1"/>
  <c r="O137" i="50"/>
  <c r="AE138" i="50"/>
  <c r="AO138" i="50" s="1"/>
  <c r="AO139" i="50" l="1"/>
  <c r="BE138" i="50"/>
  <c r="BE139" i="50" s="1"/>
  <c r="S137" i="50"/>
  <c r="W137" i="50" s="1"/>
  <c r="AC137" i="50"/>
  <c r="AG137" i="50" s="1"/>
  <c r="AK137" i="50" s="1"/>
  <c r="AQ137" i="50" s="1"/>
  <c r="AU137" i="50" s="1"/>
  <c r="AY137" i="50" s="1"/>
  <c r="BG137" i="50" s="1"/>
  <c r="BH137" i="50" s="1"/>
  <c r="AE139" i="50"/>
  <c r="AE140" i="50"/>
  <c r="AO140" i="50" s="1"/>
  <c r="BE140" i="50" s="1"/>
  <c r="Q138" i="50"/>
  <c r="AA138" i="50" s="1"/>
  <c r="BC523" i="28"/>
  <c r="BJ523" i="28" s="1"/>
  <c r="BA523" i="28"/>
  <c r="BC522" i="28"/>
  <c r="BJ522" i="28" s="1"/>
  <c r="BA522" i="28"/>
  <c r="BB489" i="28"/>
  <c r="BB488" i="28"/>
  <c r="BB487" i="28"/>
  <c r="BB486" i="28"/>
  <c r="BB485" i="28"/>
  <c r="BB484" i="28"/>
  <c r="BB483" i="28"/>
  <c r="BB481" i="28"/>
  <c r="BB480" i="28"/>
  <c r="BB477" i="28"/>
  <c r="BB474" i="28"/>
  <c r="BB470" i="28"/>
  <c r="BB439" i="28"/>
  <c r="BB307" i="28"/>
  <c r="BB303" i="28"/>
  <c r="BB302" i="28"/>
  <c r="BB301" i="28"/>
  <c r="BB263" i="28"/>
  <c r="BB260" i="28"/>
  <c r="BB259" i="28"/>
  <c r="BB255" i="28"/>
  <c r="BB239" i="28"/>
  <c r="BB100" i="28"/>
  <c r="BA97" i="28"/>
  <c r="BA96" i="28"/>
  <c r="BA93" i="28"/>
  <c r="BB92" i="28"/>
  <c r="BA92" i="28"/>
  <c r="BB91" i="28"/>
  <c r="BA89" i="28"/>
  <c r="BB88" i="28"/>
  <c r="BA88" i="28"/>
  <c r="BB87" i="28"/>
  <c r="BA85" i="28"/>
  <c r="BB84" i="28"/>
  <c r="BA84" i="28"/>
  <c r="BB83" i="28"/>
  <c r="BA81" i="28"/>
  <c r="BB80" i="28"/>
  <c r="BA80" i="28"/>
  <c r="BB79" i="28"/>
  <c r="BA64" i="28"/>
  <c r="BA36" i="28"/>
  <c r="BA35" i="28"/>
  <c r="BA33" i="28"/>
  <c r="BA28" i="28"/>
  <c r="BA27" i="28"/>
  <c r="BA25" i="28"/>
  <c r="BA20" i="28"/>
  <c r="BA19" i="28"/>
  <c r="BA17" i="28"/>
  <c r="BA304" i="28" s="1"/>
  <c r="BA16" i="28"/>
  <c r="BA12" i="28"/>
  <c r="BA11" i="28"/>
  <c r="BA9" i="28"/>
  <c r="BB7" i="28"/>
  <c r="AE146" i="50" l="1"/>
  <c r="AO146" i="50" s="1"/>
  <c r="Q139" i="50"/>
  <c r="Q140" i="50"/>
  <c r="AA140" i="50" s="1"/>
  <c r="Q146" i="50" l="1"/>
  <c r="AA146" i="50" s="1"/>
  <c r="AY7" i="72" l="1"/>
  <c r="AW46" i="72"/>
  <c r="AW38" i="72"/>
  <c r="AW18" i="72"/>
  <c r="AW49" i="72" l="1"/>
  <c r="AW51" i="72"/>
  <c r="AM73" i="90"/>
  <c r="BC73" i="90" s="1"/>
  <c r="AM72" i="90"/>
  <c r="BC72" i="90" s="1"/>
  <c r="AA73" i="90" l="1"/>
  <c r="M73" i="90"/>
  <c r="I73" i="90"/>
  <c r="Q73" i="90"/>
  <c r="AO73" i="90"/>
  <c r="AS73" i="90" s="1"/>
  <c r="AW73" i="90" s="1"/>
  <c r="U73" i="90"/>
  <c r="AE73" i="90"/>
  <c r="I72" i="90"/>
  <c r="AA72" i="90"/>
  <c r="M72" i="90"/>
  <c r="AE72" i="90"/>
  <c r="U72" i="90"/>
  <c r="Q72" i="90"/>
  <c r="AO72" i="90"/>
  <c r="AS72" i="90" s="1"/>
  <c r="AW72" i="90" s="1"/>
  <c r="BC152" i="45" l="1"/>
  <c r="BC151" i="45"/>
  <c r="BC156" i="45" s="1"/>
  <c r="BC147" i="45"/>
  <c r="BC146" i="45"/>
  <c r="BC135" i="45"/>
  <c r="BB135" i="45"/>
  <c r="BC133" i="45"/>
  <c r="BB133" i="45"/>
  <c r="BC8" i="45"/>
  <c r="BC7" i="45"/>
  <c r="BC137" i="45" s="1"/>
  <c r="BB7" i="45"/>
  <c r="BC2" i="45"/>
  <c r="BB2" i="45"/>
  <c r="BB45" i="11"/>
  <c r="BB46" i="11"/>
  <c r="BB47" i="11"/>
  <c r="BB48" i="11"/>
  <c r="BB49" i="11"/>
  <c r="BB50" i="11"/>
  <c r="BB51" i="11"/>
  <c r="BB52" i="11"/>
  <c r="BB86" i="11"/>
  <c r="BB82" i="11"/>
  <c r="BB81" i="11"/>
  <c r="BB70" i="11"/>
  <c r="BA70" i="11"/>
  <c r="BB68" i="11"/>
  <c r="BA68" i="11"/>
  <c r="BB44" i="11"/>
  <c r="BB7" i="11"/>
  <c r="BB5" i="11"/>
  <c r="BB72" i="11" s="1"/>
  <c r="BA5" i="11"/>
  <c r="BB2" i="11"/>
  <c r="BA2" i="11"/>
  <c r="BB185" i="10"/>
  <c r="BB181" i="10"/>
  <c r="BM181" i="10" s="1"/>
  <c r="BB180" i="10"/>
  <c r="BM180" i="10" s="1"/>
  <c r="BB169" i="10"/>
  <c r="BM169" i="10" s="1"/>
  <c r="BA169" i="10"/>
  <c r="BL169" i="10" s="1"/>
  <c r="BB167" i="10"/>
  <c r="BM167" i="10" s="1"/>
  <c r="BA167" i="10"/>
  <c r="BL167" i="10" s="1"/>
  <c r="BB7" i="10"/>
  <c r="BM7" i="10" s="1"/>
  <c r="BB5" i="10"/>
  <c r="BA5" i="10"/>
  <c r="BL5" i="10" s="1"/>
  <c r="BB2" i="10"/>
  <c r="BA2" i="10"/>
  <c r="BB190" i="10" l="1"/>
  <c r="BM190" i="10" s="1"/>
  <c r="BM185" i="10"/>
  <c r="BB188" i="10"/>
  <c r="BM188" i="10" s="1"/>
  <c r="BM5" i="10"/>
  <c r="BC170" i="45"/>
  <c r="BC176" i="45" s="1"/>
  <c r="BC120" i="45"/>
  <c r="BC158" i="45" s="1"/>
  <c r="BB171" i="10"/>
  <c r="BB134" i="45"/>
  <c r="BD73" i="59" s="1"/>
  <c r="BA71" i="11"/>
  <c r="BA69" i="11"/>
  <c r="BD69" i="59" s="1"/>
  <c r="BA170" i="10"/>
  <c r="BB83" i="11"/>
  <c r="BB90" i="11" s="1"/>
  <c r="BB71" i="11"/>
  <c r="BB182" i="10"/>
  <c r="BC121" i="45"/>
  <c r="BB136" i="45"/>
  <c r="BC148" i="45"/>
  <c r="BC136" i="45"/>
  <c r="BC122" i="45"/>
  <c r="BC154" i="45"/>
  <c r="BC134" i="45"/>
  <c r="BE73" i="59" s="1"/>
  <c r="BB55" i="11"/>
  <c r="BB92" i="11" s="1"/>
  <c r="BB56" i="11"/>
  <c r="BB69" i="11"/>
  <c r="BE69" i="59" s="1"/>
  <c r="BB89" i="11"/>
  <c r="BB57" i="11"/>
  <c r="BB59" i="11"/>
  <c r="BB91" i="11"/>
  <c r="BB168" i="10"/>
  <c r="BE65" i="59" s="1"/>
  <c r="BB170" i="10"/>
  <c r="BA168" i="10"/>
  <c r="BD65" i="59" s="1"/>
  <c r="BB58" i="11" l="1"/>
  <c r="BB183" i="10"/>
  <c r="BM183" i="10" s="1"/>
  <c r="BM182" i="10"/>
  <c r="W122" i="45"/>
  <c r="BB84" i="11"/>
  <c r="BB189" i="10"/>
  <c r="BM189" i="10" s="1"/>
  <c r="BC144" i="45"/>
  <c r="BE74" i="59" s="1"/>
  <c r="BB22" i="36"/>
  <c r="BC123" i="45"/>
  <c r="BB79" i="11"/>
  <c r="BE70" i="59" s="1"/>
  <c r="BC124" i="45"/>
  <c r="BC125" i="45" s="1"/>
  <c r="BC149" i="45"/>
  <c r="BC155" i="45"/>
  <c r="BC150" i="45"/>
  <c r="BC159" i="45"/>
  <c r="BC160" i="45" s="1"/>
  <c r="BB60" i="11"/>
  <c r="BB93" i="11"/>
  <c r="BB94" i="11" s="1"/>
  <c r="BB85" i="11"/>
  <c r="AZ1" i="35"/>
  <c r="BE68" i="59" l="1"/>
  <c r="AZ21" i="35"/>
  <c r="AZ26" i="9" s="1"/>
  <c r="W150" i="45"/>
  <c r="W159" i="45"/>
  <c r="BB23" i="36"/>
  <c r="BE72" i="5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1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BE72" i="36" l="1"/>
  <c r="BE71" i="36"/>
  <c r="BC72" i="36"/>
  <c r="BC71" i="36"/>
  <c r="BA72" i="36"/>
  <c r="BA71" i="36"/>
  <c r="BF37" i="36"/>
  <c r="BC37" i="36"/>
  <c r="BD37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7" i="6" s="1"/>
  <c r="BB2" i="6"/>
  <c r="BA2" i="6"/>
  <c r="BA13" i="6" s="1"/>
  <c r="BA22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E18" i="59" s="1"/>
  <c r="BB158" i="6"/>
  <c r="BE17" i="59" s="1"/>
  <c r="BB161" i="6"/>
  <c r="BE20" i="59" s="1"/>
  <c r="BB156" i="6"/>
  <c r="BB160" i="6"/>
  <c r="BE19" i="59" s="1"/>
  <c r="BB186" i="6"/>
  <c r="BE27" i="59" s="1"/>
  <c r="BB182" i="6"/>
  <c r="BB185" i="6"/>
  <c r="BE26" i="59" s="1"/>
  <c r="BB184" i="6"/>
  <c r="BE25" i="59" s="1"/>
  <c r="BB181" i="6"/>
  <c r="BB183" i="6"/>
  <c r="BE24" i="59" s="1"/>
  <c r="BA12" i="6"/>
  <c r="BA222" i="6" s="1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222" i="6" s="1"/>
  <c r="BB13" i="6"/>
  <c r="BB223" i="6" s="1"/>
  <c r="BA41" i="6"/>
  <c r="BB66" i="6"/>
  <c r="BB26" i="6"/>
  <c r="BB69" i="6"/>
  <c r="BA77" i="6"/>
  <c r="BB77" i="6"/>
  <c r="BB29" i="6"/>
  <c r="BB23" i="6"/>
  <c r="BB132" i="9"/>
  <c r="BB131" i="9"/>
  <c r="BB130" i="9"/>
  <c r="BB129" i="9"/>
  <c r="BB128" i="9"/>
  <c r="BB127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BB62" i="36" l="1"/>
  <c r="BB198" i="6"/>
  <c r="CP61" i="71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3" i="7"/>
  <c r="BA113" i="7"/>
  <c r="BC112" i="7"/>
  <c r="BA112" i="7"/>
  <c r="BC111" i="7"/>
  <c r="BA111" i="7"/>
  <c r="BC110" i="7"/>
  <c r="BA110" i="7"/>
  <c r="BC109" i="7"/>
  <c r="BA109" i="7"/>
  <c r="BC108" i="7"/>
  <c r="BA108" i="7"/>
  <c r="BC107" i="7"/>
  <c r="BA107" i="7"/>
  <c r="BC106" i="7"/>
  <c r="BA106" i="7"/>
  <c r="BC85" i="7"/>
  <c r="BA85" i="7"/>
  <c r="BB74" i="7"/>
  <c r="BA74" i="7"/>
  <c r="BB72" i="7"/>
  <c r="BA72" i="7"/>
  <c r="BB68" i="7"/>
  <c r="BB66" i="7"/>
  <c r="BA66" i="7"/>
  <c r="BB65" i="7"/>
  <c r="BA65" i="7"/>
  <c r="BB50" i="7"/>
  <c r="BA50" i="7"/>
  <c r="BB48" i="7"/>
  <c r="BA48" i="7"/>
  <c r="BB47" i="7"/>
  <c r="BA47" i="7"/>
  <c r="BB46" i="7"/>
  <c r="BA46" i="7"/>
  <c r="BB45" i="7"/>
  <c r="BB161" i="7" s="1"/>
  <c r="BA45" i="7"/>
  <c r="BA161" i="7" s="1"/>
  <c r="BB44" i="7"/>
  <c r="BA44" i="7"/>
  <c r="BB43" i="7"/>
  <c r="BA43" i="7"/>
  <c r="BB42" i="7"/>
  <c r="BA42" i="7"/>
  <c r="BB2" i="7"/>
  <c r="BA2" i="7"/>
  <c r="BE113" i="7"/>
  <c r="BE112" i="7"/>
  <c r="BE111" i="7"/>
  <c r="BE110" i="7"/>
  <c r="BE109" i="7"/>
  <c r="BE108" i="7"/>
  <c r="BE107" i="7"/>
  <c r="BE106" i="7"/>
  <c r="BE85" i="7"/>
  <c r="AZ1" i="7"/>
  <c r="AZ80" i="7" s="1"/>
  <c r="AY1" i="7"/>
  <c r="AY80" i="7" s="1"/>
  <c r="BA67" i="7" l="1"/>
  <c r="BA35" i="7" s="1"/>
  <c r="BA100" i="7" s="1"/>
  <c r="BB37" i="9"/>
  <c r="BB75" i="7"/>
  <c r="BB67" i="7"/>
  <c r="BB172" i="6"/>
  <c r="BB173" i="6"/>
  <c r="BB175" i="6"/>
  <c r="BA75" i="7"/>
  <c r="BB35" i="7" l="1"/>
  <c r="BB100" i="7" s="1"/>
  <c r="BA33" i="7"/>
  <c r="BA99" i="7" s="1"/>
  <c r="BA34" i="7"/>
  <c r="BA97" i="7" s="1"/>
  <c r="BB34" i="7"/>
  <c r="BB97" i="7" s="1"/>
  <c r="BB33" i="7"/>
  <c r="BB99" i="7" s="1"/>
  <c r="BA81" i="7"/>
  <c r="BD28" i="59" s="1"/>
  <c r="BA61" i="7"/>
  <c r="BA102" i="7" s="1"/>
  <c r="BA37" i="7"/>
  <c r="BA103" i="7" s="1"/>
  <c r="BE22" i="59"/>
  <c r="BB57" i="7"/>
  <c r="BB61" i="7"/>
  <c r="BB102" i="7" s="1"/>
  <c r="BB76" i="7"/>
  <c r="BB37" i="7"/>
  <c r="BB103" i="7" s="1"/>
  <c r="BB60" i="7"/>
  <c r="BB28" i="7"/>
  <c r="BB92" i="7" s="1"/>
  <c r="BA76" i="7"/>
  <c r="BB78" i="7"/>
  <c r="BB59" i="7"/>
  <c r="BA78" i="7"/>
  <c r="BB31" i="7"/>
  <c r="BB95" i="7" s="1"/>
  <c r="BE35" i="59" s="1"/>
  <c r="BB54" i="7"/>
  <c r="BB25" i="7"/>
  <c r="BB58" i="7"/>
  <c r="BB24" i="7"/>
  <c r="BB56" i="7"/>
  <c r="BB96" i="7" s="1"/>
  <c r="BB32" i="7"/>
  <c r="BB98" i="7" s="1"/>
  <c r="BB29" i="7"/>
  <c r="BB93" i="7" s="1"/>
  <c r="BE33" i="59" s="1"/>
  <c r="BB55" i="7"/>
  <c r="BB27" i="7"/>
  <c r="BB91" i="7" s="1"/>
  <c r="BB69" i="7"/>
  <c r="BB81" i="7"/>
  <c r="BE28" i="59" s="1"/>
  <c r="BB62" i="7"/>
  <c r="BB30" i="7"/>
  <c r="BB94" i="7" s="1"/>
  <c r="BE34" i="59" s="1"/>
  <c r="BB26" i="7"/>
  <c r="BB101" i="7" s="1"/>
  <c r="BE32" i="59" s="1"/>
  <c r="BB23" i="7"/>
  <c r="BB87" i="7" s="1"/>
  <c r="BE29" i="59" s="1"/>
  <c r="BA175" i="6"/>
  <c r="BA173" i="6"/>
  <c r="BA172" i="6"/>
  <c r="BB174" i="6"/>
  <c r="BD22" i="59" l="1"/>
  <c r="BB8" i="36"/>
  <c r="BE9" i="59" s="1"/>
  <c r="BB88" i="7"/>
  <c r="BE30" i="59" s="1"/>
  <c r="BB89" i="7"/>
  <c r="BE31" i="59" s="1"/>
  <c r="BA174" i="6"/>
  <c r="BB98" i="8" l="1"/>
  <c r="BB93" i="8"/>
  <c r="BB85" i="8"/>
  <c r="BA73" i="8"/>
  <c r="BA61" i="8"/>
  <c r="BB60" i="8"/>
  <c r="BB33" i="8"/>
  <c r="BB152" i="8" s="1"/>
  <c r="BA33" i="8"/>
  <c r="BB31" i="8"/>
  <c r="BB156" i="8" s="1"/>
  <c r="BB30" i="8"/>
  <c r="BB157" i="8" s="1"/>
  <c r="BB29" i="8"/>
  <c r="BB155" i="8" s="1"/>
  <c r="BB28" i="8"/>
  <c r="BB27" i="8"/>
  <c r="BB154" i="8" s="1"/>
  <c r="BB25" i="8"/>
  <c r="BB153" i="8" s="1"/>
  <c r="BB24" i="8"/>
  <c r="BB151" i="8" s="1"/>
  <c r="BB23" i="8"/>
  <c r="BB150" i="8" s="1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1" i="8"/>
  <c r="BH45" i="59" s="1"/>
  <c r="BE73" i="8"/>
  <c r="BE52" i="8"/>
  <c r="BH42" i="59" s="1"/>
  <c r="BB149" i="8" l="1"/>
  <c r="AZ8" i="15"/>
  <c r="BB90" i="8"/>
  <c r="BA8" i="15"/>
  <c r="BB88" i="8"/>
  <c r="BB89" i="8"/>
  <c r="BB40" i="8"/>
  <c r="BB46" i="8"/>
  <c r="BB81" i="8"/>
  <c r="BE45" i="59" s="1"/>
  <c r="BB87" i="8"/>
  <c r="BB43" i="8"/>
  <c r="BB41" i="8"/>
  <c r="BB26" i="8"/>
  <c r="BB39" i="8"/>
  <c r="BB45" i="8"/>
  <c r="BB44" i="8"/>
  <c r="BB47" i="8"/>
  <c r="BB83" i="8"/>
  <c r="BB84" i="8"/>
  <c r="BB82" i="8"/>
  <c r="BE52" i="59" s="1"/>
  <c r="BB86" i="8"/>
  <c r="BB109" i="8"/>
  <c r="BB110" i="8" s="1"/>
  <c r="BE46" i="59" l="1"/>
  <c r="BB136" i="8"/>
  <c r="BE47" i="59"/>
  <c r="BB138" i="8"/>
  <c r="BE48" i="59"/>
  <c r="BB137" i="8"/>
  <c r="BB10" i="49"/>
  <c r="BD10" i="49" s="1"/>
  <c r="BE49" i="59"/>
  <c r="BE51" i="59"/>
  <c r="BE50" i="59"/>
  <c r="BB42" i="8"/>
  <c r="BB52" i="8"/>
  <c r="BB111" i="8"/>
  <c r="BB112" i="8" s="1"/>
  <c r="BB53" i="8" s="1"/>
  <c r="BE42" i="59" l="1"/>
  <c r="BB121" i="8"/>
  <c r="BB139" i="8"/>
  <c r="BE43" i="59"/>
  <c r="BB123" i="8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BB122" i="8" l="1"/>
  <c r="BB124" i="8"/>
  <c r="BB126" i="8"/>
  <c r="BB127" i="8" s="1"/>
  <c r="BB14" i="49"/>
  <c r="BB28" i="21"/>
  <c r="BB24" i="21"/>
  <c r="BB25" i="21" s="1"/>
  <c r="BB12" i="21"/>
  <c r="BA12" i="21"/>
  <c r="BA22" i="21" s="1"/>
  <c r="BB132" i="8" l="1"/>
  <c r="BB145" i="8" s="1"/>
  <c r="BB130" i="8"/>
  <c r="BB131" i="8"/>
  <c r="BB144" i="8" s="1"/>
  <c r="BB15" i="49"/>
  <c r="BE45" i="35"/>
  <c r="BE44" i="35"/>
  <c r="BE43" i="35"/>
  <c r="AZ122" i="90"/>
  <c r="AZ124" i="90" s="1"/>
  <c r="BB121" i="45"/>
  <c r="BB14" i="35"/>
  <c r="BB9" i="6"/>
  <c r="BB9" i="35"/>
  <c r="BB8" i="6" s="1"/>
  <c r="BB2" i="35"/>
  <c r="BA2" i="35"/>
  <c r="BB143" i="8" l="1"/>
  <c r="BB133" i="8"/>
  <c r="BB146" i="8" s="1"/>
  <c r="BB120" i="45"/>
  <c r="BA7" i="35"/>
  <c r="BA6" i="35"/>
  <c r="BB6" i="35"/>
  <c r="BB7" i="35"/>
  <c r="BB16" i="49"/>
  <c r="AZ18" i="15"/>
  <c r="BA5" i="9"/>
  <c r="BG89" i="9" s="1"/>
  <c r="BA18" i="15"/>
  <c r="BA56" i="11"/>
  <c r="AZ9" i="15"/>
  <c r="BB123" i="45"/>
  <c r="BD72" i="59" s="1"/>
  <c r="BB144" i="45"/>
  <c r="BD74" i="59" s="1"/>
  <c r="BB124" i="45"/>
  <c r="BA159" i="10"/>
  <c r="BB10" i="36"/>
  <c r="BB12" i="36"/>
  <c r="BB11" i="36"/>
  <c r="BA9" i="15"/>
  <c r="BB97" i="11"/>
  <c r="BB70" i="36"/>
  <c r="BB5" i="9"/>
  <c r="BB5" i="36"/>
  <c r="BB36" i="35"/>
  <c r="BB26" i="35"/>
  <c r="BA33" i="35"/>
  <c r="BB33" i="35"/>
  <c r="BB11" i="35"/>
  <c r="BB10" i="6" s="1"/>
  <c r="BA1" i="35"/>
  <c r="BA21" i="35" s="1"/>
  <c r="BA26" i="9" s="1"/>
  <c r="BA26" i="35"/>
  <c r="BB13" i="35"/>
  <c r="BA36" i="35"/>
  <c r="BE38" i="59" l="1"/>
  <c r="BE39" i="59"/>
  <c r="BE37" i="59"/>
  <c r="BH78" i="9"/>
  <c r="BH89" i="9"/>
  <c r="BH73" i="9"/>
  <c r="BH72" i="9"/>
  <c r="BH75" i="9"/>
  <c r="BH76" i="9"/>
  <c r="BA203" i="10"/>
  <c r="BL203" i="10" s="1"/>
  <c r="BL159" i="10"/>
  <c r="BB19" i="49"/>
  <c r="BA158" i="10"/>
  <c r="BL158" i="10" s="1"/>
  <c r="BA178" i="10"/>
  <c r="BD66" i="59" s="1"/>
  <c r="BA161" i="10"/>
  <c r="BD64" i="59" s="1"/>
  <c r="BA33" i="22"/>
  <c r="AZ132" i="26"/>
  <c r="BA89" i="9"/>
  <c r="BA97" i="11"/>
  <c r="BA79" i="11"/>
  <c r="BD70" i="59" s="1"/>
  <c r="BA55" i="11"/>
  <c r="BA58" i="11"/>
  <c r="BB13" i="49"/>
  <c r="BE6" i="59"/>
  <c r="BB33" i="22"/>
  <c r="BA132" i="26"/>
  <c r="BE60" i="59"/>
  <c r="BB37" i="35"/>
  <c r="BC97" i="50" s="1"/>
  <c r="BC95" i="50" s="1"/>
  <c r="BB73" i="9"/>
  <c r="BB89" i="9"/>
  <c r="BB76" i="9"/>
  <c r="BB72" i="9"/>
  <c r="BB75" i="9"/>
  <c r="BB78" i="9"/>
  <c r="BB96" i="9"/>
  <c r="BB94" i="9"/>
  <c r="BA37" i="35"/>
  <c r="BB15" i="35"/>
  <c r="BB49" i="35"/>
  <c r="BO76" i="9" l="1"/>
  <c r="BO78" i="9"/>
  <c r="BA127" i="26"/>
  <c r="BA119" i="26"/>
  <c r="BA116" i="26"/>
  <c r="BA126" i="26"/>
  <c r="BA123" i="26"/>
  <c r="BA121" i="26"/>
  <c r="BA120" i="26"/>
  <c r="BA125" i="26"/>
  <c r="BA118" i="26"/>
  <c r="BA128" i="26"/>
  <c r="BA124" i="26"/>
  <c r="BA122" i="26"/>
  <c r="BA117" i="26"/>
  <c r="BA129" i="26"/>
  <c r="AZ116" i="26"/>
  <c r="AZ117" i="26"/>
  <c r="AZ123" i="26"/>
  <c r="AZ128" i="26"/>
  <c r="AZ125" i="26"/>
  <c r="AZ121" i="26"/>
  <c r="AZ129" i="26"/>
  <c r="AZ124" i="26"/>
  <c r="AZ122" i="26"/>
  <c r="AZ127" i="26"/>
  <c r="AZ118" i="26"/>
  <c r="AZ119" i="26"/>
  <c r="AZ120" i="26"/>
  <c r="AZ126" i="26"/>
  <c r="BO73" i="9"/>
  <c r="BO75" i="9"/>
  <c r="BO72" i="9"/>
  <c r="AZ15" i="36"/>
  <c r="AZ75" i="8" s="1"/>
  <c r="AN160" i="10"/>
  <c r="BA19" i="15"/>
  <c r="BA8" i="35"/>
  <c r="BA5" i="6"/>
  <c r="BA6" i="6"/>
  <c r="BA16" i="6" s="1"/>
  <c r="BB55" i="35"/>
  <c r="BA130" i="26" l="1"/>
  <c r="AZ130" i="26"/>
  <c r="BC53" i="59"/>
  <c r="BA7" i="6"/>
  <c r="BA15" i="6"/>
  <c r="BN71" i="36" l="1"/>
  <c r="BL71" i="36"/>
  <c r="BK71" i="36"/>
  <c r="F21" i="35"/>
  <c r="AN3" i="8"/>
  <c r="BD3" i="8" s="1"/>
  <c r="AR26" i="9" l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22" i="10" l="1"/>
  <c r="BM122" i="10" s="1"/>
  <c r="BD122" i="10" l="1"/>
  <c r="BK122" i="10" s="1"/>
  <c r="BF144" i="10" l="1"/>
  <c r="BI144" i="10" s="1"/>
  <c r="J160" i="10"/>
  <c r="F160" i="10"/>
  <c r="BB145" i="10"/>
  <c r="BF146" i="10"/>
  <c r="BI146" i="10" s="1"/>
  <c r="BD145" i="10" l="1"/>
  <c r="BK145" i="10" s="1"/>
  <c r="BM145" i="10"/>
  <c r="BD160" i="10"/>
  <c r="BK160" i="10" s="1"/>
  <c r="BB160" i="10"/>
  <c r="BM160" i="10" s="1"/>
  <c r="N160" i="10"/>
  <c r="BF147" i="10"/>
  <c r="BI147" i="10" s="1"/>
  <c r="BF143" i="10"/>
  <c r="BI143" i="10" s="1"/>
  <c r="AD12" i="38"/>
  <c r="AR12" i="38"/>
  <c r="AQ24" i="50" l="1"/>
  <c r="AU24" i="50" s="1"/>
  <c r="AY24" i="50" s="1"/>
  <c r="BG24" i="50" s="1"/>
  <c r="BH24" i="50" s="1"/>
  <c r="V160" i="10"/>
  <c r="BH12" i="38"/>
  <c r="AF12" i="38"/>
  <c r="AJ12" i="38" s="1"/>
  <c r="AN12" i="38" s="1"/>
  <c r="BB192" i="10"/>
  <c r="BM192" i="10" s="1"/>
  <c r="BB184" i="10"/>
  <c r="BM184" i="10" s="1"/>
  <c r="BD184" i="10"/>
  <c r="BK184" i="10" s="1"/>
  <c r="BD192" i="10"/>
  <c r="BK192" i="10" s="1"/>
  <c r="AT12" i="38" l="1"/>
  <c r="AX12" i="38" s="1"/>
  <c r="BB12" i="38" s="1"/>
  <c r="V184" i="10"/>
  <c r="V192" i="10"/>
  <c r="BJ12" i="38" l="1"/>
  <c r="BC79" i="73"/>
  <c r="BE79" i="73"/>
  <c r="BC80" i="73"/>
  <c r="BC81" i="73"/>
  <c r="AS37" i="73"/>
  <c r="BC37" i="73"/>
  <c r="BC39" i="73"/>
  <c r="AW37" i="73" l="1"/>
  <c r="BE37" i="73" l="1"/>
  <c r="AV16" i="61"/>
  <c r="AV16" i="52"/>
  <c r="AU16" i="52"/>
  <c r="AV9" i="52"/>
  <c r="AU9" i="52"/>
  <c r="AV17" i="52" l="1"/>
  <c r="AU17" i="52"/>
  <c r="BA68" i="90" l="1"/>
  <c r="BA21" i="8"/>
  <c r="AV1" i="7"/>
  <c r="AV80" i="7" s="1"/>
  <c r="AU1" i="7"/>
  <c r="AU80" i="7" s="1"/>
  <c r="BA6" i="49" l="1"/>
  <c r="BC6" i="49" s="1"/>
  <c r="BA8" i="49"/>
  <c r="BC8" i="49" s="1"/>
  <c r="BA17" i="49"/>
  <c r="BC17" i="49" s="1"/>
  <c r="BA9" i="49" l="1"/>
  <c r="BC9" i="49" s="1"/>
  <c r="BA18" i="49"/>
  <c r="BC18" i="49" s="1"/>
  <c r="BA10" i="49"/>
  <c r="BC10" i="49" s="1"/>
  <c r="BA12" i="49" l="1"/>
  <c r="BC12" i="49" s="1"/>
  <c r="BA14" i="49" l="1"/>
  <c r="BA15" i="49" l="1"/>
  <c r="BA16" i="49" l="1"/>
  <c r="AW523" i="28"/>
  <c r="AW522" i="28"/>
  <c r="AV171" i="73"/>
  <c r="AT171" i="73"/>
  <c r="AV130" i="73"/>
  <c r="AT130" i="73"/>
  <c r="AV126" i="73"/>
  <c r="AT126" i="73"/>
  <c r="AV122" i="73"/>
  <c r="AT122" i="73"/>
  <c r="AV102" i="73"/>
  <c r="AV114" i="73" s="1"/>
  <c r="AT8" i="73"/>
  <c r="AT6" i="73" s="1"/>
  <c r="AX37" i="36"/>
  <c r="AW37" i="36"/>
  <c r="AV133" i="73" l="1"/>
  <c r="AT133" i="73"/>
  <c r="BA19" i="49"/>
  <c r="AW72" i="36" l="1"/>
  <c r="AW71" i="36"/>
  <c r="AW69" i="36"/>
  <c r="AW67" i="36"/>
  <c r="AW66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68" i="36"/>
  <c r="BB103" i="9" l="1"/>
  <c r="AJ253" i="28" l="1"/>
  <c r="AP253" i="28" l="1"/>
  <c r="AT253" i="28" l="1"/>
  <c r="BB199" i="10"/>
  <c r="BM199" i="10" s="1"/>
  <c r="BB158" i="10"/>
  <c r="BM158" i="10" s="1"/>
  <c r="BB159" i="10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W152" i="7"/>
  <c r="AX152" i="7"/>
  <c r="AW153" i="7"/>
  <c r="AX153" i="7"/>
  <c r="AW154" i="7"/>
  <c r="AX154" i="7"/>
  <c r="BM159" i="10" l="1"/>
  <c r="BB163" i="10"/>
  <c r="BB203" i="10"/>
  <c r="BM203" i="10" s="1"/>
  <c r="AX253" i="28"/>
  <c r="BF253" i="28" s="1"/>
  <c r="BH253" i="28" s="1"/>
  <c r="BB161" i="10"/>
  <c r="BB200" i="10"/>
  <c r="BM200" i="10" s="1"/>
  <c r="BB178" i="10"/>
  <c r="BE66" i="59" s="1"/>
  <c r="BB191" i="10"/>
  <c r="BB196" i="10"/>
  <c r="BM196" i="10" s="1"/>
  <c r="BM191" i="10" l="1"/>
  <c r="BB193" i="10"/>
  <c r="BM193" i="10" s="1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AS70" i="36" l="1"/>
  <c r="AO70" i="36"/>
  <c r="AA70" i="36"/>
  <c r="Y70" i="36"/>
  <c r="M70" i="36"/>
  <c r="E70" i="36"/>
  <c r="AS523" i="28" l="1"/>
  <c r="AS522" i="28"/>
  <c r="BB479" i="28"/>
  <c r="BB473" i="28"/>
  <c r="BA429" i="28"/>
  <c r="BB298" i="28"/>
  <c r="BB297" i="28"/>
  <c r="BA297" i="28"/>
  <c r="BB256" i="28"/>
  <c r="BB506" i="28" s="1"/>
  <c r="BA256" i="28"/>
  <c r="BB96" i="28"/>
  <c r="BB95" i="28"/>
  <c r="BB93" i="28"/>
  <c r="BB89" i="28"/>
  <c r="BB85" i="28"/>
  <c r="BB81" i="28"/>
  <c r="BA68" i="28"/>
  <c r="BA67" i="28"/>
  <c r="BA65" i="28"/>
  <c r="BA23" i="28"/>
  <c r="BA7" i="28"/>
  <c r="AT16" i="61"/>
  <c r="AR16" i="61"/>
  <c r="AR16" i="52"/>
  <c r="AQ16" i="52"/>
  <c r="AR9" i="52"/>
  <c r="AQ9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9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8" i="8" s="1"/>
  <c r="AZ23" i="26"/>
  <c r="BA191" i="6" s="1"/>
  <c r="AZ21" i="26"/>
  <c r="BA166" i="6" s="1"/>
  <c r="AZ17" i="26"/>
  <c r="AZ15" i="26"/>
  <c r="AZ11" i="26"/>
  <c r="AZ9" i="26"/>
  <c r="BB507" i="28" l="1"/>
  <c r="BB10" i="22"/>
  <c r="BB12" i="22" s="1"/>
  <c r="BB24" i="22"/>
  <c r="BB26" i="22" s="1"/>
  <c r="BB511" i="28"/>
  <c r="BB236" i="28"/>
  <c r="BB504" i="28" s="1"/>
  <c r="BB503" i="28"/>
  <c r="BB429" i="28"/>
  <c r="BB514" i="28" s="1"/>
  <c r="BB304" i="28"/>
  <c r="BA298" i="28"/>
  <c r="BA15" i="28"/>
  <c r="AZ114" i="26"/>
  <c r="AZ78" i="26"/>
  <c r="AZ75" i="26"/>
  <c r="AZ57" i="26"/>
  <c r="AZ48" i="26"/>
  <c r="AZ45" i="26"/>
  <c r="AZ12" i="26"/>
  <c r="AZ19" i="26" s="1"/>
  <c r="AR17" i="52"/>
  <c r="BB97" i="28"/>
  <c r="BB98" i="28" s="1"/>
  <c r="BB74" i="28"/>
  <c r="BB513" i="28"/>
  <c r="BA21" i="28"/>
  <c r="BA13" i="28"/>
  <c r="BB515" i="28"/>
  <c r="BB72" i="28"/>
  <c r="BB471" i="28"/>
  <c r="BB523" i="28" s="1"/>
  <c r="BB490" i="28"/>
  <c r="BB522" i="28" s="1"/>
  <c r="BB73" i="28"/>
  <c r="AQ17" i="52"/>
  <c r="BA7" i="26"/>
  <c r="BA47" i="26"/>
  <c r="BB505" i="28" l="1"/>
  <c r="BB512" i="28"/>
  <c r="BB299" i="28"/>
  <c r="BB510" i="28"/>
  <c r="BA414" i="28"/>
  <c r="BA29" i="28"/>
  <c r="AZ83" i="26"/>
  <c r="AZ82" i="26"/>
  <c r="AZ85" i="26"/>
  <c r="AZ86" i="17" s="1"/>
  <c r="AZ50" i="26"/>
  <c r="AZ18" i="26"/>
  <c r="AZ13" i="26"/>
  <c r="BB75" i="28"/>
  <c r="BA72" i="28"/>
  <c r="BA236" i="28"/>
  <c r="BA505" i="28" s="1"/>
  <c r="BB491" i="28" l="1"/>
  <c r="BB509" i="28"/>
  <c r="BB500" i="28"/>
  <c r="BB508" i="28"/>
  <c r="BB501" i="28"/>
  <c r="BA87" i="28"/>
  <c r="BA512" i="28" s="1"/>
  <c r="BA74" i="28"/>
  <c r="BA299" i="28"/>
  <c r="BA83" i="28"/>
  <c r="BA73" i="28"/>
  <c r="BA513" i="28"/>
  <c r="AZ94" i="26"/>
  <c r="AZ51" i="26"/>
  <c r="AZ56" i="26"/>
  <c r="BB76" i="28"/>
  <c r="BA79" i="28"/>
  <c r="BB520" i="28" l="1"/>
  <c r="BB521" i="28"/>
  <c r="BB516" i="28"/>
  <c r="BB495" i="28"/>
  <c r="BB517" i="28"/>
  <c r="BB494" i="28"/>
  <c r="BA511" i="28"/>
  <c r="BA504" i="28"/>
  <c r="BA503" i="28"/>
  <c r="BA507" i="28"/>
  <c r="BA508" i="28"/>
  <c r="BA500" i="28"/>
  <c r="BA501" i="28"/>
  <c r="BA509" i="28"/>
  <c r="BA88" i="17" l="1"/>
  <c r="AZ88" i="17"/>
  <c r="AZ61" i="17"/>
  <c r="BA91" i="17"/>
  <c r="AZ58" i="17"/>
  <c r="AZ57" i="17"/>
  <c r="AZ52" i="17"/>
  <c r="AZ53" i="17" s="1"/>
  <c r="AZ117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62" i="17" s="1"/>
  <c r="AZ45" i="17"/>
  <c r="AZ51" i="17" s="1"/>
  <c r="AZ50" i="17"/>
  <c r="BA52" i="17"/>
  <c r="AZ9" i="17"/>
  <c r="BA13" i="17"/>
  <c r="BA15" i="17" s="1"/>
  <c r="BA11" i="17"/>
  <c r="AZ16" i="17"/>
  <c r="AZ30" i="17" s="1"/>
  <c r="BA16" i="17"/>
  <c r="BA35" i="17"/>
  <c r="AZ22" i="17"/>
  <c r="AZ35" i="17" s="1"/>
  <c r="AZ60" i="17" l="1"/>
  <c r="AZ91" i="17"/>
  <c r="BA30" i="17"/>
  <c r="BA32" i="17"/>
  <c r="BA34" i="17"/>
  <c r="BA31" i="17"/>
  <c r="AZ116" i="17"/>
  <c r="AZ11" i="17"/>
  <c r="AZ54" i="17"/>
  <c r="AZ114" i="17"/>
  <c r="AZ34" i="17"/>
  <c r="AZ31" i="17"/>
  <c r="AZ32" i="17"/>
  <c r="AZ115" i="17"/>
  <c r="AZ119" i="17" s="1"/>
  <c r="AZ55" i="17"/>
  <c r="BA53" i="17"/>
  <c r="BA117" i="17" s="1"/>
  <c r="BA119" i="17" s="1"/>
  <c r="BA54" i="17"/>
  <c r="BA55" i="17" s="1"/>
  <c r="BA33" i="17"/>
  <c r="AZ33" i="17"/>
  <c r="BA116" i="17"/>
  <c r="BA118" i="17" s="1"/>
  <c r="BA36" i="27"/>
  <c r="BA39" i="27" s="1"/>
  <c r="BA26" i="27"/>
  <c r="BA33" i="27" s="1"/>
  <c r="BA30" i="15"/>
  <c r="BA25" i="15"/>
  <c r="BA24" i="15"/>
  <c r="BA23" i="15"/>
  <c r="BA22" i="15"/>
  <c r="BA21" i="15"/>
  <c r="BA15" i="15"/>
  <c r="AZ118" i="17" l="1"/>
  <c r="BA31" i="15"/>
  <c r="AZ12" i="15"/>
  <c r="BA29" i="15"/>
  <c r="AZ13" i="15" l="1"/>
  <c r="BA32" i="15"/>
  <c r="AZ16" i="15"/>
  <c r="AZ15" i="15"/>
  <c r="BC4" i="61"/>
  <c r="BC13" i="61"/>
  <c r="BC14" i="61"/>
  <c r="BC15" i="61"/>
  <c r="AO46" i="72"/>
  <c r="AO38" i="72"/>
  <c r="AY38" i="72" s="1"/>
  <c r="AO18" i="72"/>
  <c r="AY18" i="72" s="1"/>
  <c r="B62" i="9"/>
  <c r="B79" i="9"/>
  <c r="D57" i="59"/>
  <c r="D78" i="9"/>
  <c r="D75" i="9"/>
  <c r="AY46" i="72" l="1"/>
  <c r="AO49" i="72"/>
  <c r="D55" i="9"/>
  <c r="BA36" i="15"/>
  <c r="BA16" i="15"/>
  <c r="AO51" i="72" l="1"/>
  <c r="AY49" i="72"/>
  <c r="AY51" i="72" s="1"/>
  <c r="BC16" i="61"/>
  <c r="BA17" i="15"/>
  <c r="BC157" i="45"/>
  <c r="BC143" i="45"/>
  <c r="BB143" i="45"/>
  <c r="BC141" i="45"/>
  <c r="BB141" i="45"/>
  <c r="BC140" i="45"/>
  <c r="BB140" i="45"/>
  <c r="BB137" i="45"/>
  <c r="BB78" i="11"/>
  <c r="BA78" i="11"/>
  <c r="BB76" i="11"/>
  <c r="BA76" i="11"/>
  <c r="BB75" i="11"/>
  <c r="BA75" i="11"/>
  <c r="BA72" i="11"/>
  <c r="BA66" i="11"/>
  <c r="BA67" i="11" s="1"/>
  <c r="BB177" i="10"/>
  <c r="BA177" i="10"/>
  <c r="BB175" i="10"/>
  <c r="BA175" i="10"/>
  <c r="BB174" i="10"/>
  <c r="BA174" i="10"/>
  <c r="BA171" i="10"/>
  <c r="BB66" i="11" l="1"/>
  <c r="BB67" i="11" s="1"/>
  <c r="BB73" i="11"/>
  <c r="BB74" i="11" s="1"/>
  <c r="BA165" i="10"/>
  <c r="BB165" i="10"/>
  <c r="BB131" i="45"/>
  <c r="BC131" i="45"/>
  <c r="BC138" i="45"/>
  <c r="BC139" i="45" s="1"/>
  <c r="BB172" i="10"/>
  <c r="BA166" i="10" l="1"/>
  <c r="BL165" i="10"/>
  <c r="BB166" i="10"/>
  <c r="BM165" i="10"/>
  <c r="BB173" i="10"/>
  <c r="BM172" i="10"/>
  <c r="BB132" i="45"/>
  <c r="BC132" i="45"/>
  <c r="AU53" i="38" l="1"/>
  <c r="AV52" i="38"/>
  <c r="AU52" i="38"/>
  <c r="BE47" i="38"/>
  <c r="BE96" i="38" s="1"/>
  <c r="BE46" i="38"/>
  <c r="BE95" i="38" s="1"/>
  <c r="BE45" i="38"/>
  <c r="BE94" i="38" s="1"/>
  <c r="BE44" i="38"/>
  <c r="BE93" i="38" s="1"/>
  <c r="BF41" i="38"/>
  <c r="BF90" i="38" s="1"/>
  <c r="BE39" i="38"/>
  <c r="BE88" i="38" s="1"/>
  <c r="BE38" i="38"/>
  <c r="BE87" i="38" s="1"/>
  <c r="BE37" i="38"/>
  <c r="BE86" i="38" s="1"/>
  <c r="BE33" i="38"/>
  <c r="BE32" i="38"/>
  <c r="BE31" i="38"/>
  <c r="BE30" i="38"/>
  <c r="BE29" i="38"/>
  <c r="BE25" i="38"/>
  <c r="BE21" i="38"/>
  <c r="BF19" i="38"/>
  <c r="BF68" i="38" s="1"/>
  <c r="BE15" i="38"/>
  <c r="BE64" i="38" s="1"/>
  <c r="BE14" i="38"/>
  <c r="BE63" i="38" s="1"/>
  <c r="BF13" i="38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BE24" i="38"/>
  <c r="BA99" i="9" s="1"/>
  <c r="AQ99" i="9"/>
  <c r="AQ100" i="9" s="1"/>
  <c r="BE26" i="38"/>
  <c r="BE75" i="38" s="1"/>
  <c r="AQ172" i="10"/>
  <c r="BE23" i="38"/>
  <c r="BA91" i="8" s="1"/>
  <c r="BE20" i="38"/>
  <c r="BE69" i="38" s="1"/>
  <c r="BE27" i="38"/>
  <c r="BE76" i="38" s="1"/>
  <c r="BE22" i="38"/>
  <c r="BE71" i="38" s="1"/>
  <c r="BE28" i="38"/>
  <c r="BE77" i="38" s="1"/>
  <c r="BE41" i="38"/>
  <c r="BE90" i="38" s="1"/>
  <c r="BE42" i="38"/>
  <c r="BE91" i="38" s="1"/>
  <c r="BE60" i="38"/>
  <c r="BE82" i="38"/>
  <c r="BE78" i="38"/>
  <c r="BE70" i="38"/>
  <c r="BE79" i="38"/>
  <c r="BE74" i="38"/>
  <c r="BE80" i="38"/>
  <c r="BE81" i="38"/>
  <c r="BF43" i="38"/>
  <c r="BF92" i="38" s="1"/>
  <c r="BF35" i="38"/>
  <c r="BF84" i="38" s="1"/>
  <c r="BE6" i="38"/>
  <c r="BE19" i="38"/>
  <c r="BE43" i="38"/>
  <c r="BE92" i="38" s="1"/>
  <c r="BE62" i="38"/>
  <c r="BF40" i="38"/>
  <c r="BF89" i="38" s="1"/>
  <c r="AQ173" i="10" l="1"/>
  <c r="BA167" i="6"/>
  <c r="BA193" i="6"/>
  <c r="BE35" i="38"/>
  <c r="BE84" i="38" s="1"/>
  <c r="BE73" i="38"/>
  <c r="BE72" i="38"/>
  <c r="BF18" i="38"/>
  <c r="BA73" i="11"/>
  <c r="BA74" i="11" s="1"/>
  <c r="BB138" i="45"/>
  <c r="BB139" i="45" s="1"/>
  <c r="BA172" i="10"/>
  <c r="BA173" i="10" s="1"/>
  <c r="BE55" i="38"/>
  <c r="BE68" i="38"/>
  <c r="BF16" i="38"/>
  <c r="AU98" i="38"/>
  <c r="BE18" i="38"/>
  <c r="BE16" i="38"/>
  <c r="BE40" i="38"/>
  <c r="BE89" i="38" s="1"/>
  <c r="BF17" i="38"/>
  <c r="BF66" i="38" s="1"/>
  <c r="BB25" i="36" l="1"/>
  <c r="BE76" i="59" s="1"/>
  <c r="BL172" i="10"/>
  <c r="AV49" i="38"/>
  <c r="BF67" i="38"/>
  <c r="AU49" i="38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98" i="38"/>
  <c r="BE49" i="38" l="1"/>
  <c r="BE98" i="38"/>
  <c r="BA101" i="9"/>
  <c r="BB98" i="9"/>
  <c r="BA98" i="9"/>
  <c r="BB97" i="9"/>
  <c r="BA97" i="9"/>
  <c r="BB60" i="9"/>
  <c r="BH77" i="9" s="1"/>
  <c r="BB57" i="9"/>
  <c r="BA51" i="9"/>
  <c r="BA47" i="9"/>
  <c r="BA24" i="9"/>
  <c r="BB19" i="9"/>
  <c r="BH90" i="9" s="1"/>
  <c r="BH91" i="9" s="1"/>
  <c r="BA13" i="8"/>
  <c r="BB94" i="8"/>
  <c r="BA81" i="8"/>
  <c r="BD45" i="59" s="1"/>
  <c r="BB61" i="8"/>
  <c r="BB21" i="8"/>
  <c r="BB17" i="8"/>
  <c r="BA17" i="8"/>
  <c r="BB15" i="8"/>
  <c r="BA15" i="8"/>
  <c r="BB14" i="8"/>
  <c r="BA14" i="8"/>
  <c r="BB13" i="8"/>
  <c r="AS81" i="8"/>
  <c r="AS73" i="8"/>
  <c r="AS52" i="8"/>
  <c r="AV42" i="59" s="1"/>
  <c r="BB74" i="9" l="1"/>
  <c r="BH74" i="9"/>
  <c r="BO74" i="9" s="1"/>
  <c r="BB49" i="8"/>
  <c r="BB14" i="36"/>
  <c r="BB50" i="8"/>
  <c r="BA16" i="8"/>
  <c r="BA30" i="8"/>
  <c r="BA6" i="8"/>
  <c r="BB16" i="8"/>
  <c r="BB77" i="9"/>
  <c r="BO77" i="9" s="1"/>
  <c r="BA53" i="9"/>
  <c r="BA22" i="9"/>
  <c r="BA102" i="9"/>
  <c r="BA70" i="9"/>
  <c r="BA104" i="9"/>
  <c r="BB90" i="9"/>
  <c r="BB91" i="9" s="1"/>
  <c r="BB102" i="9"/>
  <c r="BB104" i="9"/>
  <c r="BB34" i="8"/>
  <c r="BB64" i="8"/>
  <c r="BB55" i="8" s="1"/>
  <c r="BB67" i="8"/>
  <c r="BB66" i="8"/>
  <c r="BB59" i="8"/>
  <c r="BB58" i="8"/>
  <c r="BB54" i="8" s="1"/>
  <c r="BB36" i="8"/>
  <c r="BB68" i="8"/>
  <c r="BB57" i="8" s="1"/>
  <c r="BA100" i="9"/>
  <c r="BB100" i="9"/>
  <c r="BA68" i="9"/>
  <c r="BA56" i="9"/>
  <c r="BG73" i="9" s="1"/>
  <c r="BA95" i="9"/>
  <c r="BA85" i="8"/>
  <c r="BA63" i="9"/>
  <c r="BA69" i="9"/>
  <c r="BA31" i="8"/>
  <c r="BA58" i="9"/>
  <c r="BG75" i="9" s="1"/>
  <c r="BA64" i="9"/>
  <c r="BA92" i="9"/>
  <c r="BB48" i="9"/>
  <c r="BA59" i="9"/>
  <c r="BG76" i="9" s="1"/>
  <c r="BA67" i="9"/>
  <c r="BA55" i="9"/>
  <c r="BG72" i="9" s="1"/>
  <c r="BA61" i="9"/>
  <c r="BG78" i="9" s="1"/>
  <c r="BB62" i="8"/>
  <c r="BB62" i="9"/>
  <c r="BH79" i="9" s="1"/>
  <c r="BB14" i="9"/>
  <c r="BA65" i="9"/>
  <c r="BA27" i="9"/>
  <c r="BA66" i="9"/>
  <c r="BA27" i="8"/>
  <c r="BA28" i="8"/>
  <c r="BA24" i="8"/>
  <c r="BA29" i="8"/>
  <c r="BA23" i="8"/>
  <c r="BA25" i="8"/>
  <c r="BH49" i="8" l="1"/>
  <c r="BB51" i="8"/>
  <c r="BE41" i="59"/>
  <c r="BA84" i="8"/>
  <c r="BD51" i="59" s="1"/>
  <c r="BO79" i="9"/>
  <c r="BA2" i="17"/>
  <c r="BA2" i="26"/>
  <c r="BA83" i="8"/>
  <c r="BD50" i="59" s="1"/>
  <c r="BA86" i="8"/>
  <c r="BA45" i="8"/>
  <c r="BB37" i="8"/>
  <c r="BA67" i="8"/>
  <c r="BA6" i="26"/>
  <c r="BB78" i="8"/>
  <c r="BA44" i="8"/>
  <c r="BD48" i="59" s="1"/>
  <c r="BA47" i="8"/>
  <c r="BA14" i="36"/>
  <c r="BA50" i="8"/>
  <c r="BG49" i="8" s="1"/>
  <c r="BA49" i="8"/>
  <c r="BA82" i="8"/>
  <c r="BD52" i="59" s="1"/>
  <c r="BA10" i="36"/>
  <c r="BD37" i="59" s="1"/>
  <c r="BA39" i="8"/>
  <c r="BA26" i="8"/>
  <c r="BA90" i="8"/>
  <c r="BA12" i="36"/>
  <c r="BD39" i="59" s="1"/>
  <c r="BA41" i="8"/>
  <c r="BA43" i="8"/>
  <c r="BD46" i="59" s="1"/>
  <c r="BA109" i="8"/>
  <c r="BA111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N76" i="9" s="1"/>
  <c r="BA80" i="9"/>
  <c r="BE59" i="59"/>
  <c r="BA75" i="9"/>
  <c r="BN75" i="9" s="1"/>
  <c r="BA82" i="9"/>
  <c r="BD62" i="59" s="1"/>
  <c r="BA96" i="9"/>
  <c r="BA81" i="9"/>
  <c r="BA78" i="9"/>
  <c r="BN78" i="9" s="1"/>
  <c r="BA84" i="9"/>
  <c r="BA73" i="9"/>
  <c r="BN73" i="9" s="1"/>
  <c r="BA72" i="9"/>
  <c r="BN72" i="9" s="1"/>
  <c r="BB79" i="9"/>
  <c r="BA85" i="9"/>
  <c r="BB47" i="9"/>
  <c r="BA93" i="9"/>
  <c r="BA94" i="9"/>
  <c r="BD59" i="59"/>
  <c r="BB69" i="8"/>
  <c r="BB65" i="8"/>
  <c r="BA57" i="9"/>
  <c r="BA21" i="22"/>
  <c r="BA51" i="8" l="1"/>
  <c r="BN49" i="8"/>
  <c r="BD41" i="59"/>
  <c r="BA74" i="9"/>
  <c r="BG74" i="9"/>
  <c r="BN74" i="9" s="1"/>
  <c r="BA78" i="8"/>
  <c r="AZ2" i="17"/>
  <c r="AZ2" i="26"/>
  <c r="BA37" i="8"/>
  <c r="BB63" i="8"/>
  <c r="BB70" i="8" s="1"/>
  <c r="BB35" i="8"/>
  <c r="BD49" i="59"/>
  <c r="BA52" i="8"/>
  <c r="BD42" i="59" s="1"/>
  <c r="BA59" i="8"/>
  <c r="BA34" i="8"/>
  <c r="BA65" i="8"/>
  <c r="BA36" i="8"/>
  <c r="BA69" i="8"/>
  <c r="BA74" i="8" s="1"/>
  <c r="BA110" i="8"/>
  <c r="BA112" i="8" s="1"/>
  <c r="BA53" i="8" s="1"/>
  <c r="BD43" i="59" s="1"/>
  <c r="BA42" i="8"/>
  <c r="AZ19" i="15"/>
  <c r="BD19" i="15"/>
  <c r="BA62" i="9"/>
  <c r="BG79" i="9" s="1"/>
  <c r="BA60" i="9"/>
  <c r="BG77" i="9" s="1"/>
  <c r="BB49" i="9"/>
  <c r="BA88" i="9"/>
  <c r="BA52" i="9"/>
  <c r="BB24" i="36"/>
  <c r="BA7" i="22"/>
  <c r="BA15" i="22" s="1"/>
  <c r="BA24" i="36"/>
  <c r="BB74" i="8"/>
  <c r="BB72" i="8"/>
  <c r="BB56" i="8"/>
  <c r="BB73" i="8" s="1"/>
  <c r="BB71" i="8" l="1"/>
  <c r="BD44" i="59"/>
  <c r="BA35" i="8"/>
  <c r="BA63" i="8"/>
  <c r="BA71" i="8" s="1"/>
  <c r="BA72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N77" i="9" s="1"/>
  <c r="BA7" i="9"/>
  <c r="BD58" i="59"/>
  <c r="BA79" i="9"/>
  <c r="BN79" i="9" s="1"/>
  <c r="BA8" i="22"/>
  <c r="BA22" i="22"/>
  <c r="BA23" i="22" s="1"/>
  <c r="BA9" i="22" l="1"/>
  <c r="BA24" i="22"/>
  <c r="BA10" i="22"/>
  <c r="AS113" i="7"/>
  <c r="AS112" i="7"/>
  <c r="AS111" i="7"/>
  <c r="AS110" i="7"/>
  <c r="AS109" i="7"/>
  <c r="AS108" i="7"/>
  <c r="AS107" i="7"/>
  <c r="AS106" i="7"/>
  <c r="AS85" i="7"/>
  <c r="BB84" i="7"/>
  <c r="BA84" i="7"/>
  <c r="BB82" i="7"/>
  <c r="BA82" i="7"/>
  <c r="AR1" i="7"/>
  <c r="AR80" i="7" s="1"/>
  <c r="AQ1" i="7"/>
  <c r="AQ80" i="7" s="1"/>
  <c r="BA1" i="7" l="1"/>
  <c r="BA80" i="7" s="1"/>
  <c r="BB1" i="7"/>
  <c r="BB80" i="7" s="1"/>
  <c r="BA71" i="7"/>
  <c r="BA73" i="7" s="1"/>
  <c r="BB112" i="7"/>
  <c r="BB107" i="7"/>
  <c r="BB111" i="7"/>
  <c r="BB109" i="7"/>
  <c r="BB113" i="7"/>
  <c r="BB106" i="7"/>
  <c r="BB85" i="7"/>
  <c r="BB110" i="7"/>
  <c r="BB108" i="7"/>
  <c r="BB71" i="7"/>
  <c r="BB73" i="7" s="1"/>
  <c r="BA13" i="22"/>
  <c r="BA11" i="22"/>
  <c r="BA27" i="22"/>
  <c r="BA25" i="22"/>
  <c r="BB83" i="7"/>
  <c r="BE36" i="59" s="1"/>
  <c r="BA83" i="7"/>
  <c r="BD36" i="59" s="1"/>
  <c r="BA68" i="7"/>
  <c r="BA69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24" i="6"/>
  <c r="BA27" i="6"/>
  <c r="BA18" i="6"/>
  <c r="BA195" i="6" s="1"/>
  <c r="BA163" i="6"/>
  <c r="AS20" i="73"/>
  <c r="AW20" i="73" s="1"/>
  <c r="AR171" i="73"/>
  <c r="AR130" i="73"/>
  <c r="AR126" i="73"/>
  <c r="AR122" i="73"/>
  <c r="AR102" i="73"/>
  <c r="AR114" i="73" s="1"/>
  <c r="AR133" i="73" l="1"/>
  <c r="BB208" i="6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20" i="73"/>
  <c r="BA12" i="15"/>
  <c r="AS37" i="36"/>
  <c r="AT37" i="36"/>
  <c r="AS72" i="36"/>
  <c r="AS71" i="36"/>
  <c r="AS69" i="36"/>
  <c r="AS67" i="36"/>
  <c r="AS66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5" i="8"/>
  <c r="BA13" i="15"/>
  <c r="BA14" i="15" s="1"/>
  <c r="AS13" i="49"/>
  <c r="AV6" i="59"/>
  <c r="AR6" i="15"/>
  <c r="AV78" i="59"/>
  <c r="AR5" i="15"/>
  <c r="AV77" i="59"/>
  <c r="AR7" i="15"/>
  <c r="AV79" i="59"/>
  <c r="AS68" i="36"/>
  <c r="BA27" i="21"/>
  <c r="BB18" i="21"/>
  <c r="BB15" i="21"/>
  <c r="BD15" i="59" l="1"/>
  <c r="BA149" i="6"/>
  <c r="BB9" i="36"/>
  <c r="BE10" i="59" s="1"/>
  <c r="BB20" i="21"/>
  <c r="BA19" i="9"/>
  <c r="BG90" i="9" s="1"/>
  <c r="BG91" i="9" s="1"/>
  <c r="BA15" i="21"/>
  <c r="BA90" i="9" l="1"/>
  <c r="BA91" i="9" s="1"/>
  <c r="BB6" i="6"/>
  <c r="BB16" i="6" s="1"/>
  <c r="BB5" i="6"/>
  <c r="BA9" i="35" l="1"/>
  <c r="BA8" i="6" s="1"/>
  <c r="BB7" i="6"/>
  <c r="BB15" i="6"/>
  <c r="BB8" i="35"/>
  <c r="BA14" i="35"/>
  <c r="BA9" i="6"/>
  <c r="BA26" i="21" l="1"/>
  <c r="BA28" i="21" s="1"/>
  <c r="BB60" i="6"/>
  <c r="BE16" i="59" s="1"/>
  <c r="BE12" i="59"/>
  <c r="BB61" i="6"/>
  <c r="BE23" i="59" s="1"/>
  <c r="BA49" i="35"/>
  <c r="BA55" i="35" s="1"/>
  <c r="BA11" i="35"/>
  <c r="BA10" i="6" s="1"/>
  <c r="BA13" i="35"/>
  <c r="BA31" i="28"/>
  <c r="BB17" i="6" l="1"/>
  <c r="BB169" i="6" s="1"/>
  <c r="BB18" i="6"/>
  <c r="BB195" i="6" s="1"/>
  <c r="BA15" i="35"/>
  <c r="BA37" i="28"/>
  <c r="BB189" i="6" l="1"/>
  <c r="BB164" i="6"/>
  <c r="BB19" i="6"/>
  <c r="BB82" i="6"/>
  <c r="BB83" i="6"/>
  <c r="BB85" i="6"/>
  <c r="BB79" i="6"/>
  <c r="BB80" i="6"/>
  <c r="BA63" i="28"/>
  <c r="BA75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91" i="28"/>
  <c r="BA69" i="28"/>
  <c r="BA91" i="28"/>
  <c r="BB147" i="6" l="1"/>
  <c r="BB150" i="6"/>
  <c r="BB148" i="6"/>
  <c r="BB41" i="6"/>
  <c r="BA520" i="28"/>
  <c r="BA494" i="28"/>
  <c r="BA495" i="28"/>
  <c r="BA517" i="28"/>
  <c r="BA516" i="28"/>
  <c r="BA515" i="28"/>
  <c r="BA76" i="28"/>
  <c r="BA95" i="28"/>
  <c r="BE15" i="59" l="1"/>
  <c r="BB149" i="6"/>
  <c r="BA521" i="28"/>
  <c r="BB7" i="36" l="1"/>
  <c r="BE8" i="59" s="1"/>
  <c r="AI21" i="73"/>
  <c r="AM48" i="17" l="1"/>
  <c r="BC48" i="17" s="1"/>
  <c r="AM112" i="17"/>
  <c r="BC112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AL68" i="17" s="1"/>
  <c r="BC59" i="17" l="1"/>
  <c r="BC62" i="17" s="1"/>
  <c r="AM12" i="17"/>
  <c r="BC8" i="17"/>
  <c r="AL81" i="17"/>
  <c r="BB3" i="17"/>
  <c r="BB68" i="17" s="1"/>
  <c r="AM65" i="17"/>
  <c r="BC3" i="17"/>
  <c r="BC47" i="17" s="1"/>
  <c r="BC22" i="17"/>
  <c r="AM41" i="17"/>
  <c r="AL66" i="17"/>
  <c r="AL13" i="17"/>
  <c r="AM71" i="17"/>
  <c r="AM77" i="17"/>
  <c r="AL82" i="17"/>
  <c r="AL78" i="17"/>
  <c r="AM82" i="17"/>
  <c r="AM49" i="17"/>
  <c r="AM43" i="17"/>
  <c r="AM66" i="17"/>
  <c r="AL75" i="17"/>
  <c r="AM78" i="17"/>
  <c r="BC78" i="17" s="1"/>
  <c r="AL14" i="17"/>
  <c r="AM47" i="17"/>
  <c r="AL71" i="17"/>
  <c r="AM75" i="17"/>
  <c r="AM81" i="17"/>
  <c r="AM59" i="17"/>
  <c r="AM60" i="17" s="1"/>
  <c r="AM44" i="17"/>
  <c r="AM22" i="17"/>
  <c r="AL72" i="17"/>
  <c r="BB72" i="17" s="1"/>
  <c r="AL65" i="17"/>
  <c r="AM68" i="17"/>
  <c r="AM72" i="17"/>
  <c r="AM76" i="17"/>
  <c r="AL76" i="17"/>
  <c r="AM39" i="17"/>
  <c r="AL73" i="17"/>
  <c r="AL77" i="17"/>
  <c r="AL79" i="17" l="1"/>
  <c r="BB14" i="17"/>
  <c r="BB78" i="17"/>
  <c r="BC49" i="17"/>
  <c r="BB82" i="17"/>
  <c r="AM79" i="17"/>
  <c r="BB73" i="17"/>
  <c r="BB77" i="17"/>
  <c r="BB76" i="17"/>
  <c r="AM74" i="17"/>
  <c r="BB71" i="17"/>
  <c r="AL74" i="17"/>
  <c r="BC75" i="17"/>
  <c r="AM83" i="17"/>
  <c r="BB13" i="17"/>
  <c r="BB15" i="17" s="1"/>
  <c r="BC77" i="17"/>
  <c r="BC76" i="17"/>
  <c r="BB66" i="17"/>
  <c r="AM67" i="17"/>
  <c r="AM69" i="17" s="1"/>
  <c r="AL83" i="17"/>
  <c r="AL15" i="17"/>
  <c r="BC39" i="17"/>
  <c r="AM50" i="17"/>
  <c r="AM114" i="17" s="1"/>
  <c r="BC44" i="17"/>
  <c r="AM62" i="17"/>
  <c r="BC82" i="17"/>
  <c r="BC43" i="17"/>
  <c r="BC65" i="17"/>
  <c r="BC12" i="17"/>
  <c r="BC68" i="17"/>
  <c r="BC66" i="17"/>
  <c r="BB75" i="17"/>
  <c r="BC72" i="17"/>
  <c r="BC71" i="17"/>
  <c r="BC41" i="17"/>
  <c r="AL67" i="17"/>
  <c r="AL69" i="17" s="1"/>
  <c r="BB65" i="17"/>
  <c r="BC81" i="17"/>
  <c r="BC73" i="17"/>
  <c r="BC60" i="17"/>
  <c r="BB81" i="17"/>
  <c r="AM45" i="17"/>
  <c r="AM122" i="17" l="1"/>
  <c r="BB74" i="17"/>
  <c r="BB83" i="17"/>
  <c r="BB79" i="17"/>
  <c r="AL122" i="17"/>
  <c r="BC79" i="17"/>
  <c r="BC74" i="17"/>
  <c r="BB67" i="17"/>
  <c r="BB69" i="17" s="1"/>
  <c r="BB122" i="17" s="1"/>
  <c r="AM51" i="17"/>
  <c r="AM115" i="17" s="1"/>
  <c r="BC83" i="17"/>
  <c r="BC67" i="17"/>
  <c r="BC69" i="17" s="1"/>
  <c r="BC45" i="17"/>
  <c r="BC50" i="17"/>
  <c r="BC122" i="17" l="1"/>
  <c r="BC51" i="17"/>
  <c r="BC115" i="17" s="1"/>
  <c r="BC114" i="17"/>
  <c r="AX285" i="28" l="1"/>
  <c r="BF285" i="28" s="1"/>
  <c r="BH285" i="28" s="1"/>
  <c r="BC65" i="73"/>
  <c r="BE65" i="73"/>
  <c r="AN16" i="61" l="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BB6" i="27"/>
  <c r="AM2" i="27"/>
  <c r="BC2" i="27" s="1"/>
  <c r="AL2" i="27"/>
  <c r="BC9" i="52" l="1"/>
  <c r="BC16" i="52"/>
  <c r="BD9" i="52"/>
  <c r="BD16" i="52"/>
  <c r="BD17" i="52" s="1"/>
  <c r="AL37" i="27"/>
  <c r="BB2" i="27"/>
  <c r="AL36" i="27"/>
  <c r="AL18" i="27"/>
  <c r="AL21" i="27"/>
  <c r="AL27" i="27"/>
  <c r="AL30" i="27"/>
  <c r="AL31" i="27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AL26" i="27"/>
  <c r="AL29" i="27"/>
  <c r="AM22" i="27"/>
  <c r="BC22" i="27" s="1"/>
  <c r="BB22" i="27" l="1"/>
  <c r="BB26" i="27"/>
  <c r="BB31" i="27"/>
  <c r="BB30" i="27"/>
  <c r="BB27" i="27"/>
  <c r="BB37" i="27"/>
  <c r="BB28" i="27"/>
  <c r="BB18" i="27"/>
  <c r="BB19" i="27"/>
  <c r="BB29" i="27"/>
  <c r="BB35" i="27"/>
  <c r="BB36" i="27"/>
  <c r="BC17" i="52"/>
  <c r="AL39" i="27"/>
  <c r="BB21" i="27"/>
  <c r="AN17" i="52"/>
  <c r="AM17" i="52"/>
  <c r="AL33" i="27"/>
  <c r="BB33" i="27" l="1"/>
  <c r="BB39" i="27"/>
  <c r="AN27" i="22"/>
  <c r="BD27" i="22" s="1"/>
  <c r="AN25" i="22"/>
  <c r="AN22" i="22"/>
  <c r="BD22" i="22" s="1"/>
  <c r="AN21" i="22"/>
  <c r="AN43" i="22" s="1"/>
  <c r="AN13" i="22"/>
  <c r="BD13" i="22" s="1"/>
  <c r="AN11" i="22"/>
  <c r="AN8" i="22"/>
  <c r="BD8" i="22" s="1"/>
  <c r="AN7" i="22"/>
  <c r="AN42" i="22" s="1"/>
  <c r="AN3" i="22"/>
  <c r="BD3" i="22" s="1"/>
  <c r="AM3" i="22"/>
  <c r="BC3" i="22" s="1"/>
  <c r="BD7" i="22" l="1"/>
  <c r="BD21" i="22"/>
  <c r="BD23" i="22" s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BB93" i="26"/>
  <c r="AM91" i="26"/>
  <c r="BC91" i="26" s="1"/>
  <c r="AM89" i="26"/>
  <c r="BC89" i="26" s="1"/>
  <c r="AM87" i="26"/>
  <c r="BC87" i="26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2" i="15"/>
  <c r="BE142" i="45" l="1"/>
  <c r="BC77" i="11"/>
  <c r="BD142" i="45"/>
  <c r="BC176" i="10"/>
  <c r="BD77" i="11"/>
  <c r="BD176" i="10"/>
  <c r="BD19" i="22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45" i="26"/>
  <c r="AM12" i="26"/>
  <c r="AM19" i="26" s="1"/>
  <c r="BC9" i="26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1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BC12" i="26" l="1"/>
  <c r="BC50" i="26"/>
  <c r="AM13" i="26"/>
  <c r="AM18" i="26"/>
  <c r="BH7" i="38"/>
  <c r="BH25" i="38"/>
  <c r="BH29" i="38"/>
  <c r="BH33" i="38"/>
  <c r="BH8" i="38"/>
  <c r="BH14" i="38"/>
  <c r="BH22" i="38"/>
  <c r="BH26" i="38"/>
  <c r="BH30" i="38"/>
  <c r="BD167" i="6"/>
  <c r="BK167" i="6" s="1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K193" i="6" s="1"/>
  <c r="BH24" i="38"/>
  <c r="BD99" i="9" s="1"/>
  <c r="BH28" i="38"/>
  <c r="BH32" i="38"/>
  <c r="AM56" i="26"/>
  <c r="BC51" i="26"/>
  <c r="BC56" i="26"/>
  <c r="BC13" i="26"/>
  <c r="BC19" i="26"/>
  <c r="BC18" i="26"/>
  <c r="AN91" i="8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AI46" i="72"/>
  <c r="AI38" i="72"/>
  <c r="AI18" i="72"/>
  <c r="AI49" i="72" l="1"/>
  <c r="BA7" i="72"/>
  <c r="AM106" i="90"/>
  <c r="BC106" i="90" s="1"/>
  <c r="BH77" i="38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I51" i="72" l="1"/>
  <c r="BD49" i="11"/>
  <c r="BF21" i="11" l="1"/>
  <c r="BF32" i="11"/>
  <c r="AX49" i="11"/>
  <c r="BF49" i="11" l="1"/>
  <c r="AO152" i="45"/>
  <c r="BE152" i="45" s="1"/>
  <c r="BL152" i="45" s="1"/>
  <c r="AO151" i="45"/>
  <c r="AO147" i="45"/>
  <c r="BE147" i="45" s="1"/>
  <c r="BL147" i="45" s="1"/>
  <c r="AO146" i="45"/>
  <c r="BE146" i="45" s="1"/>
  <c r="BL146" i="45" s="1"/>
  <c r="AO135" i="45"/>
  <c r="BE135" i="45" s="1"/>
  <c r="BL135" i="45" s="1"/>
  <c r="BD135" i="45"/>
  <c r="BK135" i="45" s="1"/>
  <c r="AO133" i="45"/>
  <c r="BE133" i="45" s="1"/>
  <c r="BL133" i="45" s="1"/>
  <c r="BD133" i="45"/>
  <c r="BK133" i="45" s="1"/>
  <c r="AO8" i="45"/>
  <c r="AO7" i="45"/>
  <c r="BD7" i="45"/>
  <c r="BK7" i="45" s="1"/>
  <c r="AO2" i="45"/>
  <c r="AN2" i="45"/>
  <c r="AN86" i="11"/>
  <c r="AN82" i="11"/>
  <c r="BD82" i="11" s="1"/>
  <c r="AN81" i="11"/>
  <c r="AN70" i="11"/>
  <c r="BD70" i="11" s="1"/>
  <c r="AM70" i="11"/>
  <c r="BC70" i="11" s="1"/>
  <c r="AN68" i="11"/>
  <c r="BD68" i="11" s="1"/>
  <c r="AM68" i="11"/>
  <c r="BC68" i="11" s="1"/>
  <c r="BD52" i="11"/>
  <c r="BD51" i="11"/>
  <c r="BD50" i="11"/>
  <c r="BD48" i="11"/>
  <c r="BD47" i="11"/>
  <c r="BD46" i="11"/>
  <c r="BD45" i="11"/>
  <c r="AN44" i="11"/>
  <c r="BD44" i="11" s="1"/>
  <c r="AN7" i="11"/>
  <c r="BD7" i="11" s="1"/>
  <c r="AN5" i="11"/>
  <c r="AM5" i="11"/>
  <c r="BC5" i="11" s="1"/>
  <c r="AN2" i="11"/>
  <c r="AM2" i="11"/>
  <c r="AN185" i="10"/>
  <c r="AN181" i="10"/>
  <c r="BD181" i="10" s="1"/>
  <c r="BK181" i="10" s="1"/>
  <c r="AN180" i="10"/>
  <c r="BD180" i="10" s="1"/>
  <c r="BK180" i="10" s="1"/>
  <c r="AN169" i="10"/>
  <c r="BD169" i="10" s="1"/>
  <c r="BK169" i="10" s="1"/>
  <c r="AM169" i="10"/>
  <c r="BC169" i="10" s="1"/>
  <c r="BJ169" i="10" s="1"/>
  <c r="AN167" i="10"/>
  <c r="BD167" i="10" s="1"/>
  <c r="BK167" i="10" s="1"/>
  <c r="AM167" i="10"/>
  <c r="BC167" i="10" s="1"/>
  <c r="BJ167" i="10" s="1"/>
  <c r="AN7" i="10"/>
  <c r="AN5" i="10"/>
  <c r="AM5" i="10"/>
  <c r="AN2" i="10"/>
  <c r="AN176" i="10" s="1"/>
  <c r="AM2" i="10"/>
  <c r="AM176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M117" i="90" s="1"/>
  <c r="BC117" i="90" s="1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60" i="8"/>
  <c r="AO81" i="8"/>
  <c r="AO73" i="8"/>
  <c r="AO52" i="8"/>
  <c r="AR42" i="59" s="1"/>
  <c r="AN98" i="8"/>
  <c r="AM73" i="8"/>
  <c r="AM61" i="8"/>
  <c r="BC61" i="8" s="1"/>
  <c r="AN60" i="8"/>
  <c r="AN33" i="8"/>
  <c r="AM33" i="8"/>
  <c r="BC33" i="8" s="1"/>
  <c r="AN31" i="8"/>
  <c r="AN30" i="8"/>
  <c r="AN29" i="8"/>
  <c r="AN28" i="8"/>
  <c r="BD28" i="8" s="1"/>
  <c r="AN27" i="8"/>
  <c r="AN25" i="8"/>
  <c r="AN24" i="8"/>
  <c r="AN23" i="8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AN2" i="8"/>
  <c r="AM2" i="8"/>
  <c r="BC2" i="8" s="1"/>
  <c r="AN149" i="8" l="1"/>
  <c r="BD30" i="8"/>
  <c r="BD157" i="8" s="1"/>
  <c r="AN157" i="8"/>
  <c r="BD23" i="8"/>
  <c r="BD150" i="8" s="1"/>
  <c r="AN150" i="8"/>
  <c r="BD24" i="8"/>
  <c r="BD151" i="8" s="1"/>
  <c r="AN151" i="8"/>
  <c r="BD25" i="8"/>
  <c r="BD153" i="8" s="1"/>
  <c r="AN153" i="8"/>
  <c r="BD31" i="8"/>
  <c r="BD156" i="8" s="1"/>
  <c r="AN156" i="8"/>
  <c r="BD27" i="8"/>
  <c r="BD154" i="8" s="1"/>
  <c r="AN154" i="8"/>
  <c r="BD33" i="8"/>
  <c r="BD152" i="8" s="1"/>
  <c r="AN152" i="8"/>
  <c r="BD29" i="8"/>
  <c r="BD155" i="8" s="1"/>
  <c r="AN155" i="8"/>
  <c r="BD6" i="8"/>
  <c r="BD98" i="8"/>
  <c r="BD149" i="8" s="1"/>
  <c r="AO170" i="45"/>
  <c r="AO176" i="45" s="1"/>
  <c r="AO120" i="45"/>
  <c r="AO158" i="45" s="1"/>
  <c r="AN143" i="45"/>
  <c r="AN140" i="45"/>
  <c r="AN141" i="45"/>
  <c r="AN142" i="45"/>
  <c r="CB61" i="71"/>
  <c r="BD29" i="9"/>
  <c r="BE8" i="45"/>
  <c r="BL8" i="45" s="1"/>
  <c r="BD38" i="9"/>
  <c r="BD2" i="11"/>
  <c r="AN77" i="11"/>
  <c r="BC2" i="11"/>
  <c r="AM77" i="11"/>
  <c r="BD2" i="45"/>
  <c r="BE2" i="45"/>
  <c r="AO142" i="45"/>
  <c r="BC38" i="9"/>
  <c r="AM20" i="35"/>
  <c r="BC20" i="35" s="1"/>
  <c r="BC29" i="9"/>
  <c r="AM19" i="35"/>
  <c r="BC19" i="35" s="1"/>
  <c r="BD182" i="10"/>
  <c r="BD44" i="8"/>
  <c r="BC71" i="11"/>
  <c r="BE148" i="45"/>
  <c r="AL8" i="15"/>
  <c r="BC18" i="8"/>
  <c r="BB8" i="15" s="1"/>
  <c r="AN91" i="11"/>
  <c r="BD86" i="11"/>
  <c r="BD91" i="11" s="1"/>
  <c r="AM8" i="15"/>
  <c r="BD18" i="8"/>
  <c r="AN89" i="11"/>
  <c r="BD5" i="11"/>
  <c r="BD89" i="11" s="1"/>
  <c r="AN83" i="11"/>
  <c r="AN84" i="11" s="1"/>
  <c r="BD81" i="11"/>
  <c r="BD83" i="11" s="1"/>
  <c r="BC69" i="11"/>
  <c r="BF69" i="59" s="1"/>
  <c r="BD57" i="11"/>
  <c r="BD69" i="11"/>
  <c r="BG69" i="59" s="1"/>
  <c r="BD71" i="11"/>
  <c r="BC168" i="10"/>
  <c r="BF65" i="59" s="1"/>
  <c r="BC170" i="10"/>
  <c r="BC5" i="10"/>
  <c r="BJ5" i="10" s="1"/>
  <c r="BD168" i="10"/>
  <c r="BG65" i="59" s="1"/>
  <c r="BD170" i="10"/>
  <c r="AN188" i="10"/>
  <c r="BD5" i="10"/>
  <c r="BD7" i="10"/>
  <c r="BK7" i="10" s="1"/>
  <c r="AN190" i="10"/>
  <c r="BD185" i="10"/>
  <c r="BD56" i="11"/>
  <c r="BD59" i="11"/>
  <c r="BD55" i="11"/>
  <c r="BD92" i="11" s="1"/>
  <c r="BD42" i="9"/>
  <c r="AN135" i="9"/>
  <c r="BD8" i="9"/>
  <c r="AN137" i="9"/>
  <c r="BD22" i="9"/>
  <c r="AN136" i="9"/>
  <c r="BD9" i="9"/>
  <c r="AN138" i="9"/>
  <c r="BD23" i="9"/>
  <c r="AN139" i="9"/>
  <c r="BD24" i="9"/>
  <c r="BC15" i="9"/>
  <c r="AN51" i="9"/>
  <c r="BD15" i="9"/>
  <c r="BD36" i="9"/>
  <c r="BD57" i="9"/>
  <c r="BD34" i="9"/>
  <c r="AM103" i="9"/>
  <c r="BC2" i="9"/>
  <c r="BD62" i="36"/>
  <c r="AN101" i="9"/>
  <c r="BD20" i="9"/>
  <c r="BD93" i="9" s="1"/>
  <c r="BD136" i="45"/>
  <c r="BD134" i="45"/>
  <c r="BF73" i="59" s="1"/>
  <c r="BE134" i="45"/>
  <c r="BG73" i="59" s="1"/>
  <c r="BE136" i="45"/>
  <c r="BE122" i="45"/>
  <c r="BL122" i="45" s="1"/>
  <c r="AO137" i="45"/>
  <c r="BE7" i="45"/>
  <c r="AO156" i="45"/>
  <c r="BE151" i="45"/>
  <c r="AN89" i="8"/>
  <c r="BD2" i="8"/>
  <c r="AN36" i="9"/>
  <c r="AN31" i="9"/>
  <c r="AN45" i="8"/>
  <c r="AN69" i="11"/>
  <c r="AO148" i="45"/>
  <c r="AO155" i="45" s="1"/>
  <c r="AN71" i="11"/>
  <c r="AN57" i="11"/>
  <c r="AN93" i="11" s="1"/>
  <c r="AN72" i="11"/>
  <c r="AN56" i="11"/>
  <c r="AN59" i="11"/>
  <c r="AN182" i="10"/>
  <c r="AN189" i="10" s="1"/>
  <c r="AN34" i="9"/>
  <c r="AN10" i="9"/>
  <c r="AO136" i="45"/>
  <c r="AO122" i="45"/>
  <c r="AO150" i="45" s="1"/>
  <c r="AO154" i="45"/>
  <c r="AO121" i="45"/>
  <c r="AO134" i="45"/>
  <c r="AN55" i="11"/>
  <c r="AN92" i="11" s="1"/>
  <c r="AM71" i="11"/>
  <c r="AM69" i="11"/>
  <c r="AN168" i="10"/>
  <c r="AN170" i="10"/>
  <c r="AM170" i="10"/>
  <c r="AN184" i="10"/>
  <c r="AM168" i="10"/>
  <c r="AN171" i="10"/>
  <c r="AN46" i="9"/>
  <c r="AN20" i="35" s="1"/>
  <c r="BD20" i="35" s="1"/>
  <c r="AN25" i="9"/>
  <c r="AN134" i="9"/>
  <c r="BD134" i="9" s="1"/>
  <c r="AN35" i="9"/>
  <c r="AN93" i="9"/>
  <c r="AN46" i="8"/>
  <c r="AN82" i="8"/>
  <c r="AN41" i="8"/>
  <c r="AN40" i="8"/>
  <c r="AN44" i="8"/>
  <c r="AN47" i="8"/>
  <c r="AN81" i="8"/>
  <c r="AN43" i="8"/>
  <c r="AN109" i="8"/>
  <c r="AN110" i="8" s="1"/>
  <c r="AN83" i="8"/>
  <c r="BD83" i="8" s="1"/>
  <c r="BG50" i="59" s="1"/>
  <c r="AN90" i="8"/>
  <c r="BD90" i="8" s="1"/>
  <c r="AN84" i="8"/>
  <c r="BD84" i="8" s="1"/>
  <c r="BG51" i="59" s="1"/>
  <c r="AN39" i="8"/>
  <c r="AN26" i="8"/>
  <c r="AO113" i="7"/>
  <c r="AO112" i="7"/>
  <c r="AO111" i="7"/>
  <c r="AO110" i="7"/>
  <c r="AO109" i="7"/>
  <c r="AO108" i="7"/>
  <c r="AO107" i="7"/>
  <c r="AO106" i="7"/>
  <c r="AO85" i="7"/>
  <c r="AM113" i="7"/>
  <c r="AM112" i="7"/>
  <c r="AM111" i="7"/>
  <c r="AM110" i="7"/>
  <c r="AM109" i="7"/>
  <c r="AM108" i="7"/>
  <c r="AM107" i="7"/>
  <c r="AM106" i="7"/>
  <c r="AM85" i="7"/>
  <c r="AN74" i="7"/>
  <c r="BD74" i="7" s="1"/>
  <c r="AM74" i="7"/>
  <c r="BC74" i="7" s="1"/>
  <c r="AN72" i="7"/>
  <c r="BD72" i="7" s="1"/>
  <c r="AM72" i="7"/>
  <c r="BC72" i="7" s="1"/>
  <c r="AN68" i="7"/>
  <c r="BD68" i="7" s="1"/>
  <c r="AN66" i="7"/>
  <c r="BD66" i="7" s="1"/>
  <c r="AM66" i="7"/>
  <c r="BC66" i="7" s="1"/>
  <c r="AN65" i="7"/>
  <c r="BD65" i="7" s="1"/>
  <c r="AM65" i="7"/>
  <c r="BC65" i="7" s="1"/>
  <c r="AN50" i="7"/>
  <c r="BD50" i="7" s="1"/>
  <c r="AM50" i="7"/>
  <c r="BC50" i="7" s="1"/>
  <c r="AN48" i="7"/>
  <c r="BD48" i="7" s="1"/>
  <c r="AM48" i="7"/>
  <c r="BC48" i="7" s="1"/>
  <c r="AN47" i="7"/>
  <c r="BD47" i="7" s="1"/>
  <c r="AM47" i="7"/>
  <c r="BC47" i="7" s="1"/>
  <c r="AN46" i="7"/>
  <c r="BD46" i="7" s="1"/>
  <c r="AM46" i="7"/>
  <c r="BC46" i="7" s="1"/>
  <c r="AN45" i="7"/>
  <c r="AM45" i="7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6" i="7"/>
  <c r="BD6" i="7" s="1"/>
  <c r="AM6" i="7"/>
  <c r="BC6" i="7" s="1"/>
  <c r="AN2" i="7"/>
  <c r="AM2" i="7"/>
  <c r="BC2" i="7" s="1"/>
  <c r="AL1" i="7"/>
  <c r="AL80" i="7" s="1"/>
  <c r="AK1" i="7"/>
  <c r="AK80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BK124" i="6" s="1"/>
  <c r="AN123" i="6"/>
  <c r="BD123" i="6" s="1"/>
  <c r="BK123" i="6" s="1"/>
  <c r="AN122" i="6"/>
  <c r="BD122" i="6" s="1"/>
  <c r="BK122" i="6" s="1"/>
  <c r="AM122" i="6"/>
  <c r="BC122" i="6" s="1"/>
  <c r="BJ122" i="6" s="1"/>
  <c r="AN119" i="6"/>
  <c r="BD119" i="6" s="1"/>
  <c r="BK119" i="6" s="1"/>
  <c r="AM119" i="6"/>
  <c r="BC119" i="6" s="1"/>
  <c r="BJ119" i="6" s="1"/>
  <c r="AN118" i="6"/>
  <c r="BD118" i="6" s="1"/>
  <c r="BK118" i="6" s="1"/>
  <c r="AM118" i="6"/>
  <c r="BC118" i="6" s="1"/>
  <c r="BJ118" i="6" s="1"/>
  <c r="AN117" i="6"/>
  <c r="BD117" i="6" s="1"/>
  <c r="BK117" i="6" s="1"/>
  <c r="AM117" i="6"/>
  <c r="BC117" i="6" s="1"/>
  <c r="BJ117" i="6" s="1"/>
  <c r="AN116" i="6"/>
  <c r="BD116" i="6" s="1"/>
  <c r="BK116" i="6" s="1"/>
  <c r="AM116" i="6"/>
  <c r="BC116" i="6" s="1"/>
  <c r="BJ116" i="6" s="1"/>
  <c r="AN114" i="6"/>
  <c r="BD114" i="6" s="1"/>
  <c r="BK114" i="6" s="1"/>
  <c r="AM114" i="6"/>
  <c r="BC114" i="6" s="1"/>
  <c r="BJ114" i="6" s="1"/>
  <c r="AN113" i="6"/>
  <c r="BD113" i="6" s="1"/>
  <c r="BK113" i="6" s="1"/>
  <c r="AM113" i="6"/>
  <c r="BC113" i="6" s="1"/>
  <c r="BJ113" i="6" s="1"/>
  <c r="AN111" i="6"/>
  <c r="BD111" i="6" s="1"/>
  <c r="BK111" i="6" s="1"/>
  <c r="AM111" i="6"/>
  <c r="BC111" i="6" s="1"/>
  <c r="BJ111" i="6" s="1"/>
  <c r="AN110" i="6"/>
  <c r="BD110" i="6" s="1"/>
  <c r="BK110" i="6" s="1"/>
  <c r="AM110" i="6"/>
  <c r="BC110" i="6" s="1"/>
  <c r="BJ110" i="6" s="1"/>
  <c r="AN109" i="6"/>
  <c r="BD109" i="6" s="1"/>
  <c r="BK109" i="6" s="1"/>
  <c r="AM109" i="6"/>
  <c r="BC109" i="6" s="1"/>
  <c r="BJ109" i="6" s="1"/>
  <c r="AN106" i="6"/>
  <c r="BD106" i="6" s="1"/>
  <c r="BK106" i="6" s="1"/>
  <c r="AN105" i="6"/>
  <c r="BD105" i="6" s="1"/>
  <c r="BK105" i="6" s="1"/>
  <c r="AN104" i="6"/>
  <c r="BD104" i="6" s="1"/>
  <c r="BK104" i="6" s="1"/>
  <c r="AM104" i="6"/>
  <c r="BC104" i="6" s="1"/>
  <c r="BJ104" i="6" s="1"/>
  <c r="AN99" i="6"/>
  <c r="BD99" i="6" s="1"/>
  <c r="BK99" i="6" s="1"/>
  <c r="AM99" i="6"/>
  <c r="BC99" i="6" s="1"/>
  <c r="BJ99" i="6" s="1"/>
  <c r="AN98" i="6"/>
  <c r="BD98" i="6" s="1"/>
  <c r="BK98" i="6" s="1"/>
  <c r="AM98" i="6"/>
  <c r="BC98" i="6" s="1"/>
  <c r="BJ98" i="6" s="1"/>
  <c r="AN96" i="6"/>
  <c r="BD96" i="6" s="1"/>
  <c r="BK96" i="6" s="1"/>
  <c r="AM96" i="6"/>
  <c r="BC96" i="6" s="1"/>
  <c r="BJ96" i="6" s="1"/>
  <c r="AN95" i="6"/>
  <c r="BD95" i="6" s="1"/>
  <c r="BK95" i="6" s="1"/>
  <c r="AM95" i="6"/>
  <c r="BC95" i="6" s="1"/>
  <c r="BJ95" i="6" s="1"/>
  <c r="AN93" i="6"/>
  <c r="BD93" i="6" s="1"/>
  <c r="BK93" i="6" s="1"/>
  <c r="AM93" i="6"/>
  <c r="BC93" i="6" s="1"/>
  <c r="BJ93" i="6" s="1"/>
  <c r="AN92" i="6"/>
  <c r="BD92" i="6" s="1"/>
  <c r="BK92" i="6" s="1"/>
  <c r="AM92" i="6"/>
  <c r="BC92" i="6" s="1"/>
  <c r="BJ92" i="6" s="1"/>
  <c r="AN91" i="6"/>
  <c r="BD91" i="6" s="1"/>
  <c r="BK91" i="6" s="1"/>
  <c r="AM91" i="6"/>
  <c r="BC91" i="6" s="1"/>
  <c r="BJ91" i="6" s="1"/>
  <c r="AN88" i="6"/>
  <c r="BD88" i="6" s="1"/>
  <c r="BK88" i="6" s="1"/>
  <c r="AM88" i="6"/>
  <c r="BC88" i="6" s="1"/>
  <c r="BJ88" i="6" s="1"/>
  <c r="AN87" i="6"/>
  <c r="BD87" i="6" s="1"/>
  <c r="BK87" i="6" s="1"/>
  <c r="AN86" i="6"/>
  <c r="BD86" i="6" s="1"/>
  <c r="BK86" i="6" s="1"/>
  <c r="AM85" i="6"/>
  <c r="AM83" i="6"/>
  <c r="AM82" i="6"/>
  <c r="AM80" i="6"/>
  <c r="AM79" i="6"/>
  <c r="AN76" i="6"/>
  <c r="BD76" i="6" s="1"/>
  <c r="BK76" i="6" s="1"/>
  <c r="AM76" i="6"/>
  <c r="BC76" i="6" s="1"/>
  <c r="BJ76" i="6" s="1"/>
  <c r="AN75" i="6"/>
  <c r="BD75" i="6" s="1"/>
  <c r="BK75" i="6" s="1"/>
  <c r="AM75" i="6"/>
  <c r="BC75" i="6" s="1"/>
  <c r="BJ75" i="6" s="1"/>
  <c r="AN74" i="6"/>
  <c r="BD74" i="6" s="1"/>
  <c r="BK74" i="6" s="1"/>
  <c r="AM74" i="6"/>
  <c r="BC74" i="6" s="1"/>
  <c r="BJ74" i="6" s="1"/>
  <c r="AN73" i="6"/>
  <c r="BD73" i="6" s="1"/>
  <c r="BK73" i="6" s="1"/>
  <c r="AM73" i="6"/>
  <c r="BC73" i="6" s="1"/>
  <c r="BJ73" i="6" s="1"/>
  <c r="AN72" i="6"/>
  <c r="BD72" i="6" s="1"/>
  <c r="BK72" i="6" s="1"/>
  <c r="AM72" i="6"/>
  <c r="BC72" i="6" s="1"/>
  <c r="BJ72" i="6" s="1"/>
  <c r="AN70" i="6"/>
  <c r="BD70" i="6" s="1"/>
  <c r="BK70" i="6" s="1"/>
  <c r="AM70" i="6"/>
  <c r="BC70" i="6" s="1"/>
  <c r="BJ70" i="6" s="1"/>
  <c r="AN68" i="6"/>
  <c r="BD68" i="6" s="1"/>
  <c r="BK68" i="6" s="1"/>
  <c r="AM68" i="6"/>
  <c r="BC68" i="6" s="1"/>
  <c r="BJ68" i="6" s="1"/>
  <c r="AN67" i="6"/>
  <c r="AM67" i="6"/>
  <c r="BC67" i="6" s="1"/>
  <c r="BJ67" i="6" s="1"/>
  <c r="AN65" i="6"/>
  <c r="BD65" i="6" s="1"/>
  <c r="BK65" i="6" s="1"/>
  <c r="AM65" i="6"/>
  <c r="BC65" i="6" s="1"/>
  <c r="BJ65" i="6" s="1"/>
  <c r="AN64" i="6"/>
  <c r="BD64" i="6" s="1"/>
  <c r="BK64" i="6" s="1"/>
  <c r="AM64" i="6"/>
  <c r="AN53" i="6"/>
  <c r="BD53" i="6" s="1"/>
  <c r="BK53" i="6" s="1"/>
  <c r="AN52" i="6"/>
  <c r="BD52" i="6" s="1"/>
  <c r="BK52" i="6" s="1"/>
  <c r="AN50" i="6"/>
  <c r="BD50" i="6" s="1"/>
  <c r="BK50" i="6" s="1"/>
  <c r="AN49" i="6"/>
  <c r="BD49" i="6" s="1"/>
  <c r="BK49" i="6" s="1"/>
  <c r="AN47" i="6"/>
  <c r="BD47" i="6" s="1"/>
  <c r="BK47" i="6" s="1"/>
  <c r="AN46" i="6"/>
  <c r="AN44" i="6"/>
  <c r="AN43" i="6"/>
  <c r="BD43" i="6" s="1"/>
  <c r="BK43" i="6" s="1"/>
  <c r="AM40" i="6"/>
  <c r="AM39" i="6"/>
  <c r="AM38" i="6"/>
  <c r="AM37" i="6"/>
  <c r="AN31" i="6"/>
  <c r="BD31" i="6" s="1"/>
  <c r="BK31" i="6" s="1"/>
  <c r="AN30" i="6"/>
  <c r="AN28" i="6"/>
  <c r="BD28" i="6" s="1"/>
  <c r="BK28" i="6" s="1"/>
  <c r="AN27" i="6"/>
  <c r="BD27" i="6" s="1"/>
  <c r="BK27" i="6" s="1"/>
  <c r="AN25" i="6"/>
  <c r="BD25" i="6" s="1"/>
  <c r="BK25" i="6" s="1"/>
  <c r="AN24" i="6"/>
  <c r="BD24" i="6" s="1"/>
  <c r="BK24" i="6" s="1"/>
  <c r="AN2" i="6"/>
  <c r="BD2" i="6" s="1"/>
  <c r="AM2" i="6"/>
  <c r="BD45" i="8" l="1"/>
  <c r="BD39" i="8"/>
  <c r="BD40" i="8"/>
  <c r="BD47" i="8"/>
  <c r="AQ47" i="59"/>
  <c r="AN138" i="8"/>
  <c r="AQ46" i="59"/>
  <c r="AN136" i="8"/>
  <c r="BD43" i="8"/>
  <c r="BD109" i="8"/>
  <c r="BD111" i="8" s="1"/>
  <c r="BG48" i="59"/>
  <c r="BD137" i="8"/>
  <c r="AQ48" i="59"/>
  <c r="AN137" i="8"/>
  <c r="BD26" i="8"/>
  <c r="BD46" i="8"/>
  <c r="BD41" i="8"/>
  <c r="BD189" i="10"/>
  <c r="BK189" i="10" s="1"/>
  <c r="BK182" i="10"/>
  <c r="BD58" i="11"/>
  <c r="BE155" i="45"/>
  <c r="BL155" i="45" s="1"/>
  <c r="BL148" i="45"/>
  <c r="BE156" i="45"/>
  <c r="BL156" i="45" s="1"/>
  <c r="BL151" i="45"/>
  <c r="BD190" i="10"/>
  <c r="BK190" i="10" s="1"/>
  <c r="BK185" i="10"/>
  <c r="BE154" i="45"/>
  <c r="BL154" i="45" s="1"/>
  <c r="BL7" i="45"/>
  <c r="BD188" i="10"/>
  <c r="BK188" i="10" s="1"/>
  <c r="BK5" i="10"/>
  <c r="BC45" i="7"/>
  <c r="BC161" i="7" s="1"/>
  <c r="AM161" i="7"/>
  <c r="BD45" i="7"/>
  <c r="BD161" i="7" s="1"/>
  <c r="AN161" i="7"/>
  <c r="AM157" i="7"/>
  <c r="AM159" i="7" s="1"/>
  <c r="AN157" i="7"/>
  <c r="AN159" i="7" s="1"/>
  <c r="BD35" i="9"/>
  <c r="BD31" i="9"/>
  <c r="BD37" i="9" s="1"/>
  <c r="BE170" i="45"/>
  <c r="BE176" i="45" s="1"/>
  <c r="BE120" i="45"/>
  <c r="BD46" i="9"/>
  <c r="BE121" i="45"/>
  <c r="CR61" i="71"/>
  <c r="BC2" i="6"/>
  <c r="AM12" i="6"/>
  <c r="AM13" i="6"/>
  <c r="BD72" i="11"/>
  <c r="BD67" i="7"/>
  <c r="BD60" i="11"/>
  <c r="BD81" i="8"/>
  <c r="BG45" i="59" s="1"/>
  <c r="AN90" i="11"/>
  <c r="BC67" i="7"/>
  <c r="BC35" i="7" s="1"/>
  <c r="BC100" i="7" s="1"/>
  <c r="AN183" i="10"/>
  <c r="BC69" i="6"/>
  <c r="BJ69" i="6" s="1"/>
  <c r="BD51" i="9"/>
  <c r="BD171" i="10"/>
  <c r="BC115" i="6"/>
  <c r="BJ115" i="6" s="1"/>
  <c r="BD115" i="6"/>
  <c r="BK115" i="6" s="1"/>
  <c r="BD42" i="8"/>
  <c r="BD110" i="8"/>
  <c r="BD52" i="8" s="1"/>
  <c r="AO149" i="45"/>
  <c r="BD1" i="7"/>
  <c r="BD75" i="7"/>
  <c r="AN84" i="7"/>
  <c r="BD2" i="7"/>
  <c r="BD90" i="11"/>
  <c r="BD84" i="11"/>
  <c r="BC8" i="15"/>
  <c r="BD82" i="8"/>
  <c r="BG52" i="59" s="1"/>
  <c r="BC75" i="7"/>
  <c r="BC1" i="7"/>
  <c r="BD136" i="9"/>
  <c r="BD10" i="9"/>
  <c r="BD66" i="6"/>
  <c r="BK66" i="6" s="1"/>
  <c r="BD85" i="11"/>
  <c r="BD93" i="11"/>
  <c r="BD94" i="11" s="1"/>
  <c r="BD183" i="10"/>
  <c r="BK183" i="10" s="1"/>
  <c r="BD138" i="9"/>
  <c r="BD88" i="8"/>
  <c r="BD89" i="8"/>
  <c r="BD77" i="6"/>
  <c r="BK77" i="6" s="1"/>
  <c r="AN165" i="6"/>
  <c r="BD163" i="6"/>
  <c r="BK163" i="6" s="1"/>
  <c r="AM66" i="6"/>
  <c r="BC64" i="6"/>
  <c r="BC102" i="6"/>
  <c r="BJ102" i="6" s="1"/>
  <c r="BD192" i="6"/>
  <c r="BD191" i="6"/>
  <c r="BD166" i="6"/>
  <c r="AN69" i="6"/>
  <c r="BD67" i="6"/>
  <c r="BD102" i="6"/>
  <c r="BK102" i="6" s="1"/>
  <c r="BC77" i="6"/>
  <c r="BJ77" i="6" s="1"/>
  <c r="BD51" i="6"/>
  <c r="BK51" i="6" s="1"/>
  <c r="AN79" i="11"/>
  <c r="AQ70" i="59" s="1"/>
  <c r="BD22" i="36"/>
  <c r="BD79" i="11"/>
  <c r="BG70" i="59" s="1"/>
  <c r="BD29" i="6"/>
  <c r="BK29" i="6" s="1"/>
  <c r="BD26" i="6"/>
  <c r="BK26" i="6" s="1"/>
  <c r="AN32" i="6"/>
  <c r="BD30" i="6"/>
  <c r="BD139" i="9"/>
  <c r="BD137" i="9"/>
  <c r="BC103" i="9"/>
  <c r="BD101" i="9"/>
  <c r="BD25" i="9"/>
  <c r="BD135" i="9"/>
  <c r="AN45" i="6"/>
  <c r="BD44" i="6"/>
  <c r="AN48" i="6"/>
  <c r="BD46" i="6"/>
  <c r="BD54" i="6"/>
  <c r="BK54" i="6" s="1"/>
  <c r="BE137" i="45"/>
  <c r="BE149" i="45"/>
  <c r="BL149" i="45" s="1"/>
  <c r="BE159" i="45"/>
  <c r="BL159" i="45" s="1"/>
  <c r="BE150" i="45"/>
  <c r="BL150" i="45" s="1"/>
  <c r="AN85" i="11"/>
  <c r="AN58" i="11"/>
  <c r="AQ68" i="59" s="1"/>
  <c r="AM41" i="6"/>
  <c r="AM69" i="6"/>
  <c r="AN26" i="6"/>
  <c r="AN94" i="11"/>
  <c r="AN37" i="9"/>
  <c r="AN19" i="35" s="1"/>
  <c r="BD19" i="35" s="1"/>
  <c r="AN54" i="6"/>
  <c r="AN51" i="6"/>
  <c r="AO41" i="6"/>
  <c r="AN12" i="6"/>
  <c r="AN192" i="6"/>
  <c r="AN191" i="6"/>
  <c r="AN166" i="6"/>
  <c r="AO159" i="45"/>
  <c r="AO160" i="45" s="1"/>
  <c r="AN60" i="11"/>
  <c r="AN192" i="10"/>
  <c r="AN66" i="6"/>
  <c r="AN29" i="6"/>
  <c r="AN102" i="6"/>
  <c r="AN75" i="7"/>
  <c r="AN67" i="7"/>
  <c r="AN34" i="7" s="1"/>
  <c r="AN97" i="7" s="1"/>
  <c r="AM115" i="6"/>
  <c r="AM77" i="6"/>
  <c r="AO124" i="45"/>
  <c r="AO125" i="45" s="1"/>
  <c r="AO123" i="45"/>
  <c r="AQ72" i="59" s="1"/>
  <c r="AO144" i="45"/>
  <c r="AQ74" i="59" s="1"/>
  <c r="AN42" i="8"/>
  <c r="AN52" i="8"/>
  <c r="AN111" i="8"/>
  <c r="AN112" i="8" s="1"/>
  <c r="AN53" i="8" s="1"/>
  <c r="AM75" i="7"/>
  <c r="AM67" i="7"/>
  <c r="AM36" i="7" s="1"/>
  <c r="AM21" i="7"/>
  <c r="AN120" i="6"/>
  <c r="BD120" i="6" s="1"/>
  <c r="BK120" i="6" s="1"/>
  <c r="AM120" i="6"/>
  <c r="BC120" i="6" s="1"/>
  <c r="BJ120" i="6" s="1"/>
  <c r="AN115" i="6"/>
  <c r="AM102" i="6"/>
  <c r="AN97" i="6"/>
  <c r="AM97" i="6"/>
  <c r="AN77" i="6"/>
  <c r="AN13" i="6"/>
  <c r="AM129" i="6"/>
  <c r="BC129" i="6" s="1"/>
  <c r="BJ129" i="6" s="1"/>
  <c r="BD468" i="28"/>
  <c r="BK468" i="28" s="1"/>
  <c r="BD469" i="28"/>
  <c r="BK469" i="28" s="1"/>
  <c r="AN470" i="28"/>
  <c r="BD470" i="28" s="1"/>
  <c r="BK470" i="28" s="1"/>
  <c r="AN474" i="28"/>
  <c r="BD474" i="28" s="1"/>
  <c r="BK474" i="28" s="1"/>
  <c r="AN477" i="28"/>
  <c r="BD477" i="28" s="1"/>
  <c r="BK477" i="28" s="1"/>
  <c r="AN480" i="28"/>
  <c r="BD480" i="28" s="1"/>
  <c r="BK480" i="28" s="1"/>
  <c r="AN481" i="28"/>
  <c r="BD481" i="28" s="1"/>
  <c r="BK481" i="28" s="1"/>
  <c r="BD483" i="28"/>
  <c r="BK483" i="28" s="1"/>
  <c r="AN484" i="28"/>
  <c r="BD484" i="28" s="1"/>
  <c r="BK484" i="28" s="1"/>
  <c r="AN485" i="28"/>
  <c r="BD485" i="28" s="1"/>
  <c r="BK485" i="28" s="1"/>
  <c r="AN486" i="28"/>
  <c r="BD486" i="28" s="1"/>
  <c r="BK486" i="28" s="1"/>
  <c r="AN487" i="28"/>
  <c r="BD487" i="28" s="1"/>
  <c r="BK487" i="28" s="1"/>
  <c r="AN488" i="28"/>
  <c r="BD488" i="28" s="1"/>
  <c r="BK488" i="28" s="1"/>
  <c r="AN489" i="28"/>
  <c r="BD489" i="28" s="1"/>
  <c r="BK489" i="28" s="1"/>
  <c r="AN412" i="28"/>
  <c r="BD412" i="28" s="1"/>
  <c r="BK412" i="28" s="1"/>
  <c r="BD260" i="28"/>
  <c r="BK260" i="28" s="1"/>
  <c r="BD263" i="28"/>
  <c r="BK263" i="28" s="1"/>
  <c r="AN227" i="28"/>
  <c r="BD227" i="28" s="1"/>
  <c r="BK227" i="28" s="1"/>
  <c r="AN233" i="28"/>
  <c r="BD233" i="28" s="1"/>
  <c r="BK233" i="28" s="1"/>
  <c r="AO523" i="28"/>
  <c r="AO522" i="28"/>
  <c r="AM523" i="28"/>
  <c r="AM522" i="28"/>
  <c r="AN439" i="28"/>
  <c r="BD439" i="28" s="1"/>
  <c r="BK439" i="28" s="1"/>
  <c r="AN428" i="28"/>
  <c r="BD428" i="28" s="1"/>
  <c r="BK428" i="28" s="1"/>
  <c r="BD427" i="28"/>
  <c r="BK427" i="28" s="1"/>
  <c r="AN416" i="28"/>
  <c r="BD416" i="28" s="1"/>
  <c r="BK416" i="28" s="1"/>
  <c r="AN307" i="28"/>
  <c r="BD307" i="28" s="1"/>
  <c r="BK307" i="28" s="1"/>
  <c r="AN303" i="28"/>
  <c r="BD303" i="28" s="1"/>
  <c r="BK303" i="28" s="1"/>
  <c r="AN302" i="28"/>
  <c r="BD302" i="28" s="1"/>
  <c r="BK302" i="28" s="1"/>
  <c r="AN301" i="28"/>
  <c r="BD301" i="28" s="1"/>
  <c r="BK301" i="28" s="1"/>
  <c r="AN259" i="28"/>
  <c r="BD259" i="28" s="1"/>
  <c r="BK259" i="28" s="1"/>
  <c r="BD255" i="28"/>
  <c r="BK255" i="28" s="1"/>
  <c r="AN239" i="28"/>
  <c r="BD239" i="28" s="1"/>
  <c r="BK239" i="28" s="1"/>
  <c r="AN100" i="28"/>
  <c r="BD100" i="28" s="1"/>
  <c r="BK100" i="28" s="1"/>
  <c r="AM97" i="28"/>
  <c r="AM96" i="28"/>
  <c r="AM93" i="28"/>
  <c r="AN92" i="28"/>
  <c r="BD92" i="28" s="1"/>
  <c r="BK92" i="28" s="1"/>
  <c r="AM92" i="28"/>
  <c r="AN91" i="28"/>
  <c r="BD91" i="28" s="1"/>
  <c r="BK91" i="28" s="1"/>
  <c r="AM89" i="28"/>
  <c r="AN88" i="28"/>
  <c r="BD88" i="28" s="1"/>
  <c r="BK88" i="28" s="1"/>
  <c r="AM88" i="28"/>
  <c r="AN87" i="28"/>
  <c r="BD87" i="28" s="1"/>
  <c r="BK87" i="28" s="1"/>
  <c r="AM85" i="28"/>
  <c r="AN84" i="28"/>
  <c r="BD84" i="28" s="1"/>
  <c r="BK84" i="28" s="1"/>
  <c r="AM84" i="28"/>
  <c r="AN83" i="28"/>
  <c r="BD83" i="28" s="1"/>
  <c r="BK83" i="28" s="1"/>
  <c r="AM81" i="28"/>
  <c r="AN80" i="28"/>
  <c r="BD80" i="28" s="1"/>
  <c r="BK80" i="28" s="1"/>
  <c r="AM80" i="28"/>
  <c r="AN79" i="28"/>
  <c r="BD79" i="28" s="1"/>
  <c r="BK79" i="28" s="1"/>
  <c r="AM64" i="28"/>
  <c r="BK52" i="28"/>
  <c r="BK51" i="28"/>
  <c r="BK50" i="28"/>
  <c r="AM36" i="28"/>
  <c r="BC36" i="28" s="1"/>
  <c r="BJ36" i="28" s="1"/>
  <c r="AM35" i="28"/>
  <c r="BC35" i="28" s="1"/>
  <c r="BJ35" i="28" s="1"/>
  <c r="AM33" i="28"/>
  <c r="BC33" i="28" s="1"/>
  <c r="BJ33" i="28" s="1"/>
  <c r="BK28" i="28"/>
  <c r="AM28" i="28"/>
  <c r="BC28" i="28" s="1"/>
  <c r="BJ28" i="28" s="1"/>
  <c r="BK27" i="28"/>
  <c r="AM27" i="28"/>
  <c r="BC27" i="28" s="1"/>
  <c r="BJ27" i="28" s="1"/>
  <c r="BK25" i="28"/>
  <c r="AM25" i="28"/>
  <c r="BC25" i="28" s="1"/>
  <c r="BJ25" i="28" s="1"/>
  <c r="BK24" i="28"/>
  <c r="BK23" i="28"/>
  <c r="BK20" i="28"/>
  <c r="AM20" i="28"/>
  <c r="BC20" i="28" s="1"/>
  <c r="BJ20" i="28" s="1"/>
  <c r="BK19" i="28"/>
  <c r="AM19" i="28"/>
  <c r="BC19" i="28" s="1"/>
  <c r="BJ19" i="28" s="1"/>
  <c r="BK17" i="28"/>
  <c r="AM17" i="28"/>
  <c r="BK16" i="28"/>
  <c r="AM16" i="28"/>
  <c r="BK15" i="28"/>
  <c r="BK12" i="28"/>
  <c r="AM12" i="28"/>
  <c r="BC12" i="28" s="1"/>
  <c r="BJ12" i="28" s="1"/>
  <c r="BK11" i="28"/>
  <c r="AM11" i="28"/>
  <c r="BC11" i="28" s="1"/>
  <c r="BJ11" i="28" s="1"/>
  <c r="BK9" i="28"/>
  <c r="AM9" i="28"/>
  <c r="BC9" i="28" s="1"/>
  <c r="BJ9" i="28" s="1"/>
  <c r="BK8" i="28"/>
  <c r="AN7" i="28"/>
  <c r="BD7" i="28" s="1"/>
  <c r="BK7" i="28" s="1"/>
  <c r="AN171" i="73"/>
  <c r="AN130" i="73"/>
  <c r="AN129" i="73" s="1"/>
  <c r="AN128" i="73" s="1"/>
  <c r="AN126" i="73"/>
  <c r="AN122" i="73"/>
  <c r="AN102" i="73"/>
  <c r="AN114" i="73" s="1"/>
  <c r="BC175" i="73"/>
  <c r="BC174" i="73"/>
  <c r="AL171" i="73"/>
  <c r="AJ171" i="73"/>
  <c r="BC170" i="73"/>
  <c r="BC169" i="73"/>
  <c r="BC168" i="73"/>
  <c r="BC165" i="73"/>
  <c r="BC164" i="73"/>
  <c r="BC162" i="73"/>
  <c r="BC161" i="73"/>
  <c r="BC159" i="73"/>
  <c r="BC157" i="73"/>
  <c r="BC132" i="73"/>
  <c r="AL130" i="73"/>
  <c r="AJ130" i="73"/>
  <c r="AL126" i="73"/>
  <c r="AJ126" i="73"/>
  <c r="BC124" i="73"/>
  <c r="BC123" i="73"/>
  <c r="AL122" i="73"/>
  <c r="AJ122" i="73"/>
  <c r="BC121" i="73"/>
  <c r="BC120" i="73"/>
  <c r="BC119" i="73"/>
  <c r="BC111" i="73"/>
  <c r="BC110" i="73"/>
  <c r="BC107" i="73"/>
  <c r="BC10" i="15" s="1"/>
  <c r="BC105" i="73"/>
  <c r="BC104" i="73"/>
  <c r="BC103" i="73"/>
  <c r="AJ102" i="73"/>
  <c r="AJ114" i="73" s="1"/>
  <c r="BC101" i="73"/>
  <c r="BC113" i="73"/>
  <c r="BC100" i="73"/>
  <c r="BC99" i="73"/>
  <c r="BC97" i="73"/>
  <c r="BC96" i="73"/>
  <c r="BC95" i="73"/>
  <c r="BC94" i="73"/>
  <c r="BC93" i="73"/>
  <c r="BC92" i="73"/>
  <c r="BC91" i="73"/>
  <c r="BC86" i="73"/>
  <c r="BC84" i="73"/>
  <c r="BC83" i="73"/>
  <c r="BC78" i="73"/>
  <c r="BC77" i="73"/>
  <c r="BC76" i="73"/>
  <c r="BC75" i="73"/>
  <c r="BC69" i="73"/>
  <c r="BC68" i="73"/>
  <c r="BC67" i="73"/>
  <c r="BC66" i="73"/>
  <c r="BC61" i="73"/>
  <c r="BC60" i="73"/>
  <c r="BC59" i="73"/>
  <c r="BC58" i="73"/>
  <c r="BC56" i="73"/>
  <c r="BC55" i="73"/>
  <c r="BC54" i="73"/>
  <c r="BC52" i="73"/>
  <c r="BC50" i="73"/>
  <c r="BC49" i="73"/>
  <c r="BC48" i="73"/>
  <c r="BC47" i="73"/>
  <c r="BC45" i="73"/>
  <c r="BC44" i="73"/>
  <c r="BC43" i="73"/>
  <c r="BC42" i="73"/>
  <c r="BC40" i="73"/>
  <c r="BC36" i="73"/>
  <c r="BC35" i="73"/>
  <c r="BC33" i="73"/>
  <c r="BC32" i="73"/>
  <c r="BC31" i="73"/>
  <c r="BC29" i="73"/>
  <c r="BC28" i="73"/>
  <c r="BC27" i="73"/>
  <c r="BC26" i="73"/>
  <c r="BC21" i="73"/>
  <c r="BC19" i="73"/>
  <c r="BC18" i="73" s="1"/>
  <c r="BC17" i="73"/>
  <c r="BC14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27" i="59"/>
  <c r="AP26" i="59"/>
  <c r="AP25" i="59"/>
  <c r="AP24" i="59"/>
  <c r="AP22" i="59"/>
  <c r="AP20" i="59"/>
  <c r="AP19" i="59"/>
  <c r="AP18" i="59"/>
  <c r="AP17" i="59"/>
  <c r="AP15" i="59"/>
  <c r="AQ49" i="59" l="1"/>
  <c r="AQ42" i="59"/>
  <c r="AN121" i="8"/>
  <c r="AQ43" i="59"/>
  <c r="AN123" i="8"/>
  <c r="BG42" i="59"/>
  <c r="BD121" i="8"/>
  <c r="AN139" i="8"/>
  <c r="BG46" i="59"/>
  <c r="BD136" i="8"/>
  <c r="BG47" i="59"/>
  <c r="BD138" i="8"/>
  <c r="BK46" i="28"/>
  <c r="BK47" i="28"/>
  <c r="BK42" i="28"/>
  <c r="BK43" i="28"/>
  <c r="BK44" i="28"/>
  <c r="BD35" i="7"/>
  <c r="BD100" i="7" s="1"/>
  <c r="BD32" i="6"/>
  <c r="BK32" i="6" s="1"/>
  <c r="BK30" i="6"/>
  <c r="BD48" i="6"/>
  <c r="BK48" i="6" s="1"/>
  <c r="BK46" i="6"/>
  <c r="BD45" i="6"/>
  <c r="BK45" i="6" s="1"/>
  <c r="BK44" i="6"/>
  <c r="BC66" i="6"/>
  <c r="BJ66" i="6" s="1"/>
  <c r="BJ64" i="6"/>
  <c r="BD69" i="6"/>
  <c r="BK69" i="6" s="1"/>
  <c r="BK67" i="6"/>
  <c r="BG68" i="59"/>
  <c r="BE144" i="45"/>
  <c r="BG74" i="59" s="1"/>
  <c r="BL121" i="45"/>
  <c r="BE158" i="45"/>
  <c r="BL158" i="45" s="1"/>
  <c r="BL120" i="45"/>
  <c r="BC34" i="7"/>
  <c r="BC97" i="7" s="1"/>
  <c r="BC33" i="7"/>
  <c r="BC99" i="7" s="1"/>
  <c r="BD34" i="7"/>
  <c r="BD97" i="7" s="1"/>
  <c r="BD33" i="7"/>
  <c r="BD99" i="7" s="1"/>
  <c r="AN125" i="73"/>
  <c r="AN133" i="73" s="1"/>
  <c r="AM34" i="7"/>
  <c r="AM97" i="7" s="1"/>
  <c r="AM33" i="7"/>
  <c r="AM99" i="7" s="1"/>
  <c r="AM37" i="7"/>
  <c r="AM103" i="7" s="1"/>
  <c r="BE124" i="45"/>
  <c r="BE123" i="45"/>
  <c r="BG72" i="59" s="1"/>
  <c r="AM76" i="7"/>
  <c r="AM61" i="7"/>
  <c r="AM102" i="7" s="1"/>
  <c r="BC78" i="7"/>
  <c r="BC61" i="7"/>
  <c r="BC102" i="7" s="1"/>
  <c r="AL133" i="73"/>
  <c r="BD84" i="7"/>
  <c r="AN27" i="7"/>
  <c r="AN91" i="7" s="1"/>
  <c r="AJ133" i="73"/>
  <c r="BD69" i="7"/>
  <c r="BC37" i="7"/>
  <c r="BC103" i="7" s="1"/>
  <c r="BD23" i="7"/>
  <c r="BD87" i="7" s="1"/>
  <c r="BG29" i="59" s="1"/>
  <c r="BD61" i="7"/>
  <c r="BD102" i="7" s="1"/>
  <c r="BC12" i="6"/>
  <c r="BC222" i="6" s="1"/>
  <c r="AM222" i="6"/>
  <c r="BD12" i="6"/>
  <c r="BD222" i="6" s="1"/>
  <c r="AN222" i="6"/>
  <c r="BD13" i="6"/>
  <c r="BD223" i="6" s="1"/>
  <c r="AN223" i="6"/>
  <c r="BC13" i="6"/>
  <c r="BC223" i="6" s="1"/>
  <c r="AM223" i="6"/>
  <c r="BD78" i="7"/>
  <c r="BD27" i="7"/>
  <c r="BD91" i="7" s="1"/>
  <c r="BD26" i="7"/>
  <c r="BD37" i="7"/>
  <c r="BD103" i="7" s="1"/>
  <c r="BD62" i="7"/>
  <c r="BD55" i="7"/>
  <c r="BD54" i="7"/>
  <c r="BD56" i="7"/>
  <c r="BD96" i="7" s="1"/>
  <c r="BD81" i="7"/>
  <c r="BG28" i="59" s="1"/>
  <c r="BD60" i="7"/>
  <c r="BD30" i="7"/>
  <c r="BD94" i="7" s="1"/>
  <c r="BG34" i="59" s="1"/>
  <c r="BD29" i="7"/>
  <c r="BD93" i="7" s="1"/>
  <c r="BG33" i="59" s="1"/>
  <c r="BD76" i="7"/>
  <c r="BD57" i="7"/>
  <c r="BD28" i="7"/>
  <c r="BD92" i="7" s="1"/>
  <c r="BD59" i="7"/>
  <c r="BD24" i="7"/>
  <c r="BD80" i="7"/>
  <c r="BD58" i="7"/>
  <c r="BD31" i="7"/>
  <c r="BD95" i="7" s="1"/>
  <c r="BG35" i="59" s="1"/>
  <c r="BD25" i="7"/>
  <c r="BD32" i="7"/>
  <c r="BD98" i="7" s="1"/>
  <c r="AN76" i="7"/>
  <c r="AN61" i="7"/>
  <c r="AN102" i="7" s="1"/>
  <c r="AM81" i="7"/>
  <c r="AP28" i="59" s="1"/>
  <c r="BC80" i="7"/>
  <c r="BD112" i="8"/>
  <c r="BD53" i="8" s="1"/>
  <c r="BC81" i="7"/>
  <c r="BF28" i="59" s="1"/>
  <c r="BC76" i="7"/>
  <c r="AM78" i="7"/>
  <c r="AQ44" i="59"/>
  <c r="AN55" i="7"/>
  <c r="AN33" i="7"/>
  <c r="AN99" i="7" s="1"/>
  <c r="BD165" i="6"/>
  <c r="AM304" i="28"/>
  <c r="BC304" i="28" s="1"/>
  <c r="BJ304" i="28" s="1"/>
  <c r="BC17" i="28"/>
  <c r="BJ17" i="28" s="1"/>
  <c r="BC127" i="73"/>
  <c r="BC131" i="73"/>
  <c r="AN103" i="6"/>
  <c r="AN107" i="6" s="1"/>
  <c r="AN147" i="6" s="1"/>
  <c r="AN32" i="7"/>
  <c r="AN98" i="7" s="1"/>
  <c r="AN31" i="7"/>
  <c r="AN95" i="7" s="1"/>
  <c r="AQ35" i="59" s="1"/>
  <c r="AN62" i="7"/>
  <c r="AN59" i="7"/>
  <c r="AN26" i="7"/>
  <c r="AN54" i="7"/>
  <c r="AN24" i="7"/>
  <c r="AN78" i="7"/>
  <c r="AN69" i="7"/>
  <c r="AN28" i="7"/>
  <c r="AN92" i="7" s="1"/>
  <c r="AN58" i="7"/>
  <c r="AN23" i="7"/>
  <c r="AN87" i="7" s="1"/>
  <c r="AN57" i="7"/>
  <c r="AN56" i="7"/>
  <c r="AN96" i="7" s="1"/>
  <c r="AN25" i="7"/>
  <c r="AM121" i="6"/>
  <c r="AN81" i="7"/>
  <c r="AQ28" i="59" s="1"/>
  <c r="AN60" i="7"/>
  <c r="AN37" i="7"/>
  <c r="AN103" i="7" s="1"/>
  <c r="AN36" i="7"/>
  <c r="AN90" i="7" s="1"/>
  <c r="AM103" i="6"/>
  <c r="AM107" i="6" s="1"/>
  <c r="AM150" i="6" s="1"/>
  <c r="AN30" i="7"/>
  <c r="AN94" i="7" s="1"/>
  <c r="AQ34" i="59" s="1"/>
  <c r="AN121" i="6"/>
  <c r="AN29" i="7"/>
  <c r="AN93" i="7" s="1"/>
  <c r="AQ33" i="59" s="1"/>
  <c r="AN21" i="7"/>
  <c r="AP37" i="36"/>
  <c r="AM37" i="36"/>
  <c r="AO72" i="36"/>
  <c r="AO71" i="36"/>
  <c r="AO69" i="36"/>
  <c r="AO67" i="36"/>
  <c r="AO66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72" i="36"/>
  <c r="AM69" i="36"/>
  <c r="AM71" i="36" s="1"/>
  <c r="AM67" i="36"/>
  <c r="AM66" i="36"/>
  <c r="AM59" i="36"/>
  <c r="AN37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3" i="35"/>
  <c r="BD53" i="35" s="1"/>
  <c r="AM53" i="35"/>
  <c r="BC53" i="35" s="1"/>
  <c r="AN51" i="35"/>
  <c r="BD51" i="35" s="1"/>
  <c r="AM51" i="35"/>
  <c r="BC51" i="35" s="1"/>
  <c r="AN50" i="35"/>
  <c r="BD50" i="35" s="1"/>
  <c r="AM50" i="35"/>
  <c r="BC50" i="35" s="1"/>
  <c r="AN45" i="35"/>
  <c r="BD45" i="35" s="1"/>
  <c r="AN44" i="35"/>
  <c r="BD44" i="35" s="1"/>
  <c r="AN43" i="35"/>
  <c r="BD43" i="35" s="1"/>
  <c r="AN42" i="35"/>
  <c r="BD42" i="35" s="1"/>
  <c r="AN35" i="35"/>
  <c r="AN32" i="35"/>
  <c r="BD32" i="35" s="1"/>
  <c r="AN31" i="35"/>
  <c r="BD31" i="35" s="1"/>
  <c r="AN30" i="35"/>
  <c r="BD30" i="35" s="1"/>
  <c r="AN28" i="35"/>
  <c r="BD28" i="35" s="1"/>
  <c r="AM28" i="35"/>
  <c r="BC28" i="35" s="1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BD10" i="35" s="1"/>
  <c r="AN9" i="35"/>
  <c r="AN2" i="35"/>
  <c r="AM2" i="35"/>
  <c r="AN1" i="35"/>
  <c r="AM1" i="35"/>
  <c r="BE160" i="45" l="1"/>
  <c r="BL160" i="45" s="1"/>
  <c r="BD139" i="8"/>
  <c r="BG49" i="59"/>
  <c r="BG43" i="59"/>
  <c r="BG44" i="59" s="1"/>
  <c r="BD123" i="8"/>
  <c r="BD122" i="8"/>
  <c r="BD126" i="8" s="1"/>
  <c r="BD127" i="8" s="1"/>
  <c r="BD124" i="8"/>
  <c r="AN122" i="8"/>
  <c r="AN126" i="8" s="1"/>
  <c r="AN127" i="8" s="1"/>
  <c r="AN124" i="8"/>
  <c r="BE125" i="45"/>
  <c r="BL124" i="45"/>
  <c r="BD35" i="35"/>
  <c r="AM122" i="90"/>
  <c r="BD88" i="7"/>
  <c r="BG30" i="59" s="1"/>
  <c r="BD101" i="7"/>
  <c r="BG32" i="59" s="1"/>
  <c r="BD23" i="36"/>
  <c r="BC2" i="35"/>
  <c r="AM6" i="35"/>
  <c r="AM7" i="35"/>
  <c r="BD2" i="35"/>
  <c r="AN7" i="35"/>
  <c r="AN6" i="35"/>
  <c r="BD89" i="7"/>
  <c r="BG31" i="59" s="1"/>
  <c r="BD1" i="35"/>
  <c r="BD21" i="35" s="1"/>
  <c r="BD26" i="9" s="1"/>
  <c r="AN150" i="6"/>
  <c r="BD12" i="21"/>
  <c r="AN89" i="7"/>
  <c r="AQ31" i="59" s="1"/>
  <c r="BD9" i="6"/>
  <c r="BK9" i="6" s="1"/>
  <c r="AN9" i="6"/>
  <c r="BD9" i="35"/>
  <c r="BD8" i="6" s="1"/>
  <c r="BK8" i="6" s="1"/>
  <c r="AN8" i="6"/>
  <c r="AN88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AM125" i="6"/>
  <c r="BC121" i="6"/>
  <c r="BD26" i="35"/>
  <c r="AL9" i="15"/>
  <c r="BB9" i="15"/>
  <c r="AM9" i="15"/>
  <c r="BC9" i="15"/>
  <c r="BC26" i="35"/>
  <c r="AN97" i="11"/>
  <c r="BD97" i="11"/>
  <c r="BD10" i="36"/>
  <c r="BD12" i="36"/>
  <c r="BD11" i="36"/>
  <c r="BC18" i="15"/>
  <c r="BD5" i="9"/>
  <c r="BD70" i="36"/>
  <c r="AN101" i="7"/>
  <c r="AQ32" i="59" s="1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9" i="15" s="1"/>
  <c r="AM18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8" i="7"/>
  <c r="AN53" i="7" s="1"/>
  <c r="AN63" i="7" s="1"/>
  <c r="AM68" i="36"/>
  <c r="AO68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AN130" i="8" l="1"/>
  <c r="AN132" i="8"/>
  <c r="AN145" i="8" s="1"/>
  <c r="AN131" i="8"/>
  <c r="AN144" i="8" s="1"/>
  <c r="BD132" i="8"/>
  <c r="BD145" i="8" s="1"/>
  <c r="BD130" i="8"/>
  <c r="BD131" i="8"/>
  <c r="BD144" i="8" s="1"/>
  <c r="BC125" i="6"/>
  <c r="BJ125" i="6" s="1"/>
  <c r="BJ121" i="6"/>
  <c r="BD125" i="6"/>
  <c r="BK125" i="6" s="1"/>
  <c r="BK121" i="6"/>
  <c r="BG37" i="59"/>
  <c r="AM124" i="90"/>
  <c r="BC124" i="90" s="1"/>
  <c r="BC122" i="90"/>
  <c r="BJ76" i="9"/>
  <c r="BJ78" i="9"/>
  <c r="BJ72" i="9"/>
  <c r="BJ73" i="9"/>
  <c r="BJ75" i="9"/>
  <c r="BJ74" i="9"/>
  <c r="BJ89" i="9"/>
  <c r="BG38" i="59"/>
  <c r="BG39" i="59"/>
  <c r="BD11" i="35"/>
  <c r="BD10" i="6" s="1"/>
  <c r="BK10" i="6" s="1"/>
  <c r="AN77" i="7"/>
  <c r="AM149" i="6"/>
  <c r="AN104" i="7"/>
  <c r="AN173" i="6"/>
  <c r="AQ22" i="59" s="1"/>
  <c r="AN175" i="6"/>
  <c r="AN149" i="6"/>
  <c r="AN7" i="36" s="1"/>
  <c r="AQ8" i="59" s="1"/>
  <c r="AN89" i="9"/>
  <c r="BC172" i="6"/>
  <c r="BC175" i="6"/>
  <c r="AM172" i="6"/>
  <c r="AM173" i="6"/>
  <c r="AM175" i="6"/>
  <c r="BD33" i="35"/>
  <c r="AM6" i="6"/>
  <c r="AM16" i="6" s="1"/>
  <c r="BC7" i="35"/>
  <c r="BC6" i="6" s="1"/>
  <c r="BC16" i="6" s="1"/>
  <c r="BD33" i="22"/>
  <c r="BC132" i="26"/>
  <c r="BG60" i="59"/>
  <c r="BD78" i="9"/>
  <c r="BD94" i="9"/>
  <c r="BC19" i="15" s="1"/>
  <c r="BD76" i="9"/>
  <c r="BD89" i="9"/>
  <c r="AM5" i="6"/>
  <c r="AM15" i="6" s="1"/>
  <c r="AQ60" i="59"/>
  <c r="AM132" i="26"/>
  <c r="AN75" i="9"/>
  <c r="AN33" i="22"/>
  <c r="AN72" i="9"/>
  <c r="AN76" i="9"/>
  <c r="AN78" i="9"/>
  <c r="AN73" i="9"/>
  <c r="AN13" i="36"/>
  <c r="AQ40" i="59" s="1"/>
  <c r="AM8" i="35"/>
  <c r="F130" i="73"/>
  <c r="H130" i="73"/>
  <c r="J130" i="73"/>
  <c r="L130" i="73"/>
  <c r="N130" i="73"/>
  <c r="P130" i="73"/>
  <c r="R130" i="73"/>
  <c r="T130" i="73"/>
  <c r="V130" i="73"/>
  <c r="X130" i="73"/>
  <c r="Z130" i="73"/>
  <c r="AB130" i="73"/>
  <c r="AD130" i="73"/>
  <c r="AF130" i="73"/>
  <c r="AH130" i="73"/>
  <c r="F126" i="73"/>
  <c r="H126" i="73"/>
  <c r="J126" i="73"/>
  <c r="L126" i="73"/>
  <c r="N126" i="73"/>
  <c r="P126" i="73"/>
  <c r="R126" i="73"/>
  <c r="T126" i="73"/>
  <c r="V126" i="73"/>
  <c r="X126" i="73"/>
  <c r="Z126" i="73"/>
  <c r="Z125" i="73" s="1"/>
  <c r="AB126" i="73"/>
  <c r="AD126" i="73"/>
  <c r="AF126" i="73"/>
  <c r="AH126" i="73"/>
  <c r="F122" i="73"/>
  <c r="H122" i="73"/>
  <c r="J122" i="73"/>
  <c r="L122" i="73"/>
  <c r="N122" i="73"/>
  <c r="P122" i="73"/>
  <c r="R122" i="73"/>
  <c r="T122" i="73"/>
  <c r="V122" i="73"/>
  <c r="X122" i="73"/>
  <c r="Z122" i="73"/>
  <c r="AB122" i="73"/>
  <c r="AD122" i="73"/>
  <c r="AF122" i="73"/>
  <c r="AH122" i="73"/>
  <c r="E130" i="73"/>
  <c r="E126" i="73"/>
  <c r="E122" i="73"/>
  <c r="E118" i="73"/>
  <c r="P114" i="73"/>
  <c r="R114" i="73"/>
  <c r="AO21" i="73"/>
  <c r="AS21" i="73" s="1"/>
  <c r="M7" i="73"/>
  <c r="Q7" i="73" s="1"/>
  <c r="U7" i="73" s="1"/>
  <c r="M9" i="73"/>
  <c r="Q9" i="73" s="1"/>
  <c r="U9" i="73" s="1"/>
  <c r="M10" i="73"/>
  <c r="Q10" i="73" s="1"/>
  <c r="U10" i="73" s="1"/>
  <c r="M14" i="73"/>
  <c r="Q14" i="73" s="1"/>
  <c r="U14" i="73" s="1"/>
  <c r="M17" i="73"/>
  <c r="Q17" i="73" s="1"/>
  <c r="U17" i="73" s="1"/>
  <c r="M19" i="73"/>
  <c r="Q19" i="73" s="1"/>
  <c r="U19" i="73" s="1"/>
  <c r="AA21" i="73"/>
  <c r="AE21" i="73" s="1"/>
  <c r="I7" i="73"/>
  <c r="I9" i="73"/>
  <c r="I10" i="73"/>
  <c r="I14" i="73"/>
  <c r="I17" i="73"/>
  <c r="I19" i="73"/>
  <c r="I18" i="73" s="1"/>
  <c r="I21" i="73"/>
  <c r="F16" i="73"/>
  <c r="F118" i="90" s="1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BC173" i="6" l="1"/>
  <c r="BF22" i="59" s="1"/>
  <c r="BD133" i="8"/>
  <c r="BD146" i="8" s="1"/>
  <c r="BD143" i="8"/>
  <c r="BD173" i="6"/>
  <c r="BG22" i="59" s="1"/>
  <c r="BQ78" i="9"/>
  <c r="BD175" i="6"/>
  <c r="BD172" i="6"/>
  <c r="BD174" i="6" s="1"/>
  <c r="BD8" i="36" s="1"/>
  <c r="BG9" i="59" s="1"/>
  <c r="AN133" i="8"/>
  <c r="AN146" i="8" s="1"/>
  <c r="AN143" i="8"/>
  <c r="E6" i="73"/>
  <c r="I6" i="73" s="1"/>
  <c r="F46" i="28"/>
  <c r="F35" i="28" s="1"/>
  <c r="BQ76" i="9"/>
  <c r="AF133" i="73"/>
  <c r="BC125" i="26"/>
  <c r="BC127" i="26"/>
  <c r="BC118" i="26"/>
  <c r="BC116" i="26"/>
  <c r="BC120" i="26"/>
  <c r="BC128" i="26"/>
  <c r="BC122" i="26"/>
  <c r="BC119" i="26"/>
  <c r="BC124" i="26"/>
  <c r="BC123" i="26"/>
  <c r="BC126" i="26"/>
  <c r="BC121" i="26"/>
  <c r="BC117" i="26"/>
  <c r="BC129" i="26"/>
  <c r="AM118" i="26"/>
  <c r="AM120" i="26"/>
  <c r="AM128" i="26"/>
  <c r="AM124" i="26"/>
  <c r="AM126" i="26"/>
  <c r="AM127" i="26"/>
  <c r="AM129" i="26"/>
  <c r="AM123" i="26"/>
  <c r="AM117" i="26"/>
  <c r="AM125" i="26"/>
  <c r="AM130" i="26"/>
  <c r="AM116" i="26"/>
  <c r="AM119" i="26"/>
  <c r="AM121" i="26"/>
  <c r="AM122" i="26"/>
  <c r="AD133" i="73"/>
  <c r="AH133" i="73"/>
  <c r="J133" i="73"/>
  <c r="E133" i="73"/>
  <c r="V133" i="73"/>
  <c r="R133" i="73"/>
  <c r="T133" i="73"/>
  <c r="AB133" i="73"/>
  <c r="P133" i="73"/>
  <c r="N133" i="73"/>
  <c r="X133" i="73"/>
  <c r="L133" i="73"/>
  <c r="AW21" i="73"/>
  <c r="AN174" i="6"/>
  <c r="AN8" i="36" s="1"/>
  <c r="AQ9" i="59" s="1"/>
  <c r="AM174" i="6"/>
  <c r="AA17" i="73"/>
  <c r="AE17" i="73" s="1"/>
  <c r="AI17" i="73" s="1"/>
  <c r="AO17" i="73" s="1"/>
  <c r="AS17" i="73" s="1"/>
  <c r="AW17" i="73" s="1"/>
  <c r="AA7" i="73"/>
  <c r="AE7" i="73" s="1"/>
  <c r="AA14" i="73"/>
  <c r="AE14" i="73" s="1"/>
  <c r="AI14" i="73" s="1"/>
  <c r="AO14" i="73" s="1"/>
  <c r="AS14" i="73" s="1"/>
  <c r="AW14" i="73" s="1"/>
  <c r="AA9" i="73"/>
  <c r="AE9" i="73" s="1"/>
  <c r="AA10" i="73"/>
  <c r="AE10" i="73" s="1"/>
  <c r="AM122" i="73"/>
  <c r="BC122" i="73" s="1"/>
  <c r="AM8" i="73"/>
  <c r="BC8" i="73" s="1"/>
  <c r="BC174" i="6"/>
  <c r="AA19" i="73"/>
  <c r="M18" i="73"/>
  <c r="Q18" i="73" s="1"/>
  <c r="U18" i="73" s="1"/>
  <c r="Y6" i="73"/>
  <c r="Y8" i="73"/>
  <c r="Y126" i="73"/>
  <c r="AM130" i="73"/>
  <c r="BC130" i="73" s="1"/>
  <c r="Y122" i="73"/>
  <c r="AM126" i="73"/>
  <c r="BC126" i="73" s="1"/>
  <c r="AM7" i="6"/>
  <c r="F133" i="73"/>
  <c r="H133" i="73"/>
  <c r="I16" i="73"/>
  <c r="I118" i="90" s="1"/>
  <c r="BC16" i="73"/>
  <c r="M16" i="73"/>
  <c r="E5" i="73"/>
  <c r="I8" i="73"/>
  <c r="M6" i="73"/>
  <c r="M8" i="73"/>
  <c r="AO63" i="83"/>
  <c r="BE63" i="83" s="1"/>
  <c r="F67" i="28" l="1"/>
  <c r="F37" i="28"/>
  <c r="F75" i="28" s="1"/>
  <c r="J35" i="28"/>
  <c r="N35" i="28" s="1"/>
  <c r="J46" i="28"/>
  <c r="N46" i="28" s="1"/>
  <c r="BC130" i="26"/>
  <c r="Q16" i="73"/>
  <c r="M118" i="90"/>
  <c r="BE21" i="73"/>
  <c r="BE17" i="73"/>
  <c r="BE14" i="73"/>
  <c r="AI9" i="73"/>
  <c r="AO9" i="73" s="1"/>
  <c r="AS9" i="73" s="1"/>
  <c r="AW9" i="73" s="1"/>
  <c r="AI7" i="73"/>
  <c r="AO7" i="73" s="1"/>
  <c r="AS7" i="73" s="1"/>
  <c r="AW7" i="73" s="1"/>
  <c r="AI10" i="73"/>
  <c r="AO10" i="73" s="1"/>
  <c r="AS10" i="73" s="1"/>
  <c r="AW10" i="73" s="1"/>
  <c r="AA18" i="73"/>
  <c r="AE18" i="73" s="1"/>
  <c r="AI18" i="73" s="1"/>
  <c r="AE19" i="73"/>
  <c r="AI19" i="73" s="1"/>
  <c r="AO19" i="73" s="1"/>
  <c r="Q6" i="73"/>
  <c r="U6" i="73" s="1"/>
  <c r="Q8" i="73"/>
  <c r="U8" i="73" s="1"/>
  <c r="AA16" i="73"/>
  <c r="Y5" i="73"/>
  <c r="AA8" i="73"/>
  <c r="AE8" i="73" s="1"/>
  <c r="AA6" i="73"/>
  <c r="AE6" i="73" s="1"/>
  <c r="AM6" i="73"/>
  <c r="BC6" i="73" s="1"/>
  <c r="AG63" i="83"/>
  <c r="AK63" i="83" s="1"/>
  <c r="AQ63" i="83" s="1"/>
  <c r="AU63" i="83" s="1"/>
  <c r="AY63" i="83" s="1"/>
  <c r="BG63" i="83" s="1"/>
  <c r="M5" i="73"/>
  <c r="Q5" i="73" s="1"/>
  <c r="U5" i="73" s="1"/>
  <c r="I5" i="73"/>
  <c r="R46" i="28" l="1"/>
  <c r="V46" i="28" s="1"/>
  <c r="AB46" i="28"/>
  <c r="AF46" i="28" s="1"/>
  <c r="AJ46" i="28" s="1"/>
  <c r="AP46" i="28" s="1"/>
  <c r="AT46" i="28" s="1"/>
  <c r="AX46" i="28" s="1"/>
  <c r="BF46" i="28" s="1"/>
  <c r="R35" i="28"/>
  <c r="V35" i="28" s="1"/>
  <c r="AB35" i="28"/>
  <c r="AF35" i="28" s="1"/>
  <c r="AJ35" i="28" s="1"/>
  <c r="AP35" i="28" s="1"/>
  <c r="AT35" i="28" s="1"/>
  <c r="AX35" i="28" s="1"/>
  <c r="BF35" i="28" s="1"/>
  <c r="AE16" i="73"/>
  <c r="AA118" i="90"/>
  <c r="U16" i="73"/>
  <c r="U118" i="90" s="1"/>
  <c r="Q118" i="90"/>
  <c r="BE7" i="73"/>
  <c r="BE9" i="73"/>
  <c r="BE10" i="73"/>
  <c r="AI6" i="73"/>
  <c r="AO6" i="73" s="1"/>
  <c r="AS6" i="73" s="1"/>
  <c r="AW6" i="73" s="1"/>
  <c r="AS19" i="73"/>
  <c r="AO18" i="73"/>
  <c r="AI8" i="73"/>
  <c r="AO8" i="73" s="1"/>
  <c r="AS8" i="73" s="1"/>
  <c r="AW8" i="73" s="1"/>
  <c r="AA5" i="73"/>
  <c r="AE5" i="73" s="1"/>
  <c r="AI5" i="73" s="1"/>
  <c r="AO5" i="73" s="1"/>
  <c r="AS5" i="73" s="1"/>
  <c r="AM5" i="73"/>
  <c r="BC5" i="73" s="1"/>
  <c r="AI16" i="73" l="1"/>
  <c r="AE118" i="90"/>
  <c r="BE6" i="73"/>
  <c r="BE8" i="73"/>
  <c r="AW19" i="73"/>
  <c r="AS18" i="73"/>
  <c r="AW5" i="73"/>
  <c r="AO16" i="73" l="1"/>
  <c r="AI118" i="90"/>
  <c r="BE5" i="73"/>
  <c r="AW18" i="73"/>
  <c r="BE19" i="73"/>
  <c r="BE18" i="73" l="1"/>
  <c r="AO118" i="90"/>
  <c r="AS16" i="73"/>
  <c r="AM10" i="17"/>
  <c r="AW16" i="73" l="1"/>
  <c r="AS118" i="90"/>
  <c r="AM14" i="17"/>
  <c r="BC10" i="17"/>
  <c r="AH16" i="52"/>
  <c r="AG16" i="52"/>
  <c r="AH9" i="52"/>
  <c r="AG9" i="52"/>
  <c r="AW118" i="90" l="1"/>
  <c r="BE16" i="73"/>
  <c r="BC14" i="17"/>
  <c r="AH17" i="52"/>
  <c r="AG17" i="52"/>
  <c r="S58" i="83" l="1"/>
  <c r="W58" i="83" s="1"/>
  <c r="S59" i="83"/>
  <c r="W59" i="83" s="1"/>
  <c r="AO58" i="83"/>
  <c r="BE58" i="83" s="1"/>
  <c r="AO59" i="83"/>
  <c r="BE59" i="83" s="1"/>
  <c r="AO60" i="83"/>
  <c r="BE60" i="83" s="1"/>
  <c r="AG58" i="83" l="1"/>
  <c r="AK58" i="83" s="1"/>
  <c r="AQ58" i="83" s="1"/>
  <c r="AU58" i="83" s="1"/>
  <c r="AY58" i="83" s="1"/>
  <c r="BG58" i="83" s="1"/>
  <c r="AG59" i="83"/>
  <c r="AK59" i="83" s="1"/>
  <c r="AQ59" i="83" s="1"/>
  <c r="AU59" i="83" s="1"/>
  <c r="AY59" i="83" s="1"/>
  <c r="BG59" i="83" s="1"/>
  <c r="M96" i="73"/>
  <c r="Q96" i="73" s="1"/>
  <c r="U96" i="73" s="1"/>
  <c r="AA66" i="73" l="1"/>
  <c r="AE66" i="73" s="1"/>
  <c r="AA96" i="73"/>
  <c r="BE64" i="73"/>
  <c r="AI66" i="73" l="1"/>
  <c r="AO66" i="73" s="1"/>
  <c r="AS66" i="73" s="1"/>
  <c r="AW66" i="73" s="1"/>
  <c r="AM75" i="90"/>
  <c r="BC75" i="90" s="1"/>
  <c r="AM71" i="90"/>
  <c r="BC71" i="90" s="1"/>
  <c r="AE96" i="73"/>
  <c r="AI96" i="73" s="1"/>
  <c r="AO96" i="73" l="1"/>
  <c r="AS96" i="73" s="1"/>
  <c r="M71" i="90"/>
  <c r="I71" i="90"/>
  <c r="AA71" i="90"/>
  <c r="Q71" i="90"/>
  <c r="AE71" i="90"/>
  <c r="U71" i="90"/>
  <c r="AO71" i="90"/>
  <c r="AS71" i="90" s="1"/>
  <c r="AW71" i="90" s="1"/>
  <c r="AO75" i="90"/>
  <c r="AS75" i="90" s="1"/>
  <c r="AW75" i="90" s="1"/>
  <c r="AW96" i="73" l="1"/>
  <c r="AJ469" i="28"/>
  <c r="BE96" i="73" l="1"/>
  <c r="AP469" i="28"/>
  <c r="AT469" i="28" s="1"/>
  <c r="AX469" i="28" s="1"/>
  <c r="AJ207" i="28"/>
  <c r="AO53" i="83"/>
  <c r="BE53" i="83" s="1"/>
  <c r="AO55" i="83"/>
  <c r="BE55" i="83" s="1"/>
  <c r="AO56" i="83"/>
  <c r="BE56" i="83" s="1"/>
  <c r="AO57" i="83"/>
  <c r="BE57" i="83" s="1"/>
  <c r="AO61" i="83"/>
  <c r="BE61" i="83" s="1"/>
  <c r="AO62" i="83"/>
  <c r="BE62" i="83" s="1"/>
  <c r="AO65" i="83"/>
  <c r="BE65" i="83" s="1"/>
  <c r="AO66" i="83"/>
  <c r="BE66" i="83" s="1"/>
  <c r="AO67" i="83"/>
  <c r="BE67" i="83" s="1"/>
  <c r="K19" i="83"/>
  <c r="AO17" i="83"/>
  <c r="BE17" i="83" s="1"/>
  <c r="AO18" i="83"/>
  <c r="BE18" i="83" s="1"/>
  <c r="AO19" i="83"/>
  <c r="BE19" i="83" s="1"/>
  <c r="AO24" i="83"/>
  <c r="BE24" i="83" s="1"/>
  <c r="AO25" i="83"/>
  <c r="BE25" i="83" s="1"/>
  <c r="AO27" i="83"/>
  <c r="BE27" i="83" s="1"/>
  <c r="AO29" i="83"/>
  <c r="BE29" i="83" s="1"/>
  <c r="AO30" i="83"/>
  <c r="BE30" i="83" s="1"/>
  <c r="AO31" i="83"/>
  <c r="BE31" i="83" s="1"/>
  <c r="AO32" i="83"/>
  <c r="BE32" i="83" s="1"/>
  <c r="AO33" i="83"/>
  <c r="BE33" i="83" s="1"/>
  <c r="AO34" i="83"/>
  <c r="BE34" i="83" s="1"/>
  <c r="AO35" i="83"/>
  <c r="BE35" i="83" s="1"/>
  <c r="AO36" i="83"/>
  <c r="BE36" i="83" s="1"/>
  <c r="AO37" i="83"/>
  <c r="BE37" i="83" s="1"/>
  <c r="BF469" i="28" l="1"/>
  <c r="BH469" i="28" s="1"/>
  <c r="AP207" i="28"/>
  <c r="AT207" i="28" s="1"/>
  <c r="AX207" i="28" s="1"/>
  <c r="BF207" i="28" s="1"/>
  <c r="BH207" i="28" s="1"/>
  <c r="AJ448" i="28"/>
  <c r="AJ116" i="28"/>
  <c r="BE15" i="61"/>
  <c r="S19" i="83"/>
  <c r="W19" i="83" s="1"/>
  <c r="AP448" i="28" l="1"/>
  <c r="AT448" i="28" s="1"/>
  <c r="AX448" i="28" s="1"/>
  <c r="AP116" i="28"/>
  <c r="AT116" i="28" s="1"/>
  <c r="AP309" i="28"/>
  <c r="AT309" i="28" s="1"/>
  <c r="W15" i="61"/>
  <c r="AG19" i="83"/>
  <c r="AK19" i="83" s="1"/>
  <c r="BF448" i="28" l="1"/>
  <c r="BH448" i="28" s="1"/>
  <c r="AG15" i="61"/>
  <c r="AX309" i="28" l="1"/>
  <c r="BF309" i="28" s="1"/>
  <c r="BH309" i="28" s="1"/>
  <c r="AX116" i="28"/>
  <c r="BF116" i="28" s="1"/>
  <c r="BH116" i="28" s="1"/>
  <c r="AQ19" i="83"/>
  <c r="AU19" i="83" s="1"/>
  <c r="AK15" i="61"/>
  <c r="AQ15" i="61" s="1"/>
  <c r="AU15" i="61" s="1"/>
  <c r="AN14" i="49"/>
  <c r="BD14" i="49" s="1"/>
  <c r="AY15" i="61" l="1"/>
  <c r="BG15" i="61" s="1"/>
  <c r="AY19" i="83"/>
  <c r="BG19" i="83" s="1"/>
  <c r="AN15" i="49"/>
  <c r="BD15" i="49" s="1"/>
  <c r="AN16" i="49" l="1"/>
  <c r="BD16" i="49" s="1"/>
  <c r="AH7" i="15"/>
  <c r="AH6" i="15"/>
  <c r="AH5" i="15"/>
  <c r="AI17" i="36"/>
  <c r="AI16" i="36"/>
  <c r="AI9" i="36"/>
  <c r="AI8" i="36"/>
  <c r="AI7" i="36"/>
  <c r="AI5" i="36"/>
  <c r="AI13" i="49" s="1"/>
  <c r="AN19" i="49" l="1"/>
  <c r="BD19" i="49" s="1"/>
  <c r="AH15" i="36" l="1"/>
  <c r="AK53" i="59" l="1"/>
  <c r="AH75" i="8"/>
  <c r="AJ103" i="50"/>
  <c r="AJ104" i="50" s="1"/>
  <c r="AH103" i="50"/>
  <c r="AH104" i="50" s="1"/>
  <c r="AI4" i="61" l="1"/>
  <c r="AI16" i="61" s="1"/>
  <c r="AE46" i="72"/>
  <c r="AE38" i="72"/>
  <c r="AK38" i="72" s="1"/>
  <c r="AE18" i="72"/>
  <c r="AK18" i="72" s="1"/>
  <c r="AL42" i="59"/>
  <c r="AH1" i="7"/>
  <c r="AH80" i="7" s="1"/>
  <c r="AG1" i="7"/>
  <c r="AG80" i="7" s="1"/>
  <c r="AK46" i="72" l="1"/>
  <c r="AE49" i="72"/>
  <c r="AE51" i="72"/>
  <c r="AK49" i="72"/>
  <c r="AI199" i="6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523" i="28"/>
  <c r="AI522" i="28"/>
  <c r="AH171" i="73" l="1"/>
  <c r="AF171" i="73"/>
  <c r="AH102" i="73"/>
  <c r="AH114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M14" i="49" l="1"/>
  <c r="BC14" i="49" s="1"/>
  <c r="AM15" i="49" l="1"/>
  <c r="BC15" i="49" s="1"/>
  <c r="AM16" i="49" l="1"/>
  <c r="BC16" i="49" s="1"/>
  <c r="AH97" i="50"/>
  <c r="AH95" i="50" s="1"/>
  <c r="AM19" i="49" l="1"/>
  <c r="BC19" i="49" s="1"/>
  <c r="S60" i="83"/>
  <c r="AI80" i="83" l="1"/>
  <c r="AI78" i="83" s="1"/>
  <c r="W60" i="83"/>
  <c r="X53" i="26"/>
  <c r="AG60" i="83" l="1"/>
  <c r="AK60" i="83" s="1"/>
  <c r="AQ60" i="83" s="1"/>
  <c r="AU60" i="83" s="1"/>
  <c r="AY60" i="83" s="1"/>
  <c r="BG60" i="83" s="1"/>
  <c r="AF159" i="9" l="1"/>
  <c r="AF158" i="9"/>
  <c r="AF157" i="9"/>
  <c r="J13" i="7" l="1"/>
  <c r="AE70" i="83" l="1"/>
  <c r="AE72" i="83"/>
  <c r="AE73" i="83"/>
  <c r="AE74" i="83"/>
  <c r="AE75" i="83"/>
  <c r="AE68" i="83"/>
  <c r="AO68" i="83" s="1"/>
  <c r="BE68" i="83" s="1"/>
  <c r="AE52" i="83"/>
  <c r="AO52" i="83" s="1"/>
  <c r="BE52" i="83" s="1"/>
  <c r="AE48" i="83"/>
  <c r="AO48" i="83" s="1"/>
  <c r="BE48" i="83" s="1"/>
  <c r="AE50" i="83"/>
  <c r="AO50" i="83" s="1"/>
  <c r="BE50" i="83" s="1"/>
  <c r="AE46" i="83"/>
  <c r="AO46" i="83" s="1"/>
  <c r="BE46" i="83" s="1"/>
  <c r="AA48" i="83"/>
  <c r="AC48" i="83" s="1"/>
  <c r="W48" i="83"/>
  <c r="W50" i="83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44" i="83"/>
  <c r="AO44" i="83" s="1"/>
  <c r="BE44" i="83" s="1"/>
  <c r="AE39" i="83"/>
  <c r="AO39" i="83" s="1"/>
  <c r="BE39" i="83" s="1"/>
  <c r="AG13" i="83"/>
  <c r="AK13" i="83" s="1"/>
  <c r="G93" i="50"/>
  <c r="BH93" i="50" s="1"/>
  <c r="AD16" i="52"/>
  <c r="BE51" i="83" l="1"/>
  <c r="AO75" i="83"/>
  <c r="BE75" i="83" s="1"/>
  <c r="AO74" i="83"/>
  <c r="BE74" i="83" s="1"/>
  <c r="AO73" i="83"/>
  <c r="BE73" i="83" s="1"/>
  <c r="AO72" i="83"/>
  <c r="BE72" i="83" s="1"/>
  <c r="AO70" i="83"/>
  <c r="BE70" i="83" s="1"/>
  <c r="AO51" i="83"/>
  <c r="AO45" i="83"/>
  <c r="BE45" i="83" s="1"/>
  <c r="AG48" i="83"/>
  <c r="AK48" i="83" s="1"/>
  <c r="AQ48" i="83" s="1"/>
  <c r="AU48" i="83" s="1"/>
  <c r="AY48" i="83" s="1"/>
  <c r="BG48" i="83" s="1"/>
  <c r="AE51" i="83"/>
  <c r="AE45" i="83"/>
  <c r="AE76" i="83"/>
  <c r="AO76" i="83" l="1"/>
  <c r="BE76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30" i="15"/>
  <c r="BC30" i="15" s="1"/>
  <c r="AM25" i="15"/>
  <c r="BC25" i="15" s="1"/>
  <c r="AM24" i="15"/>
  <c r="BC24" i="15" s="1"/>
  <c r="AM23" i="15"/>
  <c r="BC23" i="15" s="1"/>
  <c r="AM22" i="15"/>
  <c r="BC22" i="15" s="1"/>
  <c r="AM21" i="15"/>
  <c r="BC21" i="15" s="1"/>
  <c r="AM15" i="15"/>
  <c r="BC15" i="15" s="1"/>
  <c r="AM10" i="15"/>
  <c r="AM31" i="15" l="1"/>
  <c r="BC31" i="15" s="1"/>
  <c r="AM29" i="15"/>
  <c r="BC29" i="15" s="1"/>
  <c r="AN24" i="22"/>
  <c r="AN10" i="22"/>
  <c r="AL12" i="15"/>
  <c r="BB12" i="15" s="1"/>
  <c r="BB13" i="15" s="1"/>
  <c r="AN12" i="22" l="1"/>
  <c r="BD10" i="22"/>
  <c r="BD12" i="22" s="1"/>
  <c r="AN26" i="22"/>
  <c r="BD24" i="22"/>
  <c r="BD26" i="22" s="1"/>
  <c r="AM32" i="15"/>
  <c r="AM26" i="17"/>
  <c r="BC26" i="17" s="1"/>
  <c r="AD90" i="17"/>
  <c r="AH90" i="17" s="1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7" i="17" s="1"/>
  <c r="BB52" i="17"/>
  <c r="BB53" i="17" s="1"/>
  <c r="BB117" i="17" s="1"/>
  <c r="BC13" i="17"/>
  <c r="BC11" i="17"/>
  <c r="BB45" i="17"/>
  <c r="AL49" i="17"/>
  <c r="BB48" i="17"/>
  <c r="BB49" i="17" s="1"/>
  <c r="AM36" i="15"/>
  <c r="BC32" i="15"/>
  <c r="BC36" i="15" s="1"/>
  <c r="AL116" i="17"/>
  <c r="AL11" i="17"/>
  <c r="AM91" i="17"/>
  <c r="BC91" i="17" s="1"/>
  <c r="AN90" i="17"/>
  <c r="AR90" i="17" s="1"/>
  <c r="AV90" i="17" s="1"/>
  <c r="AL90" i="17"/>
  <c r="AM13" i="17"/>
  <c r="AM11" i="17"/>
  <c r="AL16" i="17"/>
  <c r="AM16" i="17"/>
  <c r="AM35" i="17"/>
  <c r="AL50" i="17"/>
  <c r="AL45" i="17"/>
  <c r="AM52" i="17"/>
  <c r="AL22" i="17"/>
  <c r="AM16" i="15"/>
  <c r="AL91" i="17" l="1"/>
  <c r="BB91" i="17" s="1"/>
  <c r="AL51" i="17"/>
  <c r="AL60" i="17"/>
  <c r="BB116" i="17"/>
  <c r="AL30" i="17"/>
  <c r="BB16" i="17"/>
  <c r="BB30" i="17" s="1"/>
  <c r="BD90" i="17"/>
  <c r="AZ90" i="17"/>
  <c r="BC15" i="17"/>
  <c r="AM116" i="17"/>
  <c r="AM118" i="17" s="1"/>
  <c r="BC52" i="17"/>
  <c r="BB51" i="17"/>
  <c r="AM33" i="17"/>
  <c r="BC16" i="17"/>
  <c r="BB50" i="17"/>
  <c r="BB31" i="17"/>
  <c r="BB32" i="17"/>
  <c r="BB34" i="17"/>
  <c r="AN34" i="35"/>
  <c r="BD34" i="35" s="1"/>
  <c r="AE127" i="50"/>
  <c r="AM17" i="15"/>
  <c r="BC16" i="15"/>
  <c r="BC17" i="15" s="1"/>
  <c r="AL35" i="17"/>
  <c r="BB35" i="17" s="1"/>
  <c r="AM34" i="17"/>
  <c r="AM31" i="17"/>
  <c r="AM32" i="17"/>
  <c r="AM30" i="17"/>
  <c r="AM15" i="17"/>
  <c r="AL115" i="17"/>
  <c r="AL119" i="17" s="1"/>
  <c r="AL55" i="17"/>
  <c r="AL114" i="17"/>
  <c r="AL118" i="17" s="1"/>
  <c r="AL54" i="17"/>
  <c r="AL34" i="17"/>
  <c r="AL31" i="17"/>
  <c r="AL32" i="17"/>
  <c r="AM53" i="17"/>
  <c r="AM117" i="17" s="1"/>
  <c r="AM119" i="17" s="1"/>
  <c r="AM54" i="17"/>
  <c r="AM55" i="17" s="1"/>
  <c r="AO127" i="50" l="1"/>
  <c r="BE127" i="50" s="1"/>
  <c r="BC30" i="17"/>
  <c r="BC34" i="17"/>
  <c r="BC32" i="17"/>
  <c r="BC31" i="17"/>
  <c r="BC33" i="17"/>
  <c r="BC53" i="17"/>
  <c r="BC117" i="17" s="1"/>
  <c r="BC119" i="17" s="1"/>
  <c r="BC54" i="17"/>
  <c r="BC55" i="17" s="1"/>
  <c r="BC116" i="17"/>
  <c r="BC118" i="17" s="1"/>
  <c r="BB115" i="17"/>
  <c r="BB119" i="17" s="1"/>
  <c r="BB55" i="17"/>
  <c r="BB54" i="17"/>
  <c r="BB114" i="17"/>
  <c r="BB118" i="17" s="1"/>
  <c r="BC35" i="17"/>
  <c r="AN36" i="35"/>
  <c r="AM96" i="26"/>
  <c r="BC96" i="26" s="1"/>
  <c r="AL112" i="26"/>
  <c r="BB112" i="26" s="1"/>
  <c r="AL110" i="26"/>
  <c r="BB110" i="26" s="1"/>
  <c r="AL100" i="26"/>
  <c r="BB100" i="26" s="1"/>
  <c r="AL80" i="26"/>
  <c r="BB80" i="26" s="1"/>
  <c r="AL78" i="26"/>
  <c r="BB78" i="26" s="1"/>
  <c r="AL73" i="26"/>
  <c r="BB73" i="26" s="1"/>
  <c r="AL71" i="26"/>
  <c r="BB71" i="26" s="1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L31" i="26"/>
  <c r="BB31" i="26" s="1"/>
  <c r="AL59" i="26"/>
  <c r="BB59" i="26" s="1"/>
  <c r="AL67" i="26"/>
  <c r="BB67" i="26" s="1"/>
  <c r="AL102" i="26"/>
  <c r="BB102" i="26" s="1"/>
  <c r="AL25" i="26"/>
  <c r="BB25" i="26" s="1"/>
  <c r="AL39" i="26"/>
  <c r="BB39" i="26" s="1"/>
  <c r="AL61" i="26"/>
  <c r="BB61" i="26" s="1"/>
  <c r="AL69" i="26"/>
  <c r="BB69" i="26" s="1"/>
  <c r="AL104" i="26"/>
  <c r="BB104" i="26" s="1"/>
  <c r="AL37" i="26"/>
  <c r="BB37" i="26" s="1"/>
  <c r="AL35" i="26"/>
  <c r="BB35" i="26" s="1"/>
  <c r="AL106" i="26"/>
  <c r="BB106" i="26" s="1"/>
  <c r="AL21" i="26"/>
  <c r="BB21" i="26" s="1"/>
  <c r="AL43" i="26"/>
  <c r="AM84" i="7" s="1"/>
  <c r="BC84" i="7" s="1"/>
  <c r="AL65" i="26"/>
  <c r="BB65" i="26" s="1"/>
  <c r="AL108" i="26"/>
  <c r="BB108" i="26" s="1"/>
  <c r="BB82" i="26"/>
  <c r="BD36" i="35"/>
  <c r="BD37" i="35" s="1"/>
  <c r="BE97" i="50" s="1"/>
  <c r="AN48" i="35"/>
  <c r="BD48" i="35" s="1"/>
  <c r="AN37" i="35"/>
  <c r="AO97" i="50" s="1"/>
  <c r="AE9" i="50"/>
  <c r="AQ23" i="50"/>
  <c r="AU23" i="50" s="1"/>
  <c r="AY23" i="50" s="1"/>
  <c r="BG23" i="50" s="1"/>
  <c r="BH23" i="50" s="1"/>
  <c r="BB83" i="26"/>
  <c r="AL50" i="26"/>
  <c r="AL51" i="26" s="1"/>
  <c r="BB48" i="26"/>
  <c r="AM191" i="6"/>
  <c r="BB23" i="26"/>
  <c r="BB12" i="26"/>
  <c r="AN85" i="8"/>
  <c r="AN87" i="8" s="1"/>
  <c r="AL83" i="26"/>
  <c r="AE4" i="83"/>
  <c r="AL98" i="26"/>
  <c r="BB98" i="26" s="1"/>
  <c r="AL82" i="26"/>
  <c r="AL63" i="26"/>
  <c r="BB63" i="26" s="1"/>
  <c r="AL29" i="26"/>
  <c r="BB29" i="26" s="1"/>
  <c r="AL26" i="17"/>
  <c r="AL27" i="26"/>
  <c r="AL12" i="26"/>
  <c r="AL19" i="26" s="1"/>
  <c r="AM47" i="26"/>
  <c r="BC47" i="26" s="1"/>
  <c r="AM7" i="26"/>
  <c r="BC7" i="26" s="1"/>
  <c r="BC192" i="6" l="1"/>
  <c r="BB84" i="17"/>
  <c r="BB85" i="17"/>
  <c r="BC88" i="8"/>
  <c r="BB19" i="26"/>
  <c r="BC89" i="8"/>
  <c r="BB50" i="26"/>
  <c r="BB51" i="26" s="1"/>
  <c r="BC166" i="6"/>
  <c r="BC191" i="6"/>
  <c r="AM166" i="6"/>
  <c r="AO9" i="50"/>
  <c r="BE9" i="50" s="1"/>
  <c r="AM192" i="6"/>
  <c r="AM89" i="8"/>
  <c r="BB43" i="26"/>
  <c r="BB85" i="26"/>
  <c r="AL56" i="26"/>
  <c r="AN86" i="8"/>
  <c r="BD85" i="8"/>
  <c r="BD86" i="8" s="1"/>
  <c r="BB75" i="26"/>
  <c r="AL33" i="17"/>
  <c r="BB26" i="17"/>
  <c r="BB33" i="17" s="1"/>
  <c r="BB18" i="26"/>
  <c r="BB13" i="26"/>
  <c r="BB114" i="26"/>
  <c r="BB87" i="17"/>
  <c r="BD158" i="10"/>
  <c r="BK158" i="10" s="1"/>
  <c r="AN159" i="10"/>
  <c r="AN158" i="10"/>
  <c r="AN210" i="10" s="1"/>
  <c r="AE107" i="50"/>
  <c r="BB56" i="26"/>
  <c r="AL45" i="26"/>
  <c r="BB27" i="26"/>
  <c r="AN199" i="10"/>
  <c r="AO4" i="83"/>
  <c r="AE38" i="83"/>
  <c r="AL114" i="26"/>
  <c r="AL87" i="17"/>
  <c r="AL88" i="17" s="1"/>
  <c r="AL85" i="17"/>
  <c r="AL75" i="26"/>
  <c r="AL13" i="26"/>
  <c r="AL18" i="26"/>
  <c r="AL84" i="17"/>
  <c r="AL57" i="26"/>
  <c r="BB57" i="26" s="1"/>
  <c r="BB94" i="26" l="1"/>
  <c r="AO107" i="50"/>
  <c r="BE107" i="50" s="1"/>
  <c r="AN203" i="10"/>
  <c r="AO38" i="83"/>
  <c r="BE38" i="83" s="1"/>
  <c r="BE4" i="83"/>
  <c r="AL94" i="26"/>
  <c r="BB86" i="17"/>
  <c r="BB45" i="26"/>
  <c r="AL86" i="17"/>
  <c r="BD87" i="8"/>
  <c r="BD159" i="10"/>
  <c r="BD199" i="10"/>
  <c r="BK199" i="10" s="1"/>
  <c r="AN161" i="10"/>
  <c r="BD191" i="10"/>
  <c r="BD196" i="10"/>
  <c r="BK196" i="10" s="1"/>
  <c r="AN200" i="10"/>
  <c r="AN178" i="10"/>
  <c r="AQ66" i="59" s="1"/>
  <c r="AN191" i="10"/>
  <c r="AN196" i="10"/>
  <c r="AN188" i="6"/>
  <c r="BK191" i="10" l="1"/>
  <c r="BD203" i="10"/>
  <c r="BK203" i="10" s="1"/>
  <c r="BK159" i="10"/>
  <c r="BD161" i="10"/>
  <c r="BD21" i="36" s="1"/>
  <c r="BD178" i="10"/>
  <c r="BG66" i="59" s="1"/>
  <c r="BD200" i="10"/>
  <c r="BK200" i="10" s="1"/>
  <c r="AN190" i="6"/>
  <c r="BD188" i="6"/>
  <c r="BK188" i="6" s="1"/>
  <c r="BD193" i="10"/>
  <c r="BK193" i="10" s="1"/>
  <c r="AQ64" i="59"/>
  <c r="AN21" i="36"/>
  <c r="AN193" i="10"/>
  <c r="AE40" i="50"/>
  <c r="AE41" i="50"/>
  <c r="AE42" i="50"/>
  <c r="AE43" i="50"/>
  <c r="AE44" i="50"/>
  <c r="AE45" i="50"/>
  <c r="AE4" i="50"/>
  <c r="AM74" i="90"/>
  <c r="BC74" i="90" s="1"/>
  <c r="AM78" i="90"/>
  <c r="BC78" i="90" s="1"/>
  <c r="AM82" i="90"/>
  <c r="BC82" i="90" s="1"/>
  <c r="G59" i="71"/>
  <c r="H59" i="71"/>
  <c r="J59" i="71"/>
  <c r="K59" i="71"/>
  <c r="L59" i="71"/>
  <c r="O59" i="71"/>
  <c r="P59" i="71"/>
  <c r="Q59" i="71"/>
  <c r="S59" i="71"/>
  <c r="T59" i="71"/>
  <c r="U59" i="71"/>
  <c r="Y59" i="71"/>
  <c r="Z59" i="71"/>
  <c r="AA59" i="71"/>
  <c r="AC59" i="71"/>
  <c r="AD59" i="71"/>
  <c r="AE59" i="71"/>
  <c r="AH59" i="71"/>
  <c r="AI59" i="71"/>
  <c r="AJ59" i="71"/>
  <c r="AL59" i="71"/>
  <c r="AM59" i="71"/>
  <c r="AN59" i="71"/>
  <c r="AO42" i="50" l="1"/>
  <c r="BE42" i="50" s="1"/>
  <c r="AO45" i="50"/>
  <c r="BE45" i="50" s="1"/>
  <c r="AO41" i="50"/>
  <c r="BE41" i="50" s="1"/>
  <c r="AO40" i="50"/>
  <c r="BE40" i="50" s="1"/>
  <c r="AO44" i="50"/>
  <c r="BE44" i="50" s="1"/>
  <c r="AO43" i="50"/>
  <c r="BE43" i="50" s="1"/>
  <c r="AB59" i="71"/>
  <c r="AO59" i="71"/>
  <c r="R59" i="71"/>
  <c r="AK59" i="71"/>
  <c r="AF59" i="71"/>
  <c r="AW59" i="71"/>
  <c r="Y61" i="71"/>
  <c r="AM79" i="90"/>
  <c r="BC79" i="90" s="1"/>
  <c r="AM87" i="90"/>
  <c r="BC87" i="90" s="1"/>
  <c r="AM76" i="90"/>
  <c r="BC76" i="90" s="1"/>
  <c r="AM86" i="90"/>
  <c r="BC86" i="90" s="1"/>
  <c r="AM84" i="90"/>
  <c r="BC84" i="90" s="1"/>
  <c r="AE132" i="50"/>
  <c r="AM77" i="90"/>
  <c r="BC77" i="90" s="1"/>
  <c r="AM83" i="90"/>
  <c r="BC83" i="90" s="1"/>
  <c r="AM80" i="90"/>
  <c r="BC80" i="90" s="1"/>
  <c r="AM70" i="90"/>
  <c r="BC70" i="90" s="1"/>
  <c r="AM81" i="90"/>
  <c r="BC81" i="90" s="1"/>
  <c r="AM69" i="90"/>
  <c r="BC69" i="90" s="1"/>
  <c r="AE38" i="50"/>
  <c r="AO4" i="50"/>
  <c r="AE131" i="50"/>
  <c r="BS59" i="71"/>
  <c r="BS61" i="71" s="1"/>
  <c r="BG64" i="59"/>
  <c r="BD190" i="6"/>
  <c r="AO4" i="61"/>
  <c r="BE4" i="61" s="1"/>
  <c r="BE14" i="61"/>
  <c r="BE13" i="61"/>
  <c r="AE39" i="50"/>
  <c r="AF37" i="36"/>
  <c r="AG59" i="71" l="1"/>
  <c r="AE46" i="50"/>
  <c r="AP59" i="71"/>
  <c r="AD162" i="10"/>
  <c r="AE94" i="50"/>
  <c r="AQ59" i="71"/>
  <c r="AM68" i="90"/>
  <c r="BC68" i="90" s="1"/>
  <c r="AO38" i="50"/>
  <c r="AN162" i="10" s="1"/>
  <c r="AN163" i="10" s="1"/>
  <c r="BE4" i="50"/>
  <c r="BE38" i="50" s="1"/>
  <c r="AO39" i="50"/>
  <c r="AE108" i="50"/>
  <c r="AE128" i="50"/>
  <c r="AE124" i="50"/>
  <c r="BE16" i="61"/>
  <c r="AO16" i="61"/>
  <c r="AO69" i="83"/>
  <c r="BE69" i="83" s="1"/>
  <c r="AE69" i="83"/>
  <c r="AE77" i="83" s="1"/>
  <c r="AO77" i="83" s="1"/>
  <c r="BE77" i="83" s="1"/>
  <c r="AO128" i="50" l="1"/>
  <c r="AO124" i="50"/>
  <c r="BE124" i="50" s="1"/>
  <c r="AD163" i="10"/>
  <c r="AO129" i="50"/>
  <c r="BE128" i="50"/>
  <c r="BE129" i="50" s="1"/>
  <c r="AO46" i="50"/>
  <c r="AO94" i="50" s="1"/>
  <c r="AO95" i="50" s="1"/>
  <c r="BE39" i="50"/>
  <c r="BE46" i="50" s="1"/>
  <c r="BE94" i="50" s="1"/>
  <c r="BE95" i="50" s="1"/>
  <c r="AE120" i="50"/>
  <c r="BD162" i="10"/>
  <c r="BD163" i="10" s="1"/>
  <c r="AE110" i="50"/>
  <c r="AO108" i="50"/>
  <c r="AE109" i="50"/>
  <c r="AE129" i="50"/>
  <c r="AE130" i="50"/>
  <c r="AE37" i="36"/>
  <c r="AO130" i="50" l="1"/>
  <c r="BE130" i="50" s="1"/>
  <c r="AO120" i="50"/>
  <c r="BE120" i="50" s="1"/>
  <c r="BK162" i="10"/>
  <c r="AO109" i="50"/>
  <c r="BE108" i="50"/>
  <c r="BE109" i="50" s="1"/>
  <c r="AE117" i="50"/>
  <c r="AO110" i="50"/>
  <c r="BE80" i="73"/>
  <c r="BE66" i="73"/>
  <c r="AO117" i="50" l="1"/>
  <c r="BE110" i="50"/>
  <c r="BE117" i="50" s="1"/>
  <c r="AN479" i="28"/>
  <c r="BD479" i="28" s="1"/>
  <c r="BK479" i="28" s="1"/>
  <c r="AJ463" i="28" l="1"/>
  <c r="AP463" i="28" l="1"/>
  <c r="AT463" i="28" s="1"/>
  <c r="AX463" i="28" s="1"/>
  <c r="AJ424" i="28"/>
  <c r="AP424" i="28" s="1"/>
  <c r="AJ419" i="28"/>
  <c r="AP419" i="28" s="1"/>
  <c r="AJ426" i="28"/>
  <c r="AJ421" i="28"/>
  <c r="AP421" i="28" s="1"/>
  <c r="AJ194" i="28"/>
  <c r="AN39" i="35"/>
  <c r="BD39" i="35" s="1"/>
  <c r="AQ47" i="38"/>
  <c r="AQ46" i="38"/>
  <c r="AQ45" i="38"/>
  <c r="AQ44" i="38"/>
  <c r="AQ39" i="38"/>
  <c r="AQ38" i="38"/>
  <c r="AQ37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1" i="8" s="1"/>
  <c r="AQ22" i="38"/>
  <c r="AQ21" i="38"/>
  <c r="BG21" i="38" s="1"/>
  <c r="AQ20" i="38"/>
  <c r="BG20" i="38" s="1"/>
  <c r="BC193" i="6" s="1"/>
  <c r="BJ193" i="6" s="1"/>
  <c r="AQ15" i="38"/>
  <c r="AQ14" i="38"/>
  <c r="AQ11" i="38"/>
  <c r="AQ10" i="38"/>
  <c r="AQ9" i="38"/>
  <c r="AQ8" i="38"/>
  <c r="AQ7" i="38"/>
  <c r="BF463" i="28" l="1"/>
  <c r="BH463" i="28" s="1"/>
  <c r="AP426" i="28"/>
  <c r="AP194" i="28"/>
  <c r="AT194" i="28" s="1"/>
  <c r="AX194" i="28" s="1"/>
  <c r="BF194" i="28" s="1"/>
  <c r="BH194" i="28" s="1"/>
  <c r="AR43" i="38"/>
  <c r="AR92" i="38" s="1"/>
  <c r="AQ36" i="38"/>
  <c r="BG36" i="38" s="1"/>
  <c r="BC167" i="6" s="1"/>
  <c r="BJ167" i="6" s="1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1" i="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Q19" i="38"/>
  <c r="AQ6" i="38"/>
  <c r="AQ43" i="38"/>
  <c r="AQ13" i="38"/>
  <c r="BH43" i="38" l="1"/>
  <c r="BH92" i="38" s="1"/>
  <c r="AT421" i="28"/>
  <c r="AT424" i="28"/>
  <c r="AT419" i="28"/>
  <c r="AT426" i="28"/>
  <c r="AJ357" i="28"/>
  <c r="AJ212" i="28"/>
  <c r="AM167" i="6"/>
  <c r="AQ85" i="38"/>
  <c r="AQ35" i="38"/>
  <c r="BG35" i="38" s="1"/>
  <c r="BG84" i="38" s="1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8" i="38"/>
  <c r="BG18" i="38" s="1"/>
  <c r="AQ16" i="38"/>
  <c r="AQ40" i="38"/>
  <c r="AF103" i="50"/>
  <c r="AF104" i="50" s="1"/>
  <c r="AD103" i="50"/>
  <c r="AD104" i="50" s="1"/>
  <c r="AE102" i="50"/>
  <c r="AE101" i="50"/>
  <c r="AO157" i="45"/>
  <c r="AO143" i="45"/>
  <c r="BE143" i="45" s="1"/>
  <c r="BD143" i="45"/>
  <c r="AO141" i="45"/>
  <c r="BE141" i="45" s="1"/>
  <c r="BD141" i="45"/>
  <c r="AO140" i="45"/>
  <c r="BE140" i="45" s="1"/>
  <c r="BD140" i="45"/>
  <c r="BD137" i="45"/>
  <c r="AN78" i="11"/>
  <c r="BD78" i="11" s="1"/>
  <c r="AM78" i="11"/>
  <c r="BC78" i="11" s="1"/>
  <c r="AN76" i="11"/>
  <c r="BD76" i="11" s="1"/>
  <c r="AM76" i="11"/>
  <c r="BC76" i="11" s="1"/>
  <c r="AN75" i="11"/>
  <c r="BD75" i="11" s="1"/>
  <c r="AM75" i="11"/>
  <c r="BC75" i="11" s="1"/>
  <c r="AN73" i="11"/>
  <c r="AN74" i="11" s="1"/>
  <c r="AM72" i="11"/>
  <c r="BC72" i="11" s="1"/>
  <c r="AN66" i="11"/>
  <c r="BG67" i="38" l="1"/>
  <c r="AK102" i="50"/>
  <c r="AK101" i="50"/>
  <c r="AQ84" i="38"/>
  <c r="BH16" i="38"/>
  <c r="BH65" i="38" s="1"/>
  <c r="AX426" i="28"/>
  <c r="BF426" i="28" s="1"/>
  <c r="BH426" i="28" s="1"/>
  <c r="AX419" i="28"/>
  <c r="BF419" i="28" s="1"/>
  <c r="BH419" i="28" s="1"/>
  <c r="AX424" i="28"/>
  <c r="BF424" i="28" s="1"/>
  <c r="BH424" i="28" s="1"/>
  <c r="AX421" i="28"/>
  <c r="BF421" i="28" s="1"/>
  <c r="BH421" i="28" s="1"/>
  <c r="AP212" i="28"/>
  <c r="AT212" i="28" s="1"/>
  <c r="AX212" i="28" s="1"/>
  <c r="BF212" i="28" s="1"/>
  <c r="BH212" i="28" s="1"/>
  <c r="AP357" i="28"/>
  <c r="AT357" i="28" s="1"/>
  <c r="AR17" i="38"/>
  <c r="BH17" i="38" s="1"/>
  <c r="BH66" i="38" s="1"/>
  <c r="BH18" i="38"/>
  <c r="AN67" i="11"/>
  <c r="BD66" i="11"/>
  <c r="BD67" i="11" s="1"/>
  <c r="BD73" i="11"/>
  <c r="BD74" i="11" s="1"/>
  <c r="AE119" i="50"/>
  <c r="AE123" i="50"/>
  <c r="BE157" i="45"/>
  <c r="BD138" i="45"/>
  <c r="BK138" i="45" s="1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Q67" i="38"/>
  <c r="AR67" i="38"/>
  <c r="AN26" i="36"/>
  <c r="AN25" i="36"/>
  <c r="AO131" i="45"/>
  <c r="AO138" i="45"/>
  <c r="AO139" i="45" s="1"/>
  <c r="AM66" i="11"/>
  <c r="AM73" i="11"/>
  <c r="AQ17" i="38"/>
  <c r="AQ49" i="38" s="1"/>
  <c r="BL157" i="45" l="1"/>
  <c r="BH67" i="38"/>
  <c r="AR49" i="38"/>
  <c r="AR66" i="38"/>
  <c r="AR98" i="38" s="1"/>
  <c r="BH98" i="38"/>
  <c r="BG65" i="38"/>
  <c r="BH49" i="38"/>
  <c r="AE125" i="50"/>
  <c r="AO123" i="50"/>
  <c r="AE121" i="50"/>
  <c r="AO119" i="50"/>
  <c r="BD26" i="36"/>
  <c r="BD25" i="36"/>
  <c r="BG76" i="59" s="1"/>
  <c r="AM67" i="11"/>
  <c r="BC66" i="11"/>
  <c r="BC67" i="11" s="1"/>
  <c r="BC73" i="11"/>
  <c r="AO132" i="45"/>
  <c r="BE131" i="45"/>
  <c r="BD131" i="45"/>
  <c r="BE138" i="45"/>
  <c r="AQ66" i="38"/>
  <c r="AQ98" i="38" s="1"/>
  <c r="BG17" i="38"/>
  <c r="BG66" i="38" s="1"/>
  <c r="BE139" i="45" l="1"/>
  <c r="BL138" i="45"/>
  <c r="BE132" i="45"/>
  <c r="BL131" i="45"/>
  <c r="BD132" i="45"/>
  <c r="BK131" i="45"/>
  <c r="AO121" i="50"/>
  <c r="BE119" i="50"/>
  <c r="BE121" i="50" s="1"/>
  <c r="AO125" i="50"/>
  <c r="BE123" i="50"/>
  <c r="BE125" i="50" s="1"/>
  <c r="BG49" i="38"/>
  <c r="BG98" i="38"/>
  <c r="AX357" i="28"/>
  <c r="BF357" i="28" s="1"/>
  <c r="BH357" i="28" s="1"/>
  <c r="AK5" i="61" l="1"/>
  <c r="AQ5" i="61" s="1"/>
  <c r="AU5" i="61" s="1"/>
  <c r="AY5" i="61" s="1"/>
  <c r="BG5" i="61" s="1"/>
  <c r="AN177" i="10"/>
  <c r="AM177" i="10"/>
  <c r="AN175" i="10"/>
  <c r="AM175" i="10"/>
  <c r="AN174" i="10"/>
  <c r="AM174" i="10"/>
  <c r="AM171" i="10"/>
  <c r="BC171" i="10" s="1"/>
  <c r="AN165" i="10" l="1"/>
  <c r="AM165" i="10"/>
  <c r="AM172" i="10"/>
  <c r="AN172" i="10"/>
  <c r="AN173" i="10" s="1"/>
  <c r="AM166" i="10" l="1"/>
  <c r="BC165" i="10"/>
  <c r="AN166" i="10"/>
  <c r="BD165" i="10"/>
  <c r="BC172" i="10"/>
  <c r="BJ172" i="10" s="1"/>
  <c r="BD172" i="10"/>
  <c r="BD166" i="10" l="1"/>
  <c r="BK165" i="10"/>
  <c r="BC166" i="10"/>
  <c r="BJ165" i="10"/>
  <c r="BD173" i="10"/>
  <c r="BK172" i="10"/>
  <c r="AE72" i="36"/>
  <c r="AE71" i="36"/>
  <c r="AE69" i="36"/>
  <c r="AE67" i="36"/>
  <c r="AE66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8" i="8"/>
  <c r="AN66" i="8"/>
  <c r="BD66" i="8" s="1"/>
  <c r="AN54" i="8" l="1"/>
  <c r="BD58" i="8"/>
  <c r="AN64" i="8"/>
  <c r="AN68" i="8"/>
  <c r="AE68" i="36"/>
  <c r="AN95" i="9"/>
  <c r="AN96" i="9" l="1"/>
  <c r="BD95" i="9"/>
  <c r="BD96" i="9" s="1"/>
  <c r="AN57" i="8"/>
  <c r="BD68" i="8"/>
  <c r="AN55" i="8"/>
  <c r="BD64" i="8"/>
  <c r="BD54" i="8"/>
  <c r="BA46" i="72"/>
  <c r="BA38" i="72"/>
  <c r="BA18" i="72"/>
  <c r="BD55" i="8" l="1"/>
  <c r="BD57" i="8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34" i="50"/>
  <c r="AM24" i="9"/>
  <c r="BC24" i="9" s="1"/>
  <c r="AN19" i="9"/>
  <c r="AE135" i="50" l="1"/>
  <c r="AN90" i="9"/>
  <c r="AN91" i="9" s="1"/>
  <c r="BD19" i="9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D90" i="9" l="1"/>
  <c r="BD91" i="9" s="1"/>
  <c r="BJ90" i="9"/>
  <c r="BJ91" i="9" s="1"/>
  <c r="BA49" i="72"/>
  <c r="AK51" i="72"/>
  <c r="BC52" i="9"/>
  <c r="AN77" i="9"/>
  <c r="BD60" i="9"/>
  <c r="AQ59" i="59"/>
  <c r="BD104" i="9"/>
  <c r="BG59" i="59" s="1"/>
  <c r="AN100" i="9"/>
  <c r="BD100" i="9"/>
  <c r="AM52" i="9"/>
  <c r="AP58" i="59" s="1"/>
  <c r="AN14" i="9"/>
  <c r="BD14" i="9" s="1"/>
  <c r="AN62" i="9"/>
  <c r="AN48" i="9"/>
  <c r="BD77" i="9" l="1"/>
  <c r="BJ77" i="9"/>
  <c r="BQ77" i="9" s="1"/>
  <c r="AN79" i="9"/>
  <c r="BD62" i="9"/>
  <c r="AN49" i="9"/>
  <c r="AN52" i="9" s="1"/>
  <c r="AQ58" i="59" s="1"/>
  <c r="BD48" i="9"/>
  <c r="BD49" i="9" s="1"/>
  <c r="BF58" i="59"/>
  <c r="BD24" i="36"/>
  <c r="AN24" i="36"/>
  <c r="BD79" i="9" l="1"/>
  <c r="BJ79" i="9"/>
  <c r="BQ79" i="9" s="1"/>
  <c r="AN81" i="9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Q72" i="9" s="1"/>
  <c r="BD85" i="9"/>
  <c r="BD87" i="9"/>
  <c r="BG61" i="59" s="1"/>
  <c r="BD81" i="9"/>
  <c r="BD73" i="9"/>
  <c r="BQ73" i="9" s="1"/>
  <c r="BD75" i="9"/>
  <c r="BQ75" i="9" s="1"/>
  <c r="BD86" i="9"/>
  <c r="BD80" i="9"/>
  <c r="BD82" i="9"/>
  <c r="BG62" i="59" s="1"/>
  <c r="BD74" i="9"/>
  <c r="BQ74" i="9" s="1"/>
  <c r="AF93" i="8" l="1"/>
  <c r="AN21" i="8"/>
  <c r="BD21" i="8" s="1"/>
  <c r="AN94" i="8"/>
  <c r="BD94" i="8" s="1"/>
  <c r="AN92" i="8"/>
  <c r="AN88" i="8"/>
  <c r="AM88" i="8"/>
  <c r="AE81" i="8"/>
  <c r="AE73" i="8"/>
  <c r="AN69" i="8"/>
  <c r="AN67" i="8"/>
  <c r="AN61" i="8"/>
  <c r="BD61" i="8" s="1"/>
  <c r="AN59" i="8"/>
  <c r="BD59" i="8" s="1"/>
  <c r="AE52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1" i="8" l="1"/>
  <c r="AP45" i="59" s="1"/>
  <c r="BC81" i="8"/>
  <c r="BF45" i="59" s="1"/>
  <c r="BC16" i="8"/>
  <c r="BD16" i="8"/>
  <c r="AN74" i="8"/>
  <c r="BD69" i="8"/>
  <c r="BD74" i="8" s="1"/>
  <c r="AN16" i="8"/>
  <c r="AM16" i="8"/>
  <c r="AN36" i="8"/>
  <c r="BD36" i="8" s="1"/>
  <c r="AN63" i="8"/>
  <c r="AN37" i="8"/>
  <c r="BD37" i="8" s="1"/>
  <c r="AN62" i="8"/>
  <c r="BD62" i="8" s="1"/>
  <c r="AE113" i="7"/>
  <c r="AE112" i="7"/>
  <c r="AE111" i="7"/>
  <c r="AE110" i="7"/>
  <c r="AE109" i="7"/>
  <c r="AE108" i="7"/>
  <c r="AE107" i="7"/>
  <c r="AE106" i="7"/>
  <c r="AE85" i="7"/>
  <c r="AN82" i="7"/>
  <c r="AD1" i="7"/>
  <c r="AD80" i="7" s="1"/>
  <c r="AC1" i="7"/>
  <c r="AC80" i="7" s="1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BK141" i="6" s="1"/>
  <c r="AN140" i="6"/>
  <c r="BD140" i="6" s="1"/>
  <c r="BK140" i="6" s="1"/>
  <c r="AN137" i="6"/>
  <c r="BD137" i="6" s="1"/>
  <c r="BK137" i="6" s="1"/>
  <c r="AM137" i="6"/>
  <c r="BC137" i="6" s="1"/>
  <c r="BJ137" i="6" s="1"/>
  <c r="AN136" i="6"/>
  <c r="BD136" i="6" s="1"/>
  <c r="BK136" i="6" s="1"/>
  <c r="AM135" i="6"/>
  <c r="BC135" i="6" s="1"/>
  <c r="BJ135" i="6" s="1"/>
  <c r="AM134" i="6"/>
  <c r="BC134" i="6" s="1"/>
  <c r="BJ134" i="6" s="1"/>
  <c r="AM132" i="6"/>
  <c r="BC132" i="6" s="1"/>
  <c r="BJ132" i="6" s="1"/>
  <c r="AN129" i="6"/>
  <c r="BD129" i="6" s="1"/>
  <c r="BK129" i="6" s="1"/>
  <c r="AN127" i="6"/>
  <c r="BD127" i="6" s="1"/>
  <c r="BK127" i="6" s="1"/>
  <c r="AM86" i="6"/>
  <c r="BC86" i="6" s="1"/>
  <c r="BJ86" i="6" s="1"/>
  <c r="AE85" i="6"/>
  <c r="AE83" i="6"/>
  <c r="AE82" i="6"/>
  <c r="AE80" i="6"/>
  <c r="AE79" i="6"/>
  <c r="AE40" i="6"/>
  <c r="AE39" i="6"/>
  <c r="AE38" i="6"/>
  <c r="AE37" i="6"/>
  <c r="AN33" i="6"/>
  <c r="BD33" i="6" s="1"/>
  <c r="BK33" i="6" s="1"/>
  <c r="AM1" i="7" l="1"/>
  <c r="AM80" i="7" s="1"/>
  <c r="AN1" i="7"/>
  <c r="AN80" i="7" s="1"/>
  <c r="AN70" i="8"/>
  <c r="BD63" i="8"/>
  <c r="AN83" i="7"/>
  <c r="AQ36" i="59" s="1"/>
  <c r="BD82" i="7"/>
  <c r="BD83" i="7" s="1"/>
  <c r="BG36" i="59" s="1"/>
  <c r="AN128" i="6"/>
  <c r="BD128" i="6" s="1"/>
  <c r="BK128" i="6" s="1"/>
  <c r="AN55" i="6"/>
  <c r="BD55" i="6" s="1"/>
  <c r="BK55" i="6" s="1"/>
  <c r="AM136" i="6"/>
  <c r="BC136" i="6" s="1"/>
  <c r="BJ136" i="6" s="1"/>
  <c r="AM41" i="7"/>
  <c r="AM21" i="6"/>
  <c r="BC21" i="6" s="1"/>
  <c r="BJ21" i="6" s="1"/>
  <c r="AM17" i="6"/>
  <c r="AM28" i="6"/>
  <c r="BC28" i="6" s="1"/>
  <c r="BJ28" i="6" s="1"/>
  <c r="AM18" i="6"/>
  <c r="AM195" i="6" s="1"/>
  <c r="AN56" i="6"/>
  <c r="BD56" i="6" s="1"/>
  <c r="BK56" i="6" s="1"/>
  <c r="AM87" i="6"/>
  <c r="BC87" i="6" s="1"/>
  <c r="BJ87" i="6" s="1"/>
  <c r="AM127" i="6"/>
  <c r="BC127" i="6" s="1"/>
  <c r="BJ127" i="6" s="1"/>
  <c r="AN134" i="6"/>
  <c r="BD134" i="6" s="1"/>
  <c r="BK134" i="6" s="1"/>
  <c r="AM71" i="7"/>
  <c r="AN112" i="7"/>
  <c r="BD112" i="7" s="1"/>
  <c r="AN106" i="7"/>
  <c r="BD106" i="7" s="1"/>
  <c r="AN107" i="7"/>
  <c r="BD107" i="7" s="1"/>
  <c r="AN113" i="7"/>
  <c r="BD113" i="7" s="1"/>
  <c r="AN108" i="7"/>
  <c r="BD108" i="7" s="1"/>
  <c r="AN109" i="7"/>
  <c r="BD109" i="7" s="1"/>
  <c r="AN110" i="7"/>
  <c r="BD110" i="7" s="1"/>
  <c r="AN85" i="7"/>
  <c r="BD85" i="7" s="1"/>
  <c r="AN111" i="7"/>
  <c r="BD111" i="7" s="1"/>
  <c r="AN49" i="8"/>
  <c r="AN14" i="36"/>
  <c r="AQ41" i="59" s="1"/>
  <c r="AN50" i="8"/>
  <c r="AN51" i="8" s="1"/>
  <c r="AN142" i="6"/>
  <c r="BD142" i="6" s="1"/>
  <c r="BK142" i="6" s="1"/>
  <c r="AN71" i="7"/>
  <c r="AE41" i="6"/>
  <c r="AM128" i="6"/>
  <c r="BC128" i="6" s="1"/>
  <c r="BJ128" i="6" s="1"/>
  <c r="AN132" i="6"/>
  <c r="BD132" i="6" s="1"/>
  <c r="BK132" i="6" s="1"/>
  <c r="AN135" i="6"/>
  <c r="BD135" i="6" s="1"/>
  <c r="BK135" i="6" s="1"/>
  <c r="AN34" i="8"/>
  <c r="BD34" i="8" s="1"/>
  <c r="AN65" i="8"/>
  <c r="AN71" i="8"/>
  <c r="AN21" i="6"/>
  <c r="AN22" i="6"/>
  <c r="AM82" i="7"/>
  <c r="AN35" i="8"/>
  <c r="BD35" i="8" s="1"/>
  <c r="AN34" i="6"/>
  <c r="AM24" i="6"/>
  <c r="BC24" i="6" s="1"/>
  <c r="BJ24" i="6" s="1"/>
  <c r="AM27" i="6"/>
  <c r="BC27" i="6" s="1"/>
  <c r="BJ27" i="6" s="1"/>
  <c r="AM25" i="6"/>
  <c r="BC25" i="6" s="1"/>
  <c r="BJ25" i="6" s="1"/>
  <c r="AM31" i="6"/>
  <c r="BC31" i="6" s="1"/>
  <c r="BJ31" i="6" s="1"/>
  <c r="AM22" i="6"/>
  <c r="BC22" i="6" s="1"/>
  <c r="BJ22" i="6" s="1"/>
  <c r="AM30" i="6"/>
  <c r="BC30" i="6" s="1"/>
  <c r="BJ30" i="6" s="1"/>
  <c r="AN297" i="28"/>
  <c r="BD297" i="28" s="1"/>
  <c r="BK297" i="28" s="1"/>
  <c r="BK31" i="28"/>
  <c r="BK32" i="28"/>
  <c r="BD133" i="6" l="1"/>
  <c r="BK133" i="6" s="1"/>
  <c r="AM2" i="17"/>
  <c r="AM2" i="26"/>
  <c r="BC133" i="6"/>
  <c r="BJ133" i="6" s="1"/>
  <c r="BC17" i="6"/>
  <c r="AM73" i="7"/>
  <c r="BC71" i="7"/>
  <c r="BC73" i="7" s="1"/>
  <c r="AN73" i="7"/>
  <c r="BD71" i="7"/>
  <c r="BD73" i="7" s="1"/>
  <c r="AM138" i="6"/>
  <c r="BC138" i="6" s="1"/>
  <c r="BJ138" i="6" s="1"/>
  <c r="AN133" i="6"/>
  <c r="BC26" i="6"/>
  <c r="BJ26" i="6" s="1"/>
  <c r="BD50" i="8"/>
  <c r="BD49" i="8"/>
  <c r="BD14" i="36"/>
  <c r="BC29" i="6"/>
  <c r="BJ29" i="6" s="1"/>
  <c r="BC23" i="6"/>
  <c r="BJ23" i="6" s="1"/>
  <c r="AM188" i="6"/>
  <c r="BC18" i="6"/>
  <c r="AM51" i="7"/>
  <c r="BC32" i="6"/>
  <c r="BJ32" i="6" s="1"/>
  <c r="BD57" i="6"/>
  <c r="BK57" i="6" s="1"/>
  <c r="AN185" i="6"/>
  <c r="BD22" i="6"/>
  <c r="BK22" i="6" s="1"/>
  <c r="AN156" i="6"/>
  <c r="BD21" i="6"/>
  <c r="BK21" i="6" s="1"/>
  <c r="AN35" i="6"/>
  <c r="BD34" i="6"/>
  <c r="AN56" i="8"/>
  <c r="BD56" i="8" s="1"/>
  <c r="BD65" i="8"/>
  <c r="BD71" i="8"/>
  <c r="BD70" i="8"/>
  <c r="AM83" i="7"/>
  <c r="AP36" i="59" s="1"/>
  <c r="BC82" i="7"/>
  <c r="BC83" i="7" s="1"/>
  <c r="BF36" i="59" s="1"/>
  <c r="AM26" i="6"/>
  <c r="AM32" i="6"/>
  <c r="AN160" i="6"/>
  <c r="AN41" i="7"/>
  <c r="AM29" i="6"/>
  <c r="AN72" i="8"/>
  <c r="AN78" i="8"/>
  <c r="AM6" i="26"/>
  <c r="BC6" i="26" s="1"/>
  <c r="AM133" i="6"/>
  <c r="AM163" i="6"/>
  <c r="AM19" i="6"/>
  <c r="AM84" i="6" s="1"/>
  <c r="AM168" i="6"/>
  <c r="AM140" i="6"/>
  <c r="BC140" i="6" s="1"/>
  <c r="BJ140" i="6" s="1"/>
  <c r="AN177" i="6"/>
  <c r="BD177" i="6" s="1"/>
  <c r="AN179" i="6"/>
  <c r="BD179" i="6" s="1"/>
  <c r="AN178" i="6"/>
  <c r="BD178" i="6" s="1"/>
  <c r="AN138" i="6"/>
  <c r="AM23" i="6"/>
  <c r="AN57" i="6"/>
  <c r="AM68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BJ34" i="6" s="1"/>
  <c r="AM33" i="6"/>
  <c r="BC33" i="6" s="1"/>
  <c r="BJ33" i="6" s="1"/>
  <c r="AE523" i="28"/>
  <c r="AE522" i="28"/>
  <c r="AN473" i="28"/>
  <c r="BD473" i="28" s="1"/>
  <c r="BK473" i="28" s="1"/>
  <c r="AM429" i="28"/>
  <c r="BC429" i="28" s="1"/>
  <c r="BJ429" i="28" s="1"/>
  <c r="AT415" i="28"/>
  <c r="AM297" i="28"/>
  <c r="BC297" i="28" s="1"/>
  <c r="BJ297" i="28" s="1"/>
  <c r="AM256" i="28"/>
  <c r="BC256" i="28" s="1"/>
  <c r="BJ256" i="28" s="1"/>
  <c r="AN235" i="28"/>
  <c r="BD235" i="28" s="1"/>
  <c r="BK235" i="28" s="1"/>
  <c r="AN96" i="28"/>
  <c r="BD96" i="28" s="1"/>
  <c r="BK96" i="28" s="1"/>
  <c r="AN95" i="28"/>
  <c r="BD95" i="28" s="1"/>
  <c r="BK95" i="28" s="1"/>
  <c r="AN93" i="28"/>
  <c r="BD93" i="28" s="1"/>
  <c r="BK93" i="28" s="1"/>
  <c r="AN89" i="28"/>
  <c r="BD89" i="28" s="1"/>
  <c r="BK89" i="28" s="1"/>
  <c r="AN85" i="28"/>
  <c r="BD85" i="28" s="1"/>
  <c r="BK85" i="28" s="1"/>
  <c r="AN81" i="28"/>
  <c r="BD81" i="28" s="1"/>
  <c r="BK81" i="28" s="1"/>
  <c r="AM68" i="28"/>
  <c r="BC68" i="28" s="1"/>
  <c r="BJ68" i="28" s="1"/>
  <c r="AM67" i="28"/>
  <c r="BC67" i="28" s="1"/>
  <c r="BJ67" i="28" s="1"/>
  <c r="AM65" i="28"/>
  <c r="BC65" i="28" s="1"/>
  <c r="BJ65" i="28" s="1"/>
  <c r="BK55" i="28"/>
  <c r="BK48" i="28"/>
  <c r="BK33" i="28"/>
  <c r="BK64" i="28"/>
  <c r="AD171" i="73"/>
  <c r="AB171" i="73"/>
  <c r="AM160" i="73"/>
  <c r="AM118" i="73"/>
  <c r="AM133" i="73" s="1"/>
  <c r="AM109" i="73"/>
  <c r="AD102" i="73"/>
  <c r="AD114" i="73" s="1"/>
  <c r="AM25" i="73"/>
  <c r="BJ49" i="8" l="1"/>
  <c r="BD51" i="8"/>
  <c r="BC188" i="6"/>
  <c r="BJ188" i="6" s="1"/>
  <c r="BJ18" i="6"/>
  <c r="BC169" i="6"/>
  <c r="BJ17" i="6"/>
  <c r="BD35" i="6"/>
  <c r="BK35" i="6" s="1"/>
  <c r="BK34" i="6"/>
  <c r="BG41" i="59"/>
  <c r="BK63" i="28"/>
  <c r="BD78" i="8"/>
  <c r="BC2" i="17"/>
  <c r="BC2" i="26"/>
  <c r="BC97" i="6"/>
  <c r="BJ97" i="6" s="1"/>
  <c r="AX415" i="28"/>
  <c r="BF415" i="28" s="1"/>
  <c r="BH415" i="28" s="1"/>
  <c r="BC163" i="6"/>
  <c r="BJ163" i="6" s="1"/>
  <c r="BC168" i="6"/>
  <c r="BC19" i="6"/>
  <c r="BJ19" i="6" s="1"/>
  <c r="BD157" i="6"/>
  <c r="BC195" i="6"/>
  <c r="AM139" i="6"/>
  <c r="BC139" i="6" s="1"/>
  <c r="AM69" i="7"/>
  <c r="BC68" i="7"/>
  <c r="BC69" i="7" s="1"/>
  <c r="AN139" i="6"/>
  <c r="BD139" i="6" s="1"/>
  <c r="BD138" i="6"/>
  <c r="BK138" i="6" s="1"/>
  <c r="BC194" i="6"/>
  <c r="BC35" i="6"/>
  <c r="BJ35" i="6" s="1"/>
  <c r="AN51" i="7"/>
  <c r="BD182" i="6"/>
  <c r="BD156" i="6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BK23" i="6" s="1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503" i="28"/>
  <c r="AM46" i="73"/>
  <c r="BC46" i="73" s="1"/>
  <c r="AM98" i="73"/>
  <c r="BC98" i="73" s="1"/>
  <c r="AM57" i="73"/>
  <c r="BC57" i="73" s="1"/>
  <c r="AM102" i="73"/>
  <c r="BC102" i="73" s="1"/>
  <c r="AM51" i="73"/>
  <c r="BC51" i="73" s="1"/>
  <c r="AM30" i="73"/>
  <c r="BC30" i="73" s="1"/>
  <c r="AM173" i="73"/>
  <c r="BC173" i="73" s="1"/>
  <c r="AM41" i="73"/>
  <c r="BC41" i="73" s="1"/>
  <c r="AN73" i="8"/>
  <c r="BD67" i="8"/>
  <c r="BD72" i="8"/>
  <c r="AM35" i="6"/>
  <c r="AM81" i="6"/>
  <c r="AM171" i="73"/>
  <c r="BC109" i="73"/>
  <c r="AN299" i="28"/>
  <c r="AN298" i="28"/>
  <c r="BD298" i="28" s="1"/>
  <c r="BK298" i="28" s="1"/>
  <c r="AN429" i="28"/>
  <c r="AN74" i="28"/>
  <c r="BD74" i="28" s="1"/>
  <c r="BK74" i="28" s="1"/>
  <c r="AN304" i="28"/>
  <c r="AN414" i="28"/>
  <c r="AN413" i="28"/>
  <c r="BD413" i="28" s="1"/>
  <c r="BK413" i="28" s="1"/>
  <c r="AN256" i="28"/>
  <c r="BK67" i="28"/>
  <c r="BK35" i="28"/>
  <c r="BK65" i="28"/>
  <c r="AN471" i="28"/>
  <c r="AN73" i="28"/>
  <c r="BD73" i="28" s="1"/>
  <c r="BK73" i="28" s="1"/>
  <c r="AN236" i="28"/>
  <c r="BD236" i="28" s="1"/>
  <c r="BK236" i="28" s="1"/>
  <c r="AN97" i="28"/>
  <c r="BK56" i="28"/>
  <c r="AN72" i="28"/>
  <c r="BD72" i="28" s="1"/>
  <c r="BK72" i="28" s="1"/>
  <c r="AN490" i="28"/>
  <c r="BD490" i="28" s="1"/>
  <c r="BK490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AM114" i="73" l="1"/>
  <c r="BD143" i="6"/>
  <c r="BD208" i="6" s="1"/>
  <c r="BK139" i="6"/>
  <c r="BC143" i="6"/>
  <c r="BC211" i="6" s="1"/>
  <c r="BJ139" i="6"/>
  <c r="BD511" i="28"/>
  <c r="BK511" i="28" s="1"/>
  <c r="BK29" i="28"/>
  <c r="BD507" i="28"/>
  <c r="BK507" i="28" s="1"/>
  <c r="BK21" i="28"/>
  <c r="BD503" i="28"/>
  <c r="BK503" i="28" s="1"/>
  <c r="BK13" i="28"/>
  <c r="BD198" i="6"/>
  <c r="BC84" i="6"/>
  <c r="BC103" i="6"/>
  <c r="BC81" i="6"/>
  <c r="AM143" i="6"/>
  <c r="AN143" i="6"/>
  <c r="BC212" i="6"/>
  <c r="BC213" i="6"/>
  <c r="BD199" i="6"/>
  <c r="BD217" i="6"/>
  <c r="BD216" i="6"/>
  <c r="BD211" i="6"/>
  <c r="BD204" i="6"/>
  <c r="BD218" i="6"/>
  <c r="BD210" i="6"/>
  <c r="BD73" i="8"/>
  <c r="AN514" i="28"/>
  <c r="BD429" i="28"/>
  <c r="AN506" i="28"/>
  <c r="BD256" i="28"/>
  <c r="BK256" i="28" s="1"/>
  <c r="AN510" i="28"/>
  <c r="BD304" i="28"/>
  <c r="BD522" i="28"/>
  <c r="BK522" i="28" s="1"/>
  <c r="AN523" i="28"/>
  <c r="BD471" i="28"/>
  <c r="BD504" i="28"/>
  <c r="BK504" i="28" s="1"/>
  <c r="BD505" i="28"/>
  <c r="BK505" i="28" s="1"/>
  <c r="AN508" i="28"/>
  <c r="BD299" i="28"/>
  <c r="BK299" i="28" s="1"/>
  <c r="AN512" i="28"/>
  <c r="BD414" i="28"/>
  <c r="BK414" i="28" s="1"/>
  <c r="AN98" i="28"/>
  <c r="BD97" i="28"/>
  <c r="BC171" i="73"/>
  <c r="BC160" i="73"/>
  <c r="BC118" i="73"/>
  <c r="BC133" i="73" s="1"/>
  <c r="BC25" i="73"/>
  <c r="BC114" i="73" s="1"/>
  <c r="AM12" i="15"/>
  <c r="BC12" i="15" s="1"/>
  <c r="BC13" i="15" s="1"/>
  <c r="BC14" i="15" s="1"/>
  <c r="AN522" i="28"/>
  <c r="AN511" i="28"/>
  <c r="AN513" i="28"/>
  <c r="AN507" i="28"/>
  <c r="AN509" i="28"/>
  <c r="AN501" i="28"/>
  <c r="AN500" i="28"/>
  <c r="BK68" i="28"/>
  <c r="BK36" i="28"/>
  <c r="AN504" i="28"/>
  <c r="AN505" i="28"/>
  <c r="AM13" i="15"/>
  <c r="AM14" i="15" s="1"/>
  <c r="AN59" i="36"/>
  <c r="AN67" i="36" s="1"/>
  <c r="AM27" i="21"/>
  <c r="BC27" i="21" s="1"/>
  <c r="AN15" i="21"/>
  <c r="BD15" i="21" s="1"/>
  <c r="AM35" i="35"/>
  <c r="AM34" i="35"/>
  <c r="BC34" i="35" s="1"/>
  <c r="AM33" i="36"/>
  <c r="AM16" i="35"/>
  <c r="BC16" i="35" s="1"/>
  <c r="BC210" i="6" l="1"/>
  <c r="BC205" i="6"/>
  <c r="BD213" i="6"/>
  <c r="BD205" i="6"/>
  <c r="BD212" i="6"/>
  <c r="BD214" i="6" s="1"/>
  <c r="BG11" i="59" s="1"/>
  <c r="BD203" i="6"/>
  <c r="BC208" i="6"/>
  <c r="BC207" i="6"/>
  <c r="BD207" i="6"/>
  <c r="BC107" i="6"/>
  <c r="BC150" i="6" s="1"/>
  <c r="BJ103" i="6"/>
  <c r="BD514" i="28"/>
  <c r="BK514" i="28" s="1"/>
  <c r="BK429" i="28"/>
  <c r="BD510" i="28"/>
  <c r="BK510" i="28" s="1"/>
  <c r="BK304" i="28"/>
  <c r="BC206" i="6"/>
  <c r="BJ143" i="6"/>
  <c r="BD98" i="28"/>
  <c r="BK97" i="28"/>
  <c r="BD523" i="28"/>
  <c r="BK523" i="28" s="1"/>
  <c r="BK471" i="28"/>
  <c r="BC204" i="6"/>
  <c r="BC203" i="6"/>
  <c r="BC216" i="6"/>
  <c r="BC219" i="6" s="1"/>
  <c r="BD206" i="6"/>
  <c r="BK143" i="6"/>
  <c r="BC35" i="35"/>
  <c r="BB122" i="90" s="1"/>
  <c r="BB124" i="90" s="1"/>
  <c r="AL122" i="90"/>
  <c r="AL124" i="90" s="1"/>
  <c r="AN197" i="6"/>
  <c r="AN206" i="6"/>
  <c r="AM207" i="6"/>
  <c r="AM206" i="6"/>
  <c r="AN213" i="6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14" i="6"/>
  <c r="BF11" i="59" s="1"/>
  <c r="BD219" i="6"/>
  <c r="AM36" i="35"/>
  <c r="AM48" i="35" s="1"/>
  <c r="BC48" i="35" s="1"/>
  <c r="AN515" i="28"/>
  <c r="BD512" i="28"/>
  <c r="BK512" i="28" s="1"/>
  <c r="BD513" i="28"/>
  <c r="BK513" i="28" s="1"/>
  <c r="BD500" i="28"/>
  <c r="BK500" i="28" s="1"/>
  <c r="BD501" i="28"/>
  <c r="BK501" i="28" s="1"/>
  <c r="BD508" i="28"/>
  <c r="BK508" i="28" s="1"/>
  <c r="BD509" i="28"/>
  <c r="BK509" i="28" s="1"/>
  <c r="AM31" i="35"/>
  <c r="BC31" i="35" s="1"/>
  <c r="AM17" i="35"/>
  <c r="BC17" i="35" s="1"/>
  <c r="AM32" i="35"/>
  <c r="AN18" i="21"/>
  <c r="AN56" i="36"/>
  <c r="AN16" i="36" s="1"/>
  <c r="AN57" i="36"/>
  <c r="AN17" i="36" s="1"/>
  <c r="AQ55" i="59" s="1"/>
  <c r="AM18" i="35"/>
  <c r="BC18" i="35" s="1"/>
  <c r="AM30" i="35"/>
  <c r="BC30" i="35" s="1"/>
  <c r="AM64" i="36"/>
  <c r="AN33" i="36"/>
  <c r="AN40" i="36" s="1"/>
  <c r="AN61" i="36"/>
  <c r="AN62" i="36"/>
  <c r="AN70" i="36" s="1"/>
  <c r="AN64" i="36"/>
  <c r="AN72" i="36" s="1"/>
  <c r="AN58" i="36"/>
  <c r="AN491" i="28"/>
  <c r="BD491" i="28" s="1"/>
  <c r="BK491" i="28" s="1"/>
  <c r="AM56" i="36"/>
  <c r="AN75" i="28"/>
  <c r="BD75" i="28" s="1"/>
  <c r="BK75" i="28" s="1"/>
  <c r="BD209" i="6" l="1"/>
  <c r="BC209" i="6"/>
  <c r="BD515" i="28"/>
  <c r="BK515" i="28" s="1"/>
  <c r="BK37" i="28"/>
  <c r="BC147" i="6"/>
  <c r="BC149" i="6" s="1"/>
  <c r="BJ107" i="6"/>
  <c r="AN121" i="45"/>
  <c r="AN120" i="45" s="1"/>
  <c r="BC32" i="35"/>
  <c r="AM209" i="6"/>
  <c r="AM214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BC36" i="35"/>
  <c r="AN20" i="21"/>
  <c r="BD18" i="21"/>
  <c r="BD20" i="21" s="1"/>
  <c r="AM159" i="10"/>
  <c r="AM173" i="10" s="1"/>
  <c r="AM56" i="11"/>
  <c r="BC56" i="11"/>
  <c r="BB18" i="15"/>
  <c r="BC26" i="36"/>
  <c r="BC5" i="9"/>
  <c r="BI89" i="9" s="1"/>
  <c r="BD121" i="45"/>
  <c r="BD495" i="28"/>
  <c r="BK495" i="28" s="1"/>
  <c r="BD516" i="28"/>
  <c r="BK516" i="28" s="1"/>
  <c r="BD517" i="28"/>
  <c r="BK517" i="28" s="1"/>
  <c r="BD494" i="28"/>
  <c r="BK494" i="28" s="1"/>
  <c r="AM61" i="36"/>
  <c r="AM63" i="36" s="1"/>
  <c r="AM58" i="36"/>
  <c r="AM60" i="36" s="1"/>
  <c r="AM5" i="9"/>
  <c r="AM104" i="9" s="1"/>
  <c r="AL18" i="15"/>
  <c r="AM26" i="36"/>
  <c r="AN18" i="36"/>
  <c r="AQ56" i="59" s="1"/>
  <c r="AQ54" i="59"/>
  <c r="AM33" i="35"/>
  <c r="AM37" i="35" s="1"/>
  <c r="AP97" i="50" s="1"/>
  <c r="AP95" i="50" s="1"/>
  <c r="AM298" i="28"/>
  <c r="BC298" i="28" s="1"/>
  <c r="BJ298" i="28" s="1"/>
  <c r="AM15" i="28"/>
  <c r="BC15" i="28" s="1"/>
  <c r="BJ15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3" i="28"/>
  <c r="BC23" i="28" s="1"/>
  <c r="BJ23" i="28" s="1"/>
  <c r="AN28" i="36"/>
  <c r="AQ78" i="59" s="1"/>
  <c r="AM7" i="28"/>
  <c r="BC7" i="28" s="1"/>
  <c r="BJ7" i="28" s="1"/>
  <c r="AL16" i="15"/>
  <c r="BB16" i="15" s="1"/>
  <c r="AL15" i="15"/>
  <c r="BB15" i="15" s="1"/>
  <c r="AM14" i="36"/>
  <c r="AP41" i="59" s="1"/>
  <c r="AM6" i="8"/>
  <c r="AM85" i="8"/>
  <c r="BC85" i="8" s="1"/>
  <c r="AM29" i="8"/>
  <c r="BC29" i="8" s="1"/>
  <c r="AM31" i="8"/>
  <c r="BC31" i="8" s="1"/>
  <c r="AN69" i="36"/>
  <c r="AN71" i="36" s="1"/>
  <c r="AN63" i="36"/>
  <c r="AN66" i="36"/>
  <c r="AN68" i="36" s="1"/>
  <c r="AN60" i="36"/>
  <c r="AQ75" i="59"/>
  <c r="AN520" i="28"/>
  <c r="AN494" i="28"/>
  <c r="AN516" i="28"/>
  <c r="AN517" i="28"/>
  <c r="AN495" i="28"/>
  <c r="AN76" i="28"/>
  <c r="AE45" i="35"/>
  <c r="AI45" i="35" s="1"/>
  <c r="AE44" i="35"/>
  <c r="AI44" i="35" s="1"/>
  <c r="AE43" i="35"/>
  <c r="AI43" i="35" s="1"/>
  <c r="AM42" i="35"/>
  <c r="BC42" i="35" s="1"/>
  <c r="AN41" i="35"/>
  <c r="BD41" i="35" s="1"/>
  <c r="AM41" i="35"/>
  <c r="BC41" i="35" s="1"/>
  <c r="AM39" i="35"/>
  <c r="BC39" i="35" s="1"/>
  <c r="BD6" i="35"/>
  <c r="BD5" i="6" s="1"/>
  <c r="AN144" i="45" l="1"/>
  <c r="AN139" i="45"/>
  <c r="AN123" i="45"/>
  <c r="AP72" i="59" s="1"/>
  <c r="AN124" i="45"/>
  <c r="AM84" i="8"/>
  <c r="BK121" i="45"/>
  <c r="BC74" i="11"/>
  <c r="BK69" i="28"/>
  <c r="BD139" i="45"/>
  <c r="BD120" i="45"/>
  <c r="BK120" i="45" s="1"/>
  <c r="BD520" i="28"/>
  <c r="BK520" i="28" s="1"/>
  <c r="AM58" i="11"/>
  <c r="AP68" i="59" s="1"/>
  <c r="AM74" i="11"/>
  <c r="AM5" i="15"/>
  <c r="AM215" i="6"/>
  <c r="AM220" i="6" s="1"/>
  <c r="AN215" i="6"/>
  <c r="AN220" i="6" s="1"/>
  <c r="AM79" i="11"/>
  <c r="AP70" i="59" s="1"/>
  <c r="AM102" i="9"/>
  <c r="BC102" i="9" s="1"/>
  <c r="BD9" i="36"/>
  <c r="BG10" i="59" s="1"/>
  <c r="AM55" i="11"/>
  <c r="AM97" i="11"/>
  <c r="AP51" i="59"/>
  <c r="AM83" i="8"/>
  <c r="AM9" i="35"/>
  <c r="AP74" i="59"/>
  <c r="BC49" i="35"/>
  <c r="AM34" i="36"/>
  <c r="BC97" i="11"/>
  <c r="BC55" i="11"/>
  <c r="BC79" i="11"/>
  <c r="BF70" i="59" s="1"/>
  <c r="BC58" i="11"/>
  <c r="BD124" i="45"/>
  <c r="BK124" i="45" s="1"/>
  <c r="BD123" i="45"/>
  <c r="BF72" i="59" s="1"/>
  <c r="BD144" i="45"/>
  <c r="BF74" i="59" s="1"/>
  <c r="AN49" i="35"/>
  <c r="AN55" i="35" s="1"/>
  <c r="BD49" i="35"/>
  <c r="BD55" i="35" s="1"/>
  <c r="BC159" i="10"/>
  <c r="BC33" i="35"/>
  <c r="BC37" i="35" s="1"/>
  <c r="BC33" i="22"/>
  <c r="BB132" i="26"/>
  <c r="BC89" i="9"/>
  <c r="BC100" i="9"/>
  <c r="BC7" i="9"/>
  <c r="AM158" i="10"/>
  <c r="AM210" i="10" s="1"/>
  <c r="AM161" i="10"/>
  <c r="AP64" i="59" s="1"/>
  <c r="AM90" i="8"/>
  <c r="BC6" i="8"/>
  <c r="AM86" i="9"/>
  <c r="BC69" i="9"/>
  <c r="BC86" i="9" s="1"/>
  <c r="AM81" i="9"/>
  <c r="BC64" i="9"/>
  <c r="BC81" i="9" s="1"/>
  <c r="AM73" i="9"/>
  <c r="BC56" i="9"/>
  <c r="AM85" i="9"/>
  <c r="BC68" i="9"/>
  <c r="BC85" i="9" s="1"/>
  <c r="AM80" i="9"/>
  <c r="BC63" i="9"/>
  <c r="BC80" i="9" s="1"/>
  <c r="AM76" i="9"/>
  <c r="BC59" i="9"/>
  <c r="BC93" i="9"/>
  <c r="BC94" i="9"/>
  <c r="BB19" i="15" s="1"/>
  <c r="AM83" i="9"/>
  <c r="BC66" i="9"/>
  <c r="BC83" i="9" s="1"/>
  <c r="AP59" i="59"/>
  <c r="BC104" i="9"/>
  <c r="BF59" i="59" s="1"/>
  <c r="AM78" i="9"/>
  <c r="BC61" i="9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7" i="15"/>
  <c r="AN521" i="28"/>
  <c r="BD76" i="28"/>
  <c r="BD15" i="6"/>
  <c r="AM6" i="15"/>
  <c r="AM28" i="8"/>
  <c r="AM69" i="8"/>
  <c r="BC69" i="8" s="1"/>
  <c r="AM92" i="8"/>
  <c r="AM49" i="8"/>
  <c r="AM82" i="8"/>
  <c r="AP52" i="59" s="1"/>
  <c r="AM24" i="8"/>
  <c r="BC24" i="8" s="1"/>
  <c r="AM94" i="9"/>
  <c r="AL19" i="15" s="1"/>
  <c r="AM93" i="9"/>
  <c r="AM55" i="9"/>
  <c r="AM58" i="9"/>
  <c r="AM60" i="9"/>
  <c r="AM47" i="8"/>
  <c r="AM45" i="8"/>
  <c r="AM50" i="8"/>
  <c r="AM51" i="8" s="1"/>
  <c r="AM25" i="36"/>
  <c r="AN5" i="6"/>
  <c r="AM49" i="35"/>
  <c r="AM55" i="35" s="1"/>
  <c r="AN19" i="36"/>
  <c r="AQ57" i="59" s="1"/>
  <c r="AM30" i="8"/>
  <c r="AM67" i="8"/>
  <c r="BC67" i="8" s="1"/>
  <c r="AM27" i="8"/>
  <c r="BC27" i="8" s="1"/>
  <c r="AM21" i="28"/>
  <c r="BC21" i="28" s="1"/>
  <c r="BJ21" i="28" s="1"/>
  <c r="AM178" i="10"/>
  <c r="AP66" i="59" s="1"/>
  <c r="AM10" i="35"/>
  <c r="AM23" i="8"/>
  <c r="BC23" i="8" s="1"/>
  <c r="AM86" i="8"/>
  <c r="AM25" i="8"/>
  <c r="BC25" i="8" s="1"/>
  <c r="AM236" i="28"/>
  <c r="BC236" i="28" s="1"/>
  <c r="BJ236" i="28" s="1"/>
  <c r="AM13" i="28"/>
  <c r="BC13" i="28" s="1"/>
  <c r="BJ13" i="28" s="1"/>
  <c r="AM29" i="28"/>
  <c r="BC29" i="28" s="1"/>
  <c r="BJ29" i="28" s="1"/>
  <c r="AM414" i="28"/>
  <c r="AM7" i="9"/>
  <c r="AM33" i="22"/>
  <c r="AM89" i="9"/>
  <c r="AL132" i="26"/>
  <c r="AM100" i="9"/>
  <c r="AQ79" i="59"/>
  <c r="AM7" i="15"/>
  <c r="BC76" i="9" l="1"/>
  <c r="BI76" i="9"/>
  <c r="BP76" i="9" s="1"/>
  <c r="BC84" i="8"/>
  <c r="BF51" i="59" s="1"/>
  <c r="BC78" i="9"/>
  <c r="BI78" i="9"/>
  <c r="BP78" i="9" s="1"/>
  <c r="BD521" i="28"/>
  <c r="BK521" i="28" s="1"/>
  <c r="BK76" i="28"/>
  <c r="BC73" i="9"/>
  <c r="BI73" i="9"/>
  <c r="BB126" i="26"/>
  <c r="BB118" i="26"/>
  <c r="BB127" i="26"/>
  <c r="BB129" i="26"/>
  <c r="BB117" i="26"/>
  <c r="BB120" i="26"/>
  <c r="BB121" i="26"/>
  <c r="BB124" i="26"/>
  <c r="BB125" i="26"/>
  <c r="BB122" i="26"/>
  <c r="BB116" i="26"/>
  <c r="BB123" i="26"/>
  <c r="BB128" i="26"/>
  <c r="BB119" i="26"/>
  <c r="BD97" i="50"/>
  <c r="BD95" i="50" s="1"/>
  <c r="BJ159" i="10"/>
  <c r="AM9" i="6"/>
  <c r="BC10" i="35"/>
  <c r="BC9" i="6" s="1"/>
  <c r="BJ9" i="6" s="1"/>
  <c r="BC173" i="10"/>
  <c r="BC203" i="10"/>
  <c r="BJ203" i="10" s="1"/>
  <c r="AL125" i="26"/>
  <c r="AL128" i="26"/>
  <c r="AL122" i="26"/>
  <c r="AL127" i="26"/>
  <c r="AL121" i="26"/>
  <c r="AL118" i="26"/>
  <c r="AL117" i="26"/>
  <c r="AL130" i="26"/>
  <c r="AL126" i="26"/>
  <c r="AL120" i="26"/>
  <c r="AL123" i="26"/>
  <c r="AL124" i="26"/>
  <c r="AL116" i="26"/>
  <c r="AL129" i="26"/>
  <c r="AL119" i="26"/>
  <c r="AL2" i="17"/>
  <c r="AL2" i="26"/>
  <c r="AN9" i="36"/>
  <c r="AQ10" i="59" s="1"/>
  <c r="BC55" i="35"/>
  <c r="BC83" i="8"/>
  <c r="BF50" i="59" s="1"/>
  <c r="AP50" i="59"/>
  <c r="BC9" i="35"/>
  <c r="BC8" i="6" s="1"/>
  <c r="BJ8" i="6" s="1"/>
  <c r="AM8" i="6"/>
  <c r="AM35" i="36"/>
  <c r="BC158" i="10"/>
  <c r="BJ158" i="10" s="1"/>
  <c r="BC178" i="10"/>
  <c r="BF66" i="59" s="1"/>
  <c r="BC161" i="10"/>
  <c r="BF64" i="59" s="1"/>
  <c r="AM11" i="35"/>
  <c r="AM10" i="6" s="1"/>
  <c r="BC25" i="36"/>
  <c r="BF76" i="59" s="1"/>
  <c r="AM26" i="21"/>
  <c r="BC43" i="8"/>
  <c r="BF46" i="59" s="1"/>
  <c r="BC92" i="8"/>
  <c r="BC82" i="8"/>
  <c r="BF52" i="59" s="1"/>
  <c r="BC49" i="8"/>
  <c r="AE80" i="83"/>
  <c r="AE78" i="83" s="1"/>
  <c r="AE97" i="50"/>
  <c r="AM46" i="8"/>
  <c r="AP47" i="59" s="1"/>
  <c r="BC30" i="8"/>
  <c r="BC46" i="8" s="1"/>
  <c r="BF47" i="59" s="1"/>
  <c r="BC90" i="8"/>
  <c r="AM78" i="8"/>
  <c r="BC14" i="36"/>
  <c r="BC50" i="8"/>
  <c r="BI49" i="8" s="1"/>
  <c r="BC11" i="36"/>
  <c r="BF38" i="59" s="1"/>
  <c r="BC40" i="8"/>
  <c r="AM44" i="8"/>
  <c r="AP48" i="59" s="1"/>
  <c r="BC28" i="8"/>
  <c r="BC44" i="8" s="1"/>
  <c r="BF48" i="59" s="1"/>
  <c r="BC86" i="8"/>
  <c r="BC10" i="36"/>
  <c r="BF37" i="59" s="1"/>
  <c r="BC39" i="8"/>
  <c r="BC26" i="8"/>
  <c r="BC47" i="8"/>
  <c r="BC12" i="36"/>
  <c r="BF39" i="59" s="1"/>
  <c r="BC41" i="8"/>
  <c r="BC45" i="8"/>
  <c r="AM75" i="9"/>
  <c r="BC58" i="9"/>
  <c r="AM72" i="9"/>
  <c r="BC55" i="9"/>
  <c r="BI72" i="9" s="1"/>
  <c r="AM77" i="9"/>
  <c r="BC60" i="9"/>
  <c r="BC505" i="28"/>
  <c r="BJ505" i="28" s="1"/>
  <c r="AM513" i="28"/>
  <c r="BC414" i="28"/>
  <c r="AN6" i="6"/>
  <c r="AN16" i="6" s="1"/>
  <c r="BD7" i="35"/>
  <c r="BD6" i="6" s="1"/>
  <c r="AM74" i="8"/>
  <c r="AM36" i="8"/>
  <c r="BC36" i="8" s="1"/>
  <c r="AM299" i="28"/>
  <c r="BC299" i="28" s="1"/>
  <c r="BJ299" i="28" s="1"/>
  <c r="AM59" i="8"/>
  <c r="BC59" i="8" s="1"/>
  <c r="AM505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74" i="28"/>
  <c r="BC74" i="28" s="1"/>
  <c r="BJ74" i="28" s="1"/>
  <c r="AM65" i="8"/>
  <c r="BC65" i="8" s="1"/>
  <c r="AM109" i="8"/>
  <c r="AM111" i="8" s="1"/>
  <c r="AM43" i="8"/>
  <c r="AP46" i="59" s="1"/>
  <c r="AN8" i="35"/>
  <c r="AM13" i="35"/>
  <c r="BC13" i="35" s="1"/>
  <c r="AM72" i="28"/>
  <c r="BC72" i="28" s="1"/>
  <c r="BJ72" i="28" s="1"/>
  <c r="AM34" i="8"/>
  <c r="BC34" i="8" s="1"/>
  <c r="AM10" i="36"/>
  <c r="AM39" i="8"/>
  <c r="AM26" i="8"/>
  <c r="AM73" i="28"/>
  <c r="BC73" i="28" s="1"/>
  <c r="BJ73" i="28" s="1"/>
  <c r="AM37" i="8"/>
  <c r="BC37" i="8" s="1"/>
  <c r="AN15" i="6"/>
  <c r="AM62" i="9"/>
  <c r="AM57" i="9"/>
  <c r="AM74" i="9" s="1"/>
  <c r="AN34" i="36"/>
  <c r="AN41" i="36" s="1"/>
  <c r="AN18" i="6"/>
  <c r="AN61" i="6"/>
  <c r="AQ23" i="59" s="1"/>
  <c r="AN60" i="6"/>
  <c r="AQ16" i="59" s="1"/>
  <c r="AQ12" i="59"/>
  <c r="AM31" i="28"/>
  <c r="BC31" i="28" s="1"/>
  <c r="BJ31" i="28" s="1"/>
  <c r="AD97" i="50"/>
  <c r="AD95" i="50" s="1"/>
  <c r="BC51" i="8" l="1"/>
  <c r="BC75" i="9"/>
  <c r="BI75" i="9"/>
  <c r="BP75" i="9" s="1"/>
  <c r="BB130" i="26"/>
  <c r="BC24" i="36" s="1"/>
  <c r="BP73" i="9"/>
  <c r="BF41" i="59"/>
  <c r="BC513" i="28"/>
  <c r="BJ513" i="28" s="1"/>
  <c r="BJ414" i="28"/>
  <c r="BC77" i="9"/>
  <c r="BI77" i="9"/>
  <c r="BP77" i="9" s="1"/>
  <c r="AE95" i="50"/>
  <c r="BC78" i="8"/>
  <c r="BB2" i="17"/>
  <c r="BB2" i="26"/>
  <c r="AP49" i="59"/>
  <c r="BF49" i="59"/>
  <c r="AO80" i="83"/>
  <c r="BE80" i="83" s="1"/>
  <c r="BE78" i="83" s="1"/>
  <c r="AM52" i="8"/>
  <c r="AP42" i="59" s="1"/>
  <c r="BC26" i="21"/>
  <c r="AM28" i="21"/>
  <c r="BC28" i="21" s="1"/>
  <c r="BC74" i="8"/>
  <c r="AN195" i="6"/>
  <c r="BD18" i="6"/>
  <c r="BK18" i="6" s="1"/>
  <c r="BD60" i="6"/>
  <c r="BG16" i="59" s="1"/>
  <c r="BC72" i="8"/>
  <c r="BC109" i="8"/>
  <c r="BD61" i="6"/>
  <c r="BG23" i="59" s="1"/>
  <c r="BC42" i="8"/>
  <c r="BC52" i="8"/>
  <c r="BF42" i="59" s="1"/>
  <c r="BC57" i="9"/>
  <c r="BC72" i="9"/>
  <c r="BP72" i="9" s="1"/>
  <c r="AM79" i="9"/>
  <c r="BC62" i="9"/>
  <c r="BC23" i="22"/>
  <c r="AM15" i="22"/>
  <c r="BC7" i="22"/>
  <c r="AM9" i="22"/>
  <c r="BC8" i="22"/>
  <c r="AN7" i="6"/>
  <c r="BC501" i="28"/>
  <c r="BJ501" i="28" s="1"/>
  <c r="BC509" i="28"/>
  <c r="BJ509" i="28" s="1"/>
  <c r="BD16" i="6"/>
  <c r="BD7" i="6"/>
  <c r="AM23" i="22"/>
  <c r="AM15" i="35"/>
  <c r="AM42" i="8"/>
  <c r="AM110" i="8"/>
  <c r="AM112" i="8" s="1"/>
  <c r="AM53" i="8" s="1"/>
  <c r="AP43" i="59" s="1"/>
  <c r="AM24" i="36"/>
  <c r="AP75" i="59" s="1"/>
  <c r="AN83" i="6"/>
  <c r="AN80" i="6"/>
  <c r="AN35" i="36"/>
  <c r="AM79" i="28"/>
  <c r="BC79" i="28" s="1"/>
  <c r="BJ79" i="28" s="1"/>
  <c r="AM83" i="28"/>
  <c r="AP37" i="59"/>
  <c r="AM13" i="36"/>
  <c r="AP40" i="59" s="1"/>
  <c r="AM87" i="28"/>
  <c r="BC87" i="28" s="1"/>
  <c r="BJ87" i="28" s="1"/>
  <c r="AM36" i="36"/>
  <c r="AM20" i="49"/>
  <c r="AM15" i="36" s="1"/>
  <c r="AM72" i="8"/>
  <c r="AM63" i="8"/>
  <c r="AM35" i="8"/>
  <c r="BC35" i="8" s="1"/>
  <c r="AM509" i="28"/>
  <c r="AM501" i="28"/>
  <c r="AN194" i="6"/>
  <c r="AN189" i="6"/>
  <c r="AN17" i="6"/>
  <c r="AN36" i="36"/>
  <c r="AM37" i="28"/>
  <c r="BC37" i="28" s="1"/>
  <c r="BJ37" i="28" s="1"/>
  <c r="BC79" i="9" l="1"/>
  <c r="BI79" i="9"/>
  <c r="BP79" i="9" s="1"/>
  <c r="BC74" i="9"/>
  <c r="BI74" i="9"/>
  <c r="BP74" i="9" s="1"/>
  <c r="BD189" i="6"/>
  <c r="AO78" i="83"/>
  <c r="AP44" i="59"/>
  <c r="BD83" i="6"/>
  <c r="BC9" i="22"/>
  <c r="BC111" i="8"/>
  <c r="BC110" i="8"/>
  <c r="AN169" i="6"/>
  <c r="BD17" i="6"/>
  <c r="BK17" i="6" s="1"/>
  <c r="AM71" i="8"/>
  <c r="BC63" i="8"/>
  <c r="BC71" i="8" s="1"/>
  <c r="BD195" i="6"/>
  <c r="AM500" i="28"/>
  <c r="BC83" i="28"/>
  <c r="BJ83" i="28" s="1"/>
  <c r="BC504" i="28"/>
  <c r="BJ504" i="28" s="1"/>
  <c r="BC503" i="28"/>
  <c r="BJ503" i="28" s="1"/>
  <c r="BC512" i="28"/>
  <c r="BJ512" i="28" s="1"/>
  <c r="BC511" i="28"/>
  <c r="BJ511" i="28" s="1"/>
  <c r="AM10" i="22"/>
  <c r="BC10" i="22" s="1"/>
  <c r="AN79" i="6"/>
  <c r="AN85" i="6"/>
  <c r="AN82" i="6"/>
  <c r="AM24" i="22"/>
  <c r="BC24" i="22" s="1"/>
  <c r="AM508" i="28"/>
  <c r="AM507" i="28"/>
  <c r="AM512" i="28"/>
  <c r="AM511" i="28"/>
  <c r="AM504" i="28"/>
  <c r="AM503" i="28"/>
  <c r="AP53" i="59"/>
  <c r="AM75" i="8"/>
  <c r="AM11" i="22"/>
  <c r="BC11" i="22" s="1"/>
  <c r="AM13" i="22"/>
  <c r="AN168" i="6"/>
  <c r="AN19" i="6"/>
  <c r="AN84" i="6" s="1"/>
  <c r="AN164" i="6"/>
  <c r="AM63" i="28"/>
  <c r="BC63" i="28" s="1"/>
  <c r="BJ63" i="28" s="1"/>
  <c r="AM75" i="28"/>
  <c r="BC75" i="28" s="1"/>
  <c r="BJ75" i="28" s="1"/>
  <c r="AB37" i="36"/>
  <c r="AA37" i="36"/>
  <c r="BD97" i="6" l="1"/>
  <c r="BK97" i="6" s="1"/>
  <c r="BC112" i="8"/>
  <c r="BC53" i="8" s="1"/>
  <c r="BF43" i="59" s="1"/>
  <c r="BF44" i="59" s="1"/>
  <c r="BC12" i="22"/>
  <c r="BD79" i="6"/>
  <c r="BD85" i="6"/>
  <c r="BD19" i="6"/>
  <c r="BK19" i="6" s="1"/>
  <c r="BD164" i="6"/>
  <c r="BD169" i="6"/>
  <c r="BD80" i="6"/>
  <c r="BD82" i="6"/>
  <c r="AM14" i="22"/>
  <c r="BC13" i="22"/>
  <c r="BC14" i="22" s="1"/>
  <c r="BC15" i="22"/>
  <c r="AM12" i="22"/>
  <c r="BC508" i="28"/>
  <c r="BJ508" i="28" s="1"/>
  <c r="BC507" i="28"/>
  <c r="BJ507" i="28" s="1"/>
  <c r="BC500" i="28"/>
  <c r="BJ500" i="28" s="1"/>
  <c r="AN81" i="6"/>
  <c r="AM27" i="22"/>
  <c r="BC27" i="22" s="1"/>
  <c r="AM25" i="22"/>
  <c r="AN40" i="6"/>
  <c r="AN38" i="6"/>
  <c r="AN39" i="6"/>
  <c r="AN37" i="6"/>
  <c r="AM491" i="28"/>
  <c r="BC491" i="28" s="1"/>
  <c r="BJ491" i="28" s="1"/>
  <c r="AM69" i="28"/>
  <c r="AM91" i="28"/>
  <c r="BC91" i="28" s="1"/>
  <c r="BJ91" i="28" s="1"/>
  <c r="BD103" i="6" l="1"/>
  <c r="BD84" i="6"/>
  <c r="BD39" i="6"/>
  <c r="BD40" i="6"/>
  <c r="BD38" i="6"/>
  <c r="BD37" i="6"/>
  <c r="AM26" i="22"/>
  <c r="BC25" i="22"/>
  <c r="BC26" i="22" s="1"/>
  <c r="AM29" i="22"/>
  <c r="BC516" i="28"/>
  <c r="BJ516" i="28" s="1"/>
  <c r="BC515" i="28"/>
  <c r="BJ515" i="28" s="1"/>
  <c r="AM520" i="28"/>
  <c r="BC69" i="28"/>
  <c r="BC495" i="28"/>
  <c r="BJ495" i="28" s="1"/>
  <c r="BC494" i="28"/>
  <c r="BJ494" i="28" s="1"/>
  <c r="BC517" i="28"/>
  <c r="BJ517" i="28" s="1"/>
  <c r="AN41" i="6"/>
  <c r="AM28" i="22"/>
  <c r="AM76" i="28"/>
  <c r="AM516" i="28"/>
  <c r="AM515" i="28"/>
  <c r="AM494" i="28"/>
  <c r="AM495" i="28"/>
  <c r="AM517" i="28"/>
  <c r="AM95" i="28"/>
  <c r="BC95" i="28" s="1"/>
  <c r="BJ95" i="28" s="1"/>
  <c r="F479" i="28"/>
  <c r="F473" i="28"/>
  <c r="F441" i="28"/>
  <c r="F440" i="28"/>
  <c r="J440" i="28" l="1"/>
  <c r="N440" i="28" s="1"/>
  <c r="J441" i="28"/>
  <c r="N441" i="28" s="1"/>
  <c r="R441" i="28" s="1"/>
  <c r="V441" i="28" s="1"/>
  <c r="J473" i="28"/>
  <c r="N473" i="28" s="1"/>
  <c r="AB473" i="28" s="1"/>
  <c r="AF473" i="28" s="1"/>
  <c r="J479" i="28"/>
  <c r="N479" i="28" s="1"/>
  <c r="AB479" i="28" s="1"/>
  <c r="AF479" i="28" s="1"/>
  <c r="BC520" i="28"/>
  <c r="BJ520" i="28" s="1"/>
  <c r="BJ69" i="28"/>
  <c r="BD107" i="6"/>
  <c r="BD150" i="6" s="1"/>
  <c r="BK103" i="6"/>
  <c r="AB440" i="28"/>
  <c r="AF440" i="28" s="1"/>
  <c r="AJ440" i="28" s="1"/>
  <c r="AP440" i="28" s="1"/>
  <c r="AT440" i="28" s="1"/>
  <c r="R440" i="28"/>
  <c r="V440" i="28" s="1"/>
  <c r="R473" i="28"/>
  <c r="V473" i="28" s="1"/>
  <c r="BD41" i="6"/>
  <c r="AJ459" i="28"/>
  <c r="BC29" i="22"/>
  <c r="BC28" i="22"/>
  <c r="AM521" i="28"/>
  <c r="BC76" i="28"/>
  <c r="AJ484" i="28"/>
  <c r="AP484" i="28" s="1"/>
  <c r="AT484" i="28" s="1"/>
  <c r="AJ483" i="28"/>
  <c r="F490" i="28"/>
  <c r="F471" i="28"/>
  <c r="AJ481" i="28"/>
  <c r="AP481" i="28" s="1"/>
  <c r="AT481" i="28" s="1"/>
  <c r="AJ480" i="28"/>
  <c r="AP480" i="28" s="1"/>
  <c r="AT480" i="28" s="1"/>
  <c r="AJ470" i="28"/>
  <c r="AP470" i="28" s="1"/>
  <c r="AT470" i="28" s="1"/>
  <c r="AX470" i="28" s="1"/>
  <c r="AB441" i="28" l="1"/>
  <c r="AF441" i="28" s="1"/>
  <c r="BD152" i="6"/>
  <c r="BD197" i="6" s="1"/>
  <c r="BD153" i="6"/>
  <c r="J490" i="28"/>
  <c r="N490" i="28" s="1"/>
  <c r="AB490" i="28" s="1"/>
  <c r="AF490" i="28" s="1"/>
  <c r="J471" i="28"/>
  <c r="N471" i="28" s="1"/>
  <c r="R471" i="28" s="1"/>
  <c r="V471" i="28" s="1"/>
  <c r="BC521" i="28"/>
  <c r="BJ521" i="28" s="1"/>
  <c r="BJ76" i="28"/>
  <c r="BD147" i="6"/>
  <c r="BK107" i="6"/>
  <c r="BD148" i="6"/>
  <c r="BG15" i="59" s="1"/>
  <c r="R479" i="28"/>
  <c r="V479" i="28" s="1"/>
  <c r="BD154" i="6"/>
  <c r="AP459" i="28"/>
  <c r="AP483" i="28"/>
  <c r="AX484" i="28"/>
  <c r="BF484" i="28" s="1"/>
  <c r="BH484" i="28" s="1"/>
  <c r="AX480" i="28"/>
  <c r="BF480" i="28" s="1"/>
  <c r="BH480" i="28" s="1"/>
  <c r="BF470" i="28"/>
  <c r="BH470" i="28" s="1"/>
  <c r="AX481" i="28"/>
  <c r="BF481" i="28" s="1"/>
  <c r="BH481" i="28" s="1"/>
  <c r="AJ443" i="28"/>
  <c r="AJ460" i="28"/>
  <c r="AJ450" i="28"/>
  <c r="AJ479" i="28"/>
  <c r="AP479" i="28" s="1"/>
  <c r="AT479" i="28" s="1"/>
  <c r="F491" i="28"/>
  <c r="AJ473" i="28"/>
  <c r="AP473" i="28" s="1"/>
  <c r="AT473" i="28" s="1"/>
  <c r="AB471" i="28" l="1"/>
  <c r="AF471" i="28" s="1"/>
  <c r="R490" i="28"/>
  <c r="V490" i="28" s="1"/>
  <c r="BD149" i="6"/>
  <c r="BD7" i="36" s="1"/>
  <c r="BG8" i="59" s="1"/>
  <c r="J491" i="28"/>
  <c r="N491" i="28" s="1"/>
  <c r="AT483" i="28"/>
  <c r="AX483" i="28" s="1"/>
  <c r="BF483" i="28" s="1"/>
  <c r="BH483" i="28" s="1"/>
  <c r="AT459" i="28"/>
  <c r="AX459" i="28" s="1"/>
  <c r="BF459" i="28" s="1"/>
  <c r="BH459" i="28" s="1"/>
  <c r="AB491" i="28"/>
  <c r="AF491" i="28" s="1"/>
  <c r="R491" i="28"/>
  <c r="V491" i="28" s="1"/>
  <c r="AX440" i="28"/>
  <c r="BF440" i="28" s="1"/>
  <c r="BH440" i="28" s="1"/>
  <c r="AX479" i="28"/>
  <c r="BF479" i="28" s="1"/>
  <c r="BH479" i="28" s="1"/>
  <c r="AX473" i="28"/>
  <c r="BF473" i="28" s="1"/>
  <c r="BH473" i="28" s="1"/>
  <c r="AP450" i="28"/>
  <c r="AT450" i="28" s="1"/>
  <c r="AX450" i="28" s="1"/>
  <c r="AP460" i="28"/>
  <c r="AT460" i="28" s="1"/>
  <c r="AX460" i="28" s="1"/>
  <c r="AP443" i="28"/>
  <c r="AT443" i="28" s="1"/>
  <c r="AX443" i="28" s="1"/>
  <c r="AJ441" i="28"/>
  <c r="AJ444" i="28"/>
  <c r="AJ451" i="28"/>
  <c r="AJ446" i="28"/>
  <c r="AJ452" i="28"/>
  <c r="AJ464" i="28"/>
  <c r="AJ461" i="28"/>
  <c r="AJ447" i="28"/>
  <c r="AJ449" i="28"/>
  <c r="AJ462" i="28"/>
  <c r="AJ471" i="28"/>
  <c r="AP471" i="28" s="1"/>
  <c r="AT471" i="28" s="1"/>
  <c r="M174" i="73"/>
  <c r="Q174" i="73" s="1"/>
  <c r="U174" i="73" s="1"/>
  <c r="M175" i="73"/>
  <c r="Q175" i="73" s="1"/>
  <c r="U175" i="73" s="1"/>
  <c r="M178" i="73"/>
  <c r="AA178" i="73" l="1"/>
  <c r="AE178" i="73" s="1"/>
  <c r="Q178" i="73"/>
  <c r="U178" i="73" s="1"/>
  <c r="BF443" i="28"/>
  <c r="BH443" i="28" s="1"/>
  <c r="AX471" i="28"/>
  <c r="BF471" i="28" s="1"/>
  <c r="BH471" i="28" s="1"/>
  <c r="BF460" i="28"/>
  <c r="BH460" i="28" s="1"/>
  <c r="BF450" i="28"/>
  <c r="BH450" i="28" s="1"/>
  <c r="AP447" i="28"/>
  <c r="AT447" i="28" s="1"/>
  <c r="AX447" i="28" s="1"/>
  <c r="AP452" i="28"/>
  <c r="AT452" i="28" s="1"/>
  <c r="AX452" i="28" s="1"/>
  <c r="AP446" i="28"/>
  <c r="AT446" i="28" s="1"/>
  <c r="AX446" i="28" s="1"/>
  <c r="AP444" i="28"/>
  <c r="AT444" i="28" s="1"/>
  <c r="AX444" i="28" s="1"/>
  <c r="AP462" i="28"/>
  <c r="AT462" i="28" s="1"/>
  <c r="AX462" i="28" s="1"/>
  <c r="AP449" i="28"/>
  <c r="AT449" i="28" s="1"/>
  <c r="AX449" i="28" s="1"/>
  <c r="AP454" i="28"/>
  <c r="AT454" i="28" s="1"/>
  <c r="AX454" i="28" s="1"/>
  <c r="AP461" i="28"/>
  <c r="AT461" i="28" s="1"/>
  <c r="AX461" i="28" s="1"/>
  <c r="AP451" i="28"/>
  <c r="AT451" i="28" s="1"/>
  <c r="AX451" i="28" s="1"/>
  <c r="AP464" i="28"/>
  <c r="AT464" i="28" s="1"/>
  <c r="AX464" i="28" s="1"/>
  <c r="AP441" i="28"/>
  <c r="AT441" i="28" s="1"/>
  <c r="AA175" i="73"/>
  <c r="AE175" i="73" s="1"/>
  <c r="AI175" i="73" s="1"/>
  <c r="AA174" i="73"/>
  <c r="AE174" i="73" s="1"/>
  <c r="AI174" i="73" l="1"/>
  <c r="AO174" i="73" s="1"/>
  <c r="AS174" i="73" s="1"/>
  <c r="AW174" i="73" s="1"/>
  <c r="AI178" i="73"/>
  <c r="AO178" i="73" s="1"/>
  <c r="AS178" i="73" s="1"/>
  <c r="AW178" i="73" s="1"/>
  <c r="BF456" i="28"/>
  <c r="BH456" i="28" s="1"/>
  <c r="BF451" i="28"/>
  <c r="BH451" i="28" s="1"/>
  <c r="BF444" i="28"/>
  <c r="BH444" i="28" s="1"/>
  <c r="BF446" i="28"/>
  <c r="BH446" i="28" s="1"/>
  <c r="BF452" i="28"/>
  <c r="BH452" i="28" s="1"/>
  <c r="BF461" i="28"/>
  <c r="BH461" i="28" s="1"/>
  <c r="BF454" i="28"/>
  <c r="BH454" i="28" s="1"/>
  <c r="BF447" i="28"/>
  <c r="BH447" i="28" s="1"/>
  <c r="AX441" i="28"/>
  <c r="BF441" i="28" s="1"/>
  <c r="BH441" i="28" s="1"/>
  <c r="BF449" i="28"/>
  <c r="BH449" i="28" s="1"/>
  <c r="BF464" i="28"/>
  <c r="BH464" i="28" s="1"/>
  <c r="BF462" i="28"/>
  <c r="BH462" i="28" s="1"/>
  <c r="AO175" i="73"/>
  <c r="AS175" i="73" s="1"/>
  <c r="Y104" i="6"/>
  <c r="Z73" i="6"/>
  <c r="Z74" i="6"/>
  <c r="Z75" i="6"/>
  <c r="Z76" i="6"/>
  <c r="BE178" i="73" l="1"/>
  <c r="BE174" i="73"/>
  <c r="AW175" i="73"/>
  <c r="AA50" i="83"/>
  <c r="BE175" i="73" l="1"/>
  <c r="AJ477" i="28"/>
  <c r="AP477" i="28" s="1"/>
  <c r="AT477" i="28" s="1"/>
  <c r="AJ474" i="28"/>
  <c r="AP474" i="28" s="1"/>
  <c r="AT474" i="28" s="1"/>
  <c r="AC50" i="83"/>
  <c r="AG50" i="83" s="1"/>
  <c r="AK50" i="83" s="1"/>
  <c r="AQ50" i="83" s="1"/>
  <c r="AU50" i="83" s="1"/>
  <c r="AY50" i="83" s="1"/>
  <c r="BG50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74" i="28" l="1"/>
  <c r="BF474" i="28" s="1"/>
  <c r="BH474" i="28" s="1"/>
  <c r="AX477" i="28"/>
  <c r="BF477" i="28" s="1"/>
  <c r="BH477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2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2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2" i="17"/>
  <c r="AE112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2" i="17"/>
  <c r="AO112" i="17" s="1"/>
  <c r="AI107" i="17"/>
  <c r="AO107" i="17" s="1"/>
  <c r="AI48" i="17"/>
  <c r="AO48" i="17" s="1"/>
  <c r="AS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72" i="7"/>
  <c r="Z72" i="7"/>
  <c r="M72" i="7"/>
  <c r="N72" i="7"/>
  <c r="N42" i="7"/>
  <c r="N43" i="7"/>
  <c r="N44" i="7"/>
  <c r="N45" i="7"/>
  <c r="N46" i="7"/>
  <c r="N47" i="7"/>
  <c r="N48" i="7"/>
  <c r="N50" i="7"/>
  <c r="M42" i="7"/>
  <c r="M43" i="7"/>
  <c r="M44" i="7"/>
  <c r="M45" i="7"/>
  <c r="M46" i="7"/>
  <c r="M47" i="7"/>
  <c r="M48" i="7"/>
  <c r="M50" i="7"/>
  <c r="Z42" i="7"/>
  <c r="Z43" i="7"/>
  <c r="Z44" i="7"/>
  <c r="Z45" i="7"/>
  <c r="Z46" i="7"/>
  <c r="Z47" i="7"/>
  <c r="Z48" i="7"/>
  <c r="Z50" i="7"/>
  <c r="Y42" i="7"/>
  <c r="Y43" i="7"/>
  <c r="Y44" i="7"/>
  <c r="Y45" i="7"/>
  <c r="Y46" i="7"/>
  <c r="Y47" i="7"/>
  <c r="Y48" i="7"/>
  <c r="Y50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9" i="7"/>
  <c r="Z19" i="7"/>
  <c r="Y20" i="7"/>
  <c r="Z20" i="7"/>
  <c r="N7" i="7"/>
  <c r="N8" i="7"/>
  <c r="N9" i="7"/>
  <c r="N10" i="7"/>
  <c r="N11" i="7"/>
  <c r="N12" i="7"/>
  <c r="N13" i="7"/>
  <c r="N14" i="7"/>
  <c r="N15" i="7"/>
  <c r="N20" i="7"/>
  <c r="Z12" i="7"/>
  <c r="Z161" i="7" l="1"/>
  <c r="Y161" i="7"/>
  <c r="N157" i="7"/>
  <c r="N161" i="7"/>
  <c r="Z157" i="7"/>
  <c r="Y157" i="7"/>
  <c r="AW48" i="17"/>
  <c r="BE48" i="17" s="1"/>
  <c r="AS27" i="17"/>
  <c r="AW27" i="17" s="1"/>
  <c r="BE27" i="17" s="1"/>
  <c r="AS108" i="17"/>
  <c r="AS109" i="17"/>
  <c r="AS106" i="17"/>
  <c r="AS105" i="17"/>
  <c r="AS104" i="17"/>
  <c r="AS112" i="17"/>
  <c r="AS107" i="17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S99" i="17"/>
  <c r="AS100" i="17"/>
  <c r="AS98" i="17"/>
  <c r="AS102" i="17"/>
  <c r="AS101" i="17"/>
  <c r="AS103" i="17"/>
  <c r="AS96" i="17"/>
  <c r="AS97" i="17"/>
  <c r="AS94" i="17"/>
  <c r="AR25" i="17"/>
  <c r="AV25" i="17" s="1"/>
  <c r="BD25" i="17" s="1"/>
  <c r="AB19" i="7"/>
  <c r="AF19" i="7" s="1"/>
  <c r="AJ19" i="7" s="1"/>
  <c r="AB7" i="7"/>
  <c r="AF7" i="7" s="1"/>
  <c r="AJ7" i="7" s="1"/>
  <c r="AB72" i="7"/>
  <c r="AF72" i="7" s="1"/>
  <c r="AJ72" i="7" s="1"/>
  <c r="AA72" i="7"/>
  <c r="AE72" i="7" s="1"/>
  <c r="AI72" i="7" s="1"/>
  <c r="AA48" i="7"/>
  <c r="AE48" i="7" s="1"/>
  <c r="AB44" i="7"/>
  <c r="AF44" i="7" s="1"/>
  <c r="AJ44" i="7" s="1"/>
  <c r="AA42" i="7"/>
  <c r="AE42" i="7" s="1"/>
  <c r="AB42" i="7"/>
  <c r="AF42" i="7" s="1"/>
  <c r="AJ42" i="7" s="1"/>
  <c r="AA47" i="7"/>
  <c r="AE47" i="7" s="1"/>
  <c r="AI47" i="7" s="1"/>
  <c r="AB50" i="7"/>
  <c r="AF50" i="7" s="1"/>
  <c r="AJ50" i="7" s="1"/>
  <c r="AA46" i="7"/>
  <c r="AE46" i="7" s="1"/>
  <c r="AB48" i="7"/>
  <c r="AF48" i="7" s="1"/>
  <c r="AJ48" i="7" s="1"/>
  <c r="AA45" i="7"/>
  <c r="AE45" i="7" s="1"/>
  <c r="AA44" i="7"/>
  <c r="AE44" i="7" s="1"/>
  <c r="AA43" i="7"/>
  <c r="AE43" i="7" s="1"/>
  <c r="AB11" i="7"/>
  <c r="AF11" i="7" s="1"/>
  <c r="AJ11" i="7" s="1"/>
  <c r="AB15" i="7"/>
  <c r="AF15" i="7" s="1"/>
  <c r="AJ15" i="7" s="1"/>
  <c r="AB45" i="7"/>
  <c r="AF45" i="7" s="1"/>
  <c r="AJ45" i="7" s="1"/>
  <c r="BE8" i="17"/>
  <c r="BD24" i="17"/>
  <c r="AA50" i="7"/>
  <c r="AB9" i="7"/>
  <c r="AB161" i="7" s="1"/>
  <c r="AB46" i="7"/>
  <c r="AF46" i="7" s="1"/>
  <c r="AJ46" i="7" s="1"/>
  <c r="AO18" i="17"/>
  <c r="AS18" i="17" s="1"/>
  <c r="AB12" i="7"/>
  <c r="AF12" i="7" s="1"/>
  <c r="AJ12" i="7" s="1"/>
  <c r="AB20" i="7"/>
  <c r="AF20" i="7" s="1"/>
  <c r="AJ20" i="7" s="1"/>
  <c r="AB8" i="7"/>
  <c r="AF8" i="7" s="1"/>
  <c r="AJ8" i="7" s="1"/>
  <c r="AB10" i="7"/>
  <c r="AF10" i="7" s="1"/>
  <c r="AB43" i="7"/>
  <c r="AF43" i="7" s="1"/>
  <c r="AJ43" i="7" s="1"/>
  <c r="AB14" i="7"/>
  <c r="AF14" i="7" s="1"/>
  <c r="AJ14" i="7" s="1"/>
  <c r="AB13" i="7"/>
  <c r="AF13" i="7" s="1"/>
  <c r="AJ13" i="7" s="1"/>
  <c r="AB47" i="7"/>
  <c r="AF47" i="7" s="1"/>
  <c r="AJ47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157" i="8" s="1"/>
  <c r="Z31" i="8"/>
  <c r="Z156" i="8" s="1"/>
  <c r="Z29" i="8"/>
  <c r="Z155" i="8" s="1"/>
  <c r="Z28" i="8"/>
  <c r="Z27" i="8"/>
  <c r="Z154" i="8" s="1"/>
  <c r="Z24" i="8"/>
  <c r="Z151" i="8" s="1"/>
  <c r="Z25" i="8"/>
  <c r="Z153" i="8" s="1"/>
  <c r="N31" i="8"/>
  <c r="N156" i="8" s="1"/>
  <c r="N30" i="8"/>
  <c r="N157" i="8" s="1"/>
  <c r="N29" i="8"/>
  <c r="N155" i="8" s="1"/>
  <c r="N28" i="8"/>
  <c r="N27" i="8"/>
  <c r="N154" i="8" s="1"/>
  <c r="N24" i="8"/>
  <c r="N151" i="8" s="1"/>
  <c r="N25" i="8"/>
  <c r="N153" i="8" s="1"/>
  <c r="N23" i="8"/>
  <c r="N150" i="8" s="1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5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9" i="10"/>
  <c r="Y169" i="10"/>
  <c r="Z167" i="10"/>
  <c r="Y167" i="10"/>
  <c r="N169" i="10"/>
  <c r="M169" i="10"/>
  <c r="N167" i="10"/>
  <c r="M167" i="10"/>
  <c r="Z7" i="10"/>
  <c r="Z199" i="10" s="1"/>
  <c r="N70" i="11"/>
  <c r="M70" i="11"/>
  <c r="Z70" i="11"/>
  <c r="Y70" i="11"/>
  <c r="Z68" i="11"/>
  <c r="Y68" i="11"/>
  <c r="M68" i="11"/>
  <c r="N68" i="11"/>
  <c r="Q119" i="50"/>
  <c r="Z44" i="11"/>
  <c r="N54" i="11"/>
  <c r="R54" i="11" s="1"/>
  <c r="N52" i="11"/>
  <c r="N51" i="11"/>
  <c r="N48" i="11"/>
  <c r="AB48" i="11" s="1"/>
  <c r="AF48" i="11" s="1"/>
  <c r="N47" i="11"/>
  <c r="AB47" i="11" s="1"/>
  <c r="AF47" i="11" s="1"/>
  <c r="N46" i="11"/>
  <c r="AB46" i="11" s="1"/>
  <c r="AF46" i="11" s="1"/>
  <c r="N45" i="11"/>
  <c r="N44" i="11"/>
  <c r="R44" i="11" s="1"/>
  <c r="AF9" i="7" l="1"/>
  <c r="AF161" i="7" s="1"/>
  <c r="AB157" i="7"/>
  <c r="AW96" i="17"/>
  <c r="BE96" i="17" s="1"/>
  <c r="AW103" i="17"/>
  <c r="BE103" i="17" s="1"/>
  <c r="AW107" i="17"/>
  <c r="BE107" i="17" s="1"/>
  <c r="AW101" i="17"/>
  <c r="BE101" i="17" s="1"/>
  <c r="AW112" i="17"/>
  <c r="BE112" i="17" s="1"/>
  <c r="AW102" i="17"/>
  <c r="BE102" i="17" s="1"/>
  <c r="AW104" i="17"/>
  <c r="BE104" i="17" s="1"/>
  <c r="AW98" i="17"/>
  <c r="BE98" i="17" s="1"/>
  <c r="AW105" i="17"/>
  <c r="BE105" i="17" s="1"/>
  <c r="AW100" i="17"/>
  <c r="BE100" i="17" s="1"/>
  <c r="AW106" i="17"/>
  <c r="BE106" i="17" s="1"/>
  <c r="AW99" i="17"/>
  <c r="BE99" i="17" s="1"/>
  <c r="AW109" i="17"/>
  <c r="BE109" i="17" s="1"/>
  <c r="AW97" i="17"/>
  <c r="BE97" i="17" s="1"/>
  <c r="AW95" i="17"/>
  <c r="BE95" i="17" s="1"/>
  <c r="AW108" i="17"/>
  <c r="BE108" i="17" s="1"/>
  <c r="AW94" i="17"/>
  <c r="BE94" i="17" s="1"/>
  <c r="AJ10" i="7"/>
  <c r="R52" i="11"/>
  <c r="V52" i="11" s="1"/>
  <c r="AB52" i="11"/>
  <c r="AF52" i="11" s="1"/>
  <c r="R51" i="11"/>
  <c r="V51" i="11" s="1"/>
  <c r="AB51" i="11"/>
  <c r="R45" i="11"/>
  <c r="V45" i="11" s="1"/>
  <c r="AB45" i="11"/>
  <c r="AJ48" i="11"/>
  <c r="AP48" i="11" s="1"/>
  <c r="AT48" i="11" s="1"/>
  <c r="R48" i="11"/>
  <c r="V48" i="11" s="1"/>
  <c r="AJ46" i="11"/>
  <c r="AP46" i="11" s="1"/>
  <c r="AT46" i="11" s="1"/>
  <c r="R46" i="11"/>
  <c r="V46" i="11" s="1"/>
  <c r="AJ47" i="11"/>
  <c r="AP47" i="11" s="1"/>
  <c r="AT47" i="11" s="1"/>
  <c r="R47" i="11"/>
  <c r="V47" i="11" s="1"/>
  <c r="AW18" i="17"/>
  <c r="AW22" i="17" s="1"/>
  <c r="AS22" i="17"/>
  <c r="AI46" i="7"/>
  <c r="AO46" i="7" s="1"/>
  <c r="AS46" i="7" s="1"/>
  <c r="AI48" i="7"/>
  <c r="AO48" i="7" s="1"/>
  <c r="AS48" i="7" s="1"/>
  <c r="AE50" i="7"/>
  <c r="AI50" i="7" s="1"/>
  <c r="AO50" i="7" s="1"/>
  <c r="AS50" i="7" s="1"/>
  <c r="AI43" i="7"/>
  <c r="AO43" i="7" s="1"/>
  <c r="AS43" i="7" s="1"/>
  <c r="AI44" i="7"/>
  <c r="AO44" i="7" s="1"/>
  <c r="AS44" i="7" s="1"/>
  <c r="AI45" i="7"/>
  <c r="AO45" i="7" s="1"/>
  <c r="AS45" i="7" s="1"/>
  <c r="AI42" i="7"/>
  <c r="AO42" i="7" s="1"/>
  <c r="AS42" i="7" s="1"/>
  <c r="AX50" i="11"/>
  <c r="BF39" i="11"/>
  <c r="BF26" i="11"/>
  <c r="BF11" i="11"/>
  <c r="AA119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167" i="10"/>
  <c r="AF167" i="10" s="1"/>
  <c r="AB25" i="8"/>
  <c r="AB27" i="8"/>
  <c r="AB29" i="8"/>
  <c r="AB20" i="8"/>
  <c r="AF20" i="8" s="1"/>
  <c r="AB19" i="8"/>
  <c r="AF19" i="8" s="1"/>
  <c r="AB30" i="8"/>
  <c r="AF8" i="38"/>
  <c r="AJ8" i="38" s="1"/>
  <c r="AN8" i="38" s="1"/>
  <c r="AB28" i="8"/>
  <c r="AF28" i="8" s="1"/>
  <c r="AJ28" i="8" s="1"/>
  <c r="AA167" i="10"/>
  <c r="AE167" i="10" s="1"/>
  <c r="AG119" i="45"/>
  <c r="AK119" i="45" s="1"/>
  <c r="AQ119" i="45" s="1"/>
  <c r="AU119" i="45" s="1"/>
  <c r="AY119" i="45" s="1"/>
  <c r="BG119" i="45" s="1"/>
  <c r="BI119" i="45" s="1"/>
  <c r="AF15" i="38"/>
  <c r="AJ15" i="38" s="1"/>
  <c r="AN15" i="38" s="1"/>
  <c r="AB24" i="8"/>
  <c r="AF23" i="38"/>
  <c r="AJ23" i="38" s="1"/>
  <c r="AB31" i="8"/>
  <c r="AB9" i="8"/>
  <c r="AF9" i="8" s="1"/>
  <c r="AA9" i="8"/>
  <c r="AE9" i="8" s="1"/>
  <c r="AF24" i="38"/>
  <c r="AJ24" i="38" s="1"/>
  <c r="AN24" i="38" s="1"/>
  <c r="AP15" i="7"/>
  <c r="AO47" i="7"/>
  <c r="AP72" i="7"/>
  <c r="AP42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4" i="7"/>
  <c r="AP45" i="7"/>
  <c r="AP50" i="7"/>
  <c r="AP11" i="7"/>
  <c r="AF30" i="38"/>
  <c r="AJ30" i="38" s="1"/>
  <c r="AN30" i="38" s="1"/>
  <c r="AD6" i="38"/>
  <c r="AA20" i="8"/>
  <c r="AE20" i="8" s="1"/>
  <c r="AB10" i="8"/>
  <c r="AF10" i="8" s="1"/>
  <c r="AP19" i="7"/>
  <c r="AP48" i="7"/>
  <c r="AP7" i="7"/>
  <c r="AO72" i="7"/>
  <c r="AA169" i="10"/>
  <c r="AE169" i="10" s="1"/>
  <c r="AI169" i="10" s="1"/>
  <c r="AB169" i="10"/>
  <c r="AF169" i="10" s="1"/>
  <c r="AJ169" i="10" s="1"/>
  <c r="AB54" i="11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F24" i="8" l="1"/>
  <c r="AB151" i="8"/>
  <c r="AF29" i="8"/>
  <c r="AB155" i="8"/>
  <c r="AF27" i="8"/>
  <c r="AJ27" i="8" s="1"/>
  <c r="AP27" i="8" s="1"/>
  <c r="AB154" i="8"/>
  <c r="AF25" i="8"/>
  <c r="AB153" i="8"/>
  <c r="AF30" i="8"/>
  <c r="AJ30" i="8" s="1"/>
  <c r="AP30" i="8" s="1"/>
  <c r="AT30" i="8" s="1"/>
  <c r="AB157" i="8"/>
  <c r="AF31" i="8"/>
  <c r="AJ31" i="8" s="1"/>
  <c r="AP31" i="8" s="1"/>
  <c r="AT31" i="8" s="1"/>
  <c r="AB156" i="8"/>
  <c r="AJ9" i="7"/>
  <c r="AF157" i="7"/>
  <c r="BF50" i="11"/>
  <c r="AF45" i="11"/>
  <c r="AJ45" i="11" s="1"/>
  <c r="AP45" i="11" s="1"/>
  <c r="AF51" i="11"/>
  <c r="AJ51" i="11" s="1"/>
  <c r="AP51" i="11" s="1"/>
  <c r="AK173" i="45"/>
  <c r="AW45" i="7"/>
  <c r="AW43" i="7"/>
  <c r="AW48" i="7"/>
  <c r="AW42" i="7"/>
  <c r="AW46" i="7"/>
  <c r="AW44" i="7"/>
  <c r="AW50" i="7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BF13" i="11"/>
  <c r="BF15" i="11"/>
  <c r="BF27" i="11"/>
  <c r="BF18" i="11"/>
  <c r="BF14" i="11"/>
  <c r="BF22" i="11"/>
  <c r="BF24" i="11"/>
  <c r="BF40" i="11"/>
  <c r="BF20" i="11"/>
  <c r="BF33" i="11"/>
  <c r="BF16" i="11"/>
  <c r="BF23" i="11"/>
  <c r="BF28" i="11"/>
  <c r="BF37" i="11"/>
  <c r="AX48" i="11"/>
  <c r="BF34" i="11"/>
  <c r="BF9" i="11"/>
  <c r="BF25" i="11"/>
  <c r="BF29" i="11"/>
  <c r="BF35" i="11"/>
  <c r="BF31" i="11"/>
  <c r="BF36" i="11"/>
  <c r="BF41" i="11"/>
  <c r="BF38" i="11"/>
  <c r="BF42" i="11"/>
  <c r="BF8" i="11"/>
  <c r="BF12" i="11"/>
  <c r="BF117" i="9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I167" i="10"/>
  <c r="AI168" i="10" s="1"/>
  <c r="AJ167" i="10"/>
  <c r="AJ168" i="10" s="1"/>
  <c r="AN23" i="38"/>
  <c r="AF54" i="11"/>
  <c r="AJ11" i="38"/>
  <c r="AN11" i="38" s="1"/>
  <c r="AF91" i="8"/>
  <c r="AS72" i="7"/>
  <c r="AW72" i="7" s="1"/>
  <c r="AT45" i="7"/>
  <c r="AX45" i="7" s="1"/>
  <c r="AS47" i="7"/>
  <c r="AW47" i="7" s="1"/>
  <c r="AP13" i="7"/>
  <c r="AP10" i="7"/>
  <c r="AP47" i="7"/>
  <c r="AT72" i="7"/>
  <c r="AX72" i="7" s="1"/>
  <c r="AP46" i="7"/>
  <c r="AP9" i="7"/>
  <c r="AT7" i="7"/>
  <c r="AX7" i="7" s="1"/>
  <c r="BF7" i="7" s="1"/>
  <c r="BH7" i="7" s="1"/>
  <c r="AT19" i="7"/>
  <c r="AX19" i="7" s="1"/>
  <c r="BF19" i="7" s="1"/>
  <c r="BH19" i="7" s="1"/>
  <c r="AT8" i="38"/>
  <c r="AP20" i="7"/>
  <c r="AT50" i="7"/>
  <c r="AX50" i="7" s="1"/>
  <c r="AT44" i="7"/>
  <c r="AX44" i="7" s="1"/>
  <c r="AT15" i="7"/>
  <c r="AX15" i="7" s="1"/>
  <c r="AP43" i="7"/>
  <c r="AP14" i="7"/>
  <c r="AP28" i="8"/>
  <c r="AT48" i="7"/>
  <c r="AX48" i="7" s="1"/>
  <c r="AT11" i="7"/>
  <c r="AX11" i="7" s="1"/>
  <c r="BF11" i="7" s="1"/>
  <c r="BH11" i="7" s="1"/>
  <c r="AP8" i="7"/>
  <c r="AT42" i="7"/>
  <c r="AX42" i="7" s="1"/>
  <c r="AP12" i="7"/>
  <c r="AT15" i="38"/>
  <c r="AO169" i="10"/>
  <c r="AE168" i="10"/>
  <c r="AH65" i="59" s="1"/>
  <c r="AE170" i="10"/>
  <c r="AP169" i="10"/>
  <c r="AF168" i="10"/>
  <c r="AI65" i="59" s="1"/>
  <c r="AF170" i="10"/>
  <c r="AF109" i="8" l="1"/>
  <c r="AF111" i="8" s="1"/>
  <c r="AP157" i="7"/>
  <c r="AP161" i="7"/>
  <c r="AJ157" i="7"/>
  <c r="AJ161" i="7"/>
  <c r="BE44" i="7"/>
  <c r="BG44" i="7" s="1"/>
  <c r="BE46" i="7"/>
  <c r="BG46" i="7" s="1"/>
  <c r="BE42" i="7"/>
  <c r="BG42" i="7" s="1"/>
  <c r="BE48" i="7"/>
  <c r="BG48" i="7" s="1"/>
  <c r="BE43" i="7"/>
  <c r="BG43" i="7" s="1"/>
  <c r="BE50" i="7"/>
  <c r="BG50" i="7" s="1"/>
  <c r="BE45" i="7"/>
  <c r="BG45" i="7" s="1"/>
  <c r="BF48" i="11"/>
  <c r="AT51" i="11"/>
  <c r="AT45" i="11"/>
  <c r="AK171" i="45"/>
  <c r="AK172" i="45"/>
  <c r="AQ173" i="45"/>
  <c r="AQ172" i="45"/>
  <c r="AQ171" i="45"/>
  <c r="AT23" i="38"/>
  <c r="AX23" i="38" s="1"/>
  <c r="BB23" i="38" s="1"/>
  <c r="AX10" i="8"/>
  <c r="BF10" i="8" s="1"/>
  <c r="BH10" i="8" s="1"/>
  <c r="AX9" i="8"/>
  <c r="BF9" i="8" s="1"/>
  <c r="BH9" i="8" s="1"/>
  <c r="AX29" i="8"/>
  <c r="AW20" i="8"/>
  <c r="BE20" i="8" s="1"/>
  <c r="BG20" i="8" s="1"/>
  <c r="AX19" i="8"/>
  <c r="BF19" i="8" s="1"/>
  <c r="BH19" i="8" s="1"/>
  <c r="AW19" i="8"/>
  <c r="BE19" i="8" s="1"/>
  <c r="BG19" i="8" s="1"/>
  <c r="AX31" i="8"/>
  <c r="AW9" i="8"/>
  <c r="BE9" i="8" s="1"/>
  <c r="BG9" i="8" s="1"/>
  <c r="AW10" i="8"/>
  <c r="BE10" i="8" s="1"/>
  <c r="BG10" i="8" s="1"/>
  <c r="AX20" i="8"/>
  <c r="BF20" i="8" s="1"/>
  <c r="BH20" i="8" s="1"/>
  <c r="AX30" i="8"/>
  <c r="AJ109" i="8"/>
  <c r="AJ111" i="8" s="1"/>
  <c r="AI170" i="10"/>
  <c r="AP24" i="8"/>
  <c r="AT24" i="8" s="1"/>
  <c r="AP25" i="8"/>
  <c r="AT25" i="8" s="1"/>
  <c r="AJ54" i="11"/>
  <c r="AP54" i="11" s="1"/>
  <c r="AT54" i="11" s="1"/>
  <c r="AJ52" i="11"/>
  <c r="AP52" i="11" s="1"/>
  <c r="AT52" i="11" s="1"/>
  <c r="AP167" i="10"/>
  <c r="AT167" i="10" s="1"/>
  <c r="AJ170" i="10"/>
  <c r="AO167" i="10"/>
  <c r="AS167" i="10" s="1"/>
  <c r="AJ91" i="8"/>
  <c r="AT11" i="38"/>
  <c r="BE18" i="17"/>
  <c r="BE22" i="17" s="1"/>
  <c r="AF110" i="8"/>
  <c r="BE72" i="7"/>
  <c r="BG72" i="7" s="1"/>
  <c r="BF72" i="7"/>
  <c r="BH72" i="7" s="1"/>
  <c r="BF44" i="7"/>
  <c r="BH44" i="7" s="1"/>
  <c r="BE47" i="7"/>
  <c r="BG47" i="7" s="1"/>
  <c r="BF42" i="7"/>
  <c r="BH42" i="7" s="1"/>
  <c r="BF48" i="7"/>
  <c r="BH48" i="7" s="1"/>
  <c r="BF50" i="7"/>
  <c r="BH50" i="7" s="1"/>
  <c r="BF15" i="7"/>
  <c r="BH15" i="7" s="1"/>
  <c r="BF45" i="7"/>
  <c r="BH45" i="7" s="1"/>
  <c r="AT29" i="38"/>
  <c r="AT32" i="38"/>
  <c r="AX15" i="38"/>
  <c r="AT12" i="7"/>
  <c r="AX12" i="7" s="1"/>
  <c r="BF12" i="7" s="1"/>
  <c r="BH12" i="7" s="1"/>
  <c r="AT8" i="7"/>
  <c r="AX8" i="7" s="1"/>
  <c r="BF8" i="7" s="1"/>
  <c r="BH8" i="7" s="1"/>
  <c r="AT28" i="8"/>
  <c r="AT43" i="7"/>
  <c r="AX43" i="7" s="1"/>
  <c r="AT9" i="7"/>
  <c r="AT47" i="7"/>
  <c r="AT22" i="38"/>
  <c r="AT26" i="38"/>
  <c r="AT21" i="38"/>
  <c r="AS169" i="10"/>
  <c r="AT24" i="38"/>
  <c r="AT10" i="38"/>
  <c r="AT20" i="7"/>
  <c r="AX20" i="7" s="1"/>
  <c r="BF20" i="7" s="1"/>
  <c r="BH20" i="7" s="1"/>
  <c r="AT31" i="38"/>
  <c r="AT9" i="38"/>
  <c r="AT46" i="7"/>
  <c r="AX46" i="7" s="1"/>
  <c r="AT27" i="38"/>
  <c r="AT33" i="38"/>
  <c r="AT25" i="38"/>
  <c r="AT27" i="8"/>
  <c r="AX27" i="8" s="1"/>
  <c r="AP109" i="8"/>
  <c r="AP111" i="8" s="1"/>
  <c r="AT30" i="38"/>
  <c r="AT28" i="38"/>
  <c r="AT169" i="10"/>
  <c r="AT14" i="7"/>
  <c r="AX14" i="7" s="1"/>
  <c r="AX8" i="38"/>
  <c r="AT10" i="7"/>
  <c r="AX10" i="7" s="1"/>
  <c r="BF10" i="7" s="1"/>
  <c r="BH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57" i="73"/>
  <c r="Q157" i="73" s="1"/>
  <c r="M159" i="73"/>
  <c r="Q159" i="73" s="1"/>
  <c r="M59" i="73"/>
  <c r="M67" i="73"/>
  <c r="M68" i="73"/>
  <c r="M69" i="73"/>
  <c r="M71" i="73"/>
  <c r="Q71" i="73" s="1"/>
  <c r="U71" i="73" s="1"/>
  <c r="M75" i="73"/>
  <c r="M76" i="73"/>
  <c r="M81" i="73"/>
  <c r="M83" i="73"/>
  <c r="M84" i="73"/>
  <c r="Q84" i="73" s="1"/>
  <c r="U84" i="73" s="1"/>
  <c r="M90" i="73"/>
  <c r="M91" i="73"/>
  <c r="Q91" i="73" s="1"/>
  <c r="U91" i="73" s="1"/>
  <c r="M92" i="73"/>
  <c r="Q92" i="73" s="1"/>
  <c r="U92" i="73" s="1"/>
  <c r="M93" i="73"/>
  <c r="M94" i="73"/>
  <c r="M95" i="73"/>
  <c r="M97" i="73"/>
  <c r="M49" i="73"/>
  <c r="Q49" i="73" s="1"/>
  <c r="U49" i="73" s="1"/>
  <c r="M32" i="73"/>
  <c r="Q32" i="73" s="1"/>
  <c r="U32" i="73" s="1"/>
  <c r="M33" i="73"/>
  <c r="Q33" i="73" s="1"/>
  <c r="U33" i="73" s="1"/>
  <c r="M35" i="73"/>
  <c r="Q35" i="73" s="1"/>
  <c r="U35" i="73" s="1"/>
  <c r="M36" i="73"/>
  <c r="Q36" i="73" s="1"/>
  <c r="U36" i="73" s="1"/>
  <c r="AA39" i="73"/>
  <c r="M40" i="73"/>
  <c r="Q40" i="73" s="1"/>
  <c r="U40" i="73" s="1"/>
  <c r="M27" i="73"/>
  <c r="Q27" i="73" s="1"/>
  <c r="U27" i="73" s="1"/>
  <c r="M28" i="73"/>
  <c r="Q28" i="73" s="1"/>
  <c r="U28" i="73" s="1"/>
  <c r="AJ485" i="28"/>
  <c r="AP485" i="28" s="1"/>
  <c r="AT485" i="28" s="1"/>
  <c r="AJ325" i="28"/>
  <c r="AJ326" i="28"/>
  <c r="AJ327" i="28"/>
  <c r="AJ345" i="28"/>
  <c r="AJ346" i="28"/>
  <c r="AP374" i="28"/>
  <c r="Y93" i="28"/>
  <c r="Y92" i="28"/>
  <c r="Y89" i="28"/>
  <c r="Y88" i="28"/>
  <c r="Y85" i="28"/>
  <c r="Y84" i="28"/>
  <c r="Y27" i="28"/>
  <c r="Y28" i="28"/>
  <c r="Y25" i="28"/>
  <c r="M35" i="28"/>
  <c r="M36" i="28"/>
  <c r="M33" i="28"/>
  <c r="M27" i="28"/>
  <c r="M28" i="28"/>
  <c r="M25" i="28"/>
  <c r="AX9" i="7" l="1"/>
  <c r="AT161" i="7"/>
  <c r="AX157" i="7"/>
  <c r="AT157" i="7"/>
  <c r="AX47" i="7"/>
  <c r="BB21" i="7"/>
  <c r="BB36" i="7"/>
  <c r="AT374" i="28"/>
  <c r="AX374" i="28" s="1"/>
  <c r="BF374" i="28" s="1"/>
  <c r="BH374" i="28" s="1"/>
  <c r="AX45" i="11"/>
  <c r="AX51" i="11"/>
  <c r="AX24" i="8"/>
  <c r="BF24" i="8" s="1"/>
  <c r="BF151" i="8" s="1"/>
  <c r="AP345" i="28"/>
  <c r="AP327" i="28"/>
  <c r="AP326" i="28"/>
  <c r="AP346" i="28"/>
  <c r="AP325" i="28"/>
  <c r="AO170" i="10"/>
  <c r="AP91" i="8"/>
  <c r="Q95" i="73"/>
  <c r="U95" i="73" s="1"/>
  <c r="Q94" i="73"/>
  <c r="U94" i="73" s="1"/>
  <c r="Q83" i="73"/>
  <c r="U83" i="73" s="1"/>
  <c r="Q93" i="73"/>
  <c r="U93" i="73" s="1"/>
  <c r="Q69" i="73"/>
  <c r="U69" i="73" s="1"/>
  <c r="Q81" i="73"/>
  <c r="U81" i="73" s="1"/>
  <c r="Q68" i="73"/>
  <c r="U68" i="73" s="1"/>
  <c r="Q76" i="73"/>
  <c r="U76" i="73" s="1"/>
  <c r="Q67" i="73"/>
  <c r="U67" i="73" s="1"/>
  <c r="Q97" i="73"/>
  <c r="U97" i="73" s="1"/>
  <c r="Q90" i="73"/>
  <c r="U90" i="73" s="1"/>
  <c r="Q75" i="73"/>
  <c r="U75" i="73" s="1"/>
  <c r="Q59" i="73"/>
  <c r="U59" i="73" s="1"/>
  <c r="AU173" i="45"/>
  <c r="AU172" i="45"/>
  <c r="AU171" i="45"/>
  <c r="AO168" i="10"/>
  <c r="AR65" i="59" s="1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BH28" i="8" s="1"/>
  <c r="AJ110" i="8"/>
  <c r="AJ112" i="8" s="1"/>
  <c r="AJ53" i="8" s="1"/>
  <c r="AM43" i="59" s="1"/>
  <c r="BF29" i="8"/>
  <c r="BF155" i="8" s="1"/>
  <c r="AX25" i="8"/>
  <c r="BF31" i="8"/>
  <c r="BF156" i="8" s="1"/>
  <c r="BB15" i="38"/>
  <c r="BF30" i="8"/>
  <c r="BF157" i="8" s="1"/>
  <c r="AP170" i="10"/>
  <c r="AP168" i="10"/>
  <c r="AS65" i="59" s="1"/>
  <c r="AW167" i="10"/>
  <c r="AX169" i="10"/>
  <c r="AW169" i="10"/>
  <c r="AX167" i="10"/>
  <c r="AX485" i="28"/>
  <c r="BF485" i="28" s="1"/>
  <c r="BH485" i="28" s="1"/>
  <c r="AX54" i="11"/>
  <c r="AX52" i="11"/>
  <c r="BJ23" i="38"/>
  <c r="AX91" i="8"/>
  <c r="AJ217" i="28"/>
  <c r="AP217" i="28" s="1"/>
  <c r="AT217" i="28" s="1"/>
  <c r="AX217" i="28" s="1"/>
  <c r="BF217" i="28" s="1"/>
  <c r="BH217" i="28" s="1"/>
  <c r="AJ203" i="28"/>
  <c r="AP203" i="28" s="1"/>
  <c r="AJ220" i="28"/>
  <c r="AP220" i="28" s="1"/>
  <c r="AJ201" i="28"/>
  <c r="AP201" i="28" s="1"/>
  <c r="AJ216" i="28"/>
  <c r="AP216" i="28" s="1"/>
  <c r="AJ200" i="28"/>
  <c r="AP200" i="28" s="1"/>
  <c r="AT200" i="28" s="1"/>
  <c r="AX200" i="28" s="1"/>
  <c r="BF200" i="28" s="1"/>
  <c r="BH200" i="28" s="1"/>
  <c r="AJ247" i="28"/>
  <c r="AP247" i="28" s="1"/>
  <c r="AT247" i="28" s="1"/>
  <c r="AX247" i="28" s="1"/>
  <c r="BF247" i="28" s="1"/>
  <c r="BH247" i="28" s="1"/>
  <c r="AJ199" i="28"/>
  <c r="AP199" i="28" s="1"/>
  <c r="AT199" i="28" s="1"/>
  <c r="AX199" i="28" s="1"/>
  <c r="BF199" i="28" s="1"/>
  <c r="BH199" i="28" s="1"/>
  <c r="AJ215" i="28"/>
  <c r="AP215" i="28" s="1"/>
  <c r="AJ198" i="28"/>
  <c r="AP198" i="28" s="1"/>
  <c r="AT198" i="28" s="1"/>
  <c r="AX198" i="28" s="1"/>
  <c r="BF198" i="28" s="1"/>
  <c r="BH198" i="28" s="1"/>
  <c r="AJ152" i="28"/>
  <c r="AP152" i="28" s="1"/>
  <c r="AJ184" i="28"/>
  <c r="AP184" i="28" s="1"/>
  <c r="AT184" i="28" s="1"/>
  <c r="AX184" i="28" s="1"/>
  <c r="BF184" i="28" s="1"/>
  <c r="BH184" i="28" s="1"/>
  <c r="AJ177" i="28"/>
  <c r="AJ151" i="28"/>
  <c r="AP151" i="28" s="1"/>
  <c r="AT151" i="28" s="1"/>
  <c r="AJ164" i="28"/>
  <c r="AJ176" i="28"/>
  <c r="AJ197" i="28"/>
  <c r="AJ193" i="28"/>
  <c r="AP193" i="28" s="1"/>
  <c r="AT193" i="28" s="1"/>
  <c r="AX193" i="28" s="1"/>
  <c r="BF193" i="28" s="1"/>
  <c r="BH193" i="28" s="1"/>
  <c r="AJ175" i="28"/>
  <c r="AJ178" i="28"/>
  <c r="AJ167" i="28"/>
  <c r="AJ188" i="28"/>
  <c r="AJ166" i="28"/>
  <c r="AA28" i="73"/>
  <c r="AA27" i="73"/>
  <c r="AE27" i="73" s="1"/>
  <c r="AA40" i="73"/>
  <c r="AE40" i="73" s="1"/>
  <c r="AA159" i="73"/>
  <c r="AE159" i="73" s="1"/>
  <c r="U159" i="73"/>
  <c r="AA157" i="73"/>
  <c r="AE157" i="73" s="1"/>
  <c r="AI157" i="73" s="1"/>
  <c r="U157" i="73"/>
  <c r="AA49" i="73"/>
  <c r="AA84" i="73"/>
  <c r="AA71" i="73"/>
  <c r="AA33" i="73"/>
  <c r="AA32" i="73"/>
  <c r="AE32" i="73" s="1"/>
  <c r="AA36" i="73"/>
  <c r="AA35" i="73"/>
  <c r="AA91" i="73"/>
  <c r="AA92" i="73"/>
  <c r="Y160" i="73"/>
  <c r="Y98" i="73"/>
  <c r="Y57" i="73"/>
  <c r="BD92" i="8"/>
  <c r="AF52" i="8"/>
  <c r="AI42" i="59" s="1"/>
  <c r="AF112" i="8"/>
  <c r="AF53" i="8" s="1"/>
  <c r="AI43" i="59" s="1"/>
  <c r="BF46" i="7"/>
  <c r="BH46" i="7" s="1"/>
  <c r="BF43" i="7"/>
  <c r="BH43" i="7" s="1"/>
  <c r="BF47" i="7"/>
  <c r="BH47" i="7" s="1"/>
  <c r="BF14" i="7"/>
  <c r="BH14" i="7" s="1"/>
  <c r="BF13" i="7"/>
  <c r="BH13" i="7" s="1"/>
  <c r="AA97" i="73"/>
  <c r="AA78" i="73"/>
  <c r="AA95" i="73"/>
  <c r="AA77" i="73"/>
  <c r="AA94" i="73"/>
  <c r="AA76" i="73"/>
  <c r="AA93" i="73"/>
  <c r="AA75" i="73"/>
  <c r="AA90" i="73"/>
  <c r="AA69" i="73"/>
  <c r="AA86" i="73"/>
  <c r="AA68" i="73"/>
  <c r="AA67" i="73"/>
  <c r="AA83" i="73"/>
  <c r="BE61" i="73"/>
  <c r="AA60" i="73"/>
  <c r="AA81" i="73"/>
  <c r="AA59" i="73"/>
  <c r="BB92" i="8"/>
  <c r="BF27" i="8"/>
  <c r="BF154" i="8" s="1"/>
  <c r="AX22" i="38"/>
  <c r="AT170" i="10"/>
  <c r="AT168" i="10"/>
  <c r="AW65" i="59" s="1"/>
  <c r="AX30" i="38"/>
  <c r="AP110" i="8"/>
  <c r="AX11" i="38"/>
  <c r="BB11" i="38" s="1"/>
  <c r="AX33" i="38"/>
  <c r="AX31" i="38"/>
  <c r="AX10" i="38"/>
  <c r="AX32" i="38"/>
  <c r="AS170" i="10"/>
  <c r="AS168" i="10"/>
  <c r="AV65" i="59" s="1"/>
  <c r="AX26" i="38"/>
  <c r="AX28" i="38"/>
  <c r="AT91" i="8"/>
  <c r="AT109" i="8"/>
  <c r="AX25" i="38"/>
  <c r="AX27" i="38"/>
  <c r="AX9" i="38"/>
  <c r="AX24" i="38"/>
  <c r="AX21" i="38"/>
  <c r="AX29" i="38"/>
  <c r="AX405" i="28"/>
  <c r="BF405" i="28" s="1"/>
  <c r="BH405" i="28" s="1"/>
  <c r="AJ489" i="28"/>
  <c r="AP489" i="28" s="1"/>
  <c r="AT489" i="28" s="1"/>
  <c r="AJ486" i="28"/>
  <c r="AP486" i="28" s="1"/>
  <c r="AT486" i="28" s="1"/>
  <c r="AE39" i="73"/>
  <c r="AJ487" i="28"/>
  <c r="AP487" i="28" s="1"/>
  <c r="AT487" i="28" s="1"/>
  <c r="AJ255" i="28"/>
  <c r="AP255" i="28" s="1"/>
  <c r="AJ303" i="28"/>
  <c r="AP303" i="28" s="1"/>
  <c r="AT303" i="28" s="1"/>
  <c r="AJ302" i="28"/>
  <c r="AP302" i="28" s="1"/>
  <c r="AT302" i="28" s="1"/>
  <c r="AJ488" i="28"/>
  <c r="AP488" i="28" s="1"/>
  <c r="AT488" i="28" s="1"/>
  <c r="AX407" i="28"/>
  <c r="BF407" i="28" s="1"/>
  <c r="BH407" i="28" s="1"/>
  <c r="BH30" i="8" l="1"/>
  <c r="BH27" i="8"/>
  <c r="BH29" i="8"/>
  <c r="BH31" i="8"/>
  <c r="BH24" i="8"/>
  <c r="BF9" i="7"/>
  <c r="AX161" i="7"/>
  <c r="BF91" i="8"/>
  <c r="BB90" i="7"/>
  <c r="BB104" i="7" s="1"/>
  <c r="BB38" i="7"/>
  <c r="BB53" i="7" s="1"/>
  <c r="BF51" i="11"/>
  <c r="BF52" i="11"/>
  <c r="BF45" i="11"/>
  <c r="BF54" i="11"/>
  <c r="AT220" i="28"/>
  <c r="AX220" i="28" s="1"/>
  <c r="BF220" i="28" s="1"/>
  <c r="BH220" i="28" s="1"/>
  <c r="AT326" i="28"/>
  <c r="AX326" i="28" s="1"/>
  <c r="BF326" i="28" s="1"/>
  <c r="BH326" i="28" s="1"/>
  <c r="AT203" i="28"/>
  <c r="AX203" i="28" s="1"/>
  <c r="BF203" i="28" s="1"/>
  <c r="BH203" i="28" s="1"/>
  <c r="AT327" i="28"/>
  <c r="AX327" i="28" s="1"/>
  <c r="BF327" i="28" s="1"/>
  <c r="BH327" i="28" s="1"/>
  <c r="AT216" i="28"/>
  <c r="AX216" i="28" s="1"/>
  <c r="BF216" i="28" s="1"/>
  <c r="BH216" i="28" s="1"/>
  <c r="AT325" i="28"/>
  <c r="AX325" i="28" s="1"/>
  <c r="BF325" i="28" s="1"/>
  <c r="BH325" i="28" s="1"/>
  <c r="AT345" i="28"/>
  <c r="AX345" i="28" s="1"/>
  <c r="BF345" i="28" s="1"/>
  <c r="BH345" i="28" s="1"/>
  <c r="AT346" i="28"/>
  <c r="AX346" i="28" s="1"/>
  <c r="BF346" i="28" s="1"/>
  <c r="BH346" i="28" s="1"/>
  <c r="AT201" i="28"/>
  <c r="AX201" i="28" s="1"/>
  <c r="BF201" i="28" s="1"/>
  <c r="BH201" i="28" s="1"/>
  <c r="AT152" i="28"/>
  <c r="AX152" i="28" s="1"/>
  <c r="BF152" i="28" s="1"/>
  <c r="BH152" i="28" s="1"/>
  <c r="AT215" i="28"/>
  <c r="AX215" i="28" s="1"/>
  <c r="BF215" i="28" s="1"/>
  <c r="BH215" i="28" s="1"/>
  <c r="AT111" i="8"/>
  <c r="AI40" i="73"/>
  <c r="AO40" i="73" s="1"/>
  <c r="AS40" i="73" s="1"/>
  <c r="AW40" i="73" s="1"/>
  <c r="AI27" i="73"/>
  <c r="AO27" i="73" s="1"/>
  <c r="AS27" i="73" s="1"/>
  <c r="AW27" i="73" s="1"/>
  <c r="AI39" i="73"/>
  <c r="AO39" i="73" s="1"/>
  <c r="AS39" i="73" s="1"/>
  <c r="AW39" i="73" s="1"/>
  <c r="AI32" i="73"/>
  <c r="AO32" i="73" s="1"/>
  <c r="AS32" i="73" s="1"/>
  <c r="AW32" i="73" s="1"/>
  <c r="AI159" i="73"/>
  <c r="AO159" i="73" s="1"/>
  <c r="AS159" i="73" s="1"/>
  <c r="AJ52" i="8"/>
  <c r="AM42" i="59" s="1"/>
  <c r="AM44" i="59" s="1"/>
  <c r="AY173" i="45"/>
  <c r="AY172" i="45"/>
  <c r="AY171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BF153" i="8" s="1"/>
  <c r="AX109" i="8"/>
  <c r="AX111" i="8" s="1"/>
  <c r="BJ15" i="38"/>
  <c r="AW170" i="10"/>
  <c r="AW168" i="10"/>
  <c r="AZ65" i="59" s="1"/>
  <c r="BE169" i="10"/>
  <c r="BH169" i="10" s="1"/>
  <c r="AX168" i="10"/>
  <c r="AX170" i="10"/>
  <c r="BF169" i="10"/>
  <c r="BI169" i="10" s="1"/>
  <c r="BF167" i="10"/>
  <c r="BI167" i="10" s="1"/>
  <c r="BE167" i="10"/>
  <c r="BH167" i="10" s="1"/>
  <c r="AX303" i="28"/>
  <c r="BF303" i="28" s="1"/>
  <c r="BH303" i="28" s="1"/>
  <c r="AX488" i="28"/>
  <c r="BF488" i="28" s="1"/>
  <c r="BH488" i="28" s="1"/>
  <c r="AX486" i="28"/>
  <c r="BF486" i="28" s="1"/>
  <c r="BH486" i="28" s="1"/>
  <c r="AX302" i="28"/>
  <c r="BF302" i="28" s="1"/>
  <c r="BH302" i="28" s="1"/>
  <c r="AX487" i="28"/>
  <c r="BF487" i="28" s="1"/>
  <c r="BH487" i="28" s="1"/>
  <c r="AX489" i="28"/>
  <c r="BF489" i="28" s="1"/>
  <c r="BH489" i="28" s="1"/>
  <c r="BH16" i="28"/>
  <c r="BH52" i="28"/>
  <c r="AX151" i="28"/>
  <c r="BF151" i="28" s="1"/>
  <c r="BH151" i="28" s="1"/>
  <c r="BH24" i="28"/>
  <c r="BH28" i="28"/>
  <c r="BH51" i="28"/>
  <c r="BH19" i="28"/>
  <c r="BH17" i="28"/>
  <c r="BH20" i="28"/>
  <c r="BH27" i="28"/>
  <c r="BH25" i="28"/>
  <c r="BF30" i="11"/>
  <c r="AP166" i="28"/>
  <c r="AT166" i="28" s="1"/>
  <c r="AX166" i="28" s="1"/>
  <c r="BF166" i="28" s="1"/>
  <c r="BH166" i="28" s="1"/>
  <c r="AP188" i="28"/>
  <c r="AT188" i="28" s="1"/>
  <c r="AX188" i="28" s="1"/>
  <c r="BF188" i="28" s="1"/>
  <c r="BH188" i="28" s="1"/>
  <c r="AP167" i="28"/>
  <c r="AP178" i="28"/>
  <c r="AT178" i="28" s="1"/>
  <c r="AX178" i="28" s="1"/>
  <c r="BF178" i="28" s="1"/>
  <c r="BH178" i="28" s="1"/>
  <c r="AP175" i="28"/>
  <c r="AT175" i="28" s="1"/>
  <c r="AX175" i="28" s="1"/>
  <c r="BF175" i="28" s="1"/>
  <c r="BH175" i="28" s="1"/>
  <c r="AP197" i="28"/>
  <c r="AT197" i="28" s="1"/>
  <c r="AX197" i="28" s="1"/>
  <c r="BF197" i="28" s="1"/>
  <c r="BH197" i="28" s="1"/>
  <c r="AP176" i="28"/>
  <c r="AT176" i="28" s="1"/>
  <c r="AX176" i="28" s="1"/>
  <c r="BF176" i="28" s="1"/>
  <c r="BH176" i="28" s="1"/>
  <c r="AP164" i="28"/>
  <c r="AT164" i="28" s="1"/>
  <c r="AX164" i="28" s="1"/>
  <c r="BF164" i="28" s="1"/>
  <c r="BH164" i="28" s="1"/>
  <c r="AP177" i="28"/>
  <c r="AT177" i="28" s="1"/>
  <c r="AX177" i="28" s="1"/>
  <c r="BF177" i="28" s="1"/>
  <c r="BH177" i="28" s="1"/>
  <c r="AO157" i="73"/>
  <c r="AE83" i="73"/>
  <c r="AI83" i="73" s="1"/>
  <c r="AE78" i="73"/>
  <c r="AI78" i="73" s="1"/>
  <c r="AE67" i="73"/>
  <c r="AI67" i="73" s="1"/>
  <c r="AE90" i="73"/>
  <c r="AE97" i="73"/>
  <c r="AE92" i="73"/>
  <c r="AI92" i="73" s="1"/>
  <c r="AE35" i="73"/>
  <c r="AE33" i="73"/>
  <c r="AE71" i="73"/>
  <c r="AI71" i="73" s="1"/>
  <c r="AE84" i="73"/>
  <c r="AI84" i="73" s="1"/>
  <c r="AE68" i="73"/>
  <c r="AI68" i="73" s="1"/>
  <c r="AE75" i="73"/>
  <c r="AI75" i="73" s="1"/>
  <c r="AE77" i="73"/>
  <c r="AI77" i="73" s="1"/>
  <c r="AE81" i="73"/>
  <c r="AI81" i="73" s="1"/>
  <c r="AE69" i="73"/>
  <c r="AI69" i="73" s="1"/>
  <c r="AE76" i="73"/>
  <c r="AI76" i="73" s="1"/>
  <c r="AE60" i="73"/>
  <c r="AI60" i="73" s="1"/>
  <c r="AE94" i="73"/>
  <c r="AI94" i="73" s="1"/>
  <c r="AE36" i="73"/>
  <c r="AE28" i="73"/>
  <c r="AE59" i="73"/>
  <c r="AI59" i="73" s="1"/>
  <c r="AE86" i="73"/>
  <c r="AI86" i="73" s="1"/>
  <c r="AE93" i="73"/>
  <c r="AI93" i="73" s="1"/>
  <c r="AE95" i="73"/>
  <c r="AI95" i="73" s="1"/>
  <c r="AE91" i="73"/>
  <c r="AI91" i="73" s="1"/>
  <c r="AJ80" i="28"/>
  <c r="AP80" i="28" s="1"/>
  <c r="AT80" i="28" s="1"/>
  <c r="AJ83" i="28"/>
  <c r="AP83" i="28" s="1"/>
  <c r="AT83" i="28" s="1"/>
  <c r="AJ84" i="28"/>
  <c r="AP84" i="28" s="1"/>
  <c r="AT84" i="28" s="1"/>
  <c r="AJ92" i="28"/>
  <c r="AP92" i="28" s="1"/>
  <c r="AT92" i="28" s="1"/>
  <c r="AJ91" i="28"/>
  <c r="AP91" i="28" s="1"/>
  <c r="AT91" i="28" s="1"/>
  <c r="AJ87" i="28"/>
  <c r="AP87" i="28" s="1"/>
  <c r="AT87" i="28" s="1"/>
  <c r="AJ88" i="28"/>
  <c r="AP88" i="28" s="1"/>
  <c r="AT88" i="28" s="1"/>
  <c r="AJ260" i="28"/>
  <c r="AJ275" i="28"/>
  <c r="AJ102" i="28"/>
  <c r="AJ428" i="28"/>
  <c r="AP428" i="28" s="1"/>
  <c r="AJ115" i="28"/>
  <c r="AJ411" i="28"/>
  <c r="AP411" i="28" s="1"/>
  <c r="AT411" i="28" s="1"/>
  <c r="AJ180" i="28"/>
  <c r="AJ181" i="28"/>
  <c r="AJ412" i="28"/>
  <c r="AP412" i="28" s="1"/>
  <c r="AT412" i="28" s="1"/>
  <c r="AJ227" i="28"/>
  <c r="AP227" i="28" s="1"/>
  <c r="AT227" i="28" s="1"/>
  <c r="AX227" i="28" s="1"/>
  <c r="BF227" i="28" s="1"/>
  <c r="BH227" i="28" s="1"/>
  <c r="AJ225" i="28"/>
  <c r="AJ223" i="28"/>
  <c r="AJ427" i="28"/>
  <c r="AP427" i="28" s="1"/>
  <c r="AJ112" i="28"/>
  <c r="AJ114" i="28"/>
  <c r="AJ111" i="28"/>
  <c r="AJ232" i="28"/>
  <c r="AP232" i="28" s="1"/>
  <c r="AT232" i="28" s="1"/>
  <c r="AX232" i="28" s="1"/>
  <c r="BF232" i="28" s="1"/>
  <c r="BH232" i="28" s="1"/>
  <c r="AJ226" i="28"/>
  <c r="AP226" i="28" s="1"/>
  <c r="AT226" i="28" s="1"/>
  <c r="AX226" i="28" s="1"/>
  <c r="BF226" i="28" s="1"/>
  <c r="BH226" i="28" s="1"/>
  <c r="AJ191" i="28"/>
  <c r="AJ150" i="28"/>
  <c r="AJ284" i="28"/>
  <c r="AJ118" i="28"/>
  <c r="AJ224" i="28"/>
  <c r="AJ355" i="28"/>
  <c r="AI44" i="59"/>
  <c r="BJ11" i="38"/>
  <c r="AT255" i="28"/>
  <c r="BF109" i="8"/>
  <c r="BF111" i="8" s="1"/>
  <c r="AP52" i="8"/>
  <c r="AS42" i="59" s="1"/>
  <c r="AP112" i="8"/>
  <c r="AP53" i="8" s="1"/>
  <c r="AS43" i="59" s="1"/>
  <c r="AT110" i="8"/>
  <c r="Y97" i="28"/>
  <c r="Y96" i="28"/>
  <c r="Y81" i="28"/>
  <c r="Y80" i="28"/>
  <c r="Y64" i="28"/>
  <c r="Y36" i="28"/>
  <c r="Y35" i="28"/>
  <c r="Y33" i="28"/>
  <c r="Y20" i="28"/>
  <c r="Y19" i="28"/>
  <c r="Y17" i="28"/>
  <c r="Y16" i="28"/>
  <c r="Y12" i="28"/>
  <c r="Y11" i="28"/>
  <c r="Y9" i="28"/>
  <c r="Z7" i="28"/>
  <c r="BH55" i="28" l="1"/>
  <c r="BS60" i="28"/>
  <c r="BH25" i="8"/>
  <c r="BH9" i="7"/>
  <c r="BF161" i="7"/>
  <c r="BA65" i="59"/>
  <c r="BD36" i="7"/>
  <c r="BD21" i="7"/>
  <c r="BB77" i="7"/>
  <c r="BB63" i="7"/>
  <c r="AW159" i="73"/>
  <c r="BE39" i="73"/>
  <c r="BE40" i="73"/>
  <c r="BE32" i="73"/>
  <c r="BE27" i="73"/>
  <c r="AT167" i="28"/>
  <c r="AX167" i="28" s="1"/>
  <c r="BF167" i="28" s="1"/>
  <c r="BH167" i="28" s="1"/>
  <c r="AI35" i="73"/>
  <c r="AO35" i="73" s="1"/>
  <c r="AS35" i="73" s="1"/>
  <c r="AW35" i="73" s="1"/>
  <c r="AI97" i="73"/>
  <c r="AO97" i="73" s="1"/>
  <c r="AS97" i="73" s="1"/>
  <c r="AW97" i="73" s="1"/>
  <c r="AI90" i="73"/>
  <c r="AO90" i="73" s="1"/>
  <c r="AS90" i="73" s="1"/>
  <c r="AW90" i="73" s="1"/>
  <c r="AI28" i="73"/>
  <c r="AO28" i="73" s="1"/>
  <c r="AS28" i="73" s="1"/>
  <c r="AW28" i="73" s="1"/>
  <c r="AI36" i="73"/>
  <c r="AO36" i="73" s="1"/>
  <c r="AS36" i="73" s="1"/>
  <c r="AW36" i="73" s="1"/>
  <c r="AI33" i="73"/>
  <c r="AO33" i="73" s="1"/>
  <c r="AS33" i="73" s="1"/>
  <c r="AW33" i="73" s="1"/>
  <c r="BG173" i="45"/>
  <c r="AX110" i="8"/>
  <c r="AX52" i="8" s="1"/>
  <c r="BA42" i="59" s="1"/>
  <c r="AO95" i="73"/>
  <c r="AS95" i="73" s="1"/>
  <c r="BG172" i="45"/>
  <c r="BG171" i="45"/>
  <c r="AS157" i="73"/>
  <c r="AO81" i="73"/>
  <c r="AS81" i="73" s="1"/>
  <c r="AW81" i="73" s="1"/>
  <c r="AO71" i="73"/>
  <c r="AS71" i="73" s="1"/>
  <c r="AW71" i="73" s="1"/>
  <c r="BE71" i="73" s="1"/>
  <c r="AO67" i="73"/>
  <c r="AS67" i="73" s="1"/>
  <c r="AW67" i="73" s="1"/>
  <c r="AO94" i="73"/>
  <c r="AS94" i="73" s="1"/>
  <c r="AW94" i="73" s="1"/>
  <c r="AO77" i="73"/>
  <c r="AS77" i="73" s="1"/>
  <c r="AW77" i="73" s="1"/>
  <c r="AO78" i="73"/>
  <c r="AS78" i="73" s="1"/>
  <c r="AW78" i="73" s="1"/>
  <c r="AO93" i="73"/>
  <c r="AS93" i="73" s="1"/>
  <c r="AW93" i="73" s="1"/>
  <c r="AO60" i="73"/>
  <c r="AS60" i="73" s="1"/>
  <c r="AW60" i="73" s="1"/>
  <c r="AO75" i="73"/>
  <c r="AS75" i="73" s="1"/>
  <c r="AW75" i="73" s="1"/>
  <c r="AO83" i="73"/>
  <c r="AS83" i="73" s="1"/>
  <c r="AW83" i="73" s="1"/>
  <c r="AO86" i="73"/>
  <c r="AS86" i="73" s="1"/>
  <c r="AW86" i="73" s="1"/>
  <c r="AO76" i="73"/>
  <c r="AS76" i="73" s="1"/>
  <c r="AW76" i="73" s="1"/>
  <c r="AO68" i="73"/>
  <c r="AS68" i="73" s="1"/>
  <c r="AW68" i="73" s="1"/>
  <c r="AO92" i="73"/>
  <c r="AS92" i="73" s="1"/>
  <c r="AW92" i="73" s="1"/>
  <c r="AO84" i="73"/>
  <c r="AS84" i="73" s="1"/>
  <c r="AW84" i="73" s="1"/>
  <c r="AO91" i="73"/>
  <c r="AS91" i="73" s="1"/>
  <c r="AW91" i="73" s="1"/>
  <c r="AO59" i="73"/>
  <c r="AS59" i="73" s="1"/>
  <c r="AW59" i="73" s="1"/>
  <c r="AO69" i="73"/>
  <c r="AS69" i="73" s="1"/>
  <c r="AW69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8" i="10"/>
  <c r="BI65" i="59" s="1"/>
  <c r="BF170" i="10"/>
  <c r="BE170" i="10"/>
  <c r="BE168" i="10"/>
  <c r="AX255" i="28"/>
  <c r="BF255" i="28" s="1"/>
  <c r="BH255" i="28" s="1"/>
  <c r="AX83" i="28"/>
  <c r="BF83" i="28" s="1"/>
  <c r="BH83" i="28" s="1"/>
  <c r="AX88" i="28"/>
  <c r="BF88" i="28" s="1"/>
  <c r="BH88" i="28" s="1"/>
  <c r="AX80" i="28"/>
  <c r="BF80" i="28" s="1"/>
  <c r="BH80" i="28" s="1"/>
  <c r="AX87" i="28"/>
  <c r="BF87" i="28" s="1"/>
  <c r="BH87" i="28" s="1"/>
  <c r="AX91" i="28"/>
  <c r="BF91" i="28" s="1"/>
  <c r="BH91" i="28" s="1"/>
  <c r="AX92" i="28"/>
  <c r="BF92" i="28" s="1"/>
  <c r="BH92" i="28" s="1"/>
  <c r="AX84" i="28"/>
  <c r="BF84" i="28" s="1"/>
  <c r="BH84" i="28" s="1"/>
  <c r="AT427" i="28"/>
  <c r="AT428" i="28"/>
  <c r="AP118" i="28"/>
  <c r="AT118" i="28" s="1"/>
  <c r="AP111" i="28"/>
  <c r="AT111" i="28" s="1"/>
  <c r="AP114" i="28"/>
  <c r="AT114" i="28" s="1"/>
  <c r="AP181" i="28"/>
  <c r="AT181" i="28" s="1"/>
  <c r="AX181" i="28" s="1"/>
  <c r="BF181" i="28" s="1"/>
  <c r="BH181" i="28" s="1"/>
  <c r="AP275" i="28"/>
  <c r="AT275" i="28" s="1"/>
  <c r="AP260" i="28"/>
  <c r="AT260" i="28" s="1"/>
  <c r="AP150" i="28"/>
  <c r="AT150" i="28" s="1"/>
  <c r="AP112" i="28"/>
  <c r="AT112" i="28" s="1"/>
  <c r="AP223" i="28"/>
  <c r="AT223" i="28" s="1"/>
  <c r="AX223" i="28" s="1"/>
  <c r="BF223" i="28" s="1"/>
  <c r="BH223" i="28" s="1"/>
  <c r="AP180" i="28"/>
  <c r="AT180" i="28" s="1"/>
  <c r="AX180" i="28" s="1"/>
  <c r="BF180" i="28" s="1"/>
  <c r="BH180" i="28" s="1"/>
  <c r="AP284" i="28"/>
  <c r="AT284" i="28" s="1"/>
  <c r="AP355" i="28"/>
  <c r="AT355" i="28" s="1"/>
  <c r="AP224" i="28"/>
  <c r="AT224" i="28" s="1"/>
  <c r="AX224" i="28" s="1"/>
  <c r="BF224" i="28" s="1"/>
  <c r="BH224" i="28" s="1"/>
  <c r="AP191" i="28"/>
  <c r="AT191" i="28" s="1"/>
  <c r="AX191" i="28" s="1"/>
  <c r="BF191" i="28" s="1"/>
  <c r="BH191" i="28" s="1"/>
  <c r="AP225" i="28"/>
  <c r="AT225" i="28" s="1"/>
  <c r="AX225" i="28" s="1"/>
  <c r="BF225" i="28" s="1"/>
  <c r="BH225" i="28" s="1"/>
  <c r="AP115" i="28"/>
  <c r="AT115" i="28" s="1"/>
  <c r="AP102" i="28"/>
  <c r="AT102" i="28" s="1"/>
  <c r="AJ334" i="28"/>
  <c r="AP334" i="28" s="1"/>
  <c r="AT334" i="28" s="1"/>
  <c r="AJ279" i="28"/>
  <c r="AJ296" i="28"/>
  <c r="AJ358" i="28"/>
  <c r="AJ333" i="28"/>
  <c r="AP333" i="28" s="1"/>
  <c r="AT333" i="28" s="1"/>
  <c r="AJ353" i="28"/>
  <c r="AJ281" i="28"/>
  <c r="AJ332" i="28"/>
  <c r="AP332" i="28" s="1"/>
  <c r="AT332" i="28" s="1"/>
  <c r="AJ278" i="28"/>
  <c r="AJ293" i="28"/>
  <c r="AJ288" i="28"/>
  <c r="AJ282" i="28"/>
  <c r="AJ286" i="28"/>
  <c r="AJ292" i="28"/>
  <c r="AJ276" i="28"/>
  <c r="AJ290" i="28"/>
  <c r="AJ280" i="28"/>
  <c r="AJ287" i="28"/>
  <c r="AJ294" i="28"/>
  <c r="AJ273" i="28"/>
  <c r="AJ291" i="28"/>
  <c r="AJ308" i="28"/>
  <c r="AJ283" i="28"/>
  <c r="AJ354" i="28"/>
  <c r="AJ417" i="28"/>
  <c r="AJ289" i="28"/>
  <c r="AJ277" i="28"/>
  <c r="AJ274" i="28"/>
  <c r="AJ356" i="28"/>
  <c r="AJ271" i="28"/>
  <c r="AJ213" i="28"/>
  <c r="AJ209" i="28"/>
  <c r="AJ211" i="28"/>
  <c r="AJ208" i="28"/>
  <c r="AJ206" i="28"/>
  <c r="AJ210" i="28"/>
  <c r="AJ204" i="28"/>
  <c r="AJ149" i="28"/>
  <c r="AJ105" i="28"/>
  <c r="AJ163" i="28"/>
  <c r="AJ121" i="28"/>
  <c r="AJ183" i="28"/>
  <c r="AJ104" i="28"/>
  <c r="AJ156" i="28"/>
  <c r="AP156" i="28" s="1"/>
  <c r="AT156" i="28" s="1"/>
  <c r="AX156" i="28" s="1"/>
  <c r="BF156" i="28" s="1"/>
  <c r="BH156" i="28" s="1"/>
  <c r="AJ113" i="28"/>
  <c r="AJ195" i="28"/>
  <c r="AJ148" i="28"/>
  <c r="AJ162" i="28"/>
  <c r="AJ155" i="28"/>
  <c r="AP155" i="28" s="1"/>
  <c r="AT155" i="28" s="1"/>
  <c r="AX155" i="28" s="1"/>
  <c r="BF155" i="28" s="1"/>
  <c r="BH155" i="28" s="1"/>
  <c r="AJ120" i="28"/>
  <c r="AJ117" i="28"/>
  <c r="AJ189" i="28"/>
  <c r="AJ179" i="28"/>
  <c r="AJ108" i="28"/>
  <c r="AJ196" i="28"/>
  <c r="AJ106" i="28"/>
  <c r="AJ110" i="28"/>
  <c r="AJ154" i="28"/>
  <c r="AP154" i="28" s="1"/>
  <c r="AT154" i="28" s="1"/>
  <c r="AX154" i="28" s="1"/>
  <c r="BF154" i="28" s="1"/>
  <c r="BH154" i="28" s="1"/>
  <c r="AS44" i="59"/>
  <c r="BF110" i="8"/>
  <c r="BF112" i="8" s="1"/>
  <c r="BF53" i="8" s="1"/>
  <c r="AT112" i="8"/>
  <c r="AT53" i="8" s="1"/>
  <c r="AW43" i="59" s="1"/>
  <c r="AT52" i="8"/>
  <c r="Z105" i="9"/>
  <c r="Z55" i="9"/>
  <c r="BI43" i="59" l="1"/>
  <c r="BF123" i="8"/>
  <c r="BF99" i="9"/>
  <c r="BH65" i="59"/>
  <c r="BD90" i="7"/>
  <c r="BD104" i="7" s="1"/>
  <c r="BD38" i="7"/>
  <c r="BD53" i="7" s="1"/>
  <c r="BA51" i="39"/>
  <c r="BC51" i="39" s="1"/>
  <c r="BA49" i="39"/>
  <c r="BC49" i="39" s="1"/>
  <c r="BB41" i="7"/>
  <c r="AW157" i="73"/>
  <c r="BE159" i="73"/>
  <c r="BE69" i="73"/>
  <c r="BE92" i="73"/>
  <c r="BE83" i="73"/>
  <c r="BE78" i="73"/>
  <c r="BE28" i="73"/>
  <c r="BE97" i="73"/>
  <c r="BE59" i="73"/>
  <c r="BE68" i="73"/>
  <c r="BE75" i="73"/>
  <c r="BE77" i="73"/>
  <c r="BE81" i="73"/>
  <c r="BE91" i="73"/>
  <c r="BE76" i="73"/>
  <c r="BE60" i="73"/>
  <c r="BE94" i="73"/>
  <c r="BE33" i="73"/>
  <c r="BE90" i="73"/>
  <c r="BE84" i="73"/>
  <c r="BE86" i="73"/>
  <c r="BE93" i="73"/>
  <c r="BE67" i="73"/>
  <c r="BE35" i="73"/>
  <c r="BE36" i="73"/>
  <c r="AW42" i="59"/>
  <c r="AW44" i="59" s="1"/>
  <c r="AX112" i="8"/>
  <c r="AX53" i="8" s="1"/>
  <c r="BA43" i="59" s="1"/>
  <c r="BA44" i="59" s="1"/>
  <c r="AW95" i="73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428" i="28"/>
  <c r="BF428" i="28" s="1"/>
  <c r="BH428" i="28" s="1"/>
  <c r="AX412" i="28"/>
  <c r="BF412" i="28" s="1"/>
  <c r="BH412" i="28" s="1"/>
  <c r="AX411" i="28"/>
  <c r="BF411" i="28" s="1"/>
  <c r="BH411" i="28" s="1"/>
  <c r="AX260" i="28"/>
  <c r="BF260" i="28" s="1"/>
  <c r="BH260" i="28" s="1"/>
  <c r="AX284" i="28"/>
  <c r="BF284" i="28" s="1"/>
  <c r="BH284" i="28" s="1"/>
  <c r="AX275" i="28"/>
  <c r="BF275" i="28" s="1"/>
  <c r="BH275" i="28" s="1"/>
  <c r="AX427" i="28"/>
  <c r="BF427" i="28" s="1"/>
  <c r="BH427" i="28" s="1"/>
  <c r="AP211" i="28"/>
  <c r="AT211" i="28" s="1"/>
  <c r="AX211" i="28" s="1"/>
  <c r="BF211" i="28" s="1"/>
  <c r="BH211" i="28" s="1"/>
  <c r="AP288" i="28"/>
  <c r="AT288" i="28" s="1"/>
  <c r="AP353" i="28"/>
  <c r="AT353" i="28" s="1"/>
  <c r="AP117" i="28"/>
  <c r="AT117" i="28" s="1"/>
  <c r="AP274" i="28"/>
  <c r="AT274" i="28" s="1"/>
  <c r="AP293" i="28"/>
  <c r="AT293" i="28" s="1"/>
  <c r="AP311" i="28"/>
  <c r="AP149" i="28"/>
  <c r="AT149" i="28" s="1"/>
  <c r="AP204" i="28"/>
  <c r="AT204" i="28" s="1"/>
  <c r="AX204" i="28" s="1"/>
  <c r="BF204" i="28" s="1"/>
  <c r="BH204" i="28" s="1"/>
  <c r="AP283" i="28"/>
  <c r="AT283" i="28" s="1"/>
  <c r="AP276" i="28"/>
  <c r="AT276" i="28" s="1"/>
  <c r="AP278" i="28"/>
  <c r="AT278" i="28" s="1"/>
  <c r="AP358" i="28"/>
  <c r="AT358" i="28" s="1"/>
  <c r="AP113" i="28"/>
  <c r="AT113" i="28" s="1"/>
  <c r="AP294" i="28"/>
  <c r="AT294" i="28" s="1"/>
  <c r="AP120" i="28"/>
  <c r="AT120" i="28" s="1"/>
  <c r="AP410" i="28"/>
  <c r="AT410" i="28" s="1"/>
  <c r="AP271" i="28"/>
  <c r="AT271" i="28" s="1"/>
  <c r="AP290" i="28"/>
  <c r="AT290" i="28" s="1"/>
  <c r="AP296" i="28"/>
  <c r="AT296" i="28" s="1"/>
  <c r="AP110" i="28"/>
  <c r="AT110" i="28" s="1"/>
  <c r="AP417" i="28"/>
  <c r="AP287" i="28"/>
  <c r="AT287" i="28" s="1"/>
  <c r="AP104" i="28"/>
  <c r="AT104" i="28" s="1"/>
  <c r="AP280" i="28"/>
  <c r="AT280" i="28" s="1"/>
  <c r="AP162" i="28"/>
  <c r="AT162" i="28" s="1"/>
  <c r="AX162" i="28" s="1"/>
  <c r="BF162" i="28" s="1"/>
  <c r="BH162" i="28" s="1"/>
  <c r="AP210" i="28"/>
  <c r="AT210" i="28" s="1"/>
  <c r="AX210" i="28" s="1"/>
  <c r="BF210" i="28" s="1"/>
  <c r="BH210" i="28" s="1"/>
  <c r="AP179" i="28"/>
  <c r="AT179" i="28" s="1"/>
  <c r="AX179" i="28" s="1"/>
  <c r="BF179" i="28" s="1"/>
  <c r="BH179" i="28" s="1"/>
  <c r="AP206" i="28"/>
  <c r="AT206" i="28" s="1"/>
  <c r="AX206" i="28" s="1"/>
  <c r="BF206" i="28" s="1"/>
  <c r="BH206" i="28" s="1"/>
  <c r="AP291" i="28"/>
  <c r="AT291" i="28" s="1"/>
  <c r="AP286" i="28"/>
  <c r="AT286" i="28" s="1"/>
  <c r="AP268" i="28"/>
  <c r="AT268" i="28" s="1"/>
  <c r="AP313" i="28"/>
  <c r="AT313" i="28" s="1"/>
  <c r="AP105" i="28"/>
  <c r="AT105" i="28" s="1"/>
  <c r="AP106" i="28"/>
  <c r="AT106" i="28" s="1"/>
  <c r="AP209" i="28"/>
  <c r="AT209" i="28" s="1"/>
  <c r="AX209" i="28" s="1"/>
  <c r="BF209" i="28" s="1"/>
  <c r="BH209" i="28" s="1"/>
  <c r="AP354" i="28"/>
  <c r="AT354" i="28" s="1"/>
  <c r="AP196" i="28"/>
  <c r="AT196" i="28" s="1"/>
  <c r="AX196" i="28" s="1"/>
  <c r="BF196" i="28" s="1"/>
  <c r="BH196" i="28" s="1"/>
  <c r="AP213" i="28"/>
  <c r="AT213" i="28" s="1"/>
  <c r="AX213" i="28" s="1"/>
  <c r="BF213" i="28" s="1"/>
  <c r="BH213" i="28" s="1"/>
  <c r="AP270" i="28"/>
  <c r="AT270" i="28" s="1"/>
  <c r="AP108" i="28"/>
  <c r="AT108" i="28" s="1"/>
  <c r="AP183" i="28"/>
  <c r="AT183" i="28" s="1"/>
  <c r="AX183" i="28" s="1"/>
  <c r="BF183" i="28" s="1"/>
  <c r="BH183" i="28" s="1"/>
  <c r="AP277" i="28"/>
  <c r="AT277" i="28" s="1"/>
  <c r="AP308" i="28"/>
  <c r="AT308" i="28" s="1"/>
  <c r="AP292" i="28"/>
  <c r="AT292" i="28" s="1"/>
  <c r="AP148" i="28"/>
  <c r="AT148" i="28" s="1"/>
  <c r="AP121" i="28"/>
  <c r="AT121" i="28" s="1"/>
  <c r="AP356" i="28"/>
  <c r="AT356" i="28" s="1"/>
  <c r="AP189" i="28"/>
  <c r="AT189" i="28" s="1"/>
  <c r="AX189" i="28" s="1"/>
  <c r="BF189" i="28" s="1"/>
  <c r="BH189" i="28" s="1"/>
  <c r="AP195" i="28"/>
  <c r="AT195" i="28" s="1"/>
  <c r="AX195" i="28" s="1"/>
  <c r="BF195" i="28" s="1"/>
  <c r="BH195" i="28" s="1"/>
  <c r="AP163" i="28"/>
  <c r="AT163" i="28" s="1"/>
  <c r="AX163" i="28" s="1"/>
  <c r="BF163" i="28" s="1"/>
  <c r="BH163" i="28" s="1"/>
  <c r="AP208" i="28"/>
  <c r="AT208" i="28" s="1"/>
  <c r="AX208" i="28" s="1"/>
  <c r="BF208" i="28" s="1"/>
  <c r="BH208" i="28" s="1"/>
  <c r="AP267" i="28"/>
  <c r="AT267" i="28" s="1"/>
  <c r="AP289" i="28"/>
  <c r="AT289" i="28" s="1"/>
  <c r="AP273" i="28"/>
  <c r="AT273" i="28" s="1"/>
  <c r="AP312" i="28"/>
  <c r="AT312" i="28" s="1"/>
  <c r="AP282" i="28"/>
  <c r="AT282" i="28" s="1"/>
  <c r="AP281" i="28"/>
  <c r="AT281" i="28" s="1"/>
  <c r="AP279" i="28"/>
  <c r="AT279" i="28" s="1"/>
  <c r="BF52" i="8"/>
  <c r="Z27" i="22"/>
  <c r="Z25" i="22"/>
  <c r="Z22" i="22"/>
  <c r="Z21" i="22"/>
  <c r="Z43" i="22" s="1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X22" i="15"/>
  <c r="BI42" i="59" l="1"/>
  <c r="BI44" i="59" s="1"/>
  <c r="BF121" i="8"/>
  <c r="BB51" i="7"/>
  <c r="BD41" i="7"/>
  <c r="BD51" i="7" s="1"/>
  <c r="BD63" i="7"/>
  <c r="BD77" i="7"/>
  <c r="BE157" i="73"/>
  <c r="BE95" i="73"/>
  <c r="AT311" i="28"/>
  <c r="AX311" i="28" s="1"/>
  <c r="BF311" i="28" s="1"/>
  <c r="BH311" i="28" s="1"/>
  <c r="AI55" i="39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65" i="28"/>
  <c r="BF265" i="28" s="1"/>
  <c r="BH265" i="28" s="1"/>
  <c r="AX266" i="28"/>
  <c r="BF266" i="28" s="1"/>
  <c r="BH266" i="28" s="1"/>
  <c r="AX281" i="28"/>
  <c r="BF281" i="28" s="1"/>
  <c r="BH281" i="28" s="1"/>
  <c r="AX278" i="28"/>
  <c r="BF278" i="28" s="1"/>
  <c r="BH278" i="28" s="1"/>
  <c r="AX270" i="28"/>
  <c r="BF270" i="28" s="1"/>
  <c r="BH270" i="28" s="1"/>
  <c r="AX280" i="28"/>
  <c r="BF280" i="28" s="1"/>
  <c r="BH280" i="28" s="1"/>
  <c r="AX296" i="28"/>
  <c r="BF296" i="28" s="1"/>
  <c r="BH296" i="28" s="1"/>
  <c r="AX276" i="28"/>
  <c r="BF276" i="28" s="1"/>
  <c r="BH276" i="28" s="1"/>
  <c r="AX288" i="28"/>
  <c r="BF288" i="28" s="1"/>
  <c r="BH288" i="28" s="1"/>
  <c r="AX267" i="28"/>
  <c r="BF267" i="28" s="1"/>
  <c r="BH267" i="28" s="1"/>
  <c r="AX282" i="28"/>
  <c r="BF282" i="28" s="1"/>
  <c r="BH282" i="28" s="1"/>
  <c r="AX294" i="28"/>
  <c r="BF294" i="28" s="1"/>
  <c r="BH294" i="28" s="1"/>
  <c r="AX283" i="28"/>
  <c r="BF283" i="28" s="1"/>
  <c r="BH283" i="28" s="1"/>
  <c r="AX293" i="28"/>
  <c r="BF293" i="28" s="1"/>
  <c r="BH293" i="28" s="1"/>
  <c r="AX279" i="28"/>
  <c r="BF279" i="28" s="1"/>
  <c r="BH279" i="28" s="1"/>
  <c r="AX264" i="28"/>
  <c r="BF264" i="28" s="1"/>
  <c r="BH264" i="28" s="1"/>
  <c r="AX263" i="28"/>
  <c r="BF263" i="28" s="1"/>
  <c r="BH263" i="28" s="1"/>
  <c r="AX273" i="28"/>
  <c r="BF273" i="28" s="1"/>
  <c r="BH273" i="28" s="1"/>
  <c r="AX287" i="28"/>
  <c r="BF287" i="28" s="1"/>
  <c r="BH287" i="28" s="1"/>
  <c r="AX290" i="28"/>
  <c r="BF290" i="28" s="1"/>
  <c r="BH290" i="28" s="1"/>
  <c r="AX274" i="28"/>
  <c r="BF274" i="28" s="1"/>
  <c r="BH274" i="28" s="1"/>
  <c r="AX286" i="28"/>
  <c r="BF286" i="28" s="1"/>
  <c r="BH286" i="28" s="1"/>
  <c r="AX291" i="28"/>
  <c r="BF291" i="28" s="1"/>
  <c r="BH291" i="28" s="1"/>
  <c r="AX292" i="28"/>
  <c r="BF292" i="28" s="1"/>
  <c r="BH292" i="28" s="1"/>
  <c r="AX289" i="28"/>
  <c r="BF289" i="28" s="1"/>
  <c r="BH289" i="28" s="1"/>
  <c r="AX277" i="28"/>
  <c r="BF277" i="28" s="1"/>
  <c r="BH277" i="28" s="1"/>
  <c r="AX268" i="28"/>
  <c r="BF268" i="28" s="1"/>
  <c r="BH268" i="28" s="1"/>
  <c r="AX271" i="28"/>
  <c r="BF271" i="28" s="1"/>
  <c r="BH271" i="28" s="1"/>
  <c r="AX355" i="28"/>
  <c r="BF355" i="28" s="1"/>
  <c r="BH355" i="28" s="1"/>
  <c r="AX118" i="28"/>
  <c r="BF118" i="28" s="1"/>
  <c r="BH118" i="28" s="1"/>
  <c r="AX114" i="28"/>
  <c r="BF114" i="28" s="1"/>
  <c r="BH114" i="28" s="1"/>
  <c r="AX115" i="28"/>
  <c r="BF115" i="28" s="1"/>
  <c r="BH115" i="28" s="1"/>
  <c r="AX102" i="28"/>
  <c r="BF102" i="28" s="1"/>
  <c r="BH102" i="28" s="1"/>
  <c r="AX111" i="28"/>
  <c r="BF111" i="28" s="1"/>
  <c r="BH111" i="28" s="1"/>
  <c r="AX150" i="28"/>
  <c r="BF150" i="28" s="1"/>
  <c r="BH150" i="28" s="1"/>
  <c r="AX112" i="28"/>
  <c r="BF112" i="28" s="1"/>
  <c r="BH112" i="28" s="1"/>
  <c r="AT417" i="28"/>
  <c r="Z111" i="9"/>
  <c r="BF122" i="8" l="1"/>
  <c r="BF126" i="8"/>
  <c r="BF127" i="8" s="1"/>
  <c r="BF124" i="8"/>
  <c r="BH47" i="28"/>
  <c r="BH43" i="28"/>
  <c r="BH44" i="28"/>
  <c r="BH46" i="28"/>
  <c r="AO47" i="39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333" i="28"/>
  <c r="BF333" i="28" s="1"/>
  <c r="BH333" i="28" s="1"/>
  <c r="AX358" i="28"/>
  <c r="BF358" i="28" s="1"/>
  <c r="BH358" i="28" s="1"/>
  <c r="AX312" i="28"/>
  <c r="BF312" i="28" s="1"/>
  <c r="BH312" i="28" s="1"/>
  <c r="AX353" i="28"/>
  <c r="BF353" i="28" s="1"/>
  <c r="BH353" i="28" s="1"/>
  <c r="AX354" i="28"/>
  <c r="BF354" i="28" s="1"/>
  <c r="BH354" i="28" s="1"/>
  <c r="AX332" i="28"/>
  <c r="BF332" i="28" s="1"/>
  <c r="BH332" i="28" s="1"/>
  <c r="AX334" i="28"/>
  <c r="BF334" i="28" s="1"/>
  <c r="BH334" i="28" s="1"/>
  <c r="AX308" i="28"/>
  <c r="BF308" i="28" s="1"/>
  <c r="BH308" i="28" s="1"/>
  <c r="AX410" i="28"/>
  <c r="BF410" i="28" s="1"/>
  <c r="BH410" i="28" s="1"/>
  <c r="AX417" i="28"/>
  <c r="BF417" i="28" s="1"/>
  <c r="BH417" i="28" s="1"/>
  <c r="AX356" i="28"/>
  <c r="BF356" i="28" s="1"/>
  <c r="BH356" i="28" s="1"/>
  <c r="AX313" i="28"/>
  <c r="BF313" i="28" s="1"/>
  <c r="BH313" i="28" s="1"/>
  <c r="AX409" i="28"/>
  <c r="BF409" i="28" s="1"/>
  <c r="BH409" i="28" s="1"/>
  <c r="AX104" i="28"/>
  <c r="BF104" i="28" s="1"/>
  <c r="BH104" i="28" s="1"/>
  <c r="AX121" i="28"/>
  <c r="BF121" i="28" s="1"/>
  <c r="BH121" i="28" s="1"/>
  <c r="AX120" i="28"/>
  <c r="BF120" i="28" s="1"/>
  <c r="BH120" i="28" s="1"/>
  <c r="AX113" i="28"/>
  <c r="BF113" i="28" s="1"/>
  <c r="BH113" i="28" s="1"/>
  <c r="AX105" i="28"/>
  <c r="BF105" i="28" s="1"/>
  <c r="BH105" i="28" s="1"/>
  <c r="AX110" i="28"/>
  <c r="BF110" i="28" s="1"/>
  <c r="BH110" i="28" s="1"/>
  <c r="AX117" i="28"/>
  <c r="BF117" i="28" s="1"/>
  <c r="BH117" i="28" s="1"/>
  <c r="AX148" i="28"/>
  <c r="BF148" i="28" s="1"/>
  <c r="BH148" i="28" s="1"/>
  <c r="AX106" i="28"/>
  <c r="BF106" i="28" s="1"/>
  <c r="BH106" i="28" s="1"/>
  <c r="AX149" i="28"/>
  <c r="BF149" i="28" s="1"/>
  <c r="BH149" i="28" s="1"/>
  <c r="AX108" i="28"/>
  <c r="BF108" i="28" s="1"/>
  <c r="BH108" i="28" s="1"/>
  <c r="AA70" i="83"/>
  <c r="AC70" i="83" s="1"/>
  <c r="AK70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BF131" i="8" l="1"/>
  <c r="BF132" i="8"/>
  <c r="BF130" i="8"/>
  <c r="AS60" i="39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70" i="83"/>
  <c r="AQ70" i="83" s="1"/>
  <c r="X17" i="52"/>
  <c r="BF133" i="8" l="1"/>
  <c r="AW12" i="39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70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70" i="83"/>
  <c r="BG70" i="83" s="1"/>
  <c r="Z31" i="22"/>
  <c r="Z18" i="22"/>
  <c r="Z7" i="22"/>
  <c r="Z42" i="22" s="1"/>
  <c r="BF11" i="39" l="1"/>
  <c r="BI11" i="39"/>
  <c r="BF57" i="39"/>
  <c r="BI57" i="39"/>
  <c r="BF56" i="39"/>
  <c r="BI56" i="39"/>
  <c r="BF58" i="39"/>
  <c r="BI58" i="39"/>
  <c r="BF7" i="39"/>
  <c r="BI7" i="39"/>
  <c r="BF59" i="39"/>
  <c r="BI59" i="39"/>
  <c r="BF18" i="39"/>
  <c r="BI18" i="39"/>
  <c r="BF30" i="39"/>
  <c r="BI30" i="39"/>
  <c r="BF31" i="39"/>
  <c r="BI31" i="39"/>
  <c r="BF29" i="39"/>
  <c r="BI29" i="39"/>
  <c r="BF14" i="39"/>
  <c r="BI14" i="39"/>
  <c r="BF15" i="39"/>
  <c r="BI15" i="39"/>
  <c r="BF16" i="39"/>
  <c r="BI16" i="39"/>
  <c r="BF12" i="39"/>
  <c r="BI12" i="39"/>
  <c r="BF39" i="39"/>
  <c r="BI39" i="39"/>
  <c r="BF19" i="39"/>
  <c r="BI19" i="39"/>
  <c r="BF6" i="39"/>
  <c r="BI6" i="39"/>
  <c r="BF13" i="39"/>
  <c r="BI13" i="39"/>
  <c r="BF55" i="39"/>
  <c r="BI55" i="39"/>
  <c r="BF38" i="39"/>
  <c r="BI38" i="39"/>
  <c r="BF17" i="39"/>
  <c r="BI17" i="39"/>
  <c r="BF10" i="39"/>
  <c r="BI10" i="39"/>
  <c r="BF48" i="39"/>
  <c r="BI48" i="39"/>
  <c r="BF46" i="39"/>
  <c r="BI46" i="39"/>
  <c r="BF47" i="39"/>
  <c r="BI47" i="39"/>
  <c r="BF61" i="39"/>
  <c r="BI61" i="39"/>
  <c r="BF43" i="39"/>
  <c r="BI43" i="39"/>
  <c r="BF60" i="39"/>
  <c r="BI60" i="39"/>
  <c r="Z19" i="22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BE42" i="17"/>
  <c r="BE40" i="17"/>
  <c r="AO38" i="17"/>
  <c r="AS38" i="17" s="1"/>
  <c r="AW38" i="17" s="1"/>
  <c r="AO44" i="17"/>
  <c r="AS44" i="17" s="1"/>
  <c r="AW93" i="17" l="1"/>
  <c r="BE93" i="17" s="1"/>
  <c r="AW44" i="17"/>
  <c r="BE44" i="17" s="1"/>
  <c r="BE38" i="17"/>
  <c r="Y59" i="17"/>
  <c r="Y22" i="17"/>
  <c r="AA523" i="28"/>
  <c r="AA522" i="28"/>
  <c r="Y523" i="28"/>
  <c r="Y522" i="28"/>
  <c r="Y62" i="17" l="1"/>
  <c r="AA147" i="45" l="1"/>
  <c r="AA146" i="45"/>
  <c r="AA152" i="45"/>
  <c r="AA151" i="45"/>
  <c r="AA156" i="45" s="1"/>
  <c r="AA148" i="45" l="1"/>
  <c r="AA155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64" i="73" l="1"/>
  <c r="F171" i="73"/>
  <c r="H171" i="73"/>
  <c r="J171" i="73"/>
  <c r="L171" i="73"/>
  <c r="N171" i="73"/>
  <c r="P171" i="73"/>
  <c r="R171" i="73"/>
  <c r="T171" i="73"/>
  <c r="V171" i="73"/>
  <c r="X171" i="73"/>
  <c r="Z171" i="73"/>
  <c r="M161" i="73"/>
  <c r="M162" i="73"/>
  <c r="M165" i="73"/>
  <c r="M168" i="73"/>
  <c r="M169" i="73"/>
  <c r="M170" i="73"/>
  <c r="M56" i="73"/>
  <c r="Q56" i="73" s="1"/>
  <c r="U56" i="73" s="1"/>
  <c r="I56" i="73"/>
  <c r="I97" i="73"/>
  <c r="I95" i="73"/>
  <c r="I55" i="73"/>
  <c r="M55" i="73"/>
  <c r="Q55" i="73" s="1"/>
  <c r="U55" i="73" s="1"/>
  <c r="I94" i="73"/>
  <c r="AE49" i="73"/>
  <c r="AI49" i="73" l="1"/>
  <c r="AO49" i="73" s="1"/>
  <c r="AS49" i="73" s="1"/>
  <c r="AW49" i="73" s="1"/>
  <c r="Q169" i="73"/>
  <c r="U169" i="73" s="1"/>
  <c r="Q168" i="73"/>
  <c r="U168" i="73" s="1"/>
  <c r="Q162" i="73"/>
  <c r="U162" i="73" s="1"/>
  <c r="Q170" i="73"/>
  <c r="U170" i="73" s="1"/>
  <c r="Q165" i="73"/>
  <c r="U165" i="73" s="1"/>
  <c r="Q161" i="73"/>
  <c r="U161" i="73" s="1"/>
  <c r="Q164" i="73"/>
  <c r="U164" i="73" s="1"/>
  <c r="AA56" i="73"/>
  <c r="AE56" i="73" s="1"/>
  <c r="AA55" i="73"/>
  <c r="AE55" i="73" s="1"/>
  <c r="AA168" i="73"/>
  <c r="AE168" i="73" s="1"/>
  <c r="AA165" i="73"/>
  <c r="AE165" i="73" s="1"/>
  <c r="AA169" i="73"/>
  <c r="AE169" i="73" s="1"/>
  <c r="AA162" i="73"/>
  <c r="AE162" i="73" s="1"/>
  <c r="AA170" i="73"/>
  <c r="AE170" i="73" s="1"/>
  <c r="AA161" i="73"/>
  <c r="AE161" i="73" s="1"/>
  <c r="AA164" i="73"/>
  <c r="AE164" i="73" s="1"/>
  <c r="Z37" i="36"/>
  <c r="BE49" i="73" l="1"/>
  <c r="AI56" i="73"/>
  <c r="AO56" i="73" s="1"/>
  <c r="AS56" i="73" s="1"/>
  <c r="AW56" i="73" s="1"/>
  <c r="AI55" i="73"/>
  <c r="AO55" i="73" s="1"/>
  <c r="AS55" i="73" s="1"/>
  <c r="AW55" i="73" s="1"/>
  <c r="AI164" i="73"/>
  <c r="AO164" i="73" s="1"/>
  <c r="AS164" i="73" s="1"/>
  <c r="AI168" i="73"/>
  <c r="AO168" i="73" s="1"/>
  <c r="AS168" i="73" s="1"/>
  <c r="AI161" i="73"/>
  <c r="AO161" i="73" s="1"/>
  <c r="AS161" i="73" s="1"/>
  <c r="AI170" i="73"/>
  <c r="AO170" i="73" s="1"/>
  <c r="AS170" i="73" s="1"/>
  <c r="AW170" i="73" s="1"/>
  <c r="AI162" i="73"/>
  <c r="AO162" i="73" s="1"/>
  <c r="AS162" i="73" s="1"/>
  <c r="AI169" i="73"/>
  <c r="AO169" i="73" s="1"/>
  <c r="AS169" i="73" s="1"/>
  <c r="AI165" i="73"/>
  <c r="AO165" i="73" s="1"/>
  <c r="AS165" i="73" s="1"/>
  <c r="U46" i="72"/>
  <c r="U38" i="72"/>
  <c r="W38" i="72" s="1"/>
  <c r="Y38" i="72" s="1"/>
  <c r="AC38" i="72" s="1"/>
  <c r="AG38" i="72" s="1"/>
  <c r="U18" i="72"/>
  <c r="W18" i="72" s="1"/>
  <c r="Y18" i="72" s="1"/>
  <c r="AC18" i="72" s="1"/>
  <c r="AG18" i="72" s="1"/>
  <c r="W46" i="72" l="1"/>
  <c r="Y46" i="72" s="1"/>
  <c r="AC46" i="72" s="1"/>
  <c r="AG46" i="72" s="1"/>
  <c r="U49" i="72"/>
  <c r="AW165" i="73"/>
  <c r="AW161" i="73"/>
  <c r="AW168" i="73"/>
  <c r="AW162" i="73"/>
  <c r="AW164" i="73"/>
  <c r="AW169" i="73"/>
  <c r="BE56" i="73"/>
  <c r="BE170" i="73"/>
  <c r="BE55" i="73"/>
  <c r="AM38" i="72"/>
  <c r="AQ38" i="72" s="1"/>
  <c r="AU38" i="72" s="1"/>
  <c r="BC38" i="72" s="1"/>
  <c r="AM46" i="72"/>
  <c r="AQ46" i="72" s="1"/>
  <c r="AU46" i="72" s="1"/>
  <c r="BC46" i="72" s="1"/>
  <c r="AM18" i="72"/>
  <c r="AQ18" i="72" s="1"/>
  <c r="AU18" i="72" s="1"/>
  <c r="BC18" i="72" s="1"/>
  <c r="M131" i="50"/>
  <c r="Q131" i="50"/>
  <c r="I132" i="50"/>
  <c r="AW132" i="50"/>
  <c r="M132" i="50"/>
  <c r="Y131" i="50"/>
  <c r="Q132" i="50"/>
  <c r="AS131" i="50"/>
  <c r="AW131" i="50"/>
  <c r="Y132" i="50"/>
  <c r="BA131" i="50"/>
  <c r="I131" i="50"/>
  <c r="BA132" i="50"/>
  <c r="G132" i="50"/>
  <c r="G131" i="50"/>
  <c r="AS132" i="50"/>
  <c r="AM132" i="50"/>
  <c r="AM131" i="50"/>
  <c r="M102" i="50"/>
  <c r="M103" i="50" s="1"/>
  <c r="M104" i="50" s="1"/>
  <c r="I102" i="50"/>
  <c r="I103" i="50" s="1"/>
  <c r="I104" i="50" s="1"/>
  <c r="U51" i="72"/>
  <c r="BE161" i="73" l="1"/>
  <c r="BE169" i="73"/>
  <c r="BE162" i="73"/>
  <c r="BE164" i="73"/>
  <c r="BE168" i="73"/>
  <c r="BE165" i="73"/>
  <c r="BC132" i="50"/>
  <c r="AW134" i="50"/>
  <c r="AW135" i="50" s="1"/>
  <c r="Y134" i="50"/>
  <c r="Y135" i="50" s="1"/>
  <c r="G88" i="90"/>
  <c r="AA131" i="50"/>
  <c r="K131" i="50"/>
  <c r="O131" i="50"/>
  <c r="AU88" i="90"/>
  <c r="O132" i="50"/>
  <c r="K132" i="50"/>
  <c r="AQ88" i="90"/>
  <c r="AQ95" i="90" s="1"/>
  <c r="BC131" i="50"/>
  <c r="AA132" i="50"/>
  <c r="AK88" i="90"/>
  <c r="BA134" i="50"/>
  <c r="O88" i="90"/>
  <c r="K88" i="90"/>
  <c r="K95" i="90" s="1"/>
  <c r="AA79" i="90"/>
  <c r="M79" i="90"/>
  <c r="I79" i="90"/>
  <c r="AE79" i="90"/>
  <c r="Q79" i="90"/>
  <c r="U79" i="90"/>
  <c r="AO79" i="90"/>
  <c r="AS79" i="90" s="1"/>
  <c r="AW79" i="90" s="1"/>
  <c r="AA81" i="90"/>
  <c r="M81" i="90"/>
  <c r="I81" i="90"/>
  <c r="AE81" i="90"/>
  <c r="Q81" i="90"/>
  <c r="AO81" i="90"/>
  <c r="AS81" i="90" s="1"/>
  <c r="AW81" i="90" s="1"/>
  <c r="U81" i="90"/>
  <c r="M78" i="90"/>
  <c r="AA78" i="90"/>
  <c r="I78" i="90"/>
  <c r="AE78" i="90"/>
  <c r="Q78" i="90"/>
  <c r="U78" i="90"/>
  <c r="AO78" i="90"/>
  <c r="AS78" i="90" s="1"/>
  <c r="AW78" i="90" s="1"/>
  <c r="AA87" i="90"/>
  <c r="I87" i="90"/>
  <c r="M87" i="90"/>
  <c r="U87" i="90"/>
  <c r="Q87" i="90"/>
  <c r="AE87" i="90"/>
  <c r="AO87" i="90"/>
  <c r="AS87" i="90" s="1"/>
  <c r="AW87" i="90" s="1"/>
  <c r="M83" i="90"/>
  <c r="I83" i="90"/>
  <c r="AA83" i="90"/>
  <c r="AO83" i="90"/>
  <c r="AS83" i="90" s="1"/>
  <c r="AW83" i="90" s="1"/>
  <c r="Q83" i="90"/>
  <c r="AE83" i="90"/>
  <c r="U83" i="90"/>
  <c r="AA82" i="90"/>
  <c r="M82" i="90"/>
  <c r="I82" i="90"/>
  <c r="Q82" i="90"/>
  <c r="AE82" i="90"/>
  <c r="U82" i="90"/>
  <c r="AO82" i="90"/>
  <c r="AS82" i="90" s="1"/>
  <c r="AW82" i="90" s="1"/>
  <c r="AA86" i="90"/>
  <c r="I86" i="90"/>
  <c r="U86" i="90"/>
  <c r="Q86" i="90"/>
  <c r="M86" i="90"/>
  <c r="AE86" i="90"/>
  <c r="AO86" i="90"/>
  <c r="AS86" i="90" s="1"/>
  <c r="AW86" i="90" s="1"/>
  <c r="I76" i="90"/>
  <c r="AA76" i="90"/>
  <c r="M76" i="90"/>
  <c r="Q76" i="90"/>
  <c r="AE76" i="90"/>
  <c r="U76" i="90"/>
  <c r="AO76" i="90"/>
  <c r="AS76" i="90" s="1"/>
  <c r="AW76" i="90" s="1"/>
  <c r="AA69" i="90"/>
  <c r="I69" i="90"/>
  <c r="Q69" i="90"/>
  <c r="M69" i="90"/>
  <c r="U69" i="90"/>
  <c r="AE69" i="90"/>
  <c r="AO69" i="90"/>
  <c r="AS69" i="90" s="1"/>
  <c r="AW69" i="90" s="1"/>
  <c r="AA80" i="90"/>
  <c r="M80" i="90"/>
  <c r="I80" i="90"/>
  <c r="AO80" i="90"/>
  <c r="AS80" i="90" s="1"/>
  <c r="AW80" i="90" s="1"/>
  <c r="U80" i="90"/>
  <c r="Q80" i="90"/>
  <c r="AE80" i="90"/>
  <c r="AA68" i="90"/>
  <c r="M68" i="90"/>
  <c r="Q68" i="90"/>
  <c r="I68" i="90"/>
  <c r="AO68" i="90"/>
  <c r="AS68" i="90" s="1"/>
  <c r="AW68" i="90" s="1"/>
  <c r="U68" i="90"/>
  <c r="I84" i="90"/>
  <c r="AA84" i="90"/>
  <c r="M84" i="90"/>
  <c r="U84" i="90"/>
  <c r="Q84" i="90"/>
  <c r="AE84" i="90"/>
  <c r="AO84" i="90"/>
  <c r="AS84" i="90" s="1"/>
  <c r="AW84" i="90" s="1"/>
  <c r="AA70" i="90"/>
  <c r="M70" i="90"/>
  <c r="I70" i="90"/>
  <c r="AE70" i="90"/>
  <c r="U70" i="90"/>
  <c r="Q70" i="90"/>
  <c r="AO70" i="90"/>
  <c r="AS70" i="90" s="1"/>
  <c r="AW70" i="90" s="1"/>
  <c r="AA74" i="90"/>
  <c r="M74" i="90"/>
  <c r="I74" i="90"/>
  <c r="U74" i="90"/>
  <c r="AE74" i="90"/>
  <c r="Q74" i="90"/>
  <c r="AO74" i="90"/>
  <c r="AS74" i="90" s="1"/>
  <c r="AW74" i="90" s="1"/>
  <c r="I77" i="90"/>
  <c r="M77" i="90"/>
  <c r="AA77" i="90"/>
  <c r="AE77" i="90"/>
  <c r="AO77" i="90"/>
  <c r="AS77" i="90" s="1"/>
  <c r="AW77" i="90" s="1"/>
  <c r="Q77" i="90"/>
  <c r="U77" i="90"/>
  <c r="AS134" i="50"/>
  <c r="AO132" i="50"/>
  <c r="AM134" i="50"/>
  <c r="AO131" i="50"/>
  <c r="I134" i="50"/>
  <c r="I135" i="50" s="1"/>
  <c r="M134" i="50"/>
  <c r="M135" i="50" s="1"/>
  <c r="Z103" i="50"/>
  <c r="Z104" i="50" s="1"/>
  <c r="AA102" i="50"/>
  <c r="AG102" i="50" s="1"/>
  <c r="AA100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G95" i="90" l="1"/>
  <c r="G101" i="90" s="1"/>
  <c r="BE88" i="90"/>
  <c r="AU95" i="90"/>
  <c r="BA95" i="90" s="1"/>
  <c r="BA88" i="90"/>
  <c r="BA135" i="50"/>
  <c r="BE132" i="50"/>
  <c r="O95" i="90"/>
  <c r="O126" i="90" s="1"/>
  <c r="AI88" i="90"/>
  <c r="G126" i="90"/>
  <c r="G129" i="90" s="1"/>
  <c r="BC134" i="50"/>
  <c r="BC135" i="50" s="1"/>
  <c r="BE131" i="50"/>
  <c r="K101" i="90"/>
  <c r="K126" i="90"/>
  <c r="K129" i="90" s="1"/>
  <c r="Y88" i="90"/>
  <c r="AS135" i="50"/>
  <c r="AQ101" i="90"/>
  <c r="AQ126" i="90"/>
  <c r="AQ129" i="90" s="1"/>
  <c r="AC132" i="50"/>
  <c r="AG132" i="50" s="1"/>
  <c r="AK132" i="50" s="1"/>
  <c r="AQ132" i="50" s="1"/>
  <c r="AU132" i="50" s="1"/>
  <c r="AY132" i="50" s="1"/>
  <c r="BG132" i="50" s="1"/>
  <c r="BH132" i="50" s="1"/>
  <c r="S132" i="50"/>
  <c r="W132" i="50" s="1"/>
  <c r="AK95" i="90"/>
  <c r="AM88" i="90"/>
  <c r="AU101" i="90"/>
  <c r="AU126" i="90"/>
  <c r="S131" i="50"/>
  <c r="W131" i="50" s="1"/>
  <c r="AC131" i="50"/>
  <c r="AG131" i="50" s="1"/>
  <c r="AK131" i="50" s="1"/>
  <c r="AQ131" i="50" s="1"/>
  <c r="AU131" i="50" s="1"/>
  <c r="AY131" i="50" s="1"/>
  <c r="BG131" i="50" s="1"/>
  <c r="BH131" i="50" s="1"/>
  <c r="AA88" i="90"/>
  <c r="M88" i="90"/>
  <c r="I88" i="90"/>
  <c r="AO88" i="90"/>
  <c r="AS88" i="90" s="1"/>
  <c r="AW88" i="90" s="1"/>
  <c r="Q88" i="90"/>
  <c r="U88" i="90"/>
  <c r="AE88" i="90"/>
  <c r="AM135" i="50"/>
  <c r="AO134" i="50"/>
  <c r="AA101" i="50"/>
  <c r="BA101" i="90" l="1"/>
  <c r="BC88" i="90"/>
  <c r="AU129" i="90"/>
  <c r="BA129" i="90" s="1"/>
  <c r="BA126" i="90"/>
  <c r="Y95" i="90"/>
  <c r="AK101" i="90"/>
  <c r="AK126" i="90"/>
  <c r="AM95" i="90"/>
  <c r="AM101" i="90" s="1"/>
  <c r="BC101" i="90" s="1"/>
  <c r="AO135" i="50"/>
  <c r="BE134" i="50"/>
  <c r="BE135" i="50" s="1"/>
  <c r="Z39" i="35"/>
  <c r="Z40" i="35"/>
  <c r="AA103" i="50"/>
  <c r="AA104" i="50" s="1"/>
  <c r="AG101" i="50"/>
  <c r="BC95" i="90" l="1"/>
  <c r="Y126" i="90"/>
  <c r="AK129" i="90"/>
  <c r="AM126" i="90"/>
  <c r="AM129" i="90" s="1"/>
  <c r="BC129" i="90" s="1"/>
  <c r="Y13" i="49"/>
  <c r="BC126" i="90" l="1"/>
  <c r="AB93" i="8"/>
  <c r="Z93" i="8"/>
  <c r="Y73" i="8" l="1"/>
  <c r="M52" i="8"/>
  <c r="P42" i="59" s="1"/>
  <c r="Z2" i="6" l="1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Y18" i="49"/>
  <c r="Y17" i="49"/>
  <c r="Z51" i="6"/>
  <c r="Z45" i="6"/>
  <c r="V173" i="26"/>
  <c r="V168" i="26"/>
  <c r="Z48" i="6"/>
  <c r="Z54" i="6"/>
  <c r="Y14" i="49" l="1"/>
  <c r="V172" i="26"/>
  <c r="V165" i="26"/>
  <c r="Y15" i="49" l="1"/>
  <c r="X97" i="50"/>
  <c r="X95" i="50" s="1"/>
  <c r="Y16" i="49" l="1"/>
  <c r="X15" i="36"/>
  <c r="Q72" i="36"/>
  <c r="M72" i="36"/>
  <c r="I72" i="36"/>
  <c r="Q71" i="36"/>
  <c r="M71" i="36"/>
  <c r="I71" i="36"/>
  <c r="Q69" i="36"/>
  <c r="M69" i="36"/>
  <c r="I69" i="36"/>
  <c r="Q67" i="36"/>
  <c r="M67" i="36"/>
  <c r="I67" i="36"/>
  <c r="Q66" i="36"/>
  <c r="M66" i="36"/>
  <c r="I66" i="36"/>
  <c r="F64" i="36"/>
  <c r="F72" i="36" s="1"/>
  <c r="F62" i="36"/>
  <c r="F61" i="36"/>
  <c r="F69" i="36" s="1"/>
  <c r="F59" i="36"/>
  <c r="F67" i="36" s="1"/>
  <c r="F58" i="36"/>
  <c r="F66" i="36" s="1"/>
  <c r="N59" i="36"/>
  <c r="N61" i="36"/>
  <c r="AB61" i="9"/>
  <c r="AF61" i="9" s="1"/>
  <c r="AJ61" i="9" s="1"/>
  <c r="AJ64" i="36" s="1"/>
  <c r="J56" i="9"/>
  <c r="J58" i="9"/>
  <c r="J59" i="9"/>
  <c r="J62" i="36" s="1"/>
  <c r="J61" i="9"/>
  <c r="E76" i="9"/>
  <c r="D61" i="9"/>
  <c r="D59" i="9"/>
  <c r="D58" i="9"/>
  <c r="D56" i="9"/>
  <c r="D77" i="9"/>
  <c r="F60" i="9"/>
  <c r="F56" i="36"/>
  <c r="AA53" i="59" l="1"/>
  <c r="X75" i="8"/>
  <c r="Y19" i="49"/>
  <c r="BA70" i="36"/>
  <c r="N60" i="9"/>
  <c r="R60" i="9" s="1"/>
  <c r="V60" i="9" s="1"/>
  <c r="AW70" i="36"/>
  <c r="AF64" i="36"/>
  <c r="D60" i="9"/>
  <c r="I68" i="36"/>
  <c r="Z60" i="9"/>
  <c r="Z62" i="36"/>
  <c r="E74" i="9"/>
  <c r="E77" i="9"/>
  <c r="J59" i="36"/>
  <c r="J61" i="36"/>
  <c r="R61" i="9"/>
  <c r="V61" i="9" s="1"/>
  <c r="J64" i="36"/>
  <c r="N62" i="36"/>
  <c r="N63" i="36" s="1"/>
  <c r="N64" i="36"/>
  <c r="M68" i="36"/>
  <c r="Q68" i="36"/>
  <c r="F68" i="36"/>
  <c r="R56" i="9"/>
  <c r="V56" i="9" s="1"/>
  <c r="J60" i="9"/>
  <c r="R58" i="9"/>
  <c r="V58" i="9" s="1"/>
  <c r="R59" i="9"/>
  <c r="V59" i="9" s="1"/>
  <c r="V59" i="36" l="1"/>
  <c r="V64" i="36"/>
  <c r="V62" i="36"/>
  <c r="V61" i="36"/>
  <c r="BE70" i="36"/>
  <c r="AP61" i="9"/>
  <c r="AB60" i="9"/>
  <c r="AF60" i="9" s="1"/>
  <c r="AB62" i="36"/>
  <c r="R61" i="36"/>
  <c r="R64" i="36"/>
  <c r="J63" i="36"/>
  <c r="R62" i="36"/>
  <c r="R59" i="36"/>
  <c r="AJ60" i="9" l="1"/>
  <c r="V63" i="36"/>
  <c r="AT61" i="9"/>
  <c r="AX61" i="9" s="1"/>
  <c r="AP64" i="36"/>
  <c r="R63" i="36"/>
  <c r="AP60" i="9" l="1"/>
  <c r="AT60" i="9" s="1"/>
  <c r="BF61" i="9"/>
  <c r="AX64" i="36"/>
  <c r="AT64" i="36"/>
  <c r="AX60" i="9" l="1"/>
  <c r="BF60" i="9" s="1"/>
  <c r="H15" i="36"/>
  <c r="F68" i="8"/>
  <c r="F66" i="8"/>
  <c r="F64" i="8"/>
  <c r="F58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5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J24" i="39" s="1"/>
  <c r="Q37" i="39"/>
  <c r="L43" i="39"/>
  <c r="H50" i="39"/>
  <c r="L50" i="39" s="1"/>
  <c r="J51" i="39"/>
  <c r="L49" i="39"/>
  <c r="N51" i="39"/>
  <c r="L59" i="39"/>
  <c r="L39" i="39"/>
  <c r="Q9" i="39"/>
  <c r="N58" i="8"/>
  <c r="N62" i="8" s="1"/>
  <c r="Z58" i="8"/>
  <c r="N64" i="8"/>
  <c r="Z64" i="8"/>
  <c r="Z66" i="8"/>
  <c r="Z68" i="8"/>
  <c r="N68" i="8"/>
  <c r="N66" i="8"/>
  <c r="M8" i="39"/>
  <c r="L45" i="39"/>
  <c r="Q28" i="39"/>
  <c r="F51" i="39"/>
  <c r="F22" i="39"/>
  <c r="I8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53" i="39" s="1"/>
  <c r="P39" i="39"/>
  <c r="P43" i="39"/>
  <c r="P42" i="39"/>
  <c r="P7" i="39"/>
  <c r="P55" i="39"/>
  <c r="P34" i="39"/>
  <c r="U64" i="39"/>
  <c r="P19" i="39"/>
  <c r="P48" i="39"/>
  <c r="Q8" i="39"/>
  <c r="M23" i="39"/>
  <c r="Z54" i="8"/>
  <c r="AB66" i="8"/>
  <c r="AF66" i="8" s="1"/>
  <c r="AJ66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Z14" i="49"/>
  <c r="AP66" i="8"/>
  <c r="AT66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6" i="8"/>
  <c r="Z15" i="49"/>
  <c r="BF66" i="8" l="1"/>
  <c r="BH66" i="8" s="1"/>
  <c r="AD54" i="39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Z16" i="49"/>
  <c r="L15" i="36"/>
  <c r="O53" i="59" l="1"/>
  <c r="L75" i="8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Z19" i="49"/>
  <c r="N25" i="22"/>
  <c r="N31" i="22" s="1"/>
  <c r="N22" i="22"/>
  <c r="N21" i="22"/>
  <c r="N13" i="22"/>
  <c r="N11" i="22"/>
  <c r="N17" i="22" s="1"/>
  <c r="N8" i="22"/>
  <c r="N7" i="22"/>
  <c r="N93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15" i="36"/>
  <c r="N19" i="22"/>
  <c r="N18" i="22"/>
  <c r="N16" i="22"/>
  <c r="N30" i="22"/>
  <c r="E71" i="8"/>
  <c r="S53" i="59" l="1"/>
  <c r="P75" i="8"/>
  <c r="AR37" i="39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F9" i="39" l="1"/>
  <c r="BI9" i="39"/>
  <c r="BF64" i="39"/>
  <c r="BI64" i="39"/>
  <c r="BF28" i="39"/>
  <c r="BI28" i="39"/>
  <c r="BF54" i="39"/>
  <c r="BI54" i="39"/>
  <c r="BF37" i="39"/>
  <c r="BI37" i="39"/>
  <c r="BF42" i="39"/>
  <c r="BI42" i="39"/>
  <c r="BB49" i="39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F5" i="39" l="1"/>
  <c r="BI5" i="39"/>
  <c r="BF8" i="39"/>
  <c r="BI8" i="39"/>
  <c r="BE23" i="39"/>
  <c r="BE22" i="39"/>
  <c r="AV51" i="39"/>
  <c r="BB24" i="39"/>
  <c r="BD24" i="39"/>
  <c r="AV22" i="39"/>
  <c r="BB8" i="39"/>
  <c r="BD8" i="39"/>
  <c r="BE50" i="39"/>
  <c r="BE45" i="39"/>
  <c r="AA72" i="83"/>
  <c r="AG72" i="83" s="1"/>
  <c r="AQ72" i="83" s="1"/>
  <c r="AU72" i="83" s="1"/>
  <c r="AA73" i="83"/>
  <c r="AG73" i="83" s="1"/>
  <c r="AQ73" i="83" s="1"/>
  <c r="AU73" i="83" s="1"/>
  <c r="AA74" i="83"/>
  <c r="AG74" i="83" s="1"/>
  <c r="AQ74" i="83" s="1"/>
  <c r="AU74" i="83" s="1"/>
  <c r="AA75" i="83"/>
  <c r="AG75" i="83" s="1"/>
  <c r="AQ75" i="83" s="1"/>
  <c r="AU75" i="83" s="1"/>
  <c r="AA68" i="83"/>
  <c r="AA52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2" i="83"/>
  <c r="K33" i="83"/>
  <c r="K34" i="83"/>
  <c r="K35" i="83"/>
  <c r="K36" i="83"/>
  <c r="K37" i="83"/>
  <c r="BF22" i="39" l="1"/>
  <c r="BI22" i="39"/>
  <c r="BF45" i="39"/>
  <c r="BI45" i="39"/>
  <c r="BF50" i="39"/>
  <c r="BI50" i="39"/>
  <c r="BF23" i="39"/>
  <c r="BI23" i="39"/>
  <c r="BB22" i="39"/>
  <c r="BD22" i="39"/>
  <c r="BB51" i="39"/>
  <c r="BD51" i="39"/>
  <c r="AY75" i="83"/>
  <c r="BG75" i="83" s="1"/>
  <c r="AY74" i="83"/>
  <c r="BG74" i="83" s="1"/>
  <c r="AY73" i="83"/>
  <c r="BG73" i="83" s="1"/>
  <c r="AY72" i="83"/>
  <c r="BG72" i="83" s="1"/>
  <c r="AU76" i="83"/>
  <c r="AQ76" i="83"/>
  <c r="AA4" i="83"/>
  <c r="AA76" i="83"/>
  <c r="AA69" i="83"/>
  <c r="D71" i="36"/>
  <c r="F70" i="36"/>
  <c r="G70" i="36" s="1"/>
  <c r="E71" i="36"/>
  <c r="F63" i="36"/>
  <c r="BG76" i="83" l="1"/>
  <c r="AY76" i="83"/>
  <c r="F71" i="36"/>
  <c r="Q4" i="50" l="1"/>
  <c r="T162" i="10"/>
  <c r="T163" i="10" s="1"/>
  <c r="Q38" i="50" l="1"/>
  <c r="AA4" i="50"/>
  <c r="AA38" i="50" s="1"/>
  <c r="T103" i="50"/>
  <c r="T104" i="50" s="1"/>
  <c r="P162" i="10" l="1"/>
  <c r="P163" i="10" s="1"/>
  <c r="AK13" i="61"/>
  <c r="AQ13" i="61" s="1"/>
  <c r="AU13" i="61" s="1"/>
  <c r="AY13" i="61" s="1"/>
  <c r="AG14" i="61"/>
  <c r="AK14" i="61" s="1"/>
  <c r="AQ14" i="61" s="1"/>
  <c r="AU14" i="61" s="1"/>
  <c r="AY14" i="61" s="1"/>
  <c r="AK12" i="61"/>
  <c r="AQ12" i="61" s="1"/>
  <c r="AU12" i="61" s="1"/>
  <c r="AY12" i="61" s="1"/>
  <c r="BG12" i="61" s="1"/>
  <c r="AK11" i="61" l="1"/>
  <c r="AQ11" i="61" s="1"/>
  <c r="AU11" i="61" s="1"/>
  <c r="AY11" i="61" s="1"/>
  <c r="BG11" i="61" s="1"/>
  <c r="G121" i="45" l="1"/>
  <c r="Q123" i="50"/>
  <c r="G123" i="45" l="1"/>
  <c r="AX47" i="11"/>
  <c r="AA123" i="50"/>
  <c r="BF47" i="11" l="1"/>
  <c r="AX46" i="11"/>
  <c r="BF145" i="10"/>
  <c r="BI145" i="10" s="1"/>
  <c r="Z160" i="10"/>
  <c r="BF46" i="11" l="1"/>
  <c r="AX408" i="28"/>
  <c r="BF408" i="28" s="1"/>
  <c r="BH408" i="28" s="1"/>
  <c r="AK122" i="45"/>
  <c r="AG122" i="45"/>
  <c r="AG150" i="45" l="1"/>
  <c r="AY122" i="45"/>
  <c r="AY159" i="45" s="1"/>
  <c r="AK150" i="45"/>
  <c r="AK159" i="45"/>
  <c r="AG159" i="45"/>
  <c r="AY150" i="45" l="1"/>
  <c r="AQ122" i="45"/>
  <c r="AQ159" i="45" l="1"/>
  <c r="AQ150" i="45"/>
  <c r="AU122" i="45"/>
  <c r="BG122" i="45" l="1"/>
  <c r="AU159" i="45"/>
  <c r="AU150" i="45"/>
  <c r="BG159" i="45" l="1"/>
  <c r="BG150" i="45"/>
  <c r="Z108" i="9"/>
  <c r="Z107" i="9"/>
  <c r="Z64" i="9" l="1"/>
  <c r="S16" i="52" l="1"/>
  <c r="T16" i="52"/>
  <c r="T9" i="52"/>
  <c r="S9" i="52"/>
  <c r="V103" i="50"/>
  <c r="V104" i="50" s="1"/>
  <c r="W101" i="50"/>
  <c r="S17" i="52" l="1"/>
  <c r="T17" i="52"/>
  <c r="W100" i="50"/>
  <c r="A16" i="17"/>
  <c r="Y31" i="15" l="1"/>
  <c r="E82" i="8"/>
  <c r="H52" i="59" s="1"/>
  <c r="Q81" i="8"/>
  <c r="F15" i="35" l="1"/>
  <c r="F11" i="35"/>
  <c r="F10" i="6" s="1"/>
  <c r="Z56" i="6"/>
  <c r="J56" i="6"/>
  <c r="J55" i="6"/>
  <c r="F54" i="6"/>
  <c r="N53" i="6"/>
  <c r="N52" i="6"/>
  <c r="F51" i="6"/>
  <c r="N50" i="6"/>
  <c r="N49" i="6"/>
  <c r="F48" i="6"/>
  <c r="N47" i="6"/>
  <c r="N46" i="6"/>
  <c r="F45" i="6"/>
  <c r="N44" i="6"/>
  <c r="N43" i="6"/>
  <c r="J51" i="6" l="1"/>
  <c r="J45" i="6"/>
  <c r="J54" i="6"/>
  <c r="E34" i="39"/>
  <c r="J48" i="6"/>
  <c r="F57" i="6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N54" i="6"/>
  <c r="N55" i="6"/>
  <c r="N56" i="6"/>
  <c r="R56" i="6" s="1"/>
  <c r="V56" i="6" s="1"/>
  <c r="N51" i="6"/>
  <c r="J57" i="6" l="1"/>
  <c r="V54" i="6"/>
  <c r="AX53" i="6"/>
  <c r="V48" i="6"/>
  <c r="V51" i="6"/>
  <c r="AX47" i="6"/>
  <c r="V45" i="6"/>
  <c r="T80" i="83"/>
  <c r="T97" i="50"/>
  <c r="T95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BF47" i="6" l="1"/>
  <c r="BH47" i="6" s="1"/>
  <c r="BF53" i="6"/>
  <c r="BH53" i="6" s="1"/>
  <c r="AX56" i="6"/>
  <c r="AX50" i="6"/>
  <c r="R57" i="6"/>
  <c r="V55" i="6"/>
  <c r="V57" i="6" s="1"/>
  <c r="BF44" i="6"/>
  <c r="BH44" i="6" s="1"/>
  <c r="Q34" i="39"/>
  <c r="AJ55" i="6"/>
  <c r="AF57" i="6"/>
  <c r="AJ51" i="6"/>
  <c r="AP49" i="6"/>
  <c r="AJ45" i="6"/>
  <c r="AJ54" i="6"/>
  <c r="AP52" i="6"/>
  <c r="AT43" i="6"/>
  <c r="AX43" i="6" s="1"/>
  <c r="AP45" i="6"/>
  <c r="AJ48" i="6"/>
  <c r="AP46" i="6"/>
  <c r="AB57" i="6"/>
  <c r="AX45" i="6" l="1"/>
  <c r="BF50" i="6"/>
  <c r="BH50" i="6" s="1"/>
  <c r="BF56" i="6"/>
  <c r="BH56" i="6" s="1"/>
  <c r="U34" i="39"/>
  <c r="AT45" i="6"/>
  <c r="AT49" i="6"/>
  <c r="AX49" i="6" s="1"/>
  <c r="AP51" i="6"/>
  <c r="AP55" i="6"/>
  <c r="AJ57" i="6"/>
  <c r="AT46" i="6"/>
  <c r="AX46" i="6" s="1"/>
  <c r="AP48" i="6"/>
  <c r="AT52" i="6"/>
  <c r="AX52" i="6" s="1"/>
  <c r="AP54" i="6"/>
  <c r="AX51" i="6" l="1"/>
  <c r="AX54" i="6"/>
  <c r="AX48" i="6"/>
  <c r="AA34" i="39"/>
  <c r="AT48" i="6"/>
  <c r="AT54" i="6"/>
  <c r="AT51" i="6"/>
  <c r="BF43" i="6"/>
  <c r="AT55" i="6"/>
  <c r="AX55" i="6" s="1"/>
  <c r="AP57" i="6"/>
  <c r="I13" i="7"/>
  <c r="BF45" i="6" l="1"/>
  <c r="BH45" i="6" s="1"/>
  <c r="BH43" i="6"/>
  <c r="AX57" i="6"/>
  <c r="AE34" i="39"/>
  <c r="BF46" i="6"/>
  <c r="BF49" i="6"/>
  <c r="BF52" i="6"/>
  <c r="AT57" i="6"/>
  <c r="BF54" i="6" l="1"/>
  <c r="BH54" i="6" s="1"/>
  <c r="BH52" i="6"/>
  <c r="BF48" i="6"/>
  <c r="BH48" i="6" s="1"/>
  <c r="BH46" i="6"/>
  <c r="BF51" i="6"/>
  <c r="BH51" i="6" s="1"/>
  <c r="BH49" i="6"/>
  <c r="AI34" i="39"/>
  <c r="BF55" i="6"/>
  <c r="S36" i="83"/>
  <c r="W36" i="83" s="1"/>
  <c r="AG36" i="83"/>
  <c r="AK36" i="83" s="1"/>
  <c r="AA40" i="83"/>
  <c r="AA41" i="83"/>
  <c r="AA42" i="83"/>
  <c r="AA43" i="83"/>
  <c r="AA44" i="83"/>
  <c r="AA39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BF57" i="6" l="1"/>
  <c r="BH57" i="6" s="1"/>
  <c r="BH55" i="6"/>
  <c r="AO34" i="39"/>
  <c r="AQ36" i="83"/>
  <c r="AU36" i="83" s="1"/>
  <c r="V147" i="9"/>
  <c r="Q13" i="7"/>
  <c r="U13" i="7" s="1"/>
  <c r="AA13" i="7"/>
  <c r="AE13" i="7" s="1"/>
  <c r="AA45" i="83"/>
  <c r="AA46" i="83"/>
  <c r="AA51" i="83" s="1"/>
  <c r="R13" i="7"/>
  <c r="V13" i="7" s="1"/>
  <c r="F147" i="9"/>
  <c r="F148" i="9" s="1"/>
  <c r="N147" i="9"/>
  <c r="R147" i="9"/>
  <c r="AI13" i="7" l="1"/>
  <c r="AO13" i="7" s="1"/>
  <c r="AS13" i="7" s="1"/>
  <c r="AW13" i="7" s="1"/>
  <c r="AS34" i="39"/>
  <c r="AY36" i="83"/>
  <c r="BG36" i="83" s="1"/>
  <c r="R103" i="50"/>
  <c r="R104" i="50" s="1"/>
  <c r="P103" i="50"/>
  <c r="P104" i="50" s="1"/>
  <c r="N103" i="50"/>
  <c r="N104" i="50" s="1"/>
  <c r="L103" i="50"/>
  <c r="L104" i="50" s="1"/>
  <c r="J103" i="50"/>
  <c r="J104" i="50" s="1"/>
  <c r="AW34" i="39" l="1"/>
  <c r="BF140" i="10"/>
  <c r="BI140" i="10" s="1"/>
  <c r="BE13" i="7" l="1"/>
  <c r="BG13" i="7" s="1"/>
  <c r="BE34" i="39"/>
  <c r="Z159" i="10"/>
  <c r="Z158" i="10"/>
  <c r="Z210" i="10" s="1"/>
  <c r="Q116" i="50"/>
  <c r="Q107" i="50"/>
  <c r="AA38" i="83"/>
  <c r="AA77" i="83"/>
  <c r="Y10" i="17"/>
  <c r="X54" i="26"/>
  <c r="X52" i="26"/>
  <c r="BF34" i="39" l="1"/>
  <c r="BI34" i="39"/>
  <c r="Z200" i="10"/>
  <c r="Z203" i="10"/>
  <c r="AA107" i="50"/>
  <c r="AA116" i="50"/>
  <c r="Q108" i="50"/>
  <c r="Q110" i="50" l="1"/>
  <c r="AA108" i="50"/>
  <c r="AA109" i="50" s="1"/>
  <c r="Q109" i="50"/>
  <c r="Z162" i="10"/>
  <c r="Z163" i="10" s="1"/>
  <c r="AA110" i="50" l="1"/>
  <c r="AA117" i="50" s="1"/>
  <c r="Q117" i="50"/>
  <c r="Q40" i="50"/>
  <c r="Q41" i="50"/>
  <c r="Q42" i="50"/>
  <c r="Q43" i="50"/>
  <c r="Q44" i="50"/>
  <c r="Q45" i="50"/>
  <c r="Q39" i="50"/>
  <c r="AA43" i="50" l="1"/>
  <c r="AA42" i="50"/>
  <c r="AA45" i="50"/>
  <c r="AA41" i="50"/>
  <c r="AA44" i="50"/>
  <c r="AA40" i="50"/>
  <c r="Q46" i="50"/>
  <c r="AA39" i="50"/>
  <c r="AJ307" i="28"/>
  <c r="AP307" i="28" s="1"/>
  <c r="AT307" i="28" s="1"/>
  <c r="Y30" i="15"/>
  <c r="Y25" i="15"/>
  <c r="Y24" i="15"/>
  <c r="Y23" i="15"/>
  <c r="Y22" i="15"/>
  <c r="Y21" i="15"/>
  <c r="Y15" i="15"/>
  <c r="Y10" i="15"/>
  <c r="AA46" i="50" l="1"/>
  <c r="AA94" i="50" s="1"/>
  <c r="Q94" i="50"/>
  <c r="AX307" i="28"/>
  <c r="BF307" i="28" s="1"/>
  <c r="BH307" i="28" s="1"/>
  <c r="Q120" i="50"/>
  <c r="Y29" i="15"/>
  <c r="Q124" i="50"/>
  <c r="X12" i="15"/>
  <c r="Q125" i="50" l="1"/>
  <c r="AA124" i="50"/>
  <c r="Q121" i="50"/>
  <c r="AA120" i="50"/>
  <c r="Y32" i="15"/>
  <c r="G42" i="50"/>
  <c r="K42" i="50" l="1"/>
  <c r="O42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2" i="50" l="1"/>
  <c r="W42" i="50" s="1"/>
  <c r="AC42" i="50"/>
  <c r="AG42" i="50" s="1"/>
  <c r="AK42" i="50" s="1"/>
  <c r="AQ42" i="50" s="1"/>
  <c r="AU42" i="50" s="1"/>
  <c r="AY42" i="50" s="1"/>
  <c r="BG42" i="50" s="1"/>
  <c r="BH42" i="50" s="1"/>
  <c r="AC41" i="38"/>
  <c r="AC42" i="38"/>
  <c r="AC6" i="38"/>
  <c r="AC7" i="38"/>
  <c r="AC35" i="38"/>
  <c r="AC19" i="38"/>
  <c r="AC13" i="38"/>
  <c r="Z66" i="11"/>
  <c r="AC40" i="38" l="1"/>
  <c r="AC43" i="38"/>
  <c r="Z73" i="11"/>
  <c r="Y66" i="11"/>
  <c r="AC18" i="38"/>
  <c r="AC16" i="38"/>
  <c r="AC17" i="38" l="1"/>
  <c r="AC49" i="38" s="1"/>
  <c r="Z165" i="10"/>
  <c r="Z172" i="10" l="1"/>
  <c r="Z173" i="10" s="1"/>
  <c r="Q134" i="50"/>
  <c r="Q52" i="8"/>
  <c r="T42" i="59" s="1"/>
  <c r="Q101" i="50" l="1"/>
  <c r="D85" i="8" l="1"/>
  <c r="Q73" i="8" l="1"/>
  <c r="R93" i="8"/>
  <c r="Z37" i="8" l="1"/>
  <c r="Z136" i="6" l="1"/>
  <c r="Y136" i="6"/>
  <c r="Z129" i="6"/>
  <c r="Z128" i="6"/>
  <c r="Z127" i="6"/>
  <c r="Q523" i="28" l="1"/>
  <c r="Q522" i="28"/>
  <c r="Y429" i="28"/>
  <c r="Y297" i="28"/>
  <c r="Y256" i="28"/>
  <c r="Y68" i="28"/>
  <c r="Y67" i="28"/>
  <c r="Y65" i="28"/>
  <c r="Y51" i="73"/>
  <c r="Y30" i="73"/>
  <c r="Y25" i="73"/>
  <c r="Y109" i="73" l="1"/>
  <c r="BH36" i="28" l="1"/>
  <c r="Y12" i="15"/>
  <c r="Y13" i="15"/>
  <c r="Y15" i="28"/>
  <c r="Y23" i="28"/>
  <c r="Y7" i="28"/>
  <c r="T15" i="59"/>
  <c r="Y29" i="28" l="1"/>
  <c r="X16" i="15"/>
  <c r="X15" i="15"/>
  <c r="Y13" i="28"/>
  <c r="Y298" i="28"/>
  <c r="Y21" i="28"/>
  <c r="Y74" i="28" l="1"/>
  <c r="Y299" i="28"/>
  <c r="Y73" i="28"/>
  <c r="Y72" i="28"/>
  <c r="Y87" i="28" l="1"/>
  <c r="Y9" i="6"/>
  <c r="Y414" i="28"/>
  <c r="Y236" i="28"/>
  <c r="Y79" i="28"/>
  <c r="Y31" i="28"/>
  <c r="P97" i="50"/>
  <c r="P95" i="50" s="1"/>
  <c r="S53" i="83"/>
  <c r="S55" i="83"/>
  <c r="S56" i="83"/>
  <c r="S57" i="83"/>
  <c r="S61" i="83"/>
  <c r="S62" i="83"/>
  <c r="S65" i="83"/>
  <c r="Y83" i="28" l="1"/>
  <c r="S67" i="83"/>
  <c r="W67" i="83" s="1"/>
  <c r="AG67" i="83"/>
  <c r="AK67" i="83" s="1"/>
  <c r="AQ67" i="83" s="1"/>
  <c r="AU67" i="83" s="1"/>
  <c r="AY67" i="83" s="1"/>
  <c r="BG67" i="83" s="1"/>
  <c r="S66" i="83"/>
  <c r="W66" i="83" s="1"/>
  <c r="AG66" i="83"/>
  <c r="AK66" i="83" s="1"/>
  <c r="AQ66" i="83" s="1"/>
  <c r="AU66" i="83" s="1"/>
  <c r="AY66" i="83" s="1"/>
  <c r="BG66" i="83" s="1"/>
  <c r="W57" i="83"/>
  <c r="AG57" i="83"/>
  <c r="AK57" i="83" s="1"/>
  <c r="AQ57" i="83" s="1"/>
  <c r="AU57" i="83" s="1"/>
  <c r="AY57" i="83" s="1"/>
  <c r="BG57" i="83" s="1"/>
  <c r="W53" i="83"/>
  <c r="AG53" i="83"/>
  <c r="AK53" i="83" s="1"/>
  <c r="AQ53" i="83" s="1"/>
  <c r="AU53" i="83" s="1"/>
  <c r="AY53" i="83" s="1"/>
  <c r="BG53" i="83" s="1"/>
  <c r="W65" i="83"/>
  <c r="AG65" i="83"/>
  <c r="AK65" i="83" s="1"/>
  <c r="AQ65" i="83" s="1"/>
  <c r="AU65" i="83" s="1"/>
  <c r="AY65" i="83" s="1"/>
  <c r="BG65" i="83" s="1"/>
  <c r="W56" i="83"/>
  <c r="AG56" i="83"/>
  <c r="AK56" i="83" s="1"/>
  <c r="AQ56" i="83" s="1"/>
  <c r="AU56" i="83" s="1"/>
  <c r="AY56" i="83" s="1"/>
  <c r="BG56" i="83" s="1"/>
  <c r="W61" i="83"/>
  <c r="AG61" i="83"/>
  <c r="AK61" i="83" s="1"/>
  <c r="AQ61" i="83" s="1"/>
  <c r="AU61" i="83" s="1"/>
  <c r="AY61" i="83" s="1"/>
  <c r="BG61" i="83" s="1"/>
  <c r="W62" i="83"/>
  <c r="AG62" i="83"/>
  <c r="AK62" i="83" s="1"/>
  <c r="AQ62" i="83" s="1"/>
  <c r="AU62" i="83" s="1"/>
  <c r="AY62" i="83" s="1"/>
  <c r="BG62" i="83" s="1"/>
  <c r="W55" i="83"/>
  <c r="AG55" i="83"/>
  <c r="P80" i="83"/>
  <c r="Y37" i="28"/>
  <c r="G144" i="50"/>
  <c r="K144" i="50" l="1"/>
  <c r="O144" i="50"/>
  <c r="AK55" i="83"/>
  <c r="AQ55" i="83" s="1"/>
  <c r="AU55" i="83" s="1"/>
  <c r="AY55" i="83" s="1"/>
  <c r="BG55" i="83" s="1"/>
  <c r="Y63" i="28"/>
  <c r="Y75" i="28"/>
  <c r="Y491" i="28"/>
  <c r="G145" i="50"/>
  <c r="AC144" i="50" l="1"/>
  <c r="AG144" i="50" s="1"/>
  <c r="AK144" i="50" s="1"/>
  <c r="AQ144" i="50" s="1"/>
  <c r="AU144" i="50" s="1"/>
  <c r="AY144" i="50" s="1"/>
  <c r="BG144" i="50" s="1"/>
  <c r="BH144" i="50" s="1"/>
  <c r="S144" i="50"/>
  <c r="W144" i="50" s="1"/>
  <c r="O145" i="50"/>
  <c r="K145" i="50"/>
  <c r="Y69" i="28"/>
  <c r="Y91" i="28"/>
  <c r="Y76" i="28"/>
  <c r="S145" i="50" l="1"/>
  <c r="W145" i="50" s="1"/>
  <c r="AC145" i="50"/>
  <c r="AG145" i="50" s="1"/>
  <c r="AK145" i="50" s="1"/>
  <c r="AQ145" i="50" s="1"/>
  <c r="AU145" i="50" s="1"/>
  <c r="AY145" i="50" s="1"/>
  <c r="BG145" i="50" s="1"/>
  <c r="BH145" i="50" s="1"/>
  <c r="Y95" i="28"/>
  <c r="G127" i="50" l="1"/>
  <c r="K127" i="50" l="1"/>
  <c r="O127" i="50"/>
  <c r="G76" i="83"/>
  <c r="O75" i="83"/>
  <c r="K75" i="83"/>
  <c r="S75" i="83" s="1"/>
  <c r="O74" i="83"/>
  <c r="K74" i="83"/>
  <c r="O73" i="83"/>
  <c r="O72" i="83"/>
  <c r="K67" i="83"/>
  <c r="O52" i="83"/>
  <c r="AC52" i="83" s="1"/>
  <c r="AG52" i="83" s="1"/>
  <c r="K52" i="83"/>
  <c r="G46" i="83"/>
  <c r="G51" i="83" s="1"/>
  <c r="G44" i="83"/>
  <c r="K44" i="83" s="1"/>
  <c r="G43" i="83"/>
  <c r="K43" i="83" s="1"/>
  <c r="G42" i="83"/>
  <c r="K42" i="83" s="1"/>
  <c r="G41" i="83"/>
  <c r="K41" i="83" s="1"/>
  <c r="G40" i="83"/>
  <c r="K40" i="83" s="1"/>
  <c r="G39" i="83"/>
  <c r="AK52" i="83" l="1"/>
  <c r="S73" i="83"/>
  <c r="W73" i="83" s="1"/>
  <c r="AC73" i="83"/>
  <c r="AK73" i="83" s="1"/>
  <c r="W75" i="83"/>
  <c r="AC75" i="83"/>
  <c r="AK75" i="83" s="1"/>
  <c r="S72" i="83"/>
  <c r="W72" i="83" s="1"/>
  <c r="AC72" i="83"/>
  <c r="AK72" i="83" s="1"/>
  <c r="S74" i="83"/>
  <c r="W74" i="83" s="1"/>
  <c r="AC74" i="83"/>
  <c r="AK74" i="83" s="1"/>
  <c r="S52" i="83"/>
  <c r="K46" i="83"/>
  <c r="K51" i="83" s="1"/>
  <c r="S5" i="83"/>
  <c r="S17" i="83"/>
  <c r="S7" i="83"/>
  <c r="O42" i="83"/>
  <c r="S18" i="83"/>
  <c r="O39" i="83"/>
  <c r="O43" i="83"/>
  <c r="S10" i="83"/>
  <c r="S12" i="83"/>
  <c r="S6" i="83"/>
  <c r="S15" i="83"/>
  <c r="K39" i="83"/>
  <c r="K76" i="83"/>
  <c r="O40" i="83"/>
  <c r="O44" i="83"/>
  <c r="O76" i="83"/>
  <c r="AC76" i="83" s="1"/>
  <c r="S8" i="83"/>
  <c r="S11" i="83"/>
  <c r="S16" i="83"/>
  <c r="O46" i="83"/>
  <c r="O51" i="83" s="1"/>
  <c r="O41" i="83"/>
  <c r="G45" i="83"/>
  <c r="AQ52" i="83" l="1"/>
  <c r="AK76" i="83"/>
  <c r="AG76" i="83"/>
  <c r="W76" i="83"/>
  <c r="AC46" i="83"/>
  <c r="S76" i="83"/>
  <c r="W12" i="83"/>
  <c r="AG12" i="83"/>
  <c r="AK12" i="83" s="1"/>
  <c r="S39" i="83"/>
  <c r="W39" i="83" s="1"/>
  <c r="AC39" i="83"/>
  <c r="AG39" i="83" s="1"/>
  <c r="AK39" i="83" s="1"/>
  <c r="AQ39" i="83" s="1"/>
  <c r="S35" i="83"/>
  <c r="W35" i="83" s="1"/>
  <c r="AG35" i="83"/>
  <c r="AK35" i="83" s="1"/>
  <c r="W11" i="83"/>
  <c r="AG11" i="83"/>
  <c r="AK11" i="83" s="1"/>
  <c r="AQ11" i="83" s="1"/>
  <c r="W8" i="83"/>
  <c r="AG8" i="83"/>
  <c r="AK8" i="83" s="1"/>
  <c r="AQ8" i="83" s="1"/>
  <c r="S32" i="83"/>
  <c r="W32" i="83" s="1"/>
  <c r="AG32" i="83"/>
  <c r="AK32" i="83" s="1"/>
  <c r="W18" i="83"/>
  <c r="AG18" i="83"/>
  <c r="AK18" i="83" s="1"/>
  <c r="W17" i="83"/>
  <c r="AG17" i="83"/>
  <c r="AK17" i="83" s="1"/>
  <c r="W5" i="83"/>
  <c r="AG5" i="83"/>
  <c r="AK5" i="83" s="1"/>
  <c r="AQ5" i="83" s="1"/>
  <c r="S41" i="83"/>
  <c r="W41" i="83" s="1"/>
  <c r="AC41" i="83"/>
  <c r="AG41" i="83" s="1"/>
  <c r="AK41" i="83" s="1"/>
  <c r="AQ41" i="83" s="1"/>
  <c r="AU41" i="83" s="1"/>
  <c r="AY41" i="83" s="1"/>
  <c r="BG41" i="83" s="1"/>
  <c r="S40" i="83"/>
  <c r="W40" i="83" s="1"/>
  <c r="AC40" i="83"/>
  <c r="AG40" i="83" s="1"/>
  <c r="AK40" i="83" s="1"/>
  <c r="AQ40" i="83" s="1"/>
  <c r="AU40" i="83" s="1"/>
  <c r="AY40" i="83" s="1"/>
  <c r="BG40" i="83" s="1"/>
  <c r="W15" i="83"/>
  <c r="AG15" i="83"/>
  <c r="AK15" i="83" s="1"/>
  <c r="W10" i="83"/>
  <c r="AG10" i="83"/>
  <c r="AK10" i="83" s="1"/>
  <c r="AQ10" i="83" s="1"/>
  <c r="S37" i="83"/>
  <c r="W37" i="83" s="1"/>
  <c r="AG37" i="83"/>
  <c r="W7" i="83"/>
  <c r="AG7" i="83"/>
  <c r="AK7" i="83" s="1"/>
  <c r="AQ7" i="83" s="1"/>
  <c r="W16" i="83"/>
  <c r="AG16" i="83"/>
  <c r="AK16" i="83" s="1"/>
  <c r="S44" i="83"/>
  <c r="W44" i="83" s="1"/>
  <c r="AC44" i="83"/>
  <c r="AG44" i="83" s="1"/>
  <c r="AK44" i="83" s="1"/>
  <c r="AQ44" i="83" s="1"/>
  <c r="AU44" i="83" s="1"/>
  <c r="AY44" i="83" s="1"/>
  <c r="BG44" i="83" s="1"/>
  <c r="S34" i="83"/>
  <c r="W34" i="83" s="1"/>
  <c r="AG34" i="83"/>
  <c r="AK34" i="83" s="1"/>
  <c r="W6" i="83"/>
  <c r="AG6" i="83"/>
  <c r="AK6" i="83" s="1"/>
  <c r="AQ6" i="83" s="1"/>
  <c r="S43" i="83"/>
  <c r="W43" i="83" s="1"/>
  <c r="AC43" i="83"/>
  <c r="AG43" i="83" s="1"/>
  <c r="AK43" i="83" s="1"/>
  <c r="AQ43" i="83" s="1"/>
  <c r="AU43" i="83" s="1"/>
  <c r="AY43" i="83" s="1"/>
  <c r="BG43" i="83" s="1"/>
  <c r="S42" i="83"/>
  <c r="W42" i="83" s="1"/>
  <c r="AC42" i="83"/>
  <c r="AG42" i="83" s="1"/>
  <c r="AK42" i="83" s="1"/>
  <c r="AQ42" i="83" s="1"/>
  <c r="AU42" i="83" s="1"/>
  <c r="AY42" i="83" s="1"/>
  <c r="BG42" i="83" s="1"/>
  <c r="S33" i="83"/>
  <c r="W33" i="83" s="1"/>
  <c r="AG33" i="83"/>
  <c r="AK33" i="83" s="1"/>
  <c r="W52" i="83"/>
  <c r="S46" i="83"/>
  <c r="K45" i="83"/>
  <c r="O45" i="83"/>
  <c r="AC45" i="83" s="1"/>
  <c r="N18" i="8"/>
  <c r="AK37" i="83" l="1"/>
  <c r="AQ37" i="83" s="1"/>
  <c r="AU37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9" i="83"/>
  <c r="AY39" i="83" s="1"/>
  <c r="AU52" i="83"/>
  <c r="AY52" i="83" s="1"/>
  <c r="BG52" i="83" s="1"/>
  <c r="AQ45" i="83"/>
  <c r="AK45" i="83"/>
  <c r="AG45" i="83"/>
  <c r="AC51" i="83"/>
  <c r="AG46" i="83"/>
  <c r="W45" i="83"/>
  <c r="S45" i="83"/>
  <c r="S51" i="83"/>
  <c r="W46" i="83"/>
  <c r="W51" i="83" s="1"/>
  <c r="N107" i="9"/>
  <c r="AB107" i="9" s="1"/>
  <c r="AF107" i="9" s="1"/>
  <c r="N108" i="9"/>
  <c r="AB108" i="9" s="1"/>
  <c r="AF108" i="9" s="1"/>
  <c r="M132" i="73"/>
  <c r="Q132" i="73" s="1"/>
  <c r="U132" i="73" s="1"/>
  <c r="M131" i="73"/>
  <c r="Q131" i="73" s="1"/>
  <c r="U131" i="73" s="1"/>
  <c r="M127" i="73"/>
  <c r="Q127" i="73" s="1"/>
  <c r="U127" i="73" s="1"/>
  <c r="M124" i="73"/>
  <c r="Q124" i="73" s="1"/>
  <c r="M123" i="73"/>
  <c r="Q123" i="73" s="1"/>
  <c r="M121" i="73"/>
  <c r="Q121" i="73" s="1"/>
  <c r="M120" i="73"/>
  <c r="Q120" i="73" s="1"/>
  <c r="M119" i="73"/>
  <c r="Q119" i="73" s="1"/>
  <c r="M111" i="73"/>
  <c r="M110" i="73"/>
  <c r="M107" i="73"/>
  <c r="M105" i="73"/>
  <c r="Q105" i="73" s="1"/>
  <c r="U105" i="73" s="1"/>
  <c r="M104" i="73"/>
  <c r="M103" i="73"/>
  <c r="M101" i="73"/>
  <c r="M113" i="73"/>
  <c r="M100" i="73"/>
  <c r="M99" i="73"/>
  <c r="M58" i="73"/>
  <c r="M54" i="73"/>
  <c r="M52" i="73"/>
  <c r="Q52" i="73" s="1"/>
  <c r="U52" i="73" s="1"/>
  <c r="M50" i="73"/>
  <c r="Q50" i="73" s="1"/>
  <c r="U50" i="73" s="1"/>
  <c r="M48" i="73"/>
  <c r="Q48" i="73" s="1"/>
  <c r="U48" i="73" s="1"/>
  <c r="M47" i="73"/>
  <c r="M45" i="73"/>
  <c r="Q45" i="73" s="1"/>
  <c r="U45" i="73" s="1"/>
  <c r="M44" i="73"/>
  <c r="Q44" i="73" s="1"/>
  <c r="U44" i="73" s="1"/>
  <c r="M43" i="73"/>
  <c r="Q43" i="73" s="1"/>
  <c r="U43" i="73" s="1"/>
  <c r="M42" i="73"/>
  <c r="M31" i="73"/>
  <c r="M29" i="73"/>
  <c r="Q29" i="73" s="1"/>
  <c r="U29" i="73" s="1"/>
  <c r="M26" i="73"/>
  <c r="Q110" i="73" l="1"/>
  <c r="U110" i="73" s="1"/>
  <c r="Q104" i="73"/>
  <c r="U104" i="73" s="1"/>
  <c r="Q101" i="73"/>
  <c r="U101" i="73" s="1"/>
  <c r="Q111" i="73"/>
  <c r="U111" i="73" s="1"/>
  <c r="Q54" i="73"/>
  <c r="U54" i="73" s="1"/>
  <c r="Q99" i="73"/>
  <c r="U99" i="73" s="1"/>
  <c r="Q100" i="73"/>
  <c r="U100" i="73" s="1"/>
  <c r="Q26" i="73"/>
  <c r="U26" i="73" s="1"/>
  <c r="Q103" i="73"/>
  <c r="U103" i="73" s="1"/>
  <c r="Q47" i="73"/>
  <c r="U47" i="73" s="1"/>
  <c r="Q58" i="73"/>
  <c r="U58" i="73" s="1"/>
  <c r="Q42" i="73"/>
  <c r="U42" i="73" s="1"/>
  <c r="Q113" i="73"/>
  <c r="U113" i="73" s="1"/>
  <c r="Q107" i="73"/>
  <c r="U107" i="73" s="1"/>
  <c r="Q31" i="73"/>
  <c r="U31" i="73" s="1"/>
  <c r="AY45" i="83"/>
  <c r="BG39" i="83"/>
  <c r="AY37" i="83"/>
  <c r="BG37" i="83" s="1"/>
  <c r="AQ15" i="83"/>
  <c r="AU15" i="83" s="1"/>
  <c r="AQ33" i="83"/>
  <c r="AU33" i="83" s="1"/>
  <c r="AQ17" i="83"/>
  <c r="AU17" i="83" s="1"/>
  <c r="AQ35" i="83"/>
  <c r="AU35" i="83" s="1"/>
  <c r="AQ18" i="83"/>
  <c r="AU18" i="83" s="1"/>
  <c r="AQ16" i="83"/>
  <c r="AQ34" i="83"/>
  <c r="AU34" i="83" s="1"/>
  <c r="AQ32" i="83"/>
  <c r="AQ12" i="83"/>
  <c r="AJ108" i="9"/>
  <c r="AP108" i="9" s="1"/>
  <c r="AT108" i="9" s="1"/>
  <c r="AJ107" i="9"/>
  <c r="AP107" i="9" s="1"/>
  <c r="AT107" i="9" s="1"/>
  <c r="AA29" i="73"/>
  <c r="AE29" i="73" s="1"/>
  <c r="AA44" i="73"/>
  <c r="AE44" i="73" s="1"/>
  <c r="AA45" i="73"/>
  <c r="AE45" i="73" s="1"/>
  <c r="AA52" i="73"/>
  <c r="AE52" i="73" s="1"/>
  <c r="AA43" i="73"/>
  <c r="AE43" i="73" s="1"/>
  <c r="AA121" i="73"/>
  <c r="U121" i="73"/>
  <c r="AA119" i="73"/>
  <c r="U119" i="73"/>
  <c r="AA120" i="73"/>
  <c r="U120" i="73"/>
  <c r="AA123" i="73"/>
  <c r="U123" i="73"/>
  <c r="AA132" i="73"/>
  <c r="AA124" i="73"/>
  <c r="U124" i="73"/>
  <c r="AA48" i="73"/>
  <c r="AE48" i="73" s="1"/>
  <c r="AA50" i="73"/>
  <c r="AE50" i="73" s="1"/>
  <c r="AA105" i="73"/>
  <c r="AE105" i="73" s="1"/>
  <c r="AU45" i="83"/>
  <c r="BG14" i="61"/>
  <c r="BG13" i="61"/>
  <c r="M126" i="73"/>
  <c r="AA127" i="73"/>
  <c r="AA101" i="73"/>
  <c r="AA107" i="73"/>
  <c r="AA110" i="73"/>
  <c r="AA42" i="73"/>
  <c r="AA103" i="73"/>
  <c r="AA47" i="73"/>
  <c r="AA111" i="73"/>
  <c r="AA113" i="73"/>
  <c r="AA54" i="73"/>
  <c r="AE54" i="73" s="1"/>
  <c r="AA58" i="73"/>
  <c r="AA100" i="73"/>
  <c r="AA104" i="73"/>
  <c r="M130" i="73"/>
  <c r="AA131" i="73"/>
  <c r="AA26" i="73"/>
  <c r="AE26" i="73" s="1"/>
  <c r="AI26" i="73" s="1"/>
  <c r="AA31" i="73"/>
  <c r="AE31" i="73" s="1"/>
  <c r="AI31" i="73" s="1"/>
  <c r="AA99" i="73"/>
  <c r="M122" i="73"/>
  <c r="AG51" i="83"/>
  <c r="AK46" i="83"/>
  <c r="R108" i="9"/>
  <c r="V108" i="9" s="1"/>
  <c r="R107" i="9"/>
  <c r="V107" i="9" s="1"/>
  <c r="AI43" i="73" l="1"/>
  <c r="AO43" i="73" s="1"/>
  <c r="AS43" i="73" s="1"/>
  <c r="AW43" i="73" s="1"/>
  <c r="AI52" i="73"/>
  <c r="AO52" i="73" s="1"/>
  <c r="AS52" i="73" s="1"/>
  <c r="AW52" i="73" s="1"/>
  <c r="AI29" i="73"/>
  <c r="AO29" i="73" s="1"/>
  <c r="AS29" i="73" s="1"/>
  <c r="AW29" i="73" s="1"/>
  <c r="AI54" i="73"/>
  <c r="AO54" i="73" s="1"/>
  <c r="AS54" i="73" s="1"/>
  <c r="AW54" i="73" s="1"/>
  <c r="AI48" i="73"/>
  <c r="AO48" i="73" s="1"/>
  <c r="AS48" i="73" s="1"/>
  <c r="AW48" i="73" s="1"/>
  <c r="AI44" i="73"/>
  <c r="AO44" i="73" s="1"/>
  <c r="AS44" i="73" s="1"/>
  <c r="AW44" i="73" s="1"/>
  <c r="AI105" i="73"/>
  <c r="AO105" i="73" s="1"/>
  <c r="AS105" i="73" s="1"/>
  <c r="AW105" i="73" s="1"/>
  <c r="AI45" i="73"/>
  <c r="AO45" i="73" s="1"/>
  <c r="AS45" i="73" s="1"/>
  <c r="AW45" i="73" s="1"/>
  <c r="AI50" i="73"/>
  <c r="AO50" i="73" s="1"/>
  <c r="AS50" i="73" s="1"/>
  <c r="AW50" i="73" s="1"/>
  <c r="AA130" i="73"/>
  <c r="Q130" i="73"/>
  <c r="U130" i="73" s="1"/>
  <c r="AA122" i="73"/>
  <c r="Q122" i="73"/>
  <c r="AA126" i="73"/>
  <c r="Q126" i="73"/>
  <c r="U126" i="73" s="1"/>
  <c r="AX107" i="9"/>
  <c r="BF107" i="9" s="1"/>
  <c r="AX108" i="9"/>
  <c r="BF108" i="9" s="1"/>
  <c r="AY17" i="83"/>
  <c r="BG17" i="83" s="1"/>
  <c r="AY33" i="83"/>
  <c r="BG33" i="83" s="1"/>
  <c r="AY34" i="83"/>
  <c r="BG34" i="83" s="1"/>
  <c r="AY15" i="83"/>
  <c r="BG15" i="83" s="1"/>
  <c r="AY18" i="83"/>
  <c r="BG18" i="83" s="1"/>
  <c r="AY35" i="83"/>
  <c r="BG35" i="83" s="1"/>
  <c r="AU12" i="83"/>
  <c r="AU16" i="83"/>
  <c r="AU32" i="83"/>
  <c r="U122" i="73"/>
  <c r="AK51" i="83"/>
  <c r="AQ46" i="83"/>
  <c r="AE123" i="73"/>
  <c r="N106" i="9"/>
  <c r="AB106" i="9" s="1"/>
  <c r="AF106" i="9" s="1"/>
  <c r="N105" i="9"/>
  <c r="J106" i="9"/>
  <c r="J105" i="9"/>
  <c r="BE105" i="73" l="1"/>
  <c r="BE54" i="73"/>
  <c r="BE50" i="73"/>
  <c r="BE44" i="73"/>
  <c r="BE52" i="73"/>
  <c r="BE45" i="73"/>
  <c r="BE48" i="73"/>
  <c r="BE43" i="73"/>
  <c r="BE29" i="73"/>
  <c r="BG45" i="83"/>
  <c r="AY16" i="83"/>
  <c r="BG16" i="83" s="1"/>
  <c r="AY12" i="83"/>
  <c r="BG12" i="83" s="1"/>
  <c r="AY32" i="83"/>
  <c r="BG32" i="83" s="1"/>
  <c r="AJ106" i="9"/>
  <c r="AP106" i="9" s="1"/>
  <c r="AT106" i="9" s="1"/>
  <c r="AQ51" i="83"/>
  <c r="AU46" i="83"/>
  <c r="AI123" i="73"/>
  <c r="R106" i="9"/>
  <c r="V106" i="9" s="1"/>
  <c r="R105" i="9"/>
  <c r="V105" i="9" s="1"/>
  <c r="AB105" i="9"/>
  <c r="AF105" i="9" s="1"/>
  <c r="AX106" i="9" l="1"/>
  <c r="BF106" i="9" s="1"/>
  <c r="AU51" i="83"/>
  <c r="AY46" i="83"/>
  <c r="BG46" i="83" s="1"/>
  <c r="BG51" i="83" s="1"/>
  <c r="AJ105" i="9"/>
  <c r="AO123" i="73"/>
  <c r="AS123" i="73" s="1"/>
  <c r="M73" i="8"/>
  <c r="I73" i="8"/>
  <c r="AP105" i="9" l="1"/>
  <c r="AT105" i="9" s="1"/>
  <c r="AX105" i="9" s="1"/>
  <c r="BF105" i="9" s="1"/>
  <c r="AY51" i="83"/>
  <c r="AW123" i="73"/>
  <c r="BE123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BG11" i="52" s="1"/>
  <c r="I523" i="28"/>
  <c r="M523" i="28"/>
  <c r="E522" i="28"/>
  <c r="BG522" i="28" s="1"/>
  <c r="I522" i="28"/>
  <c r="M522" i="28"/>
  <c r="I54" i="73" l="1"/>
  <c r="N7" i="10" l="1"/>
  <c r="N199" i="10" s="1"/>
  <c r="AB7" i="10" l="1"/>
  <c r="AB199" i="10" s="1"/>
  <c r="R7" i="10"/>
  <c r="V7" i="10" l="1"/>
  <c r="V199" i="10" s="1"/>
  <c r="R199" i="10"/>
  <c r="AF7" i="10"/>
  <c r="AJ7" i="10" s="1"/>
  <c r="V158" i="10" l="1"/>
  <c r="V210" i="10" s="1"/>
  <c r="V159" i="10"/>
  <c r="AJ159" i="10"/>
  <c r="AJ158" i="10"/>
  <c r="AJ210" i="10" s="1"/>
  <c r="AP7" i="10"/>
  <c r="AT7" i="10" s="1"/>
  <c r="V200" i="10" l="1"/>
  <c r="V191" i="10"/>
  <c r="V193" i="10" s="1"/>
  <c r="V196" i="10"/>
  <c r="AX7" i="10"/>
  <c r="AJ196" i="10"/>
  <c r="AJ191" i="10"/>
  <c r="AJ178" i="10"/>
  <c r="AJ200" i="10"/>
  <c r="R30" i="8"/>
  <c r="V30" i="8" s="1"/>
  <c r="BF7" i="10" l="1"/>
  <c r="AJ193" i="10"/>
  <c r="AX158" i="10"/>
  <c r="AX199" i="10"/>
  <c r="AX159" i="10"/>
  <c r="R130" i="9"/>
  <c r="V130" i="9" s="1"/>
  <c r="R129" i="9"/>
  <c r="V129" i="9" s="1"/>
  <c r="BF199" i="10" l="1"/>
  <c r="BI199" i="10" s="1"/>
  <c r="BI7" i="10"/>
  <c r="AX178" i="10"/>
  <c r="AX200" i="10"/>
  <c r="AX191" i="10"/>
  <c r="AX196" i="10"/>
  <c r="K115" i="7"/>
  <c r="K114" i="7"/>
  <c r="AX193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G100" i="50" l="1"/>
  <c r="K100" i="50" l="1"/>
  <c r="O100" i="50"/>
  <c r="D110" i="26" l="1"/>
  <c r="D80" i="26"/>
  <c r="D73" i="26"/>
  <c r="D112" i="26"/>
  <c r="D108" i="26"/>
  <c r="D106" i="26"/>
  <c r="D104" i="26"/>
  <c r="D102" i="26"/>
  <c r="D100" i="26"/>
  <c r="D98" i="26"/>
  <c r="D78" i="26"/>
  <c r="D71" i="26"/>
  <c r="D69" i="26"/>
  <c r="D67" i="26"/>
  <c r="D65" i="26"/>
  <c r="D63" i="26"/>
  <c r="D61" i="26"/>
  <c r="D59" i="26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D23" i="26"/>
  <c r="D21" i="26"/>
  <c r="I61" i="6"/>
  <c r="L23" i="59" s="1"/>
  <c r="I60" i="6"/>
  <c r="L16" i="59" s="1"/>
  <c r="E166" i="6" l="1"/>
  <c r="E177" i="10"/>
  <c r="E88" i="8"/>
  <c r="F143" i="45"/>
  <c r="E89" i="8"/>
  <c r="F109" i="8"/>
  <c r="H53" i="26" l="1"/>
  <c r="L53" i="26" s="1"/>
  <c r="H89" i="26"/>
  <c r="L89" i="26" s="1"/>
  <c r="P89" i="26" s="1"/>
  <c r="T89" i="26" s="1"/>
  <c r="I89" i="26"/>
  <c r="M89" i="26" s="1"/>
  <c r="H91" i="26"/>
  <c r="L91" i="26" s="1"/>
  <c r="P91" i="26" s="1"/>
  <c r="T91" i="26" s="1"/>
  <c r="I91" i="26"/>
  <c r="M91" i="26" s="1"/>
  <c r="I93" i="26"/>
  <c r="I87" i="26"/>
  <c r="M87" i="26" s="1"/>
  <c r="Q87" i="26" s="1"/>
  <c r="U87" i="26" s="1"/>
  <c r="H87" i="26"/>
  <c r="L87" i="26" s="1"/>
  <c r="P87" i="26" s="1"/>
  <c r="T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3" i="8"/>
  <c r="AI91" i="26" l="1"/>
  <c r="AO91" i="26" s="1"/>
  <c r="AS91" i="26" s="1"/>
  <c r="AI89" i="26"/>
  <c r="AO89" i="26" s="1"/>
  <c r="AS89" i="26" s="1"/>
  <c r="AH53" i="26"/>
  <c r="AN53" i="26" s="1"/>
  <c r="AR53" i="26" s="1"/>
  <c r="F177" i="10"/>
  <c r="G143" i="45"/>
  <c r="AW89" i="26" l="1"/>
  <c r="BE89" i="26" s="1"/>
  <c r="AW91" i="26"/>
  <c r="BE91" i="26" s="1"/>
  <c r="AV53" i="26"/>
  <c r="BD53" i="26" s="1"/>
  <c r="H54" i="26"/>
  <c r="L54" i="26" s="1"/>
  <c r="P54" i="26" l="1"/>
  <c r="T54" i="26" s="1"/>
  <c r="Z54" i="26"/>
  <c r="AD54" i="26" s="1"/>
  <c r="S25" i="83"/>
  <c r="W25" i="83" s="1"/>
  <c r="AG25" i="83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1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1" i="15"/>
  <c r="Q21" i="15" s="1"/>
  <c r="I21" i="15"/>
  <c r="I59" i="59"/>
  <c r="H59" i="59"/>
  <c r="I51" i="59"/>
  <c r="I50" i="59"/>
  <c r="H22" i="59"/>
  <c r="H15" i="59"/>
  <c r="AY25" i="83" l="1"/>
  <c r="BG25" i="83" s="1"/>
  <c r="U21" i="15"/>
  <c r="AA21" i="15"/>
  <c r="AE21" i="15" s="1"/>
  <c r="AI21" i="15" l="1"/>
  <c r="AO21" i="15" s="1"/>
  <c r="AS21" i="15" s="1"/>
  <c r="I52" i="73"/>
  <c r="AW21" i="15" l="1"/>
  <c r="BE21" i="15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BH11" i="52" s="1"/>
  <c r="J1" i="35"/>
  <c r="I1" i="35"/>
  <c r="I179" i="73" l="1"/>
  <c r="F51" i="73"/>
  <c r="F114" i="73" s="1"/>
  <c r="H51" i="73"/>
  <c r="H114" i="73" s="1"/>
  <c r="E51" i="73"/>
  <c r="I43" i="73"/>
  <c r="M51" i="73" l="1"/>
  <c r="I51" i="73"/>
  <c r="Q51" i="73" l="1"/>
  <c r="U51" i="73" s="1"/>
  <c r="AA51" i="73"/>
  <c r="AJ202" i="28" l="1"/>
  <c r="J11" i="52"/>
  <c r="J12" i="52"/>
  <c r="J13" i="52"/>
  <c r="J14" i="52"/>
  <c r="J15" i="52"/>
  <c r="I11" i="52"/>
  <c r="I12" i="52"/>
  <c r="I13" i="52"/>
  <c r="I14" i="52"/>
  <c r="I15" i="52"/>
  <c r="AP202" i="28" l="1"/>
  <c r="AT202" i="28" s="1"/>
  <c r="AX202" i="28" s="1"/>
  <c r="BF202" i="28" s="1"/>
  <c r="BH202" i="28" s="1"/>
  <c r="J199" i="10" l="1"/>
  <c r="J30" i="8" l="1"/>
  <c r="J42" i="7" l="1"/>
  <c r="J43" i="7"/>
  <c r="J44" i="7"/>
  <c r="J45" i="7"/>
  <c r="J46" i="7"/>
  <c r="J47" i="7"/>
  <c r="J48" i="7"/>
  <c r="J50" i="7"/>
  <c r="I42" i="7"/>
  <c r="I43" i="7"/>
  <c r="I44" i="7"/>
  <c r="I45" i="7"/>
  <c r="I46" i="7"/>
  <c r="I47" i="7"/>
  <c r="I48" i="7"/>
  <c r="I50" i="7"/>
  <c r="I7" i="7"/>
  <c r="I8" i="7"/>
  <c r="I9" i="7"/>
  <c r="I10" i="7"/>
  <c r="I11" i="7"/>
  <c r="I12" i="7"/>
  <c r="I14" i="7"/>
  <c r="I15" i="7"/>
  <c r="I19" i="7"/>
  <c r="I20" i="7"/>
  <c r="J7" i="7"/>
  <c r="J8" i="7"/>
  <c r="J9" i="7"/>
  <c r="J10" i="7"/>
  <c r="J11" i="7"/>
  <c r="J12" i="7"/>
  <c r="J14" i="7"/>
  <c r="J15" i="7"/>
  <c r="J19" i="7"/>
  <c r="J20" i="7"/>
  <c r="G115" i="7"/>
  <c r="G114" i="7"/>
  <c r="J113" i="6"/>
  <c r="I113" i="6"/>
  <c r="J118" i="6"/>
  <c r="I118" i="6"/>
  <c r="I161" i="7" l="1"/>
  <c r="J157" i="7"/>
  <c r="J161" i="7"/>
  <c r="I157" i="7"/>
  <c r="I36" i="28"/>
  <c r="I35" i="28"/>
  <c r="I33" i="28"/>
  <c r="I28" i="28"/>
  <c r="I27" i="28"/>
  <c r="I25" i="28"/>
  <c r="I19" i="28"/>
  <c r="M19" i="28" s="1"/>
  <c r="Q19" i="28" s="1"/>
  <c r="U19" i="28" s="1"/>
  <c r="I20" i="28"/>
  <c r="M20" i="28" s="1"/>
  <c r="I17" i="28"/>
  <c r="I12" i="28"/>
  <c r="M12" i="28" s="1"/>
  <c r="J7" i="28"/>
  <c r="N7" i="28" s="1"/>
  <c r="R7" i="28" s="1"/>
  <c r="I11" i="28"/>
  <c r="M11" i="28" s="1"/>
  <c r="I9" i="28"/>
  <c r="M9" i="28" s="1"/>
  <c r="AB7" i="28" l="1"/>
  <c r="AF7" i="28" s="1"/>
  <c r="AJ7" i="28" s="1"/>
  <c r="AP7" i="28" s="1"/>
  <c r="AT7" i="28" s="1"/>
  <c r="V7" i="28"/>
  <c r="Q28" i="28"/>
  <c r="Q11" i="28"/>
  <c r="Q27" i="28"/>
  <c r="AA19" i="28"/>
  <c r="AE19" i="28" s="1"/>
  <c r="AI19" i="28" s="1"/>
  <c r="AO19" i="28" s="1"/>
  <c r="AS19" i="28" s="1"/>
  <c r="Q33" i="28"/>
  <c r="Q36" i="28"/>
  <c r="Q20" i="28"/>
  <c r="Q9" i="28"/>
  <c r="Q12" i="28"/>
  <c r="Q35" i="28"/>
  <c r="I304" i="28"/>
  <c r="M17" i="28"/>
  <c r="I429" i="28"/>
  <c r="I169" i="73"/>
  <c r="I123" i="73"/>
  <c r="I105" i="73"/>
  <c r="I91" i="73"/>
  <c r="I92" i="73"/>
  <c r="I93" i="73"/>
  <c r="I101" i="73"/>
  <c r="AX7" i="28" l="1"/>
  <c r="BF7" i="28" s="1"/>
  <c r="BH7" i="28" s="1"/>
  <c r="BH23" i="28"/>
  <c r="BH9" i="28"/>
  <c r="BH11" i="28"/>
  <c r="BH8" i="28"/>
  <c r="AW19" i="28"/>
  <c r="BE19" i="28" s="1"/>
  <c r="BG19" i="28" s="1"/>
  <c r="BH12" i="28"/>
  <c r="BH15" i="28"/>
  <c r="AA11" i="28"/>
  <c r="AE11" i="28" s="1"/>
  <c r="AI11" i="28" s="1"/>
  <c r="AO11" i="28" s="1"/>
  <c r="AS11" i="28" s="1"/>
  <c r="U11" i="28"/>
  <c r="AA9" i="28"/>
  <c r="AE9" i="28" s="1"/>
  <c r="AI9" i="28" s="1"/>
  <c r="AO9" i="28" s="1"/>
  <c r="AS9" i="28" s="1"/>
  <c r="U9" i="28"/>
  <c r="AJ259" i="28"/>
  <c r="AP259" i="28" s="1"/>
  <c r="AT259" i="28" s="1"/>
  <c r="AJ416" i="28"/>
  <c r="AP416" i="28" s="1"/>
  <c r="AT416" i="28" s="1"/>
  <c r="AJ301" i="28"/>
  <c r="AP301" i="28" s="1"/>
  <c r="AT301" i="28" s="1"/>
  <c r="AJ239" i="28"/>
  <c r="AP239" i="28" s="1"/>
  <c r="AT239" i="28" s="1"/>
  <c r="AA35" i="28"/>
  <c r="AE35" i="28" s="1"/>
  <c r="AI35" i="28" s="1"/>
  <c r="AO35" i="28" s="1"/>
  <c r="AS35" i="28" s="1"/>
  <c r="U35" i="28"/>
  <c r="AA12" i="28"/>
  <c r="AE12" i="28" s="1"/>
  <c r="AI12" i="28" s="1"/>
  <c r="AO12" i="28" s="1"/>
  <c r="AS12" i="28" s="1"/>
  <c r="U12" i="28"/>
  <c r="AA36" i="28"/>
  <c r="AE36" i="28" s="1"/>
  <c r="AI36" i="28" s="1"/>
  <c r="AO36" i="28" s="1"/>
  <c r="AS36" i="28" s="1"/>
  <c r="U36" i="28"/>
  <c r="AA28" i="28"/>
  <c r="AE28" i="28" s="1"/>
  <c r="AI28" i="28" s="1"/>
  <c r="AO28" i="28" s="1"/>
  <c r="AS28" i="28" s="1"/>
  <c r="U28" i="28"/>
  <c r="AA27" i="28"/>
  <c r="AE27" i="28" s="1"/>
  <c r="AI27" i="28" s="1"/>
  <c r="AO27" i="28" s="1"/>
  <c r="AS27" i="28" s="1"/>
  <c r="U27" i="28"/>
  <c r="AA20" i="28"/>
  <c r="AE20" i="28" s="1"/>
  <c r="AI20" i="28" s="1"/>
  <c r="AO20" i="28" s="1"/>
  <c r="AS20" i="28" s="1"/>
  <c r="U20" i="28"/>
  <c r="AA33" i="28"/>
  <c r="AE33" i="28" s="1"/>
  <c r="AI33" i="28" s="1"/>
  <c r="AO33" i="28" s="1"/>
  <c r="AS33" i="28" s="1"/>
  <c r="U33" i="28"/>
  <c r="AJ100" i="28"/>
  <c r="AP100" i="28" s="1"/>
  <c r="AT100" i="28" s="1"/>
  <c r="Q25" i="28"/>
  <c r="U25" i="28" s="1"/>
  <c r="U429" i="28" s="1"/>
  <c r="Q17" i="28"/>
  <c r="U17" i="28" s="1"/>
  <c r="U304" i="28" s="1"/>
  <c r="AX259" i="28" l="1"/>
  <c r="BF259" i="28" s="1"/>
  <c r="BH259" i="28" s="1"/>
  <c r="AX301" i="28"/>
  <c r="BF301" i="28" s="1"/>
  <c r="BH301" i="28" s="1"/>
  <c r="AX239" i="28"/>
  <c r="BF239" i="28" s="1"/>
  <c r="BH239" i="28" s="1"/>
  <c r="AX416" i="28"/>
  <c r="BF416" i="28" s="1"/>
  <c r="BH416" i="28" s="1"/>
  <c r="AW9" i="28"/>
  <c r="BE9" i="28" s="1"/>
  <c r="BG9" i="28" s="1"/>
  <c r="AW28" i="28"/>
  <c r="BE28" i="28" s="1"/>
  <c r="BG28" i="28" s="1"/>
  <c r="AW11" i="28"/>
  <c r="BE11" i="28" s="1"/>
  <c r="BG11" i="28" s="1"/>
  <c r="AW35" i="28"/>
  <c r="BE35" i="28" s="1"/>
  <c r="BG35" i="28" s="1"/>
  <c r="AW36" i="28"/>
  <c r="BE36" i="28" s="1"/>
  <c r="BG36" i="28" s="1"/>
  <c r="BH50" i="28"/>
  <c r="AX100" i="28"/>
  <c r="BF100" i="28" s="1"/>
  <c r="BH100" i="28" s="1"/>
  <c r="AW27" i="28"/>
  <c r="BE27" i="28" s="1"/>
  <c r="BG27" i="28" s="1"/>
  <c r="AW12" i="28"/>
  <c r="BE12" i="28" s="1"/>
  <c r="BG12" i="28" s="1"/>
  <c r="AW33" i="28"/>
  <c r="BE33" i="28" s="1"/>
  <c r="BG33" i="28" s="1"/>
  <c r="AW20" i="28"/>
  <c r="BE20" i="28" s="1"/>
  <c r="BG20" i="28" s="1"/>
  <c r="AJ439" i="28"/>
  <c r="AP439" i="28" s="1"/>
  <c r="AT439" i="28" s="1"/>
  <c r="AJ79" i="28"/>
  <c r="AP79" i="28" s="1"/>
  <c r="AT79" i="28" s="1"/>
  <c r="Q304" i="28"/>
  <c r="Q429" i="28"/>
  <c r="AX439" i="28" l="1"/>
  <c r="BF439" i="28" s="1"/>
  <c r="BH439" i="28" s="1"/>
  <c r="AX79" i="28"/>
  <c r="BF79" i="28" s="1"/>
  <c r="BH79" i="28" s="1"/>
  <c r="Y304" i="28" l="1"/>
  <c r="AA17" i="28"/>
  <c r="AA25" i="28"/>
  <c r="H97" i="50"/>
  <c r="H95" i="50" s="1"/>
  <c r="AA429" i="28" l="1"/>
  <c r="AE25" i="28"/>
  <c r="AA304" i="28"/>
  <c r="AE17" i="28"/>
  <c r="N60" i="6"/>
  <c r="N61" i="6"/>
  <c r="G9" i="50" l="1"/>
  <c r="F159" i="10"/>
  <c r="F158" i="10"/>
  <c r="F210" i="10" s="1"/>
  <c r="AE304" i="28"/>
  <c r="AI17" i="28"/>
  <c r="AE429" i="28"/>
  <c r="AI25" i="28"/>
  <c r="K29" i="83"/>
  <c r="K9" i="83"/>
  <c r="K27" i="83"/>
  <c r="K24" i="83"/>
  <c r="K30" i="83"/>
  <c r="K31" i="83"/>
  <c r="G4" i="50"/>
  <c r="G4" i="83"/>
  <c r="E73" i="8"/>
  <c r="BH42" i="28" l="1"/>
  <c r="K9" i="50"/>
  <c r="F196" i="10"/>
  <c r="F200" i="10"/>
  <c r="F161" i="10"/>
  <c r="O9" i="50"/>
  <c r="J158" i="10"/>
  <c r="J210" i="10" s="1"/>
  <c r="J159" i="10"/>
  <c r="N158" i="10"/>
  <c r="N210" i="10" s="1"/>
  <c r="N159" i="10"/>
  <c r="O4" i="50"/>
  <c r="K4" i="50"/>
  <c r="AI304" i="28"/>
  <c r="AO304" i="28" s="1"/>
  <c r="AO17" i="28"/>
  <c r="AS17" i="28" s="1"/>
  <c r="AW17" i="28" s="1"/>
  <c r="AW304" i="28" s="1"/>
  <c r="AI429" i="28"/>
  <c r="AO429" i="28" s="1"/>
  <c r="AO25" i="28"/>
  <c r="AS25" i="28" s="1"/>
  <c r="AW25" i="28" s="1"/>
  <c r="AW429" i="28" s="1"/>
  <c r="S24" i="83"/>
  <c r="S9" i="83"/>
  <c r="K4" i="83"/>
  <c r="G38" i="83"/>
  <c r="O4" i="83"/>
  <c r="G116" i="50"/>
  <c r="N200" i="10" l="1"/>
  <c r="J200" i="10"/>
  <c r="O38" i="50"/>
  <c r="AC9" i="50"/>
  <c r="AG9" i="50" s="1"/>
  <c r="S9" i="50"/>
  <c r="W9" i="50" s="1"/>
  <c r="AQ27" i="50"/>
  <c r="AU27" i="50" s="1"/>
  <c r="AY27" i="50" s="1"/>
  <c r="BG27" i="50" s="1"/>
  <c r="BH27" i="50" s="1"/>
  <c r="AQ29" i="50"/>
  <c r="AU29" i="50" s="1"/>
  <c r="AY29" i="50" s="1"/>
  <c r="BG29" i="50" s="1"/>
  <c r="BH29" i="50" s="1"/>
  <c r="AQ30" i="50"/>
  <c r="AU30" i="50" s="1"/>
  <c r="AY30" i="50" s="1"/>
  <c r="BG30" i="50" s="1"/>
  <c r="BH30" i="50" s="1"/>
  <c r="K116" i="50"/>
  <c r="O116" i="50"/>
  <c r="K38" i="50"/>
  <c r="AC4" i="50"/>
  <c r="S4" i="50"/>
  <c r="AS429" i="28"/>
  <c r="AS304" i="28"/>
  <c r="S27" i="83"/>
  <c r="W27" i="83" s="1"/>
  <c r="AG27" i="83"/>
  <c r="AK27" i="83" s="1"/>
  <c r="S31" i="83"/>
  <c r="W31" i="83" s="1"/>
  <c r="AG31" i="83"/>
  <c r="AK31" i="83" s="1"/>
  <c r="S30" i="83"/>
  <c r="W30" i="83" s="1"/>
  <c r="AG30" i="83"/>
  <c r="AK30" i="83" s="1"/>
  <c r="W9" i="83"/>
  <c r="AG9" i="83"/>
  <c r="AK9" i="83" s="1"/>
  <c r="AQ9" i="83" s="1"/>
  <c r="W24" i="83"/>
  <c r="AG24" i="83"/>
  <c r="AK24" i="83" s="1"/>
  <c r="S4" i="83"/>
  <c r="W4" i="83" s="1"/>
  <c r="AC4" i="83"/>
  <c r="AG4" i="83" s="1"/>
  <c r="AK4" i="83" s="1"/>
  <c r="AQ4" i="83" s="1"/>
  <c r="S29" i="83"/>
  <c r="W29" i="83" s="1"/>
  <c r="AG29" i="83"/>
  <c r="AK29" i="83" s="1"/>
  <c r="O38" i="83"/>
  <c r="AC38" i="83" s="1"/>
  <c r="K38" i="83"/>
  <c r="AK9" i="50" l="1"/>
  <c r="AQ9" i="50" s="1"/>
  <c r="AU9" i="50" s="1"/>
  <c r="AY9" i="50" s="1"/>
  <c r="BG9" i="50" s="1"/>
  <c r="BH9" i="50" s="1"/>
  <c r="AU9" i="83"/>
  <c r="AY9" i="83" s="1"/>
  <c r="BG9" i="83" s="1"/>
  <c r="S116" i="50"/>
  <c r="W116" i="50" s="1"/>
  <c r="AC116" i="50"/>
  <c r="AG116" i="50" s="1"/>
  <c r="AK116" i="50" s="1"/>
  <c r="AQ116" i="50" s="1"/>
  <c r="AU116" i="50" s="1"/>
  <c r="AY116" i="50" s="1"/>
  <c r="BG116" i="50" s="1"/>
  <c r="BH116" i="50" s="1"/>
  <c r="AC38" i="50"/>
  <c r="S38" i="50"/>
  <c r="W4" i="50"/>
  <c r="W38" i="50" s="1"/>
  <c r="AG4" i="50"/>
  <c r="AU4" i="83"/>
  <c r="BE17" i="28"/>
  <c r="BE25" i="28"/>
  <c r="AG38" i="83"/>
  <c r="W38" i="83"/>
  <c r="S38" i="83"/>
  <c r="D56" i="28"/>
  <c r="D490" i="28" s="1"/>
  <c r="D48" i="28"/>
  <c r="D29" i="28"/>
  <c r="D21" i="28"/>
  <c r="D299" i="28" s="1"/>
  <c r="D13" i="28"/>
  <c r="D236" i="28" s="1"/>
  <c r="E429" i="28"/>
  <c r="D429" i="28"/>
  <c r="E256" i="28"/>
  <c r="D256" i="28"/>
  <c r="E304" i="28"/>
  <c r="D304" i="28"/>
  <c r="E68" i="28"/>
  <c r="E67" i="28"/>
  <c r="E65" i="28"/>
  <c r="D36" i="28"/>
  <c r="D68" i="28" s="1"/>
  <c r="D67" i="28"/>
  <c r="D33" i="28"/>
  <c r="D65" i="28" s="1"/>
  <c r="D31" i="28"/>
  <c r="M304" i="28" l="1"/>
  <c r="BE429" i="28"/>
  <c r="BG25" i="28"/>
  <c r="BE304" i="28"/>
  <c r="BG304" i="28" s="1"/>
  <c r="BG17" i="28"/>
  <c r="M429" i="28"/>
  <c r="BG429" i="28"/>
  <c r="D471" i="28"/>
  <c r="D414" i="28"/>
  <c r="AY4" i="83"/>
  <c r="BG4" i="83" s="1"/>
  <c r="AQ30" i="83"/>
  <c r="AU30" i="83" s="1"/>
  <c r="AQ24" i="83"/>
  <c r="AQ29" i="83"/>
  <c r="AU29" i="83" s="1"/>
  <c r="AQ27" i="83"/>
  <c r="AU27" i="83" s="1"/>
  <c r="AQ31" i="83"/>
  <c r="AU31" i="83" s="1"/>
  <c r="AK38" i="83"/>
  <c r="AK4" i="50"/>
  <c r="AG38" i="50"/>
  <c r="V162" i="10"/>
  <c r="V163" i="10" s="1"/>
  <c r="I65" i="28"/>
  <c r="M65" i="28"/>
  <c r="Q65" i="28" s="1"/>
  <c r="I67" i="28"/>
  <c r="M67" i="28"/>
  <c r="AA67" i="28" s="1"/>
  <c r="AE67" i="28" s="1"/>
  <c r="AI67" i="28" s="1"/>
  <c r="AO67" i="28" s="1"/>
  <c r="AS67" i="28" s="1"/>
  <c r="I68" i="28"/>
  <c r="M68" i="28"/>
  <c r="AA68" i="28" s="1"/>
  <c r="AE68" i="28" s="1"/>
  <c r="AI68" i="28" s="1"/>
  <c r="AO68" i="28" s="1"/>
  <c r="AS68" i="28" s="1"/>
  <c r="I256" i="28"/>
  <c r="M256" i="28"/>
  <c r="Q256" i="28" s="1"/>
  <c r="D37" i="28"/>
  <c r="D491" i="28" s="1"/>
  <c r="D63" i="28"/>
  <c r="E57" i="73"/>
  <c r="AY27" i="83" l="1"/>
  <c r="BG27" i="83" s="1"/>
  <c r="AY30" i="83"/>
  <c r="BG30" i="83" s="1"/>
  <c r="AY29" i="83"/>
  <c r="BG29" i="83" s="1"/>
  <c r="AY31" i="83"/>
  <c r="BG31" i="83" s="1"/>
  <c r="AW68" i="28"/>
  <c r="BE68" i="28" s="1"/>
  <c r="BG68" i="28" s="1"/>
  <c r="AW67" i="28"/>
  <c r="BE67" i="28" s="1"/>
  <c r="BG67" i="28" s="1"/>
  <c r="AU24" i="83"/>
  <c r="AK38" i="50"/>
  <c r="AQ4" i="50"/>
  <c r="AQ38" i="83"/>
  <c r="AA256" i="28"/>
  <c r="AE256" i="28" s="1"/>
  <c r="AI256" i="28" s="1"/>
  <c r="AO256" i="28" s="1"/>
  <c r="AS256" i="28" s="1"/>
  <c r="U256" i="28"/>
  <c r="AA65" i="28"/>
  <c r="AE65" i="28" s="1"/>
  <c r="AI65" i="28" s="1"/>
  <c r="AO65" i="28" s="1"/>
  <c r="AS65" i="28" s="1"/>
  <c r="U65" i="28"/>
  <c r="Q68" i="28"/>
  <c r="U68" i="28" s="1"/>
  <c r="Q67" i="28"/>
  <c r="U67" i="28" s="1"/>
  <c r="I57" i="73"/>
  <c r="M57" i="73"/>
  <c r="AE101" i="73"/>
  <c r="D27" i="21"/>
  <c r="AI101" i="73" l="1"/>
  <c r="AO101" i="73" s="1"/>
  <c r="AS101" i="73" s="1"/>
  <c r="AW101" i="73" s="1"/>
  <c r="Q57" i="73"/>
  <c r="U57" i="73" s="1"/>
  <c r="AY24" i="83"/>
  <c r="BG24" i="83" s="1"/>
  <c r="BG38" i="83" s="1"/>
  <c r="AW256" i="28"/>
  <c r="BE256" i="28" s="1"/>
  <c r="BG256" i="28" s="1"/>
  <c r="AW65" i="28"/>
  <c r="BE65" i="28" s="1"/>
  <c r="BG65" i="28" s="1"/>
  <c r="AQ38" i="50"/>
  <c r="AP162" i="10" s="1"/>
  <c r="AU4" i="50"/>
  <c r="AU38" i="83"/>
  <c r="AJ162" i="10"/>
  <c r="AJ163" i="10" s="1"/>
  <c r="AA57" i="73"/>
  <c r="BE101" i="73" l="1"/>
  <c r="AY38" i="83"/>
  <c r="AU38" i="50"/>
  <c r="AT162" i="10" s="1"/>
  <c r="AY4" i="50"/>
  <c r="M30" i="15"/>
  <c r="Q30" i="15" s="1"/>
  <c r="I30" i="15"/>
  <c r="F16" i="52"/>
  <c r="E16" i="52"/>
  <c r="F413" i="28"/>
  <c r="F298" i="28"/>
  <c r="F297" i="28"/>
  <c r="F235" i="28"/>
  <c r="F233" i="28"/>
  <c r="F56" i="28"/>
  <c r="J56" i="28" s="1"/>
  <c r="N56" i="28" s="1"/>
  <c r="F48" i="28"/>
  <c r="J48" i="28" s="1"/>
  <c r="N48" i="28" s="1"/>
  <c r="R56" i="28" l="1"/>
  <c r="V56" i="28" s="1"/>
  <c r="AB56" i="28"/>
  <c r="AF56" i="28" s="1"/>
  <c r="AJ56" i="28" s="1"/>
  <c r="AP56" i="28" s="1"/>
  <c r="AT56" i="28" s="1"/>
  <c r="AX56" i="28" s="1"/>
  <c r="BF56" i="28" s="1"/>
  <c r="R48" i="28"/>
  <c r="V48" i="28" s="1"/>
  <c r="AB48" i="28"/>
  <c r="AF48" i="28" s="1"/>
  <c r="AJ48" i="28" s="1"/>
  <c r="AP48" i="28" s="1"/>
  <c r="AT48" i="28" s="1"/>
  <c r="AX48" i="28" s="1"/>
  <c r="BF48" i="28" s="1"/>
  <c r="J297" i="28"/>
  <c r="N297" i="28" s="1"/>
  <c r="R297" i="28" s="1"/>
  <c r="V297" i="28" s="1"/>
  <c r="J298" i="28"/>
  <c r="N298" i="28" s="1"/>
  <c r="AB298" i="28" s="1"/>
  <c r="AF298" i="28" s="1"/>
  <c r="J235" i="28"/>
  <c r="N235" i="28" s="1"/>
  <c r="AB235" i="28" s="1"/>
  <c r="AF235" i="28" s="1"/>
  <c r="J413" i="28"/>
  <c r="N413" i="28" s="1"/>
  <c r="AB413" i="28" s="1"/>
  <c r="AF413" i="28" s="1"/>
  <c r="J233" i="28"/>
  <c r="N233" i="28" s="1"/>
  <c r="AB233" i="28" s="1"/>
  <c r="AF233" i="28" s="1"/>
  <c r="AY38" i="50"/>
  <c r="AX162" i="10" s="1"/>
  <c r="BG4" i="50"/>
  <c r="U30" i="15"/>
  <c r="AA30" i="15"/>
  <c r="AE30" i="15" s="1"/>
  <c r="J37" i="28"/>
  <c r="N37" i="28" s="1"/>
  <c r="J33" i="28"/>
  <c r="N33" i="28" s="1"/>
  <c r="J32" i="28"/>
  <c r="N32" i="28" s="1"/>
  <c r="G40" i="50"/>
  <c r="G41" i="50"/>
  <c r="G43" i="50"/>
  <c r="G44" i="50"/>
  <c r="G45" i="50"/>
  <c r="G39" i="50"/>
  <c r="AB297" i="28" l="1"/>
  <c r="AF297" i="28" s="1"/>
  <c r="R298" i="28"/>
  <c r="V298" i="28" s="1"/>
  <c r="AB33" i="28"/>
  <c r="AF33" i="28" s="1"/>
  <c r="AJ33" i="28" s="1"/>
  <c r="AP33" i="28" s="1"/>
  <c r="AT33" i="28" s="1"/>
  <c r="AX33" i="28" s="1"/>
  <c r="BF33" i="28" s="1"/>
  <c r="R33" i="28"/>
  <c r="V33" i="28" s="1"/>
  <c r="R32" i="28"/>
  <c r="V32" i="28" s="1"/>
  <c r="AB32" i="28"/>
  <c r="AF32" i="28" s="1"/>
  <c r="AJ32" i="28" s="1"/>
  <c r="AP32" i="28" s="1"/>
  <c r="AT32" i="28" s="1"/>
  <c r="AX32" i="28" s="1"/>
  <c r="BF32" i="28" s="1"/>
  <c r="R37" i="28"/>
  <c r="V37" i="28" s="1"/>
  <c r="AB37" i="28"/>
  <c r="AF37" i="28" s="1"/>
  <c r="AJ37" i="28" s="1"/>
  <c r="AP37" i="28" s="1"/>
  <c r="AT37" i="28" s="1"/>
  <c r="AX37" i="28" s="1"/>
  <c r="BF37" i="28" s="1"/>
  <c r="R233" i="28"/>
  <c r="V233" i="28" s="1"/>
  <c r="R413" i="28"/>
  <c r="V413" i="28" s="1"/>
  <c r="R235" i="28"/>
  <c r="V235" i="28" s="1"/>
  <c r="BG38" i="50"/>
  <c r="BI38" i="50" s="1"/>
  <c r="BH4" i="50"/>
  <c r="AI30" i="15"/>
  <c r="AO30" i="15" s="1"/>
  <c r="AS30" i="15" s="1"/>
  <c r="O40" i="50"/>
  <c r="K40" i="50"/>
  <c r="O41" i="50"/>
  <c r="K41" i="50"/>
  <c r="O39" i="50"/>
  <c r="K39" i="50"/>
  <c r="O45" i="50"/>
  <c r="K45" i="50"/>
  <c r="K44" i="50"/>
  <c r="O44" i="50"/>
  <c r="K43" i="50"/>
  <c r="O43" i="50"/>
  <c r="AJ233" i="28"/>
  <c r="AJ235" i="28"/>
  <c r="AP235" i="28" s="1"/>
  <c r="AT235" i="28" s="1"/>
  <c r="AX235" i="28" s="1"/>
  <c r="BF235" i="28" s="1"/>
  <c r="BH235" i="28" s="1"/>
  <c r="J67" i="28"/>
  <c r="N67" i="28" s="1"/>
  <c r="J63" i="28"/>
  <c r="N63" i="28" s="1"/>
  <c r="J68" i="28"/>
  <c r="N68" i="28" s="1"/>
  <c r="J64" i="28"/>
  <c r="N64" i="28" s="1"/>
  <c r="J65" i="28"/>
  <c r="N65" i="28" s="1"/>
  <c r="E28" i="27"/>
  <c r="AB63" i="28" l="1"/>
  <c r="R63" i="28"/>
  <c r="V63" i="28" s="1"/>
  <c r="AB65" i="28"/>
  <c r="AF65" i="28" s="1"/>
  <c r="AJ65" i="28" s="1"/>
  <c r="AP65" i="28" s="1"/>
  <c r="AT65" i="28" s="1"/>
  <c r="AX65" i="28" s="1"/>
  <c r="BF65" i="28" s="1"/>
  <c r="R65" i="28"/>
  <c r="V65" i="28" s="1"/>
  <c r="R64" i="28"/>
  <c r="V64" i="28" s="1"/>
  <c r="AB64" i="28"/>
  <c r="AF64" i="28" s="1"/>
  <c r="AJ64" i="28" s="1"/>
  <c r="AP64" i="28" s="1"/>
  <c r="AT64" i="28" s="1"/>
  <c r="AX64" i="28" s="1"/>
  <c r="BF64" i="28" s="1"/>
  <c r="AB67" i="28"/>
  <c r="AF67" i="28" s="1"/>
  <c r="AJ67" i="28" s="1"/>
  <c r="AP67" i="28" s="1"/>
  <c r="AT67" i="28" s="1"/>
  <c r="AX67" i="28" s="1"/>
  <c r="BF67" i="28" s="1"/>
  <c r="R67" i="28"/>
  <c r="V67" i="28" s="1"/>
  <c r="AB68" i="28"/>
  <c r="AF68" i="28" s="1"/>
  <c r="AJ68" i="28" s="1"/>
  <c r="AP68" i="28" s="1"/>
  <c r="AT68" i="28" s="1"/>
  <c r="AX68" i="28" s="1"/>
  <c r="BF68" i="28" s="1"/>
  <c r="R68" i="28"/>
  <c r="V68" i="28" s="1"/>
  <c r="BF162" i="10"/>
  <c r="AP233" i="28"/>
  <c r="BH33" i="28"/>
  <c r="BH35" i="28"/>
  <c r="AW30" i="15"/>
  <c r="BE30" i="15" s="1"/>
  <c r="AC44" i="50"/>
  <c r="AG44" i="50" s="1"/>
  <c r="AK44" i="50" s="1"/>
  <c r="AQ44" i="50" s="1"/>
  <c r="AU44" i="50" s="1"/>
  <c r="AY44" i="50" s="1"/>
  <c r="BG44" i="50" s="1"/>
  <c r="BH44" i="50" s="1"/>
  <c r="S44" i="50"/>
  <c r="W44" i="50" s="1"/>
  <c r="K46" i="50"/>
  <c r="K94" i="50" s="1"/>
  <c r="S43" i="50"/>
  <c r="W43" i="50" s="1"/>
  <c r="AC43" i="50"/>
  <c r="AG43" i="50" s="1"/>
  <c r="AK43" i="50" s="1"/>
  <c r="AQ43" i="50" s="1"/>
  <c r="AU43" i="50" s="1"/>
  <c r="AY43" i="50" s="1"/>
  <c r="BG43" i="50" s="1"/>
  <c r="BH43" i="50" s="1"/>
  <c r="AC45" i="50"/>
  <c r="AG45" i="50" s="1"/>
  <c r="AK45" i="50" s="1"/>
  <c r="AQ45" i="50" s="1"/>
  <c r="AU45" i="50" s="1"/>
  <c r="AY45" i="50" s="1"/>
  <c r="BG45" i="50" s="1"/>
  <c r="BH45" i="50" s="1"/>
  <c r="S45" i="50"/>
  <c r="W45" i="50" s="1"/>
  <c r="AC39" i="50"/>
  <c r="O46" i="50"/>
  <c r="O94" i="50" s="1"/>
  <c r="S39" i="50"/>
  <c r="S41" i="50"/>
  <c r="W41" i="50" s="1"/>
  <c r="AC41" i="50"/>
  <c r="AG41" i="50" s="1"/>
  <c r="AK41" i="50" s="1"/>
  <c r="AQ41" i="50" s="1"/>
  <c r="AU41" i="50" s="1"/>
  <c r="AY41" i="50" s="1"/>
  <c r="BG41" i="50" s="1"/>
  <c r="BH41" i="50" s="1"/>
  <c r="AC40" i="50"/>
  <c r="AG40" i="50" s="1"/>
  <c r="AK40" i="50" s="1"/>
  <c r="AQ40" i="50" s="1"/>
  <c r="AU40" i="50" s="1"/>
  <c r="AY40" i="50" s="1"/>
  <c r="BG40" i="50" s="1"/>
  <c r="BH40" i="50" s="1"/>
  <c r="S40" i="50"/>
  <c r="W40" i="50" s="1"/>
  <c r="AJ298" i="28"/>
  <c r="AP298" i="28" s="1"/>
  <c r="AT298" i="28" s="1"/>
  <c r="AJ523" i="28"/>
  <c r="AJ413" i="28"/>
  <c r="AP413" i="28" s="1"/>
  <c r="AT413" i="28" s="1"/>
  <c r="AF63" i="28" l="1"/>
  <c r="AJ63" i="28" s="1"/>
  <c r="AP63" i="28" s="1"/>
  <c r="AT63" i="28" s="1"/>
  <c r="AX63" i="28" s="1"/>
  <c r="BF63" i="28" s="1"/>
  <c r="AT233" i="28"/>
  <c r="AX233" i="28" s="1"/>
  <c r="BF233" i="28" s="1"/>
  <c r="BH233" i="28" s="1"/>
  <c r="AX413" i="28"/>
  <c r="BF413" i="28" s="1"/>
  <c r="BH413" i="28" s="1"/>
  <c r="AX298" i="28"/>
  <c r="BF298" i="28" s="1"/>
  <c r="BH298" i="28" s="1"/>
  <c r="BH64" i="28"/>
  <c r="BH56" i="28"/>
  <c r="BH65" i="28"/>
  <c r="BH37" i="28"/>
  <c r="BH68" i="28"/>
  <c r="BH32" i="28"/>
  <c r="BH67" i="28"/>
  <c r="AC46" i="50"/>
  <c r="AC94" i="50" s="1"/>
  <c r="AG39" i="50"/>
  <c r="W39" i="50"/>
  <c r="W46" i="50" s="1"/>
  <c r="W94" i="50" s="1"/>
  <c r="S46" i="50"/>
  <c r="S94" i="50" s="1"/>
  <c r="AP523" i="28"/>
  <c r="AJ297" i="28"/>
  <c r="AP297" i="28" s="1"/>
  <c r="AT297" i="28" s="1"/>
  <c r="F28" i="22"/>
  <c r="F24" i="22"/>
  <c r="F23" i="22"/>
  <c r="F14" i="22"/>
  <c r="F10" i="22"/>
  <c r="F9" i="22"/>
  <c r="D39" i="27"/>
  <c r="E36" i="27"/>
  <c r="D33" i="27"/>
  <c r="E26" i="27"/>
  <c r="D24" i="27"/>
  <c r="E24" i="27"/>
  <c r="G124" i="50"/>
  <c r="G38" i="50"/>
  <c r="BH38" i="50" s="1"/>
  <c r="G4" i="61"/>
  <c r="E33" i="27" l="1"/>
  <c r="E39" i="27"/>
  <c r="AX297" i="28"/>
  <c r="BF297" i="28" s="1"/>
  <c r="BH297" i="28" s="1"/>
  <c r="BH31" i="28"/>
  <c r="O124" i="50"/>
  <c r="K124" i="50"/>
  <c r="AG46" i="50"/>
  <c r="AG94" i="50" s="1"/>
  <c r="AK39" i="50"/>
  <c r="G108" i="50"/>
  <c r="AB162" i="10"/>
  <c r="F26" i="22"/>
  <c r="N24" i="22"/>
  <c r="N10" i="22"/>
  <c r="N15" i="22" s="1"/>
  <c r="G138" i="50"/>
  <c r="F12" i="22"/>
  <c r="J15" i="22"/>
  <c r="E94" i="26"/>
  <c r="E83" i="26"/>
  <c r="E82" i="26"/>
  <c r="E50" i="26"/>
  <c r="D50" i="26"/>
  <c r="D17" i="26"/>
  <c r="D15" i="26"/>
  <c r="E12" i="26"/>
  <c r="D11" i="26"/>
  <c r="D9" i="26"/>
  <c r="E25" i="15"/>
  <c r="E24" i="15"/>
  <c r="E23" i="15"/>
  <c r="E22" i="15"/>
  <c r="D19" i="15"/>
  <c r="E18" i="15"/>
  <c r="E15" i="15"/>
  <c r="D12" i="15"/>
  <c r="D13" i="15" s="1"/>
  <c r="E10" i="15"/>
  <c r="E9" i="15"/>
  <c r="D9" i="15"/>
  <c r="E8" i="15"/>
  <c r="D8" i="15"/>
  <c r="E7" i="15"/>
  <c r="E6" i="15"/>
  <c r="E5" i="15"/>
  <c r="E18" i="26" l="1"/>
  <c r="E56" i="26"/>
  <c r="AT523" i="28"/>
  <c r="AK46" i="50"/>
  <c r="AK94" i="50" s="1"/>
  <c r="AQ39" i="50"/>
  <c r="O138" i="50"/>
  <c r="K138" i="50"/>
  <c r="O108" i="50"/>
  <c r="K108" i="50"/>
  <c r="S124" i="50"/>
  <c r="W124" i="50" s="1"/>
  <c r="AC124" i="50"/>
  <c r="AG124" i="50" s="1"/>
  <c r="AK124" i="50" s="1"/>
  <c r="AQ124" i="50" s="1"/>
  <c r="AU124" i="50" s="1"/>
  <c r="AY124" i="50" s="1"/>
  <c r="BG124" i="50" s="1"/>
  <c r="BH124" i="50" s="1"/>
  <c r="M31" i="15"/>
  <c r="Q31" i="15" s="1"/>
  <c r="I31" i="15"/>
  <c r="M25" i="15"/>
  <c r="Q25" i="15" s="1"/>
  <c r="I25" i="15"/>
  <c r="I24" i="15"/>
  <c r="M24" i="15"/>
  <c r="Q24" i="15" s="1"/>
  <c r="I23" i="15"/>
  <c r="M23" i="15"/>
  <c r="Q23" i="15" s="1"/>
  <c r="E32" i="15"/>
  <c r="E36" i="15" s="1"/>
  <c r="M22" i="15"/>
  <c r="Q22" i="15" s="1"/>
  <c r="I22" i="15"/>
  <c r="M29" i="15"/>
  <c r="Q29" i="15" s="1"/>
  <c r="I29" i="15"/>
  <c r="AX523" i="28"/>
  <c r="G140" i="50"/>
  <c r="G139" i="50"/>
  <c r="D12" i="26"/>
  <c r="D114" i="26"/>
  <c r="D75" i="26"/>
  <c r="D45" i="26"/>
  <c r="D83" i="26"/>
  <c r="D82" i="26"/>
  <c r="D56" i="26"/>
  <c r="E51" i="26"/>
  <c r="E57" i="26"/>
  <c r="D57" i="26"/>
  <c r="D51" i="26"/>
  <c r="E13" i="26"/>
  <c r="E19" i="26"/>
  <c r="D18" i="26" l="1"/>
  <c r="BF523" i="28"/>
  <c r="BH48" i="28"/>
  <c r="E16" i="15"/>
  <c r="E17" i="15" s="1"/>
  <c r="AQ46" i="50"/>
  <c r="AQ94" i="50" s="1"/>
  <c r="AU39" i="50"/>
  <c r="AC138" i="50"/>
  <c r="AG138" i="50" s="1"/>
  <c r="AK138" i="50" s="1"/>
  <c r="AQ138" i="50" s="1"/>
  <c r="S138" i="50"/>
  <c r="W138" i="50" s="1"/>
  <c r="AC108" i="50"/>
  <c r="AG108" i="50" s="1"/>
  <c r="AK108" i="50" s="1"/>
  <c r="AQ108" i="50" s="1"/>
  <c r="AU108" i="50" s="1"/>
  <c r="AY108" i="50" s="1"/>
  <c r="BG108" i="50" s="1"/>
  <c r="BH108" i="50" s="1"/>
  <c r="S108" i="50"/>
  <c r="W108" i="50" s="1"/>
  <c r="O140" i="50"/>
  <c r="K140" i="50"/>
  <c r="G146" i="50"/>
  <c r="U31" i="15"/>
  <c r="AA31" i="15"/>
  <c r="AE31" i="15" s="1"/>
  <c r="U25" i="15"/>
  <c r="AA25" i="15"/>
  <c r="AE25" i="15" s="1"/>
  <c r="U24" i="15"/>
  <c r="AA24" i="15"/>
  <c r="AE24" i="15" s="1"/>
  <c r="U23" i="15"/>
  <c r="AA23" i="15"/>
  <c r="AE23" i="15" s="1"/>
  <c r="U22" i="15"/>
  <c r="AA22" i="15"/>
  <c r="AE22" i="15" s="1"/>
  <c r="I32" i="15"/>
  <c r="I36" i="15" s="1"/>
  <c r="M32" i="15"/>
  <c r="Q32" i="15" s="1"/>
  <c r="Q36" i="15" s="1"/>
  <c r="AA29" i="15"/>
  <c r="D19" i="26"/>
  <c r="D13" i="26"/>
  <c r="F140" i="6"/>
  <c r="F132" i="6"/>
  <c r="F131" i="6"/>
  <c r="F129" i="6"/>
  <c r="F128" i="6"/>
  <c r="F136" i="6"/>
  <c r="N131" i="6" l="1"/>
  <c r="J136" i="6"/>
  <c r="BH63" i="28"/>
  <c r="R131" i="6"/>
  <c r="V131" i="6" s="1"/>
  <c r="AB131" i="6"/>
  <c r="AF131" i="6" s="1"/>
  <c r="AJ131" i="6" s="1"/>
  <c r="AP131" i="6" s="1"/>
  <c r="AT131" i="6" s="1"/>
  <c r="AX131" i="6" s="1"/>
  <c r="BF131" i="6" s="1"/>
  <c r="BH131" i="6" s="1"/>
  <c r="AI31" i="15"/>
  <c r="AO31" i="15" s="1"/>
  <c r="AS31" i="15" s="1"/>
  <c r="AU46" i="50"/>
  <c r="AU94" i="50" s="1"/>
  <c r="AY39" i="50"/>
  <c r="AQ139" i="50"/>
  <c r="AU138" i="50"/>
  <c r="AI25" i="15"/>
  <c r="AO25" i="15" s="1"/>
  <c r="AS25" i="15" s="1"/>
  <c r="S140" i="50"/>
  <c r="W140" i="50" s="1"/>
  <c r="AC140" i="50"/>
  <c r="AG140" i="50" s="1"/>
  <c r="AK140" i="50" s="1"/>
  <c r="AQ140" i="50" s="1"/>
  <c r="AU140" i="50" s="1"/>
  <c r="AY140" i="50" s="1"/>
  <c r="BG140" i="50" s="1"/>
  <c r="BH140" i="50" s="1"/>
  <c r="K146" i="50"/>
  <c r="O146" i="50"/>
  <c r="AI22" i="15"/>
  <c r="AO22" i="15" s="1"/>
  <c r="AS22" i="15" s="1"/>
  <c r="AW22" i="15" s="1"/>
  <c r="AI23" i="15"/>
  <c r="AO23" i="15" s="1"/>
  <c r="AS23" i="15" s="1"/>
  <c r="AI24" i="15"/>
  <c r="AO24" i="15" s="1"/>
  <c r="AS24" i="15" s="1"/>
  <c r="U32" i="15"/>
  <c r="AA32" i="15"/>
  <c r="AE32" i="15" s="1"/>
  <c r="M36" i="15"/>
  <c r="AE29" i="15"/>
  <c r="AI29" i="15" s="1"/>
  <c r="U29" i="15"/>
  <c r="J129" i="6"/>
  <c r="N129" i="6"/>
  <c r="AB129" i="6" s="1"/>
  <c r="AF129" i="6" s="1"/>
  <c r="M10" i="17"/>
  <c r="AA10" i="17" s="1"/>
  <c r="AE10" i="17" s="1"/>
  <c r="AI10" i="17" s="1"/>
  <c r="AW25" i="15" l="1"/>
  <c r="BE25" i="15" s="1"/>
  <c r="AW23" i="15"/>
  <c r="BE23" i="15" s="1"/>
  <c r="AW24" i="15"/>
  <c r="BE24" i="15" s="1"/>
  <c r="AW31" i="15"/>
  <c r="AY46" i="50"/>
  <c r="AY94" i="50" s="1"/>
  <c r="BG39" i="50"/>
  <c r="AU139" i="50"/>
  <c r="AY138" i="50"/>
  <c r="BE22" i="15"/>
  <c r="S146" i="50"/>
  <c r="W146" i="50" s="1"/>
  <c r="AC146" i="50"/>
  <c r="AG146" i="50" s="1"/>
  <c r="AK146" i="50" s="1"/>
  <c r="AQ146" i="50" s="1"/>
  <c r="AI32" i="15"/>
  <c r="AJ129" i="6"/>
  <c r="AO10" i="17"/>
  <c r="R129" i="6"/>
  <c r="V129" i="6" s="1"/>
  <c r="E102" i="73"/>
  <c r="M102" i="73" s="1"/>
  <c r="Q102" i="73" s="1"/>
  <c r="U102" i="73" s="1"/>
  <c r="BG46" i="50" l="1"/>
  <c r="BG94" i="50" s="1"/>
  <c r="BH39" i="50"/>
  <c r="AU146" i="50"/>
  <c r="AY146" i="50" s="1"/>
  <c r="BG146" i="50" s="1"/>
  <c r="BH146" i="50" s="1"/>
  <c r="BE146" i="50"/>
  <c r="BE31" i="15"/>
  <c r="AY139" i="50"/>
  <c r="BG138" i="50"/>
  <c r="AS10" i="17"/>
  <c r="AW10" i="17" s="1"/>
  <c r="AO32" i="15"/>
  <c r="AO29" i="15"/>
  <c r="AP129" i="6"/>
  <c r="G123" i="50"/>
  <c r="BG139" i="50" l="1"/>
  <c r="BH139" i="50" s="1"/>
  <c r="BH138" i="50"/>
  <c r="AS32" i="15"/>
  <c r="BE10" i="17"/>
  <c r="O123" i="50"/>
  <c r="K123" i="50"/>
  <c r="AS29" i="15"/>
  <c r="AW29" i="15" s="1"/>
  <c r="AT129" i="6"/>
  <c r="AX129" i="6" s="1"/>
  <c r="G125" i="50"/>
  <c r="BF129" i="6" l="1"/>
  <c r="BH129" i="6" s="1"/>
  <c r="AW32" i="15"/>
  <c r="S123" i="50"/>
  <c r="W123" i="50" s="1"/>
  <c r="AC123" i="50"/>
  <c r="AG123" i="50" s="1"/>
  <c r="AK123" i="50" s="1"/>
  <c r="BE32" i="15" l="1"/>
  <c r="AK125" i="50"/>
  <c r="AQ123" i="50"/>
  <c r="BE29" i="15"/>
  <c r="G102" i="50"/>
  <c r="N95" i="9"/>
  <c r="AQ125" i="50" l="1"/>
  <c r="AU123" i="50"/>
  <c r="K102" i="50"/>
  <c r="F111" i="8"/>
  <c r="F94" i="8"/>
  <c r="F91" i="8"/>
  <c r="F89" i="8"/>
  <c r="F69" i="8"/>
  <c r="F65" i="8"/>
  <c r="F61" i="8"/>
  <c r="F49" i="8"/>
  <c r="F26" i="8"/>
  <c r="F17" i="8"/>
  <c r="N15" i="8"/>
  <c r="N14" i="8"/>
  <c r="F13" i="8"/>
  <c r="F6" i="8"/>
  <c r="D30" i="8"/>
  <c r="N91" i="8" l="1"/>
  <c r="BH91" i="8"/>
  <c r="AU125" i="50"/>
  <c r="AY123" i="50"/>
  <c r="F44" i="8"/>
  <c r="F62" i="8"/>
  <c r="R66" i="8"/>
  <c r="V66" i="8" s="1"/>
  <c r="D67" i="8"/>
  <c r="D37" i="8" s="1"/>
  <c r="F67" i="8"/>
  <c r="J66" i="8"/>
  <c r="J56" i="8" s="1"/>
  <c r="F16" i="8"/>
  <c r="F82" i="8"/>
  <c r="F92" i="8"/>
  <c r="F39" i="8"/>
  <c r="F45" i="8"/>
  <c r="F72" i="8"/>
  <c r="F34" i="8"/>
  <c r="F74" i="8"/>
  <c r="F36" i="8"/>
  <c r="F40" i="8"/>
  <c r="F46" i="8"/>
  <c r="F86" i="8"/>
  <c r="F41" i="8"/>
  <c r="F47" i="8"/>
  <c r="F59" i="8"/>
  <c r="F110" i="8"/>
  <c r="F43" i="8"/>
  <c r="F50" i="8"/>
  <c r="F51" i="8" s="1"/>
  <c r="E128" i="6"/>
  <c r="E129" i="6"/>
  <c r="E131" i="6"/>
  <c r="E132" i="6"/>
  <c r="D128" i="6"/>
  <c r="D129" i="6"/>
  <c r="D131" i="6"/>
  <c r="D132" i="6"/>
  <c r="E135" i="6"/>
  <c r="E136" i="6"/>
  <c r="D135" i="6"/>
  <c r="D136" i="6"/>
  <c r="D137" i="6"/>
  <c r="N34" i="8" l="1"/>
  <c r="N36" i="8"/>
  <c r="I136" i="6"/>
  <c r="I48" i="59"/>
  <c r="F137" i="8"/>
  <c r="I47" i="59"/>
  <c r="F138" i="8"/>
  <c r="I46" i="59"/>
  <c r="F136" i="8"/>
  <c r="I131" i="6"/>
  <c r="M131" i="6"/>
  <c r="F78" i="8"/>
  <c r="E2" i="17"/>
  <c r="E2" i="26"/>
  <c r="AY125" i="50"/>
  <c r="BG123" i="50"/>
  <c r="F37" i="8"/>
  <c r="N56" i="8"/>
  <c r="N67" i="8" s="1"/>
  <c r="F73" i="8"/>
  <c r="I129" i="6"/>
  <c r="M129" i="6"/>
  <c r="J67" i="8"/>
  <c r="J73" i="8" s="1"/>
  <c r="F42" i="8"/>
  <c r="F52" i="8"/>
  <c r="F112" i="8"/>
  <c r="F53" i="8" s="1"/>
  <c r="F63" i="8"/>
  <c r="F71" i="8" l="1"/>
  <c r="N37" i="8"/>
  <c r="AB37" i="8" s="1"/>
  <c r="AF37" i="8" s="1"/>
  <c r="AJ37" i="8" s="1"/>
  <c r="AP37" i="8" s="1"/>
  <c r="AT37" i="8" s="1"/>
  <c r="BG125" i="50"/>
  <c r="BH125" i="50" s="1"/>
  <c r="BH123" i="50"/>
  <c r="I49" i="59"/>
  <c r="I42" i="59"/>
  <c r="F121" i="8"/>
  <c r="I43" i="59"/>
  <c r="F123" i="8"/>
  <c r="F139" i="8"/>
  <c r="AA131" i="6"/>
  <c r="AE131" i="6" s="1"/>
  <c r="AI131" i="6" s="1"/>
  <c r="AO131" i="6" s="1"/>
  <c r="AS131" i="6" s="1"/>
  <c r="AW131" i="6" s="1"/>
  <c r="Q131" i="6"/>
  <c r="U131" i="6" s="1"/>
  <c r="Q129" i="6"/>
  <c r="U129" i="6" s="1"/>
  <c r="R56" i="8"/>
  <c r="V56" i="8" s="1"/>
  <c r="R37" i="8"/>
  <c r="V37" i="8" s="1"/>
  <c r="J37" i="8"/>
  <c r="R67" i="8"/>
  <c r="V67" i="8" s="1"/>
  <c r="V73" i="8" s="1"/>
  <c r="N73" i="8"/>
  <c r="F35" i="8"/>
  <c r="F70" i="8"/>
  <c r="D13" i="36"/>
  <c r="G40" i="59" s="1"/>
  <c r="N35" i="8" l="1"/>
  <c r="I44" i="59"/>
  <c r="BE131" i="6"/>
  <c r="BG131" i="6" s="1"/>
  <c r="F122" i="8"/>
  <c r="F126" i="8" s="1"/>
  <c r="F127" i="8" s="1"/>
  <c r="F124" i="8"/>
  <c r="AX37" i="8"/>
  <c r="R73" i="8"/>
  <c r="E23" i="28"/>
  <c r="E15" i="28"/>
  <c r="E7" i="28"/>
  <c r="I15" i="28" l="1"/>
  <c r="M15" i="28" s="1"/>
  <c r="BF37" i="8"/>
  <c r="BH37" i="8" s="1"/>
  <c r="F132" i="8"/>
  <c r="F145" i="8" s="1"/>
  <c r="F130" i="8"/>
  <c r="F131" i="8"/>
  <c r="F144" i="8" s="1"/>
  <c r="I23" i="28"/>
  <c r="M23" i="28"/>
  <c r="Q23" i="28" s="1"/>
  <c r="Q15" i="28"/>
  <c r="I7" i="28"/>
  <c r="D18" i="15"/>
  <c r="D15" i="15" s="1"/>
  <c r="D16" i="15" s="1"/>
  <c r="F133" i="8" l="1"/>
  <c r="F146" i="8" s="1"/>
  <c r="F143" i="8"/>
  <c r="AA23" i="28"/>
  <c r="AE23" i="28" s="1"/>
  <c r="AI23" i="28" s="1"/>
  <c r="AO23" i="28" s="1"/>
  <c r="AS23" i="28" s="1"/>
  <c r="U23" i="28"/>
  <c r="AA15" i="28"/>
  <c r="AE15" i="28" s="1"/>
  <c r="AI15" i="28" s="1"/>
  <c r="AO15" i="28" s="1"/>
  <c r="AS15" i="28" s="1"/>
  <c r="U15" i="28"/>
  <c r="AW15" i="28" l="1"/>
  <c r="BE15" i="28" s="1"/>
  <c r="BG15" i="28" s="1"/>
  <c r="AW23" i="28"/>
  <c r="BE23" i="28" s="1"/>
  <c r="BG23" i="28" s="1"/>
  <c r="H10" i="15"/>
  <c r="I10" i="15" l="1"/>
  <c r="V102" i="73" l="1"/>
  <c r="V114" i="73" s="1"/>
  <c r="T102" i="73"/>
  <c r="T114" i="73" s="1"/>
  <c r="Y102" i="73"/>
  <c r="AA102" i="73" s="1"/>
  <c r="Z87" i="26" l="1"/>
  <c r="AD87" i="26" s="1"/>
  <c r="AH87" i="26" s="1"/>
  <c r="AN87" i="26" s="1"/>
  <c r="AR87" i="26" s="1"/>
  <c r="AV87" i="26" s="1"/>
  <c r="BD87" i="26" s="1"/>
  <c r="AA87" i="26"/>
  <c r="AE87" i="26" s="1"/>
  <c r="Z89" i="26"/>
  <c r="AD89" i="26" s="1"/>
  <c r="AH89" i="26" s="1"/>
  <c r="AN89" i="26" s="1"/>
  <c r="AR89" i="26" s="1"/>
  <c r="AV89" i="26" s="1"/>
  <c r="BD89" i="26" s="1"/>
  <c r="Z91" i="26"/>
  <c r="AD91" i="26" s="1"/>
  <c r="AH91" i="26" s="1"/>
  <c r="AN91" i="26" s="1"/>
  <c r="AR91" i="26" s="1"/>
  <c r="AV91" i="26" s="1"/>
  <c r="BD91" i="26" s="1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AW118" i="6"/>
  <c r="AO136" i="6"/>
  <c r="AP136" i="6"/>
  <c r="BE118" i="6" l="1"/>
  <c r="BG118" i="6" s="1"/>
  <c r="BF118" i="6"/>
  <c r="BH118" i="6" s="1"/>
  <c r="AT136" i="6"/>
  <c r="AX136" i="6" s="1"/>
  <c r="AS136" i="6"/>
  <c r="AW136" i="6" s="1"/>
  <c r="BF136" i="6" l="1"/>
  <c r="BH136" i="6" s="1"/>
  <c r="BE136" i="6"/>
  <c r="BG136" i="6" s="1"/>
  <c r="E41" i="8"/>
  <c r="BC69" i="36" l="1"/>
  <c r="BC67" i="36"/>
  <c r="BC66" i="36"/>
  <c r="BC29" i="36"/>
  <c r="BC28" i="36"/>
  <c r="BC27" i="36"/>
  <c r="BC23" i="36"/>
  <c r="BC22" i="36"/>
  <c r="BC21" i="36"/>
  <c r="BC16" i="36"/>
  <c r="BC9" i="36"/>
  <c r="BF10" i="59" s="1"/>
  <c r="BC8" i="36"/>
  <c r="BF9" i="59" s="1"/>
  <c r="BC7" i="36"/>
  <c r="BF8" i="59" s="1"/>
  <c r="BC5" i="36"/>
  <c r="BA69" i="36"/>
  <c r="BA67" i="36"/>
  <c r="BA66" i="36"/>
  <c r="BB64" i="36"/>
  <c r="BB72" i="36" s="1"/>
  <c r="BB61" i="36"/>
  <c r="BB59" i="36"/>
  <c r="BB67" i="36" s="1"/>
  <c r="BA59" i="36"/>
  <c r="BB58" i="36"/>
  <c r="BB66" i="36" s="1"/>
  <c r="BB57" i="36"/>
  <c r="BB17" i="36" s="1"/>
  <c r="BB56" i="36"/>
  <c r="BB16" i="36" s="1"/>
  <c r="BA56" i="36"/>
  <c r="BB37" i="36"/>
  <c r="BA37" i="36"/>
  <c r="BA29" i="36"/>
  <c r="BA28" i="36"/>
  <c r="BA27" i="36"/>
  <c r="BA23" i="36"/>
  <c r="BA22" i="36"/>
  <c r="BA21" i="36"/>
  <c r="BA16" i="36"/>
  <c r="BA9" i="36"/>
  <c r="BD10" i="59" s="1"/>
  <c r="BA8" i="36"/>
  <c r="BD9" i="59" s="1"/>
  <c r="BA7" i="36"/>
  <c r="BD8" i="59" s="1"/>
  <c r="BA5" i="36"/>
  <c r="BD54" i="59" l="1"/>
  <c r="BE54" i="59"/>
  <c r="BF68" i="59"/>
  <c r="BE55" i="59"/>
  <c r="BF54" i="59"/>
  <c r="BD68" i="59"/>
  <c r="BD79" i="59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63" i="36"/>
  <c r="BB69" i="36"/>
  <c r="BB71" i="36" s="1"/>
  <c r="BA68" i="36"/>
  <c r="BC68" i="36"/>
  <c r="BB60" i="36"/>
  <c r="BC20" i="49" l="1"/>
  <c r="BC15" i="36" s="1"/>
  <c r="BF53" i="59" s="1"/>
  <c r="BB18" i="36"/>
  <c r="BB68" i="36"/>
  <c r="BB19" i="36" s="1"/>
  <c r="BE57" i="59" l="1"/>
  <c r="BE56" i="59"/>
  <c r="Q102" i="50"/>
  <c r="BH102" i="50" s="1"/>
  <c r="W102" i="50" l="1"/>
  <c r="W103" i="50" s="1"/>
  <c r="I174" i="73" l="1"/>
  <c r="I175" i="73"/>
  <c r="I178" i="73"/>
  <c r="I159" i="73"/>
  <c r="I161" i="73"/>
  <c r="I162" i="73"/>
  <c r="I165" i="73"/>
  <c r="I170" i="73"/>
  <c r="I119" i="73"/>
  <c r="I120" i="73"/>
  <c r="I121" i="73"/>
  <c r="I124" i="73"/>
  <c r="I122" i="73" s="1"/>
  <c r="I127" i="73"/>
  <c r="I126" i="73" s="1"/>
  <c r="I131" i="73"/>
  <c r="I130" i="73" s="1"/>
  <c r="I132" i="73"/>
  <c r="I26" i="73"/>
  <c r="I27" i="73"/>
  <c r="I28" i="73"/>
  <c r="I29" i="73"/>
  <c r="I31" i="73"/>
  <c r="I32" i="73"/>
  <c r="I42" i="73"/>
  <c r="I44" i="73"/>
  <c r="I45" i="73"/>
  <c r="I47" i="73"/>
  <c r="I48" i="73"/>
  <c r="I107" i="73"/>
  <c r="I58" i="73"/>
  <c r="I99" i="73"/>
  <c r="I100" i="73"/>
  <c r="I113" i="73"/>
  <c r="I104" i="73"/>
  <c r="I110" i="73"/>
  <c r="I111" i="73"/>
  <c r="AE111" i="73" l="1"/>
  <c r="AE100" i="73"/>
  <c r="AE47" i="73"/>
  <c r="AO31" i="73"/>
  <c r="AS31" i="73" s="1"/>
  <c r="AE120" i="73"/>
  <c r="AI120" i="73" s="1"/>
  <c r="AO120" i="73" s="1"/>
  <c r="AS120" i="73" s="1"/>
  <c r="AE107" i="73"/>
  <c r="AO26" i="73"/>
  <c r="AS26" i="73" s="1"/>
  <c r="AE119" i="73"/>
  <c r="AI119" i="73" s="1"/>
  <c r="AO119" i="73" s="1"/>
  <c r="AS119" i="73" s="1"/>
  <c r="AE110" i="73"/>
  <c r="AE99" i="73"/>
  <c r="AE58" i="73"/>
  <c r="AE42" i="73"/>
  <c r="AE121" i="73"/>
  <c r="AI121" i="73" s="1"/>
  <c r="AO121" i="73" s="1"/>
  <c r="AS121" i="73" s="1"/>
  <c r="AE104" i="73"/>
  <c r="AE113" i="73"/>
  <c r="AI99" i="73" l="1"/>
  <c r="AO99" i="73" s="1"/>
  <c r="AS99" i="73" s="1"/>
  <c r="AW99" i="73" s="1"/>
  <c r="AI100" i="73"/>
  <c r="AO100" i="73" s="1"/>
  <c r="AS100" i="73" s="1"/>
  <c r="AW100" i="73" s="1"/>
  <c r="AI58" i="73"/>
  <c r="AO58" i="73" s="1"/>
  <c r="AS58" i="73" s="1"/>
  <c r="AW58" i="73" s="1"/>
  <c r="AI107" i="73"/>
  <c r="AO107" i="73" s="1"/>
  <c r="AS107" i="73" s="1"/>
  <c r="AW107" i="73" s="1"/>
  <c r="AI113" i="73"/>
  <c r="AO113" i="73" s="1"/>
  <c r="AS113" i="73" s="1"/>
  <c r="AW113" i="73" s="1"/>
  <c r="AI104" i="73"/>
  <c r="AO104" i="73" s="1"/>
  <c r="AS104" i="73" s="1"/>
  <c r="AW104" i="73" s="1"/>
  <c r="AI111" i="73"/>
  <c r="AO111" i="73" s="1"/>
  <c r="AS111" i="73" s="1"/>
  <c r="AW111" i="73" s="1"/>
  <c r="AI110" i="73"/>
  <c r="AO110" i="73" s="1"/>
  <c r="AS110" i="73" s="1"/>
  <c r="AW110" i="73" s="1"/>
  <c r="AI47" i="73"/>
  <c r="AO47" i="73" s="1"/>
  <c r="AS47" i="73" s="1"/>
  <c r="AW47" i="73" s="1"/>
  <c r="AI42" i="73"/>
  <c r="AO42" i="73" s="1"/>
  <c r="AS42" i="73" s="1"/>
  <c r="AW42" i="73" s="1"/>
  <c r="AW26" i="73"/>
  <c r="AW121" i="73"/>
  <c r="AW119" i="73"/>
  <c r="AW120" i="73"/>
  <c r="AW31" i="73"/>
  <c r="AE124" i="73"/>
  <c r="AE131" i="73"/>
  <c r="AI131" i="73" s="1"/>
  <c r="AE127" i="73"/>
  <c r="AI127" i="73" s="1"/>
  <c r="AE132" i="73"/>
  <c r="AI132" i="73" s="1"/>
  <c r="BE120" i="73" l="1"/>
  <c r="BE110" i="73"/>
  <c r="BE111" i="73"/>
  <c r="BE104" i="73"/>
  <c r="BE119" i="73"/>
  <c r="BE121" i="73"/>
  <c r="BE107" i="73"/>
  <c r="BE10" i="15" s="1"/>
  <c r="BE31" i="73"/>
  <c r="BE58" i="73"/>
  <c r="BE42" i="73"/>
  <c r="BE100" i="73"/>
  <c r="BE47" i="73"/>
  <c r="BE99" i="73"/>
  <c r="BE113" i="73"/>
  <c r="BE26" i="73"/>
  <c r="AE126" i="73"/>
  <c r="AI126" i="73" s="1"/>
  <c r="AE130" i="73"/>
  <c r="AI130" i="73" s="1"/>
  <c r="AI124" i="73"/>
  <c r="AE122" i="73"/>
  <c r="AO124" i="73" l="1"/>
  <c r="AS124" i="73" s="1"/>
  <c r="AW124" i="73" s="1"/>
  <c r="AI122" i="73"/>
  <c r="AO122" i="73" s="1"/>
  <c r="AO131" i="73"/>
  <c r="AS131" i="73" s="1"/>
  <c r="AW131" i="73" s="1"/>
  <c r="AO130" i="73"/>
  <c r="AO132" i="73"/>
  <c r="AS132" i="73" s="1"/>
  <c r="AO127" i="73"/>
  <c r="AS127" i="73" s="1"/>
  <c r="AW127" i="73" s="1"/>
  <c r="AO126" i="73"/>
  <c r="AW122" i="73" l="1"/>
  <c r="AW130" i="73"/>
  <c r="AW126" i="73"/>
  <c r="AW132" i="73"/>
  <c r="AS126" i="73"/>
  <c r="AS130" i="73"/>
  <c r="AS122" i="73"/>
  <c r="BE132" i="73" l="1"/>
  <c r="BE124" i="73"/>
  <c r="BE122" i="73" s="1"/>
  <c r="BE131" i="73"/>
  <c r="BE130" i="73" s="1"/>
  <c r="BE127" i="73"/>
  <c r="BE126" i="73" s="1"/>
  <c r="M20" i="7" l="1"/>
  <c r="Q20" i="7" l="1"/>
  <c r="U20" i="7" s="1"/>
  <c r="AA20" i="7"/>
  <c r="R20" i="7"/>
  <c r="V20" i="7" s="1"/>
  <c r="AE20" i="7" l="1"/>
  <c r="B25" i="15"/>
  <c r="AI20" i="7" l="1"/>
  <c r="E21" i="7"/>
  <c r="F21" i="7"/>
  <c r="D21" i="7"/>
  <c r="AO20" i="7" l="1"/>
  <c r="E49" i="39"/>
  <c r="AS20" i="7" l="1"/>
  <c r="AW20" i="7" s="1"/>
  <c r="BE20" i="7" s="1"/>
  <c r="BG20" i="7" s="1"/>
  <c r="M49" i="39"/>
  <c r="I49" i="39"/>
  <c r="E51" i="39"/>
  <c r="M51" i="39" l="1"/>
  <c r="Q49" i="39"/>
  <c r="I51" i="39"/>
  <c r="U49" i="39" l="1"/>
  <c r="Q51" i="39"/>
  <c r="BN24" i="21"/>
  <c r="BA41" i="7" l="1"/>
  <c r="BC21" i="7"/>
  <c r="BC36" i="7"/>
  <c r="U51" i="39"/>
  <c r="AA49" i="39"/>
  <c r="Y129" i="6"/>
  <c r="AA129" i="6" s="1"/>
  <c r="AE129" i="6" s="1"/>
  <c r="AI129" i="6" s="1"/>
  <c r="BA51" i="7" l="1"/>
  <c r="BC41" i="7"/>
  <c r="BC51" i="7" s="1"/>
  <c r="AE49" i="39"/>
  <c r="AA51" i="39"/>
  <c r="AO129" i="6"/>
  <c r="AS129" i="6" s="1"/>
  <c r="AW129" i="6" s="1"/>
  <c r="BE129" i="6" l="1"/>
  <c r="BG129" i="6" s="1"/>
  <c r="AE51" i="39"/>
  <c r="AI49" i="39"/>
  <c r="AO49" i="39" l="1"/>
  <c r="AI51" i="39"/>
  <c r="AO51" i="39" l="1"/>
  <c r="AS49" i="39"/>
  <c r="AW49" i="39" l="1"/>
  <c r="AS51" i="39"/>
  <c r="AF160" i="10"/>
  <c r="AB160" i="10"/>
  <c r="V54" i="11"/>
  <c r="AB44" i="11"/>
  <c r="AF44" i="11" s="1"/>
  <c r="AJ44" i="11" s="1"/>
  <c r="AF192" i="10" l="1"/>
  <c r="AW51" i="39"/>
  <c r="BE49" i="39"/>
  <c r="AJ57" i="11"/>
  <c r="AB159" i="10"/>
  <c r="AB158" i="10"/>
  <c r="AB210" i="10" s="1"/>
  <c r="AP160" i="10"/>
  <c r="AF184" i="10"/>
  <c r="AF57" i="11"/>
  <c r="AF93" i="11" s="1"/>
  <c r="F39" i="35"/>
  <c r="BF49" i="39" l="1"/>
  <c r="BI49" i="39"/>
  <c r="AB200" i="10"/>
  <c r="BE51" i="39"/>
  <c r="AJ93" i="11"/>
  <c r="AJ85" i="11"/>
  <c r="AF158" i="10"/>
  <c r="AF210" i="10" s="1"/>
  <c r="AF159" i="10"/>
  <c r="AB163" i="10"/>
  <c r="AT160" i="10"/>
  <c r="AF85" i="11"/>
  <c r="AP44" i="11"/>
  <c r="AT44" i="11" s="1"/>
  <c r="AF199" i="10"/>
  <c r="Z98" i="8"/>
  <c r="Z149" i="8" s="1"/>
  <c r="BF51" i="39" l="1"/>
  <c r="BI51" i="39"/>
  <c r="AX44" i="11"/>
  <c r="AT57" i="11"/>
  <c r="AT85" i="11" s="1"/>
  <c r="AP192" i="10"/>
  <c r="AP184" i="10"/>
  <c r="AT184" i="10" s="1"/>
  <c r="AX184" i="10" s="1"/>
  <c r="AP57" i="11"/>
  <c r="AF200" i="10"/>
  <c r="AF178" i="10"/>
  <c r="AI66" i="59" s="1"/>
  <c r="AF191" i="10"/>
  <c r="AF196" i="10"/>
  <c r="Z10" i="52"/>
  <c r="Y10" i="52"/>
  <c r="Z5" i="52"/>
  <c r="Y5" i="52"/>
  <c r="AX57" i="11" l="1"/>
  <c r="AX93" i="11" s="1"/>
  <c r="AF193" i="10"/>
  <c r="AT93" i="11"/>
  <c r="BF44" i="11"/>
  <c r="BF57" i="11" s="1"/>
  <c r="AP159" i="10"/>
  <c r="AP158" i="10"/>
  <c r="AP210" i="10" s="1"/>
  <c r="BF160" i="10"/>
  <c r="AP199" i="10"/>
  <c r="AT192" i="10"/>
  <c r="AP93" i="11"/>
  <c r="AP85" i="11"/>
  <c r="AM66" i="59"/>
  <c r="Y9" i="52"/>
  <c r="Z16" i="52"/>
  <c r="Y16" i="52"/>
  <c r="Z9" i="52"/>
  <c r="BI160" i="10" l="1"/>
  <c r="AX85" i="11"/>
  <c r="AP163" i="10"/>
  <c r="AP191" i="10"/>
  <c r="BF93" i="11"/>
  <c r="BF85" i="11"/>
  <c r="AP200" i="10"/>
  <c r="BF192" i="10"/>
  <c r="BF184" i="10"/>
  <c r="AP178" i="10"/>
  <c r="AS66" i="59" s="1"/>
  <c r="AT158" i="10"/>
  <c r="AT210" i="10" s="1"/>
  <c r="AT159" i="10"/>
  <c r="AP196" i="10"/>
  <c r="AT199" i="10"/>
  <c r="Y17" i="52"/>
  <c r="Z17" i="52"/>
  <c r="AT163" i="10" l="1"/>
  <c r="AP193" i="10"/>
  <c r="AT191" i="10"/>
  <c r="AT178" i="10"/>
  <c r="AW66" i="59" s="1"/>
  <c r="AT196" i="10"/>
  <c r="AT200" i="10"/>
  <c r="AT193" i="10" l="1"/>
  <c r="BF159" i="10"/>
  <c r="BF158" i="10"/>
  <c r="BA66" i="59"/>
  <c r="M59" i="71"/>
  <c r="F59" i="11"/>
  <c r="V44" i="11"/>
  <c r="V57" i="11" s="1"/>
  <c r="BI159" i="10" l="1"/>
  <c r="BI158" i="10"/>
  <c r="BF200" i="10"/>
  <c r="BI200" i="10" s="1"/>
  <c r="BF163" i="10"/>
  <c r="V85" i="11"/>
  <c r="V93" i="11"/>
  <c r="BF191" i="10"/>
  <c r="BF196" i="10"/>
  <c r="BI196" i="10" s="1"/>
  <c r="R159" i="10"/>
  <c r="BF178" i="10"/>
  <c r="N196" i="10"/>
  <c r="R200" i="10" l="1"/>
  <c r="BI66" i="59"/>
  <c r="R160" i="10"/>
  <c r="R158" i="10"/>
  <c r="R210" i="10" s="1"/>
  <c r="BF193" i="10"/>
  <c r="Y190" i="6" l="1"/>
  <c r="Y73" i="11" l="1"/>
  <c r="Y172" i="10"/>
  <c r="AA122" i="45" l="1"/>
  <c r="Z57" i="11"/>
  <c r="AA159" i="45" l="1"/>
  <c r="AA150" i="45"/>
  <c r="Z196" i="10"/>
  <c r="Z39" i="9"/>
  <c r="Z40" i="9"/>
  <c r="Z41" i="9"/>
  <c r="Z42" i="9"/>
  <c r="Y117" i="90" s="1"/>
  <c r="Z43" i="9"/>
  <c r="Z44" i="9"/>
  <c r="Y6" i="7" l="1"/>
  <c r="W115" i="7"/>
  <c r="W114" i="7"/>
  <c r="Y21" i="7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AW113" i="6"/>
  <c r="AX95" i="6"/>
  <c r="Y61" i="6"/>
  <c r="AB23" i="59" s="1"/>
  <c r="AB12" i="59"/>
  <c r="Y60" i="6"/>
  <c r="AB16" i="59" s="1"/>
  <c r="AA95" i="6"/>
  <c r="AE95" i="6" s="1"/>
  <c r="AI95" i="6" s="1"/>
  <c r="AO95" i="6" s="1"/>
  <c r="AS95" i="6" s="1"/>
  <c r="BF95" i="6" l="1"/>
  <c r="BH95" i="6" s="1"/>
  <c r="BE113" i="6"/>
  <c r="BG113" i="6" s="1"/>
  <c r="BF113" i="6"/>
  <c r="BH113" i="6" s="1"/>
  <c r="AW95" i="6"/>
  <c r="Z8" i="6"/>
  <c r="X9" i="15"/>
  <c r="Y9" i="15"/>
  <c r="Y56" i="11"/>
  <c r="Y74" i="11" s="1"/>
  <c r="Z121" i="45"/>
  <c r="BE95" i="6" l="1"/>
  <c r="BG95" i="6" s="1"/>
  <c r="AA139" i="50"/>
  <c r="Y55" i="11"/>
  <c r="Y97" i="11"/>
  <c r="Y18" i="15"/>
  <c r="Z70" i="36"/>
  <c r="Z10" i="6"/>
  <c r="Z124" i="45"/>
  <c r="Z120" i="45"/>
  <c r="N11" i="52" l="1"/>
  <c r="AB11" i="52" s="1"/>
  <c r="AF11" i="52" s="1"/>
  <c r="AJ11" i="52" s="1"/>
  <c r="AP11" i="52" s="1"/>
  <c r="AT11" i="52" s="1"/>
  <c r="AX11" i="52" s="1"/>
  <c r="BF11" i="52" s="1"/>
  <c r="BH10" i="52" s="1"/>
  <c r="M11" i="52"/>
  <c r="AA11" i="52" s="1"/>
  <c r="AE11" i="52" s="1"/>
  <c r="AI11" i="52" s="1"/>
  <c r="AO11" i="52" s="1"/>
  <c r="AS11" i="52" l="1"/>
  <c r="AW11" i="52" s="1"/>
  <c r="BE11" i="52" s="1"/>
  <c r="BG10" i="52" s="1"/>
  <c r="Q11" i="52"/>
  <c r="U11" i="52" s="1"/>
  <c r="R11" i="52"/>
  <c r="V11" i="52" s="1"/>
  <c r="AD43" i="38" l="1"/>
  <c r="AD41" i="38"/>
  <c r="AD35" i="38"/>
  <c r="AD19" i="38"/>
  <c r="AD13" i="38"/>
  <c r="AA157" i="45"/>
  <c r="AA134" i="50" l="1"/>
  <c r="Z57" i="9"/>
  <c r="AD18" i="38"/>
  <c r="AD40" i="38"/>
  <c r="AD16" i="38"/>
  <c r="Z26" i="36" l="1"/>
  <c r="Z62" i="9"/>
  <c r="AD17" i="38"/>
  <c r="AD49" i="38" s="1"/>
  <c r="Z91" i="8" l="1"/>
  <c r="AB91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BH14" i="8" s="1"/>
  <c r="AX15" i="8"/>
  <c r="BF15" i="8" s="1"/>
  <c r="BH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AJ35" i="8"/>
  <c r="AP35" i="8" s="1"/>
  <c r="AT35" i="8" s="1"/>
  <c r="AJ34" i="8"/>
  <c r="AP34" i="8" s="1"/>
  <c r="AT34" i="8" s="1"/>
  <c r="Y173" i="73"/>
  <c r="Y46" i="73"/>
  <c r="Y41" i="73"/>
  <c r="Y114" i="73" s="1"/>
  <c r="BF36" i="8" l="1"/>
  <c r="BH36" i="8" s="1"/>
  <c r="AX34" i="8"/>
  <c r="AX35" i="8"/>
  <c r="Y118" i="73"/>
  <c r="Y171" i="73"/>
  <c r="T7" i="15"/>
  <c r="T6" i="15"/>
  <c r="T5" i="15"/>
  <c r="Z18" i="21"/>
  <c r="BF35" i="8" l="1"/>
  <c r="BH35" i="8" s="1"/>
  <c r="BF34" i="8"/>
  <c r="BH34" i="8" s="1"/>
  <c r="AC12" i="59"/>
  <c r="Z61" i="6"/>
  <c r="AC23" i="59" s="1"/>
  <c r="Z60" i="6"/>
  <c r="AC16" i="59" s="1"/>
  <c r="Q115" i="7" l="1"/>
  <c r="Q114" i="7"/>
  <c r="Q113" i="7"/>
  <c r="Q112" i="7"/>
  <c r="Q111" i="7"/>
  <c r="Q110" i="7"/>
  <c r="Q109" i="7"/>
  <c r="Q108" i="7"/>
  <c r="Q107" i="7"/>
  <c r="Q106" i="7"/>
  <c r="Q85" i="7"/>
  <c r="Z1" i="35" l="1"/>
  <c r="Y1" i="35"/>
  <c r="Y21" i="35" s="1"/>
  <c r="Q23" i="36"/>
  <c r="Q22" i="36"/>
  <c r="Q21" i="36"/>
  <c r="Z21" i="35" l="1"/>
  <c r="O102" i="50"/>
  <c r="S102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Y14" i="36" l="1"/>
  <c r="N1" i="35" l="1"/>
  <c r="M1" i="35"/>
  <c r="Q1" i="35" s="1"/>
  <c r="R1" i="35" l="1"/>
  <c r="V1" i="35" s="1"/>
  <c r="U1" i="35"/>
  <c r="Y26" i="36"/>
  <c r="X18" i="15"/>
  <c r="AA1" i="35" l="1"/>
  <c r="AE1" i="35" s="1"/>
  <c r="AI1" i="35" s="1"/>
  <c r="AO1" i="35" s="1"/>
  <c r="AS1" i="35" s="1"/>
  <c r="AW1" i="35" s="1"/>
  <c r="BE1" i="35" s="1"/>
  <c r="AB1" i="35"/>
  <c r="AF1" i="35" l="1"/>
  <c r="AJ1" i="35" s="1"/>
  <c r="AP1" i="35" s="1"/>
  <c r="AT1" i="35" s="1"/>
  <c r="Y159" i="10"/>
  <c r="Y203" i="10" s="1"/>
  <c r="Y158" i="10" l="1"/>
  <c r="Y210" i="10" s="1"/>
  <c r="Y173" i="10"/>
  <c r="AX1" i="35"/>
  <c r="BF1" i="35" s="1"/>
  <c r="BE59" i="71"/>
  <c r="BA59" i="71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9" i="71" l="1"/>
  <c r="Y25" i="36"/>
  <c r="Z97" i="50"/>
  <c r="Z95" i="50" s="1"/>
  <c r="Z10" i="22"/>
  <c r="Z15" i="22" s="1"/>
  <c r="R15" i="22"/>
  <c r="X57" i="17"/>
  <c r="X59" i="17" s="1"/>
  <c r="X62" i="17" s="1"/>
  <c r="X116" i="17"/>
  <c r="Z24" i="22"/>
  <c r="Z26" i="22" s="1"/>
  <c r="Y35" i="17"/>
  <c r="X22" i="17"/>
  <c r="Y52" i="17"/>
  <c r="Y9" i="17"/>
  <c r="X50" i="17"/>
  <c r="X54" i="17" s="1"/>
  <c r="J61" i="71"/>
  <c r="Y81" i="8"/>
  <c r="Y41" i="7"/>
  <c r="BK59" i="71" l="1"/>
  <c r="BG59" i="71"/>
  <c r="Z12" i="22"/>
  <c r="Y16" i="17"/>
  <c r="Y33" i="17" s="1"/>
  <c r="X91" i="17"/>
  <c r="X35" i="17"/>
  <c r="X32" i="17"/>
  <c r="X34" i="17"/>
  <c r="X31" i="17"/>
  <c r="Y50" i="17"/>
  <c r="Y116" i="17"/>
  <c r="M51" i="72" l="1"/>
  <c r="W49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P14" i="27" s="1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T14" i="27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BJ13" i="27" s="1"/>
  <c r="AW15" i="27"/>
  <c r="BE15" i="27" s="1"/>
  <c r="BJ15" i="27" s="1"/>
  <c r="AS38" i="27"/>
  <c r="AW38" i="27" s="1"/>
  <c r="BE38" i="27" s="1"/>
  <c r="BJ38" i="27" s="1"/>
  <c r="AV11" i="27"/>
  <c r="BD11" i="27" s="1"/>
  <c r="AW11" i="27"/>
  <c r="BE11" i="27" s="1"/>
  <c r="BJ11" i="27" s="1"/>
  <c r="AV8" i="27"/>
  <c r="BD8" i="27" s="1"/>
  <c r="AW12" i="27"/>
  <c r="BE12" i="27" s="1"/>
  <c r="BJ12" i="27" s="1"/>
  <c r="AW7" i="27"/>
  <c r="BE7" i="27" s="1"/>
  <c r="BJ7" i="27" s="1"/>
  <c r="AV7" i="27"/>
  <c r="BD7" i="27" s="1"/>
  <c r="AW9" i="27"/>
  <c r="BE9" i="27" s="1"/>
  <c r="BJ9" i="27" s="1"/>
  <c r="AW14" i="27"/>
  <c r="BE14" i="27" s="1"/>
  <c r="BJ14" i="27" s="1"/>
  <c r="AV10" i="27"/>
  <c r="BD10" i="27" s="1"/>
  <c r="AV9" i="27"/>
  <c r="BD9" i="27" s="1"/>
  <c r="AW10" i="27"/>
  <c r="BE10" i="27" s="1"/>
  <c r="BJ10" i="27" s="1"/>
  <c r="AR12" i="27"/>
  <c r="AR38" i="27"/>
  <c r="AV38" i="27" s="1"/>
  <c r="BD38" i="27" s="1"/>
  <c r="BI38" i="27" s="1"/>
  <c r="AW6" i="27"/>
  <c r="BE6" i="27" s="1"/>
  <c r="BJ6" i="27" s="1"/>
  <c r="AW8" i="27"/>
  <c r="BE8" i="27" s="1"/>
  <c r="BJ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6" i="50"/>
  <c r="BH46" i="50" s="1"/>
  <c r="BG7" i="27" l="1"/>
  <c r="BI7" i="27"/>
  <c r="BG13" i="27"/>
  <c r="BI13" i="27"/>
  <c r="BI8" i="27"/>
  <c r="BG8" i="27"/>
  <c r="BI9" i="27"/>
  <c r="BG9" i="27"/>
  <c r="BG11" i="27"/>
  <c r="BI11" i="27"/>
  <c r="BG10" i="27"/>
  <c r="BI10" i="27"/>
  <c r="AV12" i="27"/>
  <c r="BD12" i="27" s="1"/>
  <c r="AV19" i="17"/>
  <c r="AR22" i="17"/>
  <c r="AV6" i="27"/>
  <c r="BD6" i="27" s="1"/>
  <c r="AV14" i="27"/>
  <c r="BD14" i="27" s="1"/>
  <c r="AV15" i="27"/>
  <c r="BD15" i="27" s="1"/>
  <c r="BD18" i="17"/>
  <c r="G120" i="50"/>
  <c r="E26" i="9"/>
  <c r="F429" i="28"/>
  <c r="BI14" i="27" l="1"/>
  <c r="BG14" i="27"/>
  <c r="J429" i="28"/>
  <c r="N429" i="28" s="1"/>
  <c r="R429" i="28" s="1"/>
  <c r="V429" i="28" s="1"/>
  <c r="BI15" i="27"/>
  <c r="BG15" i="27"/>
  <c r="BG6" i="27"/>
  <c r="BI6" i="27"/>
  <c r="BI12" i="27"/>
  <c r="BG12" i="27"/>
  <c r="AB429" i="28"/>
  <c r="AF429" i="28" s="1"/>
  <c r="AR34" i="17"/>
  <c r="AR31" i="17"/>
  <c r="AR32" i="17"/>
  <c r="BD19" i="17"/>
  <c r="BD22" i="17" s="1"/>
  <c r="AV22" i="17"/>
  <c r="O120" i="50"/>
  <c r="K120" i="50"/>
  <c r="F514" i="28"/>
  <c r="J514" i="28" l="1"/>
  <c r="N514" i="28" s="1"/>
  <c r="R514" i="28"/>
  <c r="V514" i="28" s="1"/>
  <c r="AB514" i="28"/>
  <c r="AF514" i="28" s="1"/>
  <c r="BD32" i="17"/>
  <c r="BD31" i="17"/>
  <c r="BD34" i="17"/>
  <c r="AV34" i="17"/>
  <c r="AV32" i="17"/>
  <c r="AV31" i="17"/>
  <c r="S120" i="50"/>
  <c r="W120" i="50" s="1"/>
  <c r="AC120" i="50"/>
  <c r="AG120" i="50" s="1"/>
  <c r="AK120" i="50" s="1"/>
  <c r="AQ120" i="50" s="1"/>
  <c r="AU120" i="50" s="1"/>
  <c r="AY120" i="50" s="1"/>
  <c r="BG120" i="50" s="1"/>
  <c r="BH120" i="50" s="1"/>
  <c r="K7" i="72"/>
  <c r="M106" i="90" s="1"/>
  <c r="E51" i="72" l="1"/>
  <c r="L22" i="15"/>
  <c r="P22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2" i="15"/>
  <c r="Z22" i="15"/>
  <c r="AD22" i="15" s="1"/>
  <c r="T10" i="15"/>
  <c r="X10" i="15"/>
  <c r="F57" i="9"/>
  <c r="N57" i="9" s="1"/>
  <c r="AH22" i="15" l="1"/>
  <c r="AN22" i="15" s="1"/>
  <c r="Z10" i="15"/>
  <c r="AD10" i="15" s="1"/>
  <c r="AH10" i="15" s="1"/>
  <c r="X13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M117" i="90" s="1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56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BB22" i="15"/>
  <c r="AR22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A117" i="90" s="1"/>
  <c r="AF193" i="6"/>
  <c r="AF167" i="6"/>
  <c r="AN10" i="15"/>
  <c r="AR10" i="15" s="1"/>
  <c r="AV10" i="15" s="1"/>
  <c r="AL10" i="15"/>
  <c r="AL13" i="15" s="1"/>
  <c r="AJ429" i="28"/>
  <c r="R111" i="9"/>
  <c r="V111" i="9" s="1"/>
  <c r="AB111" i="9"/>
  <c r="AF111" i="9" s="1"/>
  <c r="N58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117" i="90" s="1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V29" i="9" l="1"/>
  <c r="BG61" i="71"/>
  <c r="AV22" i="15"/>
  <c r="BD22" i="15" s="1"/>
  <c r="BK61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U117" i="90" s="1"/>
  <c r="V58" i="36"/>
  <c r="V10" i="9"/>
  <c r="V56" i="36"/>
  <c r="V25" i="9"/>
  <c r="R36" i="9"/>
  <c r="AF42" i="9"/>
  <c r="AE117" i="90" s="1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514" i="28"/>
  <c r="AP429" i="28"/>
  <c r="R62" i="9"/>
  <c r="V62" i="9" s="1"/>
  <c r="N60" i="36"/>
  <c r="R58" i="36"/>
  <c r="R56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I117" i="90" s="1"/>
  <c r="AP62" i="9"/>
  <c r="AT62" i="9" s="1"/>
  <c r="V36" i="9"/>
  <c r="V60" i="36"/>
  <c r="AX45" i="38"/>
  <c r="AX44" i="38"/>
  <c r="AX39" i="38"/>
  <c r="AX38" i="38"/>
  <c r="AX36" i="38"/>
  <c r="BB36" i="38" s="1"/>
  <c r="AP167" i="6"/>
  <c r="AX46" i="38"/>
  <c r="AP514" i="28"/>
  <c r="AT429" i="28"/>
  <c r="AX429" i="28" s="1"/>
  <c r="AX42" i="38"/>
  <c r="AX14" i="38"/>
  <c r="AX7" i="38"/>
  <c r="AX47" i="38"/>
  <c r="AX20" i="38"/>
  <c r="BB20" i="38" s="1"/>
  <c r="AP193" i="6"/>
  <c r="AX37" i="38"/>
  <c r="R60" i="36"/>
  <c r="M81" i="8"/>
  <c r="E81" i="8"/>
  <c r="M74" i="8"/>
  <c r="M72" i="8"/>
  <c r="M71" i="8"/>
  <c r="E74" i="8"/>
  <c r="E72" i="8"/>
  <c r="E52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E14" i="8"/>
  <c r="E13" i="8"/>
  <c r="M87" i="8"/>
  <c r="E87" i="8"/>
  <c r="M61" i="8"/>
  <c r="N33" i="8"/>
  <c r="N152" i="8" s="1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4" i="7"/>
  <c r="M74" i="7"/>
  <c r="R72" i="7"/>
  <c r="V72" i="7" s="1"/>
  <c r="Q72" i="7"/>
  <c r="U72" i="7" s="1"/>
  <c r="N68" i="7"/>
  <c r="N66" i="7"/>
  <c r="M66" i="7"/>
  <c r="Q66" i="7" s="1"/>
  <c r="U66" i="7" s="1"/>
  <c r="N65" i="7"/>
  <c r="M65" i="7"/>
  <c r="Q65" i="7" s="1"/>
  <c r="U65" i="7" s="1"/>
  <c r="R50" i="7"/>
  <c r="V50" i="7" s="1"/>
  <c r="R48" i="7"/>
  <c r="V48" i="7" s="1"/>
  <c r="R47" i="7"/>
  <c r="V47" i="7" s="1"/>
  <c r="R46" i="7"/>
  <c r="V46" i="7" s="1"/>
  <c r="R45" i="7"/>
  <c r="V45" i="7" s="1"/>
  <c r="R44" i="7"/>
  <c r="V44" i="7" s="1"/>
  <c r="R43" i="7"/>
  <c r="V43" i="7" s="1"/>
  <c r="R42" i="7"/>
  <c r="V42" i="7" s="1"/>
  <c r="M7" i="7"/>
  <c r="AA7" i="7" s="1"/>
  <c r="AE7" i="7" s="1"/>
  <c r="M8" i="7"/>
  <c r="M9" i="7"/>
  <c r="M10" i="7"/>
  <c r="M11" i="7"/>
  <c r="M12" i="7"/>
  <c r="M14" i="7"/>
  <c r="M15" i="7"/>
  <c r="N6" i="7"/>
  <c r="M6" i="7"/>
  <c r="M115" i="7"/>
  <c r="M114" i="7"/>
  <c r="M113" i="7"/>
  <c r="M112" i="7"/>
  <c r="M111" i="7"/>
  <c r="M110" i="7"/>
  <c r="M109" i="7"/>
  <c r="M108" i="7"/>
  <c r="M107" i="7"/>
  <c r="M106" i="7"/>
  <c r="M85" i="7"/>
  <c r="M14" i="8" l="1"/>
  <c r="AA14" i="8" s="1"/>
  <c r="AE14" i="8" s="1"/>
  <c r="M15" i="8"/>
  <c r="AA15" i="8" s="1"/>
  <c r="AE15" i="8" s="1"/>
  <c r="M157" i="7"/>
  <c r="M161" i="7"/>
  <c r="AI7" i="7"/>
  <c r="AO7" i="7" s="1"/>
  <c r="AS7" i="7" s="1"/>
  <c r="AW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AX167" i="6"/>
  <c r="BJ20" i="38"/>
  <c r="AX193" i="6"/>
  <c r="AI15" i="8"/>
  <c r="AO15" i="8" s="1"/>
  <c r="AS15" i="8" s="1"/>
  <c r="AI14" i="8"/>
  <c r="AO14" i="8" s="1"/>
  <c r="AS14" i="8" s="1"/>
  <c r="U67" i="7"/>
  <c r="U61" i="7" s="1"/>
  <c r="U102" i="7" s="1"/>
  <c r="H45" i="59"/>
  <c r="H49" i="59"/>
  <c r="H51" i="59"/>
  <c r="Q61" i="8"/>
  <c r="U61" i="8" s="1"/>
  <c r="BD168" i="6"/>
  <c r="BD194" i="6"/>
  <c r="AP42" i="9"/>
  <c r="AO117" i="90" s="1"/>
  <c r="BB168" i="6"/>
  <c r="BB194" i="6"/>
  <c r="AT514" i="28"/>
  <c r="AT193" i="6"/>
  <c r="AT167" i="6"/>
  <c r="Q8" i="8"/>
  <c r="U8" i="8" s="1"/>
  <c r="Q74" i="7"/>
  <c r="U74" i="7" s="1"/>
  <c r="U75" i="7" s="1"/>
  <c r="R74" i="7"/>
  <c r="V74" i="7" s="1"/>
  <c r="V75" i="7" s="1"/>
  <c r="R6" i="7"/>
  <c r="V6" i="7" s="1"/>
  <c r="Q8" i="7"/>
  <c r="U8" i="7" s="1"/>
  <c r="AA8" i="7"/>
  <c r="AE8" i="7" s="1"/>
  <c r="AI8" i="7" s="1"/>
  <c r="R68" i="7"/>
  <c r="V68" i="7" s="1"/>
  <c r="AA19" i="7"/>
  <c r="Q15" i="7"/>
  <c r="U15" i="7" s="1"/>
  <c r="AA15" i="7"/>
  <c r="AE15" i="7" s="1"/>
  <c r="Q12" i="7"/>
  <c r="U12" i="7" s="1"/>
  <c r="AA12" i="7"/>
  <c r="AE12" i="7" s="1"/>
  <c r="R66" i="7"/>
  <c r="V66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AA9" i="7"/>
  <c r="AA161" i="7" s="1"/>
  <c r="R65" i="7"/>
  <c r="V65" i="7" s="1"/>
  <c r="R15" i="7"/>
  <c r="V15" i="7" s="1"/>
  <c r="R12" i="7"/>
  <c r="V12" i="7" s="1"/>
  <c r="R8" i="7"/>
  <c r="V8" i="7" s="1"/>
  <c r="V19" i="7"/>
  <c r="R14" i="7"/>
  <c r="V14" i="7" s="1"/>
  <c r="R11" i="7"/>
  <c r="V11" i="7" s="1"/>
  <c r="R9" i="7"/>
  <c r="R161" i="7" s="1"/>
  <c r="R10" i="7"/>
  <c r="V10" i="7" s="1"/>
  <c r="N109" i="8"/>
  <c r="N110" i="8" s="1"/>
  <c r="Q33" i="8"/>
  <c r="U33" i="8" s="1"/>
  <c r="M11" i="49"/>
  <c r="Q11" i="49" s="1"/>
  <c r="U11" i="49" s="1"/>
  <c r="R7" i="7"/>
  <c r="V7" i="7" s="1"/>
  <c r="N21" i="7"/>
  <c r="Q7" i="7"/>
  <c r="U7" i="7" s="1"/>
  <c r="M21" i="7"/>
  <c r="N87" i="8"/>
  <c r="R85" i="8"/>
  <c r="V85" i="8" s="1"/>
  <c r="R60" i="8"/>
  <c r="V60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7" i="7"/>
  <c r="Q61" i="7" s="1"/>
  <c r="Q102" i="7" s="1"/>
  <c r="Q15" i="8"/>
  <c r="U15" i="8" s="1"/>
  <c r="M13" i="8"/>
  <c r="M75" i="7"/>
  <c r="N75" i="7"/>
  <c r="N67" i="7"/>
  <c r="N34" i="7" s="1"/>
  <c r="N97" i="7" s="1"/>
  <c r="M67" i="7"/>
  <c r="BF167" i="6" l="1"/>
  <c r="BF193" i="6"/>
  <c r="V9" i="7"/>
  <c r="R157" i="7"/>
  <c r="AE9" i="7"/>
  <c r="AI9" i="7" s="1"/>
  <c r="AI161" i="7" s="1"/>
  <c r="AA157" i="7"/>
  <c r="U9" i="7"/>
  <c r="BE7" i="7"/>
  <c r="BG7" i="7" s="1"/>
  <c r="U34" i="7"/>
  <c r="U97" i="7" s="1"/>
  <c r="U33" i="7"/>
  <c r="U99" i="7" s="1"/>
  <c r="Q34" i="7"/>
  <c r="Q97" i="7" s="1"/>
  <c r="Q33" i="7"/>
  <c r="Q99" i="7" s="1"/>
  <c r="M27" i="7"/>
  <c r="M91" i="7" s="1"/>
  <c r="M61" i="7"/>
  <c r="M102" i="7" s="1"/>
  <c r="M34" i="7"/>
  <c r="M97" i="7" s="1"/>
  <c r="M33" i="7"/>
  <c r="M99" i="7" s="1"/>
  <c r="AI12" i="7"/>
  <c r="AO12" i="7" s="1"/>
  <c r="AS12" i="7" s="1"/>
  <c r="AW12" i="7" s="1"/>
  <c r="AI10" i="7"/>
  <c r="AO10" i="7" s="1"/>
  <c r="AS10" i="7" s="1"/>
  <c r="AW10" i="7" s="1"/>
  <c r="AI11" i="7"/>
  <c r="AO11" i="7" s="1"/>
  <c r="AS11" i="7" s="1"/>
  <c r="AW11" i="7" s="1"/>
  <c r="AI15" i="7"/>
  <c r="AO15" i="7" s="1"/>
  <c r="AS15" i="7" s="1"/>
  <c r="AW15" i="7" s="1"/>
  <c r="AI14" i="7"/>
  <c r="AO14" i="7" s="1"/>
  <c r="AS14" i="7" s="1"/>
  <c r="AW14" i="7" s="1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BG14" i="8" s="1"/>
  <c r="AW15" i="8"/>
  <c r="BE15" i="8" s="1"/>
  <c r="BG15" i="8" s="1"/>
  <c r="V67" i="7"/>
  <c r="V28" i="7" s="1"/>
  <c r="V92" i="7" s="1"/>
  <c r="U76" i="7"/>
  <c r="U81" i="7"/>
  <c r="X28" i="59" s="1"/>
  <c r="N33" i="7"/>
  <c r="N99" i="7" s="1"/>
  <c r="N61" i="7"/>
  <c r="N102" i="7" s="1"/>
  <c r="U18" i="8"/>
  <c r="T8" i="15" s="1"/>
  <c r="P8" i="15"/>
  <c r="V25" i="8"/>
  <c r="V23" i="8"/>
  <c r="V18" i="8"/>
  <c r="U8" i="15" s="1"/>
  <c r="Q8" i="15"/>
  <c r="V109" i="8"/>
  <c r="V110" i="8" s="1"/>
  <c r="V24" i="8"/>
  <c r="V144" i="7"/>
  <c r="V146" i="7" s="1"/>
  <c r="V147" i="7" s="1"/>
  <c r="U19" i="7"/>
  <c r="U36" i="7" s="1"/>
  <c r="U90" i="7" s="1"/>
  <c r="Q36" i="7"/>
  <c r="V21" i="7"/>
  <c r="V138" i="7"/>
  <c r="V140" i="7" s="1"/>
  <c r="V141" i="7" s="1"/>
  <c r="AE19" i="7"/>
  <c r="R75" i="7"/>
  <c r="R67" i="7"/>
  <c r="AT42" i="9"/>
  <c r="AS117" i="90" s="1"/>
  <c r="AX514" i="28"/>
  <c r="BF429" i="28"/>
  <c r="Q75" i="7"/>
  <c r="AO6" i="7"/>
  <c r="AO8" i="7"/>
  <c r="AS8" i="7" s="1"/>
  <c r="AW8" i="7" s="1"/>
  <c r="N58" i="7"/>
  <c r="N56" i="7"/>
  <c r="N96" i="7" s="1"/>
  <c r="N57" i="7"/>
  <c r="N59" i="7"/>
  <c r="N60" i="7"/>
  <c r="N55" i="7"/>
  <c r="N62" i="7"/>
  <c r="Q13" i="8"/>
  <c r="U13" i="8" s="1"/>
  <c r="U16" i="8" s="1"/>
  <c r="N111" i="8"/>
  <c r="N112" i="8" s="1"/>
  <c r="N27" i="7"/>
  <c r="N91" i="7" s="1"/>
  <c r="N30" i="7"/>
  <c r="N94" i="7" s="1"/>
  <c r="R21" i="7"/>
  <c r="N52" i="8"/>
  <c r="R109" i="8"/>
  <c r="R111" i="8" s="1"/>
  <c r="R26" i="8"/>
  <c r="N31" i="7"/>
  <c r="N37" i="7"/>
  <c r="N103" i="7" s="1"/>
  <c r="Q21" i="7"/>
  <c r="R87" i="8"/>
  <c r="V87" i="8" s="1"/>
  <c r="N76" i="7"/>
  <c r="Q81" i="7"/>
  <c r="Q76" i="7"/>
  <c r="N78" i="7"/>
  <c r="N29" i="7"/>
  <c r="N26" i="7"/>
  <c r="N54" i="7"/>
  <c r="M76" i="7"/>
  <c r="N32" i="7"/>
  <c r="N98" i="7" s="1"/>
  <c r="N24" i="7"/>
  <c r="N25" i="7"/>
  <c r="N89" i="7" s="1"/>
  <c r="N23" i="7"/>
  <c r="N87" i="7" s="1"/>
  <c r="N28" i="7"/>
  <c r="N92" i="7" s="1"/>
  <c r="N69" i="7"/>
  <c r="N36" i="7"/>
  <c r="N90" i="7" s="1"/>
  <c r="N81" i="7"/>
  <c r="M81" i="7"/>
  <c r="Q42" i="59" l="1"/>
  <c r="N121" i="8"/>
  <c r="BF514" i="28"/>
  <c r="BH514" i="28" s="1"/>
  <c r="BH429" i="28"/>
  <c r="V157" i="7"/>
  <c r="V161" i="7"/>
  <c r="AE157" i="7"/>
  <c r="AE161" i="7"/>
  <c r="AO9" i="7"/>
  <c r="AO161" i="7" s="1"/>
  <c r="AI157" i="7"/>
  <c r="N88" i="7"/>
  <c r="N101" i="7"/>
  <c r="N93" i="7"/>
  <c r="Q33" i="59" s="1"/>
  <c r="N95" i="7"/>
  <c r="Q35" i="59" s="1"/>
  <c r="V24" i="7"/>
  <c r="V34" i="7"/>
  <c r="V97" i="7" s="1"/>
  <c r="R60" i="7"/>
  <c r="R34" i="7"/>
  <c r="R97" i="7" s="1"/>
  <c r="R29" i="7"/>
  <c r="R93" i="7" s="1"/>
  <c r="U33" i="59" s="1"/>
  <c r="R81" i="7"/>
  <c r="R32" i="7"/>
  <c r="R98" i="7" s="1"/>
  <c r="R31" i="7"/>
  <c r="R95" i="7" s="1"/>
  <c r="U35" i="59" s="1"/>
  <c r="R57" i="7"/>
  <c r="R55" i="7"/>
  <c r="R36" i="7"/>
  <c r="R90" i="7" s="1"/>
  <c r="R56" i="7"/>
  <c r="R96" i="7" s="1"/>
  <c r="R37" i="7"/>
  <c r="R103" i="7" s="1"/>
  <c r="R69" i="7"/>
  <c r="AE21" i="7"/>
  <c r="AI19" i="7"/>
  <c r="AI21" i="7" s="1"/>
  <c r="U21" i="7"/>
  <c r="AX42" i="9"/>
  <c r="AW117" i="90" s="1"/>
  <c r="V61" i="7"/>
  <c r="V102" i="7" s="1"/>
  <c r="V76" i="7"/>
  <c r="V81" i="7"/>
  <c r="Y28" i="59" s="1"/>
  <c r="V33" i="7"/>
  <c r="V99" i="7" s="1"/>
  <c r="V30" i="7"/>
  <c r="V94" i="7" s="1"/>
  <c r="Y34" i="59" s="1"/>
  <c r="V37" i="7"/>
  <c r="V103" i="7" s="1"/>
  <c r="V54" i="7"/>
  <c r="V56" i="7"/>
  <c r="V96" i="7" s="1"/>
  <c r="V59" i="7"/>
  <c r="V60" i="7"/>
  <c r="V55" i="7"/>
  <c r="V62" i="7"/>
  <c r="V57" i="7"/>
  <c r="V58" i="7"/>
  <c r="V78" i="7"/>
  <c r="R33" i="7"/>
  <c r="R99" i="7" s="1"/>
  <c r="R61" i="7"/>
  <c r="R102" i="7" s="1"/>
  <c r="V32" i="7"/>
  <c r="V98" i="7" s="1"/>
  <c r="V26" i="7"/>
  <c r="V36" i="7"/>
  <c r="V90" i="7" s="1"/>
  <c r="V27" i="7"/>
  <c r="V91" i="7" s="1"/>
  <c r="V31" i="7"/>
  <c r="V95" i="7" s="1"/>
  <c r="Y35" i="59" s="1"/>
  <c r="V29" i="7"/>
  <c r="V93" i="7" s="1"/>
  <c r="Y33" i="59" s="1"/>
  <c r="R54" i="7"/>
  <c r="R23" i="7"/>
  <c r="R87" i="7" s="1"/>
  <c r="R24" i="7"/>
  <c r="V25" i="7"/>
  <c r="V23" i="7"/>
  <c r="V87" i="7" s="1"/>
  <c r="Y29" i="59" s="1"/>
  <c r="R59" i="7"/>
  <c r="R76" i="7"/>
  <c r="R25" i="7"/>
  <c r="R30" i="7"/>
  <c r="R94" i="7" s="1"/>
  <c r="U34" i="59" s="1"/>
  <c r="V69" i="7"/>
  <c r="V123" i="7"/>
  <c r="V124" i="7" s="1"/>
  <c r="V52" i="8"/>
  <c r="V111" i="8"/>
  <c r="V112" i="8" s="1"/>
  <c r="V53" i="8" s="1"/>
  <c r="V26" i="8"/>
  <c r="R58" i="7"/>
  <c r="R26" i="7"/>
  <c r="R27" i="7"/>
  <c r="R91" i="7" s="1"/>
  <c r="R78" i="7"/>
  <c r="R28" i="7"/>
  <c r="R92" i="7" s="1"/>
  <c r="R62" i="7"/>
  <c r="Q16" i="8"/>
  <c r="BE8" i="7"/>
  <c r="BG8" i="7" s="1"/>
  <c r="AS6" i="7"/>
  <c r="AW6" i="7" s="1"/>
  <c r="R110" i="8"/>
  <c r="R112" i="8" s="1"/>
  <c r="Q34" i="59"/>
  <c r="N53" i="8"/>
  <c r="N38" i="7"/>
  <c r="N53" i="7" s="1"/>
  <c r="N77" i="7" s="1"/>
  <c r="Q43" i="59" l="1"/>
  <c r="Q44" i="59" s="1"/>
  <c r="N123" i="8"/>
  <c r="N122" i="8" s="1"/>
  <c r="N126" i="8" s="1"/>
  <c r="N127" i="8" s="1"/>
  <c r="AS9" i="7"/>
  <c r="AO157" i="7"/>
  <c r="BE11" i="7"/>
  <c r="BG11" i="7" s="1"/>
  <c r="BE10" i="7"/>
  <c r="BG10" i="7" s="1"/>
  <c r="BE14" i="7"/>
  <c r="BG14" i="7" s="1"/>
  <c r="BE12" i="7"/>
  <c r="BG12" i="7" s="1"/>
  <c r="BE15" i="7"/>
  <c r="BG15" i="7" s="1"/>
  <c r="V88" i="7"/>
  <c r="Y30" i="59" s="1"/>
  <c r="R101" i="7"/>
  <c r="R89" i="7"/>
  <c r="R88" i="7"/>
  <c r="V101" i="7"/>
  <c r="Y32" i="59" s="1"/>
  <c r="V89" i="7"/>
  <c r="Y31" i="59" s="1"/>
  <c r="V125" i="7"/>
  <c r="V126" i="7"/>
  <c r="V127" i="7" s="1"/>
  <c r="V38" i="7"/>
  <c r="V53" i="7" s="1"/>
  <c r="V77" i="7" s="1"/>
  <c r="R38" i="7"/>
  <c r="R53" i="7" s="1"/>
  <c r="AO19" i="7"/>
  <c r="BF42" i="9"/>
  <c r="Y42" i="59"/>
  <c r="R53" i="8"/>
  <c r="U43" i="59" s="1"/>
  <c r="R52" i="8"/>
  <c r="U42" i="59" s="1"/>
  <c r="N104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N132" i="8" l="1"/>
  <c r="N131" i="8"/>
  <c r="N130" i="8"/>
  <c r="N133" i="8" s="1"/>
  <c r="N124" i="8"/>
  <c r="AW9" i="7"/>
  <c r="AW161" i="7" s="1"/>
  <c r="AS161" i="7"/>
  <c r="AS157" i="7"/>
  <c r="R104" i="7"/>
  <c r="V128" i="7"/>
  <c r="V104" i="7"/>
  <c r="V63" i="7"/>
  <c r="AS19" i="7"/>
  <c r="AW19" i="7" s="1"/>
  <c r="BE19" i="7" s="1"/>
  <c r="BG19" i="7" s="1"/>
  <c r="AO21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BG6" i="7" s="1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AW157" i="7" l="1"/>
  <c r="BE9" i="7"/>
  <c r="U66" i="6"/>
  <c r="V102" i="6"/>
  <c r="V29" i="6"/>
  <c r="V69" i="6"/>
  <c r="AW21" i="7"/>
  <c r="V32" i="6"/>
  <c r="V120" i="6"/>
  <c r="V66" i="6"/>
  <c r="U69" i="6"/>
  <c r="U120" i="6"/>
  <c r="V26" i="6"/>
  <c r="AX99" i="6"/>
  <c r="AX75" i="6"/>
  <c r="AX117" i="6"/>
  <c r="AW99" i="6"/>
  <c r="AX96" i="6"/>
  <c r="U102" i="6"/>
  <c r="V115" i="6"/>
  <c r="AX73" i="6"/>
  <c r="U115" i="6"/>
  <c r="AW117" i="6"/>
  <c r="AX76" i="6"/>
  <c r="U97" i="6"/>
  <c r="V97" i="6"/>
  <c r="AX74" i="6"/>
  <c r="V77" i="6"/>
  <c r="U77" i="6"/>
  <c r="AS21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52" i="45"/>
  <c r="O147" i="45"/>
  <c r="O146" i="45"/>
  <c r="O135" i="45"/>
  <c r="N135" i="45"/>
  <c r="O133" i="45"/>
  <c r="N133" i="45"/>
  <c r="O122" i="45"/>
  <c r="O159" i="45" s="1"/>
  <c r="O8" i="45"/>
  <c r="O170" i="45" s="1"/>
  <c r="O176" i="45" s="1"/>
  <c r="O7" i="45"/>
  <c r="N7" i="45"/>
  <c r="BG9" i="7" l="1"/>
  <c r="BE161" i="7"/>
  <c r="BF73" i="6"/>
  <c r="BH73" i="6" s="1"/>
  <c r="BE117" i="6"/>
  <c r="BG117" i="6" s="1"/>
  <c r="BF117" i="6"/>
  <c r="BH117" i="6" s="1"/>
  <c r="BF96" i="6"/>
  <c r="BH96" i="6" s="1"/>
  <c r="BE99" i="6"/>
  <c r="BG99" i="6" s="1"/>
  <c r="BF74" i="6"/>
  <c r="BH74" i="6" s="1"/>
  <c r="BF75" i="6"/>
  <c r="BH75" i="6" s="1"/>
  <c r="BF99" i="6"/>
  <c r="BH99" i="6" s="1"/>
  <c r="BF76" i="6"/>
  <c r="BH76" i="6" s="1"/>
  <c r="BA21" i="7"/>
  <c r="BA36" i="7"/>
  <c r="O121" i="45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O137" i="45"/>
  <c r="O125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37" i="45"/>
  <c r="U173" i="6" l="1"/>
  <c r="V172" i="6"/>
  <c r="V173" i="6"/>
  <c r="Y22" i="59" s="1"/>
  <c r="U172" i="6"/>
  <c r="U147" i="6"/>
  <c r="U148" i="6"/>
  <c r="U149" i="6" s="1"/>
  <c r="V148" i="6"/>
  <c r="V149" i="6" s="1"/>
  <c r="V150" i="6"/>
  <c r="BE21" i="7"/>
  <c r="BG21" i="7" s="1"/>
  <c r="Q172" i="6"/>
  <c r="R175" i="6"/>
  <c r="R173" i="6"/>
  <c r="U22" i="59" s="1"/>
  <c r="Q173" i="6"/>
  <c r="R147" i="6"/>
  <c r="R148" i="6"/>
  <c r="R150" i="6"/>
  <c r="Q148" i="6"/>
  <c r="Q149" i="6" s="1"/>
  <c r="Q150" i="6"/>
  <c r="AC122" i="45"/>
  <c r="U174" i="6" l="1"/>
  <c r="V174" i="6"/>
  <c r="V8" i="36" s="1"/>
  <c r="Y9" i="59" s="1"/>
  <c r="Y15" i="59"/>
  <c r="V7" i="36"/>
  <c r="Y8" i="59" s="1"/>
  <c r="Q174" i="6"/>
  <c r="R174" i="6"/>
  <c r="R149" i="6"/>
  <c r="U15" i="59"/>
  <c r="N86" i="11" l="1"/>
  <c r="N91" i="11" s="1"/>
  <c r="N82" i="11"/>
  <c r="N81" i="11"/>
  <c r="N7" i="11"/>
  <c r="N5" i="11"/>
  <c r="M5" i="11"/>
  <c r="N185" i="10"/>
  <c r="N190" i="10" s="1"/>
  <c r="N181" i="10"/>
  <c r="N180" i="10"/>
  <c r="N5" i="10"/>
  <c r="N171" i="10" s="1"/>
  <c r="M5" i="10"/>
  <c r="N161" i="10" l="1"/>
  <c r="N72" i="11"/>
  <c r="N168" i="10"/>
  <c r="Q65" i="59" s="1"/>
  <c r="M72" i="11"/>
  <c r="AB57" i="11"/>
  <c r="N57" i="11"/>
  <c r="N59" i="11"/>
  <c r="N56" i="11"/>
  <c r="N55" i="11"/>
  <c r="N83" i="11"/>
  <c r="N90" i="11" s="1"/>
  <c r="M171" i="10"/>
  <c r="M69" i="11"/>
  <c r="P69" i="59" s="1"/>
  <c r="N170" i="10"/>
  <c r="N182" i="10"/>
  <c r="N189" i="10" s="1"/>
  <c r="N188" i="10"/>
  <c r="N69" i="11"/>
  <c r="Q69" i="59" s="1"/>
  <c r="N71" i="11"/>
  <c r="M71" i="11"/>
  <c r="N89" i="11"/>
  <c r="M170" i="10"/>
  <c r="M168" i="10"/>
  <c r="P65" i="59" s="1"/>
  <c r="N58" i="11" l="1"/>
  <c r="N183" i="10"/>
  <c r="N60" i="11"/>
  <c r="N84" i="11"/>
  <c r="R57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3" i="35"/>
  <c r="R53" i="35" s="1"/>
  <c r="M53" i="35"/>
  <c r="Q53" i="35" s="1"/>
  <c r="M51" i="35"/>
  <c r="M50" i="35"/>
  <c r="N42" i="35"/>
  <c r="R42" i="35" s="1"/>
  <c r="V42" i="35" s="1"/>
  <c r="N35" i="35"/>
  <c r="M122" i="90" s="1"/>
  <c r="M124" i="90" s="1"/>
  <c r="M35" i="35"/>
  <c r="L122" i="90" s="1"/>
  <c r="L124" i="90" s="1"/>
  <c r="N34" i="35"/>
  <c r="M34" i="35"/>
  <c r="M32" i="35"/>
  <c r="Q32" i="35" s="1"/>
  <c r="U32" i="35" s="1"/>
  <c r="V121" i="45" s="1"/>
  <c r="M31" i="35"/>
  <c r="Q31" i="35" s="1"/>
  <c r="U31" i="35" s="1"/>
  <c r="U56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8" i="15"/>
  <c r="R35" i="35"/>
  <c r="Q122" i="90" s="1"/>
  <c r="Q124" i="90" s="1"/>
  <c r="V13" i="35"/>
  <c r="V15" i="35" s="1"/>
  <c r="R15" i="35"/>
  <c r="AA50" i="35"/>
  <c r="AE50" i="35" s="1"/>
  <c r="AI50" i="35" s="1"/>
  <c r="AO50" i="35" s="1"/>
  <c r="AS50" i="35" s="1"/>
  <c r="AW50" i="35" s="1"/>
  <c r="BE50" i="35" s="1"/>
  <c r="Q50" i="35"/>
  <c r="U50" i="35" s="1"/>
  <c r="V18" i="35"/>
  <c r="Q18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1" i="35"/>
  <c r="AE51" i="35" s="1"/>
  <c r="AI51" i="35" s="1"/>
  <c r="AO51" i="35" s="1"/>
  <c r="AS51" i="35" s="1"/>
  <c r="AW51" i="35" s="1"/>
  <c r="BE51" i="35" s="1"/>
  <c r="Q51" i="35"/>
  <c r="U51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U53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5" i="11"/>
  <c r="U97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Q35" i="35"/>
  <c r="P122" i="90" s="1"/>
  <c r="P124" i="90" s="1"/>
  <c r="V53" i="35"/>
  <c r="V21" i="35" s="1"/>
  <c r="V26" i="9" s="1"/>
  <c r="R21" i="35"/>
  <c r="V120" i="45"/>
  <c r="V124" i="45"/>
  <c r="AF10" i="35"/>
  <c r="AB9" i="6"/>
  <c r="AB35" i="35"/>
  <c r="AA122" i="90" s="1"/>
  <c r="AA124" i="90" s="1"/>
  <c r="M64" i="36"/>
  <c r="M61" i="36"/>
  <c r="M63" i="36" s="1"/>
  <c r="M58" i="36"/>
  <c r="M60" i="36" s="1"/>
  <c r="N67" i="36"/>
  <c r="N69" i="36"/>
  <c r="N70" i="36"/>
  <c r="N72" i="36"/>
  <c r="N66" i="36"/>
  <c r="N15" i="35"/>
  <c r="AB9" i="35"/>
  <c r="N11" i="35"/>
  <c r="N10" i="6" s="1"/>
  <c r="AA32" i="35"/>
  <c r="AE32" i="35" s="1"/>
  <c r="N121" i="45"/>
  <c r="L9" i="15"/>
  <c r="AA28" i="35"/>
  <c r="AE28" i="35" s="1"/>
  <c r="M9" i="15"/>
  <c r="AB28" i="35"/>
  <c r="AF28" i="35" s="1"/>
  <c r="L18" i="15"/>
  <c r="AA18" i="35"/>
  <c r="AE18" i="35" s="1"/>
  <c r="AI18" i="35" s="1"/>
  <c r="M18" i="15"/>
  <c r="AB18" i="35"/>
  <c r="AF18" i="35" s="1"/>
  <c r="AJ18" i="35" s="1"/>
  <c r="AA31" i="35"/>
  <c r="AE31" i="35" s="1"/>
  <c r="M56" i="11"/>
  <c r="AB42" i="35"/>
  <c r="AF42" i="35" s="1"/>
  <c r="AJ42" i="35" s="1"/>
  <c r="AP42" i="35" s="1"/>
  <c r="AB53" i="35"/>
  <c r="AF53" i="35" s="1"/>
  <c r="N21" i="35"/>
  <c r="AA53" i="35"/>
  <c r="AE53" i="35" s="1"/>
  <c r="M21" i="35"/>
  <c r="M26" i="9" s="1"/>
  <c r="N28" i="21"/>
  <c r="N12" i="21"/>
  <c r="N24" i="21"/>
  <c r="N25" i="21" s="1"/>
  <c r="AE35" i="35" l="1"/>
  <c r="AD122" i="90" s="1"/>
  <c r="AD124" i="90" s="1"/>
  <c r="Z122" i="90"/>
  <c r="Z124" i="90" s="1"/>
  <c r="AJ72" i="36"/>
  <c r="AI58" i="36"/>
  <c r="AI60" i="36" s="1"/>
  <c r="AI64" i="36"/>
  <c r="AI61" i="36"/>
  <c r="AI63" i="36" s="1"/>
  <c r="O70" i="36"/>
  <c r="M97" i="11"/>
  <c r="R12" i="21"/>
  <c r="V12" i="21"/>
  <c r="U7" i="21"/>
  <c r="AE26" i="35"/>
  <c r="AJ17" i="35"/>
  <c r="AF11" i="36"/>
  <c r="AI38" i="59" s="1"/>
  <c r="AF12" i="36"/>
  <c r="AI39" i="59" s="1"/>
  <c r="AE100" i="50"/>
  <c r="AG100" i="50" s="1"/>
  <c r="AI26" i="35"/>
  <c r="AF26" i="35"/>
  <c r="AO26" i="35"/>
  <c r="AP26" i="35"/>
  <c r="AJ26" i="35"/>
  <c r="V9" i="35"/>
  <c r="R11" i="35"/>
  <c r="AI100" i="50"/>
  <c r="AP18" i="35"/>
  <c r="AO18" i="15" s="1"/>
  <c r="AI18" i="15"/>
  <c r="AJ5" i="9"/>
  <c r="V35" i="35"/>
  <c r="U122" i="90" s="1"/>
  <c r="U124" i="90" s="1"/>
  <c r="U35" i="35"/>
  <c r="T122" i="90" s="1"/>
  <c r="T124" i="90" s="1"/>
  <c r="V5" i="9"/>
  <c r="V67" i="36"/>
  <c r="V70" i="36"/>
  <c r="W70" i="36" s="1"/>
  <c r="V72" i="36"/>
  <c r="V69" i="36"/>
  <c r="V16" i="36"/>
  <c r="Y54" i="59" s="1"/>
  <c r="V66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58" i="36" s="1"/>
  <c r="AO60" i="36" s="1"/>
  <c r="AH18" i="15"/>
  <c r="AI5" i="9"/>
  <c r="U34" i="35"/>
  <c r="Q36" i="35"/>
  <c r="Q48" i="35" s="1"/>
  <c r="U5" i="9"/>
  <c r="U64" i="36"/>
  <c r="U58" i="36"/>
  <c r="U60" i="36" s="1"/>
  <c r="U61" i="36"/>
  <c r="U63" i="36" s="1"/>
  <c r="BC70" i="36"/>
  <c r="AI35" i="35"/>
  <c r="AH122" i="90" s="1"/>
  <c r="AH124" i="90" s="1"/>
  <c r="AF9" i="35"/>
  <c r="AF8" i="6" s="1"/>
  <c r="AB8" i="6"/>
  <c r="AJ10" i="35"/>
  <c r="AF9" i="6"/>
  <c r="O139" i="50"/>
  <c r="AF35" i="35"/>
  <c r="AE122" i="90" s="1"/>
  <c r="AE124" i="90" s="1"/>
  <c r="AW26" i="35"/>
  <c r="BE26" i="35"/>
  <c r="AT42" i="35"/>
  <c r="AX42" i="35" s="1"/>
  <c r="BF42" i="35" s="1"/>
  <c r="AS26" i="35"/>
  <c r="AT26" i="35"/>
  <c r="AX24" i="35"/>
  <c r="AI53" i="35"/>
  <c r="AE21" i="35"/>
  <c r="AE26" i="9" s="1"/>
  <c r="AJ28" i="35"/>
  <c r="AI9" i="15" s="1"/>
  <c r="AE9" i="15"/>
  <c r="AF21" i="35"/>
  <c r="AF26" i="9" s="1"/>
  <c r="AJ53" i="35"/>
  <c r="AJ21" i="35" s="1"/>
  <c r="AI28" i="35"/>
  <c r="AH9" i="15" s="1"/>
  <c r="AD9" i="15"/>
  <c r="AI34" i="35"/>
  <c r="AM100" i="50" s="1"/>
  <c r="AM103" i="50" s="1"/>
  <c r="AM104" i="50" s="1"/>
  <c r="AE36" i="35"/>
  <c r="AE48" i="35" s="1"/>
  <c r="AE56" i="11"/>
  <c r="AI31" i="35"/>
  <c r="AI56" i="11" s="1"/>
  <c r="AF121" i="45"/>
  <c r="AI32" i="35"/>
  <c r="AJ121" i="45" s="1"/>
  <c r="AD18" i="15"/>
  <c r="AE58" i="36"/>
  <c r="AE60" i="36" s="1"/>
  <c r="AE61" i="36"/>
  <c r="AE63" i="36" s="1"/>
  <c r="AE64" i="36"/>
  <c r="AE5" i="9"/>
  <c r="AF5" i="9"/>
  <c r="AE18" i="15"/>
  <c r="AF72" i="36"/>
  <c r="N68" i="36"/>
  <c r="AB70" i="36"/>
  <c r="AC70" i="36" s="1"/>
  <c r="N71" i="36"/>
  <c r="AB11" i="35"/>
  <c r="AB10" i="6" s="1"/>
  <c r="M55" i="11"/>
  <c r="M58" i="11"/>
  <c r="AA56" i="11"/>
  <c r="N124" i="45"/>
  <c r="N120" i="45"/>
  <c r="N123" i="45"/>
  <c r="M79" i="11"/>
  <c r="P70" i="59" s="1"/>
  <c r="AB121" i="45"/>
  <c r="F26" i="9"/>
  <c r="AE103" i="50" l="1"/>
  <c r="AE104" i="50" s="1"/>
  <c r="AF120" i="45"/>
  <c r="AE55" i="11"/>
  <c r="AP17" i="35"/>
  <c r="AJ11" i="36"/>
  <c r="AM38" i="59" s="1"/>
  <c r="AJ12" i="36"/>
  <c r="AM39" i="59" s="1"/>
  <c r="U36" i="35"/>
  <c r="U48" i="35" s="1"/>
  <c r="AI103" i="50"/>
  <c r="AI104" i="50" s="1"/>
  <c r="AQ100" i="50"/>
  <c r="AQ103" i="50" s="1"/>
  <c r="AQ104" i="50" s="1"/>
  <c r="AN18" i="15"/>
  <c r="AO5" i="9"/>
  <c r="AO33" i="22" s="1"/>
  <c r="AS18" i="35"/>
  <c r="AW18" i="35" s="1"/>
  <c r="AO64" i="36"/>
  <c r="AO61" i="36"/>
  <c r="AO63" i="36" s="1"/>
  <c r="AT18" i="35"/>
  <c r="AX18" i="35" s="1"/>
  <c r="V71" i="36"/>
  <c r="AP5" i="9"/>
  <c r="AO132" i="26" s="1"/>
  <c r="AP72" i="36"/>
  <c r="AI33" i="22"/>
  <c r="AH132" i="26"/>
  <c r="AI132" i="26"/>
  <c r="AJ33" i="22"/>
  <c r="AJ78" i="9"/>
  <c r="AJ77" i="9"/>
  <c r="AJ79" i="9"/>
  <c r="AI97" i="11"/>
  <c r="AI55" i="11"/>
  <c r="T132" i="26"/>
  <c r="U33" i="22"/>
  <c r="U89" i="9"/>
  <c r="Y37" i="59"/>
  <c r="V13" i="36"/>
  <c r="Y40" i="59" s="1"/>
  <c r="V68" i="36"/>
  <c r="U132" i="26"/>
  <c r="V33" i="22"/>
  <c r="V77" i="9"/>
  <c r="V76" i="9"/>
  <c r="V73" i="9"/>
  <c r="V75" i="9"/>
  <c r="V78" i="9"/>
  <c r="V94" i="9"/>
  <c r="Y60" i="59"/>
  <c r="V89" i="9"/>
  <c r="V72" i="9"/>
  <c r="V74" i="9"/>
  <c r="V79" i="9"/>
  <c r="AJ124" i="45"/>
  <c r="AJ120" i="45"/>
  <c r="AK100" i="50"/>
  <c r="AK103" i="50" s="1"/>
  <c r="AK104" i="50" s="1"/>
  <c r="V8" i="6"/>
  <c r="V11" i="35"/>
  <c r="V10" i="6" s="1"/>
  <c r="AF11" i="35"/>
  <c r="AF10" i="6" s="1"/>
  <c r="AJ9" i="35"/>
  <c r="AJ8" i="6" s="1"/>
  <c r="AO35" i="35"/>
  <c r="AN122" i="90" s="1"/>
  <c r="AN124" i="90" s="1"/>
  <c r="AP10" i="35"/>
  <c r="AJ9" i="6"/>
  <c r="AC139" i="50"/>
  <c r="AJ35" i="35"/>
  <c r="AI122" i="90" s="1"/>
  <c r="AI124" i="90" s="1"/>
  <c r="AX26" i="35"/>
  <c r="BF24" i="35"/>
  <c r="AI36" i="35"/>
  <c r="AI48" i="35" s="1"/>
  <c r="AO48" i="35" s="1"/>
  <c r="AO34" i="35"/>
  <c r="AS100" i="50" s="1"/>
  <c r="AG103" i="50"/>
  <c r="AP28" i="35"/>
  <c r="AP53" i="35"/>
  <c r="AJ26" i="9"/>
  <c r="AO28" i="35"/>
  <c r="AO53" i="35"/>
  <c r="AI21" i="35"/>
  <c r="AI26" i="9" s="1"/>
  <c r="AO32" i="35"/>
  <c r="AO31" i="35"/>
  <c r="AE97" i="11"/>
  <c r="AF124" i="45"/>
  <c r="AM60" i="59"/>
  <c r="AF33" i="22"/>
  <c r="AE132" i="26"/>
  <c r="AF78" i="9"/>
  <c r="AF79" i="9"/>
  <c r="AI60" i="59"/>
  <c r="AF77" i="9"/>
  <c r="AE33" i="22"/>
  <c r="AD132" i="26"/>
  <c r="AA55" i="11"/>
  <c r="AA97" i="11"/>
  <c r="AB124" i="45"/>
  <c r="AB120" i="45"/>
  <c r="BL42" i="35"/>
  <c r="BL39" i="35"/>
  <c r="BF26" i="35" l="1"/>
  <c r="AO123" i="26"/>
  <c r="AO126" i="26"/>
  <c r="AO118" i="26"/>
  <c r="AO124" i="26"/>
  <c r="AO127" i="26"/>
  <c r="AO128" i="26"/>
  <c r="AO117" i="26"/>
  <c r="AO129" i="26"/>
  <c r="AO119" i="26"/>
  <c r="AO125" i="26"/>
  <c r="AO116" i="26"/>
  <c r="AO122" i="26"/>
  <c r="AO120" i="26"/>
  <c r="AO121" i="26"/>
  <c r="AW18" i="15"/>
  <c r="AT72" i="36"/>
  <c r="AS60" i="59"/>
  <c r="V19" i="36"/>
  <c r="Y57" i="59" s="1"/>
  <c r="AP33" i="22"/>
  <c r="AP12" i="36"/>
  <c r="AS39" i="59" s="1"/>
  <c r="AT17" i="35"/>
  <c r="AX17" i="35" s="1"/>
  <c r="AP11" i="36"/>
  <c r="AS38" i="59" s="1"/>
  <c r="AS103" i="50"/>
  <c r="AS104" i="50" s="1"/>
  <c r="AU100" i="50"/>
  <c r="AU103" i="50" s="1"/>
  <c r="AU104" i="50" s="1"/>
  <c r="AN132" i="26"/>
  <c r="AN121" i="26" s="1"/>
  <c r="AW64" i="36"/>
  <c r="AV18" i="15"/>
  <c r="AW5" i="9"/>
  <c r="AP78" i="9"/>
  <c r="AS64" i="36"/>
  <c r="AW61" i="36"/>
  <c r="AW63" i="36" s="1"/>
  <c r="BE18" i="35"/>
  <c r="AS61" i="36"/>
  <c r="AS63" i="36" s="1"/>
  <c r="AR18" i="15"/>
  <c r="AS58" i="36"/>
  <c r="AS60" i="36" s="1"/>
  <c r="AW58" i="36"/>
  <c r="AW60" i="36" s="1"/>
  <c r="AP79" i="9"/>
  <c r="AP77" i="9"/>
  <c r="AS5" i="9"/>
  <c r="AS33" i="22" s="1"/>
  <c r="AT5" i="9"/>
  <c r="AS18" i="15"/>
  <c r="AP9" i="35"/>
  <c r="AP8" i="6" s="1"/>
  <c r="AJ11" i="35"/>
  <c r="AJ10" i="6" s="1"/>
  <c r="AS35" i="35"/>
  <c r="AR122" i="90" s="1"/>
  <c r="AR124" i="90" s="1"/>
  <c r="AP9" i="6"/>
  <c r="AT10" i="35"/>
  <c r="AG139" i="50"/>
  <c r="AP35" i="35"/>
  <c r="AO122" i="90" s="1"/>
  <c r="AO124" i="90" s="1"/>
  <c r="AS31" i="35"/>
  <c r="AS56" i="11" s="1"/>
  <c r="AS34" i="35"/>
  <c r="AW100" i="50" s="1"/>
  <c r="AY100" i="50" s="1"/>
  <c r="AY103" i="50" s="1"/>
  <c r="AY104" i="50" s="1"/>
  <c r="AO36" i="35"/>
  <c r="AP121" i="45"/>
  <c r="AP120" i="45" s="1"/>
  <c r="AS32" i="35"/>
  <c r="AS53" i="35"/>
  <c r="AO21" i="35"/>
  <c r="AO26" i="9" s="1"/>
  <c r="AT53" i="35"/>
  <c r="AP21" i="35"/>
  <c r="AP26" i="9" s="1"/>
  <c r="AT28" i="35"/>
  <c r="AO9" i="15"/>
  <c r="AN9" i="15"/>
  <c r="AS28" i="35"/>
  <c r="AO56" i="11"/>
  <c r="BQ42" i="35"/>
  <c r="BN48" i="35"/>
  <c r="BN42" i="35"/>
  <c r="BN41" i="35"/>
  <c r="BN39" i="35"/>
  <c r="BM49" i="35"/>
  <c r="BO49" i="35"/>
  <c r="BP49" i="35"/>
  <c r="BL49" i="35"/>
  <c r="BE5" i="9" l="1"/>
  <c r="BD18" i="15"/>
  <c r="AX72" i="36"/>
  <c r="AX5" i="9"/>
  <c r="AX77" i="9" s="1"/>
  <c r="BF18" i="35"/>
  <c r="BE18" i="15" s="1"/>
  <c r="AN119" i="26"/>
  <c r="AN126" i="26"/>
  <c r="AN118" i="26"/>
  <c r="AN124" i="26"/>
  <c r="AN117" i="26"/>
  <c r="AN129" i="26"/>
  <c r="AN127" i="26"/>
  <c r="AN128" i="26"/>
  <c r="AN123" i="26"/>
  <c r="AN122" i="26"/>
  <c r="AN120" i="26"/>
  <c r="AN125" i="26"/>
  <c r="AO130" i="26"/>
  <c r="AN116" i="26"/>
  <c r="AW60" i="59"/>
  <c r="AP124" i="45"/>
  <c r="AT11" i="36"/>
  <c r="AW38" i="59" s="1"/>
  <c r="AT12" i="36"/>
  <c r="AW39" i="59" s="1"/>
  <c r="AW103" i="50"/>
  <c r="AW104" i="50" s="1"/>
  <c r="AW33" i="22"/>
  <c r="AV132" i="26"/>
  <c r="AR132" i="26"/>
  <c r="AR121" i="26" s="1"/>
  <c r="AX78" i="9"/>
  <c r="AX79" i="9"/>
  <c r="BA60" i="59"/>
  <c r="AT79" i="9"/>
  <c r="AS132" i="26"/>
  <c r="AS118" i="26" s="1"/>
  <c r="AT78" i="9"/>
  <c r="AT77" i="9"/>
  <c r="AT33" i="22"/>
  <c r="AP11" i="35"/>
  <c r="AP10" i="6" s="1"/>
  <c r="AT9" i="35"/>
  <c r="AT8" i="6" s="1"/>
  <c r="AK139" i="50"/>
  <c r="AW35" i="35"/>
  <c r="AV122" i="90" s="1"/>
  <c r="AV124" i="90" s="1"/>
  <c r="AX10" i="35"/>
  <c r="AX9" i="6" s="1"/>
  <c r="AT9" i="6"/>
  <c r="BE33" i="22"/>
  <c r="BD132" i="26"/>
  <c r="AT35" i="35"/>
  <c r="AS122" i="90" s="1"/>
  <c r="AS124" i="90" s="1"/>
  <c r="AS55" i="11"/>
  <c r="AS97" i="11"/>
  <c r="AW31" i="35"/>
  <c r="AS9" i="15"/>
  <c r="AX28" i="35"/>
  <c r="AW9" i="15" s="1"/>
  <c r="AT21" i="35"/>
  <c r="AT26" i="9" s="1"/>
  <c r="AX53" i="35"/>
  <c r="AS21" i="35"/>
  <c r="AS26" i="9" s="1"/>
  <c r="AW53" i="35"/>
  <c r="AS36" i="35"/>
  <c r="AS48" i="35" s="1"/>
  <c r="AW34" i="35"/>
  <c r="BA100" i="50" s="1"/>
  <c r="AR9" i="15"/>
  <c r="AW28" i="35"/>
  <c r="AV9" i="15" s="1"/>
  <c r="AT121" i="45"/>
  <c r="AT120" i="45" s="1"/>
  <c r="AW32" i="35"/>
  <c r="AO97" i="11"/>
  <c r="AO55" i="11"/>
  <c r="BN49" i="35"/>
  <c r="BL55" i="35" s="1"/>
  <c r="BJ55" i="35"/>
  <c r="BK55" i="35"/>
  <c r="BM55" i="35"/>
  <c r="AX33" i="22" l="1"/>
  <c r="BF5" i="9"/>
  <c r="BF78" i="9" s="1"/>
  <c r="BI60" i="59"/>
  <c r="BL78" i="9"/>
  <c r="BS78" i="9" s="1"/>
  <c r="BL77" i="9"/>
  <c r="BL79" i="9"/>
  <c r="BD123" i="26"/>
  <c r="BD122" i="26"/>
  <c r="BD116" i="26"/>
  <c r="BD126" i="26"/>
  <c r="BD118" i="26"/>
  <c r="BD129" i="26"/>
  <c r="BD119" i="26"/>
  <c r="BD124" i="26"/>
  <c r="BD125" i="26"/>
  <c r="BD127" i="26"/>
  <c r="BD121" i="26"/>
  <c r="BD128" i="26"/>
  <c r="BD120" i="26"/>
  <c r="BD117" i="26"/>
  <c r="BA103" i="50"/>
  <c r="BF33" i="22"/>
  <c r="BE132" i="26"/>
  <c r="AV121" i="26"/>
  <c r="AW132" i="26"/>
  <c r="AW118" i="26" s="1"/>
  <c r="BF79" i="9"/>
  <c r="AR124" i="26"/>
  <c r="AV124" i="26" s="1"/>
  <c r="BF77" i="9"/>
  <c r="AS122" i="26"/>
  <c r="AR119" i="26"/>
  <c r="AV119" i="26" s="1"/>
  <c r="AR122" i="26"/>
  <c r="AV122" i="26" s="1"/>
  <c r="AR129" i="26"/>
  <c r="AV129" i="26" s="1"/>
  <c r="AS123" i="26"/>
  <c r="AR123" i="26"/>
  <c r="AV123" i="26" s="1"/>
  <c r="AR126" i="26"/>
  <c r="AV126" i="26" s="1"/>
  <c r="AS124" i="26"/>
  <c r="AS129" i="26"/>
  <c r="AS126" i="26"/>
  <c r="AS119" i="26"/>
  <c r="AR116" i="26"/>
  <c r="AV116" i="26" s="1"/>
  <c r="AN130" i="26"/>
  <c r="AS121" i="26"/>
  <c r="AS128" i="26"/>
  <c r="AS120" i="26"/>
  <c r="AS127" i="26"/>
  <c r="AR127" i="26"/>
  <c r="AV127" i="26" s="1"/>
  <c r="AS116" i="26"/>
  <c r="AS117" i="26"/>
  <c r="AR117" i="26"/>
  <c r="AV117" i="26" s="1"/>
  <c r="AS125" i="26"/>
  <c r="AR125" i="26"/>
  <c r="AV125" i="26" s="1"/>
  <c r="AR128" i="26"/>
  <c r="AV128" i="26" s="1"/>
  <c r="AR118" i="26"/>
  <c r="AV118" i="26" s="1"/>
  <c r="AR120" i="26"/>
  <c r="AV120" i="26" s="1"/>
  <c r="AT124" i="45"/>
  <c r="BF17" i="35"/>
  <c r="AX11" i="36"/>
  <c r="BA38" i="59" s="1"/>
  <c r="AX12" i="36"/>
  <c r="BA39" i="59" s="1"/>
  <c r="BG100" i="50"/>
  <c r="BG103" i="50" s="1"/>
  <c r="BG104" i="50" s="1"/>
  <c r="AW56" i="11"/>
  <c r="BE32" i="35"/>
  <c r="BF121" i="45" s="1"/>
  <c r="AX121" i="45"/>
  <c r="AX120" i="45" s="1"/>
  <c r="AX9" i="35"/>
  <c r="AX8" i="6" s="1"/>
  <c r="AT11" i="35"/>
  <c r="AT10" i="6" s="1"/>
  <c r="BE35" i="35"/>
  <c r="BD122" i="90" s="1"/>
  <c r="BD124" i="90" s="1"/>
  <c r="BF10" i="35"/>
  <c r="BF9" i="6" s="1"/>
  <c r="BH9" i="6" s="1"/>
  <c r="BF28" i="35"/>
  <c r="AX35" i="35"/>
  <c r="AW122" i="90" s="1"/>
  <c r="AW124" i="90" s="1"/>
  <c r="AX21" i="35"/>
  <c r="AX26" i="9" s="1"/>
  <c r="BF53" i="35"/>
  <c r="BF21" i="35" s="1"/>
  <c r="AW21" i="35"/>
  <c r="AW26" i="9" s="1"/>
  <c r="BE53" i="35"/>
  <c r="BE21" i="35" s="1"/>
  <c r="BE26" i="9" s="1"/>
  <c r="BE31" i="35"/>
  <c r="BE28" i="35"/>
  <c r="BD9" i="15" s="1"/>
  <c r="AW36" i="35"/>
  <c r="AW48" i="35" s="1"/>
  <c r="BE48" i="35" s="1"/>
  <c r="BE34" i="35"/>
  <c r="N39" i="35"/>
  <c r="BF26" i="9" l="1"/>
  <c r="BE9" i="15"/>
  <c r="AW129" i="26"/>
  <c r="BF120" i="45"/>
  <c r="BD130" i="26"/>
  <c r="AW125" i="26"/>
  <c r="AW126" i="26"/>
  <c r="AW117" i="26"/>
  <c r="AW127" i="26"/>
  <c r="AW120" i="26"/>
  <c r="AW128" i="26"/>
  <c r="BS79" i="9"/>
  <c r="AW122" i="26"/>
  <c r="BS77" i="9"/>
  <c r="AW123" i="26"/>
  <c r="AW121" i="26"/>
  <c r="AW119" i="26"/>
  <c r="BA104" i="50"/>
  <c r="AW124" i="26"/>
  <c r="AV130" i="26"/>
  <c r="AW116" i="26"/>
  <c r="AS130" i="26"/>
  <c r="AR130" i="26"/>
  <c r="BF9" i="35"/>
  <c r="BF11" i="35" s="1"/>
  <c r="BF10" i="6" s="1"/>
  <c r="BH10" i="6" s="1"/>
  <c r="AW55" i="11"/>
  <c r="BE55" i="11" s="1"/>
  <c r="BF124" i="45"/>
  <c r="AW97" i="11"/>
  <c r="BF12" i="36"/>
  <c r="BI39" i="59" s="1"/>
  <c r="BF11" i="36"/>
  <c r="BI38" i="59" s="1"/>
  <c r="AX11" i="35"/>
  <c r="AX10" i="6" s="1"/>
  <c r="BE56" i="11"/>
  <c r="AX124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E130" i="26" l="1"/>
  <c r="AW130" i="26"/>
  <c r="BF8" i="6"/>
  <c r="BH8" i="6" s="1"/>
  <c r="BE97" i="11"/>
  <c r="H22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2" i="17"/>
  <c r="Q112" i="17" s="1"/>
  <c r="U112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H10" i="17"/>
  <c r="P10" i="17" s="1"/>
  <c r="T10" i="17" s="1"/>
  <c r="E12" i="17"/>
  <c r="G61" i="71" l="1"/>
  <c r="F56" i="11" l="1"/>
  <c r="F60" i="11" l="1"/>
  <c r="G119" i="50"/>
  <c r="F173" i="26"/>
  <c r="N79" i="11"/>
  <c r="Q70" i="59" s="1"/>
  <c r="N22" i="36"/>
  <c r="Q68" i="59" s="1"/>
  <c r="F31" i="35"/>
  <c r="F168" i="26"/>
  <c r="F97" i="11" l="1"/>
  <c r="K119" i="50"/>
  <c r="O119" i="50"/>
  <c r="G121" i="50"/>
  <c r="N31" i="35"/>
  <c r="R31" i="35" s="1"/>
  <c r="V31" i="35" s="1"/>
  <c r="F172" i="26"/>
  <c r="F165" i="26"/>
  <c r="S119" i="50" l="1"/>
  <c r="W119" i="50" s="1"/>
  <c r="AC119" i="50"/>
  <c r="AG119" i="50" s="1"/>
  <c r="AK119" i="50" s="1"/>
  <c r="AQ119" i="50" s="1"/>
  <c r="AB31" i="35"/>
  <c r="AF31" i="35" s="1"/>
  <c r="N97" i="11"/>
  <c r="AQ121" i="50" l="1"/>
  <c r="AU119" i="50"/>
  <c r="AJ31" i="35"/>
  <c r="K122" i="45"/>
  <c r="AU121" i="50" l="1"/>
  <c r="AY119" i="50"/>
  <c r="O4" i="61"/>
  <c r="O16" i="61" s="1"/>
  <c r="AP31" i="35"/>
  <c r="F79" i="11"/>
  <c r="AY121" i="50" l="1"/>
  <c r="BG119" i="50"/>
  <c r="AT31" i="35"/>
  <c r="J57" i="11"/>
  <c r="BG121" i="50" l="1"/>
  <c r="BH121" i="50" s="1"/>
  <c r="BH119" i="50"/>
  <c r="AX31" i="35"/>
  <c r="BF31" i="35" s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I117" i="90" s="1"/>
  <c r="J43" i="9"/>
  <c r="J44" i="9"/>
  <c r="J45" i="9"/>
  <c r="J159" i="9"/>
  <c r="J158" i="9"/>
  <c r="J157" i="9"/>
  <c r="A41" i="9" l="1"/>
  <c r="AA85" i="7" l="1"/>
  <c r="Y85" i="7"/>
  <c r="I85" i="7"/>
  <c r="E85" i="7"/>
  <c r="AA115" i="7"/>
  <c r="AA114" i="7"/>
  <c r="AA113" i="7"/>
  <c r="AA112" i="7"/>
  <c r="AA111" i="7"/>
  <c r="AA110" i="7"/>
  <c r="AA109" i="7"/>
  <c r="AA108" i="7"/>
  <c r="AA107" i="7"/>
  <c r="AA106" i="7"/>
  <c r="Y115" i="7"/>
  <c r="Y114" i="7"/>
  <c r="Y113" i="7"/>
  <c r="Y112" i="7"/>
  <c r="Y111" i="7"/>
  <c r="Y110" i="7"/>
  <c r="Y109" i="7"/>
  <c r="Y108" i="7"/>
  <c r="Y107" i="7"/>
  <c r="Y106" i="7"/>
  <c r="I115" i="7"/>
  <c r="I114" i="7"/>
  <c r="I113" i="7"/>
  <c r="I112" i="7"/>
  <c r="I111" i="7"/>
  <c r="I110" i="7"/>
  <c r="I109" i="7"/>
  <c r="I108" i="7"/>
  <c r="I107" i="7"/>
  <c r="I106" i="7"/>
  <c r="E115" i="7"/>
  <c r="E114" i="7"/>
  <c r="E113" i="7"/>
  <c r="E112" i="7"/>
  <c r="E111" i="7"/>
  <c r="E110" i="7"/>
  <c r="E109" i="7"/>
  <c r="E108" i="7"/>
  <c r="E107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18" i="73" l="1"/>
  <c r="Q118" i="73" l="1"/>
  <c r="U118" i="73" s="1"/>
  <c r="M133" i="73"/>
  <c r="AA118" i="73"/>
  <c r="I118" i="73"/>
  <c r="I133" i="73" s="1"/>
  <c r="Q133" i="73" l="1"/>
  <c r="U133" i="73" s="1"/>
  <c r="AA133" i="73"/>
  <c r="AE133" i="73" s="1"/>
  <c r="AI133" i="73" s="1"/>
  <c r="BE69" i="36"/>
  <c r="BE67" i="36"/>
  <c r="BE66" i="36"/>
  <c r="AA72" i="36"/>
  <c r="AA69" i="36"/>
  <c r="AA71" i="36" s="1"/>
  <c r="AA67" i="36"/>
  <c r="AA66" i="36"/>
  <c r="Y72" i="36"/>
  <c r="Y69" i="36"/>
  <c r="Y71" i="36" s="1"/>
  <c r="Y67" i="36"/>
  <c r="Y66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72" i="36"/>
  <c r="E69" i="36"/>
  <c r="E67" i="36"/>
  <c r="E59" i="36" s="1"/>
  <c r="E66" i="36"/>
  <c r="D68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BH54" i="59" l="1"/>
  <c r="I13" i="49"/>
  <c r="L6" i="59"/>
  <c r="BH79" i="59"/>
  <c r="BD7" i="15"/>
  <c r="BH78" i="59"/>
  <c r="BD6" i="15"/>
  <c r="BH77" i="59"/>
  <c r="BD5" i="15"/>
  <c r="BH6" i="59"/>
  <c r="BE13" i="49"/>
  <c r="D19" i="36"/>
  <c r="AY19" i="36" s="1"/>
  <c r="BB57" i="59" s="1"/>
  <c r="AE118" i="73"/>
  <c r="L5" i="15"/>
  <c r="P77" i="59"/>
  <c r="P6" i="59"/>
  <c r="L6" i="15"/>
  <c r="P78" i="59"/>
  <c r="L7" i="15"/>
  <c r="P79" i="59"/>
  <c r="Y68" i="36"/>
  <c r="AA68" i="36"/>
  <c r="BE68" i="36"/>
  <c r="AU19" i="36" l="1"/>
  <c r="AX57" i="59" s="1"/>
  <c r="AG19" i="36"/>
  <c r="AJ57" i="59" s="1"/>
  <c r="AQ19" i="36"/>
  <c r="AT57" i="59" s="1"/>
  <c r="AK19" i="36"/>
  <c r="AN57" i="59" s="1"/>
  <c r="O19" i="36"/>
  <c r="R57" i="59" s="1"/>
  <c r="AC19" i="36"/>
  <c r="AF57" i="59" s="1"/>
  <c r="W19" i="36"/>
  <c r="Z57" i="59" s="1"/>
  <c r="S19" i="36"/>
  <c r="V57" i="59" s="1"/>
  <c r="K19" i="36"/>
  <c r="N57" i="59" s="1"/>
  <c r="G19" i="36"/>
  <c r="J57" i="59" s="1"/>
  <c r="U19" i="36"/>
  <c r="X57" i="59" s="1"/>
  <c r="G57" i="59"/>
  <c r="BE19" i="36"/>
  <c r="BC19" i="36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I19" i="36"/>
  <c r="L57" i="59" s="1"/>
  <c r="E19" i="36"/>
  <c r="H57" i="59" s="1"/>
  <c r="AS19" i="36"/>
  <c r="AV57" i="59" s="1"/>
  <c r="BA19" i="36"/>
  <c r="Q19" i="36"/>
  <c r="AE19" i="36"/>
  <c r="AH57" i="59" s="1"/>
  <c r="AM19" i="36"/>
  <c r="AP57" i="59" s="1"/>
  <c r="AI118" i="73"/>
  <c r="J10" i="21"/>
  <c r="J6" i="21"/>
  <c r="J42" i="35"/>
  <c r="J43" i="35"/>
  <c r="BD57" i="59" l="1"/>
  <c r="BF57" i="59"/>
  <c r="BH57" i="59"/>
  <c r="AO118" i="73"/>
  <c r="AO133" i="73" s="1"/>
  <c r="AS118" i="73" l="1"/>
  <c r="AS133" i="73" s="1"/>
  <c r="AW118" i="73" l="1"/>
  <c r="L15" i="15"/>
  <c r="P15" i="15" s="1"/>
  <c r="L13" i="15"/>
  <c r="P13" i="15" s="1"/>
  <c r="H13" i="15"/>
  <c r="L12" i="15"/>
  <c r="P12" i="15" s="1"/>
  <c r="H12" i="15"/>
  <c r="I15" i="15"/>
  <c r="M15" i="15"/>
  <c r="Q15" i="15" s="1"/>
  <c r="L16" i="15"/>
  <c r="P16" i="15" s="1"/>
  <c r="H15" i="15"/>
  <c r="AW133" i="73" l="1"/>
  <c r="P17" i="15"/>
  <c r="BE118" i="73"/>
  <c r="BE133" i="73" s="1"/>
  <c r="T13" i="15"/>
  <c r="T12" i="15"/>
  <c r="Z12" i="15"/>
  <c r="AD12" i="15" s="1"/>
  <c r="T15" i="15"/>
  <c r="U15" i="15"/>
  <c r="Z15" i="15"/>
  <c r="AD15" i="15" s="1"/>
  <c r="D173" i="26"/>
  <c r="AH15" i="15" l="1"/>
  <c r="AN15" i="15" s="1"/>
  <c r="AR15" i="15" s="1"/>
  <c r="AH12" i="15"/>
  <c r="AN12" i="15" s="1"/>
  <c r="AR12" i="15" s="1"/>
  <c r="T16" i="15"/>
  <c r="Z16" i="15"/>
  <c r="AD16" i="15" s="1"/>
  <c r="D168" i="26"/>
  <c r="D165" i="26"/>
  <c r="D16" i="17"/>
  <c r="D117" i="17"/>
  <c r="D115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D122" i="17" l="1"/>
  <c r="E122" i="17"/>
  <c r="E45" i="17"/>
  <c r="AV12" i="15"/>
  <c r="BD12" i="15" s="1"/>
  <c r="AV15" i="15"/>
  <c r="BD15" i="15" s="1"/>
  <c r="AH16" i="15"/>
  <c r="AN16" i="15" s="1"/>
  <c r="AR16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7" i="15"/>
  <c r="D59" i="17"/>
  <c r="D60" i="17" s="1"/>
  <c r="E13" i="17"/>
  <c r="D22" i="17"/>
  <c r="D31" i="17" s="1"/>
  <c r="D172" i="26"/>
  <c r="D50" i="17"/>
  <c r="D114" i="17" s="1"/>
  <c r="E33" i="17"/>
  <c r="D119" i="17"/>
  <c r="D116" i="17"/>
  <c r="E30" i="17"/>
  <c r="E32" i="17"/>
  <c r="E34" i="17"/>
  <c r="E50" i="17"/>
  <c r="E116" i="17"/>
  <c r="E62" i="17"/>
  <c r="AI32" i="17" l="1"/>
  <c r="AI31" i="17"/>
  <c r="AI34" i="17"/>
  <c r="AI33" i="17"/>
  <c r="AV16" i="15"/>
  <c r="BD16" i="15" s="1"/>
  <c r="AV44" i="17"/>
  <c r="AS26" i="17"/>
  <c r="AI11" i="17"/>
  <c r="AI116" i="17"/>
  <c r="AE34" i="17"/>
  <c r="AO16" i="17"/>
  <c r="AE32" i="17"/>
  <c r="AE31" i="17"/>
  <c r="AN9" i="17"/>
  <c r="AE33" i="17"/>
  <c r="AO52" i="17"/>
  <c r="AO9" i="17"/>
  <c r="AE116" i="17"/>
  <c r="AE11" i="17"/>
  <c r="AN16" i="17"/>
  <c r="AR16" i="17" s="1"/>
  <c r="D62" i="17"/>
  <c r="E117" i="17"/>
  <c r="AA116" i="17"/>
  <c r="D34" i="17"/>
  <c r="D33" i="17"/>
  <c r="D32" i="17"/>
  <c r="E15" i="17"/>
  <c r="D118" i="17"/>
  <c r="D54" i="17"/>
  <c r="E54" i="17"/>
  <c r="E51" i="17"/>
  <c r="E114" i="17"/>
  <c r="E118" i="17" s="1"/>
  <c r="G122" i="45"/>
  <c r="BI122" i="45" s="1"/>
  <c r="F121" i="45"/>
  <c r="BH121" i="45" s="1"/>
  <c r="G157" i="45"/>
  <c r="G154" i="45"/>
  <c r="G148" i="45"/>
  <c r="G141" i="45"/>
  <c r="F141" i="45"/>
  <c r="G140" i="45"/>
  <c r="F140" i="45"/>
  <c r="G138" i="45"/>
  <c r="G136" i="45"/>
  <c r="F136" i="45"/>
  <c r="G134" i="45"/>
  <c r="F134" i="45"/>
  <c r="G131" i="45"/>
  <c r="F131" i="45"/>
  <c r="G139" i="45" l="1"/>
  <c r="AS16" i="17"/>
  <c r="AS31" i="17" s="1"/>
  <c r="AW16" i="17"/>
  <c r="BE16" i="17" s="1"/>
  <c r="AS34" i="17"/>
  <c r="AS32" i="17"/>
  <c r="AV16" i="17"/>
  <c r="BD16" i="17" s="1"/>
  <c r="AR9" i="17"/>
  <c r="AS9" i="17"/>
  <c r="AS52" i="17"/>
  <c r="O157" i="45"/>
  <c r="N131" i="45"/>
  <c r="G155" i="45"/>
  <c r="BD44" i="17"/>
  <c r="AW26" i="17"/>
  <c r="E115" i="17"/>
  <c r="E119" i="17" s="1"/>
  <c r="E55" i="17"/>
  <c r="AO34" i="17"/>
  <c r="AO32" i="17"/>
  <c r="AO31" i="17"/>
  <c r="AO116" i="17"/>
  <c r="AO11" i="17"/>
  <c r="AO33" i="17"/>
  <c r="F123" i="45"/>
  <c r="G124" i="45"/>
  <c r="G132" i="45"/>
  <c r="O131" i="45"/>
  <c r="F132" i="45"/>
  <c r="O138" i="45"/>
  <c r="O139" i="45" s="1"/>
  <c r="G120" i="45"/>
  <c r="G159" i="45"/>
  <c r="BI159" i="45" s="1"/>
  <c r="F120" i="45"/>
  <c r="BH120" i="45" s="1"/>
  <c r="F144" i="45"/>
  <c r="G149" i="45"/>
  <c r="F124" i="45"/>
  <c r="BH124" i="45" s="1"/>
  <c r="G150" i="45"/>
  <c r="BI150" i="45" s="1"/>
  <c r="AS33" i="17" l="1"/>
  <c r="AW33" i="17"/>
  <c r="AW31" i="17"/>
  <c r="AW34" i="17"/>
  <c r="AW32" i="17"/>
  <c r="AV9" i="17"/>
  <c r="AW52" i="17"/>
  <c r="AW9" i="17"/>
  <c r="AS116" i="17"/>
  <c r="AS11" i="17"/>
  <c r="G158" i="45"/>
  <c r="G160" i="45" s="1"/>
  <c r="BE26" i="17"/>
  <c r="BE33" i="17" s="1"/>
  <c r="BE34" i="17"/>
  <c r="BE31" i="17"/>
  <c r="BE32" i="17"/>
  <c r="O120" i="45"/>
  <c r="F32" i="35"/>
  <c r="G144" i="45"/>
  <c r="G125" i="45"/>
  <c r="E69" i="11"/>
  <c r="E56" i="11"/>
  <c r="F55" i="11"/>
  <c r="BD9" i="17" l="1"/>
  <c r="AW116" i="17"/>
  <c r="AW11" i="17"/>
  <c r="BE9" i="17"/>
  <c r="BE52" i="17"/>
  <c r="F23" i="36"/>
  <c r="E79" i="11"/>
  <c r="E97" i="11"/>
  <c r="N32" i="35"/>
  <c r="R32" i="35" s="1"/>
  <c r="V32" i="35" s="1"/>
  <c r="O123" i="45"/>
  <c r="O124" i="45"/>
  <c r="O125" i="45" s="1"/>
  <c r="F58" i="11"/>
  <c r="F22" i="36" s="1"/>
  <c r="E55" i="11"/>
  <c r="E58" i="11"/>
  <c r="BE11" i="17" l="1"/>
  <c r="BE116" i="17"/>
  <c r="AB32" i="35"/>
  <c r="AF32" i="35" s="1"/>
  <c r="N92" i="11"/>
  <c r="F91" i="11"/>
  <c r="F89" i="11"/>
  <c r="F90" i="11"/>
  <c r="F78" i="11"/>
  <c r="E78" i="11"/>
  <c r="F76" i="11"/>
  <c r="E76" i="11"/>
  <c r="F75" i="11"/>
  <c r="E75" i="11"/>
  <c r="F73" i="11"/>
  <c r="F71" i="11"/>
  <c r="E71" i="11"/>
  <c r="F69" i="11"/>
  <c r="F66" i="11"/>
  <c r="E66" i="11"/>
  <c r="F57" i="11"/>
  <c r="M66" i="11" l="1"/>
  <c r="M67" i="11" s="1"/>
  <c r="N73" i="11"/>
  <c r="N74" i="11" s="1"/>
  <c r="F74" i="11"/>
  <c r="AJ32" i="35"/>
  <c r="E67" i="11"/>
  <c r="F67" i="11"/>
  <c r="N66" i="11"/>
  <c r="N67" i="11" s="1"/>
  <c r="N85" i="11"/>
  <c r="N93" i="11"/>
  <c r="N94" i="11" s="1"/>
  <c r="F93" i="11"/>
  <c r="F84" i="11"/>
  <c r="F85" i="11"/>
  <c r="F92" i="11"/>
  <c r="AP32" i="35" l="1"/>
  <c r="AT32" i="35" s="1"/>
  <c r="F40" i="35"/>
  <c r="N40" i="35" s="1"/>
  <c r="R40" i="35" s="1"/>
  <c r="V40" i="35" s="1"/>
  <c r="G107" i="50"/>
  <c r="F94" i="11"/>
  <c r="F30" i="35"/>
  <c r="F203" i="10" s="1"/>
  <c r="F178" i="10"/>
  <c r="AX32" i="35" l="1"/>
  <c r="BF32" i="35" s="1"/>
  <c r="O107" i="50"/>
  <c r="K107" i="50"/>
  <c r="K109" i="50" s="1"/>
  <c r="N30" i="35"/>
  <c r="J40" i="35"/>
  <c r="G110" i="50"/>
  <c r="G109" i="50"/>
  <c r="AB40" i="35"/>
  <c r="AF40" i="35" s="1"/>
  <c r="AJ40" i="35" s="1"/>
  <c r="AP40" i="35" s="1"/>
  <c r="F21" i="36"/>
  <c r="E159" i="10"/>
  <c r="F190" i="10"/>
  <c r="F188" i="10"/>
  <c r="F182" i="10"/>
  <c r="F175" i="10"/>
  <c r="E175" i="10"/>
  <c r="F174" i="10"/>
  <c r="E174" i="10"/>
  <c r="F172" i="10"/>
  <c r="F170" i="10"/>
  <c r="E170" i="10"/>
  <c r="F168" i="10"/>
  <c r="E168" i="10"/>
  <c r="F165" i="10"/>
  <c r="N165" i="10" s="1"/>
  <c r="E165" i="10"/>
  <c r="F189" i="10" l="1"/>
  <c r="G117" i="50"/>
  <c r="F173" i="10"/>
  <c r="R30" i="35"/>
  <c r="R33" i="35" s="1"/>
  <c r="N203" i="10"/>
  <c r="N172" i="10"/>
  <c r="K110" i="50"/>
  <c r="K117" i="50" s="1"/>
  <c r="O110" i="50"/>
  <c r="O117" i="50" s="1"/>
  <c r="S107" i="50"/>
  <c r="AC107" i="50"/>
  <c r="O109" i="50"/>
  <c r="AT40" i="35"/>
  <c r="AX40" i="35" s="1"/>
  <c r="BF40" i="35" s="1"/>
  <c r="E161" i="10"/>
  <c r="AB30" i="35"/>
  <c r="AB203" i="10" s="1"/>
  <c r="R64" i="9"/>
  <c r="V64" i="9" s="1"/>
  <c r="R95" i="9"/>
  <c r="V95" i="9" s="1"/>
  <c r="V96" i="9" s="1"/>
  <c r="E166" i="10"/>
  <c r="F166" i="10"/>
  <c r="F192" i="10"/>
  <c r="BI192" i="10" s="1"/>
  <c r="E158" i="10"/>
  <c r="E210" i="10" s="1"/>
  <c r="F183" i="10"/>
  <c r="E178" i="10"/>
  <c r="F184" i="10"/>
  <c r="BI184" i="10" s="1"/>
  <c r="F191" i="10"/>
  <c r="BI191" i="10" s="1"/>
  <c r="V30" i="35" l="1"/>
  <c r="V33" i="35" s="1"/>
  <c r="AB172" i="10"/>
  <c r="N173" i="10"/>
  <c r="AC110" i="50"/>
  <c r="S110" i="50"/>
  <c r="AG107" i="50"/>
  <c r="AC109" i="50"/>
  <c r="W107" i="50"/>
  <c r="W109" i="50" s="1"/>
  <c r="S109" i="50"/>
  <c r="AF30" i="35"/>
  <c r="AF203" i="10" s="1"/>
  <c r="F193" i="10"/>
  <c r="BI193" i="10" s="1"/>
  <c r="N166" i="10"/>
  <c r="AF172" i="10" l="1"/>
  <c r="AB173" i="10"/>
  <c r="W110" i="50"/>
  <c r="W117" i="50" s="1"/>
  <c r="S117" i="50"/>
  <c r="AG110" i="50"/>
  <c r="AC117" i="50"/>
  <c r="AK107" i="50"/>
  <c r="AG109" i="50"/>
  <c r="AJ30" i="35"/>
  <c r="AF33" i="35"/>
  <c r="AP30" i="35" l="1"/>
  <c r="AJ203" i="10"/>
  <c r="AJ172" i="10"/>
  <c r="AF173" i="10"/>
  <c r="AK109" i="50"/>
  <c r="AQ107" i="50"/>
  <c r="AK110" i="50"/>
  <c r="AG117" i="50"/>
  <c r="AJ33" i="35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57" i="36" s="1"/>
  <c r="F10" i="9"/>
  <c r="F5" i="9"/>
  <c r="E132" i="26" s="1"/>
  <c r="E5" i="9"/>
  <c r="N21" i="8"/>
  <c r="R21" i="8" s="1"/>
  <c r="V21" i="8" s="1"/>
  <c r="F14" i="9" l="1"/>
  <c r="AT30" i="35"/>
  <c r="AT33" i="35" s="1"/>
  <c r="AP203" i="10"/>
  <c r="AP33" i="35"/>
  <c r="AJ173" i="10"/>
  <c r="AP172" i="10"/>
  <c r="E89" i="90"/>
  <c r="G133" i="50"/>
  <c r="AQ109" i="50"/>
  <c r="AU107" i="50"/>
  <c r="AK117" i="50"/>
  <c r="AQ110" i="50"/>
  <c r="R20" i="35"/>
  <c r="V20" i="35" s="1"/>
  <c r="AB20" i="35"/>
  <c r="AF20" i="35" s="1"/>
  <c r="I60" i="59"/>
  <c r="F96" i="9"/>
  <c r="E59" i="9"/>
  <c r="M59" i="9" s="1"/>
  <c r="E55" i="9"/>
  <c r="E61" i="9"/>
  <c r="M61" i="9" s="1"/>
  <c r="E56" i="9"/>
  <c r="M56" i="9" s="1"/>
  <c r="E58" i="9"/>
  <c r="M58" i="9" s="1"/>
  <c r="G101" i="50"/>
  <c r="BH101" i="50" s="1"/>
  <c r="F33" i="22"/>
  <c r="E33" i="22"/>
  <c r="D132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9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E68" i="9"/>
  <c r="E7" i="9"/>
  <c r="E66" i="9"/>
  <c r="E70" i="9"/>
  <c r="E63" i="9"/>
  <c r="AI89" i="90" l="1"/>
  <c r="BE89" i="90"/>
  <c r="M92" i="9"/>
  <c r="Q92" i="9" s="1"/>
  <c r="U92" i="9" s="1"/>
  <c r="U94" i="9" s="1"/>
  <c r="E93" i="9"/>
  <c r="AX30" i="35"/>
  <c r="AX33" i="35" s="1"/>
  <c r="AT203" i="10"/>
  <c r="AP173" i="10"/>
  <c r="AT172" i="10"/>
  <c r="E95" i="90"/>
  <c r="BE95" i="90" s="1"/>
  <c r="M89" i="90"/>
  <c r="I89" i="90"/>
  <c r="AA89" i="90"/>
  <c r="Q89" i="90"/>
  <c r="AE89" i="90"/>
  <c r="U89" i="90"/>
  <c r="AO89" i="90"/>
  <c r="AS89" i="90" s="1"/>
  <c r="AW89" i="90" s="1"/>
  <c r="U25" i="9"/>
  <c r="U88" i="9" s="1"/>
  <c r="O133" i="50"/>
  <c r="K133" i="50"/>
  <c r="AU109" i="50"/>
  <c r="AY107" i="50"/>
  <c r="AQ117" i="50"/>
  <c r="AU110" i="50"/>
  <c r="U93" i="9"/>
  <c r="R19" i="35"/>
  <c r="V19" i="35" s="1"/>
  <c r="AB19" i="35"/>
  <c r="AF19" i="35" s="1"/>
  <c r="G103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57" i="36"/>
  <c r="E57" i="9"/>
  <c r="M57" i="9" s="1"/>
  <c r="E60" i="9"/>
  <c r="M60" i="9" s="1"/>
  <c r="I58" i="9"/>
  <c r="I59" i="9"/>
  <c r="Q47" i="9"/>
  <c r="U47" i="9" s="1"/>
  <c r="K101" i="50"/>
  <c r="K103" i="50" s="1"/>
  <c r="O101" i="50"/>
  <c r="G134" i="50"/>
  <c r="E21" i="22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BF30" i="35" l="1"/>
  <c r="AX203" i="10"/>
  <c r="M21" i="22"/>
  <c r="E101" i="90"/>
  <c r="AI95" i="90"/>
  <c r="AX172" i="10"/>
  <c r="AT173" i="10"/>
  <c r="AA95" i="90"/>
  <c r="M95" i="90"/>
  <c r="M101" i="90" s="1"/>
  <c r="I95" i="90"/>
  <c r="I101" i="90" s="1"/>
  <c r="Q95" i="90"/>
  <c r="AE95" i="90"/>
  <c r="U95" i="90"/>
  <c r="AO95" i="90"/>
  <c r="E126" i="90"/>
  <c r="BE126" i="90" s="1"/>
  <c r="U85" i="9"/>
  <c r="U87" i="9"/>
  <c r="X61" i="59" s="1"/>
  <c r="U82" i="9"/>
  <c r="X62" i="59" s="1"/>
  <c r="U83" i="9"/>
  <c r="S133" i="50"/>
  <c r="W133" i="50" s="1"/>
  <c r="AC133" i="50"/>
  <c r="AG133" i="50" s="1"/>
  <c r="AK133" i="50" s="1"/>
  <c r="AQ133" i="50" s="1"/>
  <c r="AU133" i="50" s="1"/>
  <c r="AY133" i="50" s="1"/>
  <c r="BG133" i="50" s="1"/>
  <c r="BH133" i="50" s="1"/>
  <c r="AY109" i="50"/>
  <c r="BG107" i="50"/>
  <c r="BI108" i="50" s="1"/>
  <c r="AU117" i="50"/>
  <c r="AY110" i="50"/>
  <c r="K134" i="50"/>
  <c r="O134" i="50"/>
  <c r="U80" i="9"/>
  <c r="U81" i="9"/>
  <c r="U84" i="9"/>
  <c r="U53" i="9"/>
  <c r="U52" i="9"/>
  <c r="U86" i="9"/>
  <c r="V57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7" i="22"/>
  <c r="M15" i="22" s="1"/>
  <c r="E8" i="22"/>
  <c r="E62" i="9"/>
  <c r="M62" i="9" s="1"/>
  <c r="I57" i="9"/>
  <c r="Q58" i="9"/>
  <c r="U58" i="9" s="1"/>
  <c r="U75" i="9" s="1"/>
  <c r="F75" i="9"/>
  <c r="F73" i="9"/>
  <c r="F78" i="9"/>
  <c r="F72" i="9"/>
  <c r="F76" i="9"/>
  <c r="R57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101" i="50"/>
  <c r="O103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l="1"/>
  <c r="BG109" i="50"/>
  <c r="BH109" i="50" s="1"/>
  <c r="BH107" i="50"/>
  <c r="BF33" i="35"/>
  <c r="BF203" i="10"/>
  <c r="BI203" i="10" s="1"/>
  <c r="M8" i="22"/>
  <c r="M9" i="22" s="1"/>
  <c r="M17" i="22" s="1"/>
  <c r="M22" i="22"/>
  <c r="M23" i="22" s="1"/>
  <c r="E129" i="90"/>
  <c r="AI126" i="90"/>
  <c r="AX173" i="10"/>
  <c r="BF172" i="10"/>
  <c r="BI172" i="10" s="1"/>
  <c r="AS95" i="90"/>
  <c r="AA126" i="90"/>
  <c r="I126" i="90"/>
  <c r="I129" i="90" s="1"/>
  <c r="M126" i="90"/>
  <c r="M129" i="90" s="1"/>
  <c r="U126" i="90"/>
  <c r="Q126" i="90"/>
  <c r="AO126" i="90"/>
  <c r="AE126" i="90"/>
  <c r="AY117" i="50"/>
  <c r="BG110" i="50"/>
  <c r="S134" i="50"/>
  <c r="AC134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E24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71" i="7"/>
  <c r="BG117" i="50" l="1"/>
  <c r="BH117" i="50" s="1"/>
  <c r="BH110" i="50"/>
  <c r="BF173" i="10"/>
  <c r="M24" i="22"/>
  <c r="M30" i="22" s="1"/>
  <c r="M10" i="22"/>
  <c r="AW95" i="90"/>
  <c r="AS126" i="90"/>
  <c r="AX47" i="9"/>
  <c r="BF47" i="9" s="1"/>
  <c r="AX48" i="9"/>
  <c r="BF48" i="9" s="1"/>
  <c r="AG134" i="50"/>
  <c r="W134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E25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4" i="7"/>
  <c r="F138" i="7"/>
  <c r="F84" i="7"/>
  <c r="E84" i="7"/>
  <c r="F82" i="7"/>
  <c r="F75" i="7"/>
  <c r="E75" i="7"/>
  <c r="F71" i="7"/>
  <c r="E71" i="7"/>
  <c r="F67" i="7"/>
  <c r="E67" i="7"/>
  <c r="F41" i="7"/>
  <c r="E41" i="7"/>
  <c r="F135" i="6"/>
  <c r="F17" i="49"/>
  <c r="N17" i="49" s="1"/>
  <c r="F11" i="49"/>
  <c r="E11" i="49"/>
  <c r="I11" i="49" s="1"/>
  <c r="F9" i="49"/>
  <c r="F8" i="49"/>
  <c r="F304" i="28"/>
  <c r="F256" i="28"/>
  <c r="F236" i="28"/>
  <c r="F96" i="28"/>
  <c r="F95" i="28"/>
  <c r="F93" i="28"/>
  <c r="F89" i="28"/>
  <c r="F85" i="28"/>
  <c r="F81" i="28"/>
  <c r="F29" i="28"/>
  <c r="J29" i="28" s="1"/>
  <c r="N29" i="28" s="1"/>
  <c r="F21" i="28"/>
  <c r="J21" i="28" s="1"/>
  <c r="N21" i="28" s="1"/>
  <c r="F13" i="28"/>
  <c r="J13" i="28" s="1"/>
  <c r="N13" i="28" s="1"/>
  <c r="R29" i="28" l="1"/>
  <c r="V29" i="28" s="1"/>
  <c r="AB29" i="28"/>
  <c r="AF29" i="28" s="1"/>
  <c r="AJ29" i="28" s="1"/>
  <c r="AP29" i="28" s="1"/>
  <c r="AT29" i="28" s="1"/>
  <c r="AX29" i="28" s="1"/>
  <c r="BF29" i="28" s="1"/>
  <c r="AB13" i="28"/>
  <c r="AF13" i="28" s="1"/>
  <c r="AJ13" i="28" s="1"/>
  <c r="AP13" i="28" s="1"/>
  <c r="AT13" i="28" s="1"/>
  <c r="AX13" i="28" s="1"/>
  <c r="BF13" i="28" s="1"/>
  <c r="R13" i="28"/>
  <c r="V13" i="28" s="1"/>
  <c r="R21" i="28"/>
  <c r="V21" i="28" s="1"/>
  <c r="AB21" i="28"/>
  <c r="AF21" i="28" s="1"/>
  <c r="AJ21" i="28" s="1"/>
  <c r="AP21" i="28" s="1"/>
  <c r="AT21" i="28" s="1"/>
  <c r="AX21" i="28" s="1"/>
  <c r="BF21" i="28" s="1"/>
  <c r="E73" i="7"/>
  <c r="J256" i="28"/>
  <c r="N256" i="28" s="1"/>
  <c r="AB256" i="28" s="1"/>
  <c r="AF256" i="28" s="1"/>
  <c r="J81" i="28"/>
  <c r="N81" i="28" s="1"/>
  <c r="AB81" i="28" s="1"/>
  <c r="AF81" i="28" s="1"/>
  <c r="J304" i="28"/>
  <c r="N304" i="28" s="1"/>
  <c r="AB304" i="28" s="1"/>
  <c r="AF304" i="28" s="1"/>
  <c r="J89" i="28"/>
  <c r="N89" i="28" s="1"/>
  <c r="AB89" i="28" s="1"/>
  <c r="AF89" i="28" s="1"/>
  <c r="J93" i="28"/>
  <c r="N93" i="28" s="1"/>
  <c r="AB93" i="28" s="1"/>
  <c r="AF93" i="28" s="1"/>
  <c r="F73" i="7"/>
  <c r="J95" i="28"/>
  <c r="N95" i="28" s="1"/>
  <c r="R95" i="28" s="1"/>
  <c r="V95" i="28" s="1"/>
  <c r="J85" i="28"/>
  <c r="N85" i="28" s="1"/>
  <c r="AB85" i="28" s="1"/>
  <c r="AF85" i="28" s="1"/>
  <c r="J96" i="28"/>
  <c r="N96" i="28" s="1"/>
  <c r="J236" i="28"/>
  <c r="N236" i="28" s="1"/>
  <c r="AB236" i="28" s="1"/>
  <c r="AF236" i="28" s="1"/>
  <c r="M41" i="7"/>
  <c r="AA41" i="7" s="1"/>
  <c r="AE41" i="7" s="1"/>
  <c r="AI41" i="7" s="1"/>
  <c r="AI51" i="7" s="1"/>
  <c r="M25" i="22"/>
  <c r="M26" i="22" s="1"/>
  <c r="M11" i="22"/>
  <c r="M12" i="22" s="1"/>
  <c r="N113" i="7"/>
  <c r="N111" i="7"/>
  <c r="N110" i="7"/>
  <c r="N108" i="7"/>
  <c r="N107" i="7"/>
  <c r="E61" i="7"/>
  <c r="E102" i="7" s="1"/>
  <c r="E34" i="7"/>
  <c r="E97" i="7" s="1"/>
  <c r="F61" i="7"/>
  <c r="F102" i="7" s="1"/>
  <c r="F34" i="7"/>
  <c r="F97" i="7" s="1"/>
  <c r="AW126" i="90"/>
  <c r="AK134" i="50"/>
  <c r="AQ134" i="50" s="1"/>
  <c r="AU134" i="50" s="1"/>
  <c r="AY134" i="50" s="1"/>
  <c r="BG134" i="50" s="1"/>
  <c r="BH134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8" i="7"/>
  <c r="E62" i="7"/>
  <c r="E57" i="7"/>
  <c r="E60" i="7"/>
  <c r="E56" i="7"/>
  <c r="E96" i="7" s="1"/>
  <c r="E59" i="7"/>
  <c r="E55" i="7"/>
  <c r="E54" i="7"/>
  <c r="E37" i="7"/>
  <c r="E103" i="7" s="1"/>
  <c r="E33" i="7"/>
  <c r="E99" i="7" s="1"/>
  <c r="F27" i="7"/>
  <c r="F91" i="7" s="1"/>
  <c r="F33" i="7"/>
  <c r="F99" i="7" s="1"/>
  <c r="F510" i="28"/>
  <c r="E13" i="22"/>
  <c r="E30" i="7"/>
  <c r="E94" i="7" s="1"/>
  <c r="H34" i="59" s="1"/>
  <c r="E27" i="7"/>
  <c r="E91" i="7" s="1"/>
  <c r="AP49" i="9"/>
  <c r="F30" i="7"/>
  <c r="F94" i="7" s="1"/>
  <c r="I34" i="59" s="1"/>
  <c r="F56" i="7"/>
  <c r="F96" i="7" s="1"/>
  <c r="F57" i="7"/>
  <c r="F58" i="7"/>
  <c r="F59" i="7"/>
  <c r="F60" i="7"/>
  <c r="F62" i="7"/>
  <c r="F55" i="7"/>
  <c r="I297" i="28"/>
  <c r="M297" i="28"/>
  <c r="Q297" i="28" s="1"/>
  <c r="I298" i="28"/>
  <c r="M298" i="28"/>
  <c r="Q298" i="28" s="1"/>
  <c r="E27" i="22"/>
  <c r="F37" i="7"/>
  <c r="F103" i="7" s="1"/>
  <c r="F523" i="28"/>
  <c r="F522" i="28"/>
  <c r="F507" i="28"/>
  <c r="F511" i="28"/>
  <c r="F506" i="28"/>
  <c r="E29" i="7"/>
  <c r="E93" i="7" s="1"/>
  <c r="H33" i="59" s="1"/>
  <c r="E25" i="7"/>
  <c r="E31" i="7"/>
  <c r="E95" i="7" s="1"/>
  <c r="H35" i="59" s="1"/>
  <c r="E32" i="7"/>
  <c r="E98" i="7" s="1"/>
  <c r="E24" i="7"/>
  <c r="E36" i="7"/>
  <c r="E90" i="7" s="1"/>
  <c r="E23" i="7"/>
  <c r="E87" i="7" s="1"/>
  <c r="H29" i="59" s="1"/>
  <c r="E26" i="7"/>
  <c r="E28" i="7"/>
  <c r="E92" i="7" s="1"/>
  <c r="F515" i="28"/>
  <c r="F72" i="28"/>
  <c r="F503" i="28"/>
  <c r="F504" i="28"/>
  <c r="F505" i="28"/>
  <c r="F140" i="7"/>
  <c r="F146" i="7"/>
  <c r="J135" i="6"/>
  <c r="N135" i="6"/>
  <c r="AB135" i="6" s="1"/>
  <c r="AF135" i="6" s="1"/>
  <c r="F28" i="7"/>
  <c r="F92" i="7" s="1"/>
  <c r="F25" i="7"/>
  <c r="F31" i="7"/>
  <c r="F95" i="7" s="1"/>
  <c r="F36" i="7"/>
  <c r="F90" i="7" s="1"/>
  <c r="F24" i="7"/>
  <c r="F26" i="7"/>
  <c r="F32" i="7"/>
  <c r="F98" i="7" s="1"/>
  <c r="F29" i="7"/>
  <c r="F93" i="7" s="1"/>
  <c r="M6" i="21"/>
  <c r="I6" i="21"/>
  <c r="I135" i="6"/>
  <c r="M135" i="6"/>
  <c r="E29" i="28"/>
  <c r="E13" i="28"/>
  <c r="E21" i="28"/>
  <c r="F414" i="28"/>
  <c r="F83" i="7"/>
  <c r="F123" i="7"/>
  <c r="F54" i="7"/>
  <c r="E81" i="7"/>
  <c r="H28" i="59" s="1"/>
  <c r="E68" i="7"/>
  <c r="E76" i="7"/>
  <c r="E78" i="7"/>
  <c r="F51" i="7"/>
  <c r="F23" i="7"/>
  <c r="F87" i="7" s="1"/>
  <c r="F69" i="7"/>
  <c r="F76" i="7"/>
  <c r="F78" i="7"/>
  <c r="F81" i="7"/>
  <c r="F97" i="28"/>
  <c r="F74" i="28"/>
  <c r="F299" i="28"/>
  <c r="F69" i="28"/>
  <c r="F73" i="28"/>
  <c r="BQ37" i="28" l="1"/>
  <c r="J69" i="28"/>
  <c r="N69" i="28" s="1"/>
  <c r="N70" i="28" s="1"/>
  <c r="F70" i="28"/>
  <c r="R236" i="28"/>
  <c r="V236" i="28" s="1"/>
  <c r="R93" i="28"/>
  <c r="V93" i="28" s="1"/>
  <c r="AB69" i="28"/>
  <c r="R81" i="28"/>
  <c r="V81" i="28" s="1"/>
  <c r="R256" i="28"/>
  <c r="V256" i="28" s="1"/>
  <c r="R304" i="28"/>
  <c r="V304" i="28" s="1"/>
  <c r="R89" i="28"/>
  <c r="V89" i="28" s="1"/>
  <c r="AE51" i="7"/>
  <c r="J74" i="28"/>
  <c r="N74" i="28" s="1"/>
  <c r="AB74" i="28" s="1"/>
  <c r="AF74" i="28" s="1"/>
  <c r="AJ74" i="28" s="1"/>
  <c r="AP74" i="28" s="1"/>
  <c r="AT74" i="28" s="1"/>
  <c r="J510" i="28"/>
  <c r="N510" i="28" s="1"/>
  <c r="AB510" i="28" s="1"/>
  <c r="AF510" i="28" s="1"/>
  <c r="J511" i="28"/>
  <c r="N511" i="28" s="1"/>
  <c r="AB511" i="28" s="1"/>
  <c r="AF511" i="28" s="1"/>
  <c r="AB95" i="28"/>
  <c r="AF95" i="28" s="1"/>
  <c r="J414" i="28"/>
  <c r="N414" i="28" s="1"/>
  <c r="AB414" i="28" s="1"/>
  <c r="AF414" i="28" s="1"/>
  <c r="J515" i="28"/>
  <c r="N515" i="28" s="1"/>
  <c r="AB515" i="28" s="1"/>
  <c r="AF515" i="28" s="1"/>
  <c r="J507" i="28"/>
  <c r="N507" i="28" s="1"/>
  <c r="AB507" i="28" s="1"/>
  <c r="AF507" i="28" s="1"/>
  <c r="J522" i="28"/>
  <c r="N522" i="28" s="1"/>
  <c r="AB522" i="28" s="1"/>
  <c r="AF522" i="28" s="1"/>
  <c r="J504" i="28"/>
  <c r="N504" i="28" s="1"/>
  <c r="AB504" i="28" s="1"/>
  <c r="AF504" i="28" s="1"/>
  <c r="J97" i="28"/>
  <c r="N97" i="28" s="1"/>
  <c r="N98" i="28" s="1"/>
  <c r="J506" i="28"/>
  <c r="N506" i="28" s="1"/>
  <c r="R506" i="28" s="1"/>
  <c r="V506" i="28" s="1"/>
  <c r="J523" i="28"/>
  <c r="N523" i="28" s="1"/>
  <c r="AB523" i="28" s="1"/>
  <c r="AF523" i="28" s="1"/>
  <c r="BH523" i="28"/>
  <c r="M21" i="28"/>
  <c r="M29" i="28"/>
  <c r="R85" i="28"/>
  <c r="V85" i="28" s="1"/>
  <c r="J503" i="28"/>
  <c r="N503" i="28" s="1"/>
  <c r="AB503" i="28" s="1"/>
  <c r="AF503" i="28" s="1"/>
  <c r="J299" i="28"/>
  <c r="N299" i="28" s="1"/>
  <c r="AB299" i="28" s="1"/>
  <c r="AF299" i="28" s="1"/>
  <c r="J72" i="28"/>
  <c r="N72" i="28" s="1"/>
  <c r="AB72" i="28" s="1"/>
  <c r="AF72" i="28" s="1"/>
  <c r="J75" i="28"/>
  <c r="N75" i="28" s="1"/>
  <c r="AB75" i="28" s="1"/>
  <c r="AF75" i="28" s="1"/>
  <c r="J505" i="28"/>
  <c r="N505" i="28" s="1"/>
  <c r="R505" i="28" s="1"/>
  <c r="V505" i="28" s="1"/>
  <c r="J73" i="28"/>
  <c r="N73" i="28" s="1"/>
  <c r="R73" i="28" s="1"/>
  <c r="V73" i="28" s="1"/>
  <c r="M19" i="22"/>
  <c r="M27" i="22"/>
  <c r="M13" i="22"/>
  <c r="M14" i="22" s="1"/>
  <c r="E101" i="7"/>
  <c r="H32" i="59" s="1"/>
  <c r="AB96" i="28"/>
  <c r="R96" i="28"/>
  <c r="E88" i="7"/>
  <c r="H30" i="59" s="1"/>
  <c r="M12" i="21"/>
  <c r="M22" i="21" s="1"/>
  <c r="Q6" i="21"/>
  <c r="AJ85" i="28"/>
  <c r="AP85" i="28" s="1"/>
  <c r="AT85" i="28" s="1"/>
  <c r="AJ93" i="28"/>
  <c r="AP93" i="28" s="1"/>
  <c r="AJ89" i="28"/>
  <c r="AP89" i="28" s="1"/>
  <c r="AT89" i="28" s="1"/>
  <c r="E89" i="7"/>
  <c r="H31" i="59" s="1"/>
  <c r="AA297" i="28"/>
  <c r="AE297" i="28" s="1"/>
  <c r="AI297" i="28" s="1"/>
  <c r="AO297" i="28" s="1"/>
  <c r="AS297" i="28" s="1"/>
  <c r="U297" i="28"/>
  <c r="AA298" i="28"/>
  <c r="AE298" i="28" s="1"/>
  <c r="AI298" i="28" s="1"/>
  <c r="AO298" i="28" s="1"/>
  <c r="AS298" i="28" s="1"/>
  <c r="U298" i="28"/>
  <c r="J18" i="49"/>
  <c r="N18" i="49"/>
  <c r="AJ135" i="6"/>
  <c r="AO41" i="7"/>
  <c r="AT49" i="9"/>
  <c r="Q135" i="6"/>
  <c r="U135" i="6" s="1"/>
  <c r="AA135" i="6"/>
  <c r="AE135" i="6" s="1"/>
  <c r="AI135" i="6" s="1"/>
  <c r="M31" i="22"/>
  <c r="M29" i="22"/>
  <c r="R135" i="6"/>
  <c r="V135" i="6" s="1"/>
  <c r="F101" i="7"/>
  <c r="F89" i="7"/>
  <c r="F88" i="7"/>
  <c r="F517" i="28"/>
  <c r="F98" i="28"/>
  <c r="E73" i="28"/>
  <c r="I21" i="28"/>
  <c r="E72" i="28"/>
  <c r="I13" i="28"/>
  <c r="E414" i="28"/>
  <c r="I29" i="28"/>
  <c r="F516" i="28"/>
  <c r="F512" i="28"/>
  <c r="F513" i="28"/>
  <c r="F501" i="28"/>
  <c r="F508" i="28"/>
  <c r="F500" i="28"/>
  <c r="F509" i="28"/>
  <c r="E236" i="28"/>
  <c r="F124" i="7"/>
  <c r="F147" i="7"/>
  <c r="F141" i="7"/>
  <c r="F38" i="7"/>
  <c r="F53" i="7" s="1"/>
  <c r="F63" i="7" s="1"/>
  <c r="F495" i="28"/>
  <c r="E74" i="28"/>
  <c r="E299" i="28"/>
  <c r="F494" i="28"/>
  <c r="F76" i="28"/>
  <c r="R69" i="28" l="1"/>
  <c r="V69" i="28" s="1"/>
  <c r="AF69" i="28"/>
  <c r="AB70" i="28"/>
  <c r="R74" i="28"/>
  <c r="V74" i="28" s="1"/>
  <c r="R504" i="28"/>
  <c r="V504" i="28" s="1"/>
  <c r="R75" i="28"/>
  <c r="V75" i="28" s="1"/>
  <c r="AB73" i="28"/>
  <c r="AF73" i="28" s="1"/>
  <c r="AJ73" i="28" s="1"/>
  <c r="AP73" i="28" s="1"/>
  <c r="AT73" i="28" s="1"/>
  <c r="AX73" i="28" s="1"/>
  <c r="BF73" i="28" s="1"/>
  <c r="BH73" i="28" s="1"/>
  <c r="R511" i="28"/>
  <c r="V511" i="28" s="1"/>
  <c r="R523" i="28"/>
  <c r="V523" i="28" s="1"/>
  <c r="R299" i="28"/>
  <c r="V299" i="28" s="1"/>
  <c r="R414" i="28"/>
  <c r="V414" i="28" s="1"/>
  <c r="R510" i="28"/>
  <c r="V510" i="28" s="1"/>
  <c r="R522" i="28"/>
  <c r="V522" i="28" s="1"/>
  <c r="R515" i="28"/>
  <c r="V515" i="28" s="1"/>
  <c r="R507" i="28"/>
  <c r="V507" i="28" s="1"/>
  <c r="J500" i="28"/>
  <c r="N500" i="28" s="1"/>
  <c r="AB500" i="28" s="1"/>
  <c r="AF500" i="28" s="1"/>
  <c r="AB506" i="28"/>
  <c r="AF506" i="28" s="1"/>
  <c r="M74" i="28"/>
  <c r="AA74" i="28" s="1"/>
  <c r="AE74" i="28" s="1"/>
  <c r="AI74" i="28" s="1"/>
  <c r="AO74" i="28" s="1"/>
  <c r="AS74" i="28" s="1"/>
  <c r="AW74" i="28" s="1"/>
  <c r="BE74" i="28" s="1"/>
  <c r="BG74" i="28" s="1"/>
  <c r="J517" i="28"/>
  <c r="N517" i="28" s="1"/>
  <c r="AB517" i="28" s="1"/>
  <c r="AF517" i="28" s="1"/>
  <c r="J513" i="28"/>
  <c r="N513" i="28" s="1"/>
  <c r="R513" i="28" s="1"/>
  <c r="V513" i="28" s="1"/>
  <c r="J516" i="28"/>
  <c r="N516" i="28" s="1"/>
  <c r="AB516" i="28" s="1"/>
  <c r="AF516" i="28" s="1"/>
  <c r="R97" i="28"/>
  <c r="V97" i="28" s="1"/>
  <c r="R503" i="28"/>
  <c r="V503" i="28" s="1"/>
  <c r="J495" i="28"/>
  <c r="N495" i="28" s="1"/>
  <c r="AB495" i="28" s="1"/>
  <c r="AF495" i="28" s="1"/>
  <c r="AB97" i="28"/>
  <c r="AF97" i="28" s="1"/>
  <c r="AJ97" i="28" s="1"/>
  <c r="AP97" i="28" s="1"/>
  <c r="J98" i="28"/>
  <c r="J501" i="28"/>
  <c r="N501" i="28" s="1"/>
  <c r="AB501" i="28" s="1"/>
  <c r="AF501" i="28" s="1"/>
  <c r="M299" i="28"/>
  <c r="J512" i="28"/>
  <c r="N512" i="28" s="1"/>
  <c r="AB512" i="28" s="1"/>
  <c r="AF512" i="28" s="1"/>
  <c r="M414" i="28"/>
  <c r="AB505" i="28"/>
  <c r="AF505" i="28" s="1"/>
  <c r="J70" i="28"/>
  <c r="J76" i="28"/>
  <c r="N76" i="28" s="1"/>
  <c r="R76" i="28" s="1"/>
  <c r="V76" i="28" s="1"/>
  <c r="R72" i="28"/>
  <c r="V72" i="28" s="1"/>
  <c r="J508" i="28"/>
  <c r="N508" i="28" s="1"/>
  <c r="AB508" i="28" s="1"/>
  <c r="AF508" i="28" s="1"/>
  <c r="J494" i="28"/>
  <c r="N494" i="28" s="1"/>
  <c r="R494" i="28" s="1"/>
  <c r="V494" i="28" s="1"/>
  <c r="J509" i="28"/>
  <c r="N509" i="28" s="1"/>
  <c r="R509" i="28" s="1"/>
  <c r="V509" i="28" s="1"/>
  <c r="AF96" i="28"/>
  <c r="V96" i="28"/>
  <c r="U6" i="21"/>
  <c r="U12" i="21" s="1"/>
  <c r="U22" i="21" s="1"/>
  <c r="Q12" i="21"/>
  <c r="Q22" i="21" s="1"/>
  <c r="AX49" i="9"/>
  <c r="AW297" i="28"/>
  <c r="BE297" i="28" s="1"/>
  <c r="BG297" i="28" s="1"/>
  <c r="AW298" i="28"/>
  <c r="BE298" i="28" s="1"/>
  <c r="BG298" i="28" s="1"/>
  <c r="AX74" i="28"/>
  <c r="BF74" i="28" s="1"/>
  <c r="BH74" i="28" s="1"/>
  <c r="AX89" i="28"/>
  <c r="BF89" i="28" s="1"/>
  <c r="BH89" i="28" s="1"/>
  <c r="AX85" i="28"/>
  <c r="BF85" i="28" s="1"/>
  <c r="BH85" i="28" s="1"/>
  <c r="AJ515" i="28"/>
  <c r="R18" i="49"/>
  <c r="V18" i="49" s="1"/>
  <c r="AB18" i="49"/>
  <c r="AJ81" i="28"/>
  <c r="AP81" i="28" s="1"/>
  <c r="AT81" i="28" s="1"/>
  <c r="AJ75" i="28"/>
  <c r="AP75" i="28" s="1"/>
  <c r="AT75" i="28" s="1"/>
  <c r="AJ95" i="28"/>
  <c r="AP95" i="28" s="1"/>
  <c r="AT95" i="28" s="1"/>
  <c r="F126" i="7"/>
  <c r="AP135" i="6"/>
  <c r="AS41" i="7"/>
  <c r="AW41" i="7" s="1"/>
  <c r="AO51" i="7"/>
  <c r="AP515" i="28"/>
  <c r="AT93" i="28"/>
  <c r="AX93" i="28" s="1"/>
  <c r="AO135" i="6"/>
  <c r="I73" i="28"/>
  <c r="M73" i="28"/>
  <c r="AA73" i="28" s="1"/>
  <c r="AE73" i="28" s="1"/>
  <c r="AI73" i="28" s="1"/>
  <c r="AO73" i="28" s="1"/>
  <c r="AS73" i="28" s="1"/>
  <c r="I72" i="28"/>
  <c r="Q29" i="28"/>
  <c r="AJ299" i="28"/>
  <c r="AP299" i="28" s="1"/>
  <c r="AT299" i="28" s="1"/>
  <c r="Q21" i="28"/>
  <c r="E79" i="28"/>
  <c r="E83" i="28"/>
  <c r="E505" i="28"/>
  <c r="I236" i="28"/>
  <c r="E501" i="28"/>
  <c r="I299" i="28"/>
  <c r="E87" i="28"/>
  <c r="I74" i="28"/>
  <c r="E513" i="28"/>
  <c r="I414" i="28"/>
  <c r="F77" i="7"/>
  <c r="F125" i="7"/>
  <c r="E509" i="28"/>
  <c r="E51" i="7"/>
  <c r="AB98" i="28" l="1"/>
  <c r="V98" i="28"/>
  <c r="AB509" i="28"/>
  <c r="AF509" i="28" s="1"/>
  <c r="R98" i="28"/>
  <c r="AB513" i="28"/>
  <c r="AF513" i="28" s="1"/>
  <c r="AB76" i="28"/>
  <c r="AF76" i="28" s="1"/>
  <c r="R500" i="28"/>
  <c r="V500" i="28" s="1"/>
  <c r="R495" i="28"/>
  <c r="V495" i="28" s="1"/>
  <c r="R501" i="28"/>
  <c r="V501" i="28" s="1"/>
  <c r="AB494" i="28"/>
  <c r="AF494" i="28" s="1"/>
  <c r="R512" i="28"/>
  <c r="V512" i="28" s="1"/>
  <c r="R517" i="28"/>
  <c r="V517" i="28" s="1"/>
  <c r="R508" i="28"/>
  <c r="V508" i="28" s="1"/>
  <c r="R516" i="28"/>
  <c r="V516" i="28" s="1"/>
  <c r="AW51" i="7"/>
  <c r="AF70" i="28"/>
  <c r="AF98" i="28"/>
  <c r="AJ96" i="28"/>
  <c r="V70" i="28"/>
  <c r="R70" i="28"/>
  <c r="BF49" i="9"/>
  <c r="AX299" i="28"/>
  <c r="BF299" i="28" s="1"/>
  <c r="BH299" i="28" s="1"/>
  <c r="AX75" i="28"/>
  <c r="BF75" i="28" s="1"/>
  <c r="AX81" i="28"/>
  <c r="BF81" i="28" s="1"/>
  <c r="BH81" i="28" s="1"/>
  <c r="AX95" i="28"/>
  <c r="BF95" i="28" s="1"/>
  <c r="BH95" i="28" s="1"/>
  <c r="AW73" i="28"/>
  <c r="BE73" i="28" s="1"/>
  <c r="BG73" i="28" s="1"/>
  <c r="AJ69" i="28"/>
  <c r="AP69" i="28" s="1"/>
  <c r="AT69" i="28" s="1"/>
  <c r="AX69" i="28" s="1"/>
  <c r="BF69" i="28" s="1"/>
  <c r="BF70" i="28" s="1"/>
  <c r="F127" i="7"/>
  <c r="AA29" i="28"/>
  <c r="AE29" i="28" s="1"/>
  <c r="AI29" i="28" s="1"/>
  <c r="AO29" i="28" s="1"/>
  <c r="AS29" i="28" s="1"/>
  <c r="U29" i="28"/>
  <c r="AJ72" i="28"/>
  <c r="AP72" i="28" s="1"/>
  <c r="AT72" i="28" s="1"/>
  <c r="AA21" i="28"/>
  <c r="AE21" i="28" s="1"/>
  <c r="AI21" i="28" s="1"/>
  <c r="AO21" i="28" s="1"/>
  <c r="AS21" i="28" s="1"/>
  <c r="U21" i="28"/>
  <c r="AS51" i="7"/>
  <c r="AT515" i="28"/>
  <c r="AT97" i="28"/>
  <c r="AX97" i="28" s="1"/>
  <c r="AT135" i="6"/>
  <c r="AX135" i="6" s="1"/>
  <c r="AT500" i="28"/>
  <c r="AT508" i="28"/>
  <c r="AS135" i="6"/>
  <c r="AW135" i="6" s="1"/>
  <c r="AP500" i="28"/>
  <c r="AP508" i="28"/>
  <c r="AJ500" i="28"/>
  <c r="AJ508" i="28"/>
  <c r="I83" i="28"/>
  <c r="I507" i="28" s="1"/>
  <c r="M83" i="28"/>
  <c r="AA83" i="28" s="1"/>
  <c r="AE83" i="28" s="1"/>
  <c r="AI83" i="28" s="1"/>
  <c r="I79" i="28"/>
  <c r="I503" i="28" s="1"/>
  <c r="I87" i="28"/>
  <c r="I511" i="28" s="1"/>
  <c r="M87" i="28"/>
  <c r="AA87" i="28" s="1"/>
  <c r="AE87" i="28" s="1"/>
  <c r="AI87" i="28" s="1"/>
  <c r="AO87" i="28" s="1"/>
  <c r="Q73" i="28"/>
  <c r="U73" i="28" s="1"/>
  <c r="Q299" i="28"/>
  <c r="U299" i="28" s="1"/>
  <c r="Q74" i="28"/>
  <c r="U74" i="28" s="1"/>
  <c r="E503" i="28"/>
  <c r="E504" i="28"/>
  <c r="E507" i="28"/>
  <c r="E508" i="28"/>
  <c r="M501" i="28"/>
  <c r="E500" i="28"/>
  <c r="M509" i="28"/>
  <c r="I513" i="28"/>
  <c r="I505" i="28"/>
  <c r="E511" i="28"/>
  <c r="I501" i="28"/>
  <c r="I509" i="28"/>
  <c r="E512" i="28"/>
  <c r="N94" i="8"/>
  <c r="N17" i="8"/>
  <c r="N13" i="8"/>
  <c r="BH75" i="28" l="1"/>
  <c r="BE135" i="6"/>
  <c r="BG135" i="6" s="1"/>
  <c r="BF135" i="6"/>
  <c r="BH135" i="6" s="1"/>
  <c r="AP96" i="28"/>
  <c r="AJ98" i="28"/>
  <c r="AJ70" i="28"/>
  <c r="AX500" i="28"/>
  <c r="AX508" i="28"/>
  <c r="F128" i="7"/>
  <c r="BF508" i="28"/>
  <c r="BH508" i="28" s="1"/>
  <c r="BF500" i="28"/>
  <c r="BH500" i="28" s="1"/>
  <c r="AW21" i="28"/>
  <c r="BE21" i="28" s="1"/>
  <c r="BG21" i="28" s="1"/>
  <c r="AX72" i="28"/>
  <c r="BF72" i="28" s="1"/>
  <c r="BH72" i="28" s="1"/>
  <c r="AW29" i="28"/>
  <c r="BE29" i="28" s="1"/>
  <c r="BG29" i="28" s="1"/>
  <c r="AT511" i="28"/>
  <c r="AJ491" i="28"/>
  <c r="AP491" i="28" s="1"/>
  <c r="AT491" i="28" s="1"/>
  <c r="U509" i="28"/>
  <c r="U501" i="28"/>
  <c r="AX515" i="28"/>
  <c r="BF93" i="28"/>
  <c r="BE41" i="7"/>
  <c r="AO511" i="28"/>
  <c r="AS87" i="28"/>
  <c r="AP501" i="28"/>
  <c r="AT503" i="28"/>
  <c r="AP503" i="28"/>
  <c r="AP507" i="28"/>
  <c r="AP509" i="28"/>
  <c r="AI507" i="28"/>
  <c r="AO83" i="28"/>
  <c r="AS83" i="28" s="1"/>
  <c r="AJ509" i="28"/>
  <c r="AJ507" i="28"/>
  <c r="AJ501" i="28"/>
  <c r="AJ503" i="28"/>
  <c r="AI511" i="28"/>
  <c r="AJ236" i="28"/>
  <c r="I512" i="28"/>
  <c r="Q83" i="28"/>
  <c r="AE507" i="28"/>
  <c r="AE511" i="28"/>
  <c r="Q87" i="28"/>
  <c r="M500" i="28"/>
  <c r="I508" i="28"/>
  <c r="I504" i="28"/>
  <c r="I500" i="28"/>
  <c r="M508" i="28"/>
  <c r="M507" i="28"/>
  <c r="Q501" i="28"/>
  <c r="Q509" i="28"/>
  <c r="M513" i="28"/>
  <c r="Q414" i="28"/>
  <c r="U414" i="28" s="1"/>
  <c r="U513" i="28" s="1"/>
  <c r="M512" i="28"/>
  <c r="M511" i="28"/>
  <c r="R94" i="8"/>
  <c r="V94" i="8" s="1"/>
  <c r="R15" i="8"/>
  <c r="V15" i="8" s="1"/>
  <c r="R14" i="8"/>
  <c r="V14" i="8" s="1"/>
  <c r="R13" i="8"/>
  <c r="V13" i="8" s="1"/>
  <c r="R17" i="8"/>
  <c r="V17" i="8" s="1"/>
  <c r="F121" i="7"/>
  <c r="F129" i="7"/>
  <c r="H72" i="59"/>
  <c r="H68" i="59"/>
  <c r="H64" i="59"/>
  <c r="E173" i="73"/>
  <c r="E160" i="73"/>
  <c r="M160" i="73" s="1"/>
  <c r="Q160" i="73" s="1"/>
  <c r="E109" i="73"/>
  <c r="M98" i="73"/>
  <c r="E46" i="73"/>
  <c r="M46" i="73" s="1"/>
  <c r="E41" i="73"/>
  <c r="M41" i="73" s="1"/>
  <c r="E30" i="73"/>
  <c r="E25" i="73"/>
  <c r="E114" i="73" l="1"/>
  <c r="BF515" i="28"/>
  <c r="BH515" i="28" s="1"/>
  <c r="BH93" i="28"/>
  <c r="BF503" i="28"/>
  <c r="BH503" i="28" s="1"/>
  <c r="BH13" i="28"/>
  <c r="BE51" i="7"/>
  <c r="BG51" i="7" s="1"/>
  <c r="BG41" i="7"/>
  <c r="M30" i="73"/>
  <c r="Q30" i="73" s="1"/>
  <c r="U30" i="73" s="1"/>
  <c r="AP70" i="28"/>
  <c r="AT96" i="28"/>
  <c r="AP98" i="28"/>
  <c r="Q46" i="73"/>
  <c r="U46" i="73" s="1"/>
  <c r="Q98" i="73"/>
  <c r="U98" i="73" s="1"/>
  <c r="Q41" i="73"/>
  <c r="U41" i="73" s="1"/>
  <c r="AJ511" i="28"/>
  <c r="AX503" i="28"/>
  <c r="AX491" i="28"/>
  <c r="BF491" i="28" s="1"/>
  <c r="BH491" i="28" s="1"/>
  <c r="AW83" i="28"/>
  <c r="BE83" i="28" s="1"/>
  <c r="AX507" i="28"/>
  <c r="AX511" i="28"/>
  <c r="AW87" i="28"/>
  <c r="BE87" i="28" s="1"/>
  <c r="AP511" i="28"/>
  <c r="AJ516" i="28"/>
  <c r="AT516" i="28"/>
  <c r="AT517" i="28"/>
  <c r="AJ495" i="28"/>
  <c r="AP495" i="28"/>
  <c r="AP494" i="28"/>
  <c r="AJ517" i="28"/>
  <c r="AT494" i="28"/>
  <c r="AJ494" i="28"/>
  <c r="AT495" i="28"/>
  <c r="AP517" i="28"/>
  <c r="AP516" i="28"/>
  <c r="V16" i="8"/>
  <c r="Y511" i="28"/>
  <c r="U87" i="28"/>
  <c r="Q508" i="28"/>
  <c r="U83" i="28"/>
  <c r="AA160" i="73"/>
  <c r="AA41" i="73"/>
  <c r="AA46" i="73"/>
  <c r="AA98" i="73"/>
  <c r="BF97" i="28"/>
  <c r="BH97" i="28" s="1"/>
  <c r="AS511" i="28"/>
  <c r="AS507" i="28"/>
  <c r="AT507" i="28"/>
  <c r="AT509" i="28"/>
  <c r="AT501" i="28"/>
  <c r="AJ504" i="28"/>
  <c r="AP236" i="28"/>
  <c r="AT236" i="28" s="1"/>
  <c r="AO507" i="28"/>
  <c r="AJ505" i="28"/>
  <c r="AJ76" i="28"/>
  <c r="Q511" i="28"/>
  <c r="Q500" i="28"/>
  <c r="Q507" i="28"/>
  <c r="Y501" i="28"/>
  <c r="Y500" i="28"/>
  <c r="Y509" i="28"/>
  <c r="AA299" i="28"/>
  <c r="AE299" i="28" s="1"/>
  <c r="AI299" i="28" s="1"/>
  <c r="AO299" i="28" s="1"/>
  <c r="AS299" i="28" s="1"/>
  <c r="AW299" i="28" s="1"/>
  <c r="AA511" i="28"/>
  <c r="Y504" i="28"/>
  <c r="Y503" i="28"/>
  <c r="Y508" i="28"/>
  <c r="AA507" i="28"/>
  <c r="Y507" i="28"/>
  <c r="M171" i="73"/>
  <c r="Q513" i="28"/>
  <c r="Q512" i="28"/>
  <c r="E12" i="15"/>
  <c r="M109" i="73"/>
  <c r="E171" i="73"/>
  <c r="M25" i="73"/>
  <c r="M173" i="73"/>
  <c r="Q173" i="73" s="1"/>
  <c r="U173" i="73" s="1"/>
  <c r="I103" i="73"/>
  <c r="I102" i="73" s="1"/>
  <c r="I109" i="73"/>
  <c r="I25" i="73"/>
  <c r="I30" i="73"/>
  <c r="I98" i="73"/>
  <c r="I41" i="73"/>
  <c r="I160" i="73"/>
  <c r="I171" i="73" s="1"/>
  <c r="I46" i="73"/>
  <c r="R16" i="8"/>
  <c r="R62" i="8"/>
  <c r="V62" i="8" s="1"/>
  <c r="N57" i="8"/>
  <c r="N69" i="8" s="1"/>
  <c r="R68" i="8"/>
  <c r="V68" i="8" s="1"/>
  <c r="N55" i="8"/>
  <c r="N65" i="8" s="1"/>
  <c r="R64" i="8"/>
  <c r="V64" i="8" s="1"/>
  <c r="N54" i="8"/>
  <c r="R58" i="8"/>
  <c r="V58" i="8" s="1"/>
  <c r="I173" i="73"/>
  <c r="F10" i="49"/>
  <c r="N10" i="49" s="1"/>
  <c r="R10" i="49" s="1"/>
  <c r="V10" i="49" s="1"/>
  <c r="F131" i="7"/>
  <c r="F130" i="7"/>
  <c r="E13" i="15" l="1"/>
  <c r="E14" i="15" s="1"/>
  <c r="I114" i="73"/>
  <c r="M114" i="73"/>
  <c r="BE507" i="28"/>
  <c r="BG507" i="28" s="1"/>
  <c r="BG83" i="28"/>
  <c r="BE511" i="28"/>
  <c r="BG511" i="28" s="1"/>
  <c r="BG87" i="28"/>
  <c r="AA30" i="73"/>
  <c r="AE30" i="73" s="1"/>
  <c r="AX96" i="28"/>
  <c r="AT98" i="28"/>
  <c r="AT70" i="28"/>
  <c r="AA171" i="73"/>
  <c r="Q171" i="73"/>
  <c r="U171" i="73" s="1"/>
  <c r="Q109" i="73"/>
  <c r="U109" i="73" s="1"/>
  <c r="Q25" i="73"/>
  <c r="U25" i="73" s="1"/>
  <c r="AW511" i="28"/>
  <c r="AX494" i="28"/>
  <c r="AX516" i="28"/>
  <c r="AX495" i="28"/>
  <c r="AX517" i="28"/>
  <c r="AX501" i="28"/>
  <c r="AW507" i="28"/>
  <c r="BF494" i="28"/>
  <c r="BH494" i="28" s="1"/>
  <c r="BF516" i="28"/>
  <c r="BH516" i="28" s="1"/>
  <c r="BF517" i="28"/>
  <c r="BH517" i="28" s="1"/>
  <c r="BF495" i="28"/>
  <c r="BH495" i="28" s="1"/>
  <c r="AX509" i="28"/>
  <c r="BH21" i="28"/>
  <c r="AX236" i="28"/>
  <c r="BF236" i="28" s="1"/>
  <c r="BH236" i="28" s="1"/>
  <c r="U160" i="73"/>
  <c r="AA173" i="73"/>
  <c r="AE173" i="73" s="1"/>
  <c r="AI173" i="73" s="1"/>
  <c r="U508" i="28"/>
  <c r="U500" i="28"/>
  <c r="U507" i="28"/>
  <c r="U512" i="28"/>
  <c r="U511" i="28"/>
  <c r="AA25" i="73"/>
  <c r="F12" i="49"/>
  <c r="J10" i="49"/>
  <c r="F132" i="7"/>
  <c r="AA109" i="73"/>
  <c r="AE109" i="73" s="1"/>
  <c r="AS508" i="28"/>
  <c r="BE299" i="28"/>
  <c r="BG299" i="28" s="1"/>
  <c r="AS501" i="28"/>
  <c r="AS500" i="28"/>
  <c r="AS509" i="28"/>
  <c r="AT504" i="28"/>
  <c r="AT505" i="28"/>
  <c r="AP76" i="28"/>
  <c r="AP504" i="28"/>
  <c r="AP505" i="28"/>
  <c r="AO501" i="28"/>
  <c r="AO500" i="28"/>
  <c r="AO509" i="28"/>
  <c r="AO508" i="28"/>
  <c r="AJ490" i="28"/>
  <c r="AI501" i="28"/>
  <c r="AI500" i="28"/>
  <c r="AI509" i="28"/>
  <c r="AI508" i="28"/>
  <c r="AE160" i="73"/>
  <c r="AI160" i="73" s="1"/>
  <c r="AE501" i="28"/>
  <c r="AE500" i="28"/>
  <c r="AE509" i="28"/>
  <c r="AE508" i="28"/>
  <c r="Y513" i="28"/>
  <c r="AA414" i="28"/>
  <c r="AE414" i="28" s="1"/>
  <c r="AI414" i="28" s="1"/>
  <c r="AO414" i="28" s="1"/>
  <c r="AS414" i="28" s="1"/>
  <c r="Y512" i="28"/>
  <c r="Y505" i="28"/>
  <c r="AA508" i="28"/>
  <c r="AA501" i="28"/>
  <c r="AA500" i="28"/>
  <c r="AA509" i="28"/>
  <c r="R65" i="8"/>
  <c r="V65" i="8" s="1"/>
  <c r="V72" i="8" s="1"/>
  <c r="N61" i="8"/>
  <c r="N59" i="8"/>
  <c r="R69" i="8"/>
  <c r="V69" i="8" s="1"/>
  <c r="V74" i="8" s="1"/>
  <c r="AE103" i="73"/>
  <c r="AI103" i="73" s="1"/>
  <c r="AE98" i="73"/>
  <c r="AE51" i="73"/>
  <c r="AE46" i="73"/>
  <c r="AI46" i="73" s="1"/>
  <c r="AE57" i="73"/>
  <c r="AE41" i="73"/>
  <c r="R35" i="8"/>
  <c r="V35" i="8" s="1"/>
  <c r="R34" i="8"/>
  <c r="V34" i="8" s="1"/>
  <c r="R55" i="8"/>
  <c r="V55" i="8" s="1"/>
  <c r="R36" i="8"/>
  <c r="V36" i="8" s="1"/>
  <c r="R54" i="8"/>
  <c r="V54" i="8" s="1"/>
  <c r="R57" i="8"/>
  <c r="V57" i="8" s="1"/>
  <c r="M16" i="15"/>
  <c r="Q16" i="15" s="1"/>
  <c r="Q17" i="15" s="1"/>
  <c r="AA114" i="73" l="1"/>
  <c r="BF511" i="28"/>
  <c r="BH511" i="28" s="1"/>
  <c r="BH29" i="28"/>
  <c r="AI41" i="73"/>
  <c r="AO41" i="73" s="1"/>
  <c r="AS41" i="73" s="1"/>
  <c r="AW41" i="73" s="1"/>
  <c r="AI57" i="73"/>
  <c r="AO57" i="73" s="1"/>
  <c r="AS57" i="73" s="1"/>
  <c r="AW57" i="73" s="1"/>
  <c r="AI51" i="73"/>
  <c r="AO51" i="73" s="1"/>
  <c r="AS51" i="73" s="1"/>
  <c r="AW51" i="73" s="1"/>
  <c r="AI98" i="73"/>
  <c r="AO98" i="73" s="1"/>
  <c r="AS98" i="73" s="1"/>
  <c r="AW98" i="73" s="1"/>
  <c r="AI30" i="73"/>
  <c r="AO30" i="73" s="1"/>
  <c r="AS30" i="73" s="1"/>
  <c r="AW30" i="73" s="1"/>
  <c r="AI109" i="73"/>
  <c r="AX70" i="28"/>
  <c r="BF96" i="28"/>
  <c r="AX98" i="28"/>
  <c r="Q114" i="73"/>
  <c r="U114" i="73" s="1"/>
  <c r="AX505" i="28"/>
  <c r="AX504" i="28"/>
  <c r="BF505" i="28"/>
  <c r="BH505" i="28" s="1"/>
  <c r="BF504" i="28"/>
  <c r="BH504" i="28" s="1"/>
  <c r="BF501" i="28"/>
  <c r="BH501" i="28" s="1"/>
  <c r="BF507" i="28"/>
  <c r="BH507" i="28" s="1"/>
  <c r="BF509" i="28"/>
  <c r="BH509" i="28" s="1"/>
  <c r="AW414" i="28"/>
  <c r="BE414" i="28" s="1"/>
  <c r="BG414" i="28" s="1"/>
  <c r="AO46" i="73"/>
  <c r="AS46" i="73" s="1"/>
  <c r="F133" i="7"/>
  <c r="J12" i="49"/>
  <c r="N12" i="49"/>
  <c r="R12" i="49" s="1"/>
  <c r="V12" i="49" s="1"/>
  <c r="R61" i="8"/>
  <c r="V61" i="8" s="1"/>
  <c r="BE501" i="28"/>
  <c r="BG501" i="28" s="1"/>
  <c r="BE500" i="28"/>
  <c r="BG500" i="28" s="1"/>
  <c r="BE509" i="28"/>
  <c r="BG509" i="28" s="1"/>
  <c r="BE508" i="28"/>
  <c r="BG508" i="28" s="1"/>
  <c r="AW509" i="28"/>
  <c r="AW500" i="28"/>
  <c r="AW501" i="28"/>
  <c r="AW508" i="28"/>
  <c r="AS513" i="28"/>
  <c r="AS512" i="28"/>
  <c r="AT76" i="28"/>
  <c r="AO513" i="28"/>
  <c r="AO512" i="28"/>
  <c r="AJ522" i="28"/>
  <c r="AP490" i="28"/>
  <c r="AE25" i="73"/>
  <c r="AO173" i="73"/>
  <c r="AS173" i="73" s="1"/>
  <c r="AE102" i="73"/>
  <c r="AI102" i="73" s="1"/>
  <c r="AE171" i="73"/>
  <c r="AI171" i="73" s="1"/>
  <c r="AJ256" i="28"/>
  <c r="AJ304" i="28"/>
  <c r="AJ510" i="28" s="1"/>
  <c r="AI513" i="28"/>
  <c r="AI512" i="28"/>
  <c r="AE513" i="28"/>
  <c r="AE512" i="28"/>
  <c r="R72" i="8"/>
  <c r="AA513" i="28"/>
  <c r="AA512" i="28"/>
  <c r="N63" i="8"/>
  <c r="R63" i="8" s="1"/>
  <c r="V63" i="8" s="1"/>
  <c r="R59" i="8"/>
  <c r="V59" i="8" s="1"/>
  <c r="R74" i="8"/>
  <c r="M17" i="15"/>
  <c r="I16" i="15"/>
  <c r="I17" i="15" s="1"/>
  <c r="AI25" i="73" l="1"/>
  <c r="AI114" i="73" s="1"/>
  <c r="AE114" i="73"/>
  <c r="BH69" i="28"/>
  <c r="BF98" i="28"/>
  <c r="BH96" i="28"/>
  <c r="BE98" i="73"/>
  <c r="BE51" i="73"/>
  <c r="BE57" i="73"/>
  <c r="BE41" i="73"/>
  <c r="AO109" i="73"/>
  <c r="AS109" i="73" s="1"/>
  <c r="AW109" i="73" s="1"/>
  <c r="AW46" i="73"/>
  <c r="AW173" i="73"/>
  <c r="BE30" i="73"/>
  <c r="AX76" i="28"/>
  <c r="BF76" i="28" s="1"/>
  <c r="AW512" i="28"/>
  <c r="BE513" i="28"/>
  <c r="BG513" i="28" s="1"/>
  <c r="BE512" i="28"/>
  <c r="BG512" i="28" s="1"/>
  <c r="AW513" i="28"/>
  <c r="F135" i="7"/>
  <c r="V71" i="8"/>
  <c r="V70" i="8"/>
  <c r="AP522" i="28"/>
  <c r="AT490" i="28"/>
  <c r="AX490" i="28" s="1"/>
  <c r="AP304" i="28"/>
  <c r="AJ506" i="28"/>
  <c r="AP256" i="28"/>
  <c r="BD506" i="28" s="1"/>
  <c r="BK506" i="28" s="1"/>
  <c r="AO102" i="73"/>
  <c r="AO103" i="73"/>
  <c r="AS103" i="73" s="1"/>
  <c r="AW103" i="73" s="1"/>
  <c r="AO171" i="73"/>
  <c r="AO160" i="73"/>
  <c r="AS160" i="73" s="1"/>
  <c r="R71" i="8"/>
  <c r="R70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BH193" i="6" s="1"/>
  <c r="F192" i="6"/>
  <c r="E192" i="6"/>
  <c r="F191" i="6"/>
  <c r="E191" i="6"/>
  <c r="F167" i="6"/>
  <c r="BH167" i="6" s="1"/>
  <c r="F166" i="6"/>
  <c r="F142" i="6"/>
  <c r="F141" i="6"/>
  <c r="N140" i="6"/>
  <c r="E140" i="6"/>
  <c r="F137" i="6"/>
  <c r="E137" i="6"/>
  <c r="F134" i="6"/>
  <c r="E134" i="6"/>
  <c r="N132" i="6"/>
  <c r="M132" i="6"/>
  <c r="AA132" i="6" s="1"/>
  <c r="N128" i="6"/>
  <c r="AB128" i="6" s="1"/>
  <c r="AF128" i="6" s="1"/>
  <c r="M128" i="6"/>
  <c r="F127" i="6"/>
  <c r="E127" i="6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BH76" i="28" l="1"/>
  <c r="M134" i="6"/>
  <c r="N134" i="6"/>
  <c r="AB134" i="6" s="1"/>
  <c r="AF134" i="6" s="1"/>
  <c r="AJ134" i="6" s="1"/>
  <c r="N137" i="6"/>
  <c r="AB137" i="6" s="1"/>
  <c r="AF137" i="6" s="1"/>
  <c r="AJ137" i="6" s="1"/>
  <c r="M127" i="6"/>
  <c r="Q127" i="6" s="1"/>
  <c r="U127" i="6" s="1"/>
  <c r="N167" i="6"/>
  <c r="N193" i="6"/>
  <c r="N127" i="6"/>
  <c r="AB127" i="6" s="1"/>
  <c r="AF127" i="6" s="1"/>
  <c r="AJ127" i="6" s="1"/>
  <c r="N142" i="6"/>
  <c r="R142" i="6" s="1"/>
  <c r="V142" i="6" s="1"/>
  <c r="AW160" i="73"/>
  <c r="BE173" i="73"/>
  <c r="BE109" i="73"/>
  <c r="BF108" i="73" s="1"/>
  <c r="AW102" i="73"/>
  <c r="BE46" i="73"/>
  <c r="AP510" i="28"/>
  <c r="AT304" i="28"/>
  <c r="AB132" i="6"/>
  <c r="AF132" i="6" s="1"/>
  <c r="AJ132" i="6" s="1"/>
  <c r="N141" i="6"/>
  <c r="R141" i="6" s="1"/>
  <c r="V141" i="6" s="1"/>
  <c r="M140" i="6"/>
  <c r="Q140" i="6" s="1"/>
  <c r="U140" i="6" s="1"/>
  <c r="M18" i="6"/>
  <c r="M195" i="6" s="1"/>
  <c r="AT522" i="28"/>
  <c r="AS171" i="73"/>
  <c r="AS102" i="73"/>
  <c r="AJ128" i="6"/>
  <c r="AP506" i="28"/>
  <c r="AT256" i="28"/>
  <c r="AX256" i="28" s="1"/>
  <c r="AO25" i="73"/>
  <c r="AO114" i="73" s="1"/>
  <c r="Q128" i="6"/>
  <c r="U128" i="6" s="1"/>
  <c r="AA128" i="6"/>
  <c r="AE128" i="6" s="1"/>
  <c r="AI128" i="6" s="1"/>
  <c r="Q134" i="6"/>
  <c r="U134" i="6" s="1"/>
  <c r="AA134" i="6"/>
  <c r="AE134" i="6" s="1"/>
  <c r="AI134" i="6" s="1"/>
  <c r="Q132" i="6"/>
  <c r="U132" i="6" s="1"/>
  <c r="AE132" i="6"/>
  <c r="AI132" i="6" s="1"/>
  <c r="R132" i="6"/>
  <c r="V132" i="6" s="1"/>
  <c r="R140" i="6"/>
  <c r="V140" i="6" s="1"/>
  <c r="AB140" i="6"/>
  <c r="AF140" i="6" s="1"/>
  <c r="R128" i="6"/>
  <c r="V128" i="6" s="1"/>
  <c r="M137" i="6"/>
  <c r="D138" i="6"/>
  <c r="N21" i="6"/>
  <c r="F34" i="6"/>
  <c r="N22" i="6"/>
  <c r="E7" i="6"/>
  <c r="F121" i="6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E28" i="6"/>
  <c r="E25" i="6"/>
  <c r="E188" i="6"/>
  <c r="E22" i="6"/>
  <c r="F103" i="6"/>
  <c r="E138" i="6"/>
  <c r="E16" i="6"/>
  <c r="E103" i="6"/>
  <c r="E121" i="6"/>
  <c r="F23" i="6"/>
  <c r="F33" i="6"/>
  <c r="R127" i="6" l="1"/>
  <c r="V127" i="6" s="1"/>
  <c r="V133" i="6" s="1"/>
  <c r="AB142" i="6"/>
  <c r="AF142" i="6" s="1"/>
  <c r="M22" i="6"/>
  <c r="F107" i="6"/>
  <c r="M25" i="6"/>
  <c r="Q25" i="6" s="1"/>
  <c r="U25" i="6" s="1"/>
  <c r="AF138" i="6"/>
  <c r="M28" i="6"/>
  <c r="Q28" i="6" s="1"/>
  <c r="U28" i="6" s="1"/>
  <c r="F125" i="6"/>
  <c r="R137" i="6"/>
  <c r="V137" i="6" s="1"/>
  <c r="E125" i="6"/>
  <c r="AA127" i="6"/>
  <c r="AE127" i="6" s="1"/>
  <c r="AE133" i="6" s="1"/>
  <c r="M31" i="6"/>
  <c r="Q31" i="6" s="1"/>
  <c r="U31" i="6" s="1"/>
  <c r="E107" i="6"/>
  <c r="E148" i="6" s="1"/>
  <c r="R134" i="6"/>
  <c r="V134" i="6" s="1"/>
  <c r="AW171" i="73"/>
  <c r="Q18" i="6"/>
  <c r="U18" i="6" s="1"/>
  <c r="U188" i="6" s="1"/>
  <c r="AB141" i="6"/>
  <c r="AF141" i="6" s="1"/>
  <c r="AJ141" i="6" s="1"/>
  <c r="AF133" i="6"/>
  <c r="AA140" i="6"/>
  <c r="AE140" i="6" s="1"/>
  <c r="AI140" i="6" s="1"/>
  <c r="AO140" i="6" s="1"/>
  <c r="AT510" i="28"/>
  <c r="AX304" i="28"/>
  <c r="AX510" i="28" s="1"/>
  <c r="U133" i="6"/>
  <c r="M17" i="6"/>
  <c r="Q17" i="6" s="1"/>
  <c r="BE103" i="73"/>
  <c r="BE102" i="73" s="1"/>
  <c r="BE160" i="73"/>
  <c r="BE171" i="73" s="1"/>
  <c r="AX522" i="28"/>
  <c r="BF490" i="28"/>
  <c r="AT506" i="28"/>
  <c r="AP128" i="6"/>
  <c r="AJ142" i="6"/>
  <c r="AO132" i="6"/>
  <c r="AO134" i="6"/>
  <c r="AO128" i="6"/>
  <c r="AP137" i="6"/>
  <c r="AP134" i="6"/>
  <c r="AJ138" i="6"/>
  <c r="AP132" i="6"/>
  <c r="AJ140" i="6"/>
  <c r="AP127" i="6"/>
  <c r="AS25" i="73"/>
  <c r="AS114" i="73" s="1"/>
  <c r="Q133" i="6"/>
  <c r="Q137" i="6"/>
  <c r="U137" i="6" s="1"/>
  <c r="U138" i="6" s="1"/>
  <c r="AA137" i="6"/>
  <c r="AE137" i="6" s="1"/>
  <c r="D139" i="6"/>
  <c r="D143" i="6" s="1"/>
  <c r="N34" i="6"/>
  <c r="R34" i="6" s="1"/>
  <c r="V34" i="6" s="1"/>
  <c r="N160" i="6"/>
  <c r="Q22" i="6"/>
  <c r="U22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E163" i="6"/>
  <c r="E27" i="6"/>
  <c r="E24" i="6"/>
  <c r="E30" i="6"/>
  <c r="F139" i="6"/>
  <c r="E139" i="6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F150" i="6"/>
  <c r="E147" i="6"/>
  <c r="E34" i="6"/>
  <c r="BF522" i="28" l="1"/>
  <c r="BH522" i="28" s="1"/>
  <c r="BH490" i="28"/>
  <c r="Q188" i="6"/>
  <c r="R133" i="6"/>
  <c r="E175" i="6"/>
  <c r="F147" i="6"/>
  <c r="F148" i="6"/>
  <c r="I15" i="59" s="1"/>
  <c r="F175" i="6"/>
  <c r="E172" i="6"/>
  <c r="R138" i="6"/>
  <c r="AI127" i="6"/>
  <c r="AO127" i="6" s="1"/>
  <c r="F172" i="6"/>
  <c r="F173" i="6"/>
  <c r="I22" i="59" s="1"/>
  <c r="V138" i="6"/>
  <c r="V139" i="6" s="1"/>
  <c r="V143" i="6" s="1"/>
  <c r="V206" i="6" s="1"/>
  <c r="AF139" i="6"/>
  <c r="AF143" i="6" s="1"/>
  <c r="M34" i="6"/>
  <c r="Q34" i="6" s="1"/>
  <c r="U34" i="6" s="1"/>
  <c r="E143" i="6"/>
  <c r="Q195" i="6"/>
  <c r="U195" i="6" s="1"/>
  <c r="M21" i="6"/>
  <c r="E150" i="6"/>
  <c r="E173" i="6"/>
  <c r="E174" i="6" s="1"/>
  <c r="AJ133" i="6"/>
  <c r="AJ139" i="6" s="1"/>
  <c r="AJ143" i="6" s="1"/>
  <c r="AJ206" i="6" s="1"/>
  <c r="M169" i="6"/>
  <c r="Q169" i="6" s="1"/>
  <c r="D210" i="6"/>
  <c r="D206" i="6"/>
  <c r="AW25" i="73"/>
  <c r="AW114" i="73" s="1"/>
  <c r="Q19" i="6"/>
  <c r="Q84" i="6" s="1"/>
  <c r="U17" i="6"/>
  <c r="V23" i="6"/>
  <c r="U139" i="6"/>
  <c r="U143" i="6" s="1"/>
  <c r="Q138" i="6"/>
  <c r="Q139" i="6" s="1"/>
  <c r="Q143" i="6" s="1"/>
  <c r="BF304" i="28"/>
  <c r="AX506" i="28"/>
  <c r="BF256" i="28"/>
  <c r="AE138" i="6"/>
  <c r="AE139" i="6" s="1"/>
  <c r="AE143" i="6" s="1"/>
  <c r="AI137" i="6"/>
  <c r="AS140" i="6"/>
  <c r="AP140" i="6"/>
  <c r="AT134" i="6"/>
  <c r="AX134" i="6" s="1"/>
  <c r="AP138" i="6"/>
  <c r="AS128" i="6"/>
  <c r="AW128" i="6" s="1"/>
  <c r="AS132" i="6"/>
  <c r="AP142" i="6"/>
  <c r="AT127" i="6"/>
  <c r="AX127" i="6" s="1"/>
  <c r="AP133" i="6"/>
  <c r="AT132" i="6"/>
  <c r="AX132" i="6" s="1"/>
  <c r="AT137" i="6"/>
  <c r="AX137" i="6" s="1"/>
  <c r="AS134" i="6"/>
  <c r="AW134" i="6" s="1"/>
  <c r="AP141" i="6"/>
  <c r="AT128" i="6"/>
  <c r="AX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D205" i="6"/>
  <c r="D211" i="6"/>
  <c r="D204" i="6"/>
  <c r="D208" i="6"/>
  <c r="D213" i="6"/>
  <c r="D212" i="6"/>
  <c r="D207" i="6"/>
  <c r="Q163" i="6"/>
  <c r="R33" i="6"/>
  <c r="V33" i="6" s="1"/>
  <c r="V35" i="6" s="1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E33" i="6"/>
  <c r="F143" i="6"/>
  <c r="E81" i="6"/>
  <c r="D81" i="6"/>
  <c r="D149" i="6"/>
  <c r="D34" i="6"/>
  <c r="D35" i="6" s="1"/>
  <c r="E149" i="6"/>
  <c r="F174" i="6" l="1"/>
  <c r="R139" i="6"/>
  <c r="R143" i="6" s="1"/>
  <c r="AI133" i="6"/>
  <c r="F149" i="6"/>
  <c r="E207" i="6"/>
  <c r="E210" i="6"/>
  <c r="BF506" i="28"/>
  <c r="BH506" i="28" s="1"/>
  <c r="BH256" i="28"/>
  <c r="BF510" i="28"/>
  <c r="BH510" i="28" s="1"/>
  <c r="BH304" i="28"/>
  <c r="V207" i="6"/>
  <c r="E208" i="6"/>
  <c r="V212" i="6"/>
  <c r="E212" i="6"/>
  <c r="V217" i="6"/>
  <c r="E203" i="6"/>
  <c r="V199" i="6"/>
  <c r="V208" i="6"/>
  <c r="V204" i="6"/>
  <c r="V216" i="6"/>
  <c r="V210" i="6"/>
  <c r="V205" i="6"/>
  <c r="V211" i="6"/>
  <c r="V203" i="6"/>
  <c r="E211" i="6"/>
  <c r="V213" i="6"/>
  <c r="E216" i="6"/>
  <c r="E219" i="6" s="1"/>
  <c r="V218" i="6"/>
  <c r="BE128" i="6"/>
  <c r="BG128" i="6" s="1"/>
  <c r="BF134" i="6"/>
  <c r="BH134" i="6" s="1"/>
  <c r="BF128" i="6"/>
  <c r="BH128" i="6" s="1"/>
  <c r="F206" i="6"/>
  <c r="E206" i="6"/>
  <c r="BE134" i="6"/>
  <c r="BG134" i="6" s="1"/>
  <c r="E213" i="6"/>
  <c r="BF137" i="6"/>
  <c r="BH137" i="6" s="1"/>
  <c r="BF132" i="6"/>
  <c r="BH132" i="6" s="1"/>
  <c r="E205" i="6"/>
  <c r="BF127" i="6"/>
  <c r="BH127" i="6" s="1"/>
  <c r="E204" i="6"/>
  <c r="Q81" i="6"/>
  <c r="AF199" i="6"/>
  <c r="AF206" i="6"/>
  <c r="R199" i="6"/>
  <c r="R206" i="6"/>
  <c r="U204" i="6"/>
  <c r="U206" i="6"/>
  <c r="AE210" i="6"/>
  <c r="AE206" i="6"/>
  <c r="Q210" i="6"/>
  <c r="Q206" i="6"/>
  <c r="F205" i="6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U208" i="6"/>
  <c r="U211" i="6"/>
  <c r="U19" i="6"/>
  <c r="U81" i="6" s="1"/>
  <c r="U163" i="6"/>
  <c r="Q213" i="6"/>
  <c r="AW132" i="6"/>
  <c r="U207" i="6"/>
  <c r="Q205" i="6"/>
  <c r="Q204" i="6"/>
  <c r="Q216" i="6"/>
  <c r="Q219" i="6" s="1"/>
  <c r="BE25" i="73"/>
  <c r="BE114" i="73" s="1"/>
  <c r="AE203" i="6"/>
  <c r="AE212" i="6"/>
  <c r="AE213" i="6"/>
  <c r="AE208" i="6"/>
  <c r="AE207" i="6"/>
  <c r="AE216" i="6"/>
  <c r="AE219" i="6" s="1"/>
  <c r="AE205" i="6"/>
  <c r="AP139" i="6"/>
  <c r="AP143" i="6" s="1"/>
  <c r="AP206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I206" i="6" s="1"/>
  <c r="AS127" i="6"/>
  <c r="AW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F213" i="6"/>
  <c r="F211" i="6"/>
  <c r="F208" i="6"/>
  <c r="V214" i="6" l="1"/>
  <c r="V219" i="6"/>
  <c r="E214" i="6"/>
  <c r="BF138" i="6"/>
  <c r="BH138" i="6" s="1"/>
  <c r="V209" i="6"/>
  <c r="V215" i="6" s="1"/>
  <c r="V220" i="6" s="1"/>
  <c r="BF133" i="6"/>
  <c r="BH133" i="6" s="1"/>
  <c r="E209" i="6"/>
  <c r="E215" i="6" s="1"/>
  <c r="BE132" i="6"/>
  <c r="BG132" i="6" s="1"/>
  <c r="BE140" i="6"/>
  <c r="BG140" i="6" s="1"/>
  <c r="BE127" i="6"/>
  <c r="BG127" i="6" s="1"/>
  <c r="AW133" i="6"/>
  <c r="Q214" i="6"/>
  <c r="Q209" i="6"/>
  <c r="U214" i="6"/>
  <c r="U209" i="6"/>
  <c r="AX139" i="6"/>
  <c r="Q29" i="6"/>
  <c r="U27" i="6"/>
  <c r="U29" i="6" s="1"/>
  <c r="Q23" i="6"/>
  <c r="U21" i="6"/>
  <c r="U23" i="6" s="1"/>
  <c r="AX141" i="6"/>
  <c r="Q26" i="6"/>
  <c r="U24" i="6"/>
  <c r="U26" i="6" s="1"/>
  <c r="AX142" i="6"/>
  <c r="AX140" i="6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AO138" i="6"/>
  <c r="AO139" i="6" s="1"/>
  <c r="AO143" i="6" s="1"/>
  <c r="AV11" i="59"/>
  <c r="AF209" i="6"/>
  <c r="AP218" i="6"/>
  <c r="AS133" i="6"/>
  <c r="AF214" i="6"/>
  <c r="AI11" i="59" s="1"/>
  <c r="AT139" i="6"/>
  <c r="AT143" i="6" s="1"/>
  <c r="AT206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BF139" i="6" l="1"/>
  <c r="BH139" i="6" s="1"/>
  <c r="BE133" i="6"/>
  <c r="BG133" i="6" s="1"/>
  <c r="BF142" i="6"/>
  <c r="BH142" i="6" s="1"/>
  <c r="BE137" i="6"/>
  <c r="BF141" i="6"/>
  <c r="BH141" i="6" s="1"/>
  <c r="BF140" i="6"/>
  <c r="BH140" i="6" s="1"/>
  <c r="AO213" i="6"/>
  <c r="AO206" i="6"/>
  <c r="Q215" i="6"/>
  <c r="Q220" i="6" s="1"/>
  <c r="E220" i="6"/>
  <c r="I11" i="59"/>
  <c r="U215" i="6"/>
  <c r="U220" i="6" s="1"/>
  <c r="AT217" i="6"/>
  <c r="AX143" i="6"/>
  <c r="AW138" i="6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BE138" i="6" l="1"/>
  <c r="BG137" i="6"/>
  <c r="BF143" i="6"/>
  <c r="AW139" i="6"/>
  <c r="AX206" i="6"/>
  <c r="F220" i="6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1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2" i="7"/>
  <c r="E172" i="10"/>
  <c r="J84" i="38"/>
  <c r="R35" i="38"/>
  <c r="AF35" i="38" s="1"/>
  <c r="AJ35" i="38" s="1"/>
  <c r="AN35" i="38" s="1"/>
  <c r="E193" i="6"/>
  <c r="Q20" i="38"/>
  <c r="AE20" i="38" s="1"/>
  <c r="AI20" i="38" s="1"/>
  <c r="AM20" i="38" s="1"/>
  <c r="F138" i="45"/>
  <c r="E73" i="11"/>
  <c r="E74" i="11" s="1"/>
  <c r="E167" i="6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F139" i="45" l="1"/>
  <c r="BF206" i="6"/>
  <c r="BH143" i="6"/>
  <c r="BE139" i="6"/>
  <c r="BG138" i="6"/>
  <c r="E173" i="10"/>
  <c r="E194" i="6"/>
  <c r="E83" i="7"/>
  <c r="H36" i="59" s="1"/>
  <c r="E168" i="6"/>
  <c r="AW143" i="6"/>
  <c r="AX214" i="6"/>
  <c r="BA11" i="59" s="1"/>
  <c r="BF199" i="6"/>
  <c r="BF207" i="6"/>
  <c r="BF208" i="6"/>
  <c r="AX219" i="6"/>
  <c r="AX209" i="6"/>
  <c r="AS23" i="38"/>
  <c r="BG72" i="38" s="1"/>
  <c r="AI91" i="8"/>
  <c r="V9" i="36"/>
  <c r="Y10" i="59" s="1"/>
  <c r="AT215" i="6"/>
  <c r="AT9" i="36" s="1"/>
  <c r="AW10" i="59" s="1"/>
  <c r="AP9" i="36"/>
  <c r="AS10" i="59" s="1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3" i="11"/>
  <c r="M74" i="11" s="1"/>
  <c r="M172" i="10"/>
  <c r="AA172" i="10" s="1"/>
  <c r="AE172" i="10" s="1"/>
  <c r="AI172" i="10" s="1"/>
  <c r="I40" i="38"/>
  <c r="Q40" i="38" s="1"/>
  <c r="AE40" i="38" s="1"/>
  <c r="AI40" i="38" s="1"/>
  <c r="AM40" i="38" s="1"/>
  <c r="N138" i="45"/>
  <c r="N139" i="45" s="1"/>
  <c r="J67" i="38"/>
  <c r="R18" i="38"/>
  <c r="AF18" i="38" s="1"/>
  <c r="AJ18" i="38" s="1"/>
  <c r="AN18" i="38" s="1"/>
  <c r="AJ26" i="36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AI26" i="36" s="1"/>
  <c r="J17" i="38"/>
  <c r="J49" i="38" s="1"/>
  <c r="BE143" i="6" l="1"/>
  <c r="BG139" i="6"/>
  <c r="AW206" i="6"/>
  <c r="AW208" i="6"/>
  <c r="AW216" i="6"/>
  <c r="AW219" i="6" s="1"/>
  <c r="AW212" i="6"/>
  <c r="AW213" i="6"/>
  <c r="AW204" i="6"/>
  <c r="AW207" i="6"/>
  <c r="AW211" i="6"/>
  <c r="AW203" i="6"/>
  <c r="AW210" i="6"/>
  <c r="AW205" i="6"/>
  <c r="AX215" i="6"/>
  <c r="AX220" i="6" s="1"/>
  <c r="AW23" i="38"/>
  <c r="BA23" i="38" s="1"/>
  <c r="BI23" i="38" s="1"/>
  <c r="BE91" i="8" s="1"/>
  <c r="AO91" i="8"/>
  <c r="BE216" i="6"/>
  <c r="BE219" i="6" s="1"/>
  <c r="BE207" i="6"/>
  <c r="BE208" i="6"/>
  <c r="BE205" i="6"/>
  <c r="AT220" i="6"/>
  <c r="BE210" i="6"/>
  <c r="BE204" i="6"/>
  <c r="BE211" i="6"/>
  <c r="BE203" i="6"/>
  <c r="BE212" i="6"/>
  <c r="BA92" i="8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72" i="10"/>
  <c r="AE26" i="36"/>
  <c r="AT18" i="38"/>
  <c r="AF26" i="36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F28" i="21"/>
  <c r="E27" i="21"/>
  <c r="F24" i="21"/>
  <c r="F25" i="21" s="1"/>
  <c r="F18" i="21"/>
  <c r="F15" i="21"/>
  <c r="N15" i="21" s="1"/>
  <c r="R15" i="21" s="1"/>
  <c r="F12" i="21"/>
  <c r="E12" i="21"/>
  <c r="AW214" i="6" l="1"/>
  <c r="BE206" i="6"/>
  <c r="BE209" i="6" s="1"/>
  <c r="BG143" i="6"/>
  <c r="AU18" i="36"/>
  <c r="AX56" i="59" s="1"/>
  <c r="AY18" i="36"/>
  <c r="BB56" i="59" s="1"/>
  <c r="AW209" i="6"/>
  <c r="AW215" i="6" s="1"/>
  <c r="AW220" i="6" s="1"/>
  <c r="AG18" i="36"/>
  <c r="AJ56" i="59" s="1"/>
  <c r="AQ18" i="36"/>
  <c r="AT56" i="59" s="1"/>
  <c r="AK18" i="36"/>
  <c r="AN56" i="59" s="1"/>
  <c r="AC18" i="36"/>
  <c r="AF56" i="59" s="1"/>
  <c r="W18" i="36"/>
  <c r="Z56" i="59" s="1"/>
  <c r="S18" i="36"/>
  <c r="V56" i="59" s="1"/>
  <c r="O18" i="36"/>
  <c r="R56" i="59" s="1"/>
  <c r="K18" i="36"/>
  <c r="N56" i="59" s="1"/>
  <c r="G18" i="36"/>
  <c r="J56" i="59" s="1"/>
  <c r="AW91" i="8"/>
  <c r="U18" i="36"/>
  <c r="X56" i="59" s="1"/>
  <c r="V15" i="21"/>
  <c r="AS91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BG167" i="6" s="1"/>
  <c r="AW167" i="6"/>
  <c r="BI20" i="38"/>
  <c r="BE193" i="6" s="1"/>
  <c r="BG193" i="6" s="1"/>
  <c r="AW193" i="6"/>
  <c r="G56" i="59"/>
  <c r="BF215" i="6"/>
  <c r="BA168" i="6"/>
  <c r="BA194" i="6"/>
  <c r="BE214" i="6"/>
  <c r="AX9" i="36"/>
  <c r="BA10" i="59" s="1"/>
  <c r="AW18" i="36"/>
  <c r="AZ56" i="59" s="1"/>
  <c r="AX18" i="38"/>
  <c r="AP26" i="36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72" i="10"/>
  <c r="AW172" i="10" s="1"/>
  <c r="AX43" i="38"/>
  <c r="AS167" i="6"/>
  <c r="AS40" i="38"/>
  <c r="AW19" i="38"/>
  <c r="AW42" i="38"/>
  <c r="AW43" i="38"/>
  <c r="AS193" i="6"/>
  <c r="AX41" i="38"/>
  <c r="AQ76" i="59"/>
  <c r="AS18" i="38"/>
  <c r="AI18" i="36"/>
  <c r="AL56" i="59" s="1"/>
  <c r="AE18" i="36"/>
  <c r="AH56" i="59" s="1"/>
  <c r="Y18" i="36"/>
  <c r="AB56" i="59" s="1"/>
  <c r="N18" i="21"/>
  <c r="R18" i="21" s="1"/>
  <c r="V18" i="21" s="1"/>
  <c r="F20" i="21"/>
  <c r="F520" i="28"/>
  <c r="F521" i="28"/>
  <c r="BA18" i="36"/>
  <c r="BC18" i="36"/>
  <c r="M12" i="15"/>
  <c r="I12" i="15"/>
  <c r="M27" i="21"/>
  <c r="Q27" i="21" s="1"/>
  <c r="U27" i="21" s="1"/>
  <c r="BE18" i="36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J520" i="28" l="1"/>
  <c r="N520" i="28" s="1"/>
  <c r="AB520" i="28" s="1"/>
  <c r="AF520" i="28" s="1"/>
  <c r="J521" i="28"/>
  <c r="N521" i="28" s="1"/>
  <c r="AB521" i="28" s="1"/>
  <c r="AF521" i="28" s="1"/>
  <c r="BD56" i="59"/>
  <c r="BH56" i="59"/>
  <c r="BF56" i="59"/>
  <c r="R520" i="28"/>
  <c r="V520" i="28" s="1"/>
  <c r="R20" i="2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2" i="15"/>
  <c r="U12" i="15" s="1"/>
  <c r="BF220" i="6"/>
  <c r="BE215" i="6"/>
  <c r="BE172" i="10"/>
  <c r="BH172" i="10" s="1"/>
  <c r="AX40" i="38"/>
  <c r="AW18" i="38"/>
  <c r="AO26" i="36"/>
  <c r="AW40" i="38"/>
  <c r="AT26" i="36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2" i="15"/>
  <c r="AE12" i="15" s="1"/>
  <c r="M13" i="15"/>
  <c r="Q13" i="15" s="1"/>
  <c r="Q14" i="15" s="1"/>
  <c r="I13" i="15"/>
  <c r="N51" i="35"/>
  <c r="N50" i="35"/>
  <c r="E42" i="35"/>
  <c r="D42" i="35"/>
  <c r="F41" i="35"/>
  <c r="E41" i="35"/>
  <c r="M41" i="35" s="1"/>
  <c r="D41" i="35"/>
  <c r="E39" i="35"/>
  <c r="D39" i="35"/>
  <c r="F36" i="35"/>
  <c r="F48" i="35" s="1"/>
  <c r="N48" i="35" s="1"/>
  <c r="E36" i="35"/>
  <c r="E31" i="28" s="1"/>
  <c r="D36" i="35"/>
  <c r="D48" i="35" s="1"/>
  <c r="F33" i="35"/>
  <c r="E33" i="35"/>
  <c r="D33" i="35"/>
  <c r="F26" i="35"/>
  <c r="E26" i="35"/>
  <c r="E26" i="21" s="1"/>
  <c r="D26" i="35"/>
  <c r="D34" i="36" s="1"/>
  <c r="D35" i="36" s="1"/>
  <c r="D36" i="36" s="1"/>
  <c r="D38" i="36" s="1"/>
  <c r="E10" i="35"/>
  <c r="E9" i="6" s="1"/>
  <c r="D10" i="35"/>
  <c r="E9" i="35"/>
  <c r="D9" i="35"/>
  <c r="E8" i="35"/>
  <c r="D8" i="35"/>
  <c r="F7" i="35"/>
  <c r="F8" i="35" s="1"/>
  <c r="M31" i="28" l="1"/>
  <c r="R521" i="28"/>
  <c r="V521" i="28" s="1"/>
  <c r="BJ18" i="38"/>
  <c r="BJ43" i="38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51" i="35"/>
  <c r="AF51" i="35" s="1"/>
  <c r="AJ51" i="35" s="1"/>
  <c r="AP51" i="35" s="1"/>
  <c r="AT51" i="35" s="1"/>
  <c r="AX51" i="35" s="1"/>
  <c r="BF51" i="35" s="1"/>
  <c r="R51" i="35"/>
  <c r="V51" i="35" s="1"/>
  <c r="AA41" i="35"/>
  <c r="AE41" i="35" s="1"/>
  <c r="AI41" i="35" s="1"/>
  <c r="AO41" i="35" s="1"/>
  <c r="AS41" i="35" s="1"/>
  <c r="AW41" i="35" s="1"/>
  <c r="BE41" i="35" s="1"/>
  <c r="Q41" i="35"/>
  <c r="U41" i="35" s="1"/>
  <c r="AB50" i="35"/>
  <c r="AF50" i="35" s="1"/>
  <c r="AJ50" i="35" s="1"/>
  <c r="AP50" i="35" s="1"/>
  <c r="AT50" i="35" s="1"/>
  <c r="AX50" i="35" s="1"/>
  <c r="BF50" i="35" s="1"/>
  <c r="R50" i="35"/>
  <c r="V50" i="35" s="1"/>
  <c r="AI12" i="15"/>
  <c r="AO12" i="15" s="1"/>
  <c r="AS12" i="15" s="1"/>
  <c r="E13" i="35"/>
  <c r="E8" i="6"/>
  <c r="D14" i="35"/>
  <c r="D9" i="6"/>
  <c r="D13" i="35"/>
  <c r="D8" i="6"/>
  <c r="M10" i="35"/>
  <c r="E14" i="35"/>
  <c r="M14" i="35" s="1"/>
  <c r="M26" i="21"/>
  <c r="E28" i="21"/>
  <c r="AX17" i="38"/>
  <c r="AW17" i="38"/>
  <c r="AS26" i="36"/>
  <c r="D11" i="35"/>
  <c r="D10" i="6" s="1"/>
  <c r="M9" i="35"/>
  <c r="Q9" i="35" s="1"/>
  <c r="E11" i="35"/>
  <c r="E10" i="6" s="1"/>
  <c r="I31" i="28"/>
  <c r="E37" i="28"/>
  <c r="E63" i="28"/>
  <c r="M14" i="15"/>
  <c r="F6" i="6"/>
  <c r="M42" i="35"/>
  <c r="Q42" i="35" s="1"/>
  <c r="U42" i="35" s="1"/>
  <c r="I42" i="35"/>
  <c r="J41" i="35"/>
  <c r="N41" i="35"/>
  <c r="R41" i="35" s="1"/>
  <c r="F37" i="35"/>
  <c r="F49" i="35"/>
  <c r="D49" i="35"/>
  <c r="D37" i="35"/>
  <c r="E37" i="35"/>
  <c r="E48" i="35"/>
  <c r="M37" i="28" l="1"/>
  <c r="BF26" i="36"/>
  <c r="D15" i="35"/>
  <c r="BB17" i="38"/>
  <c r="BA17" i="38"/>
  <c r="BJ40" i="38"/>
  <c r="BI18" i="38"/>
  <c r="AW26" i="36"/>
  <c r="BI40" i="38"/>
  <c r="AW12" i="15"/>
  <c r="BE12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V41" i="35"/>
  <c r="F80" i="83"/>
  <c r="AA10" i="35"/>
  <c r="AA9" i="6" s="1"/>
  <c r="AA9" i="35"/>
  <c r="AA8" i="6" s="1"/>
  <c r="M8" i="6"/>
  <c r="G80" i="83"/>
  <c r="O80" i="83" s="1"/>
  <c r="G97" i="50"/>
  <c r="Q31" i="28"/>
  <c r="F18" i="6"/>
  <c r="M13" i="35"/>
  <c r="Q13" i="35" s="1"/>
  <c r="E15" i="35"/>
  <c r="M11" i="35"/>
  <c r="M10" i="6" s="1"/>
  <c r="U13" i="15"/>
  <c r="U14" i="15" s="1"/>
  <c r="I63" i="28"/>
  <c r="E69" i="28"/>
  <c r="J60" i="6"/>
  <c r="M16" i="59" s="1"/>
  <c r="J61" i="6"/>
  <c r="M23" i="59" s="1"/>
  <c r="I37" i="28"/>
  <c r="E75" i="28"/>
  <c r="E491" i="28"/>
  <c r="F16" i="6"/>
  <c r="AA42" i="35"/>
  <c r="AE42" i="35" s="1"/>
  <c r="AB41" i="35"/>
  <c r="AF41" i="35" s="1"/>
  <c r="E49" i="35"/>
  <c r="E55" i="35" s="1"/>
  <c r="M48" i="35"/>
  <c r="F55" i="35"/>
  <c r="F17" i="6"/>
  <c r="F15" i="6"/>
  <c r="F7" i="6"/>
  <c r="M491" i="28" l="1"/>
  <c r="AA491" i="28" s="1"/>
  <c r="M75" i="28"/>
  <c r="AA75" i="28" s="1"/>
  <c r="AE75" i="28" s="1"/>
  <c r="AI75" i="28" s="1"/>
  <c r="AO75" i="28" s="1"/>
  <c r="AS75" i="28" s="1"/>
  <c r="AW75" i="28" s="1"/>
  <c r="BE75" i="28" s="1"/>
  <c r="BG75" i="28" s="1"/>
  <c r="BI17" i="38"/>
  <c r="BE26" i="36"/>
  <c r="BJ17" i="38"/>
  <c r="Q28" i="21"/>
  <c r="U26" i="21"/>
  <c r="U28" i="21" s="1"/>
  <c r="U11" i="35"/>
  <c r="U10" i="6" s="1"/>
  <c r="U8" i="6"/>
  <c r="Q11" i="35"/>
  <c r="U13" i="35"/>
  <c r="U15" i="35" s="1"/>
  <c r="Q15" i="35"/>
  <c r="AA31" i="28"/>
  <c r="AE31" i="28" s="1"/>
  <c r="AI31" i="28" s="1"/>
  <c r="AO31" i="28" s="1"/>
  <c r="AS31" i="28" s="1"/>
  <c r="U31" i="28"/>
  <c r="AA11" i="35"/>
  <c r="AA10" i="6" s="1"/>
  <c r="N18" i="6"/>
  <c r="N80" i="6" s="1"/>
  <c r="F194" i="6"/>
  <c r="F189" i="6"/>
  <c r="AJ41" i="35"/>
  <c r="AI42" i="35"/>
  <c r="AA13" i="35"/>
  <c r="AE13" i="35" s="1"/>
  <c r="M15" i="35"/>
  <c r="Q23" i="59"/>
  <c r="E517" i="28"/>
  <c r="E494" i="28"/>
  <c r="Q16" i="59"/>
  <c r="I75" i="28"/>
  <c r="E91" i="28"/>
  <c r="E76" i="28"/>
  <c r="I69" i="28"/>
  <c r="E520" i="28"/>
  <c r="I491" i="28"/>
  <c r="I517" i="28" s="1"/>
  <c r="Q12" i="59"/>
  <c r="N17" i="6"/>
  <c r="N85" i="6" s="1"/>
  <c r="F168" i="6"/>
  <c r="F19" i="6"/>
  <c r="M91" i="28" l="1"/>
  <c r="AA91" i="28" s="1"/>
  <c r="AE91" i="28" s="1"/>
  <c r="AI91" i="28" s="1"/>
  <c r="AO91" i="28" s="1"/>
  <c r="AS91" i="28" s="1"/>
  <c r="AW91" i="28" s="1"/>
  <c r="BE91" i="28" s="1"/>
  <c r="BG91" i="28" s="1"/>
  <c r="AW31" i="28"/>
  <c r="BE31" i="28" s="1"/>
  <c r="BG31" i="28" s="1"/>
  <c r="R18" i="6"/>
  <c r="V18" i="6" s="1"/>
  <c r="V189" i="6" s="1"/>
  <c r="N195" i="6"/>
  <c r="R195" i="6" s="1"/>
  <c r="V195" i="6" s="1"/>
  <c r="N83" i="6"/>
  <c r="N82" i="6"/>
  <c r="N79" i="6"/>
  <c r="AE15" i="35"/>
  <c r="AI13" i="35"/>
  <c r="AO42" i="35"/>
  <c r="AP41" i="35"/>
  <c r="Q75" i="28"/>
  <c r="U75" i="28" s="1"/>
  <c r="N169" i="6"/>
  <c r="I494" i="28"/>
  <c r="I76" i="28"/>
  <c r="E521" i="28"/>
  <c r="Q37" i="28"/>
  <c r="I91" i="28"/>
  <c r="I495" i="28" s="1"/>
  <c r="E95" i="28"/>
  <c r="E516" i="28"/>
  <c r="E515" i="28"/>
  <c r="E495" i="28"/>
  <c r="R17" i="6"/>
  <c r="V17" i="6" s="1"/>
  <c r="F84" i="6"/>
  <c r="F81" i="6"/>
  <c r="F38" i="6"/>
  <c r="F39" i="6"/>
  <c r="F40" i="6"/>
  <c r="F37" i="6"/>
  <c r="R83" i="6" l="1"/>
  <c r="V83" i="6" s="1"/>
  <c r="R82" i="6"/>
  <c r="V82" i="6" s="1"/>
  <c r="R79" i="6"/>
  <c r="V79" i="6" s="1"/>
  <c r="R85" i="6"/>
  <c r="V85" i="6" s="1"/>
  <c r="R80" i="6"/>
  <c r="V80" i="6" s="1"/>
  <c r="R189" i="6"/>
  <c r="V164" i="6"/>
  <c r="V19" i="6"/>
  <c r="R169" i="6"/>
  <c r="V169" i="6" s="1"/>
  <c r="AA37" i="28"/>
  <c r="AE37" i="28" s="1"/>
  <c r="AI37" i="28" s="1"/>
  <c r="AO37" i="28" s="1"/>
  <c r="AS37" i="28" s="1"/>
  <c r="U37" i="28"/>
  <c r="AS42" i="35"/>
  <c r="AO13" i="35"/>
  <c r="BC15" i="35" s="1"/>
  <c r="AI15" i="35"/>
  <c r="AT41" i="35"/>
  <c r="I95" i="28"/>
  <c r="Y517" i="28"/>
  <c r="I516" i="28"/>
  <c r="I515" i="28"/>
  <c r="M517" i="28"/>
  <c r="M494" i="28"/>
  <c r="Q491" i="28"/>
  <c r="Q517" i="28" s="1"/>
  <c r="R19" i="6"/>
  <c r="R164" i="6"/>
  <c r="F41" i="6"/>
  <c r="AW37" i="28" l="1"/>
  <c r="AW491" i="28" s="1"/>
  <c r="V40" i="6"/>
  <c r="V38" i="6"/>
  <c r="V39" i="6"/>
  <c r="V37" i="6"/>
  <c r="AE515" i="28"/>
  <c r="AO515" i="28"/>
  <c r="AA517" i="28"/>
  <c r="AE491" i="28"/>
  <c r="AE517" i="28" s="1"/>
  <c r="AS515" i="28"/>
  <c r="AI491" i="28"/>
  <c r="AO491" i="28" s="1"/>
  <c r="AO517" i="28" s="1"/>
  <c r="AI515" i="28"/>
  <c r="AS491" i="28"/>
  <c r="AS494" i="28" s="1"/>
  <c r="U491" i="28"/>
  <c r="U517" i="28" s="1"/>
  <c r="AX41" i="35"/>
  <c r="AW42" i="35"/>
  <c r="AS13" i="35"/>
  <c r="AO15" i="35"/>
  <c r="M495" i="28"/>
  <c r="Y494" i="28"/>
  <c r="AA494" i="28"/>
  <c r="Q494" i="28"/>
  <c r="Q91" i="28"/>
  <c r="U91" i="28" s="1"/>
  <c r="M516" i="28"/>
  <c r="M515" i="28"/>
  <c r="R40" i="6"/>
  <c r="R38" i="6"/>
  <c r="R39" i="6"/>
  <c r="R37" i="6"/>
  <c r="V41" i="6" l="1"/>
  <c r="AW515" i="28"/>
  <c r="AW517" i="28"/>
  <c r="BE37" i="28"/>
  <c r="BG37" i="28" s="1"/>
  <c r="U516" i="28"/>
  <c r="AI495" i="28"/>
  <c r="AE494" i="28"/>
  <c r="AE516" i="28"/>
  <c r="AE495" i="28"/>
  <c r="AO494" i="28"/>
  <c r="AW495" i="28"/>
  <c r="AW516" i="28"/>
  <c r="AS517" i="28"/>
  <c r="AW494" i="28"/>
  <c r="AS495" i="28"/>
  <c r="AS516" i="28"/>
  <c r="AI494" i="28"/>
  <c r="AI517" i="28"/>
  <c r="AO516" i="28"/>
  <c r="AI516" i="28"/>
  <c r="AO495" i="28"/>
  <c r="U515" i="28"/>
  <c r="U494" i="28"/>
  <c r="U495" i="28"/>
  <c r="BE42" i="35"/>
  <c r="BF41" i="35"/>
  <c r="AS15" i="35"/>
  <c r="AW13" i="35"/>
  <c r="AA516" i="28"/>
  <c r="AA515" i="28"/>
  <c r="AA495" i="28"/>
  <c r="Y516" i="28"/>
  <c r="Y515" i="28"/>
  <c r="Y495" i="28"/>
  <c r="Q516" i="28"/>
  <c r="Q515" i="28"/>
  <c r="Q495" i="28"/>
  <c r="R41" i="6"/>
  <c r="K61" i="71"/>
  <c r="H61" i="71"/>
  <c r="BE515" i="28" l="1"/>
  <c r="BG515" i="28" s="1"/>
  <c r="BE491" i="28"/>
  <c r="BG491" i="28" s="1"/>
  <c r="AW15" i="35"/>
  <c r="BE13" i="35"/>
  <c r="BE15" i="35" s="1"/>
  <c r="BE517" i="28" l="1"/>
  <c r="BG517" i="28" s="1"/>
  <c r="BE494" i="28"/>
  <c r="BG494" i="28" s="1"/>
  <c r="BE516" i="28"/>
  <c r="BG516" i="28" s="1"/>
  <c r="BE495" i="28"/>
  <c r="BG495" i="28" s="1"/>
  <c r="W7" i="72" l="1"/>
  <c r="Y106" i="90" s="1"/>
  <c r="F59" i="71"/>
  <c r="CO59" i="71"/>
  <c r="CO61" i="71" s="1"/>
  <c r="CK59" i="71"/>
  <c r="CK61" i="71" s="1"/>
  <c r="V59" i="71"/>
  <c r="N59" i="71"/>
  <c r="AU59" i="71" l="1"/>
  <c r="AY59" i="71" s="1"/>
  <c r="I59" i="71"/>
  <c r="X59" i="71" s="1"/>
  <c r="AR59" i="71" s="1"/>
  <c r="F61" i="71"/>
  <c r="BM59" i="71"/>
  <c r="BM61" i="71" s="1"/>
  <c r="CG59" i="71"/>
  <c r="CQ59" i="71"/>
  <c r="CQ61" i="71" s="1"/>
  <c r="CA59" i="71"/>
  <c r="CA61" i="71" s="1"/>
  <c r="CU59" i="71"/>
  <c r="BW59" i="71"/>
  <c r="BW61" i="71" s="1"/>
  <c r="BY59" i="71"/>
  <c r="BO59" i="71"/>
  <c r="W59" i="71"/>
  <c r="Y7" i="72"/>
  <c r="BA61" i="71"/>
  <c r="BE61" i="71"/>
  <c r="AU61" i="71"/>
  <c r="AW61" i="71"/>
  <c r="AC7" i="72" l="1"/>
  <c r="AA106" i="90"/>
  <c r="CG61" i="71"/>
  <c r="I61" i="71"/>
  <c r="C51" i="72"/>
  <c r="K49" i="72"/>
  <c r="Y49" i="72" s="1"/>
  <c r="AC49" i="72" s="1"/>
  <c r="AG49" i="72" s="1"/>
  <c r="O49" i="72"/>
  <c r="S49" i="72" s="1"/>
  <c r="G49" i="72"/>
  <c r="CC59" i="71"/>
  <c r="CC61" i="71" s="1"/>
  <c r="CS59" i="71"/>
  <c r="CS61" i="71" s="1"/>
  <c r="BU59" i="71"/>
  <c r="BQ59" i="71"/>
  <c r="A84" i="9"/>
  <c r="AG7" i="72" l="1"/>
  <c r="AI106" i="90" s="1"/>
  <c r="AE106" i="90"/>
  <c r="AM49" i="72"/>
  <c r="CE59" i="71"/>
  <c r="O51" i="72"/>
  <c r="AM7" i="72"/>
  <c r="AO106" i="90" s="1"/>
  <c r="AQ49" i="72" l="1"/>
  <c r="CI59" i="71"/>
  <c r="AQ7" i="72"/>
  <c r="AU7" i="72" l="1"/>
  <c r="AW106" i="90" s="1"/>
  <c r="AS106" i="90"/>
  <c r="AU49" i="72"/>
  <c r="CM59" i="71"/>
  <c r="BA51" i="72"/>
  <c r="X167" i="26"/>
  <c r="L167" i="26"/>
  <c r="BC49" i="72" l="1"/>
  <c r="BC7" i="72"/>
  <c r="Z167" i="26"/>
  <c r="BE37" i="36" l="1"/>
  <c r="BB2" i="36"/>
  <c r="BA2" i="36"/>
  <c r="Y122" i="6" l="1"/>
  <c r="BB13" i="36" l="1"/>
  <c r="BE40" i="59" l="1"/>
  <c r="BA13" i="36"/>
  <c r="BD40" i="59" l="1"/>
  <c r="BP25" i="2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3" i="15" l="1"/>
  <c r="AE13" i="15" s="1"/>
  <c r="AI13" i="15" s="1"/>
  <c r="BD64" i="36" l="1"/>
  <c r="BD72" i="36" s="1"/>
  <c r="BD61" i="36"/>
  <c r="BD59" i="36"/>
  <c r="BD67" i="36" s="1"/>
  <c r="BC59" i="36"/>
  <c r="BD58" i="36"/>
  <c r="BD66" i="36" s="1"/>
  <c r="BD57" i="36"/>
  <c r="BD17" i="36" s="1"/>
  <c r="BD56" i="36"/>
  <c r="BD16" i="36" s="1"/>
  <c r="BC56" i="36"/>
  <c r="BG54" i="59" l="1"/>
  <c r="BG55" i="59"/>
  <c r="BD63" i="36"/>
  <c r="BD69" i="36"/>
  <c r="BD71" i="36" s="1"/>
  <c r="AO13" i="15"/>
  <c r="BR20" i="21"/>
  <c r="AS13" i="15" l="1"/>
  <c r="AW13" i="15" l="1"/>
  <c r="BE13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BH13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BG13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BH14" i="52" s="1"/>
  <c r="R13" i="52"/>
  <c r="V13" i="52" s="1"/>
  <c r="AB13" i="52"/>
  <c r="AF13" i="52" s="1"/>
  <c r="AJ13" i="52" s="1"/>
  <c r="AP13" i="52" s="1"/>
  <c r="AT13" i="52" s="1"/>
  <c r="AX13" i="52" s="1"/>
  <c r="BF13" i="52" s="1"/>
  <c r="BH12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BG14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BG12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8" i="8"/>
  <c r="N149" i="8" s="1"/>
  <c r="AT16" i="52" l="1"/>
  <c r="AX10" i="52"/>
  <c r="AS9" i="52"/>
  <c r="AW5" i="52"/>
  <c r="AT9" i="52"/>
  <c r="AX5" i="52"/>
  <c r="AP17" i="52"/>
  <c r="AO16" i="52"/>
  <c r="AO17" i="52" s="1"/>
  <c r="AS10" i="52"/>
  <c r="R98" i="8"/>
  <c r="AB98" i="8"/>
  <c r="AB149" i="8" s="1"/>
  <c r="AF98" i="8" l="1"/>
  <c r="V98" i="8"/>
  <c r="V149" i="8" s="1"/>
  <c r="R149" i="8"/>
  <c r="AS16" i="52"/>
  <c r="AS17" i="52" s="1"/>
  <c r="AW10" i="52"/>
  <c r="BF10" i="52"/>
  <c r="BF16" i="52" s="1"/>
  <c r="BH15" i="52" s="1"/>
  <c r="AX16" i="52"/>
  <c r="BF5" i="52"/>
  <c r="BF9" i="52" s="1"/>
  <c r="AX9" i="52"/>
  <c r="BE5" i="52"/>
  <c r="BE9" i="52" s="1"/>
  <c r="AW9" i="52"/>
  <c r="AT17" i="52"/>
  <c r="AJ98" i="8" l="1"/>
  <c r="AJ149" i="8" s="1"/>
  <c r="AF149" i="8"/>
  <c r="AF18" i="49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AW16" i="52"/>
  <c r="AW17" i="52" s="1"/>
  <c r="AP98" i="8"/>
  <c r="AT98" i="8" l="1"/>
  <c r="AP149" i="8"/>
  <c r="BE17" i="52"/>
  <c r="BG15" i="52"/>
  <c r="AX98" i="8" l="1"/>
  <c r="AT149" i="8"/>
  <c r="H79" i="59"/>
  <c r="H78" i="59"/>
  <c r="H77" i="59"/>
  <c r="H75" i="59"/>
  <c r="H8" i="59"/>
  <c r="H9" i="59"/>
  <c r="H10" i="59"/>
  <c r="AX149" i="8" l="1"/>
  <c r="BF98" i="8"/>
  <c r="BF149" i="8" s="1"/>
  <c r="Y112" i="26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BH98" i="8" l="1"/>
  <c r="BH149" i="8" s="1"/>
  <c r="Y82" i="26"/>
  <c r="K157" i="45" l="1"/>
  <c r="S157" i="45" s="1"/>
  <c r="W157" i="45" s="1"/>
  <c r="K152" i="45"/>
  <c r="AC157" i="45" l="1"/>
  <c r="AG157" i="45" s="1"/>
  <c r="AC152" i="45"/>
  <c r="AG152" i="45" s="1"/>
  <c r="S152" i="45"/>
  <c r="W152" i="45" s="1"/>
  <c r="AK152" i="45" l="1"/>
  <c r="AQ152" i="45" s="1"/>
  <c r="AU152" i="45" s="1"/>
  <c r="AK157" i="45"/>
  <c r="AQ157" i="45" s="1"/>
  <c r="AU157" i="45" s="1"/>
  <c r="AA4" i="61"/>
  <c r="AA16" i="61" s="1"/>
  <c r="AY157" i="45" l="1"/>
  <c r="AY152" i="45"/>
  <c r="AA135" i="45"/>
  <c r="Z135" i="45"/>
  <c r="AA133" i="45"/>
  <c r="Z133" i="45"/>
  <c r="AA8" i="45"/>
  <c r="AA170" i="45" s="1"/>
  <c r="AA176" i="45" s="1"/>
  <c r="AA7" i="45"/>
  <c r="Z7" i="45"/>
  <c r="AA2" i="45"/>
  <c r="AA142" i="45" s="1"/>
  <c r="Z2" i="45"/>
  <c r="Z142" i="45" s="1"/>
  <c r="Z86" i="11"/>
  <c r="Z91" i="11" s="1"/>
  <c r="Z82" i="11"/>
  <c r="Z81" i="11"/>
  <c r="Z7" i="11"/>
  <c r="Z5" i="11"/>
  <c r="Y5" i="11"/>
  <c r="Z2" i="11"/>
  <c r="Z77" i="11" s="1"/>
  <c r="Y2" i="11"/>
  <c r="Y77" i="11" s="1"/>
  <c r="Z185" i="10"/>
  <c r="Z190" i="10" s="1"/>
  <c r="Z180" i="10"/>
  <c r="Z181" i="10"/>
  <c r="Z5" i="10"/>
  <c r="Z161" i="10" s="1"/>
  <c r="Y5" i="10"/>
  <c r="Y161" i="10" s="1"/>
  <c r="Z2" i="10"/>
  <c r="Z176" i="10" s="1"/>
  <c r="Y2" i="10"/>
  <c r="Y176" i="10" s="1"/>
  <c r="D100" i="9"/>
  <c r="D95" i="9"/>
  <c r="D92" i="9"/>
  <c r="D90" i="9"/>
  <c r="D89" i="9"/>
  <c r="D74" i="9"/>
  <c r="D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2" i="8"/>
  <c r="BG152" i="45" l="1"/>
  <c r="BI152" i="45" s="1"/>
  <c r="BG157" i="45"/>
  <c r="BI157" i="45" s="1"/>
  <c r="AU79" i="9"/>
  <c r="AY79" i="9"/>
  <c r="AG79" i="9"/>
  <c r="AK79" i="9"/>
  <c r="AC79" i="9"/>
  <c r="W79" i="9"/>
  <c r="S79" i="9"/>
  <c r="O79" i="9"/>
  <c r="G79" i="9"/>
  <c r="K79" i="9"/>
  <c r="AA121" i="45"/>
  <c r="AQ79" i="9"/>
  <c r="AJ18" i="9"/>
  <c r="AP18" i="9" s="1"/>
  <c r="AT18" i="9" s="1"/>
  <c r="AA125" i="50"/>
  <c r="Z56" i="11"/>
  <c r="Z74" i="11" s="1"/>
  <c r="Z55" i="11"/>
  <c r="AB15" i="9"/>
  <c r="AF15" i="9" s="1"/>
  <c r="AJ15" i="9" s="1"/>
  <c r="AA137" i="45"/>
  <c r="AA154" i="45"/>
  <c r="AA149" i="45"/>
  <c r="Z72" i="11"/>
  <c r="E79" i="9"/>
  <c r="Y51" i="9"/>
  <c r="AA15" i="9"/>
  <c r="AE15" i="9" s="1"/>
  <c r="AI15" i="9" s="1"/>
  <c r="AI89" i="9" s="1"/>
  <c r="Z171" i="10"/>
  <c r="Z21" i="36"/>
  <c r="AA120" i="45"/>
  <c r="AA158" i="45" s="1"/>
  <c r="AA160" i="45" s="1"/>
  <c r="Z137" i="45"/>
  <c r="Z123" i="45"/>
  <c r="Y72" i="11"/>
  <c r="Y58" i="11"/>
  <c r="Z59" i="11"/>
  <c r="Z89" i="11"/>
  <c r="D25" i="9"/>
  <c r="D91" i="9"/>
  <c r="Z83" i="11"/>
  <c r="Z84" i="11" s="1"/>
  <c r="Z188" i="10"/>
  <c r="Y171" i="10"/>
  <c r="AA136" i="45"/>
  <c r="Z136" i="45"/>
  <c r="Z134" i="45"/>
  <c r="AB73" i="59" s="1"/>
  <c r="AA134" i="45"/>
  <c r="AC73" i="59" s="1"/>
  <c r="Z93" i="11"/>
  <c r="Y168" i="10"/>
  <c r="AB65" i="59" s="1"/>
  <c r="Z166" i="10"/>
  <c r="Z182" i="10"/>
  <c r="Z189" i="10" s="1"/>
  <c r="Z170" i="10"/>
  <c r="Y170" i="10"/>
  <c r="Z168" i="10"/>
  <c r="AC65" i="59" s="1"/>
  <c r="D19" i="9"/>
  <c r="D75" i="8"/>
  <c r="D49" i="8"/>
  <c r="D50" i="8" s="1"/>
  <c r="D51" i="8" s="1"/>
  <c r="D25" i="8"/>
  <c r="D24" i="8"/>
  <c r="D23" i="8"/>
  <c r="D31" i="8"/>
  <c r="D29" i="8"/>
  <c r="D28" i="8"/>
  <c r="D69" i="8" s="1"/>
  <c r="D27" i="8"/>
  <c r="D16" i="8"/>
  <c r="Z6" i="7"/>
  <c r="D75" i="7"/>
  <c r="D73" i="7"/>
  <c r="D67" i="7"/>
  <c r="D51" i="7"/>
  <c r="D1" i="7"/>
  <c r="AJ89" i="9" l="1"/>
  <c r="AJ56" i="36"/>
  <c r="D61" i="7"/>
  <c r="D102" i="7" s="1"/>
  <c r="D34" i="7"/>
  <c r="AX18" i="9"/>
  <c r="BF18" i="9" s="1"/>
  <c r="D57" i="7"/>
  <c r="D62" i="7"/>
  <c r="D58" i="7"/>
  <c r="D54" i="7"/>
  <c r="D55" i="7"/>
  <c r="D59" i="7"/>
  <c r="D56" i="7"/>
  <c r="D60" i="7"/>
  <c r="D30" i="7"/>
  <c r="D32" i="7"/>
  <c r="AW32" i="7" s="1"/>
  <c r="D37" i="7"/>
  <c r="D31" i="7"/>
  <c r="D36" i="7"/>
  <c r="M36" i="7" s="1"/>
  <c r="M90" i="7" s="1"/>
  <c r="D33" i="7"/>
  <c r="D99" i="7" s="1"/>
  <c r="D27" i="7"/>
  <c r="Z97" i="11"/>
  <c r="AA121" i="50"/>
  <c r="AP7" i="9"/>
  <c r="AF56" i="36"/>
  <c r="AF16" i="36" s="1"/>
  <c r="AF89" i="9"/>
  <c r="AP8" i="9"/>
  <c r="AE89" i="9"/>
  <c r="Z58" i="11"/>
  <c r="Z22" i="36" s="1"/>
  <c r="D59" i="8"/>
  <c r="D63" i="8" s="1"/>
  <c r="D35" i="8" s="1"/>
  <c r="D109" i="8"/>
  <c r="D111" i="8" s="1"/>
  <c r="Z21" i="7"/>
  <c r="AB6" i="7"/>
  <c r="AF6" i="7" s="1"/>
  <c r="AJ6" i="7" s="1"/>
  <c r="D68" i="7"/>
  <c r="AA51" i="9"/>
  <c r="AE51" i="9" s="1"/>
  <c r="AI51" i="9" s="1"/>
  <c r="Z60" i="11"/>
  <c r="AA123" i="45"/>
  <c r="Z23" i="36" s="1"/>
  <c r="AA124" i="45"/>
  <c r="AA125" i="45" s="1"/>
  <c r="D23" i="7"/>
  <c r="D26" i="7"/>
  <c r="D29" i="7"/>
  <c r="D25" i="7"/>
  <c r="D28" i="7"/>
  <c r="D24" i="7"/>
  <c r="D65" i="8"/>
  <c r="D34" i="8" s="1"/>
  <c r="Z90" i="11"/>
  <c r="D83" i="7"/>
  <c r="D81" i="7"/>
  <c r="D76" i="7"/>
  <c r="D78" i="7"/>
  <c r="D26" i="8"/>
  <c r="D80" i="7"/>
  <c r="D36" i="8"/>
  <c r="Z183" i="10"/>
  <c r="Z85" i="11"/>
  <c r="D42" i="8"/>
  <c r="BE30" i="7" l="1"/>
  <c r="BC30" i="7"/>
  <c r="BC94" i="7" s="1"/>
  <c r="BF34" i="59" s="1"/>
  <c r="BA30" i="7"/>
  <c r="BA94" i="7" s="1"/>
  <c r="BD34" i="59" s="1"/>
  <c r="AW27" i="7"/>
  <c r="AW91" i="7" s="1"/>
  <c r="BE27" i="7"/>
  <c r="BE91" i="7" s="1"/>
  <c r="BA27" i="7"/>
  <c r="BA91" i="7" s="1"/>
  <c r="BC27" i="7"/>
  <c r="BC91" i="7" s="1"/>
  <c r="AO28" i="7"/>
  <c r="AM28" i="7"/>
  <c r="AM26" i="7"/>
  <c r="AO26" i="7"/>
  <c r="AM32" i="7"/>
  <c r="AM98" i="7" s="1"/>
  <c r="AO32" i="7"/>
  <c r="AO98" i="7" s="1"/>
  <c r="AI27" i="7"/>
  <c r="AI91" i="7" s="1"/>
  <c r="AS27" i="7"/>
  <c r="AS91" i="7" s="1"/>
  <c r="AM27" i="7"/>
  <c r="AM91" i="7" s="1"/>
  <c r="AO27" i="7"/>
  <c r="AO91" i="7" s="1"/>
  <c r="AO29" i="7"/>
  <c r="AO93" i="7" s="1"/>
  <c r="AR33" i="59" s="1"/>
  <c r="AM29" i="7"/>
  <c r="AM93" i="7" s="1"/>
  <c r="AP33" i="59" s="1"/>
  <c r="AM23" i="7"/>
  <c r="AO23" i="7"/>
  <c r="AO30" i="7"/>
  <c r="AO94" i="7" s="1"/>
  <c r="AR34" i="59" s="1"/>
  <c r="AM30" i="7"/>
  <c r="AM94" i="7" s="1"/>
  <c r="AP34" i="59" s="1"/>
  <c r="AM24" i="7"/>
  <c r="AO24" i="7"/>
  <c r="AM25" i="7"/>
  <c r="AO25" i="7"/>
  <c r="AM31" i="7"/>
  <c r="AO31" i="7"/>
  <c r="AO95" i="7" s="1"/>
  <c r="AR35" i="59" s="1"/>
  <c r="D91" i="7"/>
  <c r="AE27" i="7"/>
  <c r="AE91" i="7" s="1"/>
  <c r="Y27" i="7"/>
  <c r="Y91" i="7" s="1"/>
  <c r="AA27" i="7"/>
  <c r="Y30" i="7"/>
  <c r="Y94" i="7" s="1"/>
  <c r="AB34" i="59" s="1"/>
  <c r="AA30" i="7"/>
  <c r="AA94" i="7" s="1"/>
  <c r="AD34" i="59" s="1"/>
  <c r="U58" i="7"/>
  <c r="AW58" i="7"/>
  <c r="AI58" i="7"/>
  <c r="U62" i="7"/>
  <c r="AW62" i="7"/>
  <c r="AI62" i="7"/>
  <c r="U54" i="7"/>
  <c r="AW54" i="7"/>
  <c r="AI54" i="7"/>
  <c r="U57" i="7"/>
  <c r="AW57" i="7"/>
  <c r="AI57" i="7"/>
  <c r="U55" i="7"/>
  <c r="AW55" i="7"/>
  <c r="AI55" i="7"/>
  <c r="U60" i="7"/>
  <c r="AW60" i="7"/>
  <c r="AI60" i="7"/>
  <c r="U56" i="7"/>
  <c r="U96" i="7" s="1"/>
  <c r="AW56" i="7"/>
  <c r="AW96" i="7" s="1"/>
  <c r="AI56" i="7"/>
  <c r="AI96" i="7" s="1"/>
  <c r="U59" i="7"/>
  <c r="AW59" i="7"/>
  <c r="AI59" i="7"/>
  <c r="AW30" i="7"/>
  <c r="AW94" i="7" s="1"/>
  <c r="AZ34" i="59" s="1"/>
  <c r="AI30" i="7"/>
  <c r="AI94" i="7" s="1"/>
  <c r="U26" i="7"/>
  <c r="AW26" i="7"/>
  <c r="AI26" i="7"/>
  <c r="AW29" i="7"/>
  <c r="AW93" i="7" s="1"/>
  <c r="AZ33" i="59" s="1"/>
  <c r="AI29" i="7"/>
  <c r="AI93" i="7" s="1"/>
  <c r="AL33" i="59" s="1"/>
  <c r="AJ21" i="7"/>
  <c r="AW98" i="7"/>
  <c r="AI32" i="7"/>
  <c r="AI98" i="7" s="1"/>
  <c r="U23" i="7"/>
  <c r="U87" i="7" s="1"/>
  <c r="AW23" i="7"/>
  <c r="AI23" i="7"/>
  <c r="U24" i="7"/>
  <c r="AW24" i="7"/>
  <c r="AI24" i="7"/>
  <c r="AW28" i="7"/>
  <c r="AW92" i="7" s="1"/>
  <c r="AI28" i="7"/>
  <c r="AI92" i="7" s="1"/>
  <c r="U25" i="7"/>
  <c r="AW25" i="7"/>
  <c r="AI25" i="7"/>
  <c r="AW31" i="7"/>
  <c r="AW95" i="7" s="1"/>
  <c r="AZ35" i="59" s="1"/>
  <c r="AI31" i="7"/>
  <c r="AI95" i="7" s="1"/>
  <c r="AL35" i="59" s="1"/>
  <c r="U32" i="7"/>
  <c r="U98" i="7" s="1"/>
  <c r="M32" i="7"/>
  <c r="M98" i="7" s="1"/>
  <c r="U30" i="7"/>
  <c r="U94" i="7" s="1"/>
  <c r="X34" i="59" s="1"/>
  <c r="M30" i="7"/>
  <c r="M94" i="7" s="1"/>
  <c r="U31" i="7"/>
  <c r="U95" i="7" s="1"/>
  <c r="X35" i="59" s="1"/>
  <c r="M31" i="7"/>
  <c r="U37" i="7"/>
  <c r="U103" i="7" s="1"/>
  <c r="M37" i="7"/>
  <c r="M103" i="7" s="1"/>
  <c r="U29" i="7"/>
  <c r="U93" i="7" s="1"/>
  <c r="X33" i="59" s="1"/>
  <c r="M29" i="7"/>
  <c r="M93" i="7" s="1"/>
  <c r="Q27" i="7"/>
  <c r="Q91" i="7" s="1"/>
  <c r="U27" i="7"/>
  <c r="U91" i="7" s="1"/>
  <c r="U28" i="7"/>
  <c r="U92" i="7" s="1"/>
  <c r="M28" i="7"/>
  <c r="M92" i="7" s="1"/>
  <c r="D110" i="8"/>
  <c r="D112" i="8" s="1"/>
  <c r="BA60" i="7"/>
  <c r="BE60" i="7"/>
  <c r="BC60" i="7"/>
  <c r="AS60" i="7"/>
  <c r="AO60" i="7"/>
  <c r="AM60" i="7"/>
  <c r="AE60" i="7"/>
  <c r="Q60" i="7"/>
  <c r="M60" i="7"/>
  <c r="AA60" i="7"/>
  <c r="Y60" i="7"/>
  <c r="BA54" i="7"/>
  <c r="BE54" i="7"/>
  <c r="BC54" i="7"/>
  <c r="AS54" i="7"/>
  <c r="AO54" i="7"/>
  <c r="AO88" i="7" s="1"/>
  <c r="AR30" i="59" s="1"/>
  <c r="AM54" i="7"/>
  <c r="AE54" i="7"/>
  <c r="Q54" i="7"/>
  <c r="M54" i="7"/>
  <c r="AA54" i="7"/>
  <c r="Y54" i="7"/>
  <c r="BA56" i="7"/>
  <c r="BA96" i="7" s="1"/>
  <c r="BE56" i="7"/>
  <c r="BE96" i="7" s="1"/>
  <c r="BC56" i="7"/>
  <c r="BC96" i="7" s="1"/>
  <c r="AS56" i="7"/>
  <c r="AS96" i="7" s="1"/>
  <c r="AO56" i="7"/>
  <c r="AO96" i="7" s="1"/>
  <c r="AM56" i="7"/>
  <c r="AM96" i="7" s="1"/>
  <c r="AE56" i="7"/>
  <c r="AE96" i="7" s="1"/>
  <c r="D96" i="7"/>
  <c r="Q56" i="7"/>
  <c r="Q96" i="7" s="1"/>
  <c r="M56" i="7"/>
  <c r="M96" i="7" s="1"/>
  <c r="AA56" i="7"/>
  <c r="AA96" i="7" s="1"/>
  <c r="Y56" i="7"/>
  <c r="Y96" i="7" s="1"/>
  <c r="BA58" i="7"/>
  <c r="BE58" i="7"/>
  <c r="BC58" i="7"/>
  <c r="AS58" i="7"/>
  <c r="AO58" i="7"/>
  <c r="AM58" i="7"/>
  <c r="AE58" i="7"/>
  <c r="Q58" i="7"/>
  <c r="M58" i="7"/>
  <c r="AA58" i="7"/>
  <c r="Y58" i="7"/>
  <c r="BA59" i="7"/>
  <c r="BE59" i="7"/>
  <c r="BC59" i="7"/>
  <c r="AS59" i="7"/>
  <c r="AM59" i="7"/>
  <c r="AO59" i="7"/>
  <c r="AE59" i="7"/>
  <c r="Q59" i="7"/>
  <c r="M59" i="7"/>
  <c r="Y59" i="7"/>
  <c r="AA59" i="7"/>
  <c r="BA62" i="7"/>
  <c r="BC62" i="7"/>
  <c r="BE62" i="7"/>
  <c r="AS62" i="7"/>
  <c r="AM62" i="7"/>
  <c r="AO62" i="7"/>
  <c r="AE62" i="7"/>
  <c r="Q62" i="7"/>
  <c r="M62" i="7"/>
  <c r="AA62" i="7"/>
  <c r="Y62" i="7"/>
  <c r="BA55" i="7"/>
  <c r="BE55" i="7"/>
  <c r="BC55" i="7"/>
  <c r="AS55" i="7"/>
  <c r="AM55" i="7"/>
  <c r="AO55" i="7"/>
  <c r="AE55" i="7"/>
  <c r="Q55" i="7"/>
  <c r="M55" i="7"/>
  <c r="Y55" i="7"/>
  <c r="AA55" i="7"/>
  <c r="BC57" i="7"/>
  <c r="BE57" i="7"/>
  <c r="BA57" i="7"/>
  <c r="AS57" i="7"/>
  <c r="AM57" i="7"/>
  <c r="AO57" i="7"/>
  <c r="AE57" i="7"/>
  <c r="Q57" i="7"/>
  <c r="M57" i="7"/>
  <c r="AA57" i="7"/>
  <c r="Y57" i="7"/>
  <c r="D103" i="7"/>
  <c r="Q37" i="7"/>
  <c r="Q103" i="7" s="1"/>
  <c r="BE94" i="7"/>
  <c r="BH34" i="59" s="1"/>
  <c r="AS30" i="7"/>
  <c r="AS94" i="7" s="1"/>
  <c r="AV34" i="59" s="1"/>
  <c r="AE30" i="7"/>
  <c r="AE94" i="7" s="1"/>
  <c r="AH34" i="59" s="1"/>
  <c r="AL34" i="59"/>
  <c r="D94" i="7"/>
  <c r="Q30" i="7"/>
  <c r="Q94" i="7" s="1"/>
  <c r="T34" i="59" s="1"/>
  <c r="BC32" i="7"/>
  <c r="BC98" i="7" s="1"/>
  <c r="BA32" i="7"/>
  <c r="BA98" i="7" s="1"/>
  <c r="BC31" i="7"/>
  <c r="BC95" i="7" s="1"/>
  <c r="BF35" i="59" s="1"/>
  <c r="BA31" i="7"/>
  <c r="BA95" i="7" s="1"/>
  <c r="BD35" i="59" s="1"/>
  <c r="BC90" i="7"/>
  <c r="BA90" i="7"/>
  <c r="BA28" i="7"/>
  <c r="BA92" i="7" s="1"/>
  <c r="BC28" i="7"/>
  <c r="BC92" i="7" s="1"/>
  <c r="BC25" i="7"/>
  <c r="BA25" i="7"/>
  <c r="BC23" i="7"/>
  <c r="BA23" i="7"/>
  <c r="BC29" i="7"/>
  <c r="BC93" i="7" s="1"/>
  <c r="BF33" i="59" s="1"/>
  <c r="BA29" i="7"/>
  <c r="BA93" i="7" s="1"/>
  <c r="BD33" i="59" s="1"/>
  <c r="BC26" i="7"/>
  <c r="BA26" i="7"/>
  <c r="BA24" i="7"/>
  <c r="BC24" i="7"/>
  <c r="BE23" i="7"/>
  <c r="BE28" i="7"/>
  <c r="BE92" i="7" s="1"/>
  <c r="BE25" i="7"/>
  <c r="BE26" i="7"/>
  <c r="BE32" i="7"/>
  <c r="BE98" i="7" s="1"/>
  <c r="BE29" i="7"/>
  <c r="BE93" i="7" s="1"/>
  <c r="BH33" i="59" s="1"/>
  <c r="BE24" i="7"/>
  <c r="BE31" i="7"/>
  <c r="BE95" i="7" s="1"/>
  <c r="BH35" i="59" s="1"/>
  <c r="AS28" i="7"/>
  <c r="AS92" i="7" s="1"/>
  <c r="AM92" i="7"/>
  <c r="AO92" i="7"/>
  <c r="AS32" i="7"/>
  <c r="AS98" i="7" s="1"/>
  <c r="AM90" i="7"/>
  <c r="AS31" i="7"/>
  <c r="AS95" i="7" s="1"/>
  <c r="AV35" i="59" s="1"/>
  <c r="AM95" i="7"/>
  <c r="AP35" i="59" s="1"/>
  <c r="AO15" i="9"/>
  <c r="AS25" i="7"/>
  <c r="AE23" i="7"/>
  <c r="AE87" i="7" s="1"/>
  <c r="AS23" i="7"/>
  <c r="AF21" i="7"/>
  <c r="AT8" i="9"/>
  <c r="AX8" i="9" s="1"/>
  <c r="AP15" i="9"/>
  <c r="AE26" i="7"/>
  <c r="AS26" i="7"/>
  <c r="AS24" i="7"/>
  <c r="AS29" i="7"/>
  <c r="AS93" i="7" s="1"/>
  <c r="AV33" i="59" s="1"/>
  <c r="AT7" i="9"/>
  <c r="AX7" i="9" s="1"/>
  <c r="AA25" i="7"/>
  <c r="AE25" i="7"/>
  <c r="AA24" i="7"/>
  <c r="AE24" i="7"/>
  <c r="AA31" i="7"/>
  <c r="AE31" i="7"/>
  <c r="AE95" i="7" s="1"/>
  <c r="AH35" i="59" s="1"/>
  <c r="AA29" i="7"/>
  <c r="AE29" i="7"/>
  <c r="AE93" i="7" s="1"/>
  <c r="AH33" i="59" s="1"/>
  <c r="AA28" i="7"/>
  <c r="AE28" i="7"/>
  <c r="AE92" i="7" s="1"/>
  <c r="AA32" i="7"/>
  <c r="AE32" i="7"/>
  <c r="AE98" i="7" s="1"/>
  <c r="AA91" i="7"/>
  <c r="AA26" i="7"/>
  <c r="D88" i="7"/>
  <c r="D93" i="7"/>
  <c r="D92" i="7"/>
  <c r="D101" i="7"/>
  <c r="D90" i="7"/>
  <c r="D95" i="7"/>
  <c r="D98" i="7"/>
  <c r="D89" i="7"/>
  <c r="D87" i="7"/>
  <c r="D38" i="7"/>
  <c r="D53" i="7" s="1"/>
  <c r="Q23" i="7"/>
  <c r="Q32" i="7"/>
  <c r="Q98" i="7" s="1"/>
  <c r="Q31" i="7"/>
  <c r="Q95" i="7" s="1"/>
  <c r="T35" i="59" s="1"/>
  <c r="Q28" i="7"/>
  <c r="Q92" i="7" s="1"/>
  <c r="Q29" i="7"/>
  <c r="Q93" i="7" s="1"/>
  <c r="T33" i="59" s="1"/>
  <c r="Q24" i="7"/>
  <c r="Q90" i="7"/>
  <c r="Q25" i="7"/>
  <c r="Q26" i="7"/>
  <c r="P33" i="59"/>
  <c r="M26" i="7"/>
  <c r="M24" i="7"/>
  <c r="M23" i="7"/>
  <c r="M87" i="7" s="1"/>
  <c r="M25" i="7"/>
  <c r="Y24" i="7"/>
  <c r="Y29" i="7"/>
  <c r="Y93" i="7" s="1"/>
  <c r="Y32" i="7"/>
  <c r="Y98" i="7" s="1"/>
  <c r="Y31" i="7"/>
  <c r="Y95" i="7" s="1"/>
  <c r="Y25" i="7"/>
  <c r="Y23" i="7"/>
  <c r="Y87" i="7" s="1"/>
  <c r="AA23" i="7"/>
  <c r="Y28" i="7"/>
  <c r="Y92" i="7" s="1"/>
  <c r="Y26" i="7"/>
  <c r="BC89" i="7" l="1"/>
  <c r="BF31" i="59" s="1"/>
  <c r="M88" i="7"/>
  <c r="AE101" i="7"/>
  <c r="AH32" i="59" s="1"/>
  <c r="AS101" i="7"/>
  <c r="AV32" i="59" s="1"/>
  <c r="Y88" i="7"/>
  <c r="BC101" i="7"/>
  <c r="BF32" i="59" s="1"/>
  <c r="AM88" i="7"/>
  <c r="AP30" i="59" s="1"/>
  <c r="U89" i="7"/>
  <c r="X31" i="59" s="1"/>
  <c r="AS89" i="7"/>
  <c r="AV31" i="59" s="1"/>
  <c r="AI88" i="7"/>
  <c r="AL30" i="59" s="1"/>
  <c r="BA89" i="7"/>
  <c r="BD31" i="59" s="1"/>
  <c r="AO89" i="7"/>
  <c r="AR31" i="59" s="1"/>
  <c r="Y89" i="7"/>
  <c r="AE88" i="7"/>
  <c r="AH30" i="59" s="1"/>
  <c r="M89" i="7"/>
  <c r="P31" i="59" s="1"/>
  <c r="AW88" i="7"/>
  <c r="AZ30" i="59" s="1"/>
  <c r="U88" i="7"/>
  <c r="X30" i="59" s="1"/>
  <c r="AW89" i="7"/>
  <c r="AZ31" i="59" s="1"/>
  <c r="M95" i="7"/>
  <c r="P35" i="59" s="1"/>
  <c r="AS88" i="7"/>
  <c r="AV30" i="59" s="1"/>
  <c r="BA88" i="7"/>
  <c r="BD30" i="59" s="1"/>
  <c r="AE89" i="7"/>
  <c r="AH31" i="59" s="1"/>
  <c r="AI89" i="7"/>
  <c r="AL31" i="59" s="1"/>
  <c r="M101" i="7"/>
  <c r="P32" i="59" s="1"/>
  <c r="Q89" i="7"/>
  <c r="P34" i="59"/>
  <c r="P30" i="59"/>
  <c r="BE89" i="7"/>
  <c r="BH31" i="59" s="1"/>
  <c r="AM101" i="7"/>
  <c r="AP32" i="59" s="1"/>
  <c r="BE101" i="7"/>
  <c r="BH32" i="59" s="1"/>
  <c r="BA101" i="7"/>
  <c r="BD32" i="59" s="1"/>
  <c r="U38" i="7"/>
  <c r="U53" i="7" s="1"/>
  <c r="U63" i="7" s="1"/>
  <c r="AI101" i="7"/>
  <c r="AL32" i="59" s="1"/>
  <c r="AW101" i="7"/>
  <c r="AZ32" i="59" s="1"/>
  <c r="U101" i="7"/>
  <c r="X32" i="59" s="1"/>
  <c r="BE88" i="7"/>
  <c r="BH30" i="59" s="1"/>
  <c r="Y101" i="7"/>
  <c r="AO101" i="7"/>
  <c r="AR32" i="59" s="1"/>
  <c r="AI87" i="7"/>
  <c r="AW87" i="7"/>
  <c r="AM89" i="7"/>
  <c r="AP31" i="59" s="1"/>
  <c r="X29" i="59"/>
  <c r="Q88" i="7"/>
  <c r="BC88" i="7"/>
  <c r="BF30" i="59" s="1"/>
  <c r="BA87" i="7"/>
  <c r="BA38" i="7"/>
  <c r="BA53" i="7" s="1"/>
  <c r="BC87" i="7"/>
  <c r="BC38" i="7"/>
  <c r="BC53" i="7" s="1"/>
  <c r="BF7" i="9"/>
  <c r="BF8" i="9"/>
  <c r="BE87" i="7"/>
  <c r="AO87" i="7"/>
  <c r="AT15" i="9"/>
  <c r="AX15" i="9" s="1"/>
  <c r="AX89" i="9" s="1"/>
  <c r="AP56" i="36"/>
  <c r="AP16" i="36" s="1"/>
  <c r="AP89" i="9"/>
  <c r="AM87" i="7"/>
  <c r="AM38" i="7"/>
  <c r="AM53" i="7" s="1"/>
  <c r="AP6" i="7"/>
  <c r="AS87" i="7"/>
  <c r="AO51" i="9"/>
  <c r="AS15" i="9"/>
  <c r="AW15" i="9" s="1"/>
  <c r="AW89" i="9" s="1"/>
  <c r="AO89" i="9"/>
  <c r="AH29" i="59"/>
  <c r="E38" i="7"/>
  <c r="E53" i="7" s="1"/>
  <c r="M38" i="7"/>
  <c r="M53" i="7" s="1"/>
  <c r="Q87" i="7"/>
  <c r="Q38" i="7"/>
  <c r="Q53" i="7" s="1"/>
  <c r="Q77" i="7" s="1"/>
  <c r="D104" i="7"/>
  <c r="Q101" i="7"/>
  <c r="D63" i="7"/>
  <c r="D77" i="7"/>
  <c r="U104" i="7" l="1"/>
  <c r="U77" i="7"/>
  <c r="AZ29" i="59"/>
  <c r="BH29" i="59"/>
  <c r="BC63" i="7"/>
  <c r="BC77" i="7"/>
  <c r="BF29" i="59"/>
  <c r="BC104" i="7"/>
  <c r="BA77" i="7"/>
  <c r="BA63" i="7"/>
  <c r="BD29" i="59"/>
  <c r="BA104" i="7"/>
  <c r="AS89" i="9"/>
  <c r="BF15" i="9"/>
  <c r="AX56" i="36"/>
  <c r="AX16" i="36" s="1"/>
  <c r="BA54" i="59" s="1"/>
  <c r="AS54" i="59"/>
  <c r="AS51" i="9"/>
  <c r="AW51" i="9" s="1"/>
  <c r="AM77" i="7"/>
  <c r="AM63" i="7"/>
  <c r="AT56" i="36"/>
  <c r="AT16" i="36" s="1"/>
  <c r="AT89" i="9"/>
  <c r="AL29" i="59"/>
  <c r="AV29" i="59"/>
  <c r="AT6" i="7"/>
  <c r="AX6" i="7" s="1"/>
  <c r="AP21" i="7"/>
  <c r="AM104" i="7"/>
  <c r="AP29" i="59"/>
  <c r="AR29" i="59"/>
  <c r="E104" i="7"/>
  <c r="Q104" i="7"/>
  <c r="M104" i="7"/>
  <c r="Q63" i="7"/>
  <c r="E77" i="7"/>
  <c r="E63" i="7"/>
  <c r="P29" i="59"/>
  <c r="M77" i="7"/>
  <c r="M63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75" i="28"/>
  <c r="D91" i="28" s="1"/>
  <c r="D74" i="28"/>
  <c r="D73" i="28"/>
  <c r="D72" i="28"/>
  <c r="D69" i="28"/>
  <c r="BF89" i="9" l="1"/>
  <c r="BL89" i="9"/>
  <c r="AX21" i="7"/>
  <c r="AW92" i="6"/>
  <c r="AW96" i="6"/>
  <c r="AX110" i="6"/>
  <c r="AX93" i="6"/>
  <c r="AX106" i="6"/>
  <c r="AW93" i="6"/>
  <c r="AW114" i="6"/>
  <c r="AX111" i="6"/>
  <c r="AX92" i="6"/>
  <c r="AX123" i="6"/>
  <c r="BF6" i="7"/>
  <c r="BH6" i="7" s="1"/>
  <c r="BE15" i="9"/>
  <c r="BK89" i="9" s="1"/>
  <c r="AJ91" i="6"/>
  <c r="AF97" i="6"/>
  <c r="AP122" i="6"/>
  <c r="AT122" i="6" s="1"/>
  <c r="AW54" i="59"/>
  <c r="AJ104" i="6"/>
  <c r="AT21" i="7"/>
  <c r="AB105" i="6"/>
  <c r="AF105" i="6" s="1"/>
  <c r="AJ105" i="6" s="1"/>
  <c r="AP105" i="6" s="1"/>
  <c r="AT105" i="6" s="1"/>
  <c r="D83" i="28"/>
  <c r="D87" i="28"/>
  <c r="AB114" i="6"/>
  <c r="AF114" i="6" s="1"/>
  <c r="AJ114" i="6" s="1"/>
  <c r="AP114" i="6" s="1"/>
  <c r="AT114" i="6" s="1"/>
  <c r="D76" i="28"/>
  <c r="D79" i="28"/>
  <c r="Z97" i="6"/>
  <c r="Z64" i="36"/>
  <c r="Z61" i="36"/>
  <c r="Z63" i="36" s="1"/>
  <c r="Z57" i="36"/>
  <c r="Z17" i="36" s="1"/>
  <c r="AC55" i="59" s="1"/>
  <c r="Z58" i="36"/>
  <c r="Z56" i="36"/>
  <c r="Z16" i="36" s="1"/>
  <c r="Y59" i="36"/>
  <c r="BE114" i="6" l="1"/>
  <c r="BG114" i="6" s="1"/>
  <c r="BF111" i="6"/>
  <c r="BH111" i="6" s="1"/>
  <c r="BE93" i="6"/>
  <c r="BG93" i="6" s="1"/>
  <c r="BE96" i="6"/>
  <c r="BG96" i="6" s="1"/>
  <c r="BF123" i="6"/>
  <c r="BH123" i="6" s="1"/>
  <c r="BF106" i="6"/>
  <c r="BH106" i="6" s="1"/>
  <c r="BF93" i="6"/>
  <c r="BH93" i="6" s="1"/>
  <c r="BE92" i="6"/>
  <c r="BG92" i="6" s="1"/>
  <c r="BF92" i="6"/>
  <c r="BH92" i="6" s="1"/>
  <c r="BF110" i="6"/>
  <c r="BH110" i="6" s="1"/>
  <c r="BE89" i="9"/>
  <c r="AX105" i="6"/>
  <c r="AX114" i="6"/>
  <c r="AX122" i="6"/>
  <c r="BF21" i="7"/>
  <c r="BH21" i="7" s="1"/>
  <c r="BE51" i="9"/>
  <c r="AP104" i="6"/>
  <c r="AP91" i="6"/>
  <c r="AJ97" i="6"/>
  <c r="Z18" i="36"/>
  <c r="AC56" i="59" s="1"/>
  <c r="AC54" i="59"/>
  <c r="Y56" i="36"/>
  <c r="D95" i="28"/>
  <c r="BF122" i="6" l="1"/>
  <c r="BH122" i="6" s="1"/>
  <c r="BF114" i="6"/>
  <c r="BH114" i="6" s="1"/>
  <c r="BF105" i="6"/>
  <c r="BH105" i="6" s="1"/>
  <c r="AT104" i="6"/>
  <c r="AT91" i="6"/>
  <c r="AX91" i="6" s="1"/>
  <c r="AP97" i="6"/>
  <c r="D12" i="21"/>
  <c r="D15" i="21" s="1"/>
  <c r="Y6" i="21"/>
  <c r="AX97" i="6" l="1"/>
  <c r="BF91" i="6"/>
  <c r="AX104" i="6"/>
  <c r="AT97" i="6"/>
  <c r="D22" i="21"/>
  <c r="D28" i="21"/>
  <c r="BF97" i="6" l="1"/>
  <c r="BH97" i="6" s="1"/>
  <c r="BH91" i="6"/>
  <c r="BF104" i="6"/>
  <c r="BH104" i="6" s="1"/>
  <c r="J132" i="6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AS104" i="6"/>
  <c r="I139" i="6"/>
  <c r="J139" i="6"/>
  <c r="BE122" i="6" l="1"/>
  <c r="BG122" i="6" s="1"/>
  <c r="AW104" i="6"/>
  <c r="J143" i="6"/>
  <c r="J206" i="6" s="1"/>
  <c r="BE104" i="6" l="1"/>
  <c r="BG104" i="6" s="1"/>
  <c r="J199" i="6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 s="1"/>
  <c r="AB93" i="11" l="1"/>
  <c r="AB85" i="11"/>
  <c r="K4" i="61" l="1"/>
  <c r="K16" i="61" s="1"/>
  <c r="N184" i="10" l="1"/>
  <c r="N192" i="10"/>
  <c r="G16" i="61"/>
  <c r="X78" i="26" l="1"/>
  <c r="X82" i="26" s="1"/>
  <c r="X48" i="26"/>
  <c r="Z59" i="36" l="1"/>
  <c r="Z60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9" i="8" s="1"/>
  <c r="Y110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1" i="8"/>
  <c r="Y112" i="8" s="1"/>
  <c r="Y28" i="22"/>
  <c r="Y14" i="22"/>
  <c r="Y37" i="8"/>
  <c r="Y67" i="8"/>
  <c r="Y34" i="8"/>
  <c r="BE61" i="9" l="1"/>
  <c r="AS77" i="9"/>
  <c r="AO79" i="9"/>
  <c r="AS62" i="9"/>
  <c r="AW62" i="9" s="1"/>
  <c r="AW79" i="9" s="1"/>
  <c r="BE78" i="9" l="1"/>
  <c r="BK78" i="9"/>
  <c r="BR78" i="9" s="1"/>
  <c r="BE60" i="9"/>
  <c r="AS79" i="9"/>
  <c r="BE77" i="9" l="1"/>
  <c r="BK77" i="9"/>
  <c r="BR77" i="9" s="1"/>
  <c r="BE62" i="9"/>
  <c r="BE79" i="9" l="1"/>
  <c r="BK79" i="9"/>
  <c r="BR79" i="9" s="1"/>
  <c r="Z92" i="11"/>
  <c r="AC68" i="59" l="1"/>
  <c r="Z79" i="11"/>
  <c r="AC70" i="59" s="1"/>
  <c r="Z94" i="11"/>
  <c r="AA143" i="45"/>
  <c r="Z143" i="45"/>
  <c r="AA141" i="45"/>
  <c r="Z141" i="45"/>
  <c r="AA140" i="45"/>
  <c r="Z78" i="11"/>
  <c r="Y78" i="11"/>
  <c r="Z76" i="11"/>
  <c r="Y76" i="11"/>
  <c r="Z75" i="11"/>
  <c r="J7" i="11"/>
  <c r="AB7" i="11" l="1"/>
  <c r="AF7" i="11" s="1"/>
  <c r="J59" i="11"/>
  <c r="J56" i="11"/>
  <c r="J55" i="11"/>
  <c r="AJ7" i="11" l="1"/>
  <c r="AF56" i="11"/>
  <c r="AF59" i="11"/>
  <c r="AF55" i="11"/>
  <c r="AF92" i="11" s="1"/>
  <c r="J196" i="10"/>
  <c r="J60" i="11"/>
  <c r="AB56" i="11"/>
  <c r="AB59" i="11"/>
  <c r="AB55" i="11"/>
  <c r="Z144" i="45"/>
  <c r="AA144" i="45"/>
  <c r="AJ56" i="11" l="1"/>
  <c r="AJ59" i="11"/>
  <c r="AJ55" i="11"/>
  <c r="AJ92" i="11" s="1"/>
  <c r="AP7" i="11"/>
  <c r="AF60" i="11"/>
  <c r="AF97" i="11"/>
  <c r="AF94" i="11"/>
  <c r="AB97" i="11"/>
  <c r="AB60" i="11"/>
  <c r="AC74" i="59"/>
  <c r="AB72" i="59"/>
  <c r="AJ60" i="11" l="1"/>
  <c r="AT7" i="11"/>
  <c r="AP59" i="11"/>
  <c r="AP55" i="11"/>
  <c r="AP92" i="11" s="1"/>
  <c r="AP94" i="11" s="1"/>
  <c r="AP56" i="11"/>
  <c r="AJ94" i="11"/>
  <c r="AJ97" i="11"/>
  <c r="R196" i="10"/>
  <c r="AC72" i="59"/>
  <c r="AX7" i="11" l="1"/>
  <c r="AP97" i="11"/>
  <c r="AX56" i="11"/>
  <c r="AX55" i="11"/>
  <c r="AX59" i="11"/>
  <c r="AP60" i="11"/>
  <c r="AT59" i="11"/>
  <c r="AT56" i="11"/>
  <c r="AT55" i="11"/>
  <c r="H90" i="17"/>
  <c r="H89" i="17"/>
  <c r="L89" i="17" s="1"/>
  <c r="P89" i="17" s="1"/>
  <c r="T89" i="17" s="1"/>
  <c r="H32" i="27"/>
  <c r="AX92" i="11" l="1"/>
  <c r="AT92" i="11"/>
  <c r="AT97" i="11"/>
  <c r="AX60" i="11"/>
  <c r="AT60" i="11"/>
  <c r="BF7" i="11"/>
  <c r="AX97" i="11"/>
  <c r="L90" i="17"/>
  <c r="P90" i="17" s="1"/>
  <c r="P32" i="27"/>
  <c r="T32" i="27" s="1"/>
  <c r="Z89" i="17"/>
  <c r="AD89" i="17" s="1"/>
  <c r="AH89" i="17" s="1"/>
  <c r="AX94" i="11" l="1"/>
  <c r="AT94" i="11"/>
  <c r="BF55" i="11"/>
  <c r="BF59" i="11"/>
  <c r="BF56" i="11"/>
  <c r="T90" i="17"/>
  <c r="X90" i="17" s="1"/>
  <c r="AN89" i="17"/>
  <c r="Z32" i="27"/>
  <c r="AD32" i="27" s="1"/>
  <c r="BF97" i="11" l="1"/>
  <c r="AR89" i="17"/>
  <c r="BF92" i="11"/>
  <c r="AH32" i="27"/>
  <c r="AN32" i="27" s="1"/>
  <c r="AR32" i="27" s="1"/>
  <c r="BF60" i="11"/>
  <c r="X17" i="26"/>
  <c r="X15" i="26"/>
  <c r="X11" i="26"/>
  <c r="X9" i="26"/>
  <c r="AV89" i="17" l="1"/>
  <c r="BD89" i="17" s="1"/>
  <c r="BF94" i="11"/>
  <c r="AV32" i="27"/>
  <c r="BD32" i="27" s="1"/>
  <c r="BI32" i="27" s="1"/>
  <c r="X12" i="26"/>
  <c r="X19" i="26" s="1"/>
  <c r="R37" i="36" l="1"/>
  <c r="Q37" i="36"/>
  <c r="J7" i="45"/>
  <c r="J137" i="45" s="1"/>
  <c r="Y64" i="36"/>
  <c r="Y61" i="36"/>
  <c r="Y63" i="36" s="1"/>
  <c r="Y37" i="36" l="1"/>
  <c r="Y57" i="36"/>
  <c r="Y33" i="36"/>
  <c r="Z33" i="36"/>
  <c r="Z40" i="36" s="1"/>
  <c r="R7" i="45"/>
  <c r="V7" i="45" s="1"/>
  <c r="AB7" i="45"/>
  <c r="AF7" i="45" s="1"/>
  <c r="AJ7" i="45" s="1"/>
  <c r="Y58" i="36"/>
  <c r="AJ123" i="45" l="1"/>
  <c r="V123" i="45"/>
  <c r="AP7" i="45"/>
  <c r="AF123" i="45"/>
  <c r="AB79" i="59"/>
  <c r="Z29" i="36"/>
  <c r="Y7" i="15" s="1"/>
  <c r="Z28" i="36"/>
  <c r="Y6" i="15" s="1"/>
  <c r="Z27" i="36"/>
  <c r="Y5" i="15" s="1"/>
  <c r="AB123" i="45"/>
  <c r="AB77" i="59"/>
  <c r="AB78" i="59"/>
  <c r="Y60" i="36"/>
  <c r="AP123" i="45" l="1"/>
  <c r="AR72" i="59" s="1"/>
  <c r="AT7" i="45"/>
  <c r="AX7" i="45" s="1"/>
  <c r="AX123" i="45" s="1"/>
  <c r="F162" i="10"/>
  <c r="BI162" i="10" s="1"/>
  <c r="F163" i="10" l="1"/>
  <c r="AT123" i="45"/>
  <c r="AV72" i="59" s="1"/>
  <c r="BF7" i="45" l="1"/>
  <c r="AZ72" i="59"/>
  <c r="N191" i="10"/>
  <c r="BH7" i="45" l="1"/>
  <c r="BF123" i="45"/>
  <c r="N193" i="10"/>
  <c r="AC4" i="61"/>
  <c r="N178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 s="1"/>
  <c r="R7" i="11"/>
  <c r="V7" i="11" s="1"/>
  <c r="I20" i="8"/>
  <c r="J20" i="8"/>
  <c r="AU4" i="61" l="1"/>
  <c r="AY4" i="61" s="1"/>
  <c r="AY16" i="61" s="1"/>
  <c r="V56" i="11"/>
  <c r="V59" i="11"/>
  <c r="V55" i="11"/>
  <c r="V92" i="11" s="1"/>
  <c r="R56" i="11"/>
  <c r="R59" i="11"/>
  <c r="R55" i="11"/>
  <c r="V60" i="11" l="1"/>
  <c r="AU16" i="61"/>
  <c r="V94" i="11"/>
  <c r="V97" i="11"/>
  <c r="BG4" i="61"/>
  <c r="BG16" i="61" s="1"/>
  <c r="R60" i="11"/>
  <c r="S122" i="45"/>
  <c r="AC150" i="45"/>
  <c r="AC159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BH16" i="52" s="1"/>
  <c r="K17" i="52"/>
  <c r="M9" i="52"/>
  <c r="N9" i="52"/>
  <c r="AV17" i="26" l="1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2" i="7"/>
  <c r="T12" i="26" l="1"/>
  <c r="T19" i="26" s="1"/>
  <c r="P12" i="26"/>
  <c r="P19" i="26" s="1"/>
  <c r="N83" i="7"/>
  <c r="R82" i="7"/>
  <c r="V82" i="7" s="1"/>
  <c r="V83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8" i="45"/>
  <c r="K170" i="45" s="1"/>
  <c r="K176" i="45" s="1"/>
  <c r="I21" i="8"/>
  <c r="AH11" i="26" l="1"/>
  <c r="AN11" i="26" s="1"/>
  <c r="AR11" i="26" s="1"/>
  <c r="AH9" i="26"/>
  <c r="T18" i="26"/>
  <c r="N162" i="10"/>
  <c r="N163" i="10" s="1"/>
  <c r="AD12" i="26"/>
  <c r="P18" i="26"/>
  <c r="K121" i="45"/>
  <c r="K120" i="45"/>
  <c r="R83" i="7"/>
  <c r="L19" i="26"/>
  <c r="Z12" i="26"/>
  <c r="Z19" i="26" s="1"/>
  <c r="J162" i="10"/>
  <c r="J163" i="10" s="1"/>
  <c r="H19" i="26"/>
  <c r="K125" i="50" l="1"/>
  <c r="AV11" i="26"/>
  <c r="BD11" i="26" s="1"/>
  <c r="AH12" i="26"/>
  <c r="AH19" i="26" s="1"/>
  <c r="AN9" i="26"/>
  <c r="K121" i="50"/>
  <c r="R162" i="10"/>
  <c r="R163" i="10" s="1"/>
  <c r="AD19" i="26"/>
  <c r="AD18" i="26"/>
  <c r="K124" i="45"/>
  <c r="K125" i="45" s="1"/>
  <c r="Z18" i="26"/>
  <c r="AA17" i="26"/>
  <c r="AE17" i="26" s="1"/>
  <c r="AH18" i="26" l="1"/>
  <c r="AI17" i="26"/>
  <c r="AO17" i="26" s="1"/>
  <c r="AS17" i="26" s="1"/>
  <c r="AR9" i="26"/>
  <c r="AV9" i="26" s="1"/>
  <c r="AV12" i="26" s="1"/>
  <c r="AN12" i="26"/>
  <c r="AF162" i="10"/>
  <c r="AF163" i="10" s="1"/>
  <c r="E9" i="52"/>
  <c r="H69" i="59"/>
  <c r="H65" i="59"/>
  <c r="AW17" i="26" l="1"/>
  <c r="BE17" i="26" s="1"/>
  <c r="AV18" i="26"/>
  <c r="AV19" i="26"/>
  <c r="AK121" i="50"/>
  <c r="AN18" i="26"/>
  <c r="AN19" i="26"/>
  <c r="AR12" i="26"/>
  <c r="O121" i="50"/>
  <c r="S121" i="50"/>
  <c r="W121" i="50"/>
  <c r="AC121" i="50"/>
  <c r="E17" i="52"/>
  <c r="BG16" i="52" s="1"/>
  <c r="AR19" i="26" l="1"/>
  <c r="AR18" i="26"/>
  <c r="BD9" i="26"/>
  <c r="AG121" i="50"/>
  <c r="BD12" i="26" l="1"/>
  <c r="BD18" i="26" s="1"/>
  <c r="BD19" i="26"/>
  <c r="R184" i="10"/>
  <c r="R192" i="10"/>
  <c r="AB92" i="11" l="1"/>
  <c r="AB94" i="11" l="1"/>
  <c r="BA64" i="36" l="1"/>
  <c r="BC64" i="36" s="1"/>
  <c r="BA61" i="36"/>
  <c r="BA58" i="36"/>
  <c r="BA33" i="36"/>
  <c r="BA34" i="36"/>
  <c r="BC34" i="36" s="1"/>
  <c r="BC61" i="36" l="1"/>
  <c r="BC63" i="36" s="1"/>
  <c r="BA63" i="36"/>
  <c r="BB33" i="36"/>
  <c r="BB40" i="36" s="1"/>
  <c r="BD75" i="59"/>
  <c r="BC33" i="36"/>
  <c r="BA60" i="36"/>
  <c r="BC58" i="36"/>
  <c r="BA35" i="36"/>
  <c r="BC35" i="36" s="1"/>
  <c r="BA57" i="36"/>
  <c r="BA17" i="36" s="1"/>
  <c r="BB34" i="36"/>
  <c r="BD34" i="36" l="1"/>
  <c r="BD41" i="36" s="1"/>
  <c r="BB41" i="36"/>
  <c r="BB43" i="36" s="1"/>
  <c r="BD55" i="59"/>
  <c r="BD33" i="36"/>
  <c r="BD40" i="36" s="1"/>
  <c r="BB27" i="36"/>
  <c r="BB28" i="36"/>
  <c r="BB29" i="36"/>
  <c r="BF75" i="59"/>
  <c r="BA36" i="36"/>
  <c r="BA38" i="36" s="1"/>
  <c r="BB35" i="36"/>
  <c r="BD35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6" i="36"/>
  <c r="X144" i="7"/>
  <c r="X146" i="7" s="1"/>
  <c r="X147" i="7" s="1"/>
  <c r="L144" i="7"/>
  <c r="L146" i="7" s="1"/>
  <c r="L147" i="7" s="1"/>
  <c r="H144" i="7"/>
  <c r="BG79" i="59" l="1"/>
  <c r="BC7" i="15"/>
  <c r="BG77" i="59"/>
  <c r="BC5" i="15"/>
  <c r="BG78" i="59"/>
  <c r="BC6" i="15"/>
  <c r="H146" i="7"/>
  <c r="BB36" i="36"/>
  <c r="BB38" i="36" s="1"/>
  <c r="H147" i="7" l="1"/>
  <c r="BB30" i="36"/>
  <c r="BE80" i="59" s="1"/>
  <c r="BD36" i="36"/>
  <c r="X138" i="7" l="1"/>
  <c r="X140" i="7" s="1"/>
  <c r="X141" i="7" s="1"/>
  <c r="L138" i="7"/>
  <c r="L140" i="7" s="1"/>
  <c r="L141" i="7" s="1"/>
  <c r="H138" i="7"/>
  <c r="J98" i="8"/>
  <c r="H140" i="7" l="1"/>
  <c r="H141" i="7" l="1"/>
  <c r="L121" i="7"/>
  <c r="H121" i="7"/>
  <c r="X129" i="7"/>
  <c r="X121" i="7" l="1"/>
  <c r="X130" i="7" s="1"/>
  <c r="L129" i="7"/>
  <c r="H129" i="7"/>
  <c r="X131" i="7"/>
  <c r="Z121" i="7" l="1"/>
  <c r="X132" i="7"/>
  <c r="X133" i="7" s="1"/>
  <c r="J121" i="7"/>
  <c r="H131" i="7"/>
  <c r="H130" i="7"/>
  <c r="L130" i="7"/>
  <c r="L131" i="7"/>
  <c r="L132" i="7" s="1"/>
  <c r="V121" i="7" l="1"/>
  <c r="H132" i="7"/>
  <c r="N121" i="7"/>
  <c r="L133" i="7"/>
  <c r="H133" i="7" l="1"/>
  <c r="R121" i="7"/>
  <c r="V129" i="7" l="1"/>
  <c r="V131" i="7" l="1"/>
  <c r="V132" i="7" s="1"/>
  <c r="V130" i="7"/>
  <c r="V133" i="7" s="1"/>
  <c r="V135" i="7" s="1"/>
  <c r="AB121" i="7"/>
  <c r="I140" i="6" l="1"/>
  <c r="I143" i="6" l="1"/>
  <c r="I206" i="6" s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8" i="36" s="1"/>
  <c r="AN2" i="36"/>
  <c r="AN38" i="36" l="1"/>
  <c r="AN43" i="36"/>
  <c r="BC2" i="36"/>
  <c r="BC38" i="36" s="1"/>
  <c r="AM30" i="36"/>
  <c r="AP80" i="59" s="1"/>
  <c r="BD2" i="36"/>
  <c r="AN30" i="36"/>
  <c r="AQ80" i="59" s="1"/>
  <c r="BD38" i="36" l="1"/>
  <c r="BD43" i="36"/>
  <c r="BD13" i="36"/>
  <c r="BG40" i="59" l="1"/>
  <c r="BC75" i="8"/>
  <c r="AA56" i="9" l="1"/>
  <c r="AE56" i="9" s="1"/>
  <c r="AI56" i="9" s="1"/>
  <c r="AI73" i="9" s="1"/>
  <c r="E68" i="36"/>
  <c r="AA59" i="36"/>
  <c r="AE73" i="9" l="1"/>
  <c r="AB56" i="9"/>
  <c r="AF56" i="9" s="1"/>
  <c r="AJ56" i="9" s="1"/>
  <c r="F60" i="36"/>
  <c r="AB59" i="36"/>
  <c r="AJ73" i="9" l="1"/>
  <c r="AJ59" i="36"/>
  <c r="AJ67" i="36" s="1"/>
  <c r="AF59" i="36"/>
  <c r="AF67" i="36" s="1"/>
  <c r="AF73" i="9"/>
  <c r="AO56" i="9"/>
  <c r="AP56" i="9" l="1"/>
  <c r="AO73" i="9"/>
  <c r="AS56" i="9"/>
  <c r="AW56" i="9" s="1"/>
  <c r="AW73" i="9" s="1"/>
  <c r="BE59" i="36"/>
  <c r="AS73" i="9" l="1"/>
  <c r="AT56" i="9"/>
  <c r="AX56" i="9" s="1"/>
  <c r="AX73" i="9" s="1"/>
  <c r="AP59" i="36"/>
  <c r="AP67" i="36" s="1"/>
  <c r="AP73" i="9"/>
  <c r="BF56" i="9" l="1"/>
  <c r="AX59" i="36"/>
  <c r="AX67" i="36" s="1"/>
  <c r="BE56" i="9"/>
  <c r="AT59" i="36"/>
  <c r="AT73" i="9"/>
  <c r="K147" i="45"/>
  <c r="K146" i="45"/>
  <c r="K135" i="45"/>
  <c r="J135" i="45"/>
  <c r="I73" i="59"/>
  <c r="H73" i="59"/>
  <c r="K133" i="45"/>
  <c r="J133" i="45"/>
  <c r="K7" i="45"/>
  <c r="K123" i="45" s="1"/>
  <c r="K2" i="45"/>
  <c r="K142" i="45" s="1"/>
  <c r="J2" i="45"/>
  <c r="BE73" i="9" l="1"/>
  <c r="BK73" i="9"/>
  <c r="BR73" i="9" s="1"/>
  <c r="BF73" i="9"/>
  <c r="BL73" i="9"/>
  <c r="N2" i="45"/>
  <c r="N142" i="45" s="1"/>
  <c r="J142" i="45"/>
  <c r="AT67" i="36"/>
  <c r="BF59" i="36"/>
  <c r="BF67" i="36" s="1"/>
  <c r="AC133" i="45"/>
  <c r="AG133" i="45" s="1"/>
  <c r="AK133" i="45" s="1"/>
  <c r="Z131" i="45"/>
  <c r="S146" i="45"/>
  <c r="W146" i="45" s="1"/>
  <c r="AC146" i="45"/>
  <c r="AG146" i="45" s="1"/>
  <c r="AK146" i="45" s="1"/>
  <c r="AA131" i="45"/>
  <c r="S147" i="45"/>
  <c r="W147" i="45" s="1"/>
  <c r="AC147" i="45"/>
  <c r="AG147" i="45" s="1"/>
  <c r="AA138" i="45"/>
  <c r="AA139" i="45" s="1"/>
  <c r="N23" i="36"/>
  <c r="Q72" i="59" s="1"/>
  <c r="J134" i="45"/>
  <c r="L73" i="59" s="1"/>
  <c r="K134" i="45"/>
  <c r="M73" i="59" s="1"/>
  <c r="J141" i="45"/>
  <c r="J140" i="45"/>
  <c r="J143" i="45"/>
  <c r="K141" i="45"/>
  <c r="K140" i="45"/>
  <c r="O2" i="45"/>
  <c r="O142" i="45" s="1"/>
  <c r="K143" i="45"/>
  <c r="I74" i="59"/>
  <c r="H74" i="59"/>
  <c r="K136" i="45"/>
  <c r="O144" i="45"/>
  <c r="Q74" i="59" s="1"/>
  <c r="K138" i="45"/>
  <c r="K139" i="45" s="1"/>
  <c r="K154" i="45"/>
  <c r="K137" i="45"/>
  <c r="J131" i="45"/>
  <c r="O148" i="45"/>
  <c r="K131" i="45"/>
  <c r="S133" i="45"/>
  <c r="W133" i="45" s="1"/>
  <c r="J136" i="45"/>
  <c r="K148" i="45"/>
  <c r="N141" i="45" l="1"/>
  <c r="N143" i="45"/>
  <c r="AB143" i="45" s="1"/>
  <c r="AF143" i="45" s="1"/>
  <c r="N140" i="45"/>
  <c r="BS73" i="9"/>
  <c r="AB2" i="45"/>
  <c r="AF2" i="45" s="1"/>
  <c r="AJ2" i="45" s="1"/>
  <c r="AP2" i="45" s="1"/>
  <c r="AT2" i="45" s="1"/>
  <c r="AX2" i="45" s="1"/>
  <c r="BF2" i="45" s="1"/>
  <c r="R2" i="45"/>
  <c r="V2" i="45" s="1"/>
  <c r="W148" i="45"/>
  <c r="W155" i="45" s="1"/>
  <c r="AK147" i="45"/>
  <c r="AK148" i="45" s="1"/>
  <c r="AQ146" i="45"/>
  <c r="AQ133" i="45"/>
  <c r="AU133" i="45" s="1"/>
  <c r="AG148" i="45"/>
  <c r="O140" i="45"/>
  <c r="O141" i="45"/>
  <c r="O143" i="45"/>
  <c r="AC135" i="45"/>
  <c r="AG135" i="45" s="1"/>
  <c r="AK135" i="45" s="1"/>
  <c r="AK134" i="45" s="1"/>
  <c r="AB135" i="45"/>
  <c r="AF135" i="45" s="1"/>
  <c r="AJ135" i="45" s="1"/>
  <c r="AC7" i="45"/>
  <c r="AG7" i="45" s="1"/>
  <c r="AK7" i="45" s="1"/>
  <c r="N144" i="45"/>
  <c r="P74" i="59" s="1"/>
  <c r="S148" i="45"/>
  <c r="S155" i="45" s="1"/>
  <c r="AC148" i="45"/>
  <c r="AC155" i="45" s="1"/>
  <c r="S2" i="45"/>
  <c r="W2" i="45" s="1"/>
  <c r="AC2" i="45"/>
  <c r="AG2" i="45" s="1"/>
  <c r="AK2" i="45" s="1"/>
  <c r="AQ2" i="45" s="1"/>
  <c r="AU2" i="45" s="1"/>
  <c r="AY2" i="45" s="1"/>
  <c r="BG2" i="45" s="1"/>
  <c r="R133" i="45"/>
  <c r="V133" i="45" s="1"/>
  <c r="AB133" i="45"/>
  <c r="AF133" i="45" s="1"/>
  <c r="AJ133" i="45" s="1"/>
  <c r="AA132" i="45"/>
  <c r="Z132" i="45"/>
  <c r="R141" i="45"/>
  <c r="V141" i="45" s="1"/>
  <c r="AB141" i="45"/>
  <c r="AF141" i="45" s="1"/>
  <c r="R143" i="45"/>
  <c r="V143" i="45" s="1"/>
  <c r="O154" i="45"/>
  <c r="S7" i="45"/>
  <c r="J132" i="45"/>
  <c r="AB131" i="45"/>
  <c r="AF131" i="45" s="1"/>
  <c r="AC138" i="45"/>
  <c r="AG138" i="45" s="1"/>
  <c r="AK138" i="45" s="1"/>
  <c r="K155" i="45"/>
  <c r="K149" i="45"/>
  <c r="O136" i="45"/>
  <c r="S135" i="45"/>
  <c r="W135" i="45" s="1"/>
  <c r="W134" i="45" s="1"/>
  <c r="O134" i="45"/>
  <c r="Q73" i="59" s="1"/>
  <c r="K132" i="45"/>
  <c r="AC131" i="45"/>
  <c r="AG131" i="45" s="1"/>
  <c r="AK131" i="45" s="1"/>
  <c r="AK132" i="45" s="1"/>
  <c r="O155" i="45"/>
  <c r="O149" i="45"/>
  <c r="N136" i="45"/>
  <c r="R135" i="45"/>
  <c r="V135" i="45" s="1"/>
  <c r="N134" i="45"/>
  <c r="P73" i="59" s="1"/>
  <c r="K159" i="45"/>
  <c r="K150" i="45"/>
  <c r="R142" i="45" l="1"/>
  <c r="V142" i="45" s="1"/>
  <c r="AB142" i="45"/>
  <c r="AF142" i="45" s="1"/>
  <c r="AJ142" i="45" s="1"/>
  <c r="AP142" i="45" s="1"/>
  <c r="AT142" i="45" s="1"/>
  <c r="AX142" i="45" s="1"/>
  <c r="AY133" i="45"/>
  <c r="AK149" i="45"/>
  <c r="AK155" i="45"/>
  <c r="W136" i="45"/>
  <c r="S142" i="45"/>
  <c r="W142" i="45" s="1"/>
  <c r="V136" i="45"/>
  <c r="V134" i="45"/>
  <c r="X73" i="59" s="1"/>
  <c r="V144" i="45"/>
  <c r="W7" i="45"/>
  <c r="AJ136" i="45"/>
  <c r="AJ134" i="45"/>
  <c r="AJ144" i="45"/>
  <c r="AL74" i="59" s="1"/>
  <c r="AK136" i="45"/>
  <c r="AJ131" i="45"/>
  <c r="AJ132" i="45" s="1"/>
  <c r="AQ147" i="45"/>
  <c r="AU147" i="45" s="1"/>
  <c r="AK154" i="45"/>
  <c r="AC142" i="45"/>
  <c r="AG142" i="45" s="1"/>
  <c r="AK142" i="45" s="1"/>
  <c r="AQ142" i="45" s="1"/>
  <c r="AU142" i="45" s="1"/>
  <c r="AY142" i="45" s="1"/>
  <c r="AJ143" i="45"/>
  <c r="AP143" i="45" s="1"/>
  <c r="AT143" i="45" s="1"/>
  <c r="AJ141" i="45"/>
  <c r="AP141" i="45" s="1"/>
  <c r="AT141" i="45" s="1"/>
  <c r="BG133" i="45"/>
  <c r="BI133" i="45" s="1"/>
  <c r="AU146" i="45"/>
  <c r="AQ135" i="45"/>
  <c r="AU135" i="45" s="1"/>
  <c r="AM73" i="59"/>
  <c r="AF132" i="45"/>
  <c r="AQ7" i="45"/>
  <c r="AG132" i="45"/>
  <c r="AP135" i="45"/>
  <c r="AT135" i="45" s="1"/>
  <c r="AX135" i="45" s="1"/>
  <c r="AG154" i="45"/>
  <c r="AF134" i="45"/>
  <c r="AH73" i="59" s="1"/>
  <c r="AF136" i="45"/>
  <c r="AF144" i="45"/>
  <c r="AH74" i="59" s="1"/>
  <c r="AG136" i="45"/>
  <c r="AG134" i="45"/>
  <c r="AI73" i="59" s="1"/>
  <c r="AG155" i="45"/>
  <c r="AG149" i="45"/>
  <c r="Y73" i="59"/>
  <c r="AC137" i="45"/>
  <c r="AG137" i="45" s="1"/>
  <c r="AK137" i="45" s="1"/>
  <c r="AC134" i="45"/>
  <c r="AE73" i="59" s="1"/>
  <c r="AC136" i="45"/>
  <c r="AC154" i="45"/>
  <c r="AB144" i="45"/>
  <c r="AC8" i="45"/>
  <c r="AC170" i="45" s="1"/>
  <c r="AC176" i="45" s="1"/>
  <c r="AC149" i="45"/>
  <c r="AB134" i="45"/>
  <c r="AD73" i="59" s="1"/>
  <c r="AC132" i="45"/>
  <c r="AB136" i="45"/>
  <c r="R137" i="45"/>
  <c r="V137" i="45" s="1"/>
  <c r="AB137" i="45"/>
  <c r="AF137" i="45" s="1"/>
  <c r="S140" i="45"/>
  <c r="W140" i="45" s="1"/>
  <c r="AC140" i="45"/>
  <c r="AG140" i="45" s="1"/>
  <c r="S141" i="45"/>
  <c r="W141" i="45" s="1"/>
  <c r="AC141" i="45"/>
  <c r="AG141" i="45" s="1"/>
  <c r="S143" i="45"/>
  <c r="W143" i="45" s="1"/>
  <c r="AC143" i="45"/>
  <c r="AG143" i="45" s="1"/>
  <c r="AB132" i="45"/>
  <c r="S8" i="45"/>
  <c r="S170" i="45" s="1"/>
  <c r="S176" i="45" s="1"/>
  <c r="S149" i="45"/>
  <c r="S154" i="45"/>
  <c r="S137" i="45"/>
  <c r="R136" i="45"/>
  <c r="R134" i="45"/>
  <c r="T73" i="59" s="1"/>
  <c r="S131" i="45"/>
  <c r="W131" i="45" s="1"/>
  <c r="W132" i="45" s="1"/>
  <c r="O132" i="45"/>
  <c r="K158" i="45"/>
  <c r="S138" i="45"/>
  <c r="W138" i="45" s="1"/>
  <c r="O150" i="45"/>
  <c r="R131" i="45"/>
  <c r="V131" i="45" s="1"/>
  <c r="V132" i="45" s="1"/>
  <c r="N132" i="45"/>
  <c r="S159" i="45"/>
  <c r="S150" i="45"/>
  <c r="S136" i="45"/>
  <c r="S134" i="45"/>
  <c r="U73" i="59" s="1"/>
  <c r="AY135" i="45" l="1"/>
  <c r="AY146" i="45"/>
  <c r="AG8" i="45"/>
  <c r="AG170" i="45" s="1"/>
  <c r="AG176" i="45" s="1"/>
  <c r="W8" i="45"/>
  <c r="W170" i="45" s="1"/>
  <c r="W176" i="45" s="1"/>
  <c r="W137" i="45"/>
  <c r="AY147" i="45"/>
  <c r="AX141" i="45"/>
  <c r="BF141" i="45" s="1"/>
  <c r="AX144" i="45"/>
  <c r="AZ74" i="59" s="1"/>
  <c r="AY134" i="45"/>
  <c r="AX143" i="45"/>
  <c r="BF143" i="45" s="1"/>
  <c r="AP131" i="45"/>
  <c r="AT131" i="45" s="1"/>
  <c r="AJ137" i="45"/>
  <c r="AP137" i="45" s="1"/>
  <c r="AT137" i="45" s="1"/>
  <c r="W154" i="45"/>
  <c r="W149" i="45"/>
  <c r="AQ148" i="45"/>
  <c r="AQ155" i="45" s="1"/>
  <c r="AK143" i="45"/>
  <c r="AQ143" i="45" s="1"/>
  <c r="AU143" i="45" s="1"/>
  <c r="AK141" i="45"/>
  <c r="AQ141" i="45" s="1"/>
  <c r="AU141" i="45" s="1"/>
  <c r="AK140" i="45"/>
  <c r="AQ140" i="45" s="1"/>
  <c r="AU140" i="45" s="1"/>
  <c r="AU148" i="45"/>
  <c r="BG135" i="45"/>
  <c r="BI135" i="45" s="1"/>
  <c r="BF135" i="45"/>
  <c r="BH135" i="45" s="1"/>
  <c r="AU134" i="45"/>
  <c r="AW73" i="59" s="1"/>
  <c r="AU136" i="45"/>
  <c r="AT144" i="45"/>
  <c r="AV74" i="59" s="1"/>
  <c r="AQ154" i="45"/>
  <c r="AU7" i="45"/>
  <c r="AQ137" i="45"/>
  <c r="AP133" i="45"/>
  <c r="AP134" i="45" s="1"/>
  <c r="AR73" i="59" s="1"/>
  <c r="AP144" i="45"/>
  <c r="AR74" i="59" s="1"/>
  <c r="AQ131" i="45"/>
  <c r="AL73" i="59"/>
  <c r="AQ134" i="45"/>
  <c r="AS73" i="59" s="1"/>
  <c r="AQ136" i="45"/>
  <c r="AQ138" i="45"/>
  <c r="AC121" i="45"/>
  <c r="S121" i="45"/>
  <c r="S139" i="45" s="1"/>
  <c r="AC120" i="45"/>
  <c r="AC158" i="45" s="1"/>
  <c r="S120" i="45"/>
  <c r="AD72" i="59"/>
  <c r="R132" i="45"/>
  <c r="K160" i="45"/>
  <c r="O158" i="45"/>
  <c r="S132" i="45"/>
  <c r="W120" i="45" l="1"/>
  <c r="BG147" i="45"/>
  <c r="BI147" i="45" s="1"/>
  <c r="BA73" i="59"/>
  <c r="AY136" i="45"/>
  <c r="AU155" i="45"/>
  <c r="AY7" i="45"/>
  <c r="AG120" i="45"/>
  <c r="AG158" i="45" s="1"/>
  <c r="AG160" i="45" s="1"/>
  <c r="AG121" i="45"/>
  <c r="AG139" i="45" s="1"/>
  <c r="O160" i="45"/>
  <c r="AC125" i="50"/>
  <c r="AC139" i="45"/>
  <c r="W121" i="45"/>
  <c r="AK8" i="45"/>
  <c r="AK170" i="45" s="1"/>
  <c r="AK176" i="45" s="1"/>
  <c r="AQ149" i="45"/>
  <c r="S125" i="50"/>
  <c r="W158" i="45"/>
  <c r="W160" i="45" s="1"/>
  <c r="AG125" i="50"/>
  <c r="AY148" i="45"/>
  <c r="AY141" i="45"/>
  <c r="BG141" i="45" s="1"/>
  <c r="AX137" i="45"/>
  <c r="BF137" i="45" s="1"/>
  <c r="AY143" i="45"/>
  <c r="BG143" i="45" s="1"/>
  <c r="AX131" i="45"/>
  <c r="BF131" i="45" s="1"/>
  <c r="BH131" i="45" s="1"/>
  <c r="AY140" i="45"/>
  <c r="BG140" i="45" s="1"/>
  <c r="AU154" i="45"/>
  <c r="BG146" i="45"/>
  <c r="BI146" i="45" s="1"/>
  <c r="BF144" i="45"/>
  <c r="AP136" i="45"/>
  <c r="BG134" i="45"/>
  <c r="BG136" i="45"/>
  <c r="AU137" i="45"/>
  <c r="AP132" i="45"/>
  <c r="AT133" i="45"/>
  <c r="AU149" i="45"/>
  <c r="AU138" i="45"/>
  <c r="AQ132" i="45"/>
  <c r="AU131" i="45"/>
  <c r="W125" i="50"/>
  <c r="S124" i="45"/>
  <c r="S125" i="45" s="1"/>
  <c r="S123" i="45"/>
  <c r="S144" i="45"/>
  <c r="U74" i="59" s="1"/>
  <c r="AC123" i="45"/>
  <c r="AE72" i="59" s="1"/>
  <c r="AC124" i="45"/>
  <c r="AC125" i="45" s="1"/>
  <c r="AC144" i="45"/>
  <c r="AE74" i="59" s="1"/>
  <c r="AC160" i="45"/>
  <c r="S158" i="45"/>
  <c r="AY154" i="45" l="1"/>
  <c r="AY155" i="45"/>
  <c r="AY137" i="45"/>
  <c r="AG123" i="45"/>
  <c r="AF23" i="36" s="1"/>
  <c r="AI72" i="59" s="1"/>
  <c r="AX133" i="45"/>
  <c r="AX134" i="45" s="1"/>
  <c r="AZ73" i="59" s="1"/>
  <c r="AG124" i="45"/>
  <c r="AG125" i="45" s="1"/>
  <c r="AY131" i="45"/>
  <c r="AY132" i="45" s="1"/>
  <c r="AG144" i="45"/>
  <c r="AI74" i="59" s="1"/>
  <c r="AY138" i="45"/>
  <c r="W124" i="45"/>
  <c r="W125" i="45" s="1"/>
  <c r="W139" i="45"/>
  <c r="W144" i="45"/>
  <c r="Y74" i="59" s="1"/>
  <c r="W123" i="45"/>
  <c r="AK120" i="45"/>
  <c r="AK158" i="45" s="1"/>
  <c r="AK160" i="45" s="1"/>
  <c r="AQ8" i="45"/>
  <c r="AK121" i="45"/>
  <c r="AK139" i="45" s="1"/>
  <c r="AY149" i="45"/>
  <c r="BH74" i="59"/>
  <c r="BG148" i="45"/>
  <c r="BI148" i="45" s="1"/>
  <c r="BI73" i="59"/>
  <c r="AX136" i="45"/>
  <c r="AU132" i="45"/>
  <c r="BG7" i="45"/>
  <c r="BI7" i="45" s="1"/>
  <c r="AT136" i="45"/>
  <c r="AT132" i="45"/>
  <c r="AT134" i="45"/>
  <c r="AV73" i="59" s="1"/>
  <c r="U72" i="59"/>
  <c r="R23" i="36"/>
  <c r="AB23" i="36"/>
  <c r="S160" i="45"/>
  <c r="BF133" i="45" l="1"/>
  <c r="BH133" i="45" s="1"/>
  <c r="AX132" i="45"/>
  <c r="AQ170" i="45"/>
  <c r="AQ176" i="45" s="1"/>
  <c r="AQ120" i="45"/>
  <c r="AQ158" i="45" s="1"/>
  <c r="AQ160" i="45" s="1"/>
  <c r="AK124" i="45"/>
  <c r="AK125" i="45" s="1"/>
  <c r="AK123" i="45"/>
  <c r="AK144" i="45"/>
  <c r="AM74" i="59" s="1"/>
  <c r="AU8" i="45"/>
  <c r="AQ121" i="45"/>
  <c r="AQ139" i="45" s="1"/>
  <c r="BG154" i="45"/>
  <c r="BI154" i="45" s="1"/>
  <c r="BG137" i="45"/>
  <c r="BG155" i="45"/>
  <c r="BI155" i="45" s="1"/>
  <c r="Y72" i="59"/>
  <c r="V23" i="36"/>
  <c r="BG149" i="45"/>
  <c r="BG131" i="45"/>
  <c r="BI131" i="45" s="1"/>
  <c r="BG138" i="45"/>
  <c r="BI138" i="45" s="1"/>
  <c r="BF132" i="45"/>
  <c r="BF136" i="45"/>
  <c r="BF134" i="45"/>
  <c r="AU170" i="45" l="1"/>
  <c r="AU176" i="45" s="1"/>
  <c r="AU120" i="45"/>
  <c r="AJ23" i="36"/>
  <c r="AM72" i="59" s="1"/>
  <c r="AQ144" i="45"/>
  <c r="AS74" i="59" s="1"/>
  <c r="AQ124" i="45"/>
  <c r="AQ125" i="45" s="1"/>
  <c r="AQ123" i="45"/>
  <c r="AY8" i="45"/>
  <c r="AU121" i="45"/>
  <c r="BH73" i="59"/>
  <c r="BG132" i="45"/>
  <c r="BC13" i="36"/>
  <c r="BF40" i="59" l="1"/>
  <c r="AU139" i="45"/>
  <c r="AU158" i="45"/>
  <c r="AY170" i="45"/>
  <c r="AY176" i="45" s="1"/>
  <c r="AY120" i="45"/>
  <c r="AY158" i="45" s="1"/>
  <c r="AY160" i="45" s="1"/>
  <c r="AP23" i="36"/>
  <c r="AS72" i="59"/>
  <c r="AU144" i="45"/>
  <c r="AW74" i="59" s="1"/>
  <c r="AU123" i="45"/>
  <c r="AU124" i="45"/>
  <c r="BG8" i="45"/>
  <c r="BI8" i="45" s="1"/>
  <c r="AY121" i="45"/>
  <c r="AY139" i="45" s="1"/>
  <c r="Z3" i="22"/>
  <c r="Y3" i="22"/>
  <c r="J3" i="22"/>
  <c r="N3" i="22" s="1"/>
  <c r="R3" i="22" s="1"/>
  <c r="I3" i="22"/>
  <c r="M3" i="22" s="1"/>
  <c r="Q3" i="22" s="1"/>
  <c r="AU125" i="45" l="1"/>
  <c r="AU160" i="45"/>
  <c r="BG170" i="45"/>
  <c r="BG176" i="45" s="1"/>
  <c r="BG120" i="45"/>
  <c r="BI120" i="45" s="1"/>
  <c r="U3" i="22"/>
  <c r="AA3" i="22" s="1"/>
  <c r="AE3" i="22" s="1"/>
  <c r="AI3" i="22" s="1"/>
  <c r="AO3" i="22" s="1"/>
  <c r="AS3" i="22" s="1"/>
  <c r="AW3" i="22" s="1"/>
  <c r="BE3" i="22" s="1"/>
  <c r="V3" i="22"/>
  <c r="AB3" i="22" s="1"/>
  <c r="AF3" i="22" s="1"/>
  <c r="AJ3" i="22" s="1"/>
  <c r="AP3" i="22" s="1"/>
  <c r="AT3" i="22" s="1"/>
  <c r="AX3" i="22" s="1"/>
  <c r="BF3" i="22" s="1"/>
  <c r="AY144" i="45"/>
  <c r="BA74" i="59" s="1"/>
  <c r="AY123" i="45"/>
  <c r="AY124" i="45"/>
  <c r="AY125" i="45" s="1"/>
  <c r="AW72" i="59"/>
  <c r="AT23" i="36"/>
  <c r="BG121" i="45"/>
  <c r="Y2" i="27"/>
  <c r="X2" i="27"/>
  <c r="BI121" i="45" l="1"/>
  <c r="BG139" i="45"/>
  <c r="BG123" i="45"/>
  <c r="BG144" i="45"/>
  <c r="BG124" i="45"/>
  <c r="BI124" i="45" s="1"/>
  <c r="BA72" i="59"/>
  <c r="AX23" i="36"/>
  <c r="BG158" i="45"/>
  <c r="BI158" i="45" s="1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X68" i="17" s="1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B58" i="9"/>
  <c r="AF58" i="9" s="1"/>
  <c r="AJ58" i="9" s="1"/>
  <c r="Y38" i="9"/>
  <c r="AA38" i="9" s="1"/>
  <c r="AE38" i="9" s="1"/>
  <c r="AI38" i="9" s="1"/>
  <c r="AF51" i="72" s="1"/>
  <c r="Z45" i="9"/>
  <c r="AB45" i="9" s="1"/>
  <c r="AF45" i="9" s="1"/>
  <c r="Z38" i="9"/>
  <c r="W51" i="72" s="1"/>
  <c r="Y29" i="9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AJ75" i="9" l="1"/>
  <c r="AJ61" i="36"/>
  <c r="AJ76" i="9"/>
  <c r="AJ62" i="36"/>
  <c r="AJ70" i="36" s="1"/>
  <c r="AK70" i="36" s="1"/>
  <c r="BO61" i="71"/>
  <c r="BG125" i="45"/>
  <c r="BI74" i="59"/>
  <c r="BG160" i="45"/>
  <c r="BI160" i="45" s="1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N61" i="71"/>
  <c r="AJ134" i="9"/>
  <c r="AP134" i="9" s="1"/>
  <c r="AT134" i="9" s="1"/>
  <c r="AO38" i="9"/>
  <c r="AI20" i="35"/>
  <c r="AP51" i="9"/>
  <c r="AT51" i="9" s="1"/>
  <c r="AF80" i="9"/>
  <c r="AF83" i="9"/>
  <c r="AF61" i="36"/>
  <c r="AF75" i="9"/>
  <c r="AF84" i="9"/>
  <c r="AF62" i="36"/>
  <c r="AF70" i="36" s="1"/>
  <c r="AG70" i="36" s="1"/>
  <c r="AF76" i="9"/>
  <c r="AF85" i="9"/>
  <c r="Y24" i="27"/>
  <c r="X33" i="27"/>
  <c r="Y33" i="27"/>
  <c r="X24" i="27"/>
  <c r="Y12" i="17"/>
  <c r="Y11" i="17"/>
  <c r="Y114" i="17"/>
  <c r="Y118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4" i="17"/>
  <c r="X118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9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Y12" i="26"/>
  <c r="Y19" i="26" s="1"/>
  <c r="X13" i="26"/>
  <c r="Y114" i="26"/>
  <c r="Y96" i="26" s="1"/>
  <c r="Y94" i="26"/>
  <c r="Y45" i="26"/>
  <c r="Y51" i="26"/>
  <c r="Y56" i="26"/>
  <c r="X79" i="17" l="1"/>
  <c r="Y79" i="17"/>
  <c r="AJ72" i="9"/>
  <c r="AJ58" i="36"/>
  <c r="AJ69" i="36"/>
  <c r="AJ71" i="36" s="1"/>
  <c r="AJ63" i="36"/>
  <c r="X74" i="17"/>
  <c r="Y74" i="17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51" i="72"/>
  <c r="AE29" i="9"/>
  <c r="BP61" i="71"/>
  <c r="AJ94" i="9"/>
  <c r="AI19" i="15" s="1"/>
  <c r="AJ93" i="9"/>
  <c r="AJ53" i="9"/>
  <c r="AJ32" i="9"/>
  <c r="AP32" i="9" s="1"/>
  <c r="AT32" i="9" s="1"/>
  <c r="AJ25" i="9"/>
  <c r="AJ52" i="9" s="1"/>
  <c r="AF29" i="9"/>
  <c r="BQ61" i="71"/>
  <c r="AF10" i="9"/>
  <c r="AF82" i="9"/>
  <c r="AI62" i="59" s="1"/>
  <c r="AO20" i="9"/>
  <c r="AP67" i="9"/>
  <c r="AB36" i="9"/>
  <c r="AF30" i="9"/>
  <c r="AF86" i="9"/>
  <c r="AP66" i="9"/>
  <c r="AF58" i="36"/>
  <c r="AF72" i="9"/>
  <c r="AF53" i="9"/>
  <c r="AF93" i="9"/>
  <c r="AF94" i="9"/>
  <c r="AE19" i="15" s="1"/>
  <c r="AP59" i="9"/>
  <c r="AF63" i="36"/>
  <c r="AF69" i="36"/>
  <c r="AF71" i="36" s="1"/>
  <c r="AF87" i="9"/>
  <c r="AI61" i="59" s="1"/>
  <c r="AF25" i="9"/>
  <c r="AF52" i="9" s="1"/>
  <c r="AI58" i="59" s="1"/>
  <c r="AP68" i="9"/>
  <c r="AP58" i="9"/>
  <c r="AP63" i="9"/>
  <c r="Y83" i="17"/>
  <c r="Y67" i="17"/>
  <c r="Y69" i="17" s="1"/>
  <c r="X83" i="17"/>
  <c r="Y117" i="17"/>
  <c r="X67" i="17"/>
  <c r="X69" i="17" s="1"/>
  <c r="X51" i="17"/>
  <c r="X117" i="17"/>
  <c r="X15" i="17"/>
  <c r="Y115" i="17"/>
  <c r="Y15" i="17"/>
  <c r="AA15" i="15"/>
  <c r="AE15" i="15" s="1"/>
  <c r="AI15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31" i="7"/>
  <c r="Z130" i="7"/>
  <c r="Y13" i="26"/>
  <c r="Z10" i="9"/>
  <c r="Y122" i="17" l="1"/>
  <c r="X122" i="17"/>
  <c r="AJ66" i="36"/>
  <c r="AJ68" i="36" s="1"/>
  <c r="AJ60" i="36"/>
  <c r="BU61" i="71"/>
  <c r="AW38" i="9"/>
  <c r="AI29" i="9"/>
  <c r="AI19" i="35" s="1"/>
  <c r="BT61" i="71"/>
  <c r="AX32" i="9"/>
  <c r="BF32" i="9" s="1"/>
  <c r="Z132" i="7"/>
  <c r="AJ35" i="9"/>
  <c r="AP35" i="9" s="1"/>
  <c r="AT35" i="9" s="1"/>
  <c r="AJ29" i="9"/>
  <c r="AJ31" i="9"/>
  <c r="AP31" i="9" s="1"/>
  <c r="AT31" i="9" s="1"/>
  <c r="AJ34" i="9"/>
  <c r="AP34" i="9" s="1"/>
  <c r="AT34" i="9" s="1"/>
  <c r="AJ30" i="9"/>
  <c r="AP30" i="9" s="1"/>
  <c r="AT30" i="9" s="1"/>
  <c r="AJ38" i="9"/>
  <c r="AC51" i="72"/>
  <c r="AP46" i="9"/>
  <c r="AJ20" i="35"/>
  <c r="AF36" i="9"/>
  <c r="AT63" i="9"/>
  <c r="AX63" i="9" s="1"/>
  <c r="AX80" i="9" s="1"/>
  <c r="AP80" i="9"/>
  <c r="AP20" i="9"/>
  <c r="AP55" i="9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61" i="36"/>
  <c r="AP75" i="9"/>
  <c r="AP22" i="9"/>
  <c r="AM58" i="59"/>
  <c r="AT59" i="9"/>
  <c r="AX59" i="9" s="1"/>
  <c r="AX76" i="9" s="1"/>
  <c r="AP62" i="36"/>
  <c r="AP70" i="36" s="1"/>
  <c r="AQ70" i="36" s="1"/>
  <c r="AP76" i="9"/>
  <c r="AP23" i="9"/>
  <c r="AF60" i="36"/>
  <c r="AF66" i="36"/>
  <c r="AF68" i="36" s="1"/>
  <c r="Y119" i="17"/>
  <c r="X55" i="17"/>
  <c r="X115" i="17"/>
  <c r="X119" i="17" s="1"/>
  <c r="AB37" i="9"/>
  <c r="AF37" i="9" s="1"/>
  <c r="AJ37" i="9" s="1"/>
  <c r="Z133" i="7"/>
  <c r="Z25" i="9"/>
  <c r="Z93" i="9"/>
  <c r="BE38" i="9" l="1"/>
  <c r="AT51" i="72"/>
  <c r="BX61" i="71"/>
  <c r="AX30" i="9"/>
  <c r="BF30" i="9" s="1"/>
  <c r="AX35" i="9"/>
  <c r="BF35" i="9" s="1"/>
  <c r="AX34" i="9"/>
  <c r="BF34" i="9" s="1"/>
  <c r="AX31" i="9"/>
  <c r="BF31" i="9" s="1"/>
  <c r="AO29" i="9"/>
  <c r="AO19" i="35" s="1"/>
  <c r="AS19" i="35" s="1"/>
  <c r="AW19" i="35" s="1"/>
  <c r="BE19" i="35" s="1"/>
  <c r="AP29" i="9"/>
  <c r="BY61" i="71"/>
  <c r="AT46" i="9"/>
  <c r="AP20" i="35"/>
  <c r="AT20" i="35" s="1"/>
  <c r="AX20" i="35" s="1"/>
  <c r="BF20" i="35" s="1"/>
  <c r="AP38" i="9"/>
  <c r="AG51" i="72"/>
  <c r="AJ36" i="9"/>
  <c r="AP37" i="9"/>
  <c r="AJ19" i="35"/>
  <c r="AT84" i="9"/>
  <c r="AT85" i="9"/>
  <c r="AP138" i="9"/>
  <c r="AT83" i="9"/>
  <c r="BF59" i="9"/>
  <c r="BL76" i="9" s="1"/>
  <c r="AX62" i="36"/>
  <c r="AX70" i="36" s="1"/>
  <c r="AY70" i="36" s="1"/>
  <c r="BE20" i="9"/>
  <c r="BF58" i="9"/>
  <c r="AX61" i="36"/>
  <c r="AT80" i="9"/>
  <c r="AS101" i="9"/>
  <c r="AW101" i="9" s="1"/>
  <c r="AP101" i="9"/>
  <c r="AF19" i="36"/>
  <c r="AP137" i="9"/>
  <c r="AT22" i="9"/>
  <c r="AX22" i="9" s="1"/>
  <c r="AT20" i="9"/>
  <c r="AP53" i="9"/>
  <c r="AP136" i="9"/>
  <c r="AT9" i="9"/>
  <c r="AX9" i="9" s="1"/>
  <c r="AP10" i="9"/>
  <c r="AT70" i="9"/>
  <c r="AX70" i="9" s="1"/>
  <c r="AX87" i="9" s="1"/>
  <c r="AP87" i="9"/>
  <c r="AS61" i="59" s="1"/>
  <c r="AP25" i="9"/>
  <c r="AP52" i="9" s="1"/>
  <c r="AS58" i="59" s="1"/>
  <c r="AT23" i="9"/>
  <c r="AX23" i="9" s="1"/>
  <c r="AT62" i="36"/>
  <c r="AT70" i="36" s="1"/>
  <c r="AU70" i="36" s="1"/>
  <c r="AT76" i="9"/>
  <c r="AP63" i="36"/>
  <c r="AP69" i="36"/>
  <c r="AP71" i="36" s="1"/>
  <c r="AP139" i="9"/>
  <c r="AT24" i="9"/>
  <c r="AX24" i="9" s="1"/>
  <c r="AT55" i="9"/>
  <c r="AX55" i="9" s="1"/>
  <c r="AX72" i="9" s="1"/>
  <c r="AP58" i="36"/>
  <c r="AP72" i="9"/>
  <c r="AT61" i="36"/>
  <c r="AT75" i="9"/>
  <c r="AT92" i="9"/>
  <c r="AP93" i="9"/>
  <c r="AP94" i="9"/>
  <c r="AO19" i="15" s="1"/>
  <c r="AT65" i="9"/>
  <c r="AX65" i="9" s="1"/>
  <c r="AX82" i="9" s="1"/>
  <c r="AP82" i="9"/>
  <c r="AS62" i="59" s="1"/>
  <c r="AT69" i="9"/>
  <c r="AX69" i="9" s="1"/>
  <c r="AX86" i="9" s="1"/>
  <c r="AP86" i="9"/>
  <c r="AO15" i="15"/>
  <c r="Z74" i="7"/>
  <c r="AB74" i="7" s="1"/>
  <c r="AF74" i="7" s="1"/>
  <c r="AJ74" i="7" s="1"/>
  <c r="AJ75" i="7" s="1"/>
  <c r="Y74" i="7"/>
  <c r="AA74" i="7" s="1"/>
  <c r="AE74" i="7" s="1"/>
  <c r="AI74" i="7" s="1"/>
  <c r="AI75" i="7" s="1"/>
  <c r="Z68" i="7"/>
  <c r="AB68" i="7" s="1"/>
  <c r="AF68" i="7" s="1"/>
  <c r="AJ68" i="7" s="1"/>
  <c r="Z66" i="7"/>
  <c r="AB66" i="7" s="1"/>
  <c r="AF66" i="7" s="1"/>
  <c r="Y66" i="7"/>
  <c r="Z65" i="7"/>
  <c r="AB65" i="7" s="1"/>
  <c r="AF65" i="7" s="1"/>
  <c r="AJ65" i="7" s="1"/>
  <c r="Y65" i="7"/>
  <c r="Z2" i="7"/>
  <c r="Y2" i="7"/>
  <c r="Y159" i="7" s="1"/>
  <c r="X1" i="7"/>
  <c r="X80" i="7" s="1"/>
  <c r="W1" i="7"/>
  <c r="W80" i="7" s="1"/>
  <c r="BF75" i="9" l="1"/>
  <c r="BL75" i="9"/>
  <c r="BS75" i="9" s="1"/>
  <c r="Z84" i="7"/>
  <c r="Z159" i="7"/>
  <c r="AT38" i="9"/>
  <c r="AQ51" i="72" s="1"/>
  <c r="AM51" i="72"/>
  <c r="AX92" i="9"/>
  <c r="BF92" i="9" s="1"/>
  <c r="AX20" i="9"/>
  <c r="AX53" i="9" s="1"/>
  <c r="CD61" i="71"/>
  <c r="AJ66" i="7"/>
  <c r="AP66" i="7" s="1"/>
  <c r="AT66" i="7" s="1"/>
  <c r="AX10" i="9"/>
  <c r="AT29" i="9"/>
  <c r="CE61" i="71"/>
  <c r="AS29" i="9"/>
  <c r="AX25" i="9"/>
  <c r="AX52" i="9" s="1"/>
  <c r="AX46" i="9"/>
  <c r="BF46" i="9" s="1"/>
  <c r="AT37" i="9"/>
  <c r="AP19" i="35"/>
  <c r="AT19" i="35" s="1"/>
  <c r="AX19" i="35" s="1"/>
  <c r="BF19" i="35" s="1"/>
  <c r="AP36" i="9"/>
  <c r="BF76" i="9"/>
  <c r="BS76" i="9" s="1"/>
  <c r="BF62" i="36"/>
  <c r="BF70" i="36" s="1"/>
  <c r="BF9" i="9"/>
  <c r="BF10" i="9" s="1"/>
  <c r="BF63" i="9"/>
  <c r="BF80" i="9" s="1"/>
  <c r="BE101" i="9"/>
  <c r="BF55" i="9"/>
  <c r="AX58" i="36"/>
  <c r="BF22" i="9"/>
  <c r="BF24" i="9"/>
  <c r="AT138" i="9"/>
  <c r="AX138" i="9" s="1"/>
  <c r="AT137" i="9"/>
  <c r="AX137" i="9" s="1"/>
  <c r="BF68" i="9"/>
  <c r="BF85" i="9" s="1"/>
  <c r="AX63" i="36"/>
  <c r="AX69" i="36"/>
  <c r="AX71" i="36" s="1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5" i="15"/>
  <c r="AW15" i="15" s="1"/>
  <c r="AT58" i="36"/>
  <c r="AT72" i="9"/>
  <c r="AT25" i="9"/>
  <c r="AT52" i="9" s="1"/>
  <c r="AW58" i="59" s="1"/>
  <c r="AE1" i="7"/>
  <c r="AE75" i="7"/>
  <c r="AT63" i="36"/>
  <c r="AT69" i="36"/>
  <c r="AT71" i="36" s="1"/>
  <c r="AF67" i="7"/>
  <c r="AF1" i="7"/>
  <c r="AF75" i="7"/>
  <c r="AT136" i="9"/>
  <c r="AX136" i="9" s="1"/>
  <c r="AT10" i="9"/>
  <c r="AT93" i="9"/>
  <c r="AT94" i="9"/>
  <c r="AS19" i="15" s="1"/>
  <c r="AP60" i="36"/>
  <c r="AP66" i="36"/>
  <c r="AP68" i="36" s="1"/>
  <c r="AT101" i="9"/>
  <c r="AT53" i="9"/>
  <c r="Z144" i="7"/>
  <c r="Z146" i="7" s="1"/>
  <c r="Z147" i="7" s="1"/>
  <c r="Y67" i="7"/>
  <c r="Z138" i="7"/>
  <c r="Z140" i="7" s="1"/>
  <c r="Z141" i="7" s="1"/>
  <c r="Z67" i="7"/>
  <c r="Z34" i="7" s="1"/>
  <c r="Z97" i="7" s="1"/>
  <c r="Z75" i="7"/>
  <c r="Y75" i="7"/>
  <c r="X123" i="7"/>
  <c r="X124" i="7" s="1"/>
  <c r="BF72" i="9" l="1"/>
  <c r="BL72" i="9"/>
  <c r="BS72" i="9" s="1"/>
  <c r="AX38" i="9"/>
  <c r="AJ67" i="7"/>
  <c r="AJ34" i="7" s="1"/>
  <c r="AJ97" i="7" s="1"/>
  <c r="BF38" i="9"/>
  <c r="BC51" i="72" s="1"/>
  <c r="AU51" i="72"/>
  <c r="AX94" i="9"/>
  <c r="AW19" i="15" s="1"/>
  <c r="AX93" i="9"/>
  <c r="AX101" i="9"/>
  <c r="BF20" i="9"/>
  <c r="BF53" i="9" s="1"/>
  <c r="Y34" i="7"/>
  <c r="Y97" i="7" s="1"/>
  <c r="Y33" i="7"/>
  <c r="Y99" i="7" s="1"/>
  <c r="AF34" i="7"/>
  <c r="AF97" i="7" s="1"/>
  <c r="AF33" i="7"/>
  <c r="AF27" i="7"/>
  <c r="AF91" i="7" s="1"/>
  <c r="Y37" i="7"/>
  <c r="Y103" i="7" s="1"/>
  <c r="Y61" i="7"/>
  <c r="Y102" i="7" s="1"/>
  <c r="AX66" i="7"/>
  <c r="AJ69" i="7"/>
  <c r="AJ76" i="7"/>
  <c r="AJ61" i="7"/>
  <c r="AJ102" i="7" s="1"/>
  <c r="AJ33" i="7"/>
  <c r="AJ99" i="7" s="1"/>
  <c r="AJ55" i="7"/>
  <c r="CI61" i="71"/>
  <c r="AX29" i="9"/>
  <c r="CH61" i="71"/>
  <c r="AW29" i="9"/>
  <c r="AX37" i="9"/>
  <c r="BF37" i="9" s="1"/>
  <c r="AF99" i="7"/>
  <c r="AF61" i="7"/>
  <c r="AF102" i="7" s="1"/>
  <c r="Z33" i="7"/>
  <c r="Z99" i="7" s="1"/>
  <c r="Z61" i="7"/>
  <c r="Z102" i="7" s="1"/>
  <c r="BF136" i="9"/>
  <c r="Y76" i="7"/>
  <c r="Y36" i="7"/>
  <c r="AT36" i="9"/>
  <c r="BF139" i="9"/>
  <c r="BF137" i="9"/>
  <c r="BF94" i="9"/>
  <c r="BE19" i="15" s="1"/>
  <c r="BF23" i="9"/>
  <c r="BF70" i="9"/>
  <c r="BF87" i="9" s="1"/>
  <c r="BI61" i="59" s="1"/>
  <c r="BA61" i="59"/>
  <c r="AX60" i="36"/>
  <c r="AX66" i="36"/>
  <c r="AX68" i="36" s="1"/>
  <c r="AX19" i="36" s="1"/>
  <c r="BA57" i="59" s="1"/>
  <c r="BF65" i="9"/>
  <c r="BF82" i="9" s="1"/>
  <c r="BI62" i="59" s="1"/>
  <c r="BA62" i="59"/>
  <c r="BF69" i="9"/>
  <c r="BF86" i="9" s="1"/>
  <c r="BA58" i="59"/>
  <c r="AO74" i="7"/>
  <c r="AI1" i="7"/>
  <c r="AJ1" i="7"/>
  <c r="AJ80" i="7" s="1"/>
  <c r="AP74" i="7"/>
  <c r="AT60" i="36"/>
  <c r="AT66" i="36"/>
  <c r="AT68" i="36" s="1"/>
  <c r="AP19" i="36"/>
  <c r="AS57" i="59" s="1"/>
  <c r="AP65" i="7"/>
  <c r="AP68" i="7"/>
  <c r="AF76" i="7"/>
  <c r="AF81" i="7"/>
  <c r="AI28" i="59" s="1"/>
  <c r="AF80" i="7"/>
  <c r="AF28" i="7"/>
  <c r="AF92" i="7" s="1"/>
  <c r="AF54" i="7"/>
  <c r="AF24" i="7"/>
  <c r="AF36" i="7"/>
  <c r="AF90" i="7" s="1"/>
  <c r="AF60" i="7"/>
  <c r="AF32" i="7"/>
  <c r="AF98" i="7" s="1"/>
  <c r="AF62" i="7"/>
  <c r="AF57" i="7"/>
  <c r="AF56" i="7"/>
  <c r="AF96" i="7" s="1"/>
  <c r="AF31" i="7"/>
  <c r="AF95" i="7" s="1"/>
  <c r="AI35" i="59" s="1"/>
  <c r="AF78" i="7"/>
  <c r="AF37" i="7"/>
  <c r="AF103" i="7" s="1"/>
  <c r="AF30" i="7"/>
  <c r="AF94" i="7" s="1"/>
  <c r="AI34" i="59" s="1"/>
  <c r="AF55" i="7"/>
  <c r="AF26" i="7"/>
  <c r="AF58" i="7"/>
  <c r="AF29" i="7"/>
  <c r="AF93" i="7" s="1"/>
  <c r="AI33" i="59" s="1"/>
  <c r="AF59" i="7"/>
  <c r="AF25" i="7"/>
  <c r="AF23" i="7"/>
  <c r="AF69" i="7"/>
  <c r="Z76" i="7"/>
  <c r="Z56" i="7"/>
  <c r="Z96" i="7" s="1"/>
  <c r="Z60" i="7"/>
  <c r="Z55" i="7"/>
  <c r="Z57" i="7"/>
  <c r="Z54" i="7"/>
  <c r="Z59" i="7"/>
  <c r="Z58" i="7"/>
  <c r="Z62" i="7"/>
  <c r="Z30" i="7"/>
  <c r="Z94" i="7" s="1"/>
  <c r="AC34" i="59" s="1"/>
  <c r="Z109" i="7"/>
  <c r="Z37" i="7"/>
  <c r="Z103" i="7" s="1"/>
  <c r="Z27" i="7"/>
  <c r="Z91" i="7" s="1"/>
  <c r="Z110" i="7"/>
  <c r="Z111" i="7"/>
  <c r="Z113" i="7"/>
  <c r="Z112" i="7"/>
  <c r="Z26" i="7"/>
  <c r="Z25" i="7"/>
  <c r="Z24" i="7"/>
  <c r="Z32" i="7"/>
  <c r="Z98" i="7" s="1"/>
  <c r="Z31" i="7"/>
  <c r="Z36" i="7"/>
  <c r="Z90" i="7" s="1"/>
  <c r="Z29" i="7"/>
  <c r="Z28" i="7"/>
  <c r="Z92" i="7" s="1"/>
  <c r="AB35" i="59"/>
  <c r="Z81" i="7"/>
  <c r="AC28" i="59" s="1"/>
  <c r="Z23" i="7"/>
  <c r="Z87" i="7" s="1"/>
  <c r="AB33" i="59"/>
  <c r="Y81" i="7"/>
  <c r="AB28" i="59" s="1"/>
  <c r="AB29" i="59"/>
  <c r="Z78" i="7"/>
  <c r="Z69" i="7"/>
  <c r="Z123" i="7"/>
  <c r="Z124" i="7" s="1"/>
  <c r="Z125" i="7" s="1"/>
  <c r="X125" i="7"/>
  <c r="X126" i="7"/>
  <c r="X127" i="7" s="1"/>
  <c r="AJ81" i="7" l="1"/>
  <c r="AJ36" i="7"/>
  <c r="AJ90" i="7" s="1"/>
  <c r="AJ26" i="7"/>
  <c r="AJ31" i="7"/>
  <c r="AJ95" i="7" s="1"/>
  <c r="AM35" i="59" s="1"/>
  <c r="AJ62" i="7"/>
  <c r="AJ56" i="7"/>
  <c r="AJ96" i="7" s="1"/>
  <c r="AJ57" i="7"/>
  <c r="AJ101" i="7" s="1"/>
  <c r="AJ54" i="7"/>
  <c r="AJ28" i="7"/>
  <c r="AJ92" i="7" s="1"/>
  <c r="AJ60" i="7"/>
  <c r="AJ29" i="7"/>
  <c r="AJ93" i="7" s="1"/>
  <c r="AM33" i="59" s="1"/>
  <c r="AJ23" i="7"/>
  <c r="AJ87" i="7" s="1"/>
  <c r="AJ25" i="7"/>
  <c r="AJ89" i="7" s="1"/>
  <c r="AJ78" i="7"/>
  <c r="AJ58" i="7"/>
  <c r="AJ37" i="7"/>
  <c r="AJ103" i="7" s="1"/>
  <c r="AJ59" i="7"/>
  <c r="AJ27" i="7"/>
  <c r="AJ91" i="7" s="1"/>
  <c r="AJ30" i="7"/>
  <c r="AJ94" i="7" s="1"/>
  <c r="AM34" i="59" s="1"/>
  <c r="AJ24" i="7"/>
  <c r="AJ32" i="7"/>
  <c r="AJ98" i="7" s="1"/>
  <c r="BF93" i="9"/>
  <c r="BF101" i="9"/>
  <c r="CM61" i="71"/>
  <c r="CL61" i="71"/>
  <c r="BF66" i="7"/>
  <c r="BH66" i="7" s="1"/>
  <c r="AX36" i="9"/>
  <c r="BE29" i="9"/>
  <c r="BF29" i="9"/>
  <c r="AP1" i="7"/>
  <c r="AO1" i="7"/>
  <c r="Y90" i="7"/>
  <c r="Y38" i="7"/>
  <c r="Y53" i="7" s="1"/>
  <c r="Z89" i="7"/>
  <c r="AC31" i="59" s="1"/>
  <c r="BF138" i="9"/>
  <c r="AF101" i="7"/>
  <c r="AI32" i="59" s="1"/>
  <c r="BE15" i="15"/>
  <c r="BF25" i="9"/>
  <c r="BF52" i="9" s="1"/>
  <c r="BI58" i="59" s="1"/>
  <c r="AF88" i="7"/>
  <c r="AI30" i="59" s="1"/>
  <c r="Z101" i="7"/>
  <c r="AC32" i="59" s="1"/>
  <c r="AF89" i="7"/>
  <c r="AI31" i="59" s="1"/>
  <c r="AT65" i="7"/>
  <c r="AX65" i="7" s="1"/>
  <c r="AP67" i="7"/>
  <c r="AT19" i="36"/>
  <c r="AW57" i="59" s="1"/>
  <c r="Z88" i="7"/>
  <c r="AC30" i="59" s="1"/>
  <c r="AM28" i="59"/>
  <c r="AF87" i="7"/>
  <c r="AF38" i="7"/>
  <c r="AF53" i="7" s="1"/>
  <c r="AT68" i="7"/>
  <c r="AT74" i="7"/>
  <c r="AX74" i="7" s="1"/>
  <c r="AX75" i="7" s="1"/>
  <c r="AP75" i="7"/>
  <c r="AS74" i="7"/>
  <c r="AW74" i="7" s="1"/>
  <c r="AW75" i="7" s="1"/>
  <c r="AO75" i="7"/>
  <c r="Z95" i="7"/>
  <c r="AC35" i="59" s="1"/>
  <c r="Z93" i="7"/>
  <c r="AC33" i="59" s="1"/>
  <c r="AC29" i="59"/>
  <c r="Z38" i="7"/>
  <c r="Z53" i="7" s="1"/>
  <c r="Z77" i="7" s="1"/>
  <c r="Z126" i="7"/>
  <c r="Z127" i="7" s="1"/>
  <c r="X128" i="7"/>
  <c r="AJ38" i="7" l="1"/>
  <c r="AJ53" i="7" s="1"/>
  <c r="AJ88" i="7"/>
  <c r="AM30" i="59" s="1"/>
  <c r="AX67" i="7"/>
  <c r="AX54" i="7" s="1"/>
  <c r="AP61" i="7"/>
  <c r="AP102" i="7" s="1"/>
  <c r="AP34" i="7"/>
  <c r="AP97" i="7" s="1"/>
  <c r="CU61" i="71"/>
  <c r="CT61" i="71"/>
  <c r="AX68" i="7"/>
  <c r="AX60" i="7"/>
  <c r="AX28" i="7"/>
  <c r="AX92" i="7" s="1"/>
  <c r="AX25" i="7"/>
  <c r="AX31" i="7"/>
  <c r="AX95" i="7" s="1"/>
  <c r="AX29" i="7"/>
  <c r="AX93" i="7" s="1"/>
  <c r="AX27" i="7"/>
  <c r="AX91" i="7" s="1"/>
  <c r="AJ63" i="7"/>
  <c r="AJ77" i="7"/>
  <c r="AJ104" i="7"/>
  <c r="Y77" i="7"/>
  <c r="Y63" i="7"/>
  <c r="AM31" i="59"/>
  <c r="AX1" i="7"/>
  <c r="BF74" i="7"/>
  <c r="BH74" i="7" s="1"/>
  <c r="AW1" i="7"/>
  <c r="BE74" i="7"/>
  <c r="BG74" i="7" s="1"/>
  <c r="AP69" i="7"/>
  <c r="AP33" i="7"/>
  <c r="AP99" i="7" s="1"/>
  <c r="AT67" i="7"/>
  <c r="AT59" i="7" s="1"/>
  <c r="BF36" i="9"/>
  <c r="AS1" i="7"/>
  <c r="AS75" i="7"/>
  <c r="AM32" i="59"/>
  <c r="AF63" i="7"/>
  <c r="AF77" i="7"/>
  <c r="AT1" i="7"/>
  <c r="AT75" i="7"/>
  <c r="AI29" i="59"/>
  <c r="AF104" i="7"/>
  <c r="AP23" i="7"/>
  <c r="AP81" i="7"/>
  <c r="AS28" i="59" s="1"/>
  <c r="AP76" i="7"/>
  <c r="AP80" i="7"/>
  <c r="AP24" i="7"/>
  <c r="AP56" i="7"/>
  <c r="AP96" i="7" s="1"/>
  <c r="AP32" i="7"/>
  <c r="AP98" i="7" s="1"/>
  <c r="AP60" i="7"/>
  <c r="AP54" i="7"/>
  <c r="AP57" i="7"/>
  <c r="AP36" i="7"/>
  <c r="AP90" i="7" s="1"/>
  <c r="AP62" i="7"/>
  <c r="AP28" i="7"/>
  <c r="AP92" i="7" s="1"/>
  <c r="AP26" i="7"/>
  <c r="AP30" i="7"/>
  <c r="AP94" i="7" s="1"/>
  <c r="AS34" i="59" s="1"/>
  <c r="AP25" i="7"/>
  <c r="AP37" i="7"/>
  <c r="AP103" i="7" s="1"/>
  <c r="AP55" i="7"/>
  <c r="AP78" i="7"/>
  <c r="AP27" i="7"/>
  <c r="AP91" i="7" s="1"/>
  <c r="AP29" i="7"/>
  <c r="AP93" i="7" s="1"/>
  <c r="AS33" i="59" s="1"/>
  <c r="AP59" i="7"/>
  <c r="AP58" i="7"/>
  <c r="AP31" i="7"/>
  <c r="AP95" i="7" s="1"/>
  <c r="AS35" i="59" s="1"/>
  <c r="Z128" i="7"/>
  <c r="X135" i="7"/>
  <c r="AD3" i="38"/>
  <c r="AC3" i="38"/>
  <c r="AX58" i="7" l="1"/>
  <c r="AX81" i="7"/>
  <c r="AX80" i="7"/>
  <c r="AX78" i="7"/>
  <c r="AX76" i="7"/>
  <c r="AX26" i="7"/>
  <c r="AX37" i="7"/>
  <c r="AX103" i="7" s="1"/>
  <c r="AX57" i="7"/>
  <c r="AX36" i="7"/>
  <c r="AX90" i="7" s="1"/>
  <c r="AX23" i="7"/>
  <c r="AX56" i="7"/>
  <c r="AX96" i="7" s="1"/>
  <c r="AX59" i="7"/>
  <c r="AX62" i="7"/>
  <c r="AX55" i="7"/>
  <c r="AX89" i="7" s="1"/>
  <c r="AX24" i="7"/>
  <c r="AX88" i="7" s="1"/>
  <c r="AX30" i="7"/>
  <c r="AX94" i="7" s="1"/>
  <c r="AX61" i="7"/>
  <c r="AX102" i="7" s="1"/>
  <c r="BF68" i="7"/>
  <c r="BH68" i="7" s="1"/>
  <c r="AX34" i="7"/>
  <c r="AX97" i="7" s="1"/>
  <c r="AX33" i="7"/>
  <c r="AX99" i="7" s="1"/>
  <c r="AX32" i="7"/>
  <c r="AX98" i="7" s="1"/>
  <c r="AT34" i="7"/>
  <c r="AT97" i="7" s="1"/>
  <c r="AT33" i="7"/>
  <c r="AT99" i="7" s="1"/>
  <c r="AX101" i="7"/>
  <c r="AX69" i="7"/>
  <c r="AX87" i="7"/>
  <c r="AT61" i="7"/>
  <c r="AT102" i="7" s="1"/>
  <c r="AT81" i="7"/>
  <c r="AW28" i="59" s="1"/>
  <c r="AT78" i="7"/>
  <c r="AT76" i="7"/>
  <c r="AT55" i="7"/>
  <c r="AT80" i="7"/>
  <c r="AT26" i="7"/>
  <c r="AT27" i="7"/>
  <c r="AT91" i="7" s="1"/>
  <c r="AT57" i="7"/>
  <c r="AT69" i="7"/>
  <c r="AT23" i="7"/>
  <c r="AT87" i="7" s="1"/>
  <c r="AT62" i="7"/>
  <c r="AT58" i="7"/>
  <c r="AT28" i="7"/>
  <c r="AT92" i="7" s="1"/>
  <c r="AT31" i="7"/>
  <c r="AT95" i="7" s="1"/>
  <c r="AW35" i="59" s="1"/>
  <c r="AT56" i="7"/>
  <c r="AT96" i="7" s="1"/>
  <c r="AT25" i="7"/>
  <c r="AT37" i="7"/>
  <c r="AT103" i="7" s="1"/>
  <c r="AT60" i="7"/>
  <c r="AD61" i="38"/>
  <c r="AD60" i="38"/>
  <c r="AC61" i="38"/>
  <c r="AC60" i="38"/>
  <c r="AT29" i="7"/>
  <c r="AT93" i="7" s="1"/>
  <c r="AW33" i="59" s="1"/>
  <c r="AT54" i="7"/>
  <c r="AT30" i="7"/>
  <c r="AT94" i="7" s="1"/>
  <c r="AW34" i="59" s="1"/>
  <c r="AT24" i="7"/>
  <c r="AT36" i="7"/>
  <c r="AT90" i="7" s="1"/>
  <c r="AT32" i="7"/>
  <c r="AT98" i="7" s="1"/>
  <c r="BE1" i="7"/>
  <c r="BE75" i="7"/>
  <c r="BF1" i="7"/>
  <c r="BF75" i="7"/>
  <c r="BF65" i="7"/>
  <c r="AP101" i="7"/>
  <c r="AS32" i="59" s="1"/>
  <c r="AM29" i="59"/>
  <c r="AP88" i="7"/>
  <c r="AS30" i="59" s="1"/>
  <c r="AP87" i="7"/>
  <c r="AP38" i="7"/>
  <c r="AP53" i="7" s="1"/>
  <c r="AP89" i="7"/>
  <c r="AS31" i="59" s="1"/>
  <c r="AC52" i="38"/>
  <c r="AC67" i="38"/>
  <c r="AD52" i="38"/>
  <c r="AD67" i="38"/>
  <c r="Z135" i="7"/>
  <c r="AA81" i="8"/>
  <c r="BF67" i="7" l="1"/>
  <c r="BF35" i="7" s="1"/>
  <c r="BH65" i="7"/>
  <c r="BF34" i="7"/>
  <c r="BF33" i="7"/>
  <c r="BF99" i="7" s="1"/>
  <c r="AX38" i="7"/>
  <c r="AX53" i="7" s="1"/>
  <c r="AX77" i="7" s="1"/>
  <c r="BF61" i="7"/>
  <c r="BF102" i="7" s="1"/>
  <c r="BF97" i="7"/>
  <c r="AX104" i="7"/>
  <c r="AT89" i="7"/>
  <c r="AW31" i="59" s="1"/>
  <c r="AT101" i="7"/>
  <c r="AW32" i="59" s="1"/>
  <c r="AT88" i="7"/>
  <c r="AW30" i="59" s="1"/>
  <c r="AT38" i="7"/>
  <c r="AT53" i="7" s="1"/>
  <c r="AT63" i="7" s="1"/>
  <c r="BF80" i="7"/>
  <c r="BF76" i="7"/>
  <c r="BF81" i="7"/>
  <c r="BI28" i="59" s="1"/>
  <c r="BF69" i="7"/>
  <c r="BF54" i="7"/>
  <c r="BF62" i="7"/>
  <c r="BF24" i="7"/>
  <c r="BF36" i="7"/>
  <c r="BF90" i="7" s="1"/>
  <c r="BF60" i="7"/>
  <c r="BF57" i="7"/>
  <c r="BF56" i="7"/>
  <c r="BF96" i="7" s="1"/>
  <c r="BF28" i="7"/>
  <c r="BF92" i="7" s="1"/>
  <c r="BF32" i="7"/>
  <c r="BF98" i="7" s="1"/>
  <c r="BF58" i="7"/>
  <c r="BF31" i="7"/>
  <c r="BF95" i="7" s="1"/>
  <c r="BI35" i="59" s="1"/>
  <c r="BF29" i="7"/>
  <c r="BF93" i="7" s="1"/>
  <c r="BI33" i="59" s="1"/>
  <c r="BF55" i="7"/>
  <c r="BF27" i="7"/>
  <c r="BF91" i="7" s="1"/>
  <c r="BF25" i="7"/>
  <c r="BF26" i="7"/>
  <c r="BF30" i="7"/>
  <c r="BF94" i="7" s="1"/>
  <c r="BI34" i="59" s="1"/>
  <c r="BF37" i="7"/>
  <c r="BF103" i="7" s="1"/>
  <c r="BF78" i="7"/>
  <c r="BH78" i="7" s="1"/>
  <c r="BF59" i="7"/>
  <c r="BF23" i="7"/>
  <c r="BA28" i="59"/>
  <c r="BA34" i="59"/>
  <c r="BA35" i="59"/>
  <c r="BA33" i="59"/>
  <c r="AS29" i="59"/>
  <c r="AP104" i="7"/>
  <c r="AP77" i="7"/>
  <c r="AP63" i="7"/>
  <c r="AW29" i="59"/>
  <c r="AD45" i="59"/>
  <c r="BF100" i="7" l="1"/>
  <c r="BH67" i="7"/>
  <c r="AX63" i="7"/>
  <c r="AT104" i="7"/>
  <c r="AT77" i="7"/>
  <c r="BA32" i="59"/>
  <c r="BF101" i="7"/>
  <c r="BI32" i="59" s="1"/>
  <c r="BA29" i="59"/>
  <c r="BF87" i="7"/>
  <c r="BF38" i="7"/>
  <c r="BF53" i="7" s="1"/>
  <c r="BF89" i="7"/>
  <c r="BI31" i="59" s="1"/>
  <c r="BF88" i="7"/>
  <c r="BI30" i="59" s="1"/>
  <c r="BA31" i="59"/>
  <c r="BA30" i="59"/>
  <c r="BI29" i="59" l="1"/>
  <c r="BF104" i="7"/>
  <c r="BF77" i="7"/>
  <c r="BF63" i="7"/>
  <c r="AB45" i="59"/>
  <c r="Z85" i="8" l="1"/>
  <c r="AB85" i="8" s="1"/>
  <c r="Z57" i="8"/>
  <c r="Z55" i="8"/>
  <c r="Z60" i="8"/>
  <c r="AB60" i="8" s="1"/>
  <c r="AF60" i="8" s="1"/>
  <c r="Y61" i="8"/>
  <c r="AA61" i="8" s="1"/>
  <c r="Z33" i="8"/>
  <c r="Y33" i="8"/>
  <c r="Z23" i="8"/>
  <c r="Z150" i="8" s="1"/>
  <c r="Z18" i="8"/>
  <c r="Y8" i="15" s="1"/>
  <c r="Y14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Y2" i="8"/>
  <c r="Y89" i="8" s="1"/>
  <c r="Z11" i="49" l="1"/>
  <c r="Z152" i="8"/>
  <c r="Z88" i="8"/>
  <c r="AJ8" i="8"/>
  <c r="AP8" i="8" s="1"/>
  <c r="AT8" i="8" s="1"/>
  <c r="AI8" i="8"/>
  <c r="AO8" i="8" s="1"/>
  <c r="AS8" i="8" s="1"/>
  <c r="AJ60" i="8"/>
  <c r="AP60" i="8" s="1"/>
  <c r="AJ17" i="8"/>
  <c r="AP17" i="8" s="1"/>
  <c r="AT17" i="8" s="1"/>
  <c r="AI17" i="8"/>
  <c r="AO17" i="8" s="1"/>
  <c r="AS17" i="8" s="1"/>
  <c r="Z89" i="8"/>
  <c r="AF85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Z10" i="36"/>
  <c r="Z8" i="49"/>
  <c r="Z11" i="36"/>
  <c r="Z9" i="49"/>
  <c r="Z109" i="8"/>
  <c r="Z110" i="8" s="1"/>
  <c r="Z87" i="8"/>
  <c r="AB58" i="8"/>
  <c r="AF58" i="8" s="1"/>
  <c r="AJ58" i="8" s="1"/>
  <c r="AB64" i="8"/>
  <c r="AF64" i="8" s="1"/>
  <c r="AJ64" i="8" s="1"/>
  <c r="AB68" i="8"/>
  <c r="AF68" i="8" s="1"/>
  <c r="AJ68" i="8" s="1"/>
  <c r="AB18" i="8"/>
  <c r="AF18" i="8" s="1"/>
  <c r="AJ18" i="8" s="1"/>
  <c r="AI8" i="15" s="1"/>
  <c r="AI14" i="15" s="1"/>
  <c r="AB33" i="8"/>
  <c r="Z81" i="8"/>
  <c r="AC45" i="59" s="1"/>
  <c r="Z26" i="8"/>
  <c r="AF23" i="8" l="1"/>
  <c r="AB150" i="8"/>
  <c r="AF33" i="8"/>
  <c r="AJ33" i="8" s="1"/>
  <c r="AB152" i="8"/>
  <c r="AW17" i="8"/>
  <c r="BE17" i="8" s="1"/>
  <c r="BG17" i="8" s="1"/>
  <c r="AX17" i="8"/>
  <c r="BF17" i="8" s="1"/>
  <c r="BH17" i="8" s="1"/>
  <c r="AW8" i="8"/>
  <c r="BE8" i="8" s="1"/>
  <c r="BG8" i="8" s="1"/>
  <c r="AX8" i="8"/>
  <c r="BF8" i="8" s="1"/>
  <c r="BH8" i="8" s="1"/>
  <c r="AJ85" i="8"/>
  <c r="AF10" i="36"/>
  <c r="AF13" i="36" s="1"/>
  <c r="AJ23" i="8"/>
  <c r="BD60" i="8"/>
  <c r="AT60" i="8"/>
  <c r="AE8" i="15"/>
  <c r="AE14" i="15" s="1"/>
  <c r="AP68" i="8"/>
  <c r="AP64" i="8"/>
  <c r="AF26" i="8"/>
  <c r="AD8" i="15"/>
  <c r="AP58" i="8"/>
  <c r="AT58" i="8" s="1"/>
  <c r="AP13" i="8"/>
  <c r="Z13" i="36"/>
  <c r="Z111" i="8"/>
  <c r="Z112" i="8" s="1"/>
  <c r="Z53" i="8" s="1"/>
  <c r="AC43" i="59" s="1"/>
  <c r="Z52" i="8"/>
  <c r="AC42" i="59" s="1"/>
  <c r="AB109" i="8"/>
  <c r="AB111" i="8" s="1"/>
  <c r="AB54" i="8"/>
  <c r="AF54" i="8" s="1"/>
  <c r="AJ54" i="8" s="1"/>
  <c r="AB57" i="8"/>
  <c r="AB55" i="8"/>
  <c r="AF55" i="8" s="1"/>
  <c r="AJ55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8" i="8" l="1"/>
  <c r="AX60" i="8"/>
  <c r="BF60" i="8" s="1"/>
  <c r="BH60" i="8" s="1"/>
  <c r="AX87" i="6"/>
  <c r="AW119" i="6"/>
  <c r="AW65" i="6"/>
  <c r="AW88" i="6"/>
  <c r="AW70" i="6"/>
  <c r="AW76" i="6"/>
  <c r="AX88" i="6"/>
  <c r="AX28" i="6"/>
  <c r="AW86" i="6"/>
  <c r="AW74" i="6"/>
  <c r="AX31" i="6"/>
  <c r="AX86" i="6"/>
  <c r="AX25" i="6"/>
  <c r="AX70" i="6"/>
  <c r="AW68" i="6"/>
  <c r="AW73" i="6"/>
  <c r="AW87" i="6"/>
  <c r="AJ10" i="36"/>
  <c r="AJ13" i="36" s="1"/>
  <c r="AJ26" i="8"/>
  <c r="AP85" i="8"/>
  <c r="AT85" i="8" s="1"/>
  <c r="AP54" i="8"/>
  <c r="AT54" i="8" s="1"/>
  <c r="AC44" i="59"/>
  <c r="BF65" i="6"/>
  <c r="BH65" i="6" s="1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5" i="8"/>
  <c r="AT64" i="8"/>
  <c r="AT68" i="8"/>
  <c r="AJ24" i="6"/>
  <c r="AF26" i="6"/>
  <c r="AI72" i="6"/>
  <c r="AE77" i="6"/>
  <c r="AS75" i="6"/>
  <c r="AT119" i="6"/>
  <c r="AP18" i="8"/>
  <c r="AF57" i="8"/>
  <c r="AE120" i="6"/>
  <c r="Z165" i="6"/>
  <c r="AB163" i="6"/>
  <c r="AF163" i="6" s="1"/>
  <c r="AJ163" i="6" s="1"/>
  <c r="AB67" i="6"/>
  <c r="AF67" i="6" s="1"/>
  <c r="AB110" i="8"/>
  <c r="AB52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BF88" i="6" l="1"/>
  <c r="BH88" i="6" s="1"/>
  <c r="BE73" i="6"/>
  <c r="BG73" i="6" s="1"/>
  <c r="BE88" i="6"/>
  <c r="BG88" i="6" s="1"/>
  <c r="BE86" i="6"/>
  <c r="BG86" i="6" s="1"/>
  <c r="BE76" i="6"/>
  <c r="BG76" i="6" s="1"/>
  <c r="BE87" i="6"/>
  <c r="BG87" i="6" s="1"/>
  <c r="BE68" i="6"/>
  <c r="BG68" i="6" s="1"/>
  <c r="BE65" i="6"/>
  <c r="BG65" i="6" s="1"/>
  <c r="BE74" i="6"/>
  <c r="BG74" i="6" s="1"/>
  <c r="BE70" i="6"/>
  <c r="BG70" i="6" s="1"/>
  <c r="BF70" i="6"/>
  <c r="BH70" i="6" s="1"/>
  <c r="BE119" i="6"/>
  <c r="BG119" i="6" s="1"/>
  <c r="BF25" i="6"/>
  <c r="BH25" i="6" s="1"/>
  <c r="BF87" i="6"/>
  <c r="BH87" i="6" s="1"/>
  <c r="BF28" i="6"/>
  <c r="BH28" i="6" s="1"/>
  <c r="BF86" i="6"/>
  <c r="BH86" i="6" s="1"/>
  <c r="BF31" i="6"/>
  <c r="BH31" i="6" s="1"/>
  <c r="AX85" i="8"/>
  <c r="AX54" i="8"/>
  <c r="AX68" i="8"/>
  <c r="AX64" i="8"/>
  <c r="BF58" i="8"/>
  <c r="AX124" i="6"/>
  <c r="Y12" i="6"/>
  <c r="Y222" i="6" s="1"/>
  <c r="Y13" i="6"/>
  <c r="Y223" i="6" s="1"/>
  <c r="AW110" i="6"/>
  <c r="AX119" i="6"/>
  <c r="AW111" i="6"/>
  <c r="AW75" i="6"/>
  <c r="AJ57" i="8"/>
  <c r="AP57" i="8" s="1"/>
  <c r="AT57" i="8" s="1"/>
  <c r="BF68" i="6"/>
  <c r="BH68" i="6" s="1"/>
  <c r="AT16" i="8"/>
  <c r="AT18" i="8"/>
  <c r="AX18" i="8" s="1"/>
  <c r="AO8" i="15"/>
  <c r="AO14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AJ67" i="6"/>
  <c r="AF69" i="6"/>
  <c r="AT55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2" i="8"/>
  <c r="AB53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BE75" i="6" l="1"/>
  <c r="BG75" i="6" s="1"/>
  <c r="BE111" i="6"/>
  <c r="BG111" i="6" s="1"/>
  <c r="BF124" i="6"/>
  <c r="BH124" i="6" s="1"/>
  <c r="BF119" i="6"/>
  <c r="BH119" i="6" s="1"/>
  <c r="BE110" i="6"/>
  <c r="BG110" i="6" s="1"/>
  <c r="BF188" i="6"/>
  <c r="BH188" i="6" s="1"/>
  <c r="AX23" i="8"/>
  <c r="AX10" i="36" s="1"/>
  <c r="BA37" i="59" s="1"/>
  <c r="BF54" i="8"/>
  <c r="AV8" i="15"/>
  <c r="AW8" i="15"/>
  <c r="AW14" i="15" s="1"/>
  <c r="BF85" i="8"/>
  <c r="BH85" i="8" s="1"/>
  <c r="AW120" i="6"/>
  <c r="BE116" i="6"/>
  <c r="AX55" i="8"/>
  <c r="BF64" i="8"/>
  <c r="BH64" i="8" s="1"/>
  <c r="AX57" i="8"/>
  <c r="BF68" i="8"/>
  <c r="BH68" i="8" s="1"/>
  <c r="AE172" i="6"/>
  <c r="AE174" i="6" s="1"/>
  <c r="AE175" i="6"/>
  <c r="AS120" i="6"/>
  <c r="BF18" i="8"/>
  <c r="BF13" i="8"/>
  <c r="BF23" i="8"/>
  <c r="BF150" i="8" s="1"/>
  <c r="BE18" i="8"/>
  <c r="AS67" i="6"/>
  <c r="AW67" i="6" s="1"/>
  <c r="AO69" i="6"/>
  <c r="AR8" i="15"/>
  <c r="AT64" i="6"/>
  <c r="AX64" i="6" s="1"/>
  <c r="AP66" i="6"/>
  <c r="AT98" i="6"/>
  <c r="AX98" i="6" s="1"/>
  <c r="AP102" i="6"/>
  <c r="AS72" i="6"/>
  <c r="AW72" i="6" s="1"/>
  <c r="AO77" i="6"/>
  <c r="AJ121" i="6"/>
  <c r="AJ125" i="6" s="1"/>
  <c r="AJ172" i="6" s="1"/>
  <c r="AT24" i="6"/>
  <c r="AX24" i="6" s="1"/>
  <c r="AP26" i="6"/>
  <c r="AT72" i="6"/>
  <c r="AX72" i="6" s="1"/>
  <c r="AP77" i="6"/>
  <c r="AS64" i="6"/>
  <c r="AW64" i="6" s="1"/>
  <c r="AO66" i="6"/>
  <c r="AF147" i="6"/>
  <c r="AF150" i="6"/>
  <c r="AT109" i="6"/>
  <c r="AX109" i="6" s="1"/>
  <c r="AP115" i="6"/>
  <c r="AT163" i="6"/>
  <c r="AX163" i="6" s="1"/>
  <c r="AI172" i="6"/>
  <c r="AI174" i="6" s="1"/>
  <c r="AI175" i="6"/>
  <c r="AT27" i="6"/>
  <c r="AX27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P32" i="6"/>
  <c r="AS98" i="6"/>
  <c r="AW98" i="6" s="1"/>
  <c r="AO102" i="6"/>
  <c r="AF148" i="6"/>
  <c r="AI15" i="59" s="1"/>
  <c r="AS8" i="15"/>
  <c r="AS14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H23" i="8" l="1"/>
  <c r="BF16" i="8"/>
  <c r="BH16" i="8" s="1"/>
  <c r="BH13" i="8"/>
  <c r="BD8" i="15"/>
  <c r="BG18" i="8"/>
  <c r="BE8" i="15"/>
  <c r="BE14" i="15" s="1"/>
  <c r="BH18" i="8"/>
  <c r="BE120" i="6"/>
  <c r="BG120" i="6" s="1"/>
  <c r="BG116" i="6"/>
  <c r="AX66" i="6"/>
  <c r="AX77" i="6"/>
  <c r="AW69" i="6"/>
  <c r="AW66" i="6"/>
  <c r="AX26" i="6"/>
  <c r="AX29" i="6"/>
  <c r="AW77" i="6"/>
  <c r="AX32" i="6"/>
  <c r="AX26" i="8"/>
  <c r="BF163" i="6"/>
  <c r="BH163" i="6" s="1"/>
  <c r="BF57" i="8"/>
  <c r="BF55" i="8"/>
  <c r="AX102" i="6"/>
  <c r="BF98" i="6"/>
  <c r="AX115" i="6"/>
  <c r="BF109" i="6"/>
  <c r="AW115" i="6"/>
  <c r="BE109" i="6"/>
  <c r="AW102" i="6"/>
  <c r="BE98" i="6"/>
  <c r="AX120" i="6"/>
  <c r="BF116" i="6"/>
  <c r="AJ173" i="6"/>
  <c r="AM22" i="59" s="1"/>
  <c r="BF64" i="6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G33" i="8" s="1"/>
  <c r="BF33" i="8"/>
  <c r="BF152" i="8" s="1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Z143" i="6"/>
  <c r="Y149" i="6"/>
  <c r="Y26" i="9"/>
  <c r="AB68" i="59"/>
  <c r="Y79" i="11"/>
  <c r="AB70" i="59" s="1"/>
  <c r="I6" i="59"/>
  <c r="F13" i="49"/>
  <c r="F14" i="49" s="1"/>
  <c r="N14" i="49" s="1"/>
  <c r="Z174" i="6"/>
  <c r="Z8" i="36" s="1"/>
  <c r="Y174" i="6"/>
  <c r="AB74" i="59"/>
  <c r="Z66" i="36"/>
  <c r="Z67" i="36"/>
  <c r="Z72" i="36"/>
  <c r="Z69" i="36"/>
  <c r="Z71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BH33" i="8" l="1"/>
  <c r="BF66" i="6"/>
  <c r="BH66" i="6" s="1"/>
  <c r="BH64" i="6"/>
  <c r="BE102" i="6"/>
  <c r="BG102" i="6" s="1"/>
  <c r="BG98" i="6"/>
  <c r="BH26" i="8"/>
  <c r="BF115" i="6"/>
  <c r="BH115" i="6" s="1"/>
  <c r="BH109" i="6"/>
  <c r="BF120" i="6"/>
  <c r="BH120" i="6" s="1"/>
  <c r="BH116" i="6"/>
  <c r="BE115" i="6"/>
  <c r="BG109" i="6"/>
  <c r="BF102" i="6"/>
  <c r="BH98" i="6"/>
  <c r="AX69" i="6"/>
  <c r="AX103" i="6"/>
  <c r="AW121" i="6"/>
  <c r="AX121" i="6"/>
  <c r="Y207" i="6"/>
  <c r="Y206" i="6"/>
  <c r="Z212" i="6"/>
  <c r="Z206" i="6"/>
  <c r="AW97" i="6"/>
  <c r="BE91" i="6"/>
  <c r="AJ174" i="6"/>
  <c r="AJ8" i="36" s="1"/>
  <c r="AM9" i="59" s="1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E67" i="6"/>
  <c r="BE64" i="6"/>
  <c r="BF24" i="6"/>
  <c r="BF27" i="6"/>
  <c r="BF30" i="6"/>
  <c r="Z207" i="6"/>
  <c r="Y205" i="6"/>
  <c r="Z203" i="6"/>
  <c r="Y208" i="6"/>
  <c r="Y204" i="6"/>
  <c r="Y203" i="6"/>
  <c r="Y212" i="6"/>
  <c r="Y213" i="6"/>
  <c r="Y216" i="6"/>
  <c r="Y219" i="6" s="1"/>
  <c r="BF72" i="6"/>
  <c r="AS97" i="6"/>
  <c r="AS103" i="6" s="1"/>
  <c r="AS107" i="6" s="1"/>
  <c r="AS147" i="6" s="1"/>
  <c r="BE72" i="6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520" i="28"/>
  <c r="Y521" i="28"/>
  <c r="Z33" i="22"/>
  <c r="AC60" i="59"/>
  <c r="AB64" i="59"/>
  <c r="Y178" i="10"/>
  <c r="AB66" i="59" s="1"/>
  <c r="Z68" i="36"/>
  <c r="AC40" i="59"/>
  <c r="Y132" i="26"/>
  <c r="Z102" i="9"/>
  <c r="Z104" i="9"/>
  <c r="AC59" i="59" s="1"/>
  <c r="Z94" i="9"/>
  <c r="Y19" i="15" s="1"/>
  <c r="Y104" i="9"/>
  <c r="AB59" i="59" s="1"/>
  <c r="Y102" i="9"/>
  <c r="X132" i="26"/>
  <c r="BE66" i="6" l="1"/>
  <c r="BG66" i="6" s="1"/>
  <c r="BG64" i="6"/>
  <c r="BF121" i="6"/>
  <c r="BE121" i="6"/>
  <c r="BG115" i="6"/>
  <c r="BF77" i="6"/>
  <c r="BH77" i="6" s="1"/>
  <c r="BH72" i="6"/>
  <c r="BF69" i="6"/>
  <c r="BH69" i="6" s="1"/>
  <c r="BH67" i="6"/>
  <c r="BE77" i="6"/>
  <c r="BG77" i="6" s="1"/>
  <c r="BG72" i="6"/>
  <c r="BF32" i="6"/>
  <c r="BH32" i="6" s="1"/>
  <c r="BH30" i="6"/>
  <c r="BF26" i="6"/>
  <c r="BH26" i="6" s="1"/>
  <c r="BH24" i="6"/>
  <c r="BE69" i="6"/>
  <c r="BG69" i="6" s="1"/>
  <c r="BG67" i="6"/>
  <c r="BF29" i="6"/>
  <c r="BH29" i="6" s="1"/>
  <c r="BH27" i="6"/>
  <c r="BE97" i="6"/>
  <c r="BG91" i="6"/>
  <c r="BF103" i="6"/>
  <c r="BH102" i="6"/>
  <c r="AX125" i="6"/>
  <c r="AX173" i="6" s="1"/>
  <c r="AW125" i="6"/>
  <c r="AW103" i="6"/>
  <c r="AX107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BF107" i="6" l="1"/>
  <c r="BH107" i="6" s="1"/>
  <c r="BH103" i="6"/>
  <c r="BE125" i="6"/>
  <c r="BE173" i="6" s="1"/>
  <c r="BG121" i="6"/>
  <c r="BF125" i="6"/>
  <c r="BF172" i="6" s="1"/>
  <c r="BH121" i="6"/>
  <c r="BE103" i="6"/>
  <c r="BG97" i="6"/>
  <c r="AW173" i="6"/>
  <c r="AW175" i="6"/>
  <c r="AW172" i="6"/>
  <c r="AW174" i="6" s="1"/>
  <c r="AX147" i="6"/>
  <c r="AX148" i="6"/>
  <c r="BA15" i="59" s="1"/>
  <c r="AX150" i="6"/>
  <c r="AW107" i="6"/>
  <c r="AX172" i="6"/>
  <c r="AX174" i="6" s="1"/>
  <c r="AX175" i="6"/>
  <c r="Z6" i="35"/>
  <c r="Z7" i="35"/>
  <c r="Y6" i="35"/>
  <c r="Y7" i="35"/>
  <c r="Y6" i="6" s="1"/>
  <c r="R16" i="49"/>
  <c r="V16" i="49" s="1"/>
  <c r="AB16" i="49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75" i="6"/>
  <c r="Z215" i="6"/>
  <c r="Z9" i="36" s="1"/>
  <c r="E13" i="49"/>
  <c r="BE107" i="6" l="1"/>
  <c r="BG103" i="6"/>
  <c r="BH125" i="6"/>
  <c r="BF173" i="6"/>
  <c r="BI22" i="59" s="1"/>
  <c r="BG125" i="6"/>
  <c r="BE172" i="6"/>
  <c r="BE174" i="6" s="1"/>
  <c r="BF175" i="6"/>
  <c r="AX149" i="6"/>
  <c r="AX7" i="36" s="1"/>
  <c r="BA8" i="59" s="1"/>
  <c r="AW148" i="6"/>
  <c r="AW147" i="6"/>
  <c r="AW149" i="6" s="1"/>
  <c r="AW150" i="6"/>
  <c r="Z8" i="35"/>
  <c r="BH22" i="59"/>
  <c r="Y8" i="35"/>
  <c r="Y5" i="6"/>
  <c r="Y7" i="6" s="1"/>
  <c r="AX8" i="36"/>
  <c r="BA9" i="59" s="1"/>
  <c r="J19" i="49"/>
  <c r="N19" i="49"/>
  <c r="Z220" i="6"/>
  <c r="BF149" i="6"/>
  <c r="BF7" i="36" s="1"/>
  <c r="BI8" i="59" s="1"/>
  <c r="BI15" i="59"/>
  <c r="BE150" i="6"/>
  <c r="BE148" i="6"/>
  <c r="H6" i="59"/>
  <c r="BP33" i="35"/>
  <c r="BQ33" i="35"/>
  <c r="BP36" i="35"/>
  <c r="BQ36" i="35"/>
  <c r="BQ48" i="35" s="1"/>
  <c r="BQ49" i="35" s="1"/>
  <c r="BF174" i="6" l="1"/>
  <c r="BG107" i="6"/>
  <c r="BE147" i="6"/>
  <c r="BF8" i="36"/>
  <c r="BI9" i="59" s="1"/>
  <c r="R19" i="49"/>
  <c r="V19" i="49" s="1"/>
  <c r="AB19" i="49"/>
  <c r="BE149" i="6"/>
  <c r="BH15" i="59"/>
  <c r="BP37" i="35"/>
  <c r="BQ37" i="35"/>
  <c r="BO55" i="35" s="1"/>
  <c r="BN55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1" i="8" l="1"/>
  <c r="T1" i="7" l="1"/>
  <c r="T80" i="7" s="1"/>
  <c r="S1" i="7"/>
  <c r="S80" i="7" s="1"/>
  <c r="E61" i="36" l="1"/>
  <c r="E63" i="36" s="1"/>
  <c r="E64" i="36"/>
  <c r="E58" i="36"/>
  <c r="E60" i="36" s="1"/>
  <c r="Y16" i="6" l="1"/>
  <c r="Y15" i="6"/>
  <c r="Z94" i="8" l="1"/>
  <c r="AB94" i="8" l="1"/>
  <c r="AF94" i="8" s="1"/>
  <c r="AJ94" i="8" s="1"/>
  <c r="J17" i="35"/>
  <c r="J14" i="36" s="1"/>
  <c r="M41" i="59" s="1"/>
  <c r="AP94" i="8" l="1"/>
  <c r="I90" i="17"/>
  <c r="M90" i="17" s="1"/>
  <c r="Q90" i="17" s="1"/>
  <c r="I89" i="17"/>
  <c r="M89" i="17" s="1"/>
  <c r="Q89" i="17" s="1"/>
  <c r="U89" i="17" s="1"/>
  <c r="AT94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80" i="7" s="1"/>
  <c r="L1" i="7"/>
  <c r="L80" i="7" s="1"/>
  <c r="O1" i="7"/>
  <c r="O80" i="7" s="1"/>
  <c r="P1" i="7"/>
  <c r="P80" i="7" s="1"/>
  <c r="F1" i="7"/>
  <c r="F80" i="7" s="1"/>
  <c r="G1" i="7"/>
  <c r="G80" i="7" s="1"/>
  <c r="H1" i="7"/>
  <c r="H80" i="7" s="1"/>
  <c r="E1" i="7"/>
  <c r="E80" i="7" s="1"/>
  <c r="AX94" i="8" l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80" i="7" s="1"/>
  <c r="Y1" i="7"/>
  <c r="Y80" i="7" s="1"/>
  <c r="Q40" i="17"/>
  <c r="U40" i="17" s="1"/>
  <c r="Q38" i="17"/>
  <c r="U38" i="17" s="1"/>
  <c r="Q48" i="17"/>
  <c r="U48" i="17" s="1"/>
  <c r="BF94" i="8" l="1"/>
  <c r="BH94" i="8" s="1"/>
  <c r="AS89" i="17"/>
  <c r="AI114" i="17"/>
  <c r="AI118" i="17" s="1"/>
  <c r="AI54" i="17"/>
  <c r="AI90" i="17"/>
  <c r="AO90" i="17" s="1"/>
  <c r="AS90" i="17" s="1"/>
  <c r="AW90" i="17" s="1"/>
  <c r="AO46" i="17"/>
  <c r="AS46" i="17" s="1"/>
  <c r="AE50" i="17"/>
  <c r="AW89" i="17" l="1"/>
  <c r="BE89" i="17" s="1"/>
  <c r="AM90" i="17"/>
  <c r="AW46" i="17"/>
  <c r="AW50" i="17" s="1"/>
  <c r="AS50" i="17"/>
  <c r="BE90" i="17"/>
  <c r="BA90" i="17"/>
  <c r="BC90" i="17" s="1"/>
  <c r="AO50" i="17"/>
  <c r="AE114" i="17"/>
  <c r="AE118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5" i="8"/>
  <c r="J94" i="8"/>
  <c r="Z62" i="8"/>
  <c r="AB62" i="8" s="1"/>
  <c r="AF62" i="8" s="1"/>
  <c r="Z61" i="8"/>
  <c r="Z59" i="8"/>
  <c r="BE46" i="17" l="1"/>
  <c r="AS114" i="17"/>
  <c r="AS54" i="17"/>
  <c r="AW114" i="17"/>
  <c r="AW118" i="17" s="1"/>
  <c r="AW54" i="17"/>
  <c r="AJ62" i="8"/>
  <c r="AP62" i="8" s="1"/>
  <c r="AT62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1" i="8"/>
  <c r="AF61" i="8" s="1"/>
  <c r="BE50" i="17"/>
  <c r="AE25" i="9"/>
  <c r="AE88" i="9" s="1"/>
  <c r="AO68" i="9"/>
  <c r="AO70" i="9"/>
  <c r="AO69" i="9"/>
  <c r="AO65" i="9"/>
  <c r="AO67" i="9"/>
  <c r="AO63" i="9"/>
  <c r="AO66" i="9"/>
  <c r="AO54" i="17"/>
  <c r="AO114" i="17"/>
  <c r="AO118" i="17" s="1"/>
  <c r="AE96" i="9"/>
  <c r="AE75" i="9"/>
  <c r="AE76" i="9"/>
  <c r="AE94" i="9"/>
  <c r="AD19" i="15" s="1"/>
  <c r="AE93" i="9"/>
  <c r="Y81" i="9"/>
  <c r="Y80" i="9"/>
  <c r="Y86" i="9"/>
  <c r="Y83" i="9"/>
  <c r="Y85" i="9"/>
  <c r="Y84" i="9"/>
  <c r="Y82" i="9"/>
  <c r="Y87" i="9"/>
  <c r="AB59" i="8"/>
  <c r="AF59" i="8" s="1"/>
  <c r="AJ59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5" i="8"/>
  <c r="Z10" i="49" s="1"/>
  <c r="Z12" i="49" s="1"/>
  <c r="Z69" i="8"/>
  <c r="Z19" i="9"/>
  <c r="Z90" i="9" s="1"/>
  <c r="Z99" i="9"/>
  <c r="Z14" i="9"/>
  <c r="AB14" i="9" s="1"/>
  <c r="AF14" i="9" s="1"/>
  <c r="AS118" i="17" l="1"/>
  <c r="AW27" i="9"/>
  <c r="BE27" i="9" s="1"/>
  <c r="AX27" i="9"/>
  <c r="BF27" i="9" s="1"/>
  <c r="AX62" i="8"/>
  <c r="AJ61" i="8"/>
  <c r="AI85" i="9"/>
  <c r="AI84" i="9"/>
  <c r="AO24" i="9"/>
  <c r="AS24" i="9" s="1"/>
  <c r="AI86" i="9"/>
  <c r="AI83" i="9"/>
  <c r="AI52" i="9"/>
  <c r="AI7" i="9" s="1"/>
  <c r="AI53" i="9"/>
  <c r="AI93" i="9"/>
  <c r="AI94" i="9"/>
  <c r="AH19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4" i="17"/>
  <c r="BE118" i="17" s="1"/>
  <c r="BE54" i="17"/>
  <c r="AO47" i="9"/>
  <c r="AO83" i="9" s="1"/>
  <c r="AP59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5" i="8"/>
  <c r="AF65" i="8" s="1"/>
  <c r="AJ65" i="8" s="1"/>
  <c r="AJ72" i="8" s="1"/>
  <c r="Z56" i="8"/>
  <c r="N46" i="8"/>
  <c r="AB19" i="9"/>
  <c r="AF19" i="9" s="1"/>
  <c r="AJ19" i="9" s="1"/>
  <c r="Z100" i="9"/>
  <c r="AB99" i="9"/>
  <c r="AF99" i="9" s="1"/>
  <c r="AJ99" i="9" s="1"/>
  <c r="AJ100" i="9" s="1"/>
  <c r="Z74" i="8"/>
  <c r="AB69" i="8"/>
  <c r="AF69" i="8" s="1"/>
  <c r="AJ69" i="8" s="1"/>
  <c r="AJ74" i="8" s="1"/>
  <c r="AA55" i="9"/>
  <c r="AE55" i="9" s="1"/>
  <c r="AI55" i="9" s="1"/>
  <c r="AI72" i="9" s="1"/>
  <c r="R6" i="8"/>
  <c r="N49" i="8"/>
  <c r="E6" i="26"/>
  <c r="N50" i="8"/>
  <c r="N51" i="8" s="1"/>
  <c r="N83" i="8"/>
  <c r="Q50" i="59" s="1"/>
  <c r="N84" i="8"/>
  <c r="Q51" i="59" s="1"/>
  <c r="N90" i="8"/>
  <c r="Z72" i="8"/>
  <c r="Z63" i="8"/>
  <c r="Q47" i="59" l="1"/>
  <c r="N138" i="8"/>
  <c r="N145" i="8" s="1"/>
  <c r="V6" i="8"/>
  <c r="V45" i="8" s="1"/>
  <c r="BF62" i="8"/>
  <c r="BH62" i="8" s="1"/>
  <c r="AJ90" i="9"/>
  <c r="AJ91" i="9" s="1"/>
  <c r="AJ57" i="36"/>
  <c r="M2" i="26"/>
  <c r="M2" i="17"/>
  <c r="AX14" i="9"/>
  <c r="BF14" i="9" s="1"/>
  <c r="AW24" i="9"/>
  <c r="BE24" i="9" s="1"/>
  <c r="AP61" i="8"/>
  <c r="AT61" i="8" s="1"/>
  <c r="AS92" i="9"/>
  <c r="AW92" i="9" s="1"/>
  <c r="AO94" i="9"/>
  <c r="AN19" i="15" s="1"/>
  <c r="AO93" i="9"/>
  <c r="V86" i="8"/>
  <c r="V46" i="8"/>
  <c r="Y47" i="59" s="1"/>
  <c r="V44" i="8"/>
  <c r="Y48" i="59" s="1"/>
  <c r="V47" i="8"/>
  <c r="V41" i="8"/>
  <c r="V40" i="8"/>
  <c r="V82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9" i="8"/>
  <c r="AF74" i="8"/>
  <c r="AF57" i="36"/>
  <c r="AF17" i="36" s="1"/>
  <c r="AF18" i="36" s="1"/>
  <c r="AF90" i="9"/>
  <c r="AF91" i="9" s="1"/>
  <c r="AP65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2" i="8"/>
  <c r="Z67" i="8"/>
  <c r="AB56" i="8"/>
  <c r="AF56" i="8" s="1"/>
  <c r="AB63" i="8"/>
  <c r="AF63" i="8" s="1"/>
  <c r="AJ63" i="8" s="1"/>
  <c r="AJ71" i="8" s="1"/>
  <c r="Z71" i="8"/>
  <c r="R46" i="8"/>
  <c r="U47" i="59" s="1"/>
  <c r="R90" i="8"/>
  <c r="R83" i="8"/>
  <c r="V83" i="8" s="1"/>
  <c r="R84" i="8"/>
  <c r="V84" i="8" s="1"/>
  <c r="R49" i="8"/>
  <c r="R86" i="8"/>
  <c r="R44" i="8"/>
  <c r="U48" i="59" s="1"/>
  <c r="R47" i="8"/>
  <c r="R40" i="8"/>
  <c r="R39" i="8"/>
  <c r="R43" i="8"/>
  <c r="U46" i="59" s="1"/>
  <c r="R41" i="8"/>
  <c r="R45" i="8"/>
  <c r="R82" i="8"/>
  <c r="M6" i="26"/>
  <c r="R50" i="8"/>
  <c r="R51" i="8" s="1"/>
  <c r="Z70" i="8"/>
  <c r="AC62" i="59"/>
  <c r="Z52" i="9"/>
  <c r="AC58" i="59" s="1"/>
  <c r="Z53" i="9"/>
  <c r="AC61" i="59"/>
  <c r="Z192" i="6"/>
  <c r="Z191" i="6"/>
  <c r="Z166" i="6"/>
  <c r="V43" i="8" l="1"/>
  <c r="Y46" i="59" s="1"/>
  <c r="V90" i="8"/>
  <c r="AW25" i="9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9" i="15" s="1"/>
  <c r="AW93" i="9"/>
  <c r="AW86" i="9"/>
  <c r="AX59" i="8"/>
  <c r="AX61" i="8"/>
  <c r="BF61" i="8" s="1"/>
  <c r="BH61" i="8" s="1"/>
  <c r="AJ56" i="8"/>
  <c r="AP56" i="8" s="1"/>
  <c r="AT56" i="8" s="1"/>
  <c r="AJ70" i="8"/>
  <c r="AS93" i="9"/>
  <c r="AS94" i="9"/>
  <c r="AR19" i="15" s="1"/>
  <c r="V42" i="8"/>
  <c r="V50" i="8"/>
  <c r="V51" i="8" s="1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3" i="8"/>
  <c r="AS83" i="9"/>
  <c r="AS87" i="9"/>
  <c r="AV61" i="59" s="1"/>
  <c r="AS53" i="9"/>
  <c r="AS82" i="9"/>
  <c r="AV62" i="59" s="1"/>
  <c r="AP72" i="8"/>
  <c r="AT65" i="8"/>
  <c r="AP19" i="9"/>
  <c r="AT64" i="9"/>
  <c r="AX64" i="9" s="1"/>
  <c r="AX81" i="9" s="1"/>
  <c r="AP81" i="9"/>
  <c r="AP69" i="8"/>
  <c r="AO55" i="9"/>
  <c r="AP99" i="9"/>
  <c r="AF70" i="8"/>
  <c r="AF71" i="8"/>
  <c r="Z73" i="8"/>
  <c r="AB67" i="8"/>
  <c r="AF67" i="8" s="1"/>
  <c r="AJ67" i="8" s="1"/>
  <c r="AJ73" i="8" s="1"/>
  <c r="U51" i="59"/>
  <c r="Y51" i="59"/>
  <c r="U50" i="59"/>
  <c r="Y50" i="59"/>
  <c r="R42" i="8"/>
  <c r="U2" i="26" l="1"/>
  <c r="U2" i="17"/>
  <c r="AX56" i="8"/>
  <c r="BF56" i="8" s="1"/>
  <c r="AX65" i="8"/>
  <c r="BF59" i="8"/>
  <c r="BH59" i="8" s="1"/>
  <c r="BE92" i="9"/>
  <c r="AR58" i="59"/>
  <c r="BE47" i="9"/>
  <c r="AZ62" i="59"/>
  <c r="AZ61" i="59"/>
  <c r="AS52" i="9"/>
  <c r="AS7" i="9" s="1"/>
  <c r="BE22" i="9"/>
  <c r="BE25" i="9" s="1"/>
  <c r="BE88" i="9" s="1"/>
  <c r="BE58" i="9"/>
  <c r="AT96" i="9"/>
  <c r="BE95" i="9"/>
  <c r="BE96" i="9" s="1"/>
  <c r="BE59" i="9"/>
  <c r="AT81" i="9"/>
  <c r="AT19" i="9"/>
  <c r="AX19" i="9" s="1"/>
  <c r="AX90" i="9" s="1"/>
  <c r="AX91" i="9" s="1"/>
  <c r="AP57" i="36"/>
  <c r="AP17" i="36" s="1"/>
  <c r="AP90" i="9"/>
  <c r="AP91" i="9" s="1"/>
  <c r="AP67" i="8"/>
  <c r="AP100" i="9"/>
  <c r="AT99" i="9"/>
  <c r="AX99" i="9" s="1"/>
  <c r="AT69" i="8"/>
  <c r="AX69" i="8" s="1"/>
  <c r="AP74" i="8"/>
  <c r="AT72" i="8"/>
  <c r="AT63" i="8"/>
  <c r="AP70" i="8"/>
  <c r="AP71" i="8"/>
  <c r="AO72" i="9"/>
  <c r="AS55" i="9"/>
  <c r="AW55" i="9" s="1"/>
  <c r="AW72" i="9" s="1"/>
  <c r="AF73" i="8"/>
  <c r="AB73" i="8"/>
  <c r="BE76" i="9" l="1"/>
  <c r="BK76" i="9"/>
  <c r="BR76" i="9" s="1"/>
  <c r="BE75" i="9"/>
  <c r="BK75" i="9"/>
  <c r="BR75" i="9" s="1"/>
  <c r="AX72" i="8"/>
  <c r="AX74" i="8"/>
  <c r="AX100" i="9"/>
  <c r="BF65" i="8"/>
  <c r="AX63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AX57" i="36"/>
  <c r="AX17" i="36" s="1"/>
  <c r="BA55" i="59" s="1"/>
  <c r="AS72" i="9"/>
  <c r="AT100" i="9"/>
  <c r="AT74" i="8"/>
  <c r="AT57" i="36"/>
  <c r="AT17" i="36" s="1"/>
  <c r="AT90" i="9"/>
  <c r="AT91" i="9" s="1"/>
  <c r="AT67" i="8"/>
  <c r="AX67" i="8" s="1"/>
  <c r="AP73" i="8"/>
  <c r="AT70" i="8"/>
  <c r="AT71" i="8"/>
  <c r="AS55" i="59"/>
  <c r="AP18" i="36"/>
  <c r="AS56" i="59" s="1"/>
  <c r="J70" i="11"/>
  <c r="J68" i="11"/>
  <c r="I69" i="59"/>
  <c r="BF72" i="8" l="1"/>
  <c r="BH65" i="8"/>
  <c r="BF90" i="9"/>
  <c r="BF91" i="9" s="1"/>
  <c r="BL90" i="9"/>
  <c r="BL91" i="9" s="1"/>
  <c r="AX73" i="8"/>
  <c r="AX70" i="8"/>
  <c r="AX71" i="8"/>
  <c r="BF63" i="8"/>
  <c r="BH63" i="8" s="1"/>
  <c r="BE7" i="9"/>
  <c r="BH58" i="59"/>
  <c r="AX18" i="36"/>
  <c r="BA56" i="59" s="1"/>
  <c r="BE55" i="9"/>
  <c r="BF100" i="9"/>
  <c r="BF69" i="8"/>
  <c r="AT73" i="8"/>
  <c r="AW55" i="59"/>
  <c r="AT18" i="36"/>
  <c r="AW56" i="59" s="1"/>
  <c r="R70" i="11"/>
  <c r="V70" i="11" s="1"/>
  <c r="AB70" i="11"/>
  <c r="AF70" i="11" s="1"/>
  <c r="J66" i="11"/>
  <c r="R68" i="11"/>
  <c r="V68" i="11" s="1"/>
  <c r="J69" i="11"/>
  <c r="M69" i="59" s="1"/>
  <c r="BE72" i="9" l="1"/>
  <c r="BK72" i="9"/>
  <c r="BR72" i="9" s="1"/>
  <c r="BF74" i="8"/>
  <c r="BH69" i="8"/>
  <c r="BF70" i="8"/>
  <c r="BH70" i="8" s="1"/>
  <c r="BF71" i="8"/>
  <c r="AJ70" i="11"/>
  <c r="V69" i="11"/>
  <c r="Y69" i="59" s="1"/>
  <c r="V71" i="11"/>
  <c r="V79" i="11"/>
  <c r="Y70" i="59" s="1"/>
  <c r="BF67" i="8"/>
  <c r="AF79" i="11"/>
  <c r="AI70" i="59" s="1"/>
  <c r="AB79" i="11"/>
  <c r="AE70" i="59" s="1"/>
  <c r="R71" i="11"/>
  <c r="R69" i="11"/>
  <c r="U69" i="59" s="1"/>
  <c r="J67" i="11"/>
  <c r="AB66" i="11"/>
  <c r="AF66" i="11" s="1"/>
  <c r="BF73" i="8" l="1"/>
  <c r="BH67" i="8"/>
  <c r="AJ79" i="11"/>
  <c r="AM70" i="59" s="1"/>
  <c r="AJ66" i="11"/>
  <c r="AP66" i="11" s="1"/>
  <c r="AT66" i="11" s="1"/>
  <c r="AP70" i="11"/>
  <c r="Z71" i="11"/>
  <c r="Z69" i="11"/>
  <c r="AC69" i="59" s="1"/>
  <c r="Z67" i="11"/>
  <c r="AB68" i="11"/>
  <c r="AF68" i="11" s="1"/>
  <c r="R66" i="11"/>
  <c r="V66" i="11" s="1"/>
  <c r="V67" i="11" s="1"/>
  <c r="J169" i="10"/>
  <c r="J167" i="10"/>
  <c r="J165" i="10"/>
  <c r="AX66" i="11" l="1"/>
  <c r="AT70" i="11"/>
  <c r="AP79" i="11"/>
  <c r="AS70" i="59" s="1"/>
  <c r="AJ68" i="11"/>
  <c r="AP68" i="11" s="1"/>
  <c r="AB67" i="11"/>
  <c r="AF67" i="11"/>
  <c r="AF69" i="11"/>
  <c r="AI69" i="59" s="1"/>
  <c r="AF71" i="11"/>
  <c r="AB71" i="11"/>
  <c r="AB69" i="11"/>
  <c r="AE69" i="59" s="1"/>
  <c r="R169" i="10"/>
  <c r="V169" i="10" s="1"/>
  <c r="R167" i="10"/>
  <c r="V167" i="10" s="1"/>
  <c r="R67" i="11"/>
  <c r="J166" i="10"/>
  <c r="J168" i="10"/>
  <c r="M65" i="59" s="1"/>
  <c r="BF66" i="11" l="1"/>
  <c r="AX70" i="11"/>
  <c r="AT68" i="11"/>
  <c r="AP71" i="11"/>
  <c r="AP69" i="11"/>
  <c r="AS69" i="59" s="1"/>
  <c r="AP67" i="11"/>
  <c r="AJ67" i="11"/>
  <c r="AJ69" i="11"/>
  <c r="AM69" i="59" s="1"/>
  <c r="AJ71" i="11"/>
  <c r="AT79" i="11"/>
  <c r="AW70" i="59" s="1"/>
  <c r="V170" i="10"/>
  <c r="V168" i="10"/>
  <c r="Y65" i="59" s="1"/>
  <c r="V178" i="10"/>
  <c r="Y66" i="59" s="1"/>
  <c r="R178" i="10"/>
  <c r="R165" i="10"/>
  <c r="V165" i="10" s="1"/>
  <c r="V166" i="10" s="1"/>
  <c r="AB165" i="10"/>
  <c r="AF165" i="10" s="1"/>
  <c r="AJ165" i="10" s="1"/>
  <c r="AJ166" i="10" s="1"/>
  <c r="AB168" i="10"/>
  <c r="AE65" i="59" s="1"/>
  <c r="AB170" i="10"/>
  <c r="R168" i="10"/>
  <c r="U65" i="59" s="1"/>
  <c r="R170" i="10"/>
  <c r="AX79" i="11" l="1"/>
  <c r="BA70" i="59" s="1"/>
  <c r="AX68" i="11"/>
  <c r="AX71" i="11" s="1"/>
  <c r="BF70" i="11"/>
  <c r="AT69" i="11"/>
  <c r="AW69" i="59" s="1"/>
  <c r="AT67" i="11"/>
  <c r="AT71" i="11"/>
  <c r="AF166" i="10"/>
  <c r="R166" i="10"/>
  <c r="AB166" i="10"/>
  <c r="AX67" i="11" l="1"/>
  <c r="AX69" i="11"/>
  <c r="BA69" i="59" s="1"/>
  <c r="BF68" i="11"/>
  <c r="BF67" i="11" s="1"/>
  <c r="BF79" i="11"/>
  <c r="AP165" i="10"/>
  <c r="I38" i="27"/>
  <c r="Q38" i="27" s="1"/>
  <c r="U38" i="27" s="1"/>
  <c r="H38" i="27"/>
  <c r="P38" i="27" s="1"/>
  <c r="T38" i="27" s="1"/>
  <c r="I23" i="27"/>
  <c r="H23" i="27"/>
  <c r="P23" i="27" s="1"/>
  <c r="T23" i="27" s="1"/>
  <c r="BI70" i="59" l="1"/>
  <c r="BF71" i="11"/>
  <c r="BF69" i="11"/>
  <c r="BI69" i="59" s="1"/>
  <c r="AT165" i="10"/>
  <c r="AX165" i="10" s="1"/>
  <c r="AP166" i="10"/>
  <c r="Z23" i="27"/>
  <c r="AD23" i="27" s="1"/>
  <c r="Q23" i="27"/>
  <c r="U23" i="27" s="1"/>
  <c r="AX166" i="10" l="1"/>
  <c r="AH23" i="27"/>
  <c r="AN23" i="27" s="1"/>
  <c r="AR23" i="27" s="1"/>
  <c r="AT166" i="10"/>
  <c r="AA23" i="27"/>
  <c r="AE23" i="27" s="1"/>
  <c r="AV23" i="27" l="1"/>
  <c r="BD23" i="27" s="1"/>
  <c r="BI23" i="27" s="1"/>
  <c r="AI23" i="27"/>
  <c r="AO23" i="27" s="1"/>
  <c r="AS23" i="27" s="1"/>
  <c r="BF165" i="10"/>
  <c r="J16" i="9"/>
  <c r="J17" i="9"/>
  <c r="BF166" i="10" l="1"/>
  <c r="AW23" i="27"/>
  <c r="BE23" i="27" s="1"/>
  <c r="BJ23" i="27" s="1"/>
  <c r="Z82" i="7"/>
  <c r="Z83" i="7" l="1"/>
  <c r="AC36" i="59" s="1"/>
  <c r="AB82" i="7"/>
  <c r="AF82" i="7" s="1"/>
  <c r="AJ82" i="7" s="1"/>
  <c r="AJ83" i="7" s="1"/>
  <c r="Z138" i="45"/>
  <c r="Z139" i="45" s="1"/>
  <c r="AF83" i="7" l="1"/>
  <c r="AI36" i="59" s="1"/>
  <c r="Y99" i="9"/>
  <c r="AP82" i="7" l="1"/>
  <c r="AM36" i="59"/>
  <c r="Y100" i="9"/>
  <c r="AA99" i="9"/>
  <c r="AE99" i="9" s="1"/>
  <c r="AI99" i="9" s="1"/>
  <c r="AI100" i="9" s="1"/>
  <c r="AP83" i="7" l="1"/>
  <c r="AS36" i="59" s="1"/>
  <c r="AT82" i="7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X82" i="7" l="1"/>
  <c r="AA18" i="6"/>
  <c r="AE18" i="6" s="1"/>
  <c r="AI18" i="6" s="1"/>
  <c r="AO18" i="6" s="1"/>
  <c r="AO194" i="6" s="1"/>
  <c r="Y195" i="6"/>
  <c r="AA195" i="6" s="1"/>
  <c r="AE195" i="6" s="1"/>
  <c r="AI195" i="6" s="1"/>
  <c r="AO195" i="6" s="1"/>
  <c r="AW28" i="6"/>
  <c r="AW24" i="6"/>
  <c r="AW25" i="6"/>
  <c r="AA17" i="6"/>
  <c r="AE17" i="6" s="1"/>
  <c r="AI17" i="6" s="1"/>
  <c r="AO17" i="6" s="1"/>
  <c r="AS17" i="6" s="1"/>
  <c r="Y169" i="6"/>
  <c r="AW31" i="6"/>
  <c r="AS18" i="6"/>
  <c r="AS194" i="6" s="1"/>
  <c r="AT83" i="7"/>
  <c r="AW36" i="59" s="1"/>
  <c r="AS26" i="6"/>
  <c r="AO29" i="6"/>
  <c r="AS27" i="6"/>
  <c r="AW27" i="6" s="1"/>
  <c r="AI32" i="6"/>
  <c r="AO30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BE25" i="6" l="1"/>
  <c r="BG25" i="6" s="1"/>
  <c r="BE31" i="6"/>
  <c r="BG31" i="6" s="1"/>
  <c r="AX83" i="7"/>
  <c r="BA36" i="59" s="1"/>
  <c r="AS195" i="6"/>
  <c r="AO168" i="6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AW34" i="6"/>
  <c r="AW29" i="6"/>
  <c r="AW18" i="6"/>
  <c r="BE28" i="6"/>
  <c r="BG28" i="6" s="1"/>
  <c r="AW33" i="6"/>
  <c r="AO19" i="6"/>
  <c r="AO84" i="6" s="1"/>
  <c r="AS19" i="6"/>
  <c r="AS84" i="6" s="1"/>
  <c r="AS188" i="6"/>
  <c r="Y84" i="8"/>
  <c r="Y83" i="8"/>
  <c r="BF82" i="7"/>
  <c r="AS29" i="6"/>
  <c r="AS35" i="6"/>
  <c r="AO100" i="9"/>
  <c r="AS99" i="9"/>
  <c r="AW99" i="9" s="1"/>
  <c r="AW100" i="9" s="1"/>
  <c r="AO32" i="6"/>
  <c r="AS30" i="6"/>
  <c r="AW30" i="6" s="1"/>
  <c r="AO35" i="6"/>
  <c r="AI35" i="6"/>
  <c r="AE35" i="6"/>
  <c r="Y6" i="49"/>
  <c r="Y46" i="8"/>
  <c r="AB47" i="59" s="1"/>
  <c r="E30" i="8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M83" i="8" l="1"/>
  <c r="M30" i="8"/>
  <c r="AA30" i="8" s="1"/>
  <c r="AE30" i="8" s="1"/>
  <c r="AI30" i="8" s="1"/>
  <c r="BE26" i="6"/>
  <c r="BG26" i="6" s="1"/>
  <c r="BG24" i="6"/>
  <c r="BF83" i="7"/>
  <c r="BI36" i="59" s="1"/>
  <c r="BH82" i="7"/>
  <c r="AW32" i="6"/>
  <c r="BE34" i="6"/>
  <c r="BG34" i="6" s="1"/>
  <c r="AW195" i="6"/>
  <c r="AI81" i="6"/>
  <c r="AE81" i="6"/>
  <c r="AS81" i="6"/>
  <c r="AW35" i="6"/>
  <c r="BE18" i="6"/>
  <c r="BG18" i="6" s="1"/>
  <c r="AW21" i="6"/>
  <c r="BE33" i="6"/>
  <c r="AW169" i="6"/>
  <c r="AW19" i="6"/>
  <c r="AW163" i="6"/>
  <c r="AW168" i="6"/>
  <c r="AO81" i="6"/>
  <c r="AW188" i="6"/>
  <c r="AW194" i="6"/>
  <c r="BE17" i="6"/>
  <c r="BG17" i="6" s="1"/>
  <c r="P50" i="59"/>
  <c r="AB50" i="59"/>
  <c r="AB51" i="59"/>
  <c r="M84" i="8"/>
  <c r="BE27" i="6"/>
  <c r="AS32" i="6"/>
  <c r="AS100" i="9"/>
  <c r="AE23" i="6"/>
  <c r="AI22" i="6"/>
  <c r="AO22" i="6" s="1"/>
  <c r="AE16" i="8"/>
  <c r="M6" i="49"/>
  <c r="Q6" i="49" s="1"/>
  <c r="U6" i="49" s="1"/>
  <c r="AA6" i="8"/>
  <c r="Z6" i="49"/>
  <c r="Z90" i="8"/>
  <c r="AB6" i="8"/>
  <c r="Z46" i="8"/>
  <c r="AC47" i="59" s="1"/>
  <c r="E67" i="8"/>
  <c r="I30" i="8"/>
  <c r="M90" i="8"/>
  <c r="Q6" i="8"/>
  <c r="Y47" i="8"/>
  <c r="Z41" i="8"/>
  <c r="Z40" i="8"/>
  <c r="Z39" i="8"/>
  <c r="Z82" i="8"/>
  <c r="AC52" i="59" s="1"/>
  <c r="Z44" i="8"/>
  <c r="AC48" i="59" s="1"/>
  <c r="Z47" i="8"/>
  <c r="Z43" i="8"/>
  <c r="AC46" i="59" s="1"/>
  <c r="Z45" i="8"/>
  <c r="Z86" i="8"/>
  <c r="Z49" i="8"/>
  <c r="Y49" i="8"/>
  <c r="Y82" i="8"/>
  <c r="AB52" i="59" s="1"/>
  <c r="Y50" i="8"/>
  <c r="Y51" i="8" s="1"/>
  <c r="Z83" i="8"/>
  <c r="Z84" i="8"/>
  <c r="Y90" i="8"/>
  <c r="Z50" i="8"/>
  <c r="Z51" i="8" s="1"/>
  <c r="Y59" i="8"/>
  <c r="Y69" i="8"/>
  <c r="Y45" i="8"/>
  <c r="U6" i="8" l="1"/>
  <c r="AF6" i="8"/>
  <c r="AF44" i="8" s="1"/>
  <c r="AI48" i="59" s="1"/>
  <c r="AE6" i="8"/>
  <c r="AE82" i="8" s="1"/>
  <c r="AH52" i="59" s="1"/>
  <c r="BE35" i="6"/>
  <c r="BG35" i="6" s="1"/>
  <c r="BG33" i="6"/>
  <c r="BE29" i="6"/>
  <c r="BG29" i="6" s="1"/>
  <c r="BG27" i="6"/>
  <c r="BE21" i="6"/>
  <c r="BG21" i="6" s="1"/>
  <c r="AW81" i="6"/>
  <c r="BE195" i="6"/>
  <c r="BE194" i="6"/>
  <c r="Y78" i="8"/>
  <c r="X2" i="26"/>
  <c r="X2" i="17"/>
  <c r="Y2" i="26"/>
  <c r="Y2" i="17"/>
  <c r="BE169" i="6"/>
  <c r="AW84" i="6"/>
  <c r="BE188" i="6"/>
  <c r="BG188" i="6" s="1"/>
  <c r="BE163" i="6"/>
  <c r="BG163" i="6" s="1"/>
  <c r="BE168" i="6"/>
  <c r="BE19" i="6"/>
  <c r="AJ6" i="8"/>
  <c r="AO30" i="8"/>
  <c r="AS30" i="8" s="1"/>
  <c r="P51" i="59"/>
  <c r="Q84" i="8"/>
  <c r="U82" i="8"/>
  <c r="Q83" i="8"/>
  <c r="AA84" i="8"/>
  <c r="AA83" i="8"/>
  <c r="AC49" i="59"/>
  <c r="M67" i="8"/>
  <c r="AA67" i="8" s="1"/>
  <c r="AE67" i="8" s="1"/>
  <c r="I67" i="8"/>
  <c r="I37" i="8" s="1"/>
  <c r="BE30" i="6"/>
  <c r="BE100" i="9"/>
  <c r="AI23" i="6"/>
  <c r="AO23" i="6"/>
  <c r="AS22" i="6"/>
  <c r="AW22" i="6" s="1"/>
  <c r="AO13" i="8"/>
  <c r="AE92" i="8"/>
  <c r="AF47" i="8"/>
  <c r="AF41" i="8"/>
  <c r="AF43" i="8"/>
  <c r="AI46" i="59" s="1"/>
  <c r="AF45" i="8"/>
  <c r="AF46" i="8"/>
  <c r="AI47" i="59" s="1"/>
  <c r="AF40" i="8"/>
  <c r="AF82" i="8"/>
  <c r="AI52" i="59" s="1"/>
  <c r="AF92" i="8"/>
  <c r="AF86" i="8"/>
  <c r="AF39" i="8"/>
  <c r="AE46" i="8"/>
  <c r="AH47" i="59" s="1"/>
  <c r="AA90" i="8"/>
  <c r="AE90" i="8" s="1"/>
  <c r="AB90" i="8"/>
  <c r="AF90" i="8" s="1"/>
  <c r="AB49" i="8"/>
  <c r="Y44" i="8"/>
  <c r="AB48" i="59" s="1"/>
  <c r="Y43" i="8"/>
  <c r="AB46" i="59" s="1"/>
  <c r="E37" i="8"/>
  <c r="Q30" i="8"/>
  <c r="U30" i="8" s="1"/>
  <c r="U46" i="8" s="1"/>
  <c r="M46" i="8"/>
  <c r="P47" i="59" s="1"/>
  <c r="P49" i="59" s="1"/>
  <c r="AB84" i="8"/>
  <c r="AC51" i="59"/>
  <c r="AB83" i="8"/>
  <c r="AC50" i="59"/>
  <c r="AB50" i="8"/>
  <c r="AB51" i="8" s="1"/>
  <c r="Z78" i="8"/>
  <c r="Q82" i="8"/>
  <c r="Q90" i="8"/>
  <c r="U90" i="8" s="1"/>
  <c r="Y6" i="26"/>
  <c r="Y74" i="8"/>
  <c r="Z42" i="8"/>
  <c r="AI6" i="8" l="1"/>
  <c r="BE84" i="6"/>
  <c r="BG19" i="6"/>
  <c r="BE32" i="6"/>
  <c r="BG32" i="6" s="1"/>
  <c r="BG30" i="6"/>
  <c r="M37" i="8"/>
  <c r="AA37" i="8" s="1"/>
  <c r="AE37" i="8" s="1"/>
  <c r="AI37" i="8" s="1"/>
  <c r="AO37" i="8" s="1"/>
  <c r="AS37" i="8" s="1"/>
  <c r="AW23" i="6"/>
  <c r="AW30" i="8"/>
  <c r="AF14" i="36"/>
  <c r="AI41" i="59" s="1"/>
  <c r="AA2" i="17"/>
  <c r="AA2" i="26"/>
  <c r="BE81" i="6"/>
  <c r="Q67" i="8"/>
  <c r="U67" i="8" s="1"/>
  <c r="AJ90" i="8"/>
  <c r="AJ46" i="8"/>
  <c r="AM47" i="59" s="1"/>
  <c r="AJ86" i="8"/>
  <c r="AJ43" i="8"/>
  <c r="AM46" i="59" s="1"/>
  <c r="AJ82" i="8"/>
  <c r="AM52" i="59" s="1"/>
  <c r="AJ39" i="8"/>
  <c r="AJ44" i="8"/>
  <c r="AM48" i="59" s="1"/>
  <c r="AJ41" i="8"/>
  <c r="AJ47" i="8"/>
  <c r="AJ40" i="8"/>
  <c r="AJ45" i="8"/>
  <c r="AJ92" i="8"/>
  <c r="AP6" i="8"/>
  <c r="AI67" i="8"/>
  <c r="AO67" i="8" s="1"/>
  <c r="AS67" i="8" s="1"/>
  <c r="AI90" i="8"/>
  <c r="AI82" i="8"/>
  <c r="AL52" i="59" s="1"/>
  <c r="AI92" i="8"/>
  <c r="AO6" i="8"/>
  <c r="U83" i="8"/>
  <c r="X50" i="59" s="1"/>
  <c r="T50" i="59"/>
  <c r="U84" i="8"/>
  <c r="X51" i="59" s="1"/>
  <c r="T51" i="59"/>
  <c r="AB49" i="59"/>
  <c r="AE83" i="8"/>
  <c r="AI83" i="8" s="1"/>
  <c r="AD50" i="59"/>
  <c r="AE84" i="8"/>
  <c r="AI84" i="8" s="1"/>
  <c r="AD51" i="59"/>
  <c r="AI49" i="59"/>
  <c r="AS23" i="6"/>
  <c r="AO16" i="8"/>
  <c r="AS13" i="8"/>
  <c r="AW13" i="8" s="1"/>
  <c r="AW16" i="8" s="1"/>
  <c r="AF42" i="8"/>
  <c r="AE50" i="59"/>
  <c r="AF83" i="8"/>
  <c r="AJ83" i="8" s="1"/>
  <c r="AF50" i="8"/>
  <c r="AF51" i="8" s="1"/>
  <c r="AE51" i="59"/>
  <c r="AF84" i="8"/>
  <c r="AJ84" i="8" s="1"/>
  <c r="AF49" i="8"/>
  <c r="Y52" i="8"/>
  <c r="AB42" i="59" s="1"/>
  <c r="Y53" i="8"/>
  <c r="AB43" i="59" s="1"/>
  <c r="X47" i="59"/>
  <c r="X52" i="59"/>
  <c r="Q46" i="8"/>
  <c r="T47" i="59" s="1"/>
  <c r="Y63" i="8"/>
  <c r="Y71" i="8" s="1"/>
  <c r="AI46" i="8" l="1"/>
  <c r="AL47" i="59" s="1"/>
  <c r="AE2" i="26"/>
  <c r="AE2" i="17"/>
  <c r="BE30" i="8"/>
  <c r="BG30" i="8" s="1"/>
  <c r="AW37" i="8"/>
  <c r="BE37" i="8" s="1"/>
  <c r="BG37" i="8" s="1"/>
  <c r="AW67" i="8"/>
  <c r="BE67" i="8" s="1"/>
  <c r="BG67" i="8" s="1"/>
  <c r="AO90" i="8"/>
  <c r="AJ50" i="8"/>
  <c r="AJ51" i="8" s="1"/>
  <c r="AJ14" i="36"/>
  <c r="AM41" i="59" s="1"/>
  <c r="AM49" i="59"/>
  <c r="AP90" i="8"/>
  <c r="AT6" i="8"/>
  <c r="AP92" i="8"/>
  <c r="AP82" i="8"/>
  <c r="AS52" i="59" s="1"/>
  <c r="AP40" i="8"/>
  <c r="AP43" i="8"/>
  <c r="AS46" i="59" s="1"/>
  <c r="AP45" i="8"/>
  <c r="AP44" i="8"/>
  <c r="AS48" i="59" s="1"/>
  <c r="AP46" i="8"/>
  <c r="AS47" i="59" s="1"/>
  <c r="AP86" i="8"/>
  <c r="AP41" i="8"/>
  <c r="AP39" i="8"/>
  <c r="AP47" i="8"/>
  <c r="AJ49" i="8"/>
  <c r="AS6" i="8"/>
  <c r="AO46" i="8"/>
  <c r="AR47" i="59" s="1"/>
  <c r="AO92" i="8"/>
  <c r="AO82" i="8"/>
  <c r="AR52" i="59" s="1"/>
  <c r="AJ42" i="8"/>
  <c r="AH51" i="59"/>
  <c r="AH50" i="59"/>
  <c r="AB44" i="59"/>
  <c r="BE22" i="6"/>
  <c r="AS16" i="8"/>
  <c r="AI50" i="59"/>
  <c r="AI51" i="59"/>
  <c r="AW6" i="8" l="1"/>
  <c r="AX6" i="8"/>
  <c r="AX86" i="8" s="1"/>
  <c r="BE23" i="6"/>
  <c r="BG23" i="6" s="1"/>
  <c r="BG22" i="6"/>
  <c r="AX44" i="8"/>
  <c r="AX46" i="8"/>
  <c r="AX45" i="8"/>
  <c r="AX43" i="8"/>
  <c r="AX47" i="8"/>
  <c r="AX82" i="8"/>
  <c r="AX39" i="8"/>
  <c r="AI2" i="26"/>
  <c r="AI2" i="17"/>
  <c r="AW92" i="8"/>
  <c r="AW82" i="8"/>
  <c r="AT47" i="8"/>
  <c r="AT92" i="8"/>
  <c r="AT41" i="8"/>
  <c r="AT86" i="8"/>
  <c r="AT46" i="8"/>
  <c r="AW47" i="59" s="1"/>
  <c r="AT39" i="8"/>
  <c r="AT43" i="8"/>
  <c r="AW46" i="59" s="1"/>
  <c r="AT82" i="8"/>
  <c r="AW52" i="59" s="1"/>
  <c r="AT44" i="8"/>
  <c r="AW48" i="59" s="1"/>
  <c r="AT45" i="8"/>
  <c r="AT40" i="8"/>
  <c r="AS92" i="8"/>
  <c r="AS82" i="8"/>
  <c r="AV52" i="59" s="1"/>
  <c r="AS46" i="8"/>
  <c r="AV47" i="59" s="1"/>
  <c r="AP42" i="8"/>
  <c r="AS90" i="8"/>
  <c r="AW90" i="8" s="1"/>
  <c r="AS49" i="59"/>
  <c r="AT90" i="8"/>
  <c r="AX90" i="8" s="1"/>
  <c r="AO83" i="8"/>
  <c r="AL50" i="59"/>
  <c r="AO84" i="8"/>
  <c r="AL51" i="59"/>
  <c r="BE13" i="8"/>
  <c r="AM50" i="59"/>
  <c r="AP83" i="8"/>
  <c r="AP50" i="8"/>
  <c r="AP51" i="8" s="1"/>
  <c r="AP14" i="36"/>
  <c r="AS41" i="59" s="1"/>
  <c r="AP49" i="8"/>
  <c r="AM51" i="59"/>
  <c r="AP84" i="8"/>
  <c r="Y82" i="7"/>
  <c r="Y83" i="7" s="1"/>
  <c r="AB36" i="59" s="1"/>
  <c r="Z193" i="6"/>
  <c r="AB193" i="6" s="1"/>
  <c r="Z167" i="6"/>
  <c r="AB167" i="6" s="1"/>
  <c r="AX40" i="8" l="1"/>
  <c r="AX92" i="8"/>
  <c r="AX41" i="8"/>
  <c r="AW46" i="8"/>
  <c r="AZ47" i="59" s="1"/>
  <c r="BE16" i="8"/>
  <c r="BG13" i="8"/>
  <c r="AX42" i="8"/>
  <c r="AO2" i="17"/>
  <c r="AO2" i="26"/>
  <c r="AW49" i="59"/>
  <c r="BE6" i="8"/>
  <c r="AZ52" i="59"/>
  <c r="AT42" i="8"/>
  <c r="BF6" i="8"/>
  <c r="BA52" i="59"/>
  <c r="BA48" i="59"/>
  <c r="BA46" i="59"/>
  <c r="BA47" i="59"/>
  <c r="AS84" i="8"/>
  <c r="AW84" i="8" s="1"/>
  <c r="AR51" i="59"/>
  <c r="AS83" i="8"/>
  <c r="AW83" i="8" s="1"/>
  <c r="AR50" i="59"/>
  <c r="AS51" i="59"/>
  <c r="AT84" i="8"/>
  <c r="AX84" i="8" s="1"/>
  <c r="AT50" i="8"/>
  <c r="AT51" i="8" s="1"/>
  <c r="AT14" i="36"/>
  <c r="AW41" i="59" s="1"/>
  <c r="AT49" i="8"/>
  <c r="AS50" i="59"/>
  <c r="AT83" i="8"/>
  <c r="AX83" i="8" s="1"/>
  <c r="Y71" i="7"/>
  <c r="Y73" i="7" s="1"/>
  <c r="Y68" i="7"/>
  <c r="Y69" i="7" s="1"/>
  <c r="AB32" i="59"/>
  <c r="AB30" i="59"/>
  <c r="AB31" i="59"/>
  <c r="BF90" i="8" l="1"/>
  <c r="BH6" i="8"/>
  <c r="BF39" i="8"/>
  <c r="BG6" i="8"/>
  <c r="AS2" i="26"/>
  <c r="AS2" i="17"/>
  <c r="AX50" i="8"/>
  <c r="AX51" i="8" s="1"/>
  <c r="AX49" i="8"/>
  <c r="BA49" i="59"/>
  <c r="BE90" i="8"/>
  <c r="BF41" i="8"/>
  <c r="BF92" i="8"/>
  <c r="BF45" i="8"/>
  <c r="BF40" i="8"/>
  <c r="BF86" i="8"/>
  <c r="BF46" i="8"/>
  <c r="BF47" i="8"/>
  <c r="BF43" i="8"/>
  <c r="BF44" i="8"/>
  <c r="BF82" i="8"/>
  <c r="BI52" i="59" s="1"/>
  <c r="BE92" i="8"/>
  <c r="BE46" i="8"/>
  <c r="BH47" i="59" s="1"/>
  <c r="BE82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8" i="7"/>
  <c r="BI48" i="59" l="1"/>
  <c r="BF137" i="8"/>
  <c r="BF144" i="8" s="1"/>
  <c r="BI46" i="59"/>
  <c r="BF136" i="8"/>
  <c r="BI47" i="59"/>
  <c r="BI49" i="59" s="1"/>
  <c r="BF138" i="8"/>
  <c r="BF145" i="8" s="1"/>
  <c r="AW2" i="26"/>
  <c r="AW2" i="17"/>
  <c r="BF14" i="36"/>
  <c r="BF42" i="8"/>
  <c r="BE84" i="8"/>
  <c r="BH51" i="59" s="1"/>
  <c r="BE83" i="8"/>
  <c r="BH50" i="59" s="1"/>
  <c r="BF83" i="8"/>
  <c r="BI50" i="59" s="1"/>
  <c r="BF84" i="8"/>
  <c r="BI51" i="59" s="1"/>
  <c r="BF50" i="8"/>
  <c r="BF49" i="8"/>
  <c r="AB6" i="59"/>
  <c r="Y34" i="36"/>
  <c r="BF139" i="8" l="1"/>
  <c r="BF146" i="8" s="1"/>
  <c r="BF143" i="8"/>
  <c r="BL49" i="8"/>
  <c r="BF51" i="8"/>
  <c r="BI41" i="59"/>
  <c r="BE2" i="26"/>
  <c r="BE2" i="17"/>
  <c r="Z34" i="36"/>
  <c r="Z41" i="36" s="1"/>
  <c r="Y35" i="36"/>
  <c r="Y36" i="36"/>
  <c r="Y38" i="36" s="1"/>
  <c r="Z5" i="6"/>
  <c r="Z6" i="6"/>
  <c r="Z16" i="6" s="1"/>
  <c r="Z18" i="6"/>
  <c r="Z80" i="6" l="1"/>
  <c r="Z83" i="6"/>
  <c r="Y30" i="36"/>
  <c r="AB80" i="59" s="1"/>
  <c r="AB18" i="6"/>
  <c r="Z35" i="36"/>
  <c r="Z36" i="36"/>
  <c r="Z38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Z30" i="36"/>
  <c r="AC80" i="59" s="1"/>
  <c r="AB17" i="6"/>
  <c r="Z169" i="6"/>
  <c r="Z19" i="6"/>
  <c r="BB81" i="6" s="1"/>
  <c r="BD81" i="6" s="1"/>
  <c r="Z168" i="6"/>
  <c r="AB169" i="6" l="1"/>
  <c r="AJ18" i="6"/>
  <c r="AP18" i="6" s="1"/>
  <c r="AT18" i="6" s="1"/>
  <c r="AF83" i="6"/>
  <c r="AJ83" i="6" s="1"/>
  <c r="AF80" i="6"/>
  <c r="AJ80" i="6" s="1"/>
  <c r="AX18" i="6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F194" i="6"/>
  <c r="AF189" i="6"/>
  <c r="Z39" i="6"/>
  <c r="Z40" i="6"/>
  <c r="Z38" i="6"/>
  <c r="AJ17" i="6" l="1"/>
  <c r="AP17" i="6" s="1"/>
  <c r="AT17" i="6" s="1"/>
  <c r="AF82" i="6"/>
  <c r="AJ82" i="6" s="1"/>
  <c r="AF79" i="6"/>
  <c r="AJ79" i="6" s="1"/>
  <c r="AX17" i="6"/>
  <c r="AX194" i="6"/>
  <c r="AX189" i="6"/>
  <c r="BF18" i="6"/>
  <c r="BH18" i="6" s="1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BH17" i="6" s="1"/>
  <c r="AT40" i="6"/>
  <c r="AT38" i="6"/>
  <c r="AT39" i="6"/>
  <c r="AP40" i="6"/>
  <c r="AP38" i="6"/>
  <c r="AP39" i="6"/>
  <c r="AJ38" i="6"/>
  <c r="AJ39" i="6"/>
  <c r="AJ40" i="6"/>
  <c r="AF39" i="6"/>
  <c r="AF38" i="6"/>
  <c r="AF40" i="6"/>
  <c r="J81" i="11"/>
  <c r="J86" i="11"/>
  <c r="J91" i="11" s="1"/>
  <c r="J82" i="11"/>
  <c r="J181" i="10"/>
  <c r="AB181" i="10" s="1"/>
  <c r="AF181" i="10" s="1"/>
  <c r="J185" i="10"/>
  <c r="J190" i="10" s="1"/>
  <c r="J180" i="10"/>
  <c r="AJ181" i="10" l="1"/>
  <c r="AP181" i="10" s="1"/>
  <c r="AT181" i="10" s="1"/>
  <c r="AX181" i="10" s="1"/>
  <c r="BF168" i="6"/>
  <c r="BF19" i="6"/>
  <c r="BH19" i="6" s="1"/>
  <c r="BF164" i="6"/>
  <c r="AX40" i="6"/>
  <c r="AX39" i="6"/>
  <c r="AX38" i="6"/>
  <c r="R82" i="11"/>
  <c r="V82" i="11" s="1"/>
  <c r="AB82" i="11"/>
  <c r="AF82" i="11" s="1"/>
  <c r="R181" i="10"/>
  <c r="V181" i="10" s="1"/>
  <c r="J83" i="11"/>
  <c r="J90" i="11" s="1"/>
  <c r="J182" i="10"/>
  <c r="J189" i="10" s="1"/>
  <c r="AB86" i="11"/>
  <c r="AF86" i="11" s="1"/>
  <c r="AJ86" i="11" s="1"/>
  <c r="AJ91" i="11" s="1"/>
  <c r="AB185" i="10"/>
  <c r="AF185" i="10" s="1"/>
  <c r="AJ185" i="10" s="1"/>
  <c r="AJ190" i="10" s="1"/>
  <c r="BF181" i="10" l="1"/>
  <c r="BI181" i="10" s="1"/>
  <c r="BF40" i="6"/>
  <c r="BF39" i="6"/>
  <c r="BF38" i="6"/>
  <c r="AJ82" i="11"/>
  <c r="AP82" i="11" s="1"/>
  <c r="AT82" i="11" s="1"/>
  <c r="AX82" i="11" s="1"/>
  <c r="AF190" i="10"/>
  <c r="AF91" i="11"/>
  <c r="AB91" i="11"/>
  <c r="AB190" i="10"/>
  <c r="R81" i="11"/>
  <c r="V81" i="11" s="1"/>
  <c r="V83" i="11" s="1"/>
  <c r="AB81" i="11"/>
  <c r="AF81" i="11" s="1"/>
  <c r="AJ81" i="11" s="1"/>
  <c r="R180" i="10"/>
  <c r="V180" i="10" s="1"/>
  <c r="V182" i="10" s="1"/>
  <c r="V189" i="10" s="1"/>
  <c r="AB180" i="10"/>
  <c r="AF180" i="10" s="1"/>
  <c r="AJ180" i="10" s="1"/>
  <c r="AJ182" i="10" s="1"/>
  <c r="AJ189" i="10" s="1"/>
  <c r="R185" i="10"/>
  <c r="V185" i="10" s="1"/>
  <c r="V190" i="10" s="1"/>
  <c r="R86" i="11"/>
  <c r="V86" i="11" s="1"/>
  <c r="V91" i="11" s="1"/>
  <c r="AJ83" i="11" l="1"/>
  <c r="BF82" i="11"/>
  <c r="AJ90" i="11"/>
  <c r="V90" i="11"/>
  <c r="AF182" i="10"/>
  <c r="AF189" i="10" s="1"/>
  <c r="AP185" i="10"/>
  <c r="AT185" i="10" s="1"/>
  <c r="AX185" i="10" s="1"/>
  <c r="AF83" i="11"/>
  <c r="AP86" i="11"/>
  <c r="AB83" i="11"/>
  <c r="AB90" i="11" s="1"/>
  <c r="R83" i="11"/>
  <c r="R90" i="11" s="1"/>
  <c r="AB182" i="10"/>
  <c r="AB189" i="10" s="1"/>
  <c r="R182" i="10"/>
  <c r="R189" i="10" s="1"/>
  <c r="R190" i="10"/>
  <c r="R91" i="11"/>
  <c r="AP91" i="11" l="1"/>
  <c r="AT86" i="11"/>
  <c r="AX190" i="10"/>
  <c r="AP190" i="10"/>
  <c r="AP180" i="10"/>
  <c r="AT180" i="10" s="1"/>
  <c r="AF90" i="11"/>
  <c r="AP81" i="11"/>
  <c r="AX86" i="11" l="1"/>
  <c r="AX91" i="11" s="1"/>
  <c r="AT91" i="11"/>
  <c r="AT190" i="10"/>
  <c r="AP83" i="11"/>
  <c r="AP90" i="11" s="1"/>
  <c r="AT81" i="11"/>
  <c r="AX180" i="10"/>
  <c r="AP182" i="10"/>
  <c r="AT182" i="10" s="1"/>
  <c r="Q53" i="38"/>
  <c r="AX182" i="10" l="1"/>
  <c r="AX81" i="11"/>
  <c r="AX189" i="10"/>
  <c r="BF86" i="11"/>
  <c r="BF91" i="11" s="1"/>
  <c r="AT83" i="11"/>
  <c r="AX83" i="11" s="1"/>
  <c r="AT189" i="10"/>
  <c r="BF185" i="10"/>
  <c r="BI185" i="10" s="1"/>
  <c r="AP189" i="10"/>
  <c r="J93" i="11"/>
  <c r="BF190" i="10" l="1"/>
  <c r="BI190" i="10" s="1"/>
  <c r="AX90" i="11"/>
  <c r="AT90" i="11"/>
  <c r="BF81" i="11"/>
  <c r="BF83" i="11" s="1"/>
  <c r="BF90" i="11" s="1"/>
  <c r="BF180" i="10"/>
  <c r="BI180" i="10" s="1"/>
  <c r="J85" i="11"/>
  <c r="BF182" i="10" l="1"/>
  <c r="BI182" i="10" s="1"/>
  <c r="BF189" i="10"/>
  <c r="BI189" i="10" s="1"/>
  <c r="M165" i="10"/>
  <c r="M166" i="10" s="1"/>
  <c r="R93" i="11"/>
  <c r="R85" i="11"/>
  <c r="J192" i="10"/>
  <c r="J184" i="10" l="1"/>
  <c r="Y165" i="10" l="1"/>
  <c r="Y166" i="10" s="1"/>
  <c r="E49" i="8" l="1"/>
  <c r="E50" i="8" s="1"/>
  <c r="E51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7" i="36"/>
  <c r="M37" i="36"/>
  <c r="AB57" i="36" l="1"/>
  <c r="AB58" i="36"/>
  <c r="AB61" i="36"/>
  <c r="AB64" i="36"/>
  <c r="AB56" i="36"/>
  <c r="AB69" i="36" l="1"/>
  <c r="AB71" i="36" s="1"/>
  <c r="AB63" i="36"/>
  <c r="F19" i="36"/>
  <c r="I57" i="59" s="1"/>
  <c r="AB60" i="36"/>
  <c r="AI54" i="59" l="1"/>
  <c r="AI55" i="59"/>
  <c r="BF64" i="36" l="1"/>
  <c r="BF72" i="36" s="1"/>
  <c r="AJ17" i="36"/>
  <c r="AM55" i="59" s="1"/>
  <c r="AJ16" i="36"/>
  <c r="AI56" i="59"/>
  <c r="BF61" i="36" l="1"/>
  <c r="AJ18" i="36"/>
  <c r="AM56" i="59" s="1"/>
  <c r="AM54" i="59"/>
  <c r="BD68" i="36"/>
  <c r="BD19" i="36" s="1"/>
  <c r="BD60" i="36"/>
  <c r="BD18" i="36"/>
  <c r="BG56" i="59" l="1"/>
  <c r="BG57" i="59"/>
  <c r="BF63" i="36"/>
  <c r="BF69" i="36"/>
  <c r="BF71" i="36" s="1"/>
  <c r="BF56" i="36"/>
  <c r="BF16" i="36" s="1"/>
  <c r="BI54" i="59" l="1"/>
  <c r="BF58" i="36"/>
  <c r="BF66" i="36" s="1"/>
  <c r="BF57" i="36"/>
  <c r="BF17" i="36" s="1"/>
  <c r="BI55" i="59" l="1"/>
  <c r="BF60" i="36"/>
  <c r="J111" i="9"/>
  <c r="E28" i="8" l="1"/>
  <c r="E29" i="8"/>
  <c r="E31" i="8"/>
  <c r="E27" i="8"/>
  <c r="M29" i="8" l="1"/>
  <c r="AA29" i="8" s="1"/>
  <c r="AE29" i="8" s="1"/>
  <c r="AI29" i="8" s="1"/>
  <c r="AI45" i="8" s="1"/>
  <c r="AE45" i="8"/>
  <c r="E109" i="8"/>
  <c r="E110" i="8" s="1"/>
  <c r="M27" i="8"/>
  <c r="M31" i="8"/>
  <c r="AA31" i="8" s="1"/>
  <c r="AE31" i="8" s="1"/>
  <c r="AI31" i="8" s="1"/>
  <c r="AI47" i="8" s="1"/>
  <c r="M28" i="8"/>
  <c r="Q29" i="8"/>
  <c r="U29" i="8" s="1"/>
  <c r="U45" i="8" s="1"/>
  <c r="E59" i="8"/>
  <c r="E69" i="8"/>
  <c r="M69" i="8" l="1"/>
  <c r="E111" i="8"/>
  <c r="E112" i="8" s="1"/>
  <c r="AO29" i="8"/>
  <c r="AE47" i="8"/>
  <c r="AA27" i="8"/>
  <c r="AE27" i="8" s="1"/>
  <c r="M109" i="8"/>
  <c r="M110" i="8" s="1"/>
  <c r="AA28" i="8"/>
  <c r="AE28" i="8" s="1"/>
  <c r="AE149" i="8" s="1"/>
  <c r="Q31" i="8"/>
  <c r="U31" i="8" s="1"/>
  <c r="U47" i="8" s="1"/>
  <c r="Q69" i="8"/>
  <c r="U69" i="8" s="1"/>
  <c r="AA69" i="8"/>
  <c r="AE69" i="8" s="1"/>
  <c r="Q28" i="8"/>
  <c r="Q45" i="8"/>
  <c r="Q37" i="8"/>
  <c r="U37" i="8" s="1"/>
  <c r="Q27" i="8"/>
  <c r="U27" i="8" s="1"/>
  <c r="E63" i="8"/>
  <c r="M59" i="8"/>
  <c r="U28" i="8" l="1"/>
  <c r="U149" i="8" s="1"/>
  <c r="Q149" i="8"/>
  <c r="M63" i="8"/>
  <c r="AI28" i="8"/>
  <c r="AI149" i="8" s="1"/>
  <c r="AI69" i="8"/>
  <c r="AI27" i="8"/>
  <c r="U44" i="8"/>
  <c r="U74" i="8"/>
  <c r="U43" i="8"/>
  <c r="U109" i="8"/>
  <c r="U111" i="8" s="1"/>
  <c r="AO45" i="8"/>
  <c r="AS29" i="8"/>
  <c r="AW29" i="8" s="1"/>
  <c r="AW45" i="8" s="1"/>
  <c r="AO31" i="8"/>
  <c r="M111" i="8"/>
  <c r="M112" i="8" s="1"/>
  <c r="M53" i="8" s="1"/>
  <c r="P43" i="59" s="1"/>
  <c r="P44" i="59" s="1"/>
  <c r="AE44" i="8"/>
  <c r="AH48" i="59" s="1"/>
  <c r="AE74" i="8"/>
  <c r="AE43" i="8"/>
  <c r="AH46" i="59" s="1"/>
  <c r="AE109" i="8"/>
  <c r="AE111" i="8" s="1"/>
  <c r="Q74" i="8"/>
  <c r="Q47" i="8"/>
  <c r="Q44" i="8"/>
  <c r="T48" i="59" s="1"/>
  <c r="Q63" i="8"/>
  <c r="U63" i="8" s="1"/>
  <c r="AA63" i="8"/>
  <c r="AE63" i="8" s="1"/>
  <c r="Q59" i="8"/>
  <c r="U59" i="8" s="1"/>
  <c r="AA59" i="8"/>
  <c r="AE59" i="8" s="1"/>
  <c r="Q43" i="8"/>
  <c r="T46" i="59" s="1"/>
  <c r="Q109" i="8"/>
  <c r="Q110" i="8" s="1"/>
  <c r="M82" i="7"/>
  <c r="AA82" i="7" s="1"/>
  <c r="AE82" i="7" s="1"/>
  <c r="AI82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U110" i="8" l="1"/>
  <c r="AI74" i="8"/>
  <c r="AI109" i="8"/>
  <c r="AI110" i="8" s="1"/>
  <c r="AI43" i="8"/>
  <c r="AL46" i="59" s="1"/>
  <c r="AO27" i="8"/>
  <c r="AO69" i="8"/>
  <c r="AI59" i="8"/>
  <c r="AI63" i="8"/>
  <c r="AO63" i="8" s="1"/>
  <c r="AS63" i="8" s="1"/>
  <c r="AI44" i="8"/>
  <c r="AL48" i="59" s="1"/>
  <c r="AO28" i="8"/>
  <c r="AO149" i="8" s="1"/>
  <c r="U112" i="8"/>
  <c r="U53" i="8" s="1"/>
  <c r="U71" i="8"/>
  <c r="AH49" i="59"/>
  <c r="T49" i="59"/>
  <c r="V11" i="38"/>
  <c r="Z11" i="38" s="1"/>
  <c r="AS45" i="8"/>
  <c r="AE110" i="8"/>
  <c r="AE112" i="8" s="1"/>
  <c r="AE53" i="8" s="1"/>
  <c r="AH43" i="59" s="1"/>
  <c r="AH44" i="59" s="1"/>
  <c r="AO47" i="8"/>
  <c r="AS31" i="8"/>
  <c r="AW31" i="8" s="1"/>
  <c r="AW47" i="8" s="1"/>
  <c r="AE71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1" i="8"/>
  <c r="Q112" i="8" s="1"/>
  <c r="Q53" i="8" s="1"/>
  <c r="T43" i="59" s="1"/>
  <c r="T44" i="59" s="1"/>
  <c r="Q71" i="8"/>
  <c r="X46" i="59"/>
  <c r="X48" i="59"/>
  <c r="M83" i="7"/>
  <c r="Q82" i="7"/>
  <c r="U82" i="7" s="1"/>
  <c r="U83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1" i="8"/>
  <c r="M37" i="38"/>
  <c r="M86" i="38" s="1"/>
  <c r="M26" i="38"/>
  <c r="M30" i="38"/>
  <c r="M79" i="38" s="1"/>
  <c r="Q3" i="38"/>
  <c r="Q61" i="38" s="1"/>
  <c r="M52" i="38"/>
  <c r="J138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72" i="10"/>
  <c r="J173" i="10" s="1"/>
  <c r="M23" i="38"/>
  <c r="I91" i="8" s="1"/>
  <c r="E91" i="8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M91" i="8" l="1"/>
  <c r="AA91" i="8" s="1"/>
  <c r="BG91" i="8"/>
  <c r="AL49" i="59"/>
  <c r="AI111" i="8"/>
  <c r="AI112" i="8" s="1"/>
  <c r="AI53" i="8" s="1"/>
  <c r="AL43" i="59" s="1"/>
  <c r="AL44" i="59" s="1"/>
  <c r="AW63" i="8"/>
  <c r="AI71" i="8"/>
  <c r="AO44" i="8"/>
  <c r="AR48" i="59" s="1"/>
  <c r="AS28" i="8"/>
  <c r="AO59" i="8"/>
  <c r="AO74" i="8"/>
  <c r="AS69" i="8"/>
  <c r="AW69" i="8" s="1"/>
  <c r="AS27" i="8"/>
  <c r="AW27" i="8" s="1"/>
  <c r="AO43" i="8"/>
  <c r="AR46" i="59" s="1"/>
  <c r="AO109" i="8"/>
  <c r="X49" i="59"/>
  <c r="N52" i="38"/>
  <c r="N61" i="38"/>
  <c r="BE29" i="8"/>
  <c r="AS47" i="8"/>
  <c r="AO82" i="7"/>
  <c r="V193" i="6"/>
  <c r="V194" i="6" s="1"/>
  <c r="AD69" i="38"/>
  <c r="V91" i="8"/>
  <c r="V92" i="8" s="1"/>
  <c r="V167" i="6"/>
  <c r="V168" i="6" s="1"/>
  <c r="AD85" i="38"/>
  <c r="X43" i="59"/>
  <c r="X44" i="59" s="1"/>
  <c r="R167" i="6"/>
  <c r="R168" i="6" s="1"/>
  <c r="R193" i="6"/>
  <c r="R194" i="6" s="1"/>
  <c r="R91" i="8"/>
  <c r="R92" i="8" s="1"/>
  <c r="Q83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38" i="45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W28" i="8" l="1"/>
  <c r="AS149" i="8"/>
  <c r="BE45" i="8"/>
  <c r="BG29" i="8"/>
  <c r="AR49" i="59"/>
  <c r="AF138" i="45"/>
  <c r="AB139" i="45"/>
  <c r="AW74" i="8"/>
  <c r="U61" i="38"/>
  <c r="Y3" i="38"/>
  <c r="Y78" i="38" s="1"/>
  <c r="AW43" i="8"/>
  <c r="AW109" i="8"/>
  <c r="AW111" i="8" s="1"/>
  <c r="BE63" i="8"/>
  <c r="BG63" i="8" s="1"/>
  <c r="AS43" i="8"/>
  <c r="AV46" i="59" s="1"/>
  <c r="AS109" i="8"/>
  <c r="AS74" i="8"/>
  <c r="AS59" i="8"/>
  <c r="AW59" i="8" s="1"/>
  <c r="AW71" i="8" s="1"/>
  <c r="AO71" i="8"/>
  <c r="AO111" i="8"/>
  <c r="AO110" i="8"/>
  <c r="AS44" i="8"/>
  <c r="AV48" i="59" s="1"/>
  <c r="R61" i="38"/>
  <c r="R60" i="38"/>
  <c r="BE31" i="8"/>
  <c r="AS82" i="7"/>
  <c r="AW82" i="7" s="1"/>
  <c r="AD84" i="38"/>
  <c r="AC75" i="38"/>
  <c r="AC94" i="38"/>
  <c r="AC78" i="38"/>
  <c r="AC95" i="38"/>
  <c r="AD72" i="38"/>
  <c r="Z92" i="8"/>
  <c r="AD68" i="38"/>
  <c r="AC74" i="38"/>
  <c r="AC59" i="38"/>
  <c r="AC93" i="38"/>
  <c r="AC86" i="38"/>
  <c r="Q95" i="38"/>
  <c r="Q86" i="38"/>
  <c r="U21" i="38"/>
  <c r="Y21" i="38" s="1"/>
  <c r="N90" i="38"/>
  <c r="R172" i="10"/>
  <c r="F26" i="36"/>
  <c r="U30" i="38"/>
  <c r="Y30" i="38" s="1"/>
  <c r="Q78" i="38"/>
  <c r="U15" i="38"/>
  <c r="Y15" i="38" s="1"/>
  <c r="R55" i="38"/>
  <c r="V6" i="38"/>
  <c r="Z6" i="38" s="1"/>
  <c r="R52" i="38"/>
  <c r="V3" i="38"/>
  <c r="Z3" i="38" s="1"/>
  <c r="Z84" i="38" s="1"/>
  <c r="R138" i="45"/>
  <c r="V138" i="45" s="1"/>
  <c r="V139" i="45" s="1"/>
  <c r="N43" i="38"/>
  <c r="U52" i="38"/>
  <c r="Q76" i="38"/>
  <c r="U27" i="38"/>
  <c r="Y27" i="38" s="1"/>
  <c r="U86" i="38"/>
  <c r="U78" i="38"/>
  <c r="U74" i="38"/>
  <c r="N68" i="38"/>
  <c r="Q69" i="38"/>
  <c r="U20" i="38"/>
  <c r="Y20" i="38" s="1"/>
  <c r="Q91" i="38"/>
  <c r="U42" i="38"/>
  <c r="Y42" i="38" s="1"/>
  <c r="Q82" i="38"/>
  <c r="U33" i="38"/>
  <c r="Y33" i="38" s="1"/>
  <c r="Q96" i="38"/>
  <c r="U47" i="38"/>
  <c r="Y47" i="38" s="1"/>
  <c r="Q87" i="38"/>
  <c r="U38" i="38"/>
  <c r="Y38" i="38" s="1"/>
  <c r="Q90" i="38"/>
  <c r="U41" i="38"/>
  <c r="Y41" i="38" s="1"/>
  <c r="U95" i="38"/>
  <c r="Q63" i="38"/>
  <c r="U14" i="38"/>
  <c r="Y14" i="38" s="1"/>
  <c r="Q80" i="38"/>
  <c r="U31" i="38"/>
  <c r="Y31" i="38" s="1"/>
  <c r="Q77" i="38"/>
  <c r="U28" i="38"/>
  <c r="Y28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Y96" i="38" l="1"/>
  <c r="Y79" i="38"/>
  <c r="AW44" i="8"/>
  <c r="AW149" i="8"/>
  <c r="BE47" i="8"/>
  <c r="BG31" i="8"/>
  <c r="Y76" i="38"/>
  <c r="Y80" i="38"/>
  <c r="Y77" i="38"/>
  <c r="Y88" i="38"/>
  <c r="Y91" i="38"/>
  <c r="Y63" i="38"/>
  <c r="Y82" i="38"/>
  <c r="AJ138" i="45"/>
  <c r="AJ139" i="45" s="1"/>
  <c r="AF139" i="45"/>
  <c r="V172" i="10"/>
  <c r="V173" i="10" s="1"/>
  <c r="R173" i="10"/>
  <c r="AW110" i="8"/>
  <c r="AW112" i="8" s="1"/>
  <c r="AW53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2" i="8"/>
  <c r="AO53" i="8" s="1"/>
  <c r="AR43" i="59" s="1"/>
  <c r="AR44" i="59" s="1"/>
  <c r="AS71" i="8"/>
  <c r="BE28" i="8"/>
  <c r="BG28" i="8" s="1"/>
  <c r="BG149" i="8" s="1"/>
  <c r="AZ48" i="59"/>
  <c r="BE69" i="8"/>
  <c r="BG69" i="8" s="1"/>
  <c r="AS111" i="8"/>
  <c r="AS110" i="8"/>
  <c r="BE27" i="8"/>
  <c r="BG27" i="8" s="1"/>
  <c r="AZ46" i="59"/>
  <c r="V84" i="38"/>
  <c r="V61" i="38"/>
  <c r="V60" i="38"/>
  <c r="BE82" i="7"/>
  <c r="BG82" i="7" s="1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1" i="8"/>
  <c r="Q92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P138" i="45" l="1"/>
  <c r="AP139" i="45" s="1"/>
  <c r="AS112" i="8"/>
  <c r="AS53" i="8" s="1"/>
  <c r="AV43" i="59" s="1"/>
  <c r="AV44" i="59" s="1"/>
  <c r="BE74" i="8"/>
  <c r="AZ49" i="59"/>
  <c r="BE43" i="8"/>
  <c r="BH46" i="59" s="1"/>
  <c r="BE109" i="8"/>
  <c r="BE110" i="8" s="1"/>
  <c r="BE44" i="8"/>
  <c r="BH48" i="59" s="1"/>
  <c r="BE59" i="8"/>
  <c r="V26" i="36"/>
  <c r="U91" i="8"/>
  <c r="U92" i="8" s="1"/>
  <c r="U193" i="6"/>
  <c r="U194" i="6" s="1"/>
  <c r="AI3" i="38"/>
  <c r="AI61" i="38" s="1"/>
  <c r="AE61" i="38"/>
  <c r="AD55" i="38"/>
  <c r="AF6" i="38"/>
  <c r="AJ6" i="38" s="1"/>
  <c r="AN6" i="38" s="1"/>
  <c r="AC72" i="38"/>
  <c r="Y92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BE71" i="8" l="1"/>
  <c r="BG59" i="8"/>
  <c r="BH49" i="59"/>
  <c r="AT138" i="45"/>
  <c r="AT139" i="45" s="1"/>
  <c r="BE111" i="8"/>
  <c r="BE112" i="8" s="1"/>
  <c r="BE53" i="8" s="1"/>
  <c r="BH43" i="59" s="1"/>
  <c r="BH44" i="59" s="1"/>
  <c r="AZ43" i="59"/>
  <c r="AZ44" i="59" s="1"/>
  <c r="U26" i="36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X138" i="45" l="1"/>
  <c r="AX139" i="45" s="1"/>
  <c r="AJ52" i="38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BF138" i="45" l="1"/>
  <c r="AN52" i="38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T64" i="38"/>
  <c r="AD65" i="38"/>
  <c r="AF16" i="38"/>
  <c r="AD66" i="38"/>
  <c r="AE66" i="38"/>
  <c r="AE67" i="38"/>
  <c r="V66" i="38"/>
  <c r="V98" i="38" s="1"/>
  <c r="BF139" i="45" l="1"/>
  <c r="BH138" i="45"/>
  <c r="AT56" i="38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7" i="36"/>
  <c r="I37" i="36"/>
  <c r="BB65" i="38" l="1"/>
  <c r="BB98" i="38" s="1"/>
  <c r="BB49" i="38"/>
  <c r="BJ16" i="38"/>
  <c r="AA64" i="36"/>
  <c r="AA61" i="36"/>
  <c r="AA63" i="36" s="1"/>
  <c r="BJ49" i="38" l="1"/>
  <c r="BJ65" i="38"/>
  <c r="AA58" i="36"/>
  <c r="BJ98" i="38" l="1"/>
  <c r="AA60" i="36"/>
  <c r="F17" i="36" l="1"/>
  <c r="I55" i="59" s="1"/>
  <c r="F16" i="36"/>
  <c r="I54" i="59" s="1"/>
  <c r="BE64" i="36" l="1"/>
  <c r="BE61" i="36"/>
  <c r="BE63" i="36" s="1"/>
  <c r="BC60" i="36"/>
  <c r="BR28" i="21" l="1"/>
  <c r="BQ28" i="21"/>
  <c r="BR24" i="21"/>
  <c r="BR25" i="21" s="1"/>
  <c r="BQ22" i="21"/>
  <c r="BQ15" i="21"/>
  <c r="BE58" i="36" l="1"/>
  <c r="BE60" i="36" s="1"/>
  <c r="J23" i="21" l="1"/>
  <c r="I50" i="35"/>
  <c r="I51" i="35"/>
  <c r="I44" i="35"/>
  <c r="J44" i="35"/>
  <c r="I45" i="35"/>
  <c r="J45" i="35"/>
  <c r="I34" i="35"/>
  <c r="I35" i="35"/>
  <c r="H122" i="90" s="1"/>
  <c r="H124" i="90" s="1"/>
  <c r="J35" i="35"/>
  <c r="I122" i="90" s="1"/>
  <c r="I124" i="90" s="1"/>
  <c r="N26" i="9" l="1"/>
  <c r="I36" i="35"/>
  <c r="I48" i="35" s="1"/>
  <c r="K139" i="50" l="1"/>
  <c r="S139" i="50"/>
  <c r="M36" i="35"/>
  <c r="J53" i="35"/>
  <c r="I53" i="35"/>
  <c r="W139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8" i="35" s="1"/>
  <c r="AA21" i="35" l="1"/>
  <c r="AA26" i="9" s="1"/>
  <c r="E92" i="8"/>
  <c r="AB21" i="35" l="1"/>
  <c r="AB26" i="9" s="1"/>
  <c r="F33" i="36" l="1"/>
  <c r="F40" i="36" s="1"/>
  <c r="E33" i="36"/>
  <c r="F18" i="36"/>
  <c r="I56" i="59" s="1"/>
  <c r="J2" i="36"/>
  <c r="I2" i="36"/>
  <c r="J51" i="35"/>
  <c r="J50" i="35"/>
  <c r="I43" i="35"/>
  <c r="J39" i="35"/>
  <c r="I32" i="35"/>
  <c r="J121" i="45" s="1"/>
  <c r="J139" i="45" s="1"/>
  <c r="J32" i="35"/>
  <c r="I31" i="35"/>
  <c r="I56" i="11" s="1"/>
  <c r="I30" i="35"/>
  <c r="I159" i="10" s="1"/>
  <c r="I28" i="35"/>
  <c r="J28" i="35"/>
  <c r="I9" i="15" s="1"/>
  <c r="I27" i="35"/>
  <c r="J27" i="35"/>
  <c r="E34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8" i="10"/>
  <c r="I210" i="10" s="1"/>
  <c r="I55" i="11"/>
  <c r="I97" i="11"/>
  <c r="J15" i="35"/>
  <c r="I15" i="35"/>
  <c r="J70" i="36"/>
  <c r="K70" i="36" s="1"/>
  <c r="J67" i="36"/>
  <c r="J69" i="36"/>
  <c r="J72" i="36"/>
  <c r="E57" i="36"/>
  <c r="E56" i="36"/>
  <c r="J6" i="35"/>
  <c r="J7" i="35"/>
  <c r="J6" i="6" s="1"/>
  <c r="I5" i="9"/>
  <c r="I64" i="36"/>
  <c r="I61" i="36"/>
  <c r="I63" i="36" s="1"/>
  <c r="I58" i="36"/>
  <c r="I60" i="36" s="1"/>
  <c r="J120" i="45"/>
  <c r="J124" i="45"/>
  <c r="J123" i="45"/>
  <c r="E35" i="36"/>
  <c r="M35" i="36" s="1"/>
  <c r="M34" i="36"/>
  <c r="M33" i="36"/>
  <c r="N33" i="36"/>
  <c r="N40" i="36" s="1"/>
  <c r="J144" i="45"/>
  <c r="L74" i="59" s="1"/>
  <c r="J5" i="9"/>
  <c r="I18" i="15"/>
  <c r="I26" i="36"/>
  <c r="J26" i="36"/>
  <c r="H9" i="15"/>
  <c r="H18" i="15"/>
  <c r="I41" i="35"/>
  <c r="I39" i="35"/>
  <c r="I33" i="35"/>
  <c r="I37" i="35" s="1"/>
  <c r="J97" i="50" s="1"/>
  <c r="J95" i="50" s="1"/>
  <c r="N5" i="36"/>
  <c r="N13" i="49" s="1"/>
  <c r="N2" i="35"/>
  <c r="M2" i="35"/>
  <c r="I7" i="35"/>
  <c r="I6" i="6" s="1"/>
  <c r="I6" i="35"/>
  <c r="M2" i="36"/>
  <c r="I33" i="36"/>
  <c r="N2" i="36"/>
  <c r="I34" i="36"/>
  <c r="J33" i="36"/>
  <c r="J40" i="36" s="1"/>
  <c r="J23" i="35"/>
  <c r="J25" i="35"/>
  <c r="M5" i="9"/>
  <c r="I24" i="35"/>
  <c r="J30" i="35"/>
  <c r="M60" i="59" l="1"/>
  <c r="J71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57" i="36"/>
  <c r="I56" i="36"/>
  <c r="M56" i="36"/>
  <c r="AA56" i="36" s="1"/>
  <c r="M57" i="36"/>
  <c r="J5" i="6"/>
  <c r="J8" i="35"/>
  <c r="I5" i="6"/>
  <c r="I8" i="35"/>
  <c r="J29" i="36"/>
  <c r="M79" i="59" s="1"/>
  <c r="J27" i="36"/>
  <c r="M77" i="59" s="1"/>
  <c r="N29" i="36"/>
  <c r="M7" i="15" s="1"/>
  <c r="E36" i="36"/>
  <c r="E38" i="36" s="1"/>
  <c r="AA34" i="36"/>
  <c r="I35" i="36"/>
  <c r="AA35" i="36" s="1"/>
  <c r="L132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M7" i="35"/>
  <c r="Q7" i="35" s="1"/>
  <c r="M33" i="22"/>
  <c r="M104" i="9"/>
  <c r="P59" i="59" s="1"/>
  <c r="M102" i="9"/>
  <c r="Q6" i="59"/>
  <c r="K144" i="45"/>
  <c r="M74" i="59" s="1"/>
  <c r="J23" i="36"/>
  <c r="M72" i="59" s="1"/>
  <c r="N5" i="9"/>
  <c r="N94" i="9" s="1"/>
  <c r="Q35" i="36"/>
  <c r="U35" i="36" s="1"/>
  <c r="Q34" i="36"/>
  <c r="U34" i="36" s="1"/>
  <c r="H76" i="59"/>
  <c r="F97" i="50"/>
  <c r="R2" i="36"/>
  <c r="V2" i="36" s="1"/>
  <c r="Q2" i="36"/>
  <c r="U2" i="36" s="1"/>
  <c r="F34" i="36"/>
  <c r="F41" i="36" s="1"/>
  <c r="N26" i="36"/>
  <c r="M26" i="36"/>
  <c r="I49" i="35"/>
  <c r="I55" i="35" s="1"/>
  <c r="N16" i="36"/>
  <c r="Q54" i="59" s="1"/>
  <c r="N17" i="36"/>
  <c r="Q55" i="59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Q6" i="35" l="1"/>
  <c r="U6" i="35" s="1"/>
  <c r="Q78" i="59"/>
  <c r="R6" i="35"/>
  <c r="R7" i="35"/>
  <c r="V7" i="35" s="1"/>
  <c r="V6" i="6" s="1"/>
  <c r="Q8" i="35"/>
  <c r="U7" i="35"/>
  <c r="U6" i="6" s="1"/>
  <c r="U5" i="6"/>
  <c r="BE2" i="35"/>
  <c r="BC6" i="35"/>
  <c r="BC5" i="6" s="1"/>
  <c r="E30" i="36"/>
  <c r="H80" i="59" s="1"/>
  <c r="AE35" i="36"/>
  <c r="AE34" i="36"/>
  <c r="I36" i="36"/>
  <c r="I38" i="36" s="1"/>
  <c r="I11" i="35"/>
  <c r="I10" i="6" s="1"/>
  <c r="Q64" i="36"/>
  <c r="Q61" i="36"/>
  <c r="Q63" i="36" s="1"/>
  <c r="Q58" i="36"/>
  <c r="Q60" i="36" s="1"/>
  <c r="N8" i="35"/>
  <c r="R69" i="36"/>
  <c r="R72" i="36"/>
  <c r="R67" i="36"/>
  <c r="R70" i="36"/>
  <c r="S70" i="36" s="1"/>
  <c r="R66" i="36"/>
  <c r="Q60" i="59"/>
  <c r="N78" i="9"/>
  <c r="N73" i="9"/>
  <c r="N76" i="9"/>
  <c r="N75" i="9"/>
  <c r="N77" i="9"/>
  <c r="N72" i="9"/>
  <c r="N74" i="9"/>
  <c r="N79" i="9"/>
  <c r="M8" i="35"/>
  <c r="T9" i="15"/>
  <c r="R121" i="45"/>
  <c r="R139" i="45" s="1"/>
  <c r="U9" i="15"/>
  <c r="R5" i="36"/>
  <c r="R13" i="49" s="1"/>
  <c r="Q56" i="11"/>
  <c r="AA6" i="35"/>
  <c r="Q79" i="59"/>
  <c r="M36" i="36"/>
  <c r="M38" i="36" s="1"/>
  <c r="Q5" i="9"/>
  <c r="AA7" i="35"/>
  <c r="AE7" i="35" s="1"/>
  <c r="M132" i="26"/>
  <c r="R5" i="9"/>
  <c r="Q77" i="59"/>
  <c r="M6" i="15"/>
  <c r="M5" i="15"/>
  <c r="N33" i="22"/>
  <c r="N104" i="9"/>
  <c r="Q59" i="59" s="1"/>
  <c r="N102" i="9"/>
  <c r="F35" i="36"/>
  <c r="N35" i="36" s="1"/>
  <c r="N34" i="36"/>
  <c r="N41" i="36" s="1"/>
  <c r="AA33" i="36"/>
  <c r="J178" i="10"/>
  <c r="M66" i="59" s="1"/>
  <c r="J34" i="36"/>
  <c r="J41" i="36" s="1"/>
  <c r="AA57" i="36"/>
  <c r="AA2" i="36"/>
  <c r="AE2" i="36" s="1"/>
  <c r="AI2" i="36" s="1"/>
  <c r="AO2" i="36" s="1"/>
  <c r="AB33" i="36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3" i="36"/>
  <c r="Q33" i="36"/>
  <c r="U33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6" i="59" s="1"/>
  <c r="N26" i="35"/>
  <c r="M26" i="35"/>
  <c r="V33" i="36" l="1"/>
  <c r="V40" i="36" s="1"/>
  <c r="R40" i="36"/>
  <c r="AB28" i="36"/>
  <c r="AB40" i="36"/>
  <c r="AI34" i="36"/>
  <c r="AO34" i="36" s="1"/>
  <c r="AS34" i="36" s="1"/>
  <c r="AW34" i="36" s="1"/>
  <c r="AI35" i="36"/>
  <c r="AO35" i="36" s="1"/>
  <c r="AS35" i="36" s="1"/>
  <c r="AW35" i="36" s="1"/>
  <c r="R8" i="35"/>
  <c r="V6" i="35"/>
  <c r="V8" i="35" s="1"/>
  <c r="U7" i="6"/>
  <c r="U8" i="35"/>
  <c r="U57" i="36"/>
  <c r="U56" i="36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5" i="11"/>
  <c r="Q97" i="11"/>
  <c r="AF33" i="36"/>
  <c r="AE33" i="36"/>
  <c r="AI33" i="36" s="1"/>
  <c r="R123" i="45"/>
  <c r="T72" i="59" s="1"/>
  <c r="AA5" i="6"/>
  <c r="AE6" i="35"/>
  <c r="R71" i="36"/>
  <c r="R68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8" i="15"/>
  <c r="AA8" i="35"/>
  <c r="Q56" i="36"/>
  <c r="Q57" i="36"/>
  <c r="N19" i="36"/>
  <c r="Q57" i="59" s="1"/>
  <c r="Q102" i="9"/>
  <c r="U102" i="9" s="1"/>
  <c r="U18" i="15"/>
  <c r="X72" i="59"/>
  <c r="X74" i="59"/>
  <c r="R124" i="45"/>
  <c r="R27" i="36"/>
  <c r="Q5" i="15" s="1"/>
  <c r="R120" i="45"/>
  <c r="AA36" i="36"/>
  <c r="AA38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2" i="26"/>
  <c r="Q96" i="9"/>
  <c r="Q90" i="9"/>
  <c r="Q94" i="9"/>
  <c r="P19" i="15" s="1"/>
  <c r="Q104" i="9"/>
  <c r="U104" i="9" s="1"/>
  <c r="X59" i="59" s="1"/>
  <c r="AB6" i="35"/>
  <c r="AF6" i="35" s="1"/>
  <c r="R6" i="6"/>
  <c r="Q5" i="6"/>
  <c r="R102" i="9"/>
  <c r="V102" i="9" s="1"/>
  <c r="R33" i="22"/>
  <c r="Q132" i="26"/>
  <c r="R100" i="9"/>
  <c r="R96" i="9"/>
  <c r="R89" i="9"/>
  <c r="R94" i="9"/>
  <c r="Q19" i="15" s="1"/>
  <c r="R90" i="9"/>
  <c r="R144" i="45"/>
  <c r="T74" i="59" s="1"/>
  <c r="F36" i="36"/>
  <c r="F38" i="36" s="1"/>
  <c r="AB34" i="36"/>
  <c r="AB41" i="36" s="1"/>
  <c r="J35" i="36"/>
  <c r="AB35" i="36" s="1"/>
  <c r="R29" i="36"/>
  <c r="R28" i="36"/>
  <c r="T57" i="59"/>
  <c r="R34" i="36"/>
  <c r="AD77" i="59"/>
  <c r="AD79" i="59"/>
  <c r="AD78" i="59"/>
  <c r="AB5" i="9"/>
  <c r="Q36" i="36"/>
  <c r="R35" i="36"/>
  <c r="V35" i="36" s="1"/>
  <c r="T55" i="59"/>
  <c r="R18" i="36"/>
  <c r="U56" i="59" s="1"/>
  <c r="T78" i="59"/>
  <c r="T79" i="59"/>
  <c r="T77" i="59"/>
  <c r="AA15" i="35"/>
  <c r="M30" i="36"/>
  <c r="P80" i="59" s="1"/>
  <c r="Y55" i="35"/>
  <c r="V34" i="36" l="1"/>
  <c r="V41" i="36" s="1"/>
  <c r="R41" i="36"/>
  <c r="AJ33" i="36"/>
  <c r="AJ40" i="36" s="1"/>
  <c r="AF40" i="36"/>
  <c r="AI56" i="36"/>
  <c r="AI57" i="36"/>
  <c r="V5" i="6"/>
  <c r="V7" i="6" s="1"/>
  <c r="V104" i="9"/>
  <c r="Y59" i="59" s="1"/>
  <c r="V27" i="36"/>
  <c r="Y77" i="59" s="1"/>
  <c r="Q6" i="15"/>
  <c r="V28" i="36"/>
  <c r="Y78" i="59" s="1"/>
  <c r="Q38" i="36"/>
  <c r="Q30" i="36" s="1"/>
  <c r="T80" i="59" s="1"/>
  <c r="U36" i="36"/>
  <c r="U38" i="36" s="1"/>
  <c r="U30" i="36" s="1"/>
  <c r="X80" i="59" s="1"/>
  <c r="V29" i="36"/>
  <c r="Y79" i="59" s="1"/>
  <c r="Q7" i="15"/>
  <c r="Q9" i="6"/>
  <c r="AE36" i="36"/>
  <c r="AI36" i="36" s="1"/>
  <c r="AI38" i="36" s="1"/>
  <c r="AI30" i="36" s="1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3" i="36"/>
  <c r="AE56" i="36"/>
  <c r="AE57" i="36"/>
  <c r="AF35" i="36"/>
  <c r="AF34" i="36"/>
  <c r="AF41" i="36" s="1"/>
  <c r="AE8" i="35"/>
  <c r="AE9" i="35"/>
  <c r="AE60" i="59"/>
  <c r="AB78" i="9"/>
  <c r="AB77" i="9"/>
  <c r="AB79" i="9"/>
  <c r="AB76" i="9"/>
  <c r="AC77" i="59"/>
  <c r="AB27" i="36"/>
  <c r="AF27" i="36" s="1"/>
  <c r="AC78" i="59"/>
  <c r="AE78" i="59"/>
  <c r="AC79" i="59"/>
  <c r="AB29" i="36"/>
  <c r="T19" i="15"/>
  <c r="U19" i="15"/>
  <c r="AB8" i="35"/>
  <c r="R19" i="36"/>
  <c r="U57" i="59" s="1"/>
  <c r="Q10" i="6"/>
  <c r="T59" i="59"/>
  <c r="J36" i="36"/>
  <c r="J38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2" i="26"/>
  <c r="N36" i="36"/>
  <c r="N38" i="36" s="1"/>
  <c r="U78" i="59"/>
  <c r="U79" i="59"/>
  <c r="AA9" i="15"/>
  <c r="AA26" i="36"/>
  <c r="AA18" i="15"/>
  <c r="AB67" i="36"/>
  <c r="AB16" i="36"/>
  <c r="AE54" i="59" s="1"/>
  <c r="AB17" i="36"/>
  <c r="AE55" i="59" s="1"/>
  <c r="AB66" i="36"/>
  <c r="AB72" i="36"/>
  <c r="AB26" i="36"/>
  <c r="U77" i="59"/>
  <c r="Z18" i="15"/>
  <c r="T56" i="59"/>
  <c r="AA5" i="9"/>
  <c r="AB76" i="59"/>
  <c r="Z9" i="15"/>
  <c r="AA26" i="35"/>
  <c r="AB26" i="35"/>
  <c r="AJ27" i="36" l="1"/>
  <c r="AE5" i="15"/>
  <c r="AJ35" i="36"/>
  <c r="AP35" i="36" s="1"/>
  <c r="AT35" i="36" s="1"/>
  <c r="AX35" i="36" s="1"/>
  <c r="AJ34" i="36"/>
  <c r="AJ102" i="9"/>
  <c r="AP102" i="9" s="1"/>
  <c r="AT102" i="9" s="1"/>
  <c r="N24" i="36"/>
  <c r="AE11" i="35"/>
  <c r="AE10" i="6" s="1"/>
  <c r="AE8" i="6"/>
  <c r="AE38" i="36"/>
  <c r="AE30" i="36" s="1"/>
  <c r="AH80" i="59" s="1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3" i="36"/>
  <c r="AO33" i="36"/>
  <c r="AF104" i="9"/>
  <c r="AJ104" i="9" s="1"/>
  <c r="AI77" i="59"/>
  <c r="AF29" i="36"/>
  <c r="AJ29" i="36" s="1"/>
  <c r="AP29" i="36" s="1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6" i="36"/>
  <c r="AB38" i="36" s="1"/>
  <c r="N30" i="36"/>
  <c r="Q80" i="59" s="1"/>
  <c r="AB7" i="6"/>
  <c r="AA102" i="9"/>
  <c r="AE102" i="9" s="1"/>
  <c r="AA104" i="9"/>
  <c r="AD59" i="59" s="1"/>
  <c r="AB18" i="36"/>
  <c r="AE56" i="59" s="1"/>
  <c r="AB68" i="36"/>
  <c r="AD74" i="59"/>
  <c r="R36" i="36"/>
  <c r="AJ28" i="36" l="1"/>
  <c r="AP28" i="36" s="1"/>
  <c r="AT28" i="36" s="1"/>
  <c r="AP34" i="36"/>
  <c r="AT34" i="36" s="1"/>
  <c r="AX34" i="36" s="1"/>
  <c r="AJ41" i="36"/>
  <c r="AT29" i="36"/>
  <c r="AJ24" i="36"/>
  <c r="AX102" i="9"/>
  <c r="BF102" i="9" s="1"/>
  <c r="BE7" i="35"/>
  <c r="BE6" i="6" s="1"/>
  <c r="AW6" i="6"/>
  <c r="AP27" i="36"/>
  <c r="AS77" i="59" s="1"/>
  <c r="AI5" i="15"/>
  <c r="AI6" i="15"/>
  <c r="AS79" i="59"/>
  <c r="AI7" i="15"/>
  <c r="AI102" i="9"/>
  <c r="AO102" i="9" s="1"/>
  <c r="AS102" i="9" s="1"/>
  <c r="V24" i="36"/>
  <c r="Y75" i="59" s="1"/>
  <c r="R38" i="36"/>
  <c r="R30" i="36" s="1"/>
  <c r="U80" i="59" s="1"/>
  <c r="V36" i="36"/>
  <c r="V38" i="36" s="1"/>
  <c r="V30" i="36" s="1"/>
  <c r="Y80" i="59" s="1"/>
  <c r="AO9" i="35"/>
  <c r="AO8" i="6" s="1"/>
  <c r="AI8" i="6"/>
  <c r="AL80" i="59"/>
  <c r="AO36" i="36"/>
  <c r="BD8" i="35"/>
  <c r="BC11" i="35"/>
  <c r="BC10" i="6" s="1"/>
  <c r="BJ10" i="6" s="1"/>
  <c r="AF36" i="36"/>
  <c r="AJ36" i="36" s="1"/>
  <c r="AJ38" i="36" s="1"/>
  <c r="AJ30" i="36" s="1"/>
  <c r="AB30" i="36"/>
  <c r="AE80" i="59" s="1"/>
  <c r="AW10" i="35"/>
  <c r="AW9" i="6" s="1"/>
  <c r="AX33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3" i="36"/>
  <c r="AB19" i="36"/>
  <c r="AE57" i="59" s="1"/>
  <c r="AO57" i="36"/>
  <c r="AO56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S78" i="59" l="1"/>
  <c r="AW78" i="59"/>
  <c r="AW102" i="9"/>
  <c r="BE102" i="9" s="1"/>
  <c r="BF6" i="35"/>
  <c r="BF5" i="6" s="1"/>
  <c r="AX5" i="6"/>
  <c r="AW7" i="6"/>
  <c r="AO6" i="15"/>
  <c r="AT27" i="36"/>
  <c r="AW77" i="59" s="1"/>
  <c r="AO5" i="15"/>
  <c r="AX29" i="36"/>
  <c r="AO7" i="15"/>
  <c r="AO11" i="35"/>
  <c r="AO10" i="6" s="1"/>
  <c r="BE10" i="35"/>
  <c r="BE9" i="6" s="1"/>
  <c r="BG9" i="6" s="1"/>
  <c r="AF38" i="36"/>
  <c r="AF30" i="36" s="1"/>
  <c r="AO38" i="36"/>
  <c r="AO30" i="36" s="1"/>
  <c r="AR80" i="59" s="1"/>
  <c r="AS36" i="36"/>
  <c r="BE6" i="35"/>
  <c r="BE5" i="6" s="1"/>
  <c r="AW9" i="35"/>
  <c r="AW8" i="6" s="1"/>
  <c r="AW8" i="35"/>
  <c r="AT6" i="6"/>
  <c r="AX7" i="35"/>
  <c r="AW33" i="36"/>
  <c r="AT5" i="6"/>
  <c r="AT8" i="35"/>
  <c r="AP7" i="6"/>
  <c r="AS5" i="6"/>
  <c r="AS8" i="35"/>
  <c r="AS9" i="35"/>
  <c r="AO7" i="6"/>
  <c r="AS56" i="36"/>
  <c r="AS57" i="36"/>
  <c r="AM59" i="59"/>
  <c r="AP104" i="9"/>
  <c r="AH59" i="59"/>
  <c r="AI57" i="59"/>
  <c r="AA13" i="49"/>
  <c r="AX28" i="36" l="1"/>
  <c r="AS6" i="15"/>
  <c r="AW7" i="15"/>
  <c r="BA78" i="59"/>
  <c r="AW6" i="15"/>
  <c r="BF7" i="35"/>
  <c r="BF6" i="6" s="1"/>
  <c r="BF7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6" i="36"/>
  <c r="AP38" i="36" s="1"/>
  <c r="AP30" i="36" s="1"/>
  <c r="AS80" i="59" s="1"/>
  <c r="AS38" i="36"/>
  <c r="AS30" i="36" s="1"/>
  <c r="AV80" i="59" s="1"/>
  <c r="AW36" i="36"/>
  <c r="BE7" i="6"/>
  <c r="BE8" i="35"/>
  <c r="AX8" i="35"/>
  <c r="AW11" i="35"/>
  <c r="AW10" i="6" s="1"/>
  <c r="BE9" i="35"/>
  <c r="AW56" i="36"/>
  <c r="BE56" i="36" s="1"/>
  <c r="AW57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6" i="36"/>
  <c r="AT38" i="36" s="1"/>
  <c r="AT30" i="36" s="1"/>
  <c r="AW80" i="59" s="1"/>
  <c r="BE11" i="35"/>
  <c r="BE10" i="6" s="1"/>
  <c r="BG10" i="6" s="1"/>
  <c r="BE8" i="6"/>
  <c r="BG8" i="6" s="1"/>
  <c r="AW38" i="36"/>
  <c r="AW30" i="36" s="1"/>
  <c r="AZ80" i="59" s="1"/>
  <c r="AW59" i="59"/>
  <c r="BA59" i="59"/>
  <c r="AR59" i="59"/>
  <c r="AS104" i="9"/>
  <c r="AW104" i="9" s="1"/>
  <c r="BE34" i="36"/>
  <c r="BE35" i="36"/>
  <c r="BF33" i="36"/>
  <c r="BF29" i="36" s="1"/>
  <c r="BD30" i="36"/>
  <c r="BG80" i="59" s="1"/>
  <c r="BF28" i="36" l="1"/>
  <c r="AX36" i="36"/>
  <c r="AX38" i="36" s="1"/>
  <c r="AX30" i="36" s="1"/>
  <c r="BA80" i="59" s="1"/>
  <c r="BF104" i="9"/>
  <c r="BI59" i="59" s="1"/>
  <c r="AV59" i="59"/>
  <c r="AZ59" i="59"/>
  <c r="BF35" i="36"/>
  <c r="BF34" i="36"/>
  <c r="BE33" i="36"/>
  <c r="BI78" i="59" l="1"/>
  <c r="BE6" i="15"/>
  <c r="BE104" i="9"/>
  <c r="BH59" i="59" s="1"/>
  <c r="BF27" i="36"/>
  <c r="BF68" i="36"/>
  <c r="BF19" i="36" s="1"/>
  <c r="BF18" i="36"/>
  <c r="BF36" i="36"/>
  <c r="BF38" i="36" s="1"/>
  <c r="BE36" i="36"/>
  <c r="BE38" i="36" s="1"/>
  <c r="BI57" i="59" l="1"/>
  <c r="BI56" i="59"/>
  <c r="BI79" i="59"/>
  <c r="BE7" i="15"/>
  <c r="BI77" i="59"/>
  <c r="BE5" i="15"/>
  <c r="BE30" i="36"/>
  <c r="BH80" i="59" s="1"/>
  <c r="BF30" i="36"/>
  <c r="BI80" i="59" s="1"/>
  <c r="T45" i="59" l="1"/>
  <c r="P45" i="59"/>
  <c r="I81" i="8"/>
  <c r="L45" i="59" s="1"/>
  <c r="X86" i="17" l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8" i="26"/>
  <c r="N168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3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3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BF176" i="10" l="1"/>
  <c r="BF77" i="11"/>
  <c r="BG142" i="45"/>
  <c r="AI93" i="26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2" i="26"/>
  <c r="N165" i="26"/>
  <c r="J172" i="26"/>
  <c r="J165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P22" i="27" l="1"/>
  <c r="Z48" i="26"/>
  <c r="AD48" i="26" s="1"/>
  <c r="AH48" i="26" s="1"/>
  <c r="AH50" i="26" s="1"/>
  <c r="AH56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T86" i="17" s="1"/>
  <c r="U45" i="26"/>
  <c r="T75" i="26"/>
  <c r="U57" i="26"/>
  <c r="U51" i="26"/>
  <c r="U168" i="26"/>
  <c r="U56" i="26"/>
  <c r="U13" i="26"/>
  <c r="U19" i="26"/>
  <c r="U18" i="26"/>
  <c r="T168" i="26"/>
  <c r="T56" i="26"/>
  <c r="H56" i="26"/>
  <c r="AO61" i="26"/>
  <c r="AE50" i="26"/>
  <c r="AE56" i="26" s="1"/>
  <c r="AD82" i="26"/>
  <c r="AE12" i="26"/>
  <c r="AD114" i="26"/>
  <c r="AD83" i="26"/>
  <c r="AA100" i="26"/>
  <c r="AE100" i="26" s="1"/>
  <c r="P20" i="27"/>
  <c r="P37" i="27"/>
  <c r="Q21" i="27"/>
  <c r="Q36" i="27"/>
  <c r="Q22" i="27"/>
  <c r="L57" i="26"/>
  <c r="Z57" i="26" s="1"/>
  <c r="AD57" i="26" s="1"/>
  <c r="Q31" i="27"/>
  <c r="P36" i="27"/>
  <c r="T36" i="27" s="1"/>
  <c r="P27" i="27"/>
  <c r="T27" i="27" s="1"/>
  <c r="P31" i="27"/>
  <c r="T31" i="27" s="1"/>
  <c r="P29" i="27"/>
  <c r="T29" i="27" s="1"/>
  <c r="P28" i="27"/>
  <c r="Q27" i="27"/>
  <c r="P19" i="27"/>
  <c r="T19" i="27" s="1"/>
  <c r="Q28" i="27"/>
  <c r="U28" i="27" s="1"/>
  <c r="Q19" i="27"/>
  <c r="U19" i="27" s="1"/>
  <c r="P21" i="27"/>
  <c r="T21" i="27" s="1"/>
  <c r="Q20" i="27"/>
  <c r="U20" i="27" s="1"/>
  <c r="Q37" i="27"/>
  <c r="U37" i="27" s="1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5" i="26"/>
  <c r="I56" i="26"/>
  <c r="I168" i="26"/>
  <c r="H51" i="26"/>
  <c r="H168" i="26"/>
  <c r="AA29" i="26"/>
  <c r="AE29" i="26" s="1"/>
  <c r="AI29" i="26" s="1"/>
  <c r="Z85" i="26"/>
  <c r="AD85" i="26" s="1"/>
  <c r="AH85" i="26" s="1"/>
  <c r="AN85" i="26" s="1"/>
  <c r="AR85" i="26" s="1"/>
  <c r="AV85" i="26" s="1"/>
  <c r="BD85" i="26" s="1"/>
  <c r="P26" i="27"/>
  <c r="T26" i="27" s="1"/>
  <c r="Q29" i="27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U27" i="27" l="1"/>
  <c r="U22" i="27"/>
  <c r="U29" i="27"/>
  <c r="T51" i="26"/>
  <c r="U36" i="27"/>
  <c r="U39" i="27" s="1"/>
  <c r="U21" i="27"/>
  <c r="U24" i="27" s="1"/>
  <c r="AD50" i="26"/>
  <c r="AI83" i="26"/>
  <c r="T20" i="27"/>
  <c r="T28" i="27"/>
  <c r="T33" i="27" s="1"/>
  <c r="Z2" i="27"/>
  <c r="U31" i="27"/>
  <c r="U33" i="27" s="1"/>
  <c r="T22" i="27"/>
  <c r="T37" i="27"/>
  <c r="T39" i="27" s="1"/>
  <c r="AA2" i="27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O59" i="26"/>
  <c r="AS59" i="26" s="1"/>
  <c r="AW59" i="26" s="1"/>
  <c r="T13" i="26"/>
  <c r="T7" i="26" s="1"/>
  <c r="T85" i="17"/>
  <c r="T87" i="17"/>
  <c r="U83" i="26"/>
  <c r="U82" i="26"/>
  <c r="T83" i="26"/>
  <c r="T82" i="26"/>
  <c r="U114" i="26"/>
  <c r="U87" i="17"/>
  <c r="U165" i="26"/>
  <c r="AS61" i="26"/>
  <c r="AW61" i="26" s="1"/>
  <c r="AN48" i="26"/>
  <c r="AO48" i="26"/>
  <c r="AO43" i="26"/>
  <c r="AE51" i="26"/>
  <c r="AE57" i="26"/>
  <c r="AE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0" i="27"/>
  <c r="Z19" i="27"/>
  <c r="AA22" i="27"/>
  <c r="Z3" i="26"/>
  <c r="Z13" i="26" s="1"/>
  <c r="I165" i="26"/>
  <c r="P57" i="26"/>
  <c r="T57" i="26" s="1"/>
  <c r="T165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5" i="26"/>
  <c r="L168" i="26"/>
  <c r="AA84" i="17"/>
  <c r="P33" i="27"/>
  <c r="AA77" i="26"/>
  <c r="AE77" i="26" s="1"/>
  <c r="AI77" i="26" s="1"/>
  <c r="AA82" i="26"/>
  <c r="AA13" i="26"/>
  <c r="X94" i="26"/>
  <c r="X50" i="26"/>
  <c r="X168" i="26" s="1"/>
  <c r="X75" i="26"/>
  <c r="AA21" i="27" l="1"/>
  <c r="Z20" i="27"/>
  <c r="AN114" i="26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Z29" i="27"/>
  <c r="Z37" i="27"/>
  <c r="AD37" i="27" s="1"/>
  <c r="Z28" i="27"/>
  <c r="AD28" i="27" s="1"/>
  <c r="Z22" i="27"/>
  <c r="Z21" i="27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A31" i="27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5" i="26"/>
  <c r="AA19" i="27"/>
  <c r="AA7" i="26"/>
  <c r="AE7" i="26" s="1"/>
  <c r="Q7" i="26"/>
  <c r="U7" i="26" s="1"/>
  <c r="P165" i="26"/>
  <c r="P168" i="26"/>
  <c r="AA57" i="26"/>
  <c r="Q168" i="26"/>
  <c r="X51" i="26"/>
  <c r="X56" i="26"/>
  <c r="AA18" i="26"/>
  <c r="AA18" i="27"/>
  <c r="Z75" i="26"/>
  <c r="Z83" i="26"/>
  <c r="AA45" i="26"/>
  <c r="X83" i="26"/>
  <c r="Z50" i="26"/>
  <c r="Z168" i="26" s="1"/>
  <c r="AA50" i="26"/>
  <c r="Z18" i="27"/>
  <c r="AD29" i="27" l="1"/>
  <c r="AD27" i="27"/>
  <c r="AE31" i="27"/>
  <c r="AI31" i="27" s="1"/>
  <c r="AO31" i="27" s="1"/>
  <c r="AS31" i="27" s="1"/>
  <c r="AW31" i="27" s="1"/>
  <c r="AE18" i="27"/>
  <c r="AI18" i="27" s="1"/>
  <c r="AD18" i="27"/>
  <c r="AH18" i="27" s="1"/>
  <c r="AD21" i="27"/>
  <c r="AH21" i="27" s="1"/>
  <c r="AN21" i="27" s="1"/>
  <c r="AR21" i="27" s="1"/>
  <c r="AD22" i="27"/>
  <c r="AH22" i="27" s="1"/>
  <c r="AN22" i="27" s="1"/>
  <c r="AR22" i="27" s="1"/>
  <c r="AE27" i="27"/>
  <c r="AI27" i="27" s="1"/>
  <c r="AO27" i="27" s="1"/>
  <c r="AS27" i="27" s="1"/>
  <c r="AD19" i="27"/>
  <c r="AH19" i="27" s="1"/>
  <c r="AN19" i="27" s="1"/>
  <c r="AR19" i="27" s="1"/>
  <c r="AV19" i="27" s="1"/>
  <c r="BD19" i="27" s="1"/>
  <c r="BI19" i="27" s="1"/>
  <c r="AV82" i="26"/>
  <c r="AH36" i="27"/>
  <c r="AN36" i="27" s="1"/>
  <c r="AR36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D31" i="27"/>
  <c r="AD33" i="27" s="1"/>
  <c r="AD20" i="27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6" i="26"/>
  <c r="AW43" i="26"/>
  <c r="AW21" i="26"/>
  <c r="AW13" i="26"/>
  <c r="AW18" i="26"/>
  <c r="AW19" i="26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5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D24" i="27" l="1"/>
  <c r="AE24" i="27"/>
  <c r="AH13" i="26"/>
  <c r="AH51" i="26"/>
  <c r="AH85" i="17"/>
  <c r="AH87" i="17"/>
  <c r="AH86" i="17"/>
  <c r="AW75" i="26"/>
  <c r="BE83" i="26"/>
  <c r="AW27" i="27"/>
  <c r="BE27" i="27" s="1"/>
  <c r="BJ27" i="27" s="1"/>
  <c r="AV28" i="27"/>
  <c r="BD28" i="27" s="1"/>
  <c r="BI28" i="27" s="1"/>
  <c r="AV37" i="27"/>
  <c r="BD37" i="27" s="1"/>
  <c r="BI37" i="27" s="1"/>
  <c r="AV36" i="27"/>
  <c r="BD36" i="27" s="1"/>
  <c r="BI36" i="27" s="1"/>
  <c r="AV21" i="27"/>
  <c r="BD21" i="27" s="1"/>
  <c r="BI21" i="27" s="1"/>
  <c r="AV22" i="27"/>
  <c r="BD22" i="27" s="1"/>
  <c r="BI22" i="27" s="1"/>
  <c r="AV29" i="27"/>
  <c r="BD29" i="27" s="1"/>
  <c r="BI29" i="27" s="1"/>
  <c r="AV30" i="27"/>
  <c r="BD30" i="27" s="1"/>
  <c r="BI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BI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7" i="26"/>
  <c r="BE43" i="26"/>
  <c r="BE82" i="26"/>
  <c r="AV61" i="26"/>
  <c r="AV75" i="26" s="1"/>
  <c r="AS84" i="17"/>
  <c r="AW29" i="26"/>
  <c r="AW84" i="17" s="1"/>
  <c r="AW23" i="26"/>
  <c r="BE21" i="26"/>
  <c r="AS85" i="17"/>
  <c r="BD98" i="26"/>
  <c r="AO7" i="26"/>
  <c r="BD78" i="26"/>
  <c r="BD80" i="26"/>
  <c r="BE9" i="26"/>
  <c r="AS19" i="26"/>
  <c r="AS18" i="26"/>
  <c r="AS13" i="26"/>
  <c r="AO47" i="26"/>
  <c r="AS47" i="26" s="1"/>
  <c r="AW47" i="26" s="1"/>
  <c r="BE31" i="27"/>
  <c r="BJ31" i="27" s="1"/>
  <c r="AS56" i="26"/>
  <c r="BE48" i="26"/>
  <c r="BD48" i="26"/>
  <c r="AS57" i="26"/>
  <c r="AS45" i="26"/>
  <c r="BD63" i="26"/>
  <c r="AR75" i="26"/>
  <c r="AS75" i="26"/>
  <c r="AN3" i="26"/>
  <c r="AN18" i="27"/>
  <c r="AO18" i="27"/>
  <c r="E16" i="8"/>
  <c r="BG16" i="8" s="1"/>
  <c r="BE12" i="26" l="1"/>
  <c r="BE13" i="26" s="1"/>
  <c r="BD114" i="26"/>
  <c r="BE50" i="26"/>
  <c r="BE56" i="26" s="1"/>
  <c r="BD50" i="26"/>
  <c r="AW45" i="26"/>
  <c r="AH33" i="27"/>
  <c r="AN20" i="27"/>
  <c r="AR20" i="27" s="1"/>
  <c r="AV20" i="27" s="1"/>
  <c r="BD20" i="27" s="1"/>
  <c r="BI20" i="27" s="1"/>
  <c r="AW29" i="27"/>
  <c r="BE29" i="27" s="1"/>
  <c r="BJ29" i="27" s="1"/>
  <c r="AW28" i="27"/>
  <c r="BE28" i="27" s="1"/>
  <c r="BJ28" i="27" s="1"/>
  <c r="AW36" i="27"/>
  <c r="BE36" i="27" s="1"/>
  <c r="BJ36" i="27" s="1"/>
  <c r="AW37" i="27"/>
  <c r="BE37" i="27" s="1"/>
  <c r="BJ37" i="27" s="1"/>
  <c r="AV31" i="27"/>
  <c r="BD31" i="27" s="1"/>
  <c r="BI31" i="27" s="1"/>
  <c r="AW22" i="27"/>
  <c r="BE22" i="27" s="1"/>
  <c r="BJ22" i="27" s="1"/>
  <c r="AI39" i="27"/>
  <c r="AO35" i="27"/>
  <c r="AW20" i="27"/>
  <c r="BE20" i="27" s="1"/>
  <c r="BJ20" i="27" s="1"/>
  <c r="AI33" i="27"/>
  <c r="AW21" i="27"/>
  <c r="BE21" i="27" s="1"/>
  <c r="BJ21" i="27" s="1"/>
  <c r="AO26" i="27"/>
  <c r="AR35" i="27"/>
  <c r="AN39" i="27"/>
  <c r="AI24" i="27"/>
  <c r="AN33" i="27"/>
  <c r="AR26" i="27"/>
  <c r="AO19" i="27"/>
  <c r="AS19" i="27" s="1"/>
  <c r="AW19" i="27" s="1"/>
  <c r="BE19" i="27" s="1"/>
  <c r="BJ19" i="27" s="1"/>
  <c r="BD61" i="26"/>
  <c r="BE23" i="26"/>
  <c r="BE63" i="26"/>
  <c r="AW85" i="17"/>
  <c r="BD82" i="26"/>
  <c r="AS7" i="26"/>
  <c r="AW7" i="26" s="1"/>
  <c r="BD83" i="26"/>
  <c r="BE18" i="26"/>
  <c r="BE19" i="26"/>
  <c r="BE51" i="26"/>
  <c r="BE29" i="26"/>
  <c r="AR18" i="27"/>
  <c r="AV18" i="27" s="1"/>
  <c r="AS18" i="27"/>
  <c r="AW18" i="27" s="1"/>
  <c r="AR3" i="26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BD75" i="26" l="1"/>
  <c r="BE57" i="26"/>
  <c r="BE75" i="26"/>
  <c r="BD56" i="26"/>
  <c r="AV3" i="26"/>
  <c r="BD3" i="26" s="1"/>
  <c r="AR87" i="17"/>
  <c r="AR85" i="17"/>
  <c r="AR86" i="17"/>
  <c r="AN24" i="27"/>
  <c r="Z28" i="22"/>
  <c r="V27" i="22"/>
  <c r="AB27" i="22" s="1"/>
  <c r="AF27" i="22" s="1"/>
  <c r="AJ27" i="22" s="1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E45" i="26"/>
  <c r="BE84" i="17"/>
  <c r="AS24" i="27"/>
  <c r="AR24" i="27"/>
  <c r="BE47" i="26"/>
  <c r="AR13" i="26"/>
  <c r="AR51" i="26"/>
  <c r="BF142" i="45" l="1"/>
  <c r="BE176" i="10"/>
  <c r="BE77" i="11"/>
  <c r="AV13" i="26"/>
  <c r="AV87" i="17"/>
  <c r="AV51" i="26"/>
  <c r="AV86" i="17"/>
  <c r="AV85" i="17"/>
  <c r="AW35" i="27"/>
  <c r="AS39" i="27"/>
  <c r="AV39" i="27"/>
  <c r="BD35" i="27"/>
  <c r="AW26" i="27"/>
  <c r="AW33" i="27" s="1"/>
  <c r="AS33" i="27"/>
  <c r="AV33" i="27"/>
  <c r="BD26" i="27"/>
  <c r="BD13" i="26"/>
  <c r="BD87" i="17"/>
  <c r="BD86" i="17"/>
  <c r="BD51" i="26"/>
  <c r="BD85" i="17"/>
  <c r="BE18" i="27"/>
  <c r="BD18" i="27"/>
  <c r="AB13" i="22"/>
  <c r="AF13" i="22" s="1"/>
  <c r="AJ13" i="22" s="1"/>
  <c r="BE24" i="27" l="1"/>
  <c r="BJ24" i="27" s="1"/>
  <c r="BJ18" i="27"/>
  <c r="BD39" i="27"/>
  <c r="BI39" i="27" s="1"/>
  <c r="BI35" i="27"/>
  <c r="BD33" i="27"/>
  <c r="BI33" i="27" s="1"/>
  <c r="BI26" i="27"/>
  <c r="BD24" i="27"/>
  <c r="BI24" i="27" s="1"/>
  <c r="BI18" i="27"/>
  <c r="BE26" i="27"/>
  <c r="AW39" i="27"/>
  <c r="BE35" i="27"/>
  <c r="AP27" i="22"/>
  <c r="Z6" i="24"/>
  <c r="Y6" i="24"/>
  <c r="BE33" i="27" l="1"/>
  <c r="BJ33" i="27" s="1"/>
  <c r="BJ26" i="27"/>
  <c r="BE39" i="27"/>
  <c r="BJ39" i="27" s="1"/>
  <c r="BJ35" i="27"/>
  <c r="AP13" i="22"/>
  <c r="AT27" i="22"/>
  <c r="Z13" i="15"/>
  <c r="AD13" i="15" s="1"/>
  <c r="AX27" i="22" l="1"/>
  <c r="BF27" i="22" s="1"/>
  <c r="BH27" i="22" s="1"/>
  <c r="AH13" i="15"/>
  <c r="AN13" i="15" s="1"/>
  <c r="AR13" i="15" s="1"/>
  <c r="AT13" i="22"/>
  <c r="I61" i="8"/>
  <c r="AX13" i="22" l="1"/>
  <c r="BF13" i="22" s="1"/>
  <c r="BH13" i="22" s="1"/>
  <c r="AV13" i="15"/>
  <c r="BD13" i="15" s="1"/>
  <c r="AE61" i="8"/>
  <c r="AI61" i="8" l="1"/>
  <c r="AO61" i="8" s="1"/>
  <c r="AS61" i="8" s="1"/>
  <c r="J69" i="8"/>
  <c r="AW61" i="8" l="1"/>
  <c r="BE61" i="8" s="1"/>
  <c r="BG61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1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J60" i="8"/>
  <c r="AJ520" i="28" l="1"/>
  <c r="AJ521" i="28"/>
  <c r="AT6" i="21"/>
  <c r="AP12" i="21"/>
  <c r="AE22" i="21"/>
  <c r="AO6" i="21"/>
  <c r="AI12" i="21"/>
  <c r="J62" i="8"/>
  <c r="J59" i="8"/>
  <c r="AT12" i="21" l="1"/>
  <c r="AT520" i="28" s="1"/>
  <c r="AX6" i="21"/>
  <c r="AS6" i="21"/>
  <c r="AO12" i="21"/>
  <c r="AP520" i="28"/>
  <c r="AP521" i="28"/>
  <c r="AI22" i="21"/>
  <c r="AO22" i="21" s="1"/>
  <c r="J63" i="8"/>
  <c r="AT521" i="28" l="1"/>
  <c r="AX12" i="21"/>
  <c r="AX521" i="28" s="1"/>
  <c r="BF6" i="21"/>
  <c r="BF12" i="21" s="1"/>
  <c r="AS12" i="21"/>
  <c r="AW6" i="21"/>
  <c r="BE6" i="21" s="1"/>
  <c r="I66" i="9"/>
  <c r="J66" i="9"/>
  <c r="AX520" i="28" l="1"/>
  <c r="BF520" i="28"/>
  <c r="BH520" i="28" s="1"/>
  <c r="BF521" i="28"/>
  <c r="BH521" i="28" s="1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R19" i="22"/>
  <c r="R17" i="22"/>
  <c r="R18" i="22"/>
  <c r="R16" i="22"/>
  <c r="N14" i="22"/>
  <c r="R11" i="22"/>
  <c r="V11" i="22" s="1"/>
  <c r="V14" i="22" s="1"/>
  <c r="R9" i="22"/>
  <c r="N26" i="22"/>
  <c r="R24" i="22"/>
  <c r="V24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26" i="22" l="1"/>
  <c r="V30" i="22"/>
  <c r="V17" i="22"/>
  <c r="V16" i="22"/>
  <c r="V18" i="22"/>
  <c r="V19" i="22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B42" i="22" s="1"/>
  <c r="AB22" i="22"/>
  <c r="AF22" i="22" s="1"/>
  <c r="AJ22" i="22" s="1"/>
  <c r="AB21" i="22"/>
  <c r="AB43" i="22" s="1"/>
  <c r="AB24" i="22"/>
  <c r="AF24" i="22" s="1"/>
  <c r="AA13" i="22"/>
  <c r="AE13" i="22" s="1"/>
  <c r="I12" i="22"/>
  <c r="AF7" i="22" l="1"/>
  <c r="AJ7" i="22" s="1"/>
  <c r="AF21" i="22"/>
  <c r="AJ21" i="22" s="1"/>
  <c r="AJ9" i="22"/>
  <c r="AJ23" i="22"/>
  <c r="AJ24" i="22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11" i="22"/>
  <c r="AJ11" i="22" s="1"/>
  <c r="AJ14" i="22" s="1"/>
  <c r="AB15" i="22"/>
  <c r="AF26" i="22"/>
  <c r="AF28" i="22"/>
  <c r="AP21" i="22"/>
  <c r="AP43" i="22" s="1"/>
  <c r="AP7" i="22"/>
  <c r="AP42" i="22" s="1"/>
  <c r="AF9" i="22"/>
  <c r="AP8" i="22"/>
  <c r="AO24" i="22"/>
  <c r="AS24" i="22" s="1"/>
  <c r="AM30" i="22"/>
  <c r="AB17" i="22"/>
  <c r="AF17" i="22" s="1"/>
  <c r="AB18" i="22"/>
  <c r="AF18" i="22" s="1"/>
  <c r="AB19" i="22"/>
  <c r="AF19" i="22" s="1"/>
  <c r="AB16" i="22"/>
  <c r="AF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6" i="22" l="1"/>
  <c r="AT7" i="22"/>
  <c r="AT42" i="22" s="1"/>
  <c r="AT21" i="22"/>
  <c r="AT43" i="22" s="1"/>
  <c r="AF15" i="22"/>
  <c r="AF23" i="22"/>
  <c r="AW24" i="22"/>
  <c r="BE24" i="22" s="1"/>
  <c r="BG24" i="22" s="1"/>
  <c r="AJ19" i="22"/>
  <c r="AJ18" i="22"/>
  <c r="AP24" i="22"/>
  <c r="AT24" i="22" s="1"/>
  <c r="AJ17" i="22"/>
  <c r="AW7" i="22"/>
  <c r="BE7" i="22" s="1"/>
  <c r="BG7" i="22" s="1"/>
  <c r="AW13" i="22"/>
  <c r="BE13" i="22" s="1"/>
  <c r="BG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P31" i="22"/>
  <c r="AP30" i="22"/>
  <c r="BA30" i="22"/>
  <c r="AF14" i="22"/>
  <c r="AP25" i="22"/>
  <c r="AB12" i="22"/>
  <c r="AF10" i="22"/>
  <c r="AT8" i="22"/>
  <c r="AP9" i="22"/>
  <c r="AT22" i="22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1" i="22" l="1"/>
  <c r="AX43" i="22" s="1"/>
  <c r="AX24" i="22"/>
  <c r="AX22" i="22"/>
  <c r="AX23" i="22" s="1"/>
  <c r="AX8" i="22"/>
  <c r="AX7" i="22"/>
  <c r="AX42" i="22" s="1"/>
  <c r="AW10" i="22"/>
  <c r="BE10" i="22" s="1"/>
  <c r="BG10" i="22" s="1"/>
  <c r="BF24" i="22"/>
  <c r="BH24" i="22" s="1"/>
  <c r="BF21" i="22"/>
  <c r="BH21" i="22" s="1"/>
  <c r="AJ10" i="22"/>
  <c r="AJ12" i="22" s="1"/>
  <c r="AJ15" i="22"/>
  <c r="AP15" i="22" s="1"/>
  <c r="AW21" i="22"/>
  <c r="BE21" i="22" s="1"/>
  <c r="BG21" i="22" s="1"/>
  <c r="AM18" i="22"/>
  <c r="AM31" i="22"/>
  <c r="AI25" i="22"/>
  <c r="AI26" i="22" s="1"/>
  <c r="AI14" i="22"/>
  <c r="AI12" i="22"/>
  <c r="AI23" i="22"/>
  <c r="AO22" i="22"/>
  <c r="AP19" i="22"/>
  <c r="AT9" i="22"/>
  <c r="BA18" i="22"/>
  <c r="AT23" i="22"/>
  <c r="AT25" i="22"/>
  <c r="AP28" i="22"/>
  <c r="AP26" i="22"/>
  <c r="AP11" i="22"/>
  <c r="AT30" i="22"/>
  <c r="AP18" i="22"/>
  <c r="AP16" i="22"/>
  <c r="AP17" i="22"/>
  <c r="AF12" i="22"/>
  <c r="AT31" i="22"/>
  <c r="AO11" i="22"/>
  <c r="AS11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X30" i="22" l="1"/>
  <c r="BF7" i="22"/>
  <c r="BH7" i="22" s="1"/>
  <c r="AX25" i="22"/>
  <c r="AX28" i="22" s="1"/>
  <c r="AX9" i="22"/>
  <c r="AW11" i="22"/>
  <c r="AW12" i="22" s="1"/>
  <c r="AX31" i="22"/>
  <c r="AT17" i="22"/>
  <c r="AP10" i="22"/>
  <c r="AW27" i="22"/>
  <c r="BE27" i="22" s="1"/>
  <c r="BG27" i="22" s="1"/>
  <c r="AI29" i="22"/>
  <c r="AI28" i="22"/>
  <c r="AS22" i="22"/>
  <c r="AO23" i="22"/>
  <c r="AT16" i="22"/>
  <c r="AT19" i="22"/>
  <c r="AT18" i="22"/>
  <c r="BF22" i="22"/>
  <c r="BF8" i="22"/>
  <c r="BH8" i="22" s="1"/>
  <c r="BA19" i="22"/>
  <c r="AO15" i="22"/>
  <c r="AS15" i="22" s="1"/>
  <c r="AW15" i="22" s="1"/>
  <c r="AO14" i="22"/>
  <c r="AO9" i="22"/>
  <c r="AS8" i="22"/>
  <c r="AS12" i="22"/>
  <c r="AS14" i="22"/>
  <c r="AT11" i="22"/>
  <c r="AP14" i="22"/>
  <c r="AO12" i="22"/>
  <c r="AT26" i="22"/>
  <c r="AT28" i="22"/>
  <c r="AO25" i="22"/>
  <c r="Q32" i="27"/>
  <c r="U32" i="27" s="1"/>
  <c r="BE11" i="22" l="1"/>
  <c r="BE14" i="22"/>
  <c r="BG11" i="22"/>
  <c r="BF23" i="22"/>
  <c r="BH22" i="22"/>
  <c r="BF9" i="22"/>
  <c r="BF30" i="22"/>
  <c r="AX26" i="22"/>
  <c r="BF25" i="22"/>
  <c r="BF31" i="22"/>
  <c r="AW14" i="22"/>
  <c r="AX11" i="22"/>
  <c r="AX14" i="22" s="1"/>
  <c r="AW22" i="22"/>
  <c r="AW23" i="22" s="1"/>
  <c r="AX16" i="22"/>
  <c r="AX19" i="22"/>
  <c r="AX18" i="22"/>
  <c r="AX17" i="22"/>
  <c r="AP12" i="22"/>
  <c r="AT10" i="22"/>
  <c r="AT15" i="22"/>
  <c r="BA16" i="22"/>
  <c r="AW8" i="22"/>
  <c r="AW9" i="22" s="1"/>
  <c r="AS23" i="22"/>
  <c r="BE12" i="22"/>
  <c r="BE15" i="22"/>
  <c r="AS9" i="22"/>
  <c r="BA17" i="22" s="1"/>
  <c r="AO26" i="22"/>
  <c r="AS25" i="22"/>
  <c r="AO29" i="22"/>
  <c r="AT14" i="22"/>
  <c r="AO28" i="22"/>
  <c r="AA32" i="27"/>
  <c r="AE32" i="27" s="1"/>
  <c r="Z71" i="7"/>
  <c r="Z73" i="7" s="1"/>
  <c r="Z41" i="7"/>
  <c r="BF18" i="22" l="1"/>
  <c r="BF11" i="22"/>
  <c r="BF19" i="22"/>
  <c r="BF28" i="22"/>
  <c r="BH25" i="22"/>
  <c r="BF17" i="22"/>
  <c r="BF16" i="22"/>
  <c r="BF26" i="22"/>
  <c r="AX10" i="22"/>
  <c r="BF10" i="22" s="1"/>
  <c r="AW25" i="22"/>
  <c r="AW26" i="22" s="1"/>
  <c r="AT12" i="22"/>
  <c r="AX12" i="22"/>
  <c r="AI32" i="27"/>
  <c r="AO32" i="27" s="1"/>
  <c r="AS32" i="27" s="1"/>
  <c r="BE22" i="22"/>
  <c r="AS29" i="22"/>
  <c r="BA31" i="22"/>
  <c r="BE8" i="22"/>
  <c r="AS26" i="22"/>
  <c r="AS28" i="22"/>
  <c r="Z51" i="7"/>
  <c r="BF12" i="22" l="1"/>
  <c r="BH10" i="22"/>
  <c r="BF14" i="22"/>
  <c r="BH11" i="22"/>
  <c r="BE9" i="22"/>
  <c r="BG8" i="22"/>
  <c r="BE23" i="22"/>
  <c r="BG22" i="22"/>
  <c r="AW28" i="22"/>
  <c r="AW29" i="22"/>
  <c r="BE25" i="22"/>
  <c r="AW32" i="27"/>
  <c r="BE32" i="27" s="1"/>
  <c r="BJ32" i="27" s="1"/>
  <c r="Z106" i="7"/>
  <c r="Z107" i="7"/>
  <c r="Z108" i="7"/>
  <c r="Z85" i="7"/>
  <c r="Z63" i="7"/>
  <c r="BE26" i="22" l="1"/>
  <c r="BG25" i="22"/>
  <c r="BE28" i="22"/>
  <c r="BE29" i="22"/>
  <c r="I85" i="26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O94" i="26" s="1"/>
  <c r="AI86" i="17"/>
  <c r="AA94" i="26"/>
  <c r="AS85" i="26" l="1"/>
  <c r="AW85" i="26" s="1"/>
  <c r="AW94" i="26" s="1"/>
  <c r="AO86" i="17"/>
  <c r="L123" i="7"/>
  <c r="L124" i="7" s="1"/>
  <c r="BE85" i="26" l="1"/>
  <c r="AS86" i="17"/>
  <c r="AW86" i="17"/>
  <c r="AS94" i="26"/>
  <c r="BE94" i="26"/>
  <c r="L125" i="7"/>
  <c r="L126" i="7"/>
  <c r="L127" i="7" s="1"/>
  <c r="BE86" i="17" l="1"/>
  <c r="L128" i="7"/>
  <c r="L135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H68" i="17" s="1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66" i="17"/>
  <c r="H82" i="17"/>
  <c r="H76" i="17"/>
  <c r="H78" i="17"/>
  <c r="H73" i="17"/>
  <c r="H65" i="17"/>
  <c r="H71" i="17"/>
  <c r="H77" i="17"/>
  <c r="I75" i="17"/>
  <c r="I66" i="17"/>
  <c r="I71" i="17"/>
  <c r="I74" i="17" s="1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L68" i="17" s="1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3" i="1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H79" i="17" l="1"/>
  <c r="I79" i="17"/>
  <c r="H74" i="17"/>
  <c r="AB73" i="11"/>
  <c r="AF73" i="11" s="1"/>
  <c r="J74" i="11"/>
  <c r="AI61" i="17"/>
  <c r="AO61" i="17" s="1"/>
  <c r="AS61" i="17" s="1"/>
  <c r="AI58" i="17"/>
  <c r="AO58" i="17" s="1"/>
  <c r="AR61" i="17"/>
  <c r="BB61" i="17"/>
  <c r="BB62" i="17" s="1"/>
  <c r="T11" i="17"/>
  <c r="U116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L81" i="17"/>
  <c r="Q116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6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33" i="17"/>
  <c r="I88" i="17"/>
  <c r="I91" i="17"/>
  <c r="I34" i="17"/>
  <c r="I31" i="17"/>
  <c r="I83" i="17"/>
  <c r="I35" i="17"/>
  <c r="I32" i="17"/>
  <c r="R73" i="11"/>
  <c r="I44" i="17"/>
  <c r="H19" i="17"/>
  <c r="P19" i="17" s="1"/>
  <c r="T19" i="17" s="1"/>
  <c r="H18" i="17"/>
  <c r="P18" i="17" s="1"/>
  <c r="T18" i="17" s="1"/>
  <c r="Q3" i="17"/>
  <c r="H83" i="17"/>
  <c r="H15" i="17"/>
  <c r="H30" i="17"/>
  <c r="H59" i="17"/>
  <c r="H62" i="17" s="1"/>
  <c r="I14" i="17"/>
  <c r="I60" i="17"/>
  <c r="H67" i="17"/>
  <c r="H69" i="17" s="1"/>
  <c r="I13" i="17"/>
  <c r="H11" i="17"/>
  <c r="H116" i="17"/>
  <c r="I11" i="17"/>
  <c r="I70" i="11"/>
  <c r="I68" i="11"/>
  <c r="J2" i="11"/>
  <c r="J77" i="11" s="1"/>
  <c r="I2" i="11"/>
  <c r="I77" i="11" s="1"/>
  <c r="I5" i="11"/>
  <c r="I58" i="11" s="1"/>
  <c r="I169" i="10"/>
  <c r="I167" i="10"/>
  <c r="J2" i="10"/>
  <c r="J176" i="10" s="1"/>
  <c r="I2" i="10"/>
  <c r="I176" i="10" s="1"/>
  <c r="T49" i="17" l="1"/>
  <c r="AV61" i="17"/>
  <c r="BD61" i="17" s="1"/>
  <c r="I122" i="17"/>
  <c r="L79" i="17"/>
  <c r="M79" i="17"/>
  <c r="H122" i="17"/>
  <c r="P68" i="17"/>
  <c r="T68" i="17" s="1"/>
  <c r="L74" i="17"/>
  <c r="AB74" i="11"/>
  <c r="M74" i="17"/>
  <c r="V73" i="11"/>
  <c r="V74" i="11" s="1"/>
  <c r="R74" i="11"/>
  <c r="AJ73" i="11"/>
  <c r="AJ74" i="11" s="1"/>
  <c r="AF74" i="11"/>
  <c r="AI59" i="17"/>
  <c r="AI62" i="17" s="1"/>
  <c r="AS58" i="17"/>
  <c r="M91" i="17"/>
  <c r="AH50" i="17"/>
  <c r="AH114" i="17" s="1"/>
  <c r="T30" i="17"/>
  <c r="AH58" i="17"/>
  <c r="AH59" i="17" s="1"/>
  <c r="Q14" i="17"/>
  <c r="U3" i="17"/>
  <c r="AW61" i="17"/>
  <c r="AV48" i="17"/>
  <c r="BD48" i="17" s="1"/>
  <c r="U59" i="17"/>
  <c r="U11" i="17"/>
  <c r="T22" i="17"/>
  <c r="AO57" i="17"/>
  <c r="AS57" i="17" s="1"/>
  <c r="AE62" i="17"/>
  <c r="M60" i="17"/>
  <c r="Z116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P88" i="17"/>
  <c r="T88" i="17" s="1"/>
  <c r="P65" i="17"/>
  <c r="T65" i="17" s="1"/>
  <c r="P75" i="17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7" i="17"/>
  <c r="M30" i="17"/>
  <c r="Q16" i="17"/>
  <c r="U16" i="17" s="1"/>
  <c r="Q82" i="17"/>
  <c r="L53" i="17"/>
  <c r="L117" i="17" s="1"/>
  <c r="P52" i="17"/>
  <c r="T52" i="17" s="1"/>
  <c r="M67" i="17"/>
  <c r="M69" i="17" s="1"/>
  <c r="Q65" i="17"/>
  <c r="Q13" i="17"/>
  <c r="Q71" i="17"/>
  <c r="Q73" i="17"/>
  <c r="Q68" i="17"/>
  <c r="Q78" i="17"/>
  <c r="Q66" i="17"/>
  <c r="L47" i="17"/>
  <c r="P46" i="17"/>
  <c r="T46" i="17" s="1"/>
  <c r="T47" i="17" s="1"/>
  <c r="M83" i="17"/>
  <c r="Q81" i="17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Q76" i="17"/>
  <c r="P13" i="17"/>
  <c r="T13" i="17" s="1"/>
  <c r="Q75" i="17"/>
  <c r="M117" i="17"/>
  <c r="Q12" i="17"/>
  <c r="Q11" i="17"/>
  <c r="M33" i="17"/>
  <c r="M32" i="17"/>
  <c r="L67" i="17"/>
  <c r="L69" i="17" s="1"/>
  <c r="M35" i="17"/>
  <c r="I50" i="17"/>
  <c r="I54" i="17" s="1"/>
  <c r="Q44" i="17"/>
  <c r="U44" i="17" s="1"/>
  <c r="L116" i="17"/>
  <c r="M12" i="17"/>
  <c r="M11" i="17"/>
  <c r="M31" i="17"/>
  <c r="L22" i="17"/>
  <c r="M34" i="17"/>
  <c r="I178" i="10"/>
  <c r="L66" i="59" s="1"/>
  <c r="I79" i="11"/>
  <c r="L70" i="59" s="1"/>
  <c r="Q169" i="10"/>
  <c r="U169" i="10" s="1"/>
  <c r="AA59" i="17"/>
  <c r="H91" i="17"/>
  <c r="Q68" i="11"/>
  <c r="U68" i="11" s="1"/>
  <c r="I78" i="11"/>
  <c r="I75" i="11"/>
  <c r="I76" i="11"/>
  <c r="Q70" i="11"/>
  <c r="U70" i="11" s="1"/>
  <c r="N2" i="11"/>
  <c r="N77" i="11" s="1"/>
  <c r="J78" i="11"/>
  <c r="J76" i="11"/>
  <c r="J75" i="11"/>
  <c r="I45" i="17"/>
  <c r="I175" i="10"/>
  <c r="I177" i="10"/>
  <c r="I174" i="10"/>
  <c r="N2" i="10"/>
  <c r="N176" i="10" s="1"/>
  <c r="J177" i="10"/>
  <c r="J175" i="10"/>
  <c r="J174" i="10"/>
  <c r="H22" i="17"/>
  <c r="I66" i="11"/>
  <c r="H60" i="17"/>
  <c r="M2" i="11"/>
  <c r="M77" i="11" s="1"/>
  <c r="I72" i="11"/>
  <c r="I170" i="10"/>
  <c r="I71" i="11"/>
  <c r="I172" i="10"/>
  <c r="I173" i="10" s="1"/>
  <c r="I165" i="10"/>
  <c r="M2" i="10"/>
  <c r="M176" i="10" s="1"/>
  <c r="H70" i="59"/>
  <c r="H66" i="59"/>
  <c r="I15" i="17"/>
  <c r="I73" i="11"/>
  <c r="I69" i="11"/>
  <c r="L69" i="59" s="1"/>
  <c r="I168" i="10"/>
  <c r="L65" i="59" s="1"/>
  <c r="J5" i="11"/>
  <c r="J58" i="11" s="1"/>
  <c r="U82" i="17" l="1"/>
  <c r="U66" i="17"/>
  <c r="T75" i="17"/>
  <c r="T79" i="17" s="1"/>
  <c r="P79" i="17"/>
  <c r="U78" i="17"/>
  <c r="U68" i="17"/>
  <c r="U73" i="17"/>
  <c r="L122" i="17"/>
  <c r="Q79" i="17"/>
  <c r="U65" i="17"/>
  <c r="U67" i="17" s="1"/>
  <c r="AW58" i="17"/>
  <c r="BE58" i="17" s="1"/>
  <c r="U76" i="17"/>
  <c r="U72" i="17"/>
  <c r="U81" i="17"/>
  <c r="U83" i="17" s="1"/>
  <c r="M122" i="17"/>
  <c r="Q74" i="17"/>
  <c r="T71" i="17"/>
  <c r="T74" i="17" s="1"/>
  <c r="P74" i="17"/>
  <c r="AA73" i="11"/>
  <c r="AE73" i="11" s="1"/>
  <c r="I74" i="11"/>
  <c r="AP73" i="11"/>
  <c r="AV8" i="17"/>
  <c r="AV11" i="17" s="1"/>
  <c r="AR11" i="17"/>
  <c r="AW57" i="17"/>
  <c r="AS59" i="17"/>
  <c r="L91" i="17"/>
  <c r="T67" i="17"/>
  <c r="T69" i="17" s="1"/>
  <c r="AH54" i="17"/>
  <c r="AH62" i="17"/>
  <c r="AV46" i="17"/>
  <c r="BD46" i="17" s="1"/>
  <c r="BD50" i="17" s="1"/>
  <c r="U43" i="17"/>
  <c r="U53" i="17"/>
  <c r="U49" i="17"/>
  <c r="U39" i="17"/>
  <c r="U41" i="17"/>
  <c r="U47" i="17"/>
  <c r="U14" i="17"/>
  <c r="U13" i="17"/>
  <c r="U12" i="17"/>
  <c r="AN58" i="17"/>
  <c r="AR58" i="17" s="1"/>
  <c r="AH116" i="17"/>
  <c r="AH118" i="17" s="1"/>
  <c r="U71" i="17"/>
  <c r="U75" i="17"/>
  <c r="U77" i="17"/>
  <c r="AR50" i="17"/>
  <c r="BE61" i="17"/>
  <c r="U79" i="11"/>
  <c r="X70" i="59" s="1"/>
  <c r="U71" i="11"/>
  <c r="U69" i="11"/>
  <c r="T15" i="17"/>
  <c r="T83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T53" i="17"/>
  <c r="T117" i="17" s="1"/>
  <c r="T116" i="17"/>
  <c r="T59" i="17"/>
  <c r="Q91" i="17"/>
  <c r="U91" i="17" s="1"/>
  <c r="L62" i="17"/>
  <c r="AO59" i="17"/>
  <c r="AO62" i="17" s="1"/>
  <c r="Q60" i="17"/>
  <c r="P83" i="17"/>
  <c r="P122" i="17" s="1"/>
  <c r="AN11" i="17"/>
  <c r="AN57" i="17"/>
  <c r="AR57" i="17" s="1"/>
  <c r="AN50" i="17"/>
  <c r="AD54" i="17"/>
  <c r="AD62" i="17"/>
  <c r="AD114" i="17"/>
  <c r="AN52" i="17"/>
  <c r="AD116" i="17"/>
  <c r="AA91" i="17"/>
  <c r="AE91" i="17" s="1"/>
  <c r="AI91" i="17" s="1"/>
  <c r="P59" i="17"/>
  <c r="P67" i="17"/>
  <c r="P69" i="17" s="1"/>
  <c r="Q35" i="17"/>
  <c r="U35" i="17" s="1"/>
  <c r="P15" i="17"/>
  <c r="Q117" i="17"/>
  <c r="P31" i="17"/>
  <c r="P34" i="17"/>
  <c r="P32" i="17"/>
  <c r="P47" i="17"/>
  <c r="Z3" i="17"/>
  <c r="Z68" i="17" s="1"/>
  <c r="P53" i="17"/>
  <c r="P117" i="17" s="1"/>
  <c r="P116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5" i="11"/>
  <c r="N78" i="11"/>
  <c r="N76" i="11"/>
  <c r="M174" i="10"/>
  <c r="M175" i="10"/>
  <c r="Y175" i="10" s="1"/>
  <c r="M177" i="10"/>
  <c r="Y177" i="10" s="1"/>
  <c r="M75" i="11"/>
  <c r="M78" i="11"/>
  <c r="M76" i="11"/>
  <c r="N175" i="10"/>
  <c r="Z175" i="10" s="1"/>
  <c r="N174" i="10"/>
  <c r="Z174" i="10" s="1"/>
  <c r="N177" i="10"/>
  <c r="Z177" i="10" s="1"/>
  <c r="Q79" i="11"/>
  <c r="T70" i="59" s="1"/>
  <c r="AA70" i="11"/>
  <c r="AE70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6" i="11"/>
  <c r="U66" i="11" s="1"/>
  <c r="U67" i="11" s="1"/>
  <c r="AA66" i="11"/>
  <c r="AE66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70" i="10"/>
  <c r="AA168" i="10"/>
  <c r="AD65" i="59" s="1"/>
  <c r="AA3" i="17"/>
  <c r="AE3" i="17" s="1"/>
  <c r="AA22" i="17"/>
  <c r="Q167" i="10"/>
  <c r="U167" i="10" s="1"/>
  <c r="U170" i="10" s="1"/>
  <c r="H32" i="17"/>
  <c r="H31" i="17"/>
  <c r="H34" i="17"/>
  <c r="H33" i="17"/>
  <c r="J89" i="11"/>
  <c r="J84" i="11"/>
  <c r="J72" i="11"/>
  <c r="Q71" i="11"/>
  <c r="Q69" i="11"/>
  <c r="T69" i="59" s="1"/>
  <c r="Q73" i="11"/>
  <c r="I51" i="17"/>
  <c r="I70" i="59"/>
  <c r="Q5" i="11"/>
  <c r="U5" i="11" s="1"/>
  <c r="U58" i="11" s="1"/>
  <c r="AA165" i="10"/>
  <c r="AE165" i="10" s="1"/>
  <c r="AI165" i="10" s="1"/>
  <c r="AI166" i="10" s="1"/>
  <c r="H35" i="17"/>
  <c r="L35" i="17" s="1"/>
  <c r="P35" i="17" s="1"/>
  <c r="T35" i="17" s="1"/>
  <c r="I67" i="11"/>
  <c r="I166" i="10"/>
  <c r="J92" i="11"/>
  <c r="I66" i="59"/>
  <c r="U69" i="17" l="1"/>
  <c r="AW59" i="17"/>
  <c r="AW62" i="17" s="1"/>
  <c r="AO91" i="17"/>
  <c r="AR114" i="17"/>
  <c r="AS62" i="17"/>
  <c r="U79" i="17"/>
  <c r="U122" i="17" s="1"/>
  <c r="Q122" i="17"/>
  <c r="U74" i="17"/>
  <c r="T122" i="17"/>
  <c r="Q77" i="11"/>
  <c r="U77" i="11" s="1"/>
  <c r="BD8" i="17"/>
  <c r="BD11" i="17" s="1"/>
  <c r="AA74" i="11"/>
  <c r="U73" i="11"/>
  <c r="U74" i="11" s="1"/>
  <c r="Q74" i="11"/>
  <c r="AT73" i="11"/>
  <c r="AP74" i="11"/>
  <c r="AI73" i="11"/>
  <c r="AI74" i="11" s="1"/>
  <c r="AE74" i="11"/>
  <c r="U117" i="17"/>
  <c r="AV57" i="17"/>
  <c r="AR52" i="17"/>
  <c r="AV50" i="17"/>
  <c r="AV114" i="17" s="1"/>
  <c r="AV58" i="17"/>
  <c r="BD58" i="17" s="1"/>
  <c r="U15" i="17"/>
  <c r="AA77" i="11"/>
  <c r="AE77" i="11" s="1"/>
  <c r="AI77" i="11" s="1"/>
  <c r="AO77" i="11" s="1"/>
  <c r="AS77" i="11" s="1"/>
  <c r="AW77" i="11" s="1"/>
  <c r="R77" i="11"/>
  <c r="V77" i="11" s="1"/>
  <c r="AB77" i="11"/>
  <c r="AF77" i="11" s="1"/>
  <c r="AJ77" i="11" s="1"/>
  <c r="AP77" i="11" s="1"/>
  <c r="AT77" i="11" s="1"/>
  <c r="AX77" i="11" s="1"/>
  <c r="AA176" i="10"/>
  <c r="AE176" i="10" s="1"/>
  <c r="AI176" i="10" s="1"/>
  <c r="AO176" i="10" s="1"/>
  <c r="Q176" i="10"/>
  <c r="U176" i="10" s="1"/>
  <c r="R176" i="10"/>
  <c r="V176" i="10" s="1"/>
  <c r="AB176" i="10"/>
  <c r="AF176" i="10" s="1"/>
  <c r="AJ176" i="10" s="1"/>
  <c r="AP176" i="10" s="1"/>
  <c r="AI5" i="11"/>
  <c r="AI70" i="11"/>
  <c r="AI66" i="11"/>
  <c r="AO66" i="11" s="1"/>
  <c r="AS66" i="11" s="1"/>
  <c r="U168" i="10"/>
  <c r="X65" i="59" s="1"/>
  <c r="T62" i="17"/>
  <c r="T60" i="17"/>
  <c r="U51" i="17"/>
  <c r="U115" i="17" s="1"/>
  <c r="U54" i="17"/>
  <c r="U55" i="17" s="1"/>
  <c r="U114" i="17"/>
  <c r="U118" i="17" s="1"/>
  <c r="AS91" i="17"/>
  <c r="AW91" i="17" s="1"/>
  <c r="AT2" i="10"/>
  <c r="AX2" i="10" s="1"/>
  <c r="BF2" i="10" s="1"/>
  <c r="BD2" i="10"/>
  <c r="AS2" i="10"/>
  <c r="AW2" i="10" s="1"/>
  <c r="BE2" i="10" s="1"/>
  <c r="BC2" i="10"/>
  <c r="AN59" i="17"/>
  <c r="AN62" i="17" s="1"/>
  <c r="AN54" i="17"/>
  <c r="AN116" i="17"/>
  <c r="AN114" i="17"/>
  <c r="AE58" i="11"/>
  <c r="AE166" i="10"/>
  <c r="AD3" i="17"/>
  <c r="AD88" i="17" s="1"/>
  <c r="AD118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9" i="11"/>
  <c r="AH70" i="59" s="1"/>
  <c r="AA65" i="17"/>
  <c r="AE65" i="17" s="1"/>
  <c r="AA66" i="17"/>
  <c r="AE66" i="17" s="1"/>
  <c r="AA68" i="17"/>
  <c r="AE68" i="17" s="1"/>
  <c r="Z14" i="17"/>
  <c r="Z71" i="17"/>
  <c r="Z76" i="17"/>
  <c r="Z13" i="17"/>
  <c r="Z78" i="17"/>
  <c r="Z72" i="17"/>
  <c r="Z77" i="17"/>
  <c r="Z73" i="17"/>
  <c r="Z75" i="17"/>
  <c r="P62" i="17"/>
  <c r="P60" i="17"/>
  <c r="P91" i="17"/>
  <c r="T91" i="17" s="1"/>
  <c r="Y71" i="11"/>
  <c r="Y69" i="11"/>
  <c r="AB69" i="59" s="1"/>
  <c r="Y67" i="11"/>
  <c r="AA68" i="11"/>
  <c r="AE68" i="11" s="1"/>
  <c r="AI68" i="11" s="1"/>
  <c r="Z66" i="17"/>
  <c r="Q51" i="17"/>
  <c r="Q115" i="17" s="1"/>
  <c r="Q119" i="17" s="1"/>
  <c r="Q54" i="17"/>
  <c r="Q55" i="17" s="1"/>
  <c r="Q114" i="17"/>
  <c r="Q118" i="17" s="1"/>
  <c r="Z81" i="17"/>
  <c r="Z82" i="17"/>
  <c r="AA35" i="17"/>
  <c r="AE35" i="17" s="1"/>
  <c r="AI35" i="17" s="1"/>
  <c r="AO35" i="17" s="1"/>
  <c r="AA58" i="11"/>
  <c r="AD68" i="59" s="1"/>
  <c r="Q58" i="11"/>
  <c r="T68" i="59" s="1"/>
  <c r="AA60" i="17"/>
  <c r="AA72" i="17"/>
  <c r="AE72" i="17" s="1"/>
  <c r="AA41" i="17"/>
  <c r="AA49" i="17"/>
  <c r="AA43" i="17"/>
  <c r="M51" i="17"/>
  <c r="M115" i="17" s="1"/>
  <c r="M119" i="17" s="1"/>
  <c r="M54" i="17"/>
  <c r="M55" i="17" s="1"/>
  <c r="M114" i="17"/>
  <c r="AA53" i="17"/>
  <c r="AA47" i="17"/>
  <c r="AA39" i="17"/>
  <c r="AA11" i="17"/>
  <c r="AA79" i="11"/>
  <c r="AD70" i="59" s="1"/>
  <c r="AA72" i="11"/>
  <c r="AE72" i="11" s="1"/>
  <c r="AB175" i="10"/>
  <c r="AF175" i="10" s="1"/>
  <c r="AB174" i="10"/>
  <c r="AF174" i="10" s="1"/>
  <c r="AA13" i="17"/>
  <c r="AA177" i="10"/>
  <c r="AE177" i="10" s="1"/>
  <c r="Q67" i="11"/>
  <c r="X68" i="59"/>
  <c r="AB5" i="11"/>
  <c r="AF5" i="11" s="1"/>
  <c r="AJ5" i="11" s="1"/>
  <c r="AA166" i="10"/>
  <c r="AA81" i="17"/>
  <c r="AE81" i="17" s="1"/>
  <c r="AA77" i="17"/>
  <c r="AE77" i="17" s="1"/>
  <c r="AA82" i="17"/>
  <c r="AE82" i="17" s="1"/>
  <c r="AA71" i="17"/>
  <c r="AA78" i="17"/>
  <c r="AE78" i="17" s="1"/>
  <c r="AA76" i="17"/>
  <c r="AE76" i="17" s="1"/>
  <c r="AI76" i="17" s="1"/>
  <c r="AA73" i="17"/>
  <c r="AE73" i="17" s="1"/>
  <c r="AI73" i="17" s="1"/>
  <c r="AA75" i="17"/>
  <c r="Q76" i="11"/>
  <c r="U76" i="11" s="1"/>
  <c r="AA76" i="11"/>
  <c r="AE76" i="11" s="1"/>
  <c r="R76" i="11"/>
  <c r="V76" i="11" s="1"/>
  <c r="AB76" i="11"/>
  <c r="AF76" i="11" s="1"/>
  <c r="R78" i="11"/>
  <c r="V78" i="11" s="1"/>
  <c r="AB78" i="11"/>
  <c r="AF78" i="11" s="1"/>
  <c r="Q78" i="11"/>
  <c r="U78" i="11" s="1"/>
  <c r="AA78" i="11"/>
  <c r="AE78" i="11" s="1"/>
  <c r="R75" i="11"/>
  <c r="V75" i="11" s="1"/>
  <c r="AB75" i="11"/>
  <c r="AF75" i="11" s="1"/>
  <c r="AA175" i="10"/>
  <c r="AE175" i="10" s="1"/>
  <c r="AB177" i="10"/>
  <c r="AF177" i="10" s="1"/>
  <c r="Z65" i="17"/>
  <c r="Q168" i="10"/>
  <c r="T65" i="59" s="1"/>
  <c r="Q170" i="10"/>
  <c r="Q177" i="10"/>
  <c r="U177" i="10" s="1"/>
  <c r="Q165" i="10"/>
  <c r="U165" i="10" s="1"/>
  <c r="U166" i="10" s="1"/>
  <c r="R177" i="10"/>
  <c r="V177" i="10" s="1"/>
  <c r="R174" i="10"/>
  <c r="V174" i="10" s="1"/>
  <c r="Q172" i="10"/>
  <c r="U172" i="10" s="1"/>
  <c r="Q175" i="10"/>
  <c r="U175" i="10" s="1"/>
  <c r="R175" i="10"/>
  <c r="V175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4" i="11"/>
  <c r="J191" i="10"/>
  <c r="R5" i="11"/>
  <c r="V5" i="11" s="1"/>
  <c r="Q72" i="11"/>
  <c r="U72" i="11" s="1"/>
  <c r="I5" i="10"/>
  <c r="I161" i="10" s="1"/>
  <c r="AI82" i="17" l="1"/>
  <c r="BD114" i="17"/>
  <c r="AE75" i="17"/>
  <c r="AE79" i="17" s="1"/>
  <c r="AA79" i="17"/>
  <c r="AI78" i="17"/>
  <c r="AI72" i="17"/>
  <c r="AI77" i="17"/>
  <c r="AI81" i="17"/>
  <c r="AI83" i="17" s="1"/>
  <c r="AI66" i="17"/>
  <c r="AI68" i="17"/>
  <c r="AI65" i="17"/>
  <c r="AI67" i="17" s="1"/>
  <c r="AI69" i="17" s="1"/>
  <c r="Z79" i="17"/>
  <c r="AD78" i="17"/>
  <c r="AD68" i="17"/>
  <c r="J193" i="10"/>
  <c r="Z74" i="17"/>
  <c r="AE71" i="17"/>
  <c r="AA74" i="17"/>
  <c r="U119" i="17"/>
  <c r="AI72" i="11"/>
  <c r="AO73" i="11"/>
  <c r="AS73" i="11" s="1"/>
  <c r="AX73" i="11"/>
  <c r="AT74" i="11"/>
  <c r="AI75" i="17"/>
  <c r="AI79" i="17" s="1"/>
  <c r="AV52" i="17"/>
  <c r="AR116" i="17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76" i="10"/>
  <c r="AW176" i="10" s="1"/>
  <c r="AT176" i="10"/>
  <c r="AX176" i="10" s="1"/>
  <c r="AW66" i="11"/>
  <c r="AJ89" i="11"/>
  <c r="AJ58" i="11"/>
  <c r="AJ22" i="36" s="1"/>
  <c r="AJ84" i="11"/>
  <c r="V89" i="11"/>
  <c r="V58" i="11"/>
  <c r="V84" i="11"/>
  <c r="AI58" i="11"/>
  <c r="AI69" i="11"/>
  <c r="AI67" i="11"/>
  <c r="AI71" i="11"/>
  <c r="AI79" i="11"/>
  <c r="AL70" i="59" s="1"/>
  <c r="AE69" i="11"/>
  <c r="AH69" i="59" s="1"/>
  <c r="AO70" i="11"/>
  <c r="AJ78" i="11"/>
  <c r="AP78" i="11" s="1"/>
  <c r="AT78" i="11" s="1"/>
  <c r="AI177" i="10"/>
  <c r="AO177" i="10" s="1"/>
  <c r="AS177" i="10" s="1"/>
  <c r="AI78" i="11"/>
  <c r="AO78" i="11" s="1"/>
  <c r="AS78" i="11" s="1"/>
  <c r="AJ177" i="10"/>
  <c r="AP177" i="10" s="1"/>
  <c r="AT177" i="10" s="1"/>
  <c r="AJ175" i="10"/>
  <c r="AP175" i="10" s="1"/>
  <c r="AT175" i="10" s="1"/>
  <c r="AI175" i="10"/>
  <c r="AO175" i="10" s="1"/>
  <c r="AS175" i="10" s="1"/>
  <c r="AJ76" i="11"/>
  <c r="AP76" i="11" s="1"/>
  <c r="AT76" i="11" s="1"/>
  <c r="AI76" i="11"/>
  <c r="AO76" i="11" s="1"/>
  <c r="AS76" i="11" s="1"/>
  <c r="AJ75" i="11"/>
  <c r="AP75" i="11" s="1"/>
  <c r="AT75" i="11" s="1"/>
  <c r="AJ174" i="10"/>
  <c r="AP174" i="10" s="1"/>
  <c r="AT174" i="10" s="1"/>
  <c r="AO82" i="17"/>
  <c r="AO72" i="17"/>
  <c r="AS72" i="17" s="1"/>
  <c r="AD13" i="17"/>
  <c r="AD82" i="17"/>
  <c r="AD77" i="17"/>
  <c r="AD65" i="17"/>
  <c r="AO78" i="17"/>
  <c r="AS78" i="17" s="1"/>
  <c r="AD72" i="17"/>
  <c r="AN91" i="17"/>
  <c r="AN118" i="17"/>
  <c r="BC177" i="10"/>
  <c r="BC174" i="10"/>
  <c r="BC175" i="10"/>
  <c r="BD177" i="10"/>
  <c r="BD175" i="10"/>
  <c r="BD174" i="10"/>
  <c r="BE57" i="17"/>
  <c r="BE59" i="17" s="1"/>
  <c r="BE91" i="17" s="1"/>
  <c r="AE117" i="17"/>
  <c r="AO165" i="10"/>
  <c r="AO13" i="17"/>
  <c r="AO53" i="17"/>
  <c r="AO47" i="17"/>
  <c r="AO51" i="17"/>
  <c r="AD75" i="17"/>
  <c r="AD76" i="17"/>
  <c r="AD66" i="17"/>
  <c r="AD73" i="17"/>
  <c r="AF89" i="11"/>
  <c r="AF58" i="11"/>
  <c r="AF22" i="36" s="1"/>
  <c r="AI68" i="59" s="1"/>
  <c r="AF84" i="11"/>
  <c r="AO5" i="11"/>
  <c r="AA71" i="11"/>
  <c r="AA67" i="11"/>
  <c r="AO68" i="11"/>
  <c r="AS68" i="11" s="1"/>
  <c r="AE115" i="17"/>
  <c r="AE15" i="17"/>
  <c r="AE83" i="17"/>
  <c r="AE67" i="17"/>
  <c r="AE69" i="17" s="1"/>
  <c r="AD81" i="17"/>
  <c r="AH3" i="17"/>
  <c r="AD14" i="17"/>
  <c r="AD45" i="17"/>
  <c r="AD30" i="17"/>
  <c r="AD49" i="17"/>
  <c r="AD47" i="17"/>
  <c r="AD60" i="17"/>
  <c r="AD53" i="17"/>
  <c r="AD71" i="17"/>
  <c r="AE67" i="11"/>
  <c r="AE71" i="11"/>
  <c r="AA69" i="11"/>
  <c r="AD69" i="59" s="1"/>
  <c r="AA117" i="17"/>
  <c r="M118" i="17"/>
  <c r="Z15" i="17"/>
  <c r="AB58" i="11"/>
  <c r="AE68" i="59" s="1"/>
  <c r="R58" i="11"/>
  <c r="R22" i="36" s="1"/>
  <c r="Z49" i="17"/>
  <c r="AA12" i="17"/>
  <c r="AB89" i="11"/>
  <c r="J31" i="35"/>
  <c r="J97" i="11" s="1"/>
  <c r="AB84" i="11"/>
  <c r="AB72" i="11"/>
  <c r="AF72" i="11" s="1"/>
  <c r="AJ72" i="11" s="1"/>
  <c r="AA83" i="17"/>
  <c r="Q166" i="10"/>
  <c r="Z22" i="17"/>
  <c r="Z83" i="17"/>
  <c r="Z67" i="17"/>
  <c r="R191" i="10"/>
  <c r="U66" i="59"/>
  <c r="AA67" i="17"/>
  <c r="Z60" i="17"/>
  <c r="Z62" i="17"/>
  <c r="Z47" i="17"/>
  <c r="Z53" i="17"/>
  <c r="Z117" i="17" s="1"/>
  <c r="R72" i="11"/>
  <c r="V72" i="11" s="1"/>
  <c r="R89" i="11"/>
  <c r="R84" i="11"/>
  <c r="R92" i="11"/>
  <c r="I171" i="10"/>
  <c r="J5" i="10"/>
  <c r="J161" i="10" s="1"/>
  <c r="I95" i="9"/>
  <c r="AO30" i="17" l="1"/>
  <c r="AH78" i="17"/>
  <c r="BE66" i="11"/>
  <c r="AD79" i="17"/>
  <c r="AR118" i="17"/>
  <c r="AH72" i="17"/>
  <c r="AD74" i="17"/>
  <c r="AO75" i="17"/>
  <c r="AO73" i="17"/>
  <c r="AS73" i="17" s="1"/>
  <c r="AH68" i="17"/>
  <c r="R193" i="10"/>
  <c r="AI71" i="17"/>
  <c r="AO71" i="17" s="1"/>
  <c r="AE74" i="17"/>
  <c r="AE122" i="17" s="1"/>
  <c r="AO74" i="11"/>
  <c r="AX74" i="11"/>
  <c r="BF73" i="11"/>
  <c r="BF74" i="11" s="1"/>
  <c r="AW73" i="11"/>
  <c r="AS74" i="11"/>
  <c r="AR91" i="17"/>
  <c r="AV91" i="17" s="1"/>
  <c r="AS35" i="17"/>
  <c r="AW35" i="17" s="1"/>
  <c r="BE35" i="17" s="1"/>
  <c r="AS82" i="17"/>
  <c r="AI117" i="17"/>
  <c r="AW3" i="17"/>
  <c r="AW78" i="17" s="1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55" i="17"/>
  <c r="AH65" i="17"/>
  <c r="AO14" i="17"/>
  <c r="AO66" i="17"/>
  <c r="AH73" i="17"/>
  <c r="AO39" i="17"/>
  <c r="AH77" i="17"/>
  <c r="AI115" i="17"/>
  <c r="AI15" i="17"/>
  <c r="AV116" i="17"/>
  <c r="AV118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O60" i="17"/>
  <c r="AO12" i="17"/>
  <c r="AO115" i="17" s="1"/>
  <c r="AO68" i="17"/>
  <c r="AS68" i="17" s="1"/>
  <c r="AR62" i="17"/>
  <c r="AO55" i="17"/>
  <c r="AO49" i="17"/>
  <c r="AH13" i="17"/>
  <c r="AV62" i="17"/>
  <c r="AX75" i="11"/>
  <c r="BF75" i="11" s="1"/>
  <c r="AW78" i="11"/>
  <c r="BE78" i="11" s="1"/>
  <c r="AW76" i="11"/>
  <c r="BE76" i="11" s="1"/>
  <c r="AW68" i="11"/>
  <c r="AX76" i="11"/>
  <c r="BF76" i="11" s="1"/>
  <c r="AX78" i="11"/>
  <c r="BF78" i="11" s="1"/>
  <c r="AW177" i="10"/>
  <c r="AW175" i="10"/>
  <c r="AX175" i="10"/>
  <c r="AX174" i="10"/>
  <c r="AX177" i="10"/>
  <c r="AS70" i="11"/>
  <c r="AO79" i="11"/>
  <c r="AR70" i="59" s="1"/>
  <c r="AD83" i="17"/>
  <c r="AD67" i="17"/>
  <c r="AD69" i="17" s="1"/>
  <c r="AD117" i="17"/>
  <c r="AD15" i="17"/>
  <c r="BD57" i="17"/>
  <c r="BD59" i="17" s="1"/>
  <c r="BE62" i="17"/>
  <c r="AE119" i="17"/>
  <c r="AO58" i="11"/>
  <c r="AR68" i="59" s="1"/>
  <c r="AS5" i="11"/>
  <c r="AS165" i="10"/>
  <c r="AW165" i="10" s="1"/>
  <c r="AO166" i="10"/>
  <c r="AS67" i="11"/>
  <c r="AO117" i="17"/>
  <c r="AN3" i="17"/>
  <c r="AR3" i="17" s="1"/>
  <c r="AR60" i="17" s="1"/>
  <c r="AD51" i="17"/>
  <c r="AD55" i="17" s="1"/>
  <c r="AO81" i="17"/>
  <c r="AS81" i="17" s="1"/>
  <c r="AO65" i="17"/>
  <c r="AS65" i="17" s="1"/>
  <c r="AP5" i="11"/>
  <c r="AT5" i="11" s="1"/>
  <c r="AM68" i="59"/>
  <c r="AO67" i="11"/>
  <c r="AO69" i="11"/>
  <c r="AR69" i="59" s="1"/>
  <c r="AO71" i="11"/>
  <c r="AO72" i="11"/>
  <c r="AL69" i="59"/>
  <c r="Z69" i="17"/>
  <c r="Z122" i="17" s="1"/>
  <c r="AA69" i="17"/>
  <c r="AA122" i="17" s="1"/>
  <c r="AA15" i="17"/>
  <c r="AB22" i="36"/>
  <c r="J33" i="35"/>
  <c r="J21" i="36"/>
  <c r="M64" i="59" s="1"/>
  <c r="AA5" i="10"/>
  <c r="Q5" i="10"/>
  <c r="Z34" i="17"/>
  <c r="Z32" i="17"/>
  <c r="Z31" i="17"/>
  <c r="Z35" i="17"/>
  <c r="AD35" i="17" s="1"/>
  <c r="AA45" i="17"/>
  <c r="AA50" i="17"/>
  <c r="AA114" i="17" s="1"/>
  <c r="AA118" i="17" s="1"/>
  <c r="J188" i="10"/>
  <c r="R94" i="11"/>
  <c r="R79" i="11"/>
  <c r="U70" i="59" s="1"/>
  <c r="J183" i="10"/>
  <c r="J171" i="10"/>
  <c r="N21" i="36"/>
  <c r="Q64" i="59" s="1"/>
  <c r="I92" i="9"/>
  <c r="J99" i="9"/>
  <c r="J95" i="9"/>
  <c r="J92" i="9"/>
  <c r="I99" i="9"/>
  <c r="AW166" i="10" l="1"/>
  <c r="BF174" i="10"/>
  <c r="BF175" i="10"/>
  <c r="BE175" i="10"/>
  <c r="BF177" i="10"/>
  <c r="BE177" i="10"/>
  <c r="AW68" i="17"/>
  <c r="AS75" i="17"/>
  <c r="AW75" i="17" s="1"/>
  <c r="AO79" i="17"/>
  <c r="AD122" i="17"/>
  <c r="AH79" i="17"/>
  <c r="AW5" i="11"/>
  <c r="AW58" i="11" s="1"/>
  <c r="AW70" i="11"/>
  <c r="AW69" i="11" s="1"/>
  <c r="AX5" i="11"/>
  <c r="AW73" i="17"/>
  <c r="AN68" i="17"/>
  <c r="AR68" i="17" s="1"/>
  <c r="AH74" i="17"/>
  <c r="AS117" i="17"/>
  <c r="AS71" i="17"/>
  <c r="AS74" i="17" s="1"/>
  <c r="AO74" i="17"/>
  <c r="AI74" i="17"/>
  <c r="AI122" i="17" s="1"/>
  <c r="AW74" i="11"/>
  <c r="BE73" i="11"/>
  <c r="BE74" i="11" s="1"/>
  <c r="AO15" i="17"/>
  <c r="AI119" i="17"/>
  <c r="AS15" i="17"/>
  <c r="AS66" i="17"/>
  <c r="AW66" i="17" s="1"/>
  <c r="AH67" i="17"/>
  <c r="AH69" i="17" s="1"/>
  <c r="AS77" i="17"/>
  <c r="AW77" i="17" s="1"/>
  <c r="BD116" i="17"/>
  <c r="BD118" i="17" s="1"/>
  <c r="BD54" i="17"/>
  <c r="AW65" i="17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S83" i="17"/>
  <c r="AH51" i="17"/>
  <c r="AS115" i="17"/>
  <c r="AW82" i="17"/>
  <c r="AH83" i="17"/>
  <c r="AH15" i="17"/>
  <c r="AH117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AS71" i="11"/>
  <c r="AS69" i="11"/>
  <c r="AV69" i="59" s="1"/>
  <c r="AW67" i="11"/>
  <c r="BE68" i="11"/>
  <c r="BE67" i="11" s="1"/>
  <c r="AS79" i="11"/>
  <c r="AV70" i="59" s="1"/>
  <c r="U5" i="10"/>
  <c r="AN71" i="17"/>
  <c r="AN88" i="17"/>
  <c r="AN76" i="17"/>
  <c r="AR76" i="17" s="1"/>
  <c r="AN78" i="17"/>
  <c r="AR78" i="17" s="1"/>
  <c r="AN66" i="17"/>
  <c r="V22" i="36"/>
  <c r="Y68" i="59"/>
  <c r="AN75" i="17"/>
  <c r="BD91" i="17"/>
  <c r="AS72" i="11"/>
  <c r="BD62" i="17"/>
  <c r="AD115" i="17"/>
  <c r="AD119" i="17" s="1"/>
  <c r="AS166" i="10"/>
  <c r="AN73" i="17"/>
  <c r="AN13" i="17"/>
  <c r="AR13" i="17" s="1"/>
  <c r="AS58" i="11"/>
  <c r="AO83" i="17"/>
  <c r="AO119" i="17"/>
  <c r="AN72" i="17"/>
  <c r="AT89" i="11"/>
  <c r="AT58" i="11"/>
  <c r="AT22" i="36" s="1"/>
  <c r="AW68" i="59" s="1"/>
  <c r="AT84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P89" i="11"/>
  <c r="AP58" i="11"/>
  <c r="AP84" i="11"/>
  <c r="AP72" i="11"/>
  <c r="AT72" i="11" s="1"/>
  <c r="AE5" i="10"/>
  <c r="AA54" i="17"/>
  <c r="J79" i="11"/>
  <c r="M70" i="59" s="1"/>
  <c r="J22" i="36"/>
  <c r="M68" i="59" s="1"/>
  <c r="J34" i="35"/>
  <c r="N33" i="35"/>
  <c r="AA171" i="10"/>
  <c r="AB5" i="10"/>
  <c r="AB161" i="10" s="1"/>
  <c r="R5" i="10"/>
  <c r="Q171" i="10"/>
  <c r="AA51" i="17"/>
  <c r="AA115" i="17" s="1"/>
  <c r="AA119" i="17" s="1"/>
  <c r="I38" i="9"/>
  <c r="I20" i="9"/>
  <c r="I15" i="9"/>
  <c r="J2" i="9"/>
  <c r="I2" i="9"/>
  <c r="AV77" i="17" l="1"/>
  <c r="AW72" i="11"/>
  <c r="AV78" i="17"/>
  <c r="BE5" i="11"/>
  <c r="AO122" i="17"/>
  <c r="AX89" i="11"/>
  <c r="AW71" i="11"/>
  <c r="AX72" i="11"/>
  <c r="AW79" i="11"/>
  <c r="AZ70" i="59" s="1"/>
  <c r="BF5" i="11"/>
  <c r="AX84" i="11"/>
  <c r="AR75" i="17"/>
  <c r="AR79" i="17" s="1"/>
  <c r="AN79" i="17"/>
  <c r="AX58" i="11"/>
  <c r="AX22" i="36" s="1"/>
  <c r="BA68" i="59" s="1"/>
  <c r="AW79" i="17"/>
  <c r="AS79" i="17"/>
  <c r="BE66" i="17"/>
  <c r="AS119" i="17"/>
  <c r="BE76" i="17"/>
  <c r="BE82" i="17"/>
  <c r="BE77" i="17"/>
  <c r="AV68" i="17"/>
  <c r="BD68" i="17" s="1"/>
  <c r="AW71" i="17"/>
  <c r="AW74" i="17" s="1"/>
  <c r="AW83" i="17"/>
  <c r="AN74" i="17"/>
  <c r="AS67" i="17"/>
  <c r="AS69" i="17" s="1"/>
  <c r="AW67" i="17"/>
  <c r="AW69" i="17" s="1"/>
  <c r="AW115" i="17"/>
  <c r="AR15" i="17"/>
  <c r="AW117" i="17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R51" i="17"/>
  <c r="AV81" i="17"/>
  <c r="AV65" i="17"/>
  <c r="AV13" i="17"/>
  <c r="BD13" i="17" s="1"/>
  <c r="AR117" i="17"/>
  <c r="AR71" i="17"/>
  <c r="AH115" i="17"/>
  <c r="AH119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BE72" i="17"/>
  <c r="BE73" i="17"/>
  <c r="AR72" i="17"/>
  <c r="AV72" i="17" s="1"/>
  <c r="BD72" i="17" s="1"/>
  <c r="AW15" i="17"/>
  <c r="BE78" i="17"/>
  <c r="U171" i="10"/>
  <c r="AR88" i="17"/>
  <c r="BE70" i="11"/>
  <c r="AZ69" i="59"/>
  <c r="AI5" i="10"/>
  <c r="R161" i="10"/>
  <c r="U64" i="59" s="1"/>
  <c r="V5" i="10"/>
  <c r="AN117" i="17"/>
  <c r="BD14" i="17"/>
  <c r="BD45" i="17"/>
  <c r="BD30" i="17"/>
  <c r="BD49" i="17"/>
  <c r="BD47" i="17"/>
  <c r="BD53" i="17"/>
  <c r="BD78" i="17"/>
  <c r="AE171" i="10"/>
  <c r="BE165" i="10"/>
  <c r="AN67" i="17"/>
  <c r="AN69" i="17" s="1"/>
  <c r="AN15" i="17"/>
  <c r="AN83" i="17"/>
  <c r="AN51" i="17"/>
  <c r="AN115" i="17" s="1"/>
  <c r="AS68" i="59"/>
  <c r="AP22" i="36"/>
  <c r="AF5" i="10"/>
  <c r="R97" i="11"/>
  <c r="AA55" i="17"/>
  <c r="J36" i="35"/>
  <c r="U68" i="59"/>
  <c r="AB171" i="10"/>
  <c r="AB188" i="10"/>
  <c r="AB183" i="10"/>
  <c r="R171" i="10"/>
  <c r="R188" i="10"/>
  <c r="R183" i="10"/>
  <c r="J103" i="9"/>
  <c r="J97" i="9"/>
  <c r="J98" i="9"/>
  <c r="I51" i="9"/>
  <c r="M94" i="9"/>
  <c r="L19" i="15" s="1"/>
  <c r="I104" i="9"/>
  <c r="L59" i="59" s="1"/>
  <c r="I89" i="9"/>
  <c r="I96" i="9"/>
  <c r="I94" i="9"/>
  <c r="H19" i="15" s="1"/>
  <c r="I93" i="9"/>
  <c r="H132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56" i="36" s="1"/>
  <c r="J16" i="36" s="1"/>
  <c r="M54" i="59" s="1"/>
  <c r="I102" i="9"/>
  <c r="I100" i="9"/>
  <c r="J20" i="9"/>
  <c r="J9" i="9"/>
  <c r="J7" i="9"/>
  <c r="J19" i="9"/>
  <c r="J57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BF72" i="11" l="1"/>
  <c r="BF89" i="11"/>
  <c r="BF58" i="11"/>
  <c r="BE72" i="11"/>
  <c r="BE166" i="10"/>
  <c r="AV75" i="17"/>
  <c r="BD75" i="17" s="1"/>
  <c r="BF84" i="11"/>
  <c r="BF22" i="36"/>
  <c r="BE58" i="11"/>
  <c r="AN122" i="17"/>
  <c r="AS122" i="17"/>
  <c r="BE79" i="17"/>
  <c r="AW122" i="17"/>
  <c r="AW119" i="17"/>
  <c r="AR74" i="17"/>
  <c r="AI171" i="10"/>
  <c r="BE117" i="17"/>
  <c r="AV83" i="17"/>
  <c r="AR83" i="17"/>
  <c r="R21" i="36"/>
  <c r="BE115" i="17"/>
  <c r="BE15" i="17"/>
  <c r="AR115" i="17"/>
  <c r="AR119" i="17" s="1"/>
  <c r="AR55" i="17"/>
  <c r="AV71" i="17"/>
  <c r="AV74" i="17" s="1"/>
  <c r="AV117" i="17"/>
  <c r="AV15" i="17"/>
  <c r="AV51" i="17"/>
  <c r="AR67" i="17"/>
  <c r="AR69" i="17" s="1"/>
  <c r="AV67" i="17"/>
  <c r="AV69" i="17" s="1"/>
  <c r="V171" i="10"/>
  <c r="AV88" i="17"/>
  <c r="BD88" i="17" s="1"/>
  <c r="BE79" i="11"/>
  <c r="BH70" i="59" s="1"/>
  <c r="BE71" i="11"/>
  <c r="BE69" i="11"/>
  <c r="BH69" i="59" s="1"/>
  <c r="AF161" i="10"/>
  <c r="AF21" i="36" s="1"/>
  <c r="AI64" i="59" s="1"/>
  <c r="AJ5" i="10"/>
  <c r="AN119" i="17"/>
  <c r="V188" i="10"/>
  <c r="V183" i="10"/>
  <c r="V161" i="10"/>
  <c r="V21" i="36" s="1"/>
  <c r="J89" i="8"/>
  <c r="BD51" i="17"/>
  <c r="BD115" i="17" s="1"/>
  <c r="BE65" i="17"/>
  <c r="BE67" i="17" s="1"/>
  <c r="BE69" i="17" s="1"/>
  <c r="BD15" i="17"/>
  <c r="BD117" i="17"/>
  <c r="AO5" i="10"/>
  <c r="BE71" i="17"/>
  <c r="BE81" i="17"/>
  <c r="BE83" i="17" s="1"/>
  <c r="AN55" i="17"/>
  <c r="AF171" i="10"/>
  <c r="AF183" i="10"/>
  <c r="AF188" i="10"/>
  <c r="J18" i="36"/>
  <c r="M56" i="59" s="1"/>
  <c r="J72" i="9"/>
  <c r="J58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8" i="35"/>
  <c r="J49" i="35" s="1"/>
  <c r="J37" i="35"/>
  <c r="F25" i="36"/>
  <c r="I76" i="59" s="1"/>
  <c r="N36" i="35"/>
  <c r="M2" i="8"/>
  <c r="I89" i="8"/>
  <c r="J129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J81" i="8"/>
  <c r="M45" i="59" s="1"/>
  <c r="J88" i="8"/>
  <c r="E35" i="8"/>
  <c r="J134" i="9"/>
  <c r="J138" i="9"/>
  <c r="J137" i="9"/>
  <c r="J139" i="9"/>
  <c r="J136" i="9"/>
  <c r="J135" i="9"/>
  <c r="J64" i="8"/>
  <c r="J55" i="8" s="1"/>
  <c r="J68" i="8"/>
  <c r="J57" i="8" s="1"/>
  <c r="I25" i="9"/>
  <c r="I52" i="9" s="1"/>
  <c r="L58" i="59" s="1"/>
  <c r="Q2" i="9"/>
  <c r="U2" i="9" s="1"/>
  <c r="I29" i="8"/>
  <c r="I88" i="8"/>
  <c r="I31" i="8"/>
  <c r="J93" i="9"/>
  <c r="J10" i="9"/>
  <c r="I27" i="8"/>
  <c r="J25" i="9"/>
  <c r="I28" i="8"/>
  <c r="I149" i="8" s="1"/>
  <c r="BI68" i="59" l="1"/>
  <c r="AV79" i="17"/>
  <c r="N78" i="8"/>
  <c r="AV122" i="17"/>
  <c r="AR122" i="17"/>
  <c r="BE74" i="17"/>
  <c r="BE122" i="17" s="1"/>
  <c r="BE119" i="17"/>
  <c r="AV55" i="17"/>
  <c r="AV115" i="17"/>
  <c r="AV119" i="17" s="1"/>
  <c r="BD71" i="17"/>
  <c r="BD74" i="17" s="1"/>
  <c r="AJ171" i="10"/>
  <c r="AJ188" i="10"/>
  <c r="AJ183" i="10"/>
  <c r="AJ161" i="10"/>
  <c r="Y64" i="59"/>
  <c r="BD55" i="17"/>
  <c r="BD119" i="17"/>
  <c r="AS5" i="10"/>
  <c r="AO171" i="10"/>
  <c r="BD65" i="17"/>
  <c r="BD67" i="17" s="1"/>
  <c r="BD69" i="17" s="1"/>
  <c r="AP5" i="10"/>
  <c r="AP161" i="10" s="1"/>
  <c r="K80" i="83"/>
  <c r="K97" i="50"/>
  <c r="K95" i="50" s="1"/>
  <c r="BD81" i="17"/>
  <c r="BD83" i="17" s="1"/>
  <c r="BD77" i="17"/>
  <c r="BD79" i="17" s="1"/>
  <c r="AM57" i="36"/>
  <c r="N89" i="8"/>
  <c r="M35" i="8"/>
  <c r="AA35" i="8" s="1"/>
  <c r="AE35" i="8" s="1"/>
  <c r="J60" i="36"/>
  <c r="J66" i="36"/>
  <c r="J68" i="36" s="1"/>
  <c r="Z97" i="9"/>
  <c r="AB97" i="9" s="1"/>
  <c r="AF97" i="9" s="1"/>
  <c r="R97" i="9"/>
  <c r="V97" i="9" s="1"/>
  <c r="R98" i="9"/>
  <c r="V98" i="9" s="1"/>
  <c r="R103" i="9"/>
  <c r="V103" i="9" s="1"/>
  <c r="I109" i="8"/>
  <c r="I110" i="8" s="1"/>
  <c r="Q98" i="9"/>
  <c r="U98" i="9" s="1"/>
  <c r="Q103" i="9"/>
  <c r="U103" i="9" s="1"/>
  <c r="Q2" i="8"/>
  <c r="M88" i="8"/>
  <c r="M89" i="8"/>
  <c r="R2" i="8"/>
  <c r="N81" i="8"/>
  <c r="Q45" i="59" s="1"/>
  <c r="N88" i="8"/>
  <c r="N10" i="9"/>
  <c r="J55" i="35"/>
  <c r="N49" i="35"/>
  <c r="N37" i="35"/>
  <c r="O97" i="50" s="1"/>
  <c r="O95" i="50" s="1"/>
  <c r="J25" i="36"/>
  <c r="M76" i="59" s="1"/>
  <c r="AB33" i="35"/>
  <c r="N85" i="9"/>
  <c r="I7" i="9"/>
  <c r="N129" i="7"/>
  <c r="J130" i="7"/>
  <c r="J131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9" i="8"/>
  <c r="E36" i="8"/>
  <c r="I59" i="8"/>
  <c r="M36" i="8" l="1"/>
  <c r="AA36" i="8" s="1"/>
  <c r="AE36" i="8" s="1"/>
  <c r="R78" i="8"/>
  <c r="BD122" i="17"/>
  <c r="AJ21" i="36"/>
  <c r="AM64" i="59" s="1"/>
  <c r="AS171" i="10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5" i="59" s="1"/>
  <c r="I24" i="36"/>
  <c r="L75" i="59" s="1"/>
  <c r="M24" i="36"/>
  <c r="P75" i="59" s="1"/>
  <c r="J132" i="7"/>
  <c r="AP183" i="10"/>
  <c r="AP188" i="10"/>
  <c r="AP171" i="10"/>
  <c r="AT5" i="10"/>
  <c r="AO2" i="9"/>
  <c r="AS2" i="9" s="1"/>
  <c r="AW2" i="9" s="1"/>
  <c r="BE2" i="9" s="1"/>
  <c r="J19" i="36"/>
  <c r="M57" i="59" s="1"/>
  <c r="AS64" i="59"/>
  <c r="AP21" i="36"/>
  <c r="AM19" i="9"/>
  <c r="BC57" i="36"/>
  <c r="BC17" i="36" s="1"/>
  <c r="BE57" i="36"/>
  <c r="BE17" i="36" s="1"/>
  <c r="Q24" i="36"/>
  <c r="T75" i="59" s="1"/>
  <c r="Q35" i="8"/>
  <c r="U35" i="8" s="1"/>
  <c r="I111" i="8"/>
  <c r="I112" i="8" s="1"/>
  <c r="I53" i="8" s="1"/>
  <c r="L43" i="59" s="1"/>
  <c r="Z103" i="9"/>
  <c r="AB103" i="9" s="1"/>
  <c r="AF103" i="9" s="1"/>
  <c r="Z98" i="9"/>
  <c r="AB98" i="9" s="1"/>
  <c r="AF98" i="9" s="1"/>
  <c r="R88" i="8"/>
  <c r="U2" i="8"/>
  <c r="Q89" i="8"/>
  <c r="R81" i="8"/>
  <c r="V2" i="8"/>
  <c r="R89" i="8"/>
  <c r="I36" i="8"/>
  <c r="Q36" i="8"/>
  <c r="U36" i="8" s="1"/>
  <c r="N55" i="35"/>
  <c r="N25" i="36"/>
  <c r="Q76" i="59" s="1"/>
  <c r="M7" i="9"/>
  <c r="R129" i="7"/>
  <c r="N83" i="9"/>
  <c r="J133" i="7"/>
  <c r="N131" i="7"/>
  <c r="N130" i="7"/>
  <c r="N53" i="9"/>
  <c r="N86" i="9"/>
  <c r="AA94" i="9"/>
  <c r="Z19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9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4" i="8"/>
  <c r="I35" i="8"/>
  <c r="I63" i="8"/>
  <c r="J52" i="9"/>
  <c r="M58" i="59" s="1"/>
  <c r="J53" i="9"/>
  <c r="I15" i="8"/>
  <c r="I10" i="8"/>
  <c r="I9" i="8"/>
  <c r="I8" i="8"/>
  <c r="J58" i="8"/>
  <c r="J54" i="8" s="1"/>
  <c r="I6" i="8"/>
  <c r="J82" i="7"/>
  <c r="J68" i="7"/>
  <c r="BH55" i="59" l="1"/>
  <c r="BF55" i="59"/>
  <c r="AW35" i="8"/>
  <c r="BE35" i="8" s="1"/>
  <c r="BG35" i="8" s="1"/>
  <c r="AW36" i="8"/>
  <c r="BE36" i="8" s="1"/>
  <c r="BG36" i="8" s="1"/>
  <c r="AT161" i="10"/>
  <c r="AW64" i="59" s="1"/>
  <c r="AX5" i="10"/>
  <c r="AW171" i="10"/>
  <c r="BE5" i="10"/>
  <c r="BH5" i="10" s="1"/>
  <c r="AX97" i="9"/>
  <c r="BF97" i="9" s="1"/>
  <c r="N132" i="7"/>
  <c r="AJ98" i="9"/>
  <c r="AP98" i="9" s="1"/>
  <c r="AT98" i="9" s="1"/>
  <c r="AJ103" i="9"/>
  <c r="AP103" i="9" s="1"/>
  <c r="AT103" i="9" s="1"/>
  <c r="AI103" i="9"/>
  <c r="AO103" i="9" s="1"/>
  <c r="AS103" i="9" s="1"/>
  <c r="V88" i="8"/>
  <c r="V78" i="8"/>
  <c r="V89" i="8"/>
  <c r="U89" i="8"/>
  <c r="V81" i="8"/>
  <c r="I83" i="8"/>
  <c r="L50" i="59" s="1"/>
  <c r="I84" i="8"/>
  <c r="L51" i="59" s="1"/>
  <c r="AO98" i="9"/>
  <c r="AS98" i="9" s="1"/>
  <c r="AT171" i="10"/>
  <c r="AT183" i="10"/>
  <c r="AT188" i="10"/>
  <c r="AM90" i="9"/>
  <c r="AM91" i="9" s="1"/>
  <c r="BC19" i="9"/>
  <c r="U45" i="59"/>
  <c r="I46" i="8"/>
  <c r="L47" i="59" s="1"/>
  <c r="AB2" i="8"/>
  <c r="AA2" i="8"/>
  <c r="AA89" i="8" s="1"/>
  <c r="M50" i="8"/>
  <c r="M51" i="8" s="1"/>
  <c r="M49" i="8"/>
  <c r="M14" i="36"/>
  <c r="P41" i="59" s="1"/>
  <c r="N133" i="7"/>
  <c r="R131" i="7"/>
  <c r="R132" i="7" s="1"/>
  <c r="R130" i="7"/>
  <c r="Y16" i="8"/>
  <c r="AA33" i="22"/>
  <c r="Z132" i="26"/>
  <c r="AA25" i="9"/>
  <c r="AA88" i="9" s="1"/>
  <c r="U61" i="59"/>
  <c r="AA93" i="9"/>
  <c r="AB25" i="9"/>
  <c r="AA89" i="9"/>
  <c r="AA100" i="9"/>
  <c r="AA96" i="9"/>
  <c r="U58" i="59"/>
  <c r="U62" i="59"/>
  <c r="I71" i="8"/>
  <c r="I44" i="8"/>
  <c r="L48" i="59" s="1"/>
  <c r="I45" i="8"/>
  <c r="I47" i="8"/>
  <c r="I43" i="8"/>
  <c r="L46" i="59" s="1"/>
  <c r="I14" i="36"/>
  <c r="L41" i="59" s="1"/>
  <c r="J31" i="8"/>
  <c r="J28" i="8"/>
  <c r="J149" i="8" s="1"/>
  <c r="I18" i="8"/>
  <c r="I82" i="8" s="1"/>
  <c r="L52" i="59" s="1"/>
  <c r="I49" i="8"/>
  <c r="I92" i="8"/>
  <c r="I14" i="8"/>
  <c r="I50" i="8"/>
  <c r="I51" i="8" s="1"/>
  <c r="I90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BC90" i="9" l="1"/>
  <c r="BC91" i="9" s="1"/>
  <c r="BI90" i="9"/>
  <c r="BI91" i="9" s="1"/>
  <c r="AB88" i="8"/>
  <c r="BF5" i="10"/>
  <c r="AX171" i="10"/>
  <c r="AT21" i="36"/>
  <c r="M78" i="8"/>
  <c r="L2" i="26"/>
  <c r="L2" i="17"/>
  <c r="I78" i="8"/>
  <c r="H2" i="17"/>
  <c r="H2" i="26"/>
  <c r="AX103" i="9"/>
  <c r="BF103" i="9" s="1"/>
  <c r="AW103" i="9"/>
  <c r="BE103" i="9" s="1"/>
  <c r="BE171" i="10"/>
  <c r="AX188" i="10"/>
  <c r="AX161" i="10"/>
  <c r="BA64" i="59" s="1"/>
  <c r="AX183" i="10"/>
  <c r="AW98" i="9"/>
  <c r="BE98" i="9" s="1"/>
  <c r="AX98" i="9"/>
  <c r="BF98" i="9" s="1"/>
  <c r="L49" i="59"/>
  <c r="AF2" i="8"/>
  <c r="AB89" i="8"/>
  <c r="Y45" i="59"/>
  <c r="AE2" i="8"/>
  <c r="AB78" i="8"/>
  <c r="AA50" i="8"/>
  <c r="AA51" i="8" s="1"/>
  <c r="AA49" i="8"/>
  <c r="J74" i="8"/>
  <c r="I52" i="8"/>
  <c r="L42" i="59" s="1"/>
  <c r="L44" i="59" s="1"/>
  <c r="I14" i="15"/>
  <c r="J46" i="8"/>
  <c r="M47" i="59" s="1"/>
  <c r="J109" i="8"/>
  <c r="J110" i="8" s="1"/>
  <c r="AB81" i="8"/>
  <c r="Q50" i="8"/>
  <c r="Q51" i="8" s="1"/>
  <c r="Q49" i="8"/>
  <c r="AB84" i="9"/>
  <c r="AB21" i="8"/>
  <c r="AF21" i="8" s="1"/>
  <c r="J10" i="36"/>
  <c r="M37" i="59" s="1"/>
  <c r="R133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1" i="8"/>
  <c r="J70" i="8"/>
  <c r="M82" i="8"/>
  <c r="P52" i="59" s="1"/>
  <c r="H8" i="15"/>
  <c r="J41" i="8"/>
  <c r="J40" i="8"/>
  <c r="J82" i="8"/>
  <c r="M52" i="59" s="1"/>
  <c r="J39" i="8"/>
  <c r="J83" i="8"/>
  <c r="M50" i="59" s="1"/>
  <c r="J84" i="8"/>
  <c r="M51" i="59" s="1"/>
  <c r="J44" i="8"/>
  <c r="M48" i="59" s="1"/>
  <c r="J43" i="8"/>
  <c r="M46" i="59" s="1"/>
  <c r="J45" i="8"/>
  <c r="J47" i="8"/>
  <c r="M92" i="8"/>
  <c r="J92" i="8"/>
  <c r="I16" i="8"/>
  <c r="J35" i="8"/>
  <c r="J50" i="8"/>
  <c r="J51" i="8" s="1"/>
  <c r="J36" i="8"/>
  <c r="J26" i="8"/>
  <c r="J49" i="8"/>
  <c r="J90" i="8"/>
  <c r="J15" i="8"/>
  <c r="BF161" i="10" l="1"/>
  <c r="BI5" i="10"/>
  <c r="BF188" i="10"/>
  <c r="BF183" i="10"/>
  <c r="BI183" i="10" s="1"/>
  <c r="BF171" i="10"/>
  <c r="AF88" i="8"/>
  <c r="AI24" i="36"/>
  <c r="Z2" i="26"/>
  <c r="Z2" i="17"/>
  <c r="J78" i="8"/>
  <c r="I2" i="26"/>
  <c r="I2" i="17"/>
  <c r="P2" i="17"/>
  <c r="P2" i="26"/>
  <c r="AF89" i="8"/>
  <c r="AF78" i="8"/>
  <c r="AJ2" i="8"/>
  <c r="AF81" i="8"/>
  <c r="AJ21" i="8"/>
  <c r="AP21" i="8" s="1"/>
  <c r="AT21" i="8" s="1"/>
  <c r="AB41" i="59"/>
  <c r="U50" i="8"/>
  <c r="U51" i="8" s="1"/>
  <c r="U14" i="36"/>
  <c r="X41" i="59" s="1"/>
  <c r="U49" i="8"/>
  <c r="M49" i="59"/>
  <c r="AX21" i="36"/>
  <c r="BI64" i="59"/>
  <c r="BF21" i="36"/>
  <c r="AF74" i="9"/>
  <c r="AI2" i="8"/>
  <c r="AE89" i="8"/>
  <c r="AE50" i="8"/>
  <c r="AE51" i="8" s="1"/>
  <c r="AE14" i="36"/>
  <c r="AH41" i="59" s="1"/>
  <c r="AE49" i="8"/>
  <c r="AA74" i="9"/>
  <c r="AE57" i="9"/>
  <c r="AI57" i="9" s="1"/>
  <c r="AI74" i="9" s="1"/>
  <c r="AA109" i="8"/>
  <c r="AA110" i="8" s="1"/>
  <c r="J111" i="8"/>
  <c r="J112" i="8" s="1"/>
  <c r="Q78" i="8"/>
  <c r="J52" i="8"/>
  <c r="M42" i="59" s="1"/>
  <c r="AE45" i="59"/>
  <c r="AB129" i="7"/>
  <c r="AB72" i="9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N40" i="8"/>
  <c r="N43" i="8"/>
  <c r="N39" i="8"/>
  <c r="N47" i="8"/>
  <c r="N45" i="8"/>
  <c r="N41" i="8"/>
  <c r="N74" i="8"/>
  <c r="N71" i="8"/>
  <c r="N70" i="8"/>
  <c r="N82" i="8"/>
  <c r="Q52" i="59" s="1"/>
  <c r="AB14" i="36"/>
  <c r="I6" i="26"/>
  <c r="N26" i="8"/>
  <c r="M16" i="8"/>
  <c r="N92" i="8"/>
  <c r="J16" i="8"/>
  <c r="J42" i="8"/>
  <c r="Q46" i="59" l="1"/>
  <c r="N136" i="8"/>
  <c r="Q48" i="59"/>
  <c r="Q49" i="59" s="1"/>
  <c r="N137" i="8"/>
  <c r="N144" i="8" s="1"/>
  <c r="BI188" i="10"/>
  <c r="AI89" i="8"/>
  <c r="AJ78" i="8"/>
  <c r="AJ81" i="8"/>
  <c r="AM45" i="59" s="1"/>
  <c r="U78" i="8"/>
  <c r="T2" i="17"/>
  <c r="T2" i="26"/>
  <c r="AI14" i="36"/>
  <c r="AL41" i="59" s="1"/>
  <c r="AD2" i="26"/>
  <c r="AD2" i="17"/>
  <c r="AP2" i="8"/>
  <c r="AJ89" i="8"/>
  <c r="AX21" i="8"/>
  <c r="BF21" i="8" s="1"/>
  <c r="BH21" i="8" s="1"/>
  <c r="AJ88" i="8"/>
  <c r="AI45" i="59"/>
  <c r="BE24" i="36"/>
  <c r="BH75" i="59" s="1"/>
  <c r="AE24" i="36"/>
  <c r="AH75" i="59" s="1"/>
  <c r="AI21" i="8"/>
  <c r="AO21" i="8" s="1"/>
  <c r="AS21" i="8" s="1"/>
  <c r="AI50" i="8"/>
  <c r="AI51" i="8" s="1"/>
  <c r="AI49" i="8"/>
  <c r="AB131" i="7"/>
  <c r="AO2" i="8"/>
  <c r="AP57" i="9"/>
  <c r="AE74" i="9"/>
  <c r="AE78" i="8"/>
  <c r="AA111" i="8"/>
  <c r="AA112" i="8" s="1"/>
  <c r="AA53" i="8" s="1"/>
  <c r="AD43" i="59" s="1"/>
  <c r="J53" i="8"/>
  <c r="M43" i="59" s="1"/>
  <c r="M44" i="59" s="1"/>
  <c r="AA64" i="9"/>
  <c r="AE64" i="9" s="1"/>
  <c r="AI64" i="9" s="1"/>
  <c r="AI81" i="9" s="1"/>
  <c r="AB130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1" i="8"/>
  <c r="AA74" i="8"/>
  <c r="N42" i="8"/>
  <c r="T52" i="59"/>
  <c r="U52" i="59"/>
  <c r="Q6" i="26"/>
  <c r="U6" i="26" s="1"/>
  <c r="N16" i="8"/>
  <c r="J74" i="7"/>
  <c r="I74" i="7"/>
  <c r="J72" i="7"/>
  <c r="I72" i="7"/>
  <c r="J2" i="7"/>
  <c r="J159" i="7" s="1"/>
  <c r="I2" i="7"/>
  <c r="J66" i="7"/>
  <c r="J65" i="7"/>
  <c r="J6" i="7"/>
  <c r="I66" i="7"/>
  <c r="I65" i="7"/>
  <c r="N139" i="8" l="1"/>
  <c r="N146" i="8" s="1"/>
  <c r="N143" i="8"/>
  <c r="I84" i="7"/>
  <c r="I159" i="7"/>
  <c r="AT2" i="8"/>
  <c r="AT78" i="8" s="1"/>
  <c r="AP88" i="8"/>
  <c r="AI78" i="8"/>
  <c r="AH2" i="26"/>
  <c r="AH2" i="17"/>
  <c r="AP89" i="8"/>
  <c r="AW21" i="8"/>
  <c r="BE21" i="8" s="1"/>
  <c r="BG21" i="8" s="1"/>
  <c r="AP81" i="8"/>
  <c r="AP78" i="8"/>
  <c r="AL75" i="59"/>
  <c r="AB132" i="7"/>
  <c r="AT57" i="9"/>
  <c r="AX57" i="9" s="1"/>
  <c r="AX74" i="9" s="1"/>
  <c r="AP74" i="9"/>
  <c r="AS2" i="8"/>
  <c r="AO89" i="8"/>
  <c r="AO57" i="9"/>
  <c r="AO50" i="8"/>
  <c r="AO51" i="8" s="1"/>
  <c r="AO14" i="36"/>
  <c r="AR41" i="59" s="1"/>
  <c r="AO49" i="8"/>
  <c r="AE81" i="9"/>
  <c r="AA81" i="9"/>
  <c r="J21" i="7"/>
  <c r="AA46" i="8"/>
  <c r="AD47" i="59" s="1"/>
  <c r="AB12" i="36"/>
  <c r="AE39" i="59" s="1"/>
  <c r="N71" i="7"/>
  <c r="AB71" i="7" s="1"/>
  <c r="AF71" i="7" s="1"/>
  <c r="AJ71" i="7" s="1"/>
  <c r="AJ73" i="7" s="1"/>
  <c r="N85" i="7"/>
  <c r="R85" i="7" s="1"/>
  <c r="V85" i="7" s="1"/>
  <c r="R110" i="7"/>
  <c r="V110" i="7" s="1"/>
  <c r="N109" i="7"/>
  <c r="R109" i="7" s="1"/>
  <c r="V109" i="7" s="1"/>
  <c r="R113" i="7"/>
  <c r="V113" i="7" s="1"/>
  <c r="N112" i="7"/>
  <c r="R112" i="7" s="1"/>
  <c r="V112" i="7" s="1"/>
  <c r="N106" i="7"/>
  <c r="R106" i="7" s="1"/>
  <c r="V106" i="7" s="1"/>
  <c r="R108" i="7"/>
  <c r="V108" i="7" s="1"/>
  <c r="R111" i="7"/>
  <c r="V111" i="7" s="1"/>
  <c r="R107" i="7"/>
  <c r="V107" i="7" s="1"/>
  <c r="N41" i="7"/>
  <c r="M71" i="7"/>
  <c r="AA71" i="7" s="1"/>
  <c r="AE71" i="7" s="1"/>
  <c r="AI71" i="7" s="1"/>
  <c r="AI73" i="7" s="1"/>
  <c r="Y24" i="36"/>
  <c r="AB75" i="59" s="1"/>
  <c r="J144" i="7"/>
  <c r="I35" i="59"/>
  <c r="I33" i="59"/>
  <c r="AA92" i="8"/>
  <c r="AA6" i="49"/>
  <c r="AE6" i="49" s="1"/>
  <c r="AI6" i="49" s="1"/>
  <c r="AO6" i="49" s="1"/>
  <c r="AS6" i="49" s="1"/>
  <c r="AW6" i="49" s="1"/>
  <c r="BE6" i="49" s="1"/>
  <c r="R13" i="36"/>
  <c r="U40" i="59" s="1"/>
  <c r="AA66" i="7"/>
  <c r="AE66" i="7" s="1"/>
  <c r="AA6" i="26"/>
  <c r="AE6" i="26" s="1"/>
  <c r="AI6" i="26" s="1"/>
  <c r="AO6" i="26" s="1"/>
  <c r="AS6" i="26" s="1"/>
  <c r="AW6" i="26" s="1"/>
  <c r="BE6" i="26" s="1"/>
  <c r="N2" i="7"/>
  <c r="J84" i="7"/>
  <c r="H123" i="7"/>
  <c r="J138" i="7"/>
  <c r="J1" i="7"/>
  <c r="AB74" i="8"/>
  <c r="AB71" i="8"/>
  <c r="AB70" i="8"/>
  <c r="AA16" i="8"/>
  <c r="AA45" i="8"/>
  <c r="AA44" i="8"/>
  <c r="AD48" i="59" s="1"/>
  <c r="AA47" i="8"/>
  <c r="AA43" i="8"/>
  <c r="AD46" i="59" s="1"/>
  <c r="M1" i="7"/>
  <c r="M80" i="7" s="1"/>
  <c r="I1" i="7"/>
  <c r="AA78" i="8"/>
  <c r="I29" i="59"/>
  <c r="Q50" i="7"/>
  <c r="U50" i="7" s="1"/>
  <c r="Q45" i="7"/>
  <c r="Q161" i="7" s="1"/>
  <c r="Q46" i="7"/>
  <c r="U46" i="7" s="1"/>
  <c r="Q48" i="7"/>
  <c r="U48" i="7" s="1"/>
  <c r="Q44" i="7"/>
  <c r="U44" i="7" s="1"/>
  <c r="Q43" i="7"/>
  <c r="U43" i="7" s="1"/>
  <c r="Q42" i="7"/>
  <c r="U42" i="7" s="1"/>
  <c r="M68" i="7"/>
  <c r="J71" i="7"/>
  <c r="M2" i="7"/>
  <c r="I75" i="7"/>
  <c r="I71" i="7"/>
  <c r="J75" i="7"/>
  <c r="I36" i="59"/>
  <c r="I28" i="59"/>
  <c r="J67" i="7"/>
  <c r="I67" i="7"/>
  <c r="AT81" i="8" l="1"/>
  <c r="AT89" i="8"/>
  <c r="AT88" i="8"/>
  <c r="N84" i="7"/>
  <c r="N159" i="7"/>
  <c r="M84" i="7"/>
  <c r="M159" i="7"/>
  <c r="U45" i="7"/>
  <c r="Q157" i="7"/>
  <c r="AX2" i="8"/>
  <c r="I61" i="7"/>
  <c r="I102" i="7" s="1"/>
  <c r="I34" i="7"/>
  <c r="I97" i="7" s="1"/>
  <c r="J27" i="7"/>
  <c r="J91" i="7" s="1"/>
  <c r="J34" i="7"/>
  <c r="J97" i="7" s="1"/>
  <c r="J61" i="7"/>
  <c r="J102" i="7" s="1"/>
  <c r="AS45" i="59"/>
  <c r="AI66" i="7"/>
  <c r="AO66" i="7" s="1"/>
  <c r="AS66" i="7" s="1"/>
  <c r="AN2" i="17"/>
  <c r="AN2" i="26"/>
  <c r="AO24" i="36"/>
  <c r="AR75" i="59" s="1"/>
  <c r="AB133" i="7"/>
  <c r="AD49" i="59"/>
  <c r="J146" i="7"/>
  <c r="J140" i="7"/>
  <c r="I33" i="7"/>
  <c r="I99" i="7" s="1"/>
  <c r="I30" i="7"/>
  <c r="I94" i="7" s="1"/>
  <c r="L34" i="59" s="1"/>
  <c r="I59" i="7"/>
  <c r="I62" i="7"/>
  <c r="I60" i="7"/>
  <c r="I24" i="7"/>
  <c r="I37" i="7"/>
  <c r="I103" i="7" s="1"/>
  <c r="I55" i="7"/>
  <c r="I57" i="7"/>
  <c r="I56" i="7"/>
  <c r="I96" i="7" s="1"/>
  <c r="I58" i="7"/>
  <c r="I29" i="7"/>
  <c r="I93" i="7" s="1"/>
  <c r="L33" i="59" s="1"/>
  <c r="I32" i="7"/>
  <c r="I98" i="7" s="1"/>
  <c r="I31" i="7"/>
  <c r="I95" i="7" s="1"/>
  <c r="L35" i="59" s="1"/>
  <c r="I36" i="7"/>
  <c r="I90" i="7" s="1"/>
  <c r="I54" i="7"/>
  <c r="I25" i="7"/>
  <c r="I27" i="7"/>
  <c r="I91" i="7" s="1"/>
  <c r="I26" i="7"/>
  <c r="I28" i="7"/>
  <c r="I92" i="7" s="1"/>
  <c r="J30" i="7"/>
  <c r="J94" i="7" s="1"/>
  <c r="M34" i="59" s="1"/>
  <c r="J33" i="7"/>
  <c r="J99" i="7" s="1"/>
  <c r="AS89" i="8"/>
  <c r="AW2" i="8"/>
  <c r="AW45" i="59"/>
  <c r="AT74" i="9"/>
  <c r="AE73" i="7"/>
  <c r="AO78" i="8"/>
  <c r="AS50" i="8"/>
  <c r="AS51" i="8" s="1"/>
  <c r="AS14" i="36"/>
  <c r="AV41" i="59" s="1"/>
  <c r="AS49" i="8"/>
  <c r="AF73" i="7"/>
  <c r="AO74" i="9"/>
  <c r="AS57" i="9"/>
  <c r="AW57" i="9" s="1"/>
  <c r="AW74" i="9" s="1"/>
  <c r="AO64" i="9"/>
  <c r="R41" i="7"/>
  <c r="V41" i="7" s="1"/>
  <c r="V51" i="7" s="1"/>
  <c r="AB41" i="7"/>
  <c r="AF41" i="7" s="1"/>
  <c r="AJ41" i="7" s="1"/>
  <c r="AJ51" i="7" s="1"/>
  <c r="AA52" i="8"/>
  <c r="AD42" i="59" s="1"/>
  <c r="AD44" i="59" s="1"/>
  <c r="J54" i="7"/>
  <c r="J37" i="7"/>
  <c r="J103" i="7" s="1"/>
  <c r="H124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3" i="7"/>
  <c r="Q71" i="7"/>
  <c r="U71" i="7" s="1"/>
  <c r="U73" i="7" s="1"/>
  <c r="M69" i="7"/>
  <c r="Q68" i="7"/>
  <c r="U68" i="7" s="1"/>
  <c r="U69" i="7" s="1"/>
  <c r="N73" i="7"/>
  <c r="R71" i="7"/>
  <c r="V71" i="7" s="1"/>
  <c r="V73" i="7" s="1"/>
  <c r="J24" i="7"/>
  <c r="J29" i="7"/>
  <c r="J59" i="7"/>
  <c r="J25" i="7"/>
  <c r="Q47" i="7"/>
  <c r="U47" i="7" s="1"/>
  <c r="U78" i="7" s="1"/>
  <c r="J36" i="7"/>
  <c r="J90" i="7" s="1"/>
  <c r="J23" i="7"/>
  <c r="J87" i="7" s="1"/>
  <c r="M29" i="59" s="1"/>
  <c r="J60" i="7"/>
  <c r="J32" i="7"/>
  <c r="J98" i="7" s="1"/>
  <c r="J55" i="7"/>
  <c r="J28" i="7"/>
  <c r="J92" i="7" s="1"/>
  <c r="J57" i="7"/>
  <c r="J62" i="7"/>
  <c r="J26" i="7"/>
  <c r="J31" i="7"/>
  <c r="J56" i="7"/>
  <c r="J96" i="7" s="1"/>
  <c r="N51" i="7"/>
  <c r="J58" i="7"/>
  <c r="AA24" i="36"/>
  <c r="AD75" i="59" s="1"/>
  <c r="N144" i="7"/>
  <c r="F104" i="7"/>
  <c r="AA8" i="15"/>
  <c r="AA14" i="15" s="1"/>
  <c r="AB10" i="36"/>
  <c r="AA82" i="8"/>
  <c r="AD52" i="59" s="1"/>
  <c r="I31" i="59"/>
  <c r="AB6" i="49"/>
  <c r="AF6" i="49" s="1"/>
  <c r="AJ6" i="49" s="1"/>
  <c r="AP6" i="49" s="1"/>
  <c r="AT6" i="49" s="1"/>
  <c r="AX6" i="49" s="1"/>
  <c r="BF6" i="49" s="1"/>
  <c r="AB92" i="8"/>
  <c r="AB8" i="49"/>
  <c r="AF8" i="49" s="1"/>
  <c r="AJ8" i="49" s="1"/>
  <c r="AP8" i="49" s="1"/>
  <c r="AT8" i="49" s="1"/>
  <c r="AX8" i="49" s="1"/>
  <c r="BF8" i="49" s="1"/>
  <c r="R2" i="7"/>
  <c r="R159" i="7" s="1"/>
  <c r="J123" i="7"/>
  <c r="J124" i="7" s="1"/>
  <c r="J125" i="7" s="1"/>
  <c r="N138" i="7"/>
  <c r="N123" i="7"/>
  <c r="Y104" i="7"/>
  <c r="AB67" i="7"/>
  <c r="U28" i="59"/>
  <c r="N1" i="7"/>
  <c r="N80" i="7" s="1"/>
  <c r="Z8" i="15"/>
  <c r="AB26" i="8"/>
  <c r="AB82" i="8"/>
  <c r="AE52" i="59" s="1"/>
  <c r="AB41" i="8"/>
  <c r="AB40" i="8"/>
  <c r="AB39" i="8"/>
  <c r="AB44" i="8"/>
  <c r="AE48" i="59" s="1"/>
  <c r="AB47" i="8"/>
  <c r="AB43" i="8"/>
  <c r="AE46" i="59" s="1"/>
  <c r="AB45" i="8"/>
  <c r="AA65" i="7"/>
  <c r="AE65" i="7" s="1"/>
  <c r="AI65" i="7" s="1"/>
  <c r="AI67" i="7" s="1"/>
  <c r="J112" i="7"/>
  <c r="J106" i="7"/>
  <c r="J108" i="7"/>
  <c r="J110" i="7"/>
  <c r="J111" i="7"/>
  <c r="J113" i="7"/>
  <c r="J107" i="7"/>
  <c r="J109" i="7"/>
  <c r="Q29" i="59"/>
  <c r="I32" i="59"/>
  <c r="I30" i="59"/>
  <c r="J78" i="7"/>
  <c r="J73" i="7"/>
  <c r="I68" i="7"/>
  <c r="I81" i="7"/>
  <c r="L28" i="59" s="1"/>
  <c r="I80" i="7"/>
  <c r="I76" i="7"/>
  <c r="Q2" i="7"/>
  <c r="P28" i="59"/>
  <c r="I73" i="7"/>
  <c r="U36" i="59"/>
  <c r="Q36" i="59"/>
  <c r="Q28" i="59"/>
  <c r="J80" i="7"/>
  <c r="J83" i="7"/>
  <c r="M36" i="59" s="1"/>
  <c r="J81" i="7"/>
  <c r="M28" i="59" s="1"/>
  <c r="J76" i="7"/>
  <c r="J69" i="7"/>
  <c r="J85" i="7"/>
  <c r="I6" i="7"/>
  <c r="I23" i="7" s="1"/>
  <c r="U157" i="7" l="1"/>
  <c r="U161" i="7"/>
  <c r="Q159" i="7"/>
  <c r="AX78" i="8"/>
  <c r="BF2" i="8"/>
  <c r="AX89" i="8"/>
  <c r="AX81" i="8"/>
  <c r="BA45" i="59" s="1"/>
  <c r="AX88" i="8"/>
  <c r="AI61" i="7"/>
  <c r="AI102" i="7" s="1"/>
  <c r="AI34" i="7"/>
  <c r="AI97" i="7" s="1"/>
  <c r="AI33" i="7"/>
  <c r="AI99" i="7" s="1"/>
  <c r="AB61" i="7"/>
  <c r="AB102" i="7" s="1"/>
  <c r="AB34" i="7"/>
  <c r="AB97" i="7" s="1"/>
  <c r="AW66" i="7"/>
  <c r="AI81" i="7"/>
  <c r="AI76" i="7"/>
  <c r="AI78" i="7"/>
  <c r="AI37" i="7"/>
  <c r="AI103" i="7" s="1"/>
  <c r="AI36" i="7"/>
  <c r="AI80" i="7"/>
  <c r="AI83" i="7"/>
  <c r="I89" i="7"/>
  <c r="L31" i="59" s="1"/>
  <c r="N146" i="7"/>
  <c r="N124" i="7"/>
  <c r="N140" i="7"/>
  <c r="AR2" i="17"/>
  <c r="AR2" i="26"/>
  <c r="AW50" i="8"/>
  <c r="AW49" i="8"/>
  <c r="AW89" i="8"/>
  <c r="AW24" i="36"/>
  <c r="AZ75" i="59" s="1"/>
  <c r="AS24" i="36"/>
  <c r="AV75" i="59" s="1"/>
  <c r="I101" i="7"/>
  <c r="L32" i="59" s="1"/>
  <c r="I87" i="7"/>
  <c r="L29" i="59" s="1"/>
  <c r="I38" i="7"/>
  <c r="I53" i="7" s="1"/>
  <c r="I63" i="7" s="1"/>
  <c r="H125" i="7"/>
  <c r="I88" i="7"/>
  <c r="L30" i="59" s="1"/>
  <c r="J141" i="7"/>
  <c r="J147" i="7"/>
  <c r="AE49" i="59"/>
  <c r="AB110" i="7"/>
  <c r="AF110" i="7" s="1"/>
  <c r="AB33" i="7"/>
  <c r="AB99" i="7" s="1"/>
  <c r="BE2" i="8"/>
  <c r="BF57" i="9"/>
  <c r="AS74" i="9"/>
  <c r="AS78" i="8"/>
  <c r="AW14" i="36"/>
  <c r="AZ41" i="59" s="1"/>
  <c r="AO81" i="9"/>
  <c r="AS64" i="9"/>
  <c r="AW64" i="9" s="1"/>
  <c r="AW81" i="9" s="1"/>
  <c r="J88" i="7"/>
  <c r="M30" i="59" s="1"/>
  <c r="AP71" i="7"/>
  <c r="AE67" i="7"/>
  <c r="AF51" i="7"/>
  <c r="AO71" i="7"/>
  <c r="R51" i="7"/>
  <c r="AB113" i="7"/>
  <c r="AF113" i="7" s="1"/>
  <c r="AB109" i="7"/>
  <c r="AF109" i="7" s="1"/>
  <c r="AB76" i="7"/>
  <c r="AB57" i="7"/>
  <c r="AB62" i="7"/>
  <c r="AB108" i="7"/>
  <c r="AF108" i="7" s="1"/>
  <c r="AB112" i="7"/>
  <c r="AF112" i="7" s="1"/>
  <c r="AB106" i="7"/>
  <c r="AF106" i="7" s="1"/>
  <c r="AB58" i="7"/>
  <c r="AB60" i="7"/>
  <c r="AB111" i="7"/>
  <c r="AF111" i="7" s="1"/>
  <c r="AB107" i="7"/>
  <c r="AF107" i="7" s="1"/>
  <c r="AB85" i="7"/>
  <c r="AF85" i="7" s="1"/>
  <c r="AB55" i="7"/>
  <c r="AB59" i="7"/>
  <c r="AB56" i="7"/>
  <c r="AB30" i="7"/>
  <c r="AB94" i="7" s="1"/>
  <c r="AE34" i="59" s="1"/>
  <c r="AB37" i="7"/>
  <c r="AB103" i="7" s="1"/>
  <c r="AB27" i="7"/>
  <c r="AB91" i="7" s="1"/>
  <c r="J89" i="7"/>
  <c r="M31" i="59" s="1"/>
  <c r="J95" i="7"/>
  <c r="M35" i="59" s="1"/>
  <c r="J101" i="7"/>
  <c r="M32" i="59" s="1"/>
  <c r="J93" i="7"/>
  <c r="M33" i="59" s="1"/>
  <c r="H126" i="7"/>
  <c r="J38" i="7"/>
  <c r="J53" i="7" s="1"/>
  <c r="I21" i="7"/>
  <c r="R73" i="7"/>
  <c r="Q78" i="7"/>
  <c r="Q69" i="7"/>
  <c r="V2" i="7"/>
  <c r="R84" i="7"/>
  <c r="Q73" i="7"/>
  <c r="U2" i="7"/>
  <c r="U159" i="7" s="1"/>
  <c r="M51" i="7"/>
  <c r="Q41" i="7"/>
  <c r="U41" i="7" s="1"/>
  <c r="U51" i="7" s="1"/>
  <c r="R77" i="7"/>
  <c r="R63" i="7"/>
  <c r="M78" i="7"/>
  <c r="N63" i="7"/>
  <c r="AB32" i="7"/>
  <c r="AB98" i="7" s="1"/>
  <c r="AB28" i="7"/>
  <c r="AB92" i="7" s="1"/>
  <c r="Q1" i="7"/>
  <c r="Q80" i="7" s="1"/>
  <c r="U31" i="59"/>
  <c r="Q31" i="59"/>
  <c r="AB13" i="36"/>
  <c r="AE40" i="59" s="1"/>
  <c r="AE37" i="59"/>
  <c r="U29" i="59"/>
  <c r="AB23" i="7"/>
  <c r="J126" i="7"/>
  <c r="J127" i="7" s="1"/>
  <c r="R138" i="7"/>
  <c r="R140" i="7" s="1"/>
  <c r="R141" i="7" s="1"/>
  <c r="R144" i="7"/>
  <c r="R146" i="7" s="1"/>
  <c r="R147" i="7" s="1"/>
  <c r="I69" i="7"/>
  <c r="AB69" i="7"/>
  <c r="AB83" i="7"/>
  <c r="AE36" i="59" s="1"/>
  <c r="AA67" i="7"/>
  <c r="AA37" i="7" s="1"/>
  <c r="R123" i="7"/>
  <c r="R124" i="7" s="1"/>
  <c r="Z104" i="7"/>
  <c r="R1" i="7"/>
  <c r="R80" i="7" s="1"/>
  <c r="AB42" i="8"/>
  <c r="U1" i="7"/>
  <c r="U80" i="7" s="1"/>
  <c r="Q30" i="59"/>
  <c r="Q32" i="59"/>
  <c r="T28" i="59"/>
  <c r="I78" i="7"/>
  <c r="AW78" i="8" l="1"/>
  <c r="AW51" i="8"/>
  <c r="BF81" i="8"/>
  <c r="BI45" i="59" s="1"/>
  <c r="BF74" i="9"/>
  <c r="BL74" i="9"/>
  <c r="BS74" i="9" s="1"/>
  <c r="V84" i="7"/>
  <c r="V159" i="7"/>
  <c r="BF88" i="8"/>
  <c r="BF78" i="8"/>
  <c r="BF89" i="8"/>
  <c r="BE66" i="7"/>
  <c r="BG66" i="7" s="1"/>
  <c r="AA34" i="7"/>
  <c r="AA97" i="7" s="1"/>
  <c r="AA33" i="7"/>
  <c r="AA99" i="7" s="1"/>
  <c r="AE61" i="7"/>
  <c r="AE102" i="7" s="1"/>
  <c r="AE34" i="7"/>
  <c r="AE97" i="7" s="1"/>
  <c r="AE33" i="7"/>
  <c r="AE99" i="7" s="1"/>
  <c r="AA103" i="7"/>
  <c r="AA61" i="7"/>
  <c r="AA102" i="7" s="1"/>
  <c r="AI90" i="7"/>
  <c r="AI104" i="7" s="1"/>
  <c r="AI38" i="7"/>
  <c r="AI53" i="7" s="1"/>
  <c r="BE14" i="36"/>
  <c r="N125" i="7"/>
  <c r="N126" i="7"/>
  <c r="N127" i="7" s="1"/>
  <c r="AJ111" i="7"/>
  <c r="AP111" i="7" s="1"/>
  <c r="AT111" i="7" s="1"/>
  <c r="AE36" i="7"/>
  <c r="AE90" i="7" s="1"/>
  <c r="AE37" i="7"/>
  <c r="AE103" i="7" s="1"/>
  <c r="AJ106" i="7"/>
  <c r="AP106" i="7" s="1"/>
  <c r="AT106" i="7" s="1"/>
  <c r="AJ109" i="7"/>
  <c r="AP109" i="7" s="1"/>
  <c r="AT109" i="7" s="1"/>
  <c r="AJ110" i="7"/>
  <c r="AP110" i="7" s="1"/>
  <c r="AT110" i="7" s="1"/>
  <c r="AJ85" i="7"/>
  <c r="AP85" i="7" s="1"/>
  <c r="AT85" i="7" s="1"/>
  <c r="AJ112" i="7"/>
  <c r="AP112" i="7" s="1"/>
  <c r="AT112" i="7" s="1"/>
  <c r="AJ113" i="7"/>
  <c r="AP113" i="7" s="1"/>
  <c r="AT113" i="7" s="1"/>
  <c r="AJ107" i="7"/>
  <c r="AP107" i="7" s="1"/>
  <c r="AT107" i="7" s="1"/>
  <c r="AJ108" i="7"/>
  <c r="AP108" i="7" s="1"/>
  <c r="AT108" i="7" s="1"/>
  <c r="N141" i="7"/>
  <c r="N147" i="7"/>
  <c r="AV2" i="17"/>
  <c r="AV2" i="26"/>
  <c r="AA76" i="7"/>
  <c r="AA36" i="7"/>
  <c r="BE89" i="8"/>
  <c r="BE57" i="9"/>
  <c r="BE50" i="8"/>
  <c r="BE49" i="8"/>
  <c r="AS81" i="9"/>
  <c r="AT71" i="7"/>
  <c r="AX71" i="7" s="1"/>
  <c r="AX73" i="7" s="1"/>
  <c r="AP73" i="7"/>
  <c r="AE81" i="7"/>
  <c r="AH28" i="59" s="1"/>
  <c r="AE80" i="7"/>
  <c r="AE76" i="7"/>
  <c r="AE78" i="7"/>
  <c r="AE83" i="7"/>
  <c r="AH36" i="59" s="1"/>
  <c r="AS71" i="7"/>
  <c r="AW71" i="7" s="1"/>
  <c r="AW73" i="7" s="1"/>
  <c r="AO73" i="7"/>
  <c r="AO65" i="7"/>
  <c r="AP41" i="7"/>
  <c r="H127" i="7"/>
  <c r="AB21" i="7"/>
  <c r="J104" i="7"/>
  <c r="AA2" i="7"/>
  <c r="AB2" i="7"/>
  <c r="AB159" i="7" s="1"/>
  <c r="Q51" i="7"/>
  <c r="AB138" i="7"/>
  <c r="U30" i="59"/>
  <c r="AA81" i="7"/>
  <c r="AD28" i="59" s="1"/>
  <c r="AA98" i="7"/>
  <c r="AA92" i="7"/>
  <c r="J128" i="7"/>
  <c r="U32" i="59"/>
  <c r="AB54" i="7"/>
  <c r="V1" i="7"/>
  <c r="V80" i="7" s="1"/>
  <c r="R126" i="7"/>
  <c r="R127" i="7" s="1"/>
  <c r="R125" i="7"/>
  <c r="AB78" i="7"/>
  <c r="AB96" i="7"/>
  <c r="AA1" i="7"/>
  <c r="AA80" i="7" s="1"/>
  <c r="AA75" i="7"/>
  <c r="BK49" i="8" l="1"/>
  <c r="BE51" i="8"/>
  <c r="BE74" i="9"/>
  <c r="BK74" i="9"/>
  <c r="BR74" i="9" s="1"/>
  <c r="BH41" i="59"/>
  <c r="AA38" i="7"/>
  <c r="AA53" i="7" s="1"/>
  <c r="AA63" i="7" s="1"/>
  <c r="AE2" i="7"/>
  <c r="AA159" i="7"/>
  <c r="AE104" i="7"/>
  <c r="AE38" i="7"/>
  <c r="AE53" i="7" s="1"/>
  <c r="AE63" i="7" s="1"/>
  <c r="AI77" i="7"/>
  <c r="AI63" i="7"/>
  <c r="AX110" i="7"/>
  <c r="BF110" i="7" s="1"/>
  <c r="AX106" i="7"/>
  <c r="BF106" i="7" s="1"/>
  <c r="AX108" i="7"/>
  <c r="BF108" i="7" s="1"/>
  <c r="AX113" i="7"/>
  <c r="BF113" i="7" s="1"/>
  <c r="AX107" i="7"/>
  <c r="BF107" i="7" s="1"/>
  <c r="AX112" i="7"/>
  <c r="BF112" i="7" s="1"/>
  <c r="AX109" i="7"/>
  <c r="BF109" i="7" s="1"/>
  <c r="AX85" i="7"/>
  <c r="BF85" i="7" s="1"/>
  <c r="AX111" i="7"/>
  <c r="BF111" i="7" s="1"/>
  <c r="N128" i="7"/>
  <c r="N135" i="7" s="1"/>
  <c r="BE78" i="8"/>
  <c r="BD2" i="26"/>
  <c r="BD2" i="17"/>
  <c r="AB140" i="7"/>
  <c r="AS73" i="7"/>
  <c r="AT73" i="7"/>
  <c r="BE64" i="9"/>
  <c r="BE81" i="9" s="1"/>
  <c r="AB84" i="7"/>
  <c r="AF2" i="7"/>
  <c r="AF159" i="7" s="1"/>
  <c r="AS65" i="7"/>
  <c r="AW65" i="7" s="1"/>
  <c r="AO67" i="7"/>
  <c r="AT41" i="7"/>
  <c r="AX41" i="7" s="1"/>
  <c r="AP51" i="7"/>
  <c r="AL28" i="59"/>
  <c r="AL36" i="59"/>
  <c r="H128" i="7"/>
  <c r="AA21" i="7"/>
  <c r="AA73" i="7"/>
  <c r="AB73" i="7"/>
  <c r="AB26" i="7"/>
  <c r="AB101" i="7" s="1"/>
  <c r="AE32" i="59" s="1"/>
  <c r="AB25" i="7"/>
  <c r="AB89" i="7" s="1"/>
  <c r="AE31" i="59" s="1"/>
  <c r="AB24" i="7"/>
  <c r="AB88" i="7" s="1"/>
  <c r="AE30" i="59" s="1"/>
  <c r="AB29" i="7"/>
  <c r="AB93" i="7" s="1"/>
  <c r="AE33" i="59" s="1"/>
  <c r="AB31" i="7"/>
  <c r="AB95" i="7" s="1"/>
  <c r="AE35" i="59" s="1"/>
  <c r="AB36" i="7"/>
  <c r="AB90" i="7" s="1"/>
  <c r="J135" i="7"/>
  <c r="R128" i="7"/>
  <c r="AB144" i="7"/>
  <c r="AB123" i="7"/>
  <c r="AB81" i="7"/>
  <c r="AE28" i="59" s="1"/>
  <c r="AB1" i="7"/>
  <c r="AB80" i="7" s="1"/>
  <c r="AB75" i="7"/>
  <c r="T29" i="59"/>
  <c r="AI2" i="7" l="1"/>
  <c r="AE159" i="7"/>
  <c r="AX51" i="7"/>
  <c r="AW67" i="7"/>
  <c r="AW61" i="7" s="1"/>
  <c r="AW102" i="7" s="1"/>
  <c r="AO61" i="7"/>
  <c r="AO102" i="7" s="1"/>
  <c r="AO34" i="7"/>
  <c r="AO97" i="7" s="1"/>
  <c r="AO33" i="7"/>
  <c r="AO99" i="7" s="1"/>
  <c r="AO37" i="7"/>
  <c r="AO103" i="7" s="1"/>
  <c r="AO36" i="7"/>
  <c r="AO90" i="7" s="1"/>
  <c r="AE77" i="7"/>
  <c r="AW36" i="7"/>
  <c r="AB124" i="7"/>
  <c r="AB126" i="7" s="1"/>
  <c r="AB146" i="7"/>
  <c r="AB141" i="7"/>
  <c r="BF71" i="7"/>
  <c r="BE71" i="7"/>
  <c r="AS67" i="7"/>
  <c r="AT51" i="7"/>
  <c r="AO80" i="7"/>
  <c r="AO76" i="7"/>
  <c r="AO81" i="7"/>
  <c r="AR28" i="59" s="1"/>
  <c r="AO78" i="7"/>
  <c r="AO83" i="7"/>
  <c r="AR36" i="59" s="1"/>
  <c r="AJ2" i="7"/>
  <c r="AF84" i="7"/>
  <c r="H135" i="7"/>
  <c r="AB38" i="7"/>
  <c r="AB53" i="7" s="1"/>
  <c r="T30" i="59"/>
  <c r="T32" i="59"/>
  <c r="T31" i="59"/>
  <c r="AA68" i="7"/>
  <c r="AE68" i="7" s="1"/>
  <c r="AI68" i="7" s="1"/>
  <c r="AI69" i="7" s="1"/>
  <c r="R135" i="7"/>
  <c r="AB87" i="7"/>
  <c r="AE29" i="59" s="1"/>
  <c r="AW78" i="7" l="1"/>
  <c r="BE73" i="7"/>
  <c r="BG71" i="7"/>
  <c r="BF73" i="7"/>
  <c r="BH71" i="7"/>
  <c r="AW83" i="7"/>
  <c r="AW80" i="7"/>
  <c r="AJ84" i="7"/>
  <c r="AJ159" i="7"/>
  <c r="AW37" i="7"/>
  <c r="AW103" i="7" s="1"/>
  <c r="AW81" i="7"/>
  <c r="AO2" i="7"/>
  <c r="AI159" i="7"/>
  <c r="AW34" i="7"/>
  <c r="AW97" i="7" s="1"/>
  <c r="AW33" i="7"/>
  <c r="AW99" i="7" s="1"/>
  <c r="AW76" i="7"/>
  <c r="AS34" i="7"/>
  <c r="AS97" i="7" s="1"/>
  <c r="AS33" i="7"/>
  <c r="AS99" i="7" s="1"/>
  <c r="AS37" i="7"/>
  <c r="AS103" i="7" s="1"/>
  <c r="AS61" i="7"/>
  <c r="AS102" i="7" s="1"/>
  <c r="AO38" i="7"/>
  <c r="AO53" i="7" s="1"/>
  <c r="AO63" i="7" s="1"/>
  <c r="AB125" i="7"/>
  <c r="AW90" i="7"/>
  <c r="AO104" i="7"/>
  <c r="AB147" i="7"/>
  <c r="AB127" i="7"/>
  <c r="AS80" i="7"/>
  <c r="AS36" i="7"/>
  <c r="AS81" i="7"/>
  <c r="AV28" i="59" s="1"/>
  <c r="AS78" i="7"/>
  <c r="AS76" i="7"/>
  <c r="AS83" i="7"/>
  <c r="AV36" i="59" s="1"/>
  <c r="BE65" i="7"/>
  <c r="BF41" i="7"/>
  <c r="BH41" i="7" s="1"/>
  <c r="AE69" i="7"/>
  <c r="AP2" i="7"/>
  <c r="AP159" i="7" s="1"/>
  <c r="AB104" i="7"/>
  <c r="M115" i="6"/>
  <c r="AA69" i="7"/>
  <c r="AA93" i="7"/>
  <c r="AD33" i="59" s="1"/>
  <c r="AA90" i="7"/>
  <c r="AA78" i="7"/>
  <c r="AA95" i="7"/>
  <c r="AD35" i="59" s="1"/>
  <c r="J87" i="6"/>
  <c r="BE67" i="7" l="1"/>
  <c r="BG65" i="7"/>
  <c r="AW38" i="7"/>
  <c r="AW53" i="7" s="1"/>
  <c r="AW63" i="7" s="1"/>
  <c r="AW104" i="7"/>
  <c r="BE61" i="7"/>
  <c r="BE102" i="7" s="1"/>
  <c r="BE34" i="7"/>
  <c r="BE97" i="7" s="1"/>
  <c r="BE33" i="7"/>
  <c r="BE99" i="7" s="1"/>
  <c r="AS2" i="7"/>
  <c r="AO159" i="7"/>
  <c r="AB128" i="7"/>
  <c r="AB135" i="7" s="1"/>
  <c r="AO77" i="7"/>
  <c r="AW77" i="7"/>
  <c r="BE36" i="7"/>
  <c r="BE90" i="7" s="1"/>
  <c r="BE37" i="7"/>
  <c r="BE103" i="7" s="1"/>
  <c r="AS90" i="7"/>
  <c r="AS104" i="7" s="1"/>
  <c r="AS38" i="7"/>
  <c r="AS53" i="7" s="1"/>
  <c r="BE80" i="7"/>
  <c r="BE76" i="7"/>
  <c r="BE81" i="7"/>
  <c r="BH28" i="59" s="1"/>
  <c r="BE78" i="7"/>
  <c r="BG78" i="7" s="1"/>
  <c r="BE83" i="7"/>
  <c r="BH36" i="59" s="1"/>
  <c r="AZ28" i="59"/>
  <c r="AZ36" i="59"/>
  <c r="BF51" i="7"/>
  <c r="BH51" i="7" s="1"/>
  <c r="AT2" i="7"/>
  <c r="AT159" i="7" s="1"/>
  <c r="AP84" i="7"/>
  <c r="AO68" i="7"/>
  <c r="M121" i="6"/>
  <c r="AA101" i="7"/>
  <c r="AD32" i="59" s="1"/>
  <c r="BF13" i="36"/>
  <c r="AA88" i="7"/>
  <c r="AD30" i="59" s="1"/>
  <c r="AA89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7" i="7"/>
  <c r="AD29" i="59" s="1"/>
  <c r="J86" i="6"/>
  <c r="J88" i="6"/>
  <c r="I70" i="6"/>
  <c r="I88" i="6"/>
  <c r="I87" i="6"/>
  <c r="I86" i="6"/>
  <c r="I76" i="6"/>
  <c r="I75" i="6"/>
  <c r="I74" i="6"/>
  <c r="I73" i="6"/>
  <c r="I72" i="6"/>
  <c r="BI40" i="59" l="1"/>
  <c r="BE35" i="7"/>
  <c r="BE100" i="7" s="1"/>
  <c r="BG67" i="7"/>
  <c r="AW2" i="7"/>
  <c r="AS159" i="7"/>
  <c r="BE104" i="7"/>
  <c r="BE38" i="7"/>
  <c r="BE53" i="7" s="1"/>
  <c r="BE77" i="7" s="1"/>
  <c r="AS63" i="7"/>
  <c r="AS77" i="7"/>
  <c r="AT84" i="7"/>
  <c r="AX2" i="7"/>
  <c r="AS68" i="7"/>
  <c r="AW68" i="7" s="1"/>
  <c r="AO69" i="7"/>
  <c r="M143" i="6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AX84" i="7" l="1"/>
  <c r="AX159" i="7"/>
  <c r="BE2" i="7"/>
  <c r="AW159" i="7"/>
  <c r="AW69" i="7"/>
  <c r="M205" i="6"/>
  <c r="M206" i="6"/>
  <c r="BE63" i="7"/>
  <c r="BF2" i="7"/>
  <c r="BF84" i="7" s="1"/>
  <c r="M212" i="6"/>
  <c r="M173" i="6"/>
  <c r="M174" i="6" s="1"/>
  <c r="M211" i="6"/>
  <c r="M175" i="6"/>
  <c r="AS69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8" i="7" l="1"/>
  <c r="N125" i="6"/>
  <c r="N173" i="6" s="1"/>
  <c r="Q22" i="59" s="1"/>
  <c r="AB121" i="6"/>
  <c r="N143" i="6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BE69" i="7" l="1"/>
  <c r="BG68" i="7"/>
  <c r="N205" i="6"/>
  <c r="N206" i="6"/>
  <c r="I12" i="6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5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AA206" i="6" s="1"/>
  <c r="V15" i="36"/>
  <c r="V75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B150" i="6"/>
  <c r="AB14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AA208" i="6" l="1"/>
  <c r="AA210" i="6"/>
  <c r="AA205" i="6"/>
  <c r="AA213" i="6"/>
  <c r="AA216" i="6"/>
  <c r="AA219" i="6" s="1"/>
  <c r="AA203" i="6"/>
  <c r="AA207" i="6"/>
  <c r="AA211" i="6"/>
  <c r="AA204" i="6"/>
  <c r="V61" i="6"/>
  <c r="Y23" i="59" s="1"/>
  <c r="AA212" i="6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B175" i="6"/>
  <c r="AB172" i="6"/>
  <c r="AB143" i="6"/>
  <c r="AB206" i="6" s="1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A209" i="6" l="1"/>
  <c r="AA214" i="6"/>
  <c r="AB212" i="6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15" i="6" l="1"/>
  <c r="AA220" i="6" s="1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Z23" i="59" s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520" i="28"/>
  <c r="I521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3" i="6"/>
  <c r="BF13" i="6"/>
  <c r="BF12" i="6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BE16" i="6" l="1"/>
  <c r="BE223" i="6"/>
  <c r="BE15" i="6"/>
  <c r="BE222" i="6"/>
  <c r="BF15" i="6"/>
  <c r="BF222" i="6"/>
  <c r="BF16" i="6"/>
  <c r="BF223" i="6"/>
  <c r="AO28" i="2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71" i="11"/>
  <c r="AX20" i="21" l="1"/>
  <c r="BF15" i="21"/>
  <c r="BF20" i="21" s="1"/>
  <c r="J102" i="9"/>
  <c r="J89" i="9"/>
  <c r="J90" i="9"/>
  <c r="J33" i="22"/>
  <c r="I132" i="26"/>
  <c r="J94" i="9"/>
  <c r="I19" i="15" s="1"/>
  <c r="J96" i="9"/>
  <c r="J100" i="9"/>
  <c r="J104" i="9"/>
  <c r="M59" i="59" s="1"/>
  <c r="J188" i="6"/>
  <c r="N96" i="9" l="1"/>
  <c r="N100" i="9"/>
  <c r="M19" i="15"/>
  <c r="N90" i="9"/>
  <c r="N89" i="9"/>
  <c r="J190" i="6"/>
  <c r="J85" i="8"/>
  <c r="J87" i="8" s="1"/>
  <c r="Q75" i="59" l="1"/>
  <c r="N190" i="6"/>
  <c r="Z164" i="6"/>
  <c r="J86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6" i="8"/>
  <c r="AX190" i="6" l="1"/>
  <c r="BF190" i="6" s="1"/>
  <c r="AX24" i="36"/>
  <c r="BA75" i="59" s="1"/>
  <c r="BF24" i="36"/>
  <c r="BI75" i="59" s="1"/>
  <c r="AT24" i="36"/>
  <c r="AW75" i="59" s="1"/>
  <c r="AB33" i="22"/>
  <c r="AB96" i="9"/>
  <c r="AB94" i="9"/>
  <c r="AA19" i="15" s="1"/>
  <c r="AB100" i="9"/>
  <c r="AB89" i="9"/>
  <c r="AB90" i="9"/>
  <c r="AB87" i="8" l="1"/>
  <c r="AB86" i="8"/>
  <c r="AF87" i="8" l="1"/>
  <c r="Z24" i="36"/>
  <c r="AC75" i="59" s="1"/>
  <c r="J28" i="6"/>
  <c r="AJ87" i="8" l="1"/>
  <c r="AP87" i="8" s="1"/>
  <c r="AT87" i="8" s="1"/>
  <c r="AB24" i="36"/>
  <c r="J29" i="6"/>
  <c r="J31" i="6"/>
  <c r="J25" i="6"/>
  <c r="AX87" i="8" l="1"/>
  <c r="BF87" i="8" s="1"/>
  <c r="AE75" i="59"/>
  <c r="N29" i="6"/>
  <c r="J32" i="6"/>
  <c r="J26" i="6"/>
  <c r="N26" i="6" l="1"/>
  <c r="N32" i="6"/>
  <c r="AB29" i="6" l="1"/>
  <c r="J65" i="8"/>
  <c r="J20" i="49" s="1"/>
  <c r="J34" i="8"/>
  <c r="J72" i="8" l="1"/>
  <c r="J15" i="36"/>
  <c r="M53" i="59" s="1"/>
  <c r="AB32" i="6"/>
  <c r="AB26" i="6"/>
  <c r="J75" i="8" l="1"/>
  <c r="N72" i="8"/>
  <c r="N15" i="36"/>
  <c r="Q53" i="59" s="1"/>
  <c r="J19" i="21"/>
  <c r="N75" i="8" l="1"/>
  <c r="J16" i="21"/>
  <c r="AB10" i="49" l="1"/>
  <c r="AB72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4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AB12" i="21"/>
  <c r="AJ25" i="21" l="1"/>
  <c r="AT22" i="21"/>
  <c r="AP24" i="21"/>
  <c r="AP25" i="21" s="1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70" i="10" l="1"/>
  <c r="I116" i="17"/>
  <c r="I118" i="17" s="1"/>
  <c r="I117" i="17"/>
  <c r="J24" i="36" l="1"/>
  <c r="M75" i="59" s="1"/>
  <c r="J7" i="6"/>
  <c r="J16" i="6"/>
  <c r="J15" i="6"/>
  <c r="I115" i="17"/>
  <c r="I119" i="17" s="1"/>
  <c r="J41" i="7"/>
  <c r="J63" i="7" s="1"/>
  <c r="J18" i="6"/>
  <c r="J17" i="6"/>
  <c r="J79" i="6" l="1"/>
  <c r="J82" i="6"/>
  <c r="J85" i="6"/>
  <c r="AP79" i="6"/>
  <c r="AT79" i="6" s="1"/>
  <c r="AX79" i="6" s="1"/>
  <c r="AF85" i="6"/>
  <c r="AP82" i="6"/>
  <c r="AT82" i="6" s="1"/>
  <c r="AX82" i="6" s="1"/>
  <c r="J83" i="6"/>
  <c r="J80" i="6"/>
  <c r="AP83" i="6"/>
  <c r="AT83" i="6" s="1"/>
  <c r="AX83" i="6" s="1"/>
  <c r="AP80" i="6"/>
  <c r="AT80" i="6" s="1"/>
  <c r="AX80" i="6" s="1"/>
  <c r="J168" i="6"/>
  <c r="J169" i="6"/>
  <c r="J195" i="6"/>
  <c r="J77" i="7"/>
  <c r="N7" i="6"/>
  <c r="N16" i="6"/>
  <c r="N15" i="6"/>
  <c r="J51" i="7"/>
  <c r="J194" i="6"/>
  <c r="J189" i="6"/>
  <c r="J19" i="6"/>
  <c r="AJ85" i="6" l="1"/>
  <c r="AP85" i="6" s="1"/>
  <c r="AT85" i="6" s="1"/>
  <c r="AX85" i="6" s="1"/>
  <c r="BF85" i="6" s="1"/>
  <c r="BF82" i="6"/>
  <c r="BF80" i="6"/>
  <c r="BF79" i="6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R84" i="6" s="1"/>
  <c r="V84" i="6" s="1"/>
  <c r="N81" i="6"/>
  <c r="R81" i="6" s="1"/>
  <c r="V81" i="6" s="1"/>
  <c r="U53" i="59"/>
  <c r="R75" i="8"/>
  <c r="N39" i="6"/>
  <c r="N40" i="6"/>
  <c r="N37" i="6"/>
  <c r="N38" i="6"/>
  <c r="J41" i="6"/>
  <c r="N41" i="6" l="1"/>
  <c r="AB195" i="6" l="1"/>
  <c r="AF195" i="6" s="1"/>
  <c r="AJ195" i="6" s="1"/>
  <c r="AP195" i="6" s="1"/>
  <c r="AT195" i="6" s="1"/>
  <c r="AF169" i="6"/>
  <c r="AB189" i="6"/>
  <c r="AB194" i="6"/>
  <c r="AB77" i="7"/>
  <c r="AB168" i="6"/>
  <c r="AB19" i="6"/>
  <c r="AB51" i="7"/>
  <c r="AJ169" i="6" l="1"/>
  <c r="AX195" i="6"/>
  <c r="BF195" i="6" s="1"/>
  <c r="AB81" i="6"/>
  <c r="AB84" i="6"/>
  <c r="AB39" i="6"/>
  <c r="AB63" i="7"/>
  <c r="AB40" i="6"/>
  <c r="AB38" i="6"/>
  <c r="AP169" i="6" l="1"/>
  <c r="AT169" i="6" s="1"/>
  <c r="AX169" i="6" s="1"/>
  <c r="BF169" i="6" s="1"/>
  <c r="AF84" i="6"/>
  <c r="AJ84" i="6" s="1"/>
  <c r="AP84" i="6" s="1"/>
  <c r="AT84" i="6" s="1"/>
  <c r="AX84" i="6" s="1"/>
  <c r="AF81" i="6"/>
  <c r="AJ81" i="6" s="1"/>
  <c r="AP81" i="6" s="1"/>
  <c r="AT81" i="6" s="1"/>
  <c r="AX81" i="6" s="1"/>
  <c r="BF81" i="6" s="1"/>
  <c r="I104" i="7"/>
  <c r="BF84" i="6" l="1"/>
  <c r="I41" i="7"/>
  <c r="I51" i="7" s="1"/>
  <c r="I77" i="7" l="1"/>
  <c r="AA104" i="7" l="1"/>
  <c r="AA77" i="7" l="1"/>
  <c r="I82" i="7"/>
  <c r="I83" i="7" s="1"/>
  <c r="L36" i="59" s="1"/>
  <c r="P36" i="59" l="1"/>
  <c r="T36" i="59" l="1"/>
  <c r="AA83" i="7" l="1"/>
  <c r="AD36" i="59" s="1"/>
  <c r="Q165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87" i="17"/>
  <c r="AE90" i="9"/>
  <c r="AE91" i="9" s="1"/>
  <c r="AA90" i="9"/>
  <c r="AA91" i="9" s="1"/>
  <c r="M29" i="6"/>
  <c r="M26" i="6"/>
  <c r="I23" i="6"/>
  <c r="I33" i="6"/>
  <c r="I32" i="6"/>
  <c r="BE96" i="26" l="1"/>
  <c r="BE88" i="17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T18" i="59"/>
  <c r="T19" i="59"/>
  <c r="M41" i="6"/>
  <c r="T17" i="59"/>
  <c r="Y23" i="6"/>
  <c r="M35" i="6"/>
  <c r="Y32" i="6"/>
  <c r="T20" i="59"/>
  <c r="AW90" i="9" l="1"/>
  <c r="AW91" i="9" s="1"/>
  <c r="AS90" i="9"/>
  <c r="AS91" i="9" s="1"/>
  <c r="AD24" i="59"/>
  <c r="AD27" i="59"/>
  <c r="AD26" i="59"/>
  <c r="AD25" i="59"/>
  <c r="AA26" i="6"/>
  <c r="AA29" i="6"/>
  <c r="Y41" i="6"/>
  <c r="Y35" i="6"/>
  <c r="BE19" i="9" l="1"/>
  <c r="AA32" i="6"/>
  <c r="AA23" i="6"/>
  <c r="AD18" i="59"/>
  <c r="AD19" i="59"/>
  <c r="AD20" i="59"/>
  <c r="AD17" i="59"/>
  <c r="BE90" i="9" l="1"/>
  <c r="BE91" i="9" s="1"/>
  <c r="BK90" i="9"/>
  <c r="BK91" i="9" s="1"/>
  <c r="Y11" i="36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E39" i="8"/>
  <c r="E23" i="8" s="1"/>
  <c r="E25" i="8"/>
  <c r="M24" i="8" l="1"/>
  <c r="AA24" i="8" s="1"/>
  <c r="AE24" i="8" s="1"/>
  <c r="M23" i="8"/>
  <c r="Q23" i="8" s="1"/>
  <c r="AI24" i="8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E9" i="49"/>
  <c r="I9" i="49" s="1"/>
  <c r="E8" i="49"/>
  <c r="I8" i="49" s="1"/>
  <c r="E65" i="8"/>
  <c r="I25" i="8"/>
  <c r="I24" i="8"/>
  <c r="Y39" i="8"/>
  <c r="Y42" i="8" s="1"/>
  <c r="Y26" i="8"/>
  <c r="Y65" i="8"/>
  <c r="Y10" i="49" s="1"/>
  <c r="E42" i="8"/>
  <c r="E26" i="8"/>
  <c r="I23" i="8"/>
  <c r="M65" i="8" l="1"/>
  <c r="M8" i="49"/>
  <c r="Q8" i="49" s="1"/>
  <c r="U8" i="49" s="1"/>
  <c r="AI40" i="8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5" i="8"/>
  <c r="AE65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5" i="8"/>
  <c r="U65" i="8" s="1"/>
  <c r="M10" i="49"/>
  <c r="Q10" i="49" s="1"/>
  <c r="U10" i="49" s="1"/>
  <c r="E10" i="49"/>
  <c r="I40" i="8"/>
  <c r="I41" i="8"/>
  <c r="AB40" i="59"/>
  <c r="Y72" i="8"/>
  <c r="I11" i="36"/>
  <c r="L38" i="59" s="1"/>
  <c r="I10" i="36"/>
  <c r="L37" i="59" s="1"/>
  <c r="I12" i="36"/>
  <c r="L39" i="59" s="1"/>
  <c r="I65" i="8"/>
  <c r="E34" i="8"/>
  <c r="I26" i="8"/>
  <c r="I39" i="8"/>
  <c r="M34" i="8" l="1"/>
  <c r="AA34" i="8" s="1"/>
  <c r="AE34" i="8" s="1"/>
  <c r="AI41" i="8"/>
  <c r="AI12" i="36"/>
  <c r="AI13" i="36" s="1"/>
  <c r="AS24" i="8"/>
  <c r="AW24" i="8" s="1"/>
  <c r="AO40" i="8"/>
  <c r="AO11" i="36"/>
  <c r="AR38" i="59" s="1"/>
  <c r="AI65" i="8"/>
  <c r="AI72" i="8" s="1"/>
  <c r="AO25" i="8"/>
  <c r="AI34" i="8"/>
  <c r="AO34" i="8" s="1"/>
  <c r="AS34" i="8" s="1"/>
  <c r="AI39" i="8"/>
  <c r="AI42" i="8" s="1"/>
  <c r="AI26" i="8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2" i="8"/>
  <c r="AB53" i="59"/>
  <c r="Y75" i="8"/>
  <c r="M12" i="49"/>
  <c r="Q40" i="8"/>
  <c r="Q41" i="8"/>
  <c r="Q72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2" i="8"/>
  <c r="M10" i="36"/>
  <c r="P37" i="59" s="1"/>
  <c r="M39" i="8"/>
  <c r="M26" i="8"/>
  <c r="AL39" i="59" l="1"/>
  <c r="AW40" i="8"/>
  <c r="AW34" i="8"/>
  <c r="AO65" i="8"/>
  <c r="AS65" i="8" s="1"/>
  <c r="AW65" i="8" s="1"/>
  <c r="AL40" i="59"/>
  <c r="AO72" i="8"/>
  <c r="U72" i="8"/>
  <c r="AS23" i="8"/>
  <c r="AW23" i="8" s="1"/>
  <c r="AO26" i="8"/>
  <c r="AO39" i="8"/>
  <c r="AO10" i="36"/>
  <c r="AS25" i="8"/>
  <c r="AW25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41" i="8" l="1"/>
  <c r="BE34" i="8"/>
  <c r="BG34" i="8" s="1"/>
  <c r="AW26" i="8"/>
  <c r="AW39" i="8"/>
  <c r="AW42" i="8" s="1"/>
  <c r="AW72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2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BG24" i="8" l="1"/>
  <c r="AS42" i="8"/>
  <c r="BE65" i="8"/>
  <c r="BG65" i="8" s="1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BG25" i="8" l="1"/>
  <c r="BG23" i="8"/>
  <c r="AW13" i="36"/>
  <c r="AZ40" i="59" s="1"/>
  <c r="BE39" i="8"/>
  <c r="BE26" i="8"/>
  <c r="BE10" i="36"/>
  <c r="BH37" i="59" s="1"/>
  <c r="BE72" i="8"/>
  <c r="BE41" i="8"/>
  <c r="BE12" i="36"/>
  <c r="BH39" i="59" s="1"/>
  <c r="M19" i="49"/>
  <c r="AA19" i="49" s="1"/>
  <c r="Q16" i="49"/>
  <c r="U16" i="49" s="1"/>
  <c r="E19" i="49"/>
  <c r="I16" i="49"/>
  <c r="BA75" i="8"/>
  <c r="AD37" i="59"/>
  <c r="AA72" i="8"/>
  <c r="AA10" i="49"/>
  <c r="BG26" i="8" l="1"/>
  <c r="BE42" i="8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5" i="8"/>
  <c r="L53" i="59"/>
  <c r="I75" i="8"/>
  <c r="AA20" i="49" l="1"/>
  <c r="AE19" i="49"/>
  <c r="AI19" i="49" s="1"/>
  <c r="U75" i="8"/>
  <c r="X53" i="59"/>
  <c r="Q75" i="8"/>
  <c r="T53" i="59"/>
  <c r="AE15" i="36"/>
  <c r="AD53" i="59"/>
  <c r="AA75" i="8"/>
  <c r="H44" i="17"/>
  <c r="P44" i="17" s="1"/>
  <c r="T44" i="17" s="1"/>
  <c r="AI20" i="49" l="1"/>
  <c r="AO19" i="49"/>
  <c r="AE20" i="49"/>
  <c r="T45" i="17"/>
  <c r="T51" i="17" s="1"/>
  <c r="T50" i="17"/>
  <c r="AI15" i="36"/>
  <c r="AI75" i="8" s="1"/>
  <c r="AE75" i="8"/>
  <c r="AH53" i="59"/>
  <c r="P45" i="17"/>
  <c r="P51" i="17" s="1"/>
  <c r="P50" i="17"/>
  <c r="L45" i="17"/>
  <c r="L51" i="17" s="1"/>
  <c r="L50" i="17"/>
  <c r="BE13" i="36"/>
  <c r="H50" i="17"/>
  <c r="H45" i="17"/>
  <c r="H51" i="17" s="1"/>
  <c r="BH40" i="59" l="1"/>
  <c r="AO20" i="49"/>
  <c r="AO15" i="36" s="1"/>
  <c r="AO75" i="8" s="1"/>
  <c r="AS19" i="49"/>
  <c r="T54" i="17"/>
  <c r="T114" i="17"/>
  <c r="T118" i="17" s="1"/>
  <c r="T55" i="17"/>
  <c r="T115" i="17"/>
  <c r="T119" i="17" s="1"/>
  <c r="AL53" i="59"/>
  <c r="P54" i="17"/>
  <c r="P114" i="17"/>
  <c r="P118" i="17" s="1"/>
  <c r="P55" i="17"/>
  <c r="P115" i="17"/>
  <c r="P119" i="17" s="1"/>
  <c r="L54" i="17"/>
  <c r="L114" i="17"/>
  <c r="L118" i="17" s="1"/>
  <c r="L115" i="17"/>
  <c r="L119" i="17" s="1"/>
  <c r="L55" i="17"/>
  <c r="H55" i="17"/>
  <c r="H115" i="17"/>
  <c r="H119" i="17" s="1"/>
  <c r="H114" i="17"/>
  <c r="H118" i="17" s="1"/>
  <c r="H54" i="17"/>
  <c r="AR53" i="59" l="1"/>
  <c r="AS15" i="36"/>
  <c r="AV53" i="59" s="1"/>
  <c r="AW19" i="49"/>
  <c r="AS20" i="49"/>
  <c r="Z45" i="17"/>
  <c r="Z50" i="17"/>
  <c r="Z114" i="17" s="1"/>
  <c r="Z118" i="17" s="1"/>
  <c r="AW15" i="36" l="1"/>
  <c r="AW75" i="8" s="1"/>
  <c r="AS75" i="8"/>
  <c r="AW20" i="49"/>
  <c r="BE19" i="49"/>
  <c r="BE20" i="49" s="1"/>
  <c r="BE15" i="36" s="1"/>
  <c r="Z51" i="17"/>
  <c r="Z115" i="17" s="1"/>
  <c r="Z119" i="17" s="1"/>
  <c r="Z54" i="17"/>
  <c r="AZ53" i="59" l="1"/>
  <c r="BH53" i="59"/>
  <c r="BE75" i="8"/>
  <c r="Z55" i="17"/>
  <c r="H16" i="15" l="1"/>
  <c r="H17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91" i="10"/>
  <c r="Z184" i="10" l="1"/>
  <c r="Z192" i="10"/>
  <c r="Z193" i="10" s="1"/>
  <c r="Z178" i="10"/>
  <c r="AC66" i="59" s="1"/>
  <c r="AB196" i="10" l="1"/>
  <c r="AC64" i="59"/>
  <c r="AB192" i="10"/>
  <c r="AB184" i="10"/>
  <c r="AB191" i="10"/>
  <c r="AB193" i="10" l="1"/>
  <c r="AB178" i="10"/>
  <c r="AE66" i="59" l="1"/>
  <c r="AE64" i="59"/>
  <c r="AB21" i="36"/>
  <c r="G79" i="50" l="1"/>
  <c r="G68" i="83" l="1"/>
  <c r="O68" i="83" s="1"/>
  <c r="BH79" i="50"/>
  <c r="G94" i="50"/>
  <c r="BH94" i="50" s="1"/>
  <c r="K104" i="50"/>
  <c r="G104" i="50"/>
  <c r="G128" i="50"/>
  <c r="G69" i="83" l="1"/>
  <c r="G77" i="83" s="1"/>
  <c r="K77" i="83" s="1"/>
  <c r="K78" i="83" s="1"/>
  <c r="K68" i="83"/>
  <c r="K69" i="83" s="1"/>
  <c r="AC68" i="83"/>
  <c r="AG68" i="83" s="1"/>
  <c r="S68" i="83"/>
  <c r="O69" i="83"/>
  <c r="AC69" i="83" s="1"/>
  <c r="O128" i="50"/>
  <c r="K128" i="50"/>
  <c r="K129" i="50" s="1"/>
  <c r="G130" i="50"/>
  <c r="G135" i="50" s="1"/>
  <c r="O104" i="50"/>
  <c r="G129" i="50"/>
  <c r="G95" i="50"/>
  <c r="G78" i="83" l="1"/>
  <c r="O77" i="83"/>
  <c r="S77" i="83" s="1"/>
  <c r="W68" i="83"/>
  <c r="W69" i="83" s="1"/>
  <c r="S69" i="83"/>
  <c r="AK68" i="83"/>
  <c r="AG69" i="83"/>
  <c r="AC128" i="50"/>
  <c r="S128" i="50"/>
  <c r="O129" i="50"/>
  <c r="O130" i="50"/>
  <c r="O135" i="50" s="1"/>
  <c r="K130" i="50"/>
  <c r="K135" i="50" s="1"/>
  <c r="AG104" i="50"/>
  <c r="X21" i="26"/>
  <c r="Y166" i="6" s="1"/>
  <c r="P21" i="26"/>
  <c r="T21" i="26" s="1"/>
  <c r="O78" i="83" l="1"/>
  <c r="AC77" i="83"/>
  <c r="AG77" i="83" s="1"/>
  <c r="W77" i="83"/>
  <c r="AQ68" i="83"/>
  <c r="AK69" i="83"/>
  <c r="W128" i="50"/>
  <c r="AG128" i="50"/>
  <c r="U166" i="6"/>
  <c r="W104" i="50"/>
  <c r="Q166" i="6"/>
  <c r="Z21" i="26"/>
  <c r="AD21" i="26" s="1"/>
  <c r="AU68" i="83" l="1"/>
  <c r="AY68" i="83" s="1"/>
  <c r="AQ69" i="83"/>
  <c r="AK77" i="83"/>
  <c r="AK128" i="50"/>
  <c r="AH21" i="26"/>
  <c r="AE166" i="6"/>
  <c r="AA166" i="6"/>
  <c r="AY69" i="83" l="1"/>
  <c r="BG68" i="83"/>
  <c r="BG69" i="83" s="1"/>
  <c r="AQ77" i="83"/>
  <c r="AU69" i="83"/>
  <c r="AQ128" i="50"/>
  <c r="AI166" i="6"/>
  <c r="AN21" i="26"/>
  <c r="P23" i="26"/>
  <c r="T23" i="26" s="1"/>
  <c r="X23" i="26"/>
  <c r="AU77" i="83" l="1"/>
  <c r="AY77" i="83" s="1"/>
  <c r="AU128" i="50"/>
  <c r="AR21" i="26"/>
  <c r="AV21" i="26" s="1"/>
  <c r="AO166" i="6"/>
  <c r="U191" i="6"/>
  <c r="Q191" i="6"/>
  <c r="Z23" i="26"/>
  <c r="AD23" i="26" s="1"/>
  <c r="Y191" i="6"/>
  <c r="BG77" i="83" l="1"/>
  <c r="AY128" i="50"/>
  <c r="AH23" i="26"/>
  <c r="AI191" i="6" s="1"/>
  <c r="AW166" i="6"/>
  <c r="AS166" i="6"/>
  <c r="AE191" i="6"/>
  <c r="AA191" i="6"/>
  <c r="BG128" i="50" l="1"/>
  <c r="BH128" i="50" s="1"/>
  <c r="BD21" i="26"/>
  <c r="AN23" i="26"/>
  <c r="P25" i="26"/>
  <c r="T25" i="26" s="1"/>
  <c r="X25" i="26"/>
  <c r="Y88" i="8" s="1"/>
  <c r="BE166" i="6" l="1"/>
  <c r="AO191" i="6"/>
  <c r="AR23" i="26"/>
  <c r="AV23" i="26" s="1"/>
  <c r="Q88" i="8"/>
  <c r="U88" i="8" s="1"/>
  <c r="Z25" i="26"/>
  <c r="AD25" i="26" l="1"/>
  <c r="AA88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AH25" i="26"/>
  <c r="AE88" i="8"/>
  <c r="AD33" i="17"/>
  <c r="P26" i="17"/>
  <c r="T26" i="17" s="1"/>
  <c r="T33" i="17" s="1"/>
  <c r="X33" i="17"/>
  <c r="Z27" i="26"/>
  <c r="AD27" i="26" s="1"/>
  <c r="BE191" i="6" l="1"/>
  <c r="AN25" i="26"/>
  <c r="AR25" i="26" s="1"/>
  <c r="AI88" i="8"/>
  <c r="AO88" i="8" s="1"/>
  <c r="AS88" i="8" s="1"/>
  <c r="AW88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P29" i="26"/>
  <c r="T29" i="26" s="1"/>
  <c r="T84" i="17" s="1"/>
  <c r="X29" i="26"/>
  <c r="BE88" i="8" l="1"/>
  <c r="BD26" i="17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V84" i="17" s="1"/>
  <c r="AW97" i="9"/>
  <c r="BE97" i="9" s="1"/>
  <c r="AH33" i="26"/>
  <c r="AN33" i="26" s="1"/>
  <c r="AR33" i="26" s="1"/>
  <c r="P35" i="26"/>
  <c r="T35" i="26" s="1"/>
  <c r="Y174" i="10"/>
  <c r="AA174" i="10" s="1"/>
  <c r="AE174" i="10" s="1"/>
  <c r="X35" i="26"/>
  <c r="Z35" i="26" s="1"/>
  <c r="AD35" i="26" s="1"/>
  <c r="AV33" i="26" l="1"/>
  <c r="BD33" i="26" s="1"/>
  <c r="AI174" i="10"/>
  <c r="AO174" i="10" s="1"/>
  <c r="AS174" i="10" s="1"/>
  <c r="AH35" i="26"/>
  <c r="AN35" i="26" s="1"/>
  <c r="AR35" i="26" s="1"/>
  <c r="BD29" i="26"/>
  <c r="Q174" i="10"/>
  <c r="U174" i="10" s="1"/>
  <c r="BD84" i="17" l="1"/>
  <c r="AV35" i="26"/>
  <c r="BD35" i="26" s="1"/>
  <c r="AW174" i="10"/>
  <c r="P37" i="26"/>
  <c r="T37" i="26" s="1"/>
  <c r="Y75" i="11"/>
  <c r="AA75" i="11" s="1"/>
  <c r="AE75" i="11" s="1"/>
  <c r="X37" i="26"/>
  <c r="Z37" i="26" s="1"/>
  <c r="AD37" i="26" s="1"/>
  <c r="BE174" i="10" l="1"/>
  <c r="AH37" i="26"/>
  <c r="AN37" i="26" s="1"/>
  <c r="AR37" i="26" s="1"/>
  <c r="AI75" i="11"/>
  <c r="AO75" i="11" s="1"/>
  <c r="AS75" i="11" s="1"/>
  <c r="Q75" i="11"/>
  <c r="U75" i="11" s="1"/>
  <c r="AV37" i="26" l="1"/>
  <c r="BD37" i="26" s="1"/>
  <c r="AW75" i="11"/>
  <c r="BE75" i="11" s="1"/>
  <c r="P39" i="26"/>
  <c r="T39" i="26" s="1"/>
  <c r="X39" i="26"/>
  <c r="Z39" i="26" s="1"/>
  <c r="AD39" i="26" s="1"/>
  <c r="R140" i="45"/>
  <c r="V140" i="45" s="1"/>
  <c r="AH39" i="26" l="1"/>
  <c r="AN39" i="26" s="1"/>
  <c r="AR39" i="26" s="1"/>
  <c r="Z140" i="45"/>
  <c r="AB140" i="45" s="1"/>
  <c r="AF140" i="45" s="1"/>
  <c r="AV39" i="26" l="1"/>
  <c r="BD39" i="26" s="1"/>
  <c r="AJ140" i="45"/>
  <c r="AP140" i="45" s="1"/>
  <c r="AT140" i="45" s="1"/>
  <c r="Y84" i="7"/>
  <c r="X43" i="26"/>
  <c r="X45" i="26" s="1"/>
  <c r="P43" i="26"/>
  <c r="T43" i="26" s="1"/>
  <c r="AX140" i="45" l="1"/>
  <c r="BF140" i="45" s="1"/>
  <c r="U84" i="7"/>
  <c r="T45" i="26"/>
  <c r="Q84" i="7"/>
  <c r="Z43" i="26"/>
  <c r="AD43" i="26" s="1"/>
  <c r="AH43" i="26" s="1"/>
  <c r="AH45" i="26" s="1"/>
  <c r="P45" i="26"/>
  <c r="AN43" i="26" l="1"/>
  <c r="AR43" i="26" s="1"/>
  <c r="AV43" i="26" s="1"/>
  <c r="AV45" i="26" s="1"/>
  <c r="AI84" i="7"/>
  <c r="AE84" i="7"/>
  <c r="AD45" i="26"/>
  <c r="Z45" i="26"/>
  <c r="AA84" i="7"/>
  <c r="AO84" i="7" l="1"/>
  <c r="AN45" i="26"/>
  <c r="BD43" i="26"/>
  <c r="AW84" i="7"/>
  <c r="AR45" i="26"/>
  <c r="AS84" i="7"/>
  <c r="Y85" i="8"/>
  <c r="BE84" i="7" l="1"/>
  <c r="BD45" i="26"/>
  <c r="Y86" i="8"/>
  <c r="E24" i="39" l="1"/>
  <c r="I24" i="39" l="1"/>
  <c r="M24" i="39"/>
  <c r="Q24" i="39" l="1"/>
  <c r="Y51" i="7"/>
  <c r="U24" i="39" l="1"/>
  <c r="AA51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BF34" i="6" l="1"/>
  <c r="BH34" i="6" s="1"/>
  <c r="AO24" i="39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5" i="8"/>
  <c r="AC53" i="59"/>
  <c r="AP181" i="6" l="1"/>
  <c r="AT181" i="6" s="1"/>
  <c r="AS24" i="39"/>
  <c r="AX22" i="6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X181" i="6" l="1"/>
  <c r="AW24" i="39"/>
  <c r="AT156" i="6"/>
  <c r="AX156" i="6" s="1"/>
  <c r="AX157" i="6"/>
  <c r="AX23" i="6"/>
  <c r="BF21" i="6"/>
  <c r="BH21" i="6" s="1"/>
  <c r="AX182" i="6"/>
  <c r="BF22" i="6"/>
  <c r="AB20" i="49"/>
  <c r="AB15" i="36" s="1"/>
  <c r="AF19" i="49"/>
  <c r="AJ19" i="49" s="1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BF181" i="6" l="1"/>
  <c r="BH22" i="6"/>
  <c r="AX37" i="6"/>
  <c r="AX41" i="6" s="1"/>
  <c r="AT198" i="6"/>
  <c r="BF23" i="6"/>
  <c r="BF182" i="6"/>
  <c r="BF157" i="6"/>
  <c r="BE24" i="39"/>
  <c r="AX198" i="6"/>
  <c r="BF156" i="6"/>
  <c r="BF198" i="6" s="1"/>
  <c r="AJ20" i="49"/>
  <c r="AJ15" i="36" s="1"/>
  <c r="AJ75" i="8" s="1"/>
  <c r="AP19" i="49"/>
  <c r="AT19" i="49" s="1"/>
  <c r="AX19" i="49" s="1"/>
  <c r="AF20" i="49"/>
  <c r="AF15" i="36" s="1"/>
  <c r="AB75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BF37" i="6" l="1"/>
  <c r="BF41" i="6" s="1"/>
  <c r="BH23" i="6"/>
  <c r="BF24" i="39"/>
  <c r="BI24" i="39"/>
  <c r="AX35" i="6"/>
  <c r="AM53" i="59"/>
  <c r="AX20" i="49"/>
  <c r="BF19" i="49"/>
  <c r="AF75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I26" i="59"/>
  <c r="BI24" i="59"/>
  <c r="AW19" i="59"/>
  <c r="BA19" i="59"/>
  <c r="AW18" i="59"/>
  <c r="BA18" i="59"/>
  <c r="AW17" i="59"/>
  <c r="BA17" i="59"/>
  <c r="BF35" i="6" l="1"/>
  <c r="BH35" i="6" s="1"/>
  <c r="BH33" i="6"/>
  <c r="BI17" i="59"/>
  <c r="BI18" i="59"/>
  <c r="BI19" i="59"/>
  <c r="AJ414" i="28" l="1"/>
  <c r="AP414" i="28" s="1"/>
  <c r="AT414" i="28" s="1"/>
  <c r="AX414" i="28" l="1"/>
  <c r="BF414" i="28" s="1"/>
  <c r="BH414" i="28" s="1"/>
  <c r="AT512" i="28"/>
  <c r="AT513" i="28"/>
  <c r="AP512" i="28"/>
  <c r="AP513" i="28"/>
  <c r="AJ512" i="28"/>
  <c r="AJ513" i="28"/>
  <c r="AX513" i="28" l="1"/>
  <c r="BF512" i="28"/>
  <c r="BH512" i="28" s="1"/>
  <c r="BF513" i="28"/>
  <c r="BH513" i="28" s="1"/>
  <c r="AX512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N13" i="35"/>
  <c r="BD13" i="35" s="1"/>
  <c r="BA65" i="38" l="1"/>
  <c r="BA98" i="38" s="1"/>
  <c r="BA49" i="3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5" i="8"/>
  <c r="BF15" i="35"/>
  <c r="BF5" i="36"/>
  <c r="AX5" i="36"/>
  <c r="AX15" i="35"/>
  <c r="AP75" i="8"/>
  <c r="AS6" i="59"/>
  <c r="AT5" i="36"/>
  <c r="AT15" i="35"/>
  <c r="BA6" i="59" l="1"/>
  <c r="AX13" i="49"/>
  <c r="BF13" i="49"/>
  <c r="BF20" i="49" s="1"/>
  <c r="BF15" i="36" s="1"/>
  <c r="BI6" i="59"/>
  <c r="BD75" i="8"/>
  <c r="BG53" i="59"/>
  <c r="AX15" i="36"/>
  <c r="AT13" i="49"/>
  <c r="AT20" i="49" s="1"/>
  <c r="AT15" i="36" s="1"/>
  <c r="AW6" i="59"/>
  <c r="BA53" i="59" l="1"/>
  <c r="AX75" i="8"/>
  <c r="BF75" i="8"/>
  <c r="BI53" i="59"/>
  <c r="AW53" i="59"/>
  <c r="AT75" i="8"/>
  <c r="E85" i="8"/>
  <c r="M85" i="8" l="1"/>
  <c r="I85" i="8"/>
  <c r="I86" i="8" s="1"/>
  <c r="AA85" i="8"/>
  <c r="Q85" i="8"/>
  <c r="U85" i="8" s="1"/>
  <c r="U86" i="8" s="1"/>
  <c r="M86" i="8"/>
  <c r="Q86" i="8" l="1"/>
  <c r="AE85" i="8"/>
  <c r="AI85" i="8" s="1"/>
  <c r="AI86" i="8" s="1"/>
  <c r="AA86" i="8"/>
  <c r="AE86" i="8" l="1"/>
  <c r="AO85" i="8" l="1"/>
  <c r="AO86" i="8" l="1"/>
  <c r="AS85" i="8"/>
  <c r="AW85" i="8" s="1"/>
  <c r="AW86" i="8" s="1"/>
  <c r="AS86" i="8" l="1"/>
  <c r="BE85" i="8" l="1"/>
  <c r="BE86" i="8" l="1"/>
  <c r="BG85" i="8"/>
  <c r="K151" i="45"/>
  <c r="K156" i="45" s="1"/>
  <c r="G156" i="45"/>
  <c r="O151" i="45"/>
  <c r="O156" i="45" s="1"/>
  <c r="AC151" i="45" l="1"/>
  <c r="S151" i="45"/>
  <c r="AC156" i="45" l="1"/>
  <c r="AG151" i="45"/>
  <c r="W151" i="45"/>
  <c r="W156" i="45" s="1"/>
  <c r="S156" i="45"/>
  <c r="AG156" i="45" l="1"/>
  <c r="AK151" i="45"/>
  <c r="AK156" i="45" l="1"/>
  <c r="AQ151" i="45"/>
  <c r="AU151" i="45" l="1"/>
  <c r="AQ156" i="45"/>
  <c r="AY151" i="45" l="1"/>
  <c r="AU156" i="45"/>
  <c r="AY156" i="45" l="1"/>
  <c r="BG151" i="45"/>
  <c r="BI151" i="45" s="1"/>
  <c r="BG156" i="45" l="1"/>
  <c r="BI156" i="45" s="1"/>
  <c r="H93" i="26" l="1"/>
  <c r="L93" i="26" s="1"/>
  <c r="L94" i="26" l="1"/>
  <c r="Z93" i="26"/>
  <c r="AD93" i="26" s="1"/>
  <c r="AH93" i="26" s="1"/>
  <c r="AN93" i="26" s="1"/>
  <c r="AR93" i="26" s="1"/>
  <c r="AV93" i="26" s="1"/>
  <c r="BD93" i="26" s="1"/>
  <c r="P93" i="26"/>
  <c r="T93" i="26" s="1"/>
  <c r="H94" i="26"/>
  <c r="T94" i="26" l="1"/>
  <c r="P94" i="26"/>
  <c r="Z94" i="26"/>
  <c r="AD94" i="26" l="1"/>
  <c r="AH94" i="26" l="1"/>
  <c r="AN94" i="26" l="1"/>
  <c r="AR94" i="26" l="1"/>
  <c r="BD94" i="26" l="1"/>
  <c r="AV94" i="26"/>
  <c r="K33" i="35" l="1"/>
  <c r="K37" i="35" s="1"/>
  <c r="K39" i="35"/>
  <c r="K49" i="35" s="1"/>
  <c r="M7" i="28"/>
  <c r="M30" i="35"/>
  <c r="AA30" i="35" s="1"/>
  <c r="M39" i="35" l="1"/>
  <c r="M49" i="35" s="1"/>
  <c r="Q7" i="28"/>
  <c r="U7" i="28" s="1"/>
  <c r="AA7" i="28"/>
  <c r="AE7" i="28" s="1"/>
  <c r="AI7" i="28" s="1"/>
  <c r="AO7" i="28" s="1"/>
  <c r="AS7" i="28" s="1"/>
  <c r="AW7" i="28" s="1"/>
  <c r="BE7" i="28" s="1"/>
  <c r="BG7" i="28" s="1"/>
  <c r="L80" i="83"/>
  <c r="L97" i="50"/>
  <c r="L95" i="50" s="1"/>
  <c r="K55" i="35"/>
  <c r="AA159" i="10"/>
  <c r="AA203" i="10" s="1"/>
  <c r="AE30" i="35"/>
  <c r="AA33" i="35"/>
  <c r="AA37" i="35" s="1"/>
  <c r="Q30" i="35"/>
  <c r="N66" i="59"/>
  <c r="M159" i="10"/>
  <c r="M203" i="10" s="1"/>
  <c r="Q39" i="35"/>
  <c r="M33" i="35"/>
  <c r="M37" i="35" s="1"/>
  <c r="AA39" i="35"/>
  <c r="M13" i="28" l="1"/>
  <c r="M236" i="28"/>
  <c r="AA49" i="35"/>
  <c r="AA55" i="35" s="1"/>
  <c r="AE39" i="35"/>
  <c r="M55" i="35"/>
  <c r="N97" i="50"/>
  <c r="N95" i="50" s="1"/>
  <c r="M25" i="36"/>
  <c r="P76" i="59" s="1"/>
  <c r="U39" i="35"/>
  <c r="U49" i="35" s="1"/>
  <c r="Q49" i="35"/>
  <c r="AA161" i="10"/>
  <c r="AD64" i="59" s="1"/>
  <c r="AA158" i="10"/>
  <c r="AA210" i="10" s="1"/>
  <c r="AA173" i="10"/>
  <c r="AA178" i="10"/>
  <c r="AD66" i="59" s="1"/>
  <c r="Q33" i="35"/>
  <c r="Q37" i="35" s="1"/>
  <c r="Q159" i="10"/>
  <c r="U30" i="35"/>
  <c r="M63" i="28"/>
  <c r="AA25" i="36"/>
  <c r="AD76" i="59" s="1"/>
  <c r="AB97" i="50"/>
  <c r="AB95" i="50" s="1"/>
  <c r="M158" i="10"/>
  <c r="M210" i="10" s="1"/>
  <c r="M161" i="10"/>
  <c r="M178" i="10"/>
  <c r="P66" i="59" s="1"/>
  <c r="M173" i="10"/>
  <c r="AI30" i="35"/>
  <c r="AE159" i="10"/>
  <c r="AE203" i="10" s="1"/>
  <c r="AE33" i="35"/>
  <c r="AE37" i="35" s="1"/>
  <c r="AA236" i="28" l="1"/>
  <c r="AE236" i="28" s="1"/>
  <c r="AI236" i="28" s="1"/>
  <c r="AO236" i="28" s="1"/>
  <c r="AS236" i="28" s="1"/>
  <c r="AW236" i="28" s="1"/>
  <c r="BE236" i="28" s="1"/>
  <c r="BG236" i="28" s="1"/>
  <c r="Q236" i="28"/>
  <c r="U236" i="28" s="1"/>
  <c r="M72" i="28"/>
  <c r="AE158" i="10"/>
  <c r="AE210" i="10" s="1"/>
  <c r="AE178" i="10"/>
  <c r="AH66" i="59" s="1"/>
  <c r="AE161" i="10"/>
  <c r="AE173" i="10"/>
  <c r="Q158" i="10"/>
  <c r="Q210" i="10" s="1"/>
  <c r="Q178" i="10"/>
  <c r="T66" i="59" s="1"/>
  <c r="Q161" i="10"/>
  <c r="T64" i="59" s="1"/>
  <c r="Q173" i="10"/>
  <c r="AI33" i="35"/>
  <c r="AI37" i="35" s="1"/>
  <c r="AI25" i="36" s="1"/>
  <c r="AI159" i="10"/>
  <c r="AI203" i="10" s="1"/>
  <c r="AO30" i="35"/>
  <c r="Q63" i="28"/>
  <c r="U63" i="28" s="1"/>
  <c r="AA63" i="28"/>
  <c r="AE63" i="28" s="1"/>
  <c r="AI63" i="28" s="1"/>
  <c r="AO63" i="28" s="1"/>
  <c r="AS63" i="28" s="1"/>
  <c r="AW63" i="28" s="1"/>
  <c r="BE63" i="28" s="1"/>
  <c r="BG63" i="28" s="1"/>
  <c r="AA13" i="28"/>
  <c r="M505" i="28"/>
  <c r="Q13" i="28"/>
  <c r="Q55" i="35"/>
  <c r="Q25" i="36"/>
  <c r="T76" i="59" s="1"/>
  <c r="R97" i="50"/>
  <c r="R95" i="50" s="1"/>
  <c r="M69" i="28"/>
  <c r="AE25" i="36"/>
  <c r="AH76" i="59" s="1"/>
  <c r="AF97" i="50"/>
  <c r="AF95" i="50" s="1"/>
  <c r="U159" i="10"/>
  <c r="U33" i="35"/>
  <c r="U37" i="35" s="1"/>
  <c r="AI39" i="35"/>
  <c r="AE49" i="35"/>
  <c r="AE55" i="35" s="1"/>
  <c r="Q72" i="28" l="1"/>
  <c r="U72" i="28" s="1"/>
  <c r="AA72" i="28"/>
  <c r="AE72" i="28" s="1"/>
  <c r="AI72" i="28" s="1"/>
  <c r="AO72" i="28" s="1"/>
  <c r="AS72" i="28" s="1"/>
  <c r="AW72" i="28" s="1"/>
  <c r="BE72" i="28" s="1"/>
  <c r="BG72" i="28" s="1"/>
  <c r="AO33" i="35"/>
  <c r="AO37" i="35" s="1"/>
  <c r="AO159" i="10"/>
  <c r="AS30" i="35"/>
  <c r="M95" i="28"/>
  <c r="M79" i="28"/>
  <c r="U13" i="28"/>
  <c r="Q505" i="28"/>
  <c r="AI158" i="10"/>
  <c r="AI210" i="10" s="1"/>
  <c r="AI161" i="10"/>
  <c r="AI178" i="10"/>
  <c r="AL66" i="59" s="1"/>
  <c r="AI173" i="10"/>
  <c r="M76" i="28"/>
  <c r="Q69" i="28"/>
  <c r="M520" i="28"/>
  <c r="AA69" i="28"/>
  <c r="U25" i="36"/>
  <c r="X76" i="59" s="1"/>
  <c r="U55" i="35"/>
  <c r="V97" i="50"/>
  <c r="V95" i="50" s="1"/>
  <c r="AL76" i="59"/>
  <c r="AJ97" i="50"/>
  <c r="AJ95" i="50" s="1"/>
  <c r="AI49" i="35"/>
  <c r="AI55" i="35" s="1"/>
  <c r="AO39" i="35"/>
  <c r="AE13" i="28"/>
  <c r="AA505" i="28"/>
  <c r="U173" i="10"/>
  <c r="U178" i="10"/>
  <c r="X66" i="59" s="1"/>
  <c r="U158" i="10"/>
  <c r="U210" i="10" s="1"/>
  <c r="U161" i="10"/>
  <c r="X64" i="59" s="1"/>
  <c r="Q95" i="28" l="1"/>
  <c r="U95" i="28" s="1"/>
  <c r="AA95" i="28"/>
  <c r="AE95" i="28" s="1"/>
  <c r="AI95" i="28" s="1"/>
  <c r="AO95" i="28" s="1"/>
  <c r="AS95" i="28" s="1"/>
  <c r="AW95" i="28" s="1"/>
  <c r="BE95" i="28" s="1"/>
  <c r="BG95" i="28" s="1"/>
  <c r="AW30" i="35"/>
  <c r="AS33" i="35"/>
  <c r="AS37" i="35" s="1"/>
  <c r="AS159" i="10"/>
  <c r="AI13" i="28"/>
  <c r="AE505" i="28"/>
  <c r="AO158" i="10"/>
  <c r="AO210" i="10" s="1"/>
  <c r="AO173" i="10"/>
  <c r="AO161" i="10"/>
  <c r="AR64" i="59" s="1"/>
  <c r="AO178" i="10"/>
  <c r="AR66" i="59" s="1"/>
  <c r="AE69" i="28"/>
  <c r="AA520" i="28"/>
  <c r="AO25" i="36"/>
  <c r="AR76" i="59" s="1"/>
  <c r="Q76" i="28"/>
  <c r="AA76" i="28"/>
  <c r="M521" i="28"/>
  <c r="AA79" i="28"/>
  <c r="M504" i="28"/>
  <c r="Q79" i="28"/>
  <c r="M503" i="28"/>
  <c r="AS39" i="35"/>
  <c r="AO49" i="35"/>
  <c r="AO55" i="35" s="1"/>
  <c r="U505" i="28"/>
  <c r="U69" i="28"/>
  <c r="U520" i="28" s="1"/>
  <c r="Q520" i="28"/>
  <c r="AA521" i="28" l="1"/>
  <c r="AE76" i="28"/>
  <c r="AS178" i="10"/>
  <c r="AV66" i="59" s="1"/>
  <c r="AS158" i="10"/>
  <c r="AS210" i="10" s="1"/>
  <c r="AS173" i="10"/>
  <c r="AS161" i="10"/>
  <c r="AV64" i="59" s="1"/>
  <c r="U79" i="28"/>
  <c r="Q504" i="28"/>
  <c r="Q503" i="28"/>
  <c r="AW159" i="10"/>
  <c r="AW33" i="35"/>
  <c r="AW37" i="35" s="1"/>
  <c r="BE30" i="35"/>
  <c r="AS49" i="35"/>
  <c r="AS55" i="35" s="1"/>
  <c r="AW39" i="35"/>
  <c r="U76" i="28"/>
  <c r="U521" i="28" s="1"/>
  <c r="Q521" i="28"/>
  <c r="AS25" i="36"/>
  <c r="AV76" i="59" s="1"/>
  <c r="AT97" i="50"/>
  <c r="AT95" i="50" s="1"/>
  <c r="AE79" i="28"/>
  <c r="AA504" i="28"/>
  <c r="AA503" i="28"/>
  <c r="AI69" i="28"/>
  <c r="AE520" i="28"/>
  <c r="AI505" i="28"/>
  <c r="AO13" i="28"/>
  <c r="AW203" i="10" l="1"/>
  <c r="AO505" i="28"/>
  <c r="AS13" i="28"/>
  <c r="BE33" i="35"/>
  <c r="BE37" i="35" s="1"/>
  <c r="BE159" i="10"/>
  <c r="AX97" i="50"/>
  <c r="AX95" i="50" s="1"/>
  <c r="AW25" i="36"/>
  <c r="AZ76" i="59" s="1"/>
  <c r="AI79" i="28"/>
  <c r="AE504" i="28"/>
  <c r="AE503" i="28"/>
  <c r="AI76" i="28"/>
  <c r="AE521" i="28"/>
  <c r="AI520" i="28"/>
  <c r="AO69" i="28"/>
  <c r="AW161" i="10"/>
  <c r="AZ64" i="59" s="1"/>
  <c r="AW173" i="10"/>
  <c r="AW158" i="10"/>
  <c r="AW178" i="10"/>
  <c r="AZ66" i="59" s="1"/>
  <c r="AW49" i="35"/>
  <c r="AW55" i="35" s="1"/>
  <c r="BE39" i="35"/>
  <c r="BE49" i="35" s="1"/>
  <c r="U504" i="28"/>
  <c r="U503" i="28"/>
  <c r="BE203" i="10" l="1"/>
  <c r="BH203" i="10" s="1"/>
  <c r="BH159" i="10"/>
  <c r="AS505" i="28"/>
  <c r="AW13" i="28"/>
  <c r="AI521" i="28"/>
  <c r="AO76" i="28"/>
  <c r="BE55" i="35"/>
  <c r="BE25" i="36"/>
  <c r="BH76" i="59" s="1"/>
  <c r="BF97" i="50"/>
  <c r="BF95" i="50" s="1"/>
  <c r="AO520" i="28"/>
  <c r="AS69" i="28"/>
  <c r="BE161" i="10"/>
  <c r="BE178" i="10"/>
  <c r="BE173" i="10"/>
  <c r="BE158" i="10"/>
  <c r="BH158" i="10" s="1"/>
  <c r="AI504" i="28"/>
  <c r="AO79" i="28"/>
  <c r="AI503" i="28"/>
  <c r="BH66" i="59" l="1"/>
  <c r="BH64" i="59"/>
  <c r="AS76" i="28"/>
  <c r="AO521" i="28"/>
  <c r="AW505" i="28"/>
  <c r="BE13" i="28"/>
  <c r="BG13" i="28" s="1"/>
  <c r="AS520" i="28"/>
  <c r="AW69" i="28"/>
  <c r="AO504" i="28"/>
  <c r="AS79" i="28"/>
  <c r="AO503" i="28"/>
  <c r="BE505" i="28" l="1"/>
  <c r="BG505" i="28" s="1"/>
  <c r="AW79" i="28"/>
  <c r="AS504" i="28"/>
  <c r="AS503" i="28"/>
  <c r="BE69" i="28"/>
  <c r="AW520" i="28"/>
  <c r="AW76" i="28"/>
  <c r="AS521" i="28"/>
  <c r="BE520" i="28" l="1"/>
  <c r="BG520" i="28" s="1"/>
  <c r="BG69" i="28"/>
  <c r="AW521" i="28"/>
  <c r="BE76" i="28"/>
  <c r="BE79" i="28"/>
  <c r="BG79" i="28" s="1"/>
  <c r="AW504" i="28"/>
  <c r="AW503" i="28"/>
  <c r="BE521" i="28" l="1"/>
  <c r="BG521" i="28" s="1"/>
  <c r="BG76" i="28"/>
  <c r="BE504" i="28"/>
  <c r="BG504" i="28" s="1"/>
  <c r="BE503" i="28"/>
  <c r="BG503" i="28" s="1"/>
  <c r="Q127" i="50"/>
  <c r="Q100" i="50"/>
  <c r="O99" i="90"/>
  <c r="BE99" i="90" s="1"/>
  <c r="R34" i="35"/>
  <c r="V34" i="35" s="1"/>
  <c r="V36" i="35" s="1"/>
  <c r="P36" i="35"/>
  <c r="P48" i="35" s="1"/>
  <c r="P49" i="35" s="1"/>
  <c r="Z34" i="35"/>
  <c r="Z36" i="35" s="1"/>
  <c r="Q129" i="50" l="1"/>
  <c r="S100" i="50"/>
  <c r="S103" i="50" s="1"/>
  <c r="S104" i="50" s="1"/>
  <c r="BH100" i="50"/>
  <c r="R36" i="35"/>
  <c r="O101" i="90"/>
  <c r="BE101" i="90" s="1"/>
  <c r="AI99" i="90"/>
  <c r="AI101" i="90" s="1"/>
  <c r="Q103" i="50"/>
  <c r="Q99" i="90"/>
  <c r="Q101" i="90" s="1"/>
  <c r="V48" i="35"/>
  <c r="V49" i="35" s="1"/>
  <c r="V37" i="35"/>
  <c r="Z48" i="35"/>
  <c r="Z37" i="35"/>
  <c r="AO99" i="90"/>
  <c r="AA127" i="50"/>
  <c r="AA99" i="90"/>
  <c r="Q130" i="50"/>
  <c r="AB34" i="35"/>
  <c r="S127" i="50"/>
  <c r="U99" i="90"/>
  <c r="U101" i="90" s="1"/>
  <c r="AE99" i="90"/>
  <c r="AE101" i="90" s="1"/>
  <c r="Y99" i="90"/>
  <c r="Y101" i="90" s="1"/>
  <c r="O127" i="90"/>
  <c r="P37" i="35"/>
  <c r="AI127" i="90" l="1"/>
  <c r="AI129" i="90" s="1"/>
  <c r="BE127" i="90"/>
  <c r="Q104" i="50"/>
  <c r="BH104" i="50" s="1"/>
  <c r="BH103" i="50"/>
  <c r="Q80" i="83"/>
  <c r="Q78" i="83" s="1"/>
  <c r="R48" i="35"/>
  <c r="R49" i="35" s="1"/>
  <c r="R37" i="35"/>
  <c r="S129" i="50"/>
  <c r="W127" i="50"/>
  <c r="W129" i="50" s="1"/>
  <c r="AF34" i="35"/>
  <c r="AB36" i="35"/>
  <c r="AB37" i="35" s="1"/>
  <c r="AB48" i="35"/>
  <c r="AB49" i="35" s="1"/>
  <c r="Z49" i="35"/>
  <c r="Z55" i="35" s="1"/>
  <c r="P25" i="36"/>
  <c r="S76" i="59" s="1"/>
  <c r="Q97" i="50"/>
  <c r="P55" i="35"/>
  <c r="AC127" i="50"/>
  <c r="AA129" i="50"/>
  <c r="AS99" i="90"/>
  <c r="AO101" i="90"/>
  <c r="V55" i="35"/>
  <c r="W97" i="50"/>
  <c r="W95" i="50" s="1"/>
  <c r="V25" i="36"/>
  <c r="Y76" i="59" s="1"/>
  <c r="U127" i="90"/>
  <c r="U129" i="90" s="1"/>
  <c r="AA127" i="90"/>
  <c r="AE127" i="90"/>
  <c r="AE129" i="90" s="1"/>
  <c r="Q127" i="90"/>
  <c r="Q129" i="90" s="1"/>
  <c r="AO127" i="90"/>
  <c r="O129" i="90"/>
  <c r="BE129" i="90" s="1"/>
  <c r="Y127" i="90"/>
  <c r="Y129" i="90" s="1"/>
  <c r="AA97" i="50"/>
  <c r="AA95" i="50" s="1"/>
  <c r="Z25" i="36"/>
  <c r="AC76" i="59" s="1"/>
  <c r="Q135" i="50"/>
  <c r="S130" i="50"/>
  <c r="AA130" i="50"/>
  <c r="AA101" i="90"/>
  <c r="Q95" i="50" l="1"/>
  <c r="S97" i="50"/>
  <c r="S95" i="50" s="1"/>
  <c r="R25" i="36"/>
  <c r="U76" i="59" s="1"/>
  <c r="R55" i="35"/>
  <c r="AB55" i="35"/>
  <c r="AB25" i="36"/>
  <c r="AE76" i="59" s="1"/>
  <c r="AC97" i="50"/>
  <c r="AC95" i="50" s="1"/>
  <c r="AC129" i="50"/>
  <c r="AG127" i="50"/>
  <c r="AO129" i="90"/>
  <c r="AS127" i="90"/>
  <c r="AF36" i="35"/>
  <c r="AJ34" i="35"/>
  <c r="S80" i="83"/>
  <c r="AA80" i="83"/>
  <c r="AC130" i="50"/>
  <c r="AA135" i="50"/>
  <c r="AA129" i="90"/>
  <c r="AS101" i="90"/>
  <c r="AW99" i="90"/>
  <c r="AW101" i="90" s="1"/>
  <c r="S135" i="50"/>
  <c r="W130" i="50"/>
  <c r="W135" i="50" s="1"/>
  <c r="AP34" i="35" l="1"/>
  <c r="AJ36" i="35"/>
  <c r="AK127" i="50"/>
  <c r="AG129" i="50"/>
  <c r="AA78" i="83"/>
  <c r="AC80" i="83"/>
  <c r="W80" i="83"/>
  <c r="W78" i="83" s="1"/>
  <c r="S78" i="83"/>
  <c r="AF48" i="35"/>
  <c r="AF49" i="35" s="1"/>
  <c r="AF37" i="35"/>
  <c r="AC135" i="50"/>
  <c r="AG130" i="50"/>
  <c r="AW127" i="90"/>
  <c r="AW129" i="90" s="1"/>
  <c r="AS129" i="90"/>
  <c r="AG80" i="83" l="1"/>
  <c r="AC78" i="83"/>
  <c r="AF25" i="36"/>
  <c r="AI76" i="59" s="1"/>
  <c r="AG97" i="50"/>
  <c r="AG95" i="50" s="1"/>
  <c r="AF55" i="35"/>
  <c r="AJ37" i="35"/>
  <c r="AJ25" i="36" s="1"/>
  <c r="AJ48" i="35"/>
  <c r="AG135" i="50"/>
  <c r="AK130" i="50"/>
  <c r="AQ127" i="50"/>
  <c r="AK129" i="50"/>
  <c r="AP36" i="35"/>
  <c r="AP37" i="35" s="1"/>
  <c r="AT34" i="35"/>
  <c r="AP25" i="36" l="1"/>
  <c r="AS76" i="59" s="1"/>
  <c r="AQ97" i="50"/>
  <c r="AQ95" i="50" s="1"/>
  <c r="AK135" i="50"/>
  <c r="AQ130" i="50"/>
  <c r="AM76" i="59"/>
  <c r="AK97" i="50"/>
  <c r="AK95" i="50" s="1"/>
  <c r="AQ129" i="50"/>
  <c r="AU127" i="50"/>
  <c r="AT36" i="35"/>
  <c r="AX34" i="35"/>
  <c r="AJ49" i="35"/>
  <c r="AJ55" i="35" s="1"/>
  <c r="AP48" i="35"/>
  <c r="AP49" i="35" s="1"/>
  <c r="AG78" i="83"/>
  <c r="AK80" i="83"/>
  <c r="AP55" i="35" l="1"/>
  <c r="AT48" i="35"/>
  <c r="AT49" i="35" s="1"/>
  <c r="AT37" i="35"/>
  <c r="AQ80" i="83"/>
  <c r="AK78" i="83"/>
  <c r="BF34" i="35"/>
  <c r="AX36" i="35"/>
  <c r="AQ135" i="50"/>
  <c r="AU130" i="50"/>
  <c r="AU129" i="50"/>
  <c r="AY127" i="50"/>
  <c r="BF36" i="35" l="1"/>
  <c r="AX37" i="35"/>
  <c r="AX48" i="35"/>
  <c r="AY129" i="50"/>
  <c r="BG127" i="50"/>
  <c r="AU135" i="50"/>
  <c r="AY130" i="50"/>
  <c r="AU80" i="83"/>
  <c r="AQ78" i="83"/>
  <c r="AT55" i="35"/>
  <c r="AT25" i="36"/>
  <c r="AW76" i="59" s="1"/>
  <c r="AU97" i="50"/>
  <c r="AU95" i="50" s="1"/>
  <c r="BF37" i="35" l="1"/>
  <c r="BG129" i="50"/>
  <c r="BH129" i="50" s="1"/>
  <c r="BH127" i="50"/>
  <c r="AU78" i="83"/>
  <c r="AY80" i="83"/>
  <c r="AX49" i="35"/>
  <c r="AX55" i="35" s="1"/>
  <c r="BF48" i="35"/>
  <c r="BF49" i="35" s="1"/>
  <c r="BF55" i="35" s="1"/>
  <c r="AY135" i="50"/>
  <c r="BG130" i="50"/>
  <c r="AY97" i="50"/>
  <c r="AY95" i="50" s="1"/>
  <c r="AX25" i="36"/>
  <c r="BA76" i="59" s="1"/>
  <c r="BF25" i="36" l="1"/>
  <c r="BI76" i="59" s="1"/>
  <c r="BG97" i="50"/>
  <c r="BG135" i="50"/>
  <c r="BH135" i="50" s="1"/>
  <c r="BH130" i="50"/>
  <c r="AY78" i="83"/>
  <c r="BG80" i="83"/>
  <c r="BG78" i="83" s="1"/>
  <c r="BH97" i="50" l="1"/>
  <c r="BG95" i="50"/>
  <c r="BH95" i="50" s="1"/>
  <c r="Y28" i="15"/>
  <c r="Y36" i="15" s="1"/>
  <c r="U28" i="15"/>
  <c r="U36" i="15" s="1"/>
  <c r="S36" i="15"/>
  <c r="S16" i="15" s="1"/>
  <c r="U16" i="15" l="1"/>
  <c r="U17" i="15" s="1"/>
  <c r="S17" i="15"/>
  <c r="AA28" i="15"/>
  <c r="AA36" i="15" l="1"/>
  <c r="AE28" i="15"/>
  <c r="AE36" i="15" l="1"/>
  <c r="AI28" i="15"/>
  <c r="AO28" i="15" l="1"/>
  <c r="AI36" i="15"/>
  <c r="AS28" i="15" l="1"/>
  <c r="AO36" i="15"/>
  <c r="AW28" i="15" l="1"/>
  <c r="AS36" i="15"/>
  <c r="BE28" i="15" l="1"/>
  <c r="BE36" i="15" s="1"/>
  <c r="AW36" i="15"/>
  <c r="W36" i="15" l="1"/>
  <c r="W16" i="15" s="1"/>
  <c r="W17" i="15" l="1"/>
  <c r="Y16" i="15"/>
  <c r="Y17" i="15" l="1"/>
  <c r="AA16" i="15"/>
  <c r="AA17" i="15" l="1"/>
  <c r="AE16" i="15"/>
  <c r="AE17" i="15" l="1"/>
  <c r="AI16" i="15"/>
  <c r="AO16" i="15" l="1"/>
  <c r="AI17" i="15"/>
  <c r="AS16" i="15" l="1"/>
  <c r="AO17" i="15"/>
  <c r="AW16" i="15" l="1"/>
  <c r="AS17" i="15"/>
  <c r="BE16" i="15" l="1"/>
  <c r="BE17" i="15" s="1"/>
  <c r="AW17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S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W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C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G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K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Q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U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Y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2" authorId="0" shapeId="0" xr:uid="{00000000-0006-0000-0600-000002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2" authorId="0" shapeId="0" xr:uid="{00000000-0006-0000-0600-000003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2" authorId="0" shapeId="0" xr:uid="{00000000-0006-0000-0600-000004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2" authorId="0" shapeId="0" xr:uid="{00000000-0006-0000-0600-000005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2" authorId="0" shapeId="0" xr:uid="{00000000-0006-0000-0600-000006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2" authorId="0" shapeId="0" xr:uid="{00000000-0006-0000-0600-000007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2" authorId="0" shapeId="0" xr:uid="{00000000-0006-0000-0600-000008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2" authorId="0" shapeId="0" xr:uid="{00000000-0006-0000-0600-000009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2" authorId="0" shapeId="0" xr:uid="{00000000-0006-0000-0600-00000A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2" authorId="0" shapeId="0" xr:uid="{00000000-0006-0000-0600-00000B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2" authorId="0" shapeId="0" xr:uid="{00000000-0006-0000-0600-00000C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2" authorId="0" shapeId="0" xr:uid="{00000000-0006-0000-0600-00000D000000}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68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60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60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60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O60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S60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W60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C60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60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K60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Q60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U60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Y60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74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K74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Q74" authorId="0" shapeId="0" xr:uid="{00000000-0006-0000-07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U74" authorId="0" shapeId="0" xr:uid="{00000000-0006-0000-07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Y74" authorId="0" shapeId="0" xr:uid="{00000000-0006-0000-07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</commentList>
</comments>
</file>

<file path=xl/sharedStrings.xml><?xml version="1.0" encoding="utf-8"?>
<sst xmlns="http://schemas.openxmlformats.org/spreadsheetml/2006/main" count="9719" uniqueCount="2393">
  <si>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</si>
  <si>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</si>
  <si>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</si>
  <si>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</si>
  <si>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</si>
  <si>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</si>
  <si>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</si>
  <si>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</si>
  <si>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</si>
  <si>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</si>
  <si>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</si>
  <si>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</si>
  <si>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</si>
  <si>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</si>
  <si>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</si>
  <si>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</si>
  <si>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</si>
  <si>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</si>
  <si>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</si>
  <si>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</si>
  <si>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</si>
  <si>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</si>
  <si>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</si>
  <si>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</si>
  <si>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</si>
  <si>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</si>
  <si>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</si>
  <si>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</si>
  <si>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</si>
  <si>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</si>
  <si>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</si>
  <si>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</si>
  <si>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</si>
  <si>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</si>
  <si>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</si>
  <si>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</si>
  <si>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</si>
  <si>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</si>
  <si>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</si>
  <si>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</si>
  <si>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</si>
  <si>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</si>
  <si>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</si>
  <si>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</si>
  <si>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</si>
  <si>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</si>
  <si>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</si>
  <si>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</si>
  <si>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</si>
  <si>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</si>
  <si>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</si>
  <si>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</si>
  <si>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</si>
  <si>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</si>
  <si>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</si>
  <si>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</si>
  <si>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</si>
  <si>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</si>
  <si>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</si>
  <si>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</si>
  <si>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</si>
  <si>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</si>
  <si>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</si>
  <si>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</si>
  <si>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</si>
  <si>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</si>
  <si>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</si>
  <si>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</si>
  <si>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</si>
  <si>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</si>
  <si>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</si>
  <si>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</si>
  <si>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</si>
  <si>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</si>
  <si>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</si>
  <si>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</si>
  <si>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</si>
  <si>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</si>
  <si>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</si>
  <si>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</si>
  <si>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</si>
  <si>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</si>
  <si>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</si>
  <si>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</si>
  <si>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</si>
  <si>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</si>
  <si>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</si>
  <si>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</si>
  <si>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</si>
  <si>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</si>
  <si>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</si>
  <si>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</si>
  <si>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</si>
  <si>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</si>
  <si>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</si>
  <si>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</si>
  <si>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</si>
  <si>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</si>
  <si>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</si>
  <si>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</si>
  <si>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</si>
  <si>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</si>
  <si>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</si>
  <si>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</si>
  <si>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</si>
  <si>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</si>
  <si>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</si>
  <si>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</si>
  <si>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</si>
  <si>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</si>
  <si>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</si>
  <si>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</si>
  <si>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</si>
  <si>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</si>
  <si>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</si>
  <si>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</si>
  <si>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</si>
  <si>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</si>
  <si>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</si>
  <si>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</si>
  <si>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</si>
  <si>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</si>
  <si>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</si>
  <si>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</si>
  <si>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</si>
  <si>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</si>
  <si>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</si>
  <si>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</si>
  <si>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</si>
  <si>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</si>
  <si>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</si>
  <si>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</si>
  <si>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</si>
  <si>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</si>
  <si>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</si>
  <si>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</si>
  <si>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</si>
  <si>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</si>
  <si>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</si>
  <si>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</si>
  <si>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</si>
  <si>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</si>
  <si>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</si>
  <si>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</si>
  <si>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</si>
  <si>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</si>
  <si>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</si>
  <si>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</si>
  <si>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</si>
  <si>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</si>
  <si>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</si>
  <si>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</si>
  <si>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</si>
  <si>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</si>
  <si>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</si>
  <si>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</si>
  <si>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</si>
  <si>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</si>
  <si>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</si>
  <si>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</si>
  <si>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</si>
  <si>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</si>
  <si>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</si>
  <si>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</si>
  <si>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</si>
  <si>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</si>
  <si>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</si>
  <si>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</si>
  <si>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</si>
  <si>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</si>
  <si>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</si>
  <si>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</si>
  <si>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</si>
  <si>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</si>
  <si>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</si>
  <si>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</si>
  <si>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</si>
  <si>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</si>
  <si>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</si>
  <si>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</si>
  <si>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</si>
  <si>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</si>
  <si>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</si>
  <si>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</si>
  <si>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</si>
  <si>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</si>
  <si>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</si>
  <si>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</si>
  <si>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</si>
  <si>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</si>
  <si>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</si>
  <si>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</si>
  <si>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</si>
  <si>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</si>
  <si>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</si>
  <si>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</si>
  <si>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</si>
  <si>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</si>
  <si>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</si>
  <si>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</si>
  <si>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</si>
  <si>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</si>
  <si>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</si>
  <si>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</si>
  <si>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</si>
  <si>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</si>
  <si>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</si>
  <si>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</si>
  <si>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</si>
  <si>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</si>
  <si>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</si>
  <si>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</si>
  <si>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</si>
  <si>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</si>
  <si>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</si>
  <si>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</si>
  <si>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</si>
  <si>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</si>
  <si>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</si>
  <si>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</si>
  <si>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</si>
  <si>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</si>
  <si>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</si>
  <si>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</si>
  <si>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</si>
  <si>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</si>
  <si>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</si>
  <si>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</si>
  <si>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</si>
  <si>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</si>
  <si>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</si>
  <si>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</si>
  <si>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</si>
  <si>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</si>
  <si>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</si>
  <si>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</si>
  <si>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</si>
  <si>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</si>
  <si>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</si>
  <si>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</si>
  <si>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</si>
  <si>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</si>
  <si>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</si>
  <si>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</si>
  <si>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</si>
  <si>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</si>
  <si>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</si>
  <si>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</si>
  <si>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</si>
  <si>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</si>
  <si>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</si>
  <si>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</si>
  <si>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</si>
  <si>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</si>
  <si>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</si>
  <si>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</si>
  <si>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</si>
  <si>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</si>
  <si>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</si>
  <si>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</si>
  <si>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</si>
  <si>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</si>
  <si>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</si>
  <si>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</si>
  <si>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</si>
  <si>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</si>
  <si>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</si>
  <si>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</si>
  <si>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</si>
  <si>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</si>
  <si>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</si>
  <si>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</si>
  <si>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</si>
  <si>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</si>
  <si>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</si>
  <si>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</si>
  <si>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</si>
  <si>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</si>
  <si>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</si>
  <si>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</si>
  <si>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</si>
  <si>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</si>
  <si>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</si>
  <si>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</si>
  <si>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</si>
  <si>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</si>
  <si>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</si>
  <si>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</si>
  <si>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</si>
  <si>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</si>
  <si>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</si>
  <si>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</si>
  <si>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</si>
  <si>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</si>
  <si>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</si>
  <si>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</si>
  <si>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</si>
  <si>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</si>
  <si>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</si>
  <si>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</si>
  <si>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</si>
  <si>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</si>
  <si>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</si>
  <si>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</si>
  <si>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</si>
  <si>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</si>
  <si>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</si>
  <si>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</si>
  <si>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</si>
  <si>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</si>
  <si>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</si>
  <si>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</si>
  <si>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</si>
  <si>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</si>
  <si>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</si>
  <si>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</si>
  <si>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</si>
  <si>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</si>
  <si>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</si>
  <si>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</si>
  <si>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</si>
  <si>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</si>
  <si>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</si>
  <si>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</si>
  <si>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</si>
  <si>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</si>
  <si>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</si>
  <si>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</si>
  <si>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</si>
  <si>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</si>
  <si>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</si>
  <si>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</si>
  <si>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</si>
  <si>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</si>
  <si>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</si>
  <si>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</si>
  <si>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</si>
  <si>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</si>
  <si>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</si>
  <si>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</si>
  <si>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</si>
  <si>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</si>
  <si>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</si>
  <si>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</si>
  <si>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</si>
  <si>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</si>
  <si>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</si>
  <si>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</si>
  <si>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</si>
  <si>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</si>
  <si>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</si>
  <si>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</si>
  <si>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</si>
  <si>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</si>
  <si>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</si>
  <si>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</si>
  <si>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</si>
  <si>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</si>
  <si>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</si>
  <si>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</si>
  <si>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</si>
  <si>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</si>
  <si>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</si>
  <si>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</si>
  <si>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</si>
  <si>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</si>
  <si>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</si>
  <si>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</si>
  <si>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</si>
  <si>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</si>
  <si>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</si>
  <si>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</si>
  <si>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</si>
  <si>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</si>
  <si>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</si>
  <si>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</si>
  <si>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</si>
  <si>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</si>
  <si>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</si>
  <si>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</si>
  <si>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</si>
  <si>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</si>
  <si>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</si>
  <si>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</si>
  <si>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</si>
  <si>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</si>
  <si>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</si>
  <si>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</si>
  <si>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</si>
  <si>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</si>
  <si>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</si>
  <si>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</si>
  <si>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</si>
  <si>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</si>
  <si>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</si>
  <si>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</si>
  <si>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</si>
  <si>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</si>
  <si>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</si>
  <si>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</si>
  <si>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</si>
  <si>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</si>
  <si>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</si>
  <si>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</si>
  <si>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</si>
  <si>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</si>
  <si>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</si>
  <si>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</si>
  <si>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</si>
  <si>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</si>
  <si>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</si>
  <si>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</si>
  <si>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</si>
  <si>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</si>
  <si>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</si>
  <si>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</si>
  <si>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</si>
  <si>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</si>
  <si>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</si>
  <si>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</si>
  <si>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</si>
  <si>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</si>
  <si>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</si>
  <si>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</si>
  <si>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</si>
  <si>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</si>
  <si>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</si>
  <si>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</si>
  <si>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</si>
  <si>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</si>
  <si>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</si>
  <si>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</si>
  <si>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</si>
  <si>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</si>
  <si>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</si>
  <si>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</si>
  <si>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</si>
  <si>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</si>
  <si>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</si>
  <si>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</si>
  <si>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</si>
  <si>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</si>
  <si>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</si>
  <si>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</si>
  <si>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</si>
  <si>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</si>
  <si>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</si>
  <si>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</si>
  <si>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</si>
  <si>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</si>
  <si>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</si>
  <si>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</si>
  <si>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</si>
  <si>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</si>
  <si>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</si>
  <si>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</si>
  <si>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</si>
  <si>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</si>
  <si>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</si>
  <si>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</si>
  <si>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</si>
  <si>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</si>
  <si>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</si>
  <si>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</si>
  <si>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</si>
  <si>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</si>
  <si>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</si>
  <si>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</si>
  <si>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</si>
  <si>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</si>
  <si>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</si>
  <si>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</si>
  <si>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</si>
  <si>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</si>
  <si>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</si>
  <si>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</si>
  <si>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</si>
  <si>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</si>
  <si>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</si>
  <si>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</si>
  <si>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</si>
  <si>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</si>
  <si>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</si>
  <si>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</si>
  <si>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</si>
  <si>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</si>
  <si>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</si>
  <si>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</si>
  <si>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</si>
  <si>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</si>
  <si>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</si>
  <si>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</si>
  <si>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</si>
  <si>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</si>
  <si>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</si>
  <si>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</si>
  <si>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</si>
  <si>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</si>
  <si>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</si>
  <si>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</si>
  <si>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</si>
  <si>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</si>
  <si>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</si>
  <si>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</si>
  <si>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</si>
  <si>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</si>
  <si>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</si>
  <si>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</si>
  <si>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</si>
  <si>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</si>
  <si>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</si>
  <si>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</si>
  <si>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</si>
  <si>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</si>
  <si>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</si>
  <si>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</si>
  <si>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</si>
  <si>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</si>
  <si>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</si>
  <si>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</si>
  <si>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</si>
  <si>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</si>
  <si>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</si>
  <si>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</si>
  <si>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</si>
  <si>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</si>
  <si>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</si>
  <si>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</si>
  <si>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</si>
  <si>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</si>
  <si>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</si>
  <si>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</si>
  <si>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</si>
  <si>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</si>
  <si>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</si>
  <si>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</si>
  <si>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</si>
  <si>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</si>
  <si>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</si>
  <si>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</si>
  <si>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</si>
  <si>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</si>
  <si>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</si>
  <si>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</si>
  <si>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</si>
  <si>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</si>
  <si>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</si>
  <si>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</si>
  <si>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</si>
  <si>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</si>
  <si>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</si>
  <si>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</si>
  <si>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</si>
  <si>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</si>
  <si>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</si>
  <si>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</si>
  <si>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</si>
  <si>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</si>
  <si>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</si>
  <si>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</si>
  <si>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</si>
  <si>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</si>
  <si>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</si>
  <si>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</si>
  <si>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</si>
  <si>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</si>
  <si>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</si>
  <si>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</si>
  <si>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</si>
  <si>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</si>
  <si>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</si>
  <si>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</si>
  <si>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</si>
  <si>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</si>
  <si>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</si>
  <si>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</si>
  <si>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</si>
  <si>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</si>
  <si>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</si>
  <si>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</si>
  <si>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</si>
  <si>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</si>
  <si>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</si>
  <si>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</si>
  <si>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</si>
  <si>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</si>
  <si>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</si>
  <si>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</si>
  <si>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</si>
  <si>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</si>
  <si>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</si>
  <si>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</si>
  <si>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</si>
  <si>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</si>
  <si>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</si>
  <si>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</si>
  <si>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</si>
  <si>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</si>
  <si>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</si>
  <si>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</si>
  <si>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</si>
  <si>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</si>
  <si>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</si>
  <si>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</si>
  <si>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</si>
  <si>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</si>
  <si>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</si>
  <si>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</si>
  <si>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</si>
  <si>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</si>
  <si>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</si>
  <si>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</si>
  <si>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</si>
  <si>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</si>
  <si>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</si>
  <si>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</si>
  <si>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</si>
  <si>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</si>
  <si>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</si>
  <si>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</si>
  <si>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</si>
  <si>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</si>
  <si>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</si>
  <si>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</si>
  <si>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</si>
  <si>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</si>
  <si>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</si>
  <si>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</si>
  <si>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</si>
  <si>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</si>
  <si>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</si>
  <si>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</si>
  <si>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</si>
  <si>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</si>
  <si>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</si>
  <si>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</si>
  <si>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</si>
  <si>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</si>
  <si>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</si>
  <si>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</si>
  <si>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</si>
  <si>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</si>
  <si>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</si>
  <si>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</si>
  <si>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</si>
  <si>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</si>
  <si>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</si>
  <si>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</si>
  <si>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</si>
  <si>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</si>
  <si>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</si>
  <si>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</si>
  <si>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</si>
  <si>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</si>
  <si>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</si>
  <si>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</si>
  <si>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</si>
  <si>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</si>
  <si>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</si>
  <si>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</si>
  <si>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</si>
  <si>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</si>
  <si>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</si>
  <si>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</si>
  <si>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</si>
  <si>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</si>
  <si>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</si>
  <si>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</si>
  <si>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</si>
  <si>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</si>
  <si>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</si>
  <si>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</si>
  <si>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</si>
  <si>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</si>
  <si>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</si>
  <si>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</si>
  <si>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</si>
  <si>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</si>
  <si>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</si>
  <si>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</si>
  <si>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</si>
  <si>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</si>
  <si>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</si>
  <si>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</si>
  <si>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</si>
  <si>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</si>
  <si>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</si>
  <si>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</si>
  <si>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</si>
  <si>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</si>
  <si>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</si>
  <si>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</si>
  <si>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</si>
  <si>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</si>
  <si>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</si>
  <si>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</si>
  <si>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</si>
  <si>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</si>
  <si>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</si>
  <si>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</si>
  <si>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</si>
  <si>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</si>
  <si>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</si>
  <si>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</si>
  <si>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</si>
  <si>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</si>
  <si>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</si>
  <si>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</si>
  <si>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</si>
  <si>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</si>
  <si>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</si>
  <si>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</si>
  <si>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</si>
  <si>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</si>
  <si>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</si>
  <si>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</si>
  <si>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</si>
  <si>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</si>
  <si>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</si>
  <si>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</si>
  <si>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</si>
  <si>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</si>
  <si>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</si>
  <si>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</si>
  <si>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</si>
  <si>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</si>
  <si>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</si>
  <si>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</si>
  <si>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</si>
  <si>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</si>
  <si>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</si>
  <si>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</si>
  <si>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</si>
  <si>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</si>
  <si>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</si>
  <si>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</si>
  <si>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</si>
  <si>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</si>
  <si>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</si>
  <si>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</si>
  <si>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</si>
  <si>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</si>
  <si>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</si>
  <si>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</si>
  <si>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</si>
  <si>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</si>
  <si>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</si>
  <si>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</si>
  <si>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</si>
  <si>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</si>
  <si>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</si>
  <si>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</si>
  <si>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</si>
  <si>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</si>
  <si>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</si>
  <si>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</si>
  <si>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</si>
  <si>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</si>
  <si>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</si>
  <si>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</si>
  <si>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</si>
  <si>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</si>
  <si>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</si>
  <si>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</si>
  <si>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</si>
  <si>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</si>
  <si>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</si>
  <si>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</si>
  <si>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</si>
  <si>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</si>
  <si>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</si>
  <si>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</si>
  <si>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</si>
  <si>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</si>
  <si>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</si>
  <si>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</si>
  <si>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</si>
  <si>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</si>
  <si>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</si>
  <si>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</si>
  <si>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</si>
  <si>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</si>
  <si>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</si>
  <si>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</si>
  <si>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</si>
  <si>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</si>
  <si>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</si>
  <si>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</si>
  <si>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</si>
  <si>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</si>
  <si>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</si>
  <si>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</si>
  <si>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</si>
  <si>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</si>
  <si>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</si>
  <si>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</si>
  <si>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</si>
  <si>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</si>
  <si>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</si>
  <si>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</si>
  <si>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</si>
  <si>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</si>
  <si>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</si>
  <si>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</si>
  <si>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</si>
  <si>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</si>
  <si>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</si>
  <si>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</si>
  <si>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</si>
  <si>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</si>
  <si>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</si>
  <si>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</si>
  <si>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</si>
  <si>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</si>
  <si>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</si>
  <si>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</si>
  <si>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</si>
  <si>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</si>
  <si>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</si>
  <si>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</si>
  <si>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</si>
  <si>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</si>
  <si>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</si>
  <si>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</si>
  <si>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</si>
  <si>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</si>
  <si>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</si>
  <si>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</si>
  <si>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</si>
  <si>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</si>
  <si>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</si>
  <si>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</si>
  <si>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</si>
  <si>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</si>
  <si>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</si>
  <si>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</si>
  <si>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</si>
  <si>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</si>
  <si>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</si>
  <si>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</si>
  <si>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</si>
  <si>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</si>
  <si>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</si>
  <si>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</si>
  <si>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</si>
  <si>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</si>
  <si>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</si>
  <si>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</si>
  <si>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</si>
  <si>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</si>
  <si>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</si>
  <si>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</si>
  <si>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</si>
  <si>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</si>
  <si>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</si>
  <si>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</si>
  <si>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</si>
  <si>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</si>
  <si>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</si>
  <si>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</si>
  <si>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</si>
  <si>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</si>
  <si>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</si>
  <si>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</si>
  <si>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</si>
  <si>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</si>
  <si>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</si>
  <si>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</si>
  <si>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</si>
  <si>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</si>
  <si>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</si>
  <si>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</si>
  <si>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</si>
  <si>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</si>
  <si>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</si>
  <si>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</si>
  <si>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</si>
  <si>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</si>
  <si>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</si>
  <si>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</si>
  <si>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</si>
  <si>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</si>
  <si>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</si>
  <si>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</si>
  <si>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</si>
  <si>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</si>
  <si>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</si>
  <si>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</si>
  <si>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</si>
  <si>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</si>
  <si>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E250 BR-190/ 9.4/77.57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</si>
  <si>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</si>
  <si>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</si>
  <si>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</si>
  <si>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</si>
  <si>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</si>
  <si>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</si>
  <si>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</si>
  <si>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</si>
  <si>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</si>
  <si>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</si>
  <si>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</si>
  <si>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</si>
  <si>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</si>
  <si>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</si>
  <si>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</si>
  <si>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</si>
  <si>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</si>
  <si>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</si>
  <si>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</si>
  <si>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</si>
  <si>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</si>
  <si>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</si>
  <si>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</si>
  <si>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</si>
  <si>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</si>
  <si>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</si>
  <si>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</si>
  <si>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</si>
  <si>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</si>
  <si>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</si>
  <si>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</si>
  <si>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</si>
  <si>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</si>
  <si>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</si>
  <si>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</si>
  <si>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</si>
  <si>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</si>
  <si>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</si>
  <si>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</si>
  <si>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</si>
  <si>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</si>
  <si>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</si>
  <si>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</si>
  <si>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</si>
  <si>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</si>
  <si>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</si>
  <si>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</si>
  <si>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</si>
  <si>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</si>
  <si>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</si>
  <si>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</si>
  <si>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</si>
  <si>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</si>
  <si>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</si>
  <si>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</si>
  <si>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</si>
  <si>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</si>
  <si>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</si>
  <si>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</si>
  <si>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</si>
  <si>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</si>
  <si>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</si>
  <si>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</si>
  <si>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</si>
  <si>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</si>
  <si>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</si>
  <si>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</si>
  <si>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</si>
  <si>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</si>
  <si>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</si>
  <si>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</si>
  <si>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</si>
  <si>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</si>
  <si>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</si>
  <si>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</si>
  <si>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</si>
  <si>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</si>
  <si>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</si>
  <si>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</si>
  <si>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</si>
  <si>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</si>
  <si>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</si>
  <si>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</si>
  <si>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</si>
  <si>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</si>
  <si>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</si>
  <si>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</si>
  <si>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</si>
  <si>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</si>
  <si>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</si>
  <si>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</si>
  <si>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</si>
  <si>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</si>
  <si>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</si>
  <si>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</si>
  <si>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</si>
  <si>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</si>
  <si>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</si>
  <si>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</si>
  <si>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</si>
  <si>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</si>
  <si>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</si>
  <si>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</si>
  <si>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</si>
  <si>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</si>
  <si>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</si>
  <si>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</si>
  <si>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</si>
  <si>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</si>
  <si>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</si>
  <si>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</si>
  <si>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</si>
  <si>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</si>
  <si>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</si>
  <si>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</si>
  <si>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</si>
  <si>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</si>
  <si>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</si>
  <si>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</si>
  <si>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</si>
  <si>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</si>
  <si>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</si>
  <si>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</si>
  <si>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</si>
  <si>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</si>
  <si>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</si>
  <si>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</si>
  <si>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</si>
  <si>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</si>
  <si>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</si>
  <si>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</si>
  <si>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</si>
  <si>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</si>
  <si>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</si>
  <si>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</si>
  <si>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</si>
  <si>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</si>
  <si>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</si>
  <si>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</si>
  <si>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</si>
  <si>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</si>
  <si>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</si>
  <si>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</si>
  <si>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</si>
  <si>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</si>
  <si>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</si>
  <si>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</si>
  <si>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</si>
  <si>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</si>
  <si>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</si>
  <si>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</si>
  <si>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</si>
  <si>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</si>
  <si>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</si>
  <si>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</si>
  <si>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</si>
  <si>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</si>
  <si>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</si>
  <si>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</si>
  <si>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</si>
  <si>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</si>
  <si>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</si>
  <si>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</si>
  <si>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</si>
  <si>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</si>
  <si>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</si>
  <si>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</si>
  <si>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</si>
  <si>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</si>
  <si>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</si>
  <si>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</si>
  <si>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</si>
  <si>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</si>
  <si>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</si>
  <si>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</si>
  <si>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</si>
  <si>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</si>
  <si>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</si>
  <si>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</si>
  <si>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</si>
  <si>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</si>
  <si>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</si>
  <si>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</si>
  <si>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</si>
  <si>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</si>
  <si>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</si>
  <si>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</si>
  <si>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</si>
  <si>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</si>
  <si>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</si>
  <si>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</si>
  <si>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</si>
  <si>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</si>
  <si>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</si>
  <si>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</si>
  <si>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</si>
  <si>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</si>
  <si>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</si>
  <si>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</si>
  <si>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</si>
  <si>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</si>
  <si>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</si>
  <si>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</si>
  <si>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</si>
  <si>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</si>
  <si>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</si>
  <si>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</si>
  <si>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</si>
  <si>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</si>
  <si>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</si>
  <si>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</si>
  <si>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</si>
  <si>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</si>
  <si>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</si>
  <si>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</si>
  <si>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</si>
  <si>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</si>
  <si>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</si>
  <si>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</si>
  <si>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</si>
  <si>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</si>
  <si>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</si>
  <si>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</si>
  <si>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</si>
  <si>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</si>
  <si>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</si>
  <si>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</si>
  <si>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</si>
  <si>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</si>
  <si>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</si>
  <si>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</si>
  <si>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</si>
  <si>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</si>
  <si>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</si>
  <si>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</si>
  <si>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</si>
  <si>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</si>
  <si>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</si>
  <si>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</si>
  <si>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</si>
  <si>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</si>
  <si>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</si>
  <si>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</si>
  <si>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</si>
  <si>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</si>
  <si>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</si>
  <si>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</si>
  <si>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</si>
  <si>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</si>
  <si>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</si>
  <si>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</si>
  <si>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</si>
  <si>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</si>
  <si>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</si>
  <si>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</si>
  <si>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</si>
  <si>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</si>
  <si>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</si>
  <si>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</si>
  <si>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</si>
  <si>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</si>
  <si>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</si>
  <si>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</si>
  <si>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</si>
  <si>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</si>
  <si>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</si>
  <si>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</si>
  <si>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</si>
  <si>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</si>
  <si>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</si>
  <si>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</si>
  <si>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</si>
  <si>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</si>
  <si>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</si>
  <si>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</si>
  <si>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</si>
  <si>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</si>
  <si>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</si>
  <si>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</si>
  <si>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</si>
  <si>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</si>
  <si>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</si>
  <si>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</si>
  <si>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</si>
  <si>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</si>
  <si>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</si>
  <si>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</si>
  <si>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</si>
  <si>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</si>
  <si>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</si>
  <si>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</si>
  <si>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</si>
  <si>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</si>
  <si>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</si>
  <si>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</si>
  <si>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</si>
  <si>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</si>
  <si>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</si>
  <si>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</si>
  <si>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</si>
  <si>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</si>
  <si>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</si>
  <si>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</si>
  <si>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</si>
  <si>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</si>
  <si>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</si>
  <si>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</si>
  <si>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</si>
  <si>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</si>
  <si>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</si>
  <si>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</si>
  <si>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</si>
  <si>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</si>
  <si>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</si>
  <si>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</si>
  <si>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SWR 14 200*280</t>
  </si>
  <si>
    <t>BLOOM CB SAILTOWER6 NB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</si>
  <si>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</si>
  <si>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</si>
  <si>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</si>
  <si>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</si>
  <si>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</si>
  <si>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</si>
  <si>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</si>
  <si>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</si>
  <si>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</si>
  <si>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</si>
  <si>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</si>
  <si>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</si>
  <si>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</si>
  <si>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</si>
  <si>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</si>
  <si>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</si>
  <si>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</si>
  <si>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</si>
  <si>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</si>
  <si>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</si>
  <si>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</si>
  <si>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</si>
  <si>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</si>
  <si>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</si>
  <si>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</si>
  <si>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</si>
  <si>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</si>
  <si>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</si>
  <si>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</si>
  <si>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</si>
  <si>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</si>
  <si>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</si>
  <si>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</si>
  <si>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</si>
  <si>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</si>
  <si>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</si>
  <si>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</si>
  <si>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</si>
  <si>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</si>
  <si>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</si>
  <si>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</si>
  <si>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</si>
  <si>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</si>
  <si>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</si>
  <si>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</si>
  <si>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</si>
  <si>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</si>
  <si>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</si>
  <si>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</si>
  <si>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</si>
  <si>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</si>
  <si>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</si>
  <si>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</si>
  <si>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</si>
  <si>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</si>
  <si>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</si>
  <si>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</si>
  <si>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</si>
  <si>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</si>
  <si>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</si>
  <si>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</si>
  <si>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</si>
  <si>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</si>
  <si>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</si>
  <si>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</si>
  <si>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</si>
  <si>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</si>
  <si>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</si>
  <si>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</si>
  <si>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</si>
  <si>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</si>
  <si>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</si>
  <si>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</si>
  <si>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</si>
  <si>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</si>
  <si>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</si>
  <si>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</si>
  <si>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</si>
  <si>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</si>
  <si>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</si>
  <si>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</si>
  <si>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</si>
  <si>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</si>
  <si>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</si>
  <si>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</si>
  <si>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</si>
  <si>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</si>
  <si>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</si>
  <si>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</si>
  <si>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</si>
  <si>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</si>
  <si>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</si>
  <si>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</si>
  <si>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</si>
  <si>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</si>
  <si>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</si>
  <si>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</si>
  <si>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</si>
  <si>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</si>
  <si>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</si>
  <si>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</si>
  <si>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</si>
  <si>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</si>
  <si>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</si>
  <si>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</si>
  <si>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</si>
  <si>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</si>
  <si>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</si>
  <si>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</si>
  <si>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</si>
  <si>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</si>
  <si>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</si>
  <si>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</si>
  <si>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</si>
  <si>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</si>
  <si>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</si>
  <si>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</si>
  <si>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IRON BASED SCRAPED ROLLS</t>
  </si>
  <si>
    <t>ASSORTED BILLET (CCP)150*150</t>
  </si>
  <si>
    <t>ASSORTED CC BLOOM 200*280</t>
  </si>
  <si>
    <t>IS 2062 E250 BR-220/12/154.46</t>
  </si>
  <si>
    <t xml:space="preserve">20 TMT 550D </t>
  </si>
  <si>
    <t>U.S. Mill</t>
  </si>
  <si>
    <t>W &amp; R Mill</t>
  </si>
  <si>
    <t>P-Way</t>
  </si>
  <si>
    <t>PCIS Plant Sales</t>
  </si>
  <si>
    <t>14 mm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</si>
  <si>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</si>
  <si>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</si>
  <si>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</si>
  <si>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</si>
  <si>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</si>
  <si>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</si>
  <si>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</si>
  <si>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TOTAL BF COKE</t>
  </si>
  <si>
    <t>SPGSTEEL SUP11A</t>
  </si>
  <si>
    <t>Russian (Soft)</t>
  </si>
  <si>
    <t>PROCESSED 50-200MM LD SLAG (BOLDER)</t>
  </si>
  <si>
    <t>RUS/S</t>
  </si>
  <si>
    <t>PROCESSED 50-200MM LD SLAG (BOULDER)</t>
  </si>
  <si>
    <t>COPPER CATHODE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</si>
  <si>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</si>
  <si>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</si>
  <si>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</si>
  <si>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</si>
  <si>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</si>
  <si>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</si>
  <si>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</si>
  <si>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</si>
  <si>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</si>
  <si>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</si>
  <si>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</si>
  <si>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</si>
  <si>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</si>
  <si>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</si>
  <si>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</si>
  <si>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</si>
  <si>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</si>
  <si>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</si>
  <si>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</si>
  <si>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</si>
  <si>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</si>
  <si>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</si>
  <si>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</si>
  <si>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</si>
  <si>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</si>
  <si>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</si>
  <si>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</si>
  <si>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</si>
  <si>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</si>
  <si>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</si>
  <si>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</si>
  <si>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</si>
  <si>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</si>
  <si>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</si>
  <si>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</si>
  <si>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</si>
  <si>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</si>
  <si>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</si>
  <si>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</si>
  <si>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</si>
  <si>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</si>
  <si>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</si>
  <si>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</si>
  <si>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</si>
  <si>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</si>
  <si>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</si>
  <si>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</si>
  <si>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</si>
  <si>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</si>
  <si>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</si>
  <si>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</si>
  <si>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</si>
  <si>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</si>
  <si>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</si>
  <si>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</si>
  <si>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</si>
  <si>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</si>
  <si>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</si>
  <si>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</si>
  <si>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</si>
  <si>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</si>
  <si>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</si>
  <si>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</si>
  <si>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</si>
  <si>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</si>
  <si>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</si>
  <si>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</si>
  <si>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</si>
  <si>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</si>
  <si>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</si>
  <si>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</si>
  <si>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</si>
  <si>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</si>
  <si>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</si>
  <si>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</si>
  <si>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</si>
  <si>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</si>
  <si>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</si>
  <si>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</si>
  <si>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</si>
  <si>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</si>
  <si>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</si>
  <si>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</si>
  <si>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</si>
  <si>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</si>
  <si>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</si>
  <si>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</si>
  <si>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</si>
  <si>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</si>
  <si>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</si>
  <si>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</si>
  <si>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</si>
  <si>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</si>
  <si>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OLD/USED &amp; REJECTED TYRES OF MV/EQUIP.</t>
  </si>
  <si>
    <t>USED &amp; REJECTED EMPTY GREASE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</si>
  <si>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</si>
  <si>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</si>
  <si>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</si>
  <si>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</si>
  <si>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</si>
  <si>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</si>
  <si>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</si>
  <si>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</si>
  <si>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</si>
  <si>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</si>
  <si>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</si>
  <si>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</si>
  <si>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</si>
  <si>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</si>
  <si>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</si>
  <si>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</si>
  <si>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</si>
  <si>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</si>
  <si>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</si>
  <si>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</si>
  <si>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</si>
  <si>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</si>
  <si>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</si>
  <si>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</si>
  <si>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</si>
  <si>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</si>
  <si>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</si>
  <si>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</si>
  <si>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</si>
  <si>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</si>
  <si>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</si>
  <si>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</si>
  <si>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</si>
  <si>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</si>
  <si>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</si>
  <si>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</si>
  <si>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</si>
  <si>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</si>
  <si>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</si>
  <si>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</si>
  <si>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200X280</t>
  </si>
  <si>
    <t>SMS Assorted blooms</t>
  </si>
  <si>
    <t>ASSORTED CC BEAM BLANK sale through marketing/IPT</t>
  </si>
  <si>
    <t>JUL'23</t>
  </si>
  <si>
    <t>SAE10B33(VD)</t>
  </si>
  <si>
    <t>CARES</t>
  </si>
  <si>
    <t>SWITCH GEARS/CKT BKR</t>
  </si>
  <si>
    <t>19MNB4(M)HC (VD)</t>
  </si>
  <si>
    <t>10B33(VD)</t>
  </si>
  <si>
    <t>C20HMNCMAV55RC</t>
  </si>
  <si>
    <t>CHANNEL IS 2062 E250BR 400*100*8.8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</si>
  <si>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</si>
  <si>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</si>
  <si>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</si>
  <si>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</si>
  <si>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</si>
  <si>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</si>
  <si>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</si>
  <si>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</si>
  <si>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</si>
  <si>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</si>
  <si>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</si>
  <si>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</si>
  <si>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</si>
  <si>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</si>
  <si>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</si>
  <si>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</si>
  <si>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</si>
  <si>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OTHER CONSUMPTION</t>
  </si>
  <si>
    <t>AUG'23</t>
  </si>
  <si>
    <t>Motor Spirit/Benzol</t>
  </si>
  <si>
    <t>DISMANTLED  STAINLESS STEEL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</si>
  <si>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</si>
  <si>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</si>
  <si>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</si>
  <si>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</si>
  <si>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</si>
  <si>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</si>
  <si>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</si>
  <si>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</si>
  <si>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</si>
  <si>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</si>
  <si>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</si>
  <si>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</si>
  <si>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</si>
  <si>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</si>
  <si>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</si>
  <si>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</si>
  <si>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</si>
  <si>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</si>
  <si>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</si>
  <si>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</si>
  <si>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</si>
  <si>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</si>
  <si>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</si>
  <si>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</si>
  <si>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</si>
  <si>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</si>
  <si>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</si>
  <si>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</si>
  <si>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</si>
  <si>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</si>
  <si>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</si>
  <si>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</si>
  <si>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</si>
  <si>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</si>
  <si>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</si>
  <si>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</si>
  <si>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</si>
  <si>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</si>
  <si>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</si>
  <si>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</si>
  <si>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</si>
  <si>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</si>
  <si>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</si>
  <si>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</si>
  <si>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</si>
  <si>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</si>
  <si>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</si>
  <si>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</si>
  <si>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</si>
  <si>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</si>
  <si>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</si>
  <si>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</si>
  <si>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WRM COILS (REBAR/WR) TRIMMED END SCRAP</t>
  </si>
  <si>
    <t>E - 250ACU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</si>
  <si>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</si>
  <si>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</si>
  <si>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</si>
  <si>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</si>
  <si>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</si>
  <si>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</si>
  <si>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</si>
  <si>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</si>
  <si>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</si>
  <si>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</si>
  <si>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Plant sales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</si>
  <si>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</si>
  <si>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</si>
  <si>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</si>
  <si>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</si>
  <si>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</si>
  <si>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</si>
  <si>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</si>
  <si>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</si>
  <si>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</si>
  <si>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</si>
  <si>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</si>
  <si>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</si>
  <si>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</si>
  <si>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</si>
  <si>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</si>
  <si>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</si>
  <si>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</si>
  <si>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</si>
  <si>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</si>
  <si>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</si>
  <si>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</si>
  <si>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</si>
  <si>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</si>
  <si>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</si>
  <si>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</si>
  <si>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</si>
  <si>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</si>
  <si>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</si>
  <si>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</si>
  <si>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</si>
  <si>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</si>
  <si>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</si>
  <si>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</si>
  <si>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</si>
  <si>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</si>
  <si>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</si>
  <si>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</si>
  <si>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</si>
  <si>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</si>
  <si>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</si>
  <si>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</si>
  <si>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</si>
  <si>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</si>
  <si>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</si>
  <si>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</si>
  <si>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</si>
  <si>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</si>
  <si>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</si>
  <si>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</si>
  <si>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</si>
  <si>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10 M</t>
  </si>
  <si>
    <t>JAN'24</t>
  </si>
  <si>
    <t>SILICO MANGANESE</t>
  </si>
  <si>
    <t>Actual Jan'24</t>
  </si>
  <si>
    <t>FERRO NEOBIUM</t>
  </si>
  <si>
    <t>ROURKELA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</si>
  <si>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</si>
  <si>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</si>
  <si>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</si>
  <si>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</si>
  <si>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</si>
  <si>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</si>
  <si>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</si>
  <si>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</si>
  <si>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</si>
  <si>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Ferro Alloys Break-up</t>
  </si>
  <si>
    <t>Reservoir Filling</t>
  </si>
  <si>
    <t>QTR 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</si>
  <si>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</si>
  <si>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</si>
  <si>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</si>
  <si>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</si>
  <si>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</si>
  <si>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</si>
  <si>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</si>
  <si>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</si>
  <si>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IPT (Prime)</t>
  </si>
  <si>
    <t>Plant sales- ASSORTED BILLETS 
(Consists of assorted billets to sister units taken as plant sales)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</si>
  <si>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</si>
  <si>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</si>
  <si>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</si>
  <si>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</si>
  <si>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</si>
  <si>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</si>
  <si>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</si>
  <si>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</si>
  <si>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(Equiv. Pig Iron @ 65% of HM sent to Sand Pit. (Ref to Fax Msg from ED (O), vide SAIL/OPRNS/ PPMS/33 dt. 05.02.15)</t>
  </si>
  <si>
    <t>ABP 2024-25</t>
  </si>
  <si>
    <t>25.0-25.2</t>
  </si>
  <si>
    <t>&lt;=0.4</t>
  </si>
  <si>
    <t>FeNi</t>
  </si>
  <si>
    <t>2024-25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</si>
  <si>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</si>
  <si>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</si>
  <si>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</si>
  <si>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</si>
  <si>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</si>
  <si>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</si>
  <si>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</si>
  <si>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</si>
  <si>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</si>
  <si>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SP</t>
  </si>
  <si>
    <t>OHP</t>
  </si>
  <si>
    <t>CHP</t>
  </si>
  <si>
    <t>CO &amp; BPP</t>
  </si>
  <si>
    <t>PCM</t>
  </si>
  <si>
    <t>LRS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</si>
  <si>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</si>
  <si>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</si>
  <si>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</si>
  <si>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</si>
  <si>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</si>
  <si>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</si>
  <si>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</si>
  <si>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</si>
  <si>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</si>
  <si>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</si>
  <si>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</si>
  <si>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</si>
  <si>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</si>
  <si>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</si>
  <si>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</si>
  <si>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</si>
  <si>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</si>
  <si>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</si>
  <si>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</si>
  <si>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</si>
  <si>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</si>
  <si>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</si>
  <si>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</si>
  <si>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</si>
  <si>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</si>
  <si>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</si>
  <si>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</si>
  <si>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</si>
  <si>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</si>
  <si>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</si>
  <si>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</si>
  <si>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</si>
  <si>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</si>
  <si>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</si>
  <si>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</si>
  <si>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</si>
  <si>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</si>
  <si>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</si>
  <si>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</si>
  <si>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</si>
  <si>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</si>
  <si>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</si>
  <si>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</si>
  <si>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</si>
  <si>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</si>
  <si>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</si>
  <si>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</si>
  <si>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</si>
  <si>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</si>
  <si>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</si>
  <si>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</si>
  <si>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</si>
  <si>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</si>
  <si>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</si>
  <si>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</si>
  <si>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Poor demand</t>
  </si>
  <si>
    <t>Raw material -Pellet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</si>
  <si>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</si>
  <si>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</si>
  <si>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</si>
  <si>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</si>
  <si>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</si>
  <si>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</si>
  <si>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</si>
  <si>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Wet Quenching (COB#11)</t>
  </si>
  <si>
    <t>MKTG DIR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</si>
  <si>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</si>
  <si>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</si>
  <si>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</si>
  <si>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</si>
  <si>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</si>
  <si>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</si>
  <si>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</si>
  <si>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</si>
  <si>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</si>
  <si>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</si>
  <si>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</si>
  <si>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</si>
  <si>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</si>
  <si>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</si>
  <si>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</si>
  <si>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</si>
  <si>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</si>
  <si>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</si>
  <si>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</si>
  <si>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</si>
  <si>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</si>
  <si>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</si>
  <si>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</si>
  <si>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</si>
  <si>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6 mm SWR10</t>
  </si>
  <si>
    <t>IS 2062 E350 BR-150/8/49.32</t>
  </si>
  <si>
    <t>IS 2062 E250 BR-150/8/49.32</t>
  </si>
  <si>
    <t>10⁶ k.cal/tls</t>
  </si>
  <si>
    <t>10⁶ k.cal/tcs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</si>
  <si>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</si>
  <si>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</si>
  <si>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</si>
  <si>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</si>
  <si>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</si>
  <si>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</si>
  <si>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</si>
  <si>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</si>
  <si>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</si>
  <si>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</si>
  <si>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</si>
  <si>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</si>
  <si>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</si>
  <si>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</si>
  <si>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</si>
  <si>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</si>
  <si>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</si>
  <si>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</si>
  <si>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</si>
  <si>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</si>
  <si>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</si>
  <si>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</si>
  <si>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</si>
  <si>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</si>
  <si>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</si>
  <si>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HC82B CR 12 (LRPC)</t>
  </si>
  <si>
    <t>IPE350</t>
  </si>
  <si>
    <t>Rejected IPE 350</t>
  </si>
  <si>
    <t>FLASH-MIXER DROSS</t>
  </si>
  <si>
    <t>IS 2062 E350 BR 350*170*50.22</t>
  </si>
  <si>
    <t>IPE-350</t>
  </si>
  <si>
    <t>IS2062 E250BR 350*170*50.22</t>
  </si>
  <si>
    <t>IS2062 E250BR 350*170*57.10</t>
  </si>
  <si>
    <t>NPB IS2062 E250BR 500*200*90.69</t>
  </si>
  <si>
    <t>NPB IS 2062 E350BR 500*200*90.69</t>
  </si>
  <si>
    <t>Sodium Hypochloride</t>
  </si>
  <si>
    <t>Actual Jul'24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</si>
  <si>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</si>
  <si>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</si>
  <si>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</si>
  <si>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</si>
  <si>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</si>
  <si>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</si>
  <si>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</si>
  <si>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INDUSTRIAL SAFETY SHOE</t>
  </si>
  <si>
    <t>Actual Aug'24</t>
  </si>
  <si>
    <t>Graphite Granuels</t>
  </si>
  <si>
    <t>EN8D AlK(VD)</t>
  </si>
  <si>
    <t>BILLET EN8D (RH) ALK</t>
  </si>
  <si>
    <t>BILLET LRPC (NON RH)</t>
  </si>
  <si>
    <t>5.5 WRC HC62B</t>
  </si>
  <si>
    <t>5.5 WRC HC72B</t>
  </si>
  <si>
    <t>CHANNEL IS 2062 E250BR 300*90*7.8</t>
  </si>
  <si>
    <t>NPB IS 2062 E350BR 400*180*66.31</t>
  </si>
  <si>
    <t xml:space="preserve">PURCHASED PELLET </t>
  </si>
  <si>
    <t>Actual Sep'24</t>
  </si>
  <si>
    <t>Av. Steel ldl life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</si>
  <si>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</si>
  <si>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</si>
  <si>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</si>
  <si>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</si>
  <si>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</si>
  <si>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</si>
  <si>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</si>
  <si>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BLOOM CB C15 MMNC 150*150</t>
  </si>
  <si>
    <t>NPB IS 2062 E250BR 450*190*77.58</t>
  </si>
  <si>
    <t>Actual Oct'24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</si>
  <si>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</si>
  <si>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</si>
  <si>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</si>
  <si>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</si>
  <si>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</si>
  <si>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</si>
  <si>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</si>
  <si>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</si>
  <si>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</si>
  <si>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Qtr-3</t>
  </si>
  <si>
    <t>Q2</t>
  </si>
  <si>
    <t>Q3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</si>
  <si>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</si>
  <si>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</si>
  <si>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</si>
  <si>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</si>
  <si>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</si>
  <si>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</si>
  <si>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</si>
  <si>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</si>
  <si>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</si>
  <si>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</si>
  <si>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</si>
  <si>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</si>
  <si>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Duration (No of days)</t>
  </si>
  <si>
    <t>SINTER PLANT-1</t>
  </si>
  <si>
    <t>SINTER PLANT-2</t>
  </si>
  <si>
    <t>Jobs Planned</t>
  </si>
  <si>
    <t>Remarks</t>
  </si>
  <si>
    <t xml:space="preserve">CDCP </t>
  </si>
  <si>
    <t xml:space="preserve">LDCP
</t>
  </si>
  <si>
    <t>LF</t>
  </si>
  <si>
    <t>Heating coke</t>
  </si>
  <si>
    <t>LEG PROTECTION ITEMS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</si>
  <si>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</si>
  <si>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</si>
  <si>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</si>
  <si>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</si>
  <si>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</si>
  <si>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Actual Jan'25</t>
  </si>
  <si>
    <t>BOF Gas consumption</t>
  </si>
  <si>
    <t>SPECIAL  SALEABLE STEEL</t>
  </si>
  <si>
    <t>IS7887 GR 4M</t>
  </si>
  <si>
    <t>Actual Feb'25</t>
  </si>
  <si>
    <t>Billet Gr4M-Sik</t>
  </si>
  <si>
    <t>IS 2062 E350 BO-200/10.2/90.69</t>
  </si>
  <si>
    <t xml:space="preserve">BLOOM CB C20 MMNA CU </t>
  </si>
  <si>
    <t>CFP</t>
  </si>
  <si>
    <t>BEAM BLANK</t>
  </si>
  <si>
    <t>Q4</t>
  </si>
  <si>
    <t xml:space="preserve">36 mm TMT </t>
  </si>
  <si>
    <t>Qtr-4</t>
  </si>
  <si>
    <t>Durgapur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</si>
  <si>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</si>
  <si>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</si>
  <si>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</si>
  <si>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</si>
  <si>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</si>
  <si>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</si>
  <si>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</si>
  <si>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</si>
  <si>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</si>
  <si>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</si>
  <si>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</si>
  <si>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</si>
  <si>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</si>
  <si>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</si>
  <si>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</si>
  <si>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</si>
  <si>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</si>
  <si>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</si>
  <si>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</si>
  <si>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MMNA CU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</si>
  <si>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</si>
  <si>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</si>
  <si>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</si>
  <si>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</si>
  <si>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</si>
  <si>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BB3 IS: 2062/2011; E250B</t>
  </si>
  <si>
    <t>BLOOM CB C20 MMNC 200*280</t>
  </si>
  <si>
    <t>BLOOM CB C25 HMN 200*280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</si>
  <si>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</si>
  <si>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</si>
  <si>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</si>
  <si>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</si>
  <si>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</si>
  <si>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</si>
  <si>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</si>
  <si>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</si>
  <si>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</si>
  <si>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</si>
  <si>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</si>
  <si>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</si>
  <si>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</si>
  <si>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</si>
  <si>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</si>
  <si>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</si>
  <si>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</si>
  <si>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</si>
  <si>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</si>
  <si>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</si>
  <si>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</si>
  <si>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</si>
  <si>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</si>
  <si>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</si>
  <si>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</si>
  <si>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</si>
  <si>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</si>
  <si>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</si>
  <si>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</si>
  <si>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</si>
  <si>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</si>
  <si>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</si>
  <si>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</si>
  <si>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</si>
  <si>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</si>
  <si>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</si>
  <si>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</si>
  <si>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</si>
  <si>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</si>
  <si>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</si>
  <si>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</si>
  <si>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</si>
  <si>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</si>
  <si>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</si>
  <si>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</si>
  <si>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</si>
  <si>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</si>
  <si>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</si>
  <si>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</si>
  <si>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</si>
  <si>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</si>
  <si>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</si>
  <si>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</si>
  <si>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</si>
  <si>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</si>
  <si>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</si>
  <si>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</si>
  <si>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</si>
  <si>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</si>
  <si>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</si>
  <si>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</si>
  <si>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</si>
  <si>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</si>
  <si>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</si>
  <si>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</si>
  <si>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</si>
  <si>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</si>
  <si>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</si>
  <si>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</si>
  <si>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</si>
  <si>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</si>
  <si>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</si>
  <si>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</si>
  <si>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</si>
  <si>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</si>
  <si>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</si>
  <si>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</si>
  <si>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</si>
  <si>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</si>
  <si>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</si>
  <si>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</si>
  <si>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</si>
  <si>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</si>
  <si>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</si>
  <si>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</si>
  <si>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</si>
  <si>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</si>
  <si>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</si>
  <si>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</si>
  <si>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</si>
  <si>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</si>
  <si>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</si>
  <si>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</si>
  <si>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</si>
  <si>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</si>
  <si>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</si>
  <si>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</si>
  <si>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</si>
  <si>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</si>
  <si>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</si>
  <si>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</si>
  <si>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</si>
  <si>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</si>
  <si>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</si>
  <si>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</si>
  <si>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</si>
  <si>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</si>
  <si>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</si>
  <si>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</si>
  <si>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</si>
  <si>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</si>
  <si>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</si>
  <si>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</si>
  <si>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</si>
  <si>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</si>
  <si>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</si>
  <si>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</si>
  <si>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</si>
  <si>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</si>
  <si>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Column</t>
  </si>
  <si>
    <t>IS 2062 E350BO</t>
  </si>
  <si>
    <t>CHANNEL  250*82*34.20</t>
  </si>
  <si>
    <t>IS 2062 E350 BO-190/ 9.4/77.58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</si>
  <si>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</si>
  <si>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</si>
  <si>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</si>
  <si>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</si>
  <si>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</si>
  <si>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</si>
  <si>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</si>
  <si>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</si>
  <si>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</si>
  <si>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</si>
  <si>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</si>
  <si>
    <t>Jul'25</t>
  </si>
  <si>
    <t>July'25</t>
  </si>
  <si>
    <t>UB 400</t>
  </si>
  <si>
    <t>Aug'25</t>
  </si>
  <si>
    <t>Beam</t>
  </si>
  <si>
    <t>CHANNEL  400*100*50.10</t>
  </si>
  <si>
    <t>BB2 IS: 2062/2011; E410C</t>
  </si>
  <si>
    <t>FERRO-VANADIUM</t>
  </si>
  <si>
    <t>ELECTRODE: 4MM FOR DISSIMILAR STEEL</t>
  </si>
  <si>
    <t>DISMANTLED BRASS SCRAP</t>
  </si>
  <si>
    <t>SOLAR ENERGY</t>
  </si>
  <si>
    <t>Actual Jul'25</t>
  </si>
  <si>
    <t>MLV/H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</si>
  <si>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</si>
  <si>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</si>
  <si>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t>
  </si>
  <si>
    <t>BF Slag Analysis 2025-26</t>
  </si>
  <si>
    <t>BOF Slag Analysis 2025-26</t>
  </si>
  <si>
    <t>APR 25</t>
  </si>
  <si>
    <t>MAY 25</t>
  </si>
  <si>
    <t>JUN 25</t>
  </si>
  <si>
    <t>JUL 25</t>
  </si>
  <si>
    <t>AUG 25</t>
  </si>
  <si>
    <t>SEP 25</t>
  </si>
  <si>
    <t>OCT 25</t>
  </si>
  <si>
    <t>DEC 25</t>
  </si>
  <si>
    <t>JAN 26</t>
  </si>
  <si>
    <t>FEB 26</t>
  </si>
  <si>
    <t>MAR 26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</si>
  <si>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</si>
  <si>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</si>
  <si>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t>
  </si>
  <si>
    <t>Billet PC115(6.5)</t>
  </si>
  <si>
    <t>BB2 IS: 2062/2011; E250A CU</t>
  </si>
  <si>
    <t>WR COIL IS 7887 GR1(CAQ) 6</t>
  </si>
  <si>
    <t>CHANNEL 300*90*36.30</t>
  </si>
  <si>
    <t>REJECTED ROLLING STOCK SCRAP</t>
  </si>
  <si>
    <t>REJECTED/BROKEN GRAPHITE ELECTRODES</t>
  </si>
  <si>
    <t>SCRAP COMPONENETS OF VEHICLE AND EQUIPTS</t>
  </si>
  <si>
    <t>REJECTED TMT BAR SCRAP(ASP)</t>
  </si>
  <si>
    <t>LS LSTONE:SIO2&lt;1.25%</t>
  </si>
  <si>
    <t>7702 (MATE. CODE. 70410400080690)</t>
  </si>
  <si>
    <t>Actual Aug'25</t>
  </si>
  <si>
    <t>Rourkela</t>
  </si>
  <si>
    <t>Other Coal</t>
  </si>
  <si>
    <t>Sep'25</t>
  </si>
  <si>
    <t>Sept'25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</si>
  <si>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</si>
  <si>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</si>
  <si>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t>
  </si>
  <si>
    <t>Gr 2(CAQ)</t>
  </si>
  <si>
    <t>UB 356*171*51</t>
  </si>
  <si>
    <t>UB 356*171*57</t>
  </si>
  <si>
    <t>BLOOM CB C20 MMNA 150*150</t>
  </si>
  <si>
    <t>BB3 IS: 2062/2011; E350C (Nb)</t>
  </si>
  <si>
    <t>IS 2062 E250BO</t>
  </si>
  <si>
    <t>UB  356*171*51</t>
  </si>
  <si>
    <t>UC 203*203*46.1</t>
  </si>
  <si>
    <t>UC  203*203*52</t>
  </si>
  <si>
    <t>UC 203*203*60</t>
  </si>
  <si>
    <t>Beam Blank</t>
  </si>
  <si>
    <t>Bloom</t>
  </si>
  <si>
    <t>POWER SAW CUTTING DUST(STEEL) WITH CHIPS</t>
  </si>
  <si>
    <t>FERRO CHROME,HIGH CARBON</t>
  </si>
  <si>
    <t>FERRO VANADIUM,50%MIN (BSL)</t>
  </si>
  <si>
    <t>RIVER SAND</t>
  </si>
  <si>
    <t>MAX QUAT-10( MATE. CODE 70410200040093)</t>
  </si>
  <si>
    <t>Actual Sep'25</t>
  </si>
  <si>
    <t>End Cut</t>
  </si>
  <si>
    <t>Bhilai</t>
  </si>
  <si>
    <t>Oct'25</t>
  </si>
  <si>
    <t>Actual Oct'25</t>
  </si>
  <si>
    <t>UB 406*178*74</t>
  </si>
  <si>
    <t>UB406*178*60</t>
  </si>
  <si>
    <t>Rejected UC 203</t>
  </si>
  <si>
    <t>Rejected UB 406</t>
  </si>
  <si>
    <t>Rejected EA 150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</si>
  <si>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</si>
  <si>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t>
  </si>
  <si>
    <t>IS 2062 E250BR 180/75.67</t>
  </si>
  <si>
    <t>IS2062 E250BR 180/75.66</t>
  </si>
  <si>
    <t>UB 406*178*60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</si>
  <si>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t>
  </si>
  <si>
    <t>MIXED STRUCTURAL SCRAP(BOKARO/ASP)</t>
  </si>
  <si>
    <t>RINL</t>
  </si>
  <si>
    <t xml:space="preserve">Assorted BILLET </t>
  </si>
  <si>
    <t>Capital Repair Details 2025-26</t>
  </si>
  <si>
    <t xml:space="preserve">Commissioning and Connection of 4th Stove &amp; Shotcreting Jobs </t>
  </si>
  <si>
    <r>
      <t xml:space="preserve">SP-1: </t>
    </r>
    <r>
      <rPr>
        <sz val="16"/>
        <color rgb="FF000000"/>
        <rFont val="Arial Narrow"/>
        <family val="2"/>
      </rPr>
      <t>COG Line Replacement, Waste Gas Fan Motor Overhauling, Cooler Dip Rail Replacement, and MND Jobs.</t>
    </r>
  </si>
  <si>
    <r>
      <t xml:space="preserve">SP-1&amp;2: </t>
    </r>
    <r>
      <rPr>
        <sz val="16"/>
        <color rgb="FF000000"/>
        <rFont val="Arial Narrow"/>
        <family val="2"/>
      </rPr>
      <t>ESP Upgradation &amp; Modification, Replacement of Wind Box, Feed Drum &amp; Running Rail.</t>
    </r>
  </si>
  <si>
    <t xml:space="preserve">CDCP#4 Capital Repair </t>
  </si>
  <si>
    <t>Installation of Emergency Brakes in Cranes;</t>
  </si>
  <si>
    <t xml:space="preserve">Water Circuit Jobs; </t>
  </si>
  <si>
    <t xml:space="preserve">Level-1 upgrade for BOF, SRU, HMDS; </t>
  </si>
  <si>
    <t xml:space="preserve">Converter Relining: BOF#1&amp; 2 Relining </t>
  </si>
  <si>
    <t>Installation of VVVF drives in HCRT of Caster-2</t>
  </si>
  <si>
    <t>Water Circuit Jobs in Firefighting Lines, EWSS, Cooling Chamber and alignment of TOCB.</t>
  </si>
  <si>
    <t>Casters</t>
  </si>
  <si>
    <t>Repair Jobs in RHF; Water Circuits; and Mill Equipment</t>
  </si>
  <si>
    <t>Coldbox Repair &amp; Deriming Jobs.</t>
  </si>
  <si>
    <t>Capital repair of Kiln#4</t>
  </si>
  <si>
    <t>Sep'25-Dec'25</t>
  </si>
  <si>
    <t>15 Days</t>
  </si>
  <si>
    <t>10+4 Days</t>
  </si>
  <si>
    <t>120 Days</t>
  </si>
  <si>
    <t>13 Days</t>
  </si>
  <si>
    <t>8 Days each</t>
  </si>
  <si>
    <t>10 Days</t>
  </si>
  <si>
    <t>12 Days</t>
  </si>
  <si>
    <t>15+5 Days </t>
  </si>
  <si>
    <t>45 Days</t>
  </si>
  <si>
    <t>Period</t>
  </si>
  <si>
    <t>Jobs Executed</t>
  </si>
  <si>
    <t>Time Period</t>
  </si>
  <si>
    <t>16.07.25-03.10.25</t>
  </si>
  <si>
    <t>CR of CDCP#4</t>
  </si>
  <si>
    <t>4 Days</t>
  </si>
  <si>
    <t xml:space="preserve">Shotcreting of B1, B2, S1, S2, S3, S4, S5, R1 &amp; R2 area  </t>
  </si>
  <si>
    <t>12/10/2025 to 13/10/2025</t>
  </si>
  <si>
    <t>Job completd</t>
  </si>
  <si>
    <t>Cleaning of deposited hard material from GCP cooling tower top portion by rope access method</t>
  </si>
  <si>
    <t>11/10/2025 to 13/10/2025</t>
  </si>
  <si>
    <t>Cleaning of deposited hard material from SGP cooling tower top portion by rope access method.</t>
  </si>
  <si>
    <t>11/10/2025 to 13/10/2026</t>
  </si>
  <si>
    <t>COG 1000 MM dia pipe change</t>
  </si>
  <si>
    <t>11/10/2025 to 14/10/2026</t>
  </si>
  <si>
    <t>Stove area ICW pipe (DN 200) approx length 100 m replacement</t>
  </si>
  <si>
    <t>Waste gas shutoff valve change</t>
  </si>
  <si>
    <t>Distribution Chute replacement</t>
  </si>
  <si>
    <t>12/10/2025 to 13/10/2026</t>
  </si>
  <si>
    <t xml:space="preserve">Coke #5, 6 Bunker liner change </t>
  </si>
  <si>
    <t>BFc#4, P1 Pulley bearing change</t>
  </si>
  <si>
    <t>CDI Mill No-1 Roller no 1 Changing</t>
  </si>
  <si>
    <t>Refractory Grouting on stove domes and hot blast main area</t>
  </si>
  <si>
    <t>Retrofitting of ID Fan Drive card</t>
  </si>
  <si>
    <t>11/10/2025 to 13/10/2027</t>
  </si>
  <si>
    <t>Stove 4 waste gas 1 &amp; 2 connection and Combustion air line connection done</t>
  </si>
  <si>
    <t xml:space="preserve">Changing of Tilting brake and maintenance of gear box </t>
  </si>
  <si>
    <t>12/10/2025 to 13/10/2027</t>
  </si>
  <si>
    <t>11.10.25-14.10.25</t>
  </si>
  <si>
    <t>Non-availability of shutdown duration required for executing the job.</t>
  </si>
  <si>
    <t>7 days</t>
  </si>
  <si>
    <t>10.10.25-16.10.25</t>
  </si>
  <si>
    <t>Conv1 relining</t>
  </si>
  <si>
    <t>06.10.25-14.10.25</t>
  </si>
  <si>
    <t>8 days</t>
  </si>
  <si>
    <t>New AMR scheme for whole SMS to be put up in PAG-1</t>
  </si>
  <si>
    <t>1.Fire fighting line 30 mtr in pipe tunnel replaced
2. Floor Supporting column installed inside cooling chamber of CCM#1
3.EWSS all sumps cleaning done
4.TOCB rake alighnment done.</t>
  </si>
  <si>
    <t>All major planned jobs are completed.</t>
  </si>
  <si>
    <t>1.ICW 9 series sump back side leakage repair.
2.Salt tank wall palster.
3.3 nos. Pump replacement in ICW. 
4.Wall repair of Lance Cooling Pump House Number 01 &amp; Number 02. 
5.Conveter#1 Scrubber pipelines cleaning and repair. 
6.Hood cooling pump replacement in Conv#1 &amp;2. 
7.LHF soft water pipeline DN100 replacement 30 meters.</t>
  </si>
  <si>
    <t>1.Shotcreting of B1, B2, S1, S2, S3, S4, S5, R1 &amp; R2 area,
2.Cleaning of deposited hard material from GCP and SGP cooling tower top portion by rope access method,
3.Stove 4 waste gas 1 &amp; 2 connection and Combustion air line connection done</t>
  </si>
  <si>
    <t>Major maintenance activities in RHF, WTP, Mill proper, media systems, Mill proper, Cranes, Finishing Mill etc</t>
  </si>
  <si>
    <t>10 days</t>
  </si>
  <si>
    <t>Major maintenanece activities in RHF, WTP, Mill proper, media systems, Mill proper, Cranes, Finishing Mill etc</t>
  </si>
  <si>
    <t>10.5 days</t>
  </si>
  <si>
    <t>10.10.25-19.10.25</t>
  </si>
  <si>
    <t>10.10.25-20.10.25</t>
  </si>
  <si>
    <t>Repair Jobs in RHF, Recuperator Replacement; 
BD Mill Manipulator Overhauling, and Water Circuits Jobs</t>
  </si>
  <si>
    <t>Postponed to next financial year due to non availability of duration required for executing the job</t>
  </si>
  <si>
    <t>Major Maintenance activities in RHF, Recuperator Replacement; RIO panel shifting, Mill proper equipments of Mechanical &amp; Electrical Maint. /Overhauling, Cranes,Finishing mill,WTP job</t>
  </si>
  <si>
    <t>12.5 days</t>
  </si>
  <si>
    <t>9.10.25-21.10.25</t>
  </si>
  <si>
    <t>10.10.25-15.10.25</t>
  </si>
  <si>
    <t>7 Days</t>
  </si>
  <si>
    <t>Capital repair of Kiln#4 of 45 days could not be taken due to non availability of duration required for executing the job</t>
  </si>
  <si>
    <t>07.10.25-13.10.25</t>
  </si>
  <si>
    <t>Capital repair of Kiln#2 Shaft#2  28 nos. lance changed</t>
  </si>
  <si>
    <t>Overhead COG pipelines 350mm dia 30mtr length changed</t>
  </si>
  <si>
    <t>Kiln#2, Kiln#3 and Kiln#4 COG pipeline cleaning from booster house to all Kilns completed</t>
  </si>
  <si>
    <t xml:space="preserve">9.10.25-16.10.25 </t>
  </si>
  <si>
    <t>1.Replacement of Cooler Dip rail, MND tyre grinding,Cold aligment &amp; Gear box, Two windbox, Crush deck,Two cross seal of sinter machine, 18 mtr. Running rail of sinter machine completed
2.Belt conveyor 1.E 9001 &amp;1.E7.004 full length belt changed</t>
  </si>
  <si>
    <t>Replacement of One windbox, Hot breaker,  replecment done, Lower stonebox of DCTC, Windmain bellow, Two downcomer,Two DCV completed</t>
  </si>
  <si>
    <t>COKE BREEZE (Road)</t>
  </si>
  <si>
    <t>Nov'25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</si>
  <si>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</si>
  <si>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</si>
  <si>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t>
  </si>
  <si>
    <t>UB 356*171*45</t>
  </si>
  <si>
    <t>UB 356*171*67.1</t>
  </si>
  <si>
    <t>Rejected UB 356</t>
  </si>
  <si>
    <t>IS 2062 E410 BR-190/ 9.4/77.58</t>
  </si>
  <si>
    <t>IS 2062 E250 BR-180/8.6/66.30</t>
  </si>
  <si>
    <t>UB  356*171*45</t>
  </si>
  <si>
    <t>SET OF MANTURBO CARDS FOR RSP.</t>
  </si>
  <si>
    <t>Actual Nov'25</t>
  </si>
  <si>
    <t>Misc / Other Delays</t>
  </si>
  <si>
    <t>Cumulative (+18)</t>
  </si>
  <si>
    <t>Cumulative(-8)</t>
  </si>
  <si>
    <t>TI</t>
  </si>
  <si>
    <t>CCS</t>
  </si>
  <si>
    <t>Labour Productivity (MoU)</t>
  </si>
  <si>
    <t>Labour Productivity (Pre-existing)</t>
  </si>
  <si>
    <t>Labor productivity calculation (Pre existing)</t>
  </si>
  <si>
    <t>Labor productivity calculation (MoU)</t>
  </si>
  <si>
    <t>LP</t>
  </si>
  <si>
    <t>Average MP =  all regular employees + Contract workers deployed in the Works &amp; NW areas of the Plant except workforce deployed in Projects.</t>
  </si>
  <si>
    <t>Porosity</t>
  </si>
  <si>
    <t>Dec'25</t>
  </si>
  <si>
    <t>MIXED SCRAP OF ARMOURED ALUMINIUM CABLES</t>
  </si>
  <si>
    <t>SCRAP AL ARMOURED/UNARMOURED(DIFF SIZES)</t>
  </si>
  <si>
    <t>FERRO TITANIUM,MIN65%</t>
  </si>
  <si>
    <t>WPB 240*240*47.40</t>
  </si>
  <si>
    <t xml:space="preserve">ASSORTED CC BEAM BLANK
</t>
  </si>
  <si>
    <t>UB 356*171*67</t>
  </si>
  <si>
    <t>UB 406*178*67</t>
  </si>
  <si>
    <t>Actual Dec'25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</si>
  <si>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</si>
  <si>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</si>
  <si>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t>
  </si>
  <si>
    <t>Jan'26</t>
  </si>
  <si>
    <t>IS 2062 E350 BR-180/8.6/66.30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</si>
  <si>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1858 Heats till 31.01.2026.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</si>
  <si>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4415 Heats till 31.01.2026.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</si>
  <si>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15834 Heats till 31.01.26.</t>
  </si>
  <si>
    <t>BLOOM CB SAILTOWER6 V 200*280</t>
  </si>
  <si>
    <t>BLOOM CB 45C8 ALK(VD) 200*280</t>
  </si>
  <si>
    <t>BLOOM CB 45 C8 (ROLLING) 200*280</t>
  </si>
  <si>
    <t>On Hold Beam Blank (Bad Cutting)</t>
  </si>
  <si>
    <t>CALCINED PETROLEUM COKE,IS:8502,1977</t>
  </si>
  <si>
    <t>CABLE,ARM,11/11KV(UE),AL,3C,240MM2</t>
  </si>
  <si>
    <t>SCRAPPED GRATE BAR, SINTER PLANT</t>
  </si>
  <si>
    <t>PVC POWER CABLE:LMFG</t>
  </si>
  <si>
    <t>BF WEATHERED GRANULATED SLAG</t>
  </si>
  <si>
    <t>BF Weathered Gran Slag</t>
  </si>
  <si>
    <t>OLD,USED &amp; REJ MECH. MACHINERY SCRAP</t>
  </si>
  <si>
    <t>SCRAP LEAD STRIPPED FROM XLPE CU CABLES</t>
  </si>
  <si>
    <t>DS SCRAP</t>
  </si>
  <si>
    <t>SCRAP SAW BLADE</t>
  </si>
  <si>
    <t>No.s</t>
  </si>
  <si>
    <t>Burden check</t>
  </si>
  <si>
    <t xml:space="preserve">% Fe in Hot Metal </t>
  </si>
  <si>
    <t>% Fe in Sinter</t>
  </si>
  <si>
    <t>% Fe in IOL</t>
  </si>
  <si>
    <t>% Fe in Pellet</t>
  </si>
  <si>
    <t>% Sinter Burden</t>
  </si>
  <si>
    <t>% IOL Burden</t>
  </si>
  <si>
    <t>%Pellet</t>
  </si>
  <si>
    <t>Prepared Burden %</t>
  </si>
  <si>
    <t>% Fe in Burden</t>
  </si>
  <si>
    <t>Burden Required</t>
  </si>
  <si>
    <t>IOL required per Ton of Hot Metal</t>
  </si>
  <si>
    <t>Pellet required per ton of Hot metal</t>
  </si>
  <si>
    <t>Sinter Required per Ton  of Hot Metal</t>
  </si>
  <si>
    <t>Reported</t>
  </si>
  <si>
    <t>Calclated</t>
  </si>
  <si>
    <t>Actual Jan'26</t>
  </si>
  <si>
    <t>Feb'26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</si>
  <si>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2297 Heats till 28.02.2026.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</si>
  <si>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4800 Heats till 28.02.2026.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</si>
  <si>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16199 Heats till 28.02.26.</t>
  </si>
  <si>
    <t>IS 2062 E350 BO</t>
  </si>
  <si>
    <t>7 mm E250A</t>
  </si>
  <si>
    <t>CALCIUM SILICIDE CORED WIRE,13MM</t>
  </si>
  <si>
    <t>DISMANTLED ALUMINIUM CABLE</t>
  </si>
  <si>
    <t>OLD/USED &amp; DISCARDED PLANTE TYPE CELL</t>
  </si>
  <si>
    <t>SCRAP ARMOURED/NON-ARMOURED COPPER CABLE</t>
  </si>
  <si>
    <t>SCRAP LEAD PLATE</t>
  </si>
  <si>
    <t>SCRAP OF VAM CHILLER UNIT</t>
  </si>
  <si>
    <t>USED AND REJECTED CABLE TRAY MADE OF GI</t>
  </si>
  <si>
    <t>BLOOM IS: 2062/2011; E250A CU</t>
  </si>
  <si>
    <t>Actual Feb'26</t>
  </si>
  <si>
    <t>Pcs.</t>
  </si>
  <si>
    <t>Total Pieces</t>
  </si>
  <si>
    <t>JAMADOBA</t>
  </si>
  <si>
    <t>Mar'26</t>
  </si>
  <si>
    <t>.</t>
  </si>
  <si>
    <t>OLD, USED &amp; REJECTED MOTORS</t>
  </si>
  <si>
    <t>BLOOM CB 45 C8 (ROLLING) 200*280 (VISL)</t>
  </si>
  <si>
    <t>BLOOM CB 45C8 ALK(VD) 200*280 (VISL)</t>
  </si>
  <si>
    <t xml:space="preserve"> PIG IRON MIXED OG</t>
  </si>
  <si>
    <t>USED &amp; REJECTED MILD STEEL SCRAP (ASP)</t>
  </si>
  <si>
    <t>CONTACTOR,AUX,110V</t>
  </si>
  <si>
    <t>UNDEFINED_SPR</t>
  </si>
  <si>
    <t>Diverted Small Sinter (Joraburi)</t>
  </si>
  <si>
    <t>IS 2062 E350 BR-190/ 9.4/77.57</t>
  </si>
  <si>
    <t>125 X 125 BILLET</t>
  </si>
  <si>
    <t xml:space="preserve">Plant sales- ASSORTED BILLETS 
</t>
  </si>
  <si>
    <t>125*125</t>
  </si>
  <si>
    <t>5.5 WRC HC78B</t>
  </si>
  <si>
    <t>5.5 WRC HC82B</t>
  </si>
  <si>
    <t>SAE 1018 / GR 7M</t>
  </si>
  <si>
    <t>Actual Mar'26</t>
  </si>
  <si>
    <t>ASSORTED BILLET (CCP)125*125- Road</t>
  </si>
  <si>
    <t>TOTAL ISP DIRECT SALES  (except asorted semis)</t>
  </si>
  <si>
    <t>Indigenous</t>
  </si>
  <si>
    <t>Average Production/Day</t>
  </si>
  <si>
    <t>value added Steel Production</t>
  </si>
  <si>
    <t>Rail</t>
  </si>
  <si>
    <t>Road</t>
  </si>
  <si>
    <t>NOV 25</t>
  </si>
  <si>
    <t>WR COIL IS 2062 E250A 6</t>
  </si>
  <si>
    <t>WR COIL IS 2062 E250A 7</t>
  </si>
  <si>
    <t>BSL</t>
  </si>
  <si>
    <t>WR COIL IS 2062 E250A 12  (BSL)</t>
  </si>
  <si>
    <t>WR COIL IS 2062 E250A 16  (BSL)</t>
  </si>
  <si>
    <t>WR COIL IS 2062 E250A 20  (ASP)</t>
  </si>
  <si>
    <t>WR COIL IS 2062 E250A 5.5  (ASP)</t>
  </si>
  <si>
    <t>Assorted Beam Blank</t>
  </si>
  <si>
    <t>Direct/Plant Sales via IPT</t>
  </si>
  <si>
    <t>Direct/Plant Sales to others</t>
  </si>
  <si>
    <t>IPT Prime</t>
  </si>
  <si>
    <t>Bloom 200x280 Prime</t>
  </si>
  <si>
    <t>Estimation of Coal to Hot Metal Ratio at ------ During 2025-26</t>
  </si>
  <si>
    <t>Item</t>
  </si>
  <si>
    <t>Coking Coal</t>
  </si>
  <si>
    <t>Op. Stock (Tonnes)</t>
  </si>
  <si>
    <t>Receipt # in Tonnes on RR basis</t>
  </si>
  <si>
    <t>Closing Stock (Tonnes)</t>
  </si>
  <si>
    <t>Estimated Consumption(Tonnes)</t>
  </si>
  <si>
    <t>CDI Coal</t>
  </si>
  <si>
    <t>Receipt/Despatch (-) in Tonnes on RR basis ( dispatches to be entered with a negative sign)</t>
  </si>
  <si>
    <t>Estimated Consumption (Tonnes)</t>
  </si>
  <si>
    <t>Moisture in BF Coke (%)</t>
  </si>
  <si>
    <t>Estimated Consumption of Dry BF Coke  from stock (Tonnes)</t>
  </si>
  <si>
    <t>BF Coke Yield(%)</t>
  </si>
  <si>
    <t>Quantity of Dry Coking Coal equivalent to BF Coke Consumption from stock(Tonnes)</t>
  </si>
  <si>
    <t>Moisture in Coking Coal (%)</t>
  </si>
  <si>
    <t>Transit &amp; Handling Loss of Coking Coal (%)</t>
  </si>
  <si>
    <t>Quantity of Dispatch Basis Wet Coking Coal equivalent to BF Coke Consumption from stock (Tonnes)</t>
  </si>
  <si>
    <t>Total Estimated Met Coal Consumption (Tonnes)</t>
  </si>
  <si>
    <t>Hot Metal Production (Tonnes)</t>
  </si>
  <si>
    <t>Estimated Coal to HM Ratio</t>
  </si>
  <si>
    <t>SHOP/MONTH</t>
  </si>
  <si>
    <t>FY2025-26</t>
  </si>
  <si>
    <r>
      <t>SHOPWISE MAKE-UP WATER CONSUMPTION OF ISP FOR FY 2025-26 (M</t>
    </r>
    <r>
      <rPr>
        <b/>
        <u/>
        <vertAlign val="superscript"/>
        <sz val="16"/>
        <color rgb="FF000000"/>
        <rFont val="Calibri"/>
        <family val="2"/>
      </rPr>
      <t>3</t>
    </r>
    <r>
      <rPr>
        <b/>
        <u/>
        <sz val="16"/>
        <color rgb="FF000000"/>
        <rFont val="Calibri"/>
        <family val="2"/>
      </rPr>
      <t>)</t>
    </r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</si>
  <si>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2835 Heats till 31.03.2026.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</si>
  <si>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5275 Heats till 31.03.2026.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</si>
  <si>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16713 Heats till 31.03.26.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</si>
</sst>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0000000"/>
    <numFmt numFmtId="180" formatCode="0.00000000"/>
    <numFmt numFmtId="181" formatCode="0.000000000"/>
  </numFmts>
  <fonts count="209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  <font>
      <sz val="16"/>
      <color rgb="FF000000"/>
      <name val="Arial Narrow"/>
      <family val="2"/>
    </font>
    <font>
      <sz val="16"/>
      <name val="Arial Narrow"/>
      <family val="2"/>
    </font>
    <font>
      <sz val="14"/>
      <color theme="1"/>
      <name val="Arial Narrow"/>
      <family val="2"/>
    </font>
    <font>
      <b/>
      <u/>
      <sz val="12"/>
      <color theme="1"/>
      <name val="Times New Roman"/>
      <family val="1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b/>
      <u/>
      <sz val="16"/>
      <color rgb="FF000000"/>
      <name val="Calibri"/>
      <family val="2"/>
    </font>
    <font>
      <u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u/>
      <vertAlign val="superscript"/>
      <sz val="16"/>
      <color rgb="FF000000"/>
      <name val="Calibri"/>
      <family val="2"/>
    </font>
  </fonts>
  <fills count="8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C000"/>
      </patternFill>
    </fill>
    <fill>
      <patternFill patternType="solid">
        <fgColor rgb="FF8FFFFF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B6DDE8"/>
        <bgColor rgb="FFB6DDE8"/>
      </patternFill>
    </fill>
  </fills>
  <borders count="20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5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0" fillId="0" borderId="0" applyNumberFormat="0" applyFill="0" applyBorder="0" applyAlignment="0" applyProtection="0">
      <alignment vertical="top"/>
      <protection locked="0"/>
    </xf>
    <xf numFmtId="0" fontId="141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4" fillId="0" borderId="0"/>
    <xf numFmtId="0" fontId="149" fillId="0" borderId="0"/>
    <xf numFmtId="0" fontId="150" fillId="0" borderId="0"/>
    <xf numFmtId="9" fontId="150" fillId="0" borderId="0" applyFont="0" applyFill="0" applyBorder="0" applyAlignment="0" applyProtection="0"/>
    <xf numFmtId="0" fontId="157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79" fillId="0" borderId="0"/>
    <xf numFmtId="0" fontId="191" fillId="0" borderId="0"/>
    <xf numFmtId="0" fontId="192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47" applyNumberFormat="0" applyAlignment="0" applyProtection="0"/>
    <xf numFmtId="0" fontId="97" fillId="41" borderId="147" applyNumberFormat="0" applyAlignment="0" applyProtection="0"/>
    <xf numFmtId="0" fontId="97" fillId="41" borderId="147" applyNumberFormat="0" applyAlignment="0" applyProtection="0"/>
    <xf numFmtId="0" fontId="6" fillId="79" borderId="148" applyNumberFormat="0" applyFont="0" applyAlignment="0" applyProtection="0"/>
    <xf numFmtId="0" fontId="6" fillId="79" borderId="148" applyNumberFormat="0" applyFont="0" applyAlignment="0" applyProtection="0"/>
    <xf numFmtId="0" fontId="6" fillId="79" borderId="148" applyNumberFormat="0" applyFont="0" applyAlignment="0" applyProtection="0"/>
    <xf numFmtId="0" fontId="6" fillId="79" borderId="148" applyNumberFormat="0" applyFont="0" applyAlignment="0" applyProtection="0"/>
    <xf numFmtId="0" fontId="6" fillId="79" borderId="148" applyNumberFormat="0" applyFont="0" applyAlignment="0" applyProtection="0"/>
    <xf numFmtId="0" fontId="6" fillId="79" borderId="148" applyNumberFormat="0" applyFont="0" applyAlignment="0" applyProtection="0"/>
    <xf numFmtId="0" fontId="6" fillId="79" borderId="148" applyNumberFormat="0" applyFont="0" applyAlignment="0" applyProtection="0"/>
    <xf numFmtId="0" fontId="6" fillId="79" borderId="148" applyNumberFormat="0" applyFont="0" applyAlignment="0" applyProtection="0"/>
    <xf numFmtId="0" fontId="6" fillId="79" borderId="148" applyNumberFormat="0" applyFont="0" applyAlignment="0" applyProtection="0"/>
    <xf numFmtId="0" fontId="49" fillId="79" borderId="148" applyNumberFormat="0" applyFont="0" applyAlignment="0" applyProtection="0"/>
    <xf numFmtId="0" fontId="49" fillId="79" borderId="148" applyNumberFormat="0" applyFont="0" applyAlignment="0" applyProtection="0"/>
    <xf numFmtId="0" fontId="49" fillId="79" borderId="148" applyNumberFormat="0" applyFont="0" applyAlignment="0" applyProtection="0"/>
    <xf numFmtId="0" fontId="49" fillId="79" borderId="148" applyNumberFormat="0" applyFont="0" applyAlignment="0" applyProtection="0"/>
    <xf numFmtId="0" fontId="49" fillId="79" borderId="148" applyNumberFormat="0" applyFont="0" applyAlignment="0" applyProtection="0"/>
    <xf numFmtId="0" fontId="49" fillId="79" borderId="148" applyNumberFormat="0" applyFont="0" applyAlignment="0" applyProtection="0"/>
    <xf numFmtId="0" fontId="49" fillId="79" borderId="148" applyNumberFormat="0" applyFont="0" applyAlignment="0" applyProtection="0"/>
    <xf numFmtId="0" fontId="49" fillId="79" borderId="148" applyNumberFormat="0" applyFont="0" applyAlignment="0" applyProtection="0"/>
    <xf numFmtId="0" fontId="49" fillId="79" borderId="148" applyNumberFormat="0" applyFon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81" fillId="0" borderId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</cellStyleXfs>
  <cellXfs count="6646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3" fillId="8" borderId="62" xfId="0" quotePrefix="1" applyNumberFormat="1" applyFont="1" applyFill="1" applyBorder="1" applyAlignment="1">
      <alignment horizontal="left" vertical="center"/>
    </xf>
    <xf numFmtId="164" fontId="134" fillId="8" borderId="62" xfId="0" quotePrefix="1" applyNumberFormat="1" applyFont="1" applyFill="1" applyBorder="1" applyAlignment="1">
      <alignment horizontal="left" vertical="center"/>
    </xf>
    <xf numFmtId="0" fontId="134" fillId="0" borderId="37" xfId="0" applyFont="1" applyBorder="1" applyAlignment="1">
      <alignment horizontal="center" vertical="center"/>
    </xf>
    <xf numFmtId="164" fontId="134" fillId="0" borderId="31" xfId="0" quotePrefix="1" applyNumberFormat="1" applyFont="1" applyBorder="1" applyAlignment="1">
      <alignment horizontal="left" vertical="center"/>
    </xf>
    <xf numFmtId="164" fontId="134" fillId="0" borderId="6" xfId="0" quotePrefix="1" applyNumberFormat="1" applyFont="1" applyBorder="1" applyAlignment="1">
      <alignment horizontal="left" vertical="center"/>
    </xf>
    <xf numFmtId="164" fontId="134" fillId="0" borderId="74" xfId="0" quotePrefix="1" applyNumberFormat="1" applyFont="1" applyBorder="1" applyAlignment="1">
      <alignment horizontal="left" vertical="center"/>
    </xf>
    <xf numFmtId="164" fontId="134" fillId="0" borderId="0" xfId="0" quotePrefix="1" applyNumberFormat="1" applyFont="1" applyAlignment="1">
      <alignment horizontal="left" vertical="center"/>
    </xf>
    <xf numFmtId="0" fontId="134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8" fillId="8" borderId="0" xfId="0" applyNumberFormat="1" applyFont="1" applyFill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6" fillId="0" borderId="11" xfId="0" applyNumberFormat="1" applyFont="1" applyBorder="1" applyAlignment="1">
      <alignment horizontal="center" vertical="center"/>
    </xf>
    <xf numFmtId="0" fontId="46" fillId="0" borderId="10" xfId="0" applyFont="1" applyBorder="1" applyAlignment="1">
      <alignment vertical="center"/>
    </xf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54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0" borderId="30" xfId="22" applyFont="1" applyFill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5" fillId="7" borderId="10" xfId="0" applyFont="1" applyFill="1" applyBorder="1" applyAlignment="1">
      <alignment horizontal="center" vertical="center"/>
    </xf>
    <xf numFmtId="0" fontId="145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5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6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6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7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7" fillId="8" borderId="7" xfId="0" applyNumberFormat="1" applyFont="1" applyFill="1" applyBorder="1" applyAlignment="1">
      <alignment horizontal="center" vertical="center"/>
    </xf>
    <xf numFmtId="167" fontId="147" fillId="8" borderId="6" xfId="0" applyNumberFormat="1" applyFont="1" applyFill="1" applyBorder="1" applyAlignment="1">
      <alignment horizontal="center" vertical="center"/>
    </xf>
    <xf numFmtId="0" fontId="148" fillId="8" borderId="6" xfId="0" applyFont="1" applyFill="1" applyBorder="1" applyAlignment="1">
      <alignment vertical="center"/>
    </xf>
    <xf numFmtId="167" fontId="147" fillId="8" borderId="47" xfId="0" applyNumberFormat="1" applyFont="1" applyFill="1" applyBorder="1" applyAlignment="1">
      <alignment horizontal="center" vertical="center"/>
    </xf>
    <xf numFmtId="167" fontId="148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9" fontId="80" fillId="6" borderId="10" xfId="22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0" fontId="152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0" fontId="153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29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4" fillId="8" borderId="10" xfId="0" applyNumberFormat="1" applyFont="1" applyFill="1" applyBorder="1" applyAlignment="1">
      <alignment horizontal="center" vertical="center"/>
    </xf>
    <xf numFmtId="9" fontId="0" fillId="0" borderId="0" xfId="22" applyFont="1"/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26" xfId="0" applyBorder="1"/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69" fontId="12" fillId="0" borderId="0" xfId="0" applyNumberFormat="1" applyFont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5" fillId="8" borderId="0" xfId="0" applyFont="1" applyFill="1"/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0" fontId="54" fillId="8" borderId="0" xfId="376" applyFill="1"/>
    <xf numFmtId="0" fontId="54" fillId="8" borderId="0" xfId="376" applyFill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79" fillId="0" borderId="0" xfId="186" applyNumberFormat="1" applyFont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7" fillId="5" borderId="10" xfId="0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3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6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7" borderId="118" xfId="0" applyFont="1" applyFill="1" applyBorder="1"/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0" fontId="21" fillId="45" borderId="41" xfId="0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0" fontId="109" fillId="8" borderId="63" xfId="0" applyFont="1" applyFill="1" applyBorder="1" applyAlignment="1">
      <alignment horizontal="left" vertical="center"/>
    </xf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2" fontId="159" fillId="0" borderId="118" xfId="0" applyNumberFormat="1" applyFont="1" applyBorder="1" applyAlignment="1">
      <alignment horizontal="center" vertical="center"/>
    </xf>
    <xf numFmtId="0" fontId="160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0" fontId="162" fillId="0" borderId="0" xfId="0" applyFont="1" applyAlignment="1">
      <alignment wrapText="1"/>
    </xf>
    <xf numFmtId="0" fontId="162" fillId="0" borderId="0" xfId="0" applyFont="1" applyAlignment="1">
      <alignment horizontal="center" vertical="center" wrapText="1"/>
    </xf>
    <xf numFmtId="1" fontId="162" fillId="0" borderId="0" xfId="0" applyNumberFormat="1" applyFont="1" applyAlignment="1">
      <alignment wrapText="1"/>
    </xf>
    <xf numFmtId="0" fontId="162" fillId="0" borderId="30" xfId="0" applyFont="1" applyBorder="1" applyAlignment="1">
      <alignment horizontal="left" wrapText="1" indent="1"/>
    </xf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167" fontId="20" fillId="7" borderId="90" xfId="0" applyNumberFormat="1" applyFont="1" applyFill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2" fontId="7" fillId="7" borderId="17" xfId="0" applyNumberFormat="1" applyFont="1" applyFill="1" applyBorder="1" applyAlignment="1">
      <alignment horizontal="center" vertical="center"/>
    </xf>
    <xf numFmtId="2" fontId="159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4" fillId="8" borderId="76" xfId="0" quotePrefix="1" applyNumberFormat="1" applyFont="1" applyFill="1" applyBorder="1" applyAlignment="1">
      <alignment horizontal="left" vertical="center"/>
    </xf>
    <xf numFmtId="164" fontId="134" fillId="8" borderId="39" xfId="0" quotePrefix="1" applyNumberFormat="1" applyFont="1" applyFill="1" applyBorder="1" applyAlignment="1">
      <alignment horizontal="left" vertical="center"/>
    </xf>
    <xf numFmtId="0" fontId="134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4" fillId="8" borderId="122" xfId="0" quotePrefix="1" applyNumberFormat="1" applyFont="1" applyFill="1" applyBorder="1" applyAlignment="1">
      <alignment horizontal="left" vertical="center"/>
    </xf>
    <xf numFmtId="0" fontId="134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4" fillId="0" borderId="123" xfId="0" applyFont="1" applyBorder="1" applyAlignment="1">
      <alignment horizontal="center" vertical="center"/>
    </xf>
    <xf numFmtId="164" fontId="134" fillId="0" borderId="32" xfId="0" quotePrefix="1" applyNumberFormat="1" applyFont="1" applyBorder="1" applyAlignment="1">
      <alignment horizontal="left" vertical="center"/>
    </xf>
    <xf numFmtId="164" fontId="134" fillId="0" borderId="49" xfId="0" quotePrefix="1" applyNumberFormat="1" applyFont="1" applyBorder="1" applyAlignment="1">
      <alignment horizontal="left" vertical="center"/>
    </xf>
    <xf numFmtId="0" fontId="134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3" fillId="8" borderId="76" xfId="0" quotePrefix="1" applyNumberFormat="1" applyFont="1" applyFill="1" applyBorder="1" applyAlignment="1">
      <alignment horizontal="left" vertical="center"/>
    </xf>
    <xf numFmtId="0" fontId="132" fillId="8" borderId="39" xfId="0" applyFont="1" applyFill="1" applyBorder="1" applyAlignment="1">
      <alignment horizontal="left" vertical="center"/>
    </xf>
    <xf numFmtId="0" fontId="133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2" fillId="8" borderId="122" xfId="0" applyFont="1" applyFill="1" applyBorder="1" applyAlignment="1">
      <alignment horizontal="left" vertical="center"/>
    </xf>
    <xf numFmtId="0" fontId="133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2" fillId="0" borderId="122" xfId="0" applyFont="1" applyBorder="1" applyAlignment="1">
      <alignment horizontal="left" vertical="center"/>
    </xf>
    <xf numFmtId="164" fontId="133" fillId="0" borderId="32" xfId="0" quotePrefix="1" applyNumberFormat="1" applyFont="1" applyBorder="1" applyAlignment="1">
      <alignment horizontal="left" vertical="center"/>
    </xf>
    <xf numFmtId="0" fontId="132" fillId="0" borderId="49" xfId="0" applyFont="1" applyBorder="1" applyAlignment="1">
      <alignment horizontal="left" vertical="center"/>
    </xf>
    <xf numFmtId="0" fontId="133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0" fontId="4" fillId="0" borderId="31" xfId="0" applyFont="1" applyBorder="1" applyAlignment="1">
      <alignment horizontal="left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2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71" fontId="12" fillId="0" borderId="0" xfId="22" applyNumberFormat="1" applyFont="1"/>
    <xf numFmtId="0" fontId="26" fillId="0" borderId="0" xfId="0" applyFont="1"/>
    <xf numFmtId="0" fontId="174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1" fillId="5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9" fillId="8" borderId="0" xfId="0" applyFont="1" applyFill="1"/>
    <xf numFmtId="0" fontId="29" fillId="8" borderId="10" xfId="0" applyFont="1" applyFill="1" applyBorder="1" applyAlignment="1">
      <alignment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0" fontId="0" fillId="0" borderId="45" xfId="0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0" fontId="148" fillId="7" borderId="10" xfId="0" applyFont="1" applyFill="1" applyBorder="1" applyAlignment="1">
      <alignment vertical="center"/>
    </xf>
    <xf numFmtId="0" fontId="148" fillId="5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48" fillId="8" borderId="10" xfId="0" applyFont="1" applyFill="1" applyBorder="1"/>
    <xf numFmtId="0" fontId="36" fillId="0" borderId="0" xfId="0" applyFont="1"/>
    <xf numFmtId="0" fontId="175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7" borderId="0" xfId="0" applyFont="1" applyFill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7" fillId="0" borderId="118" xfId="0" applyFont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ill="1" applyBorder="1"/>
    <xf numFmtId="0" fontId="0" fillId="8" borderId="42" xfId="0" applyFill="1" applyBorder="1"/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0" fontId="20" fillId="0" borderId="64" xfId="0" applyFont="1" applyBorder="1" applyAlignment="1">
      <alignment horizontal="left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69" fontId="12" fillId="7" borderId="42" xfId="0" applyNumberFormat="1" applyFont="1" applyFill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1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7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78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8" xfId="0" applyNumberFormat="1" applyFont="1" applyFill="1" applyBorder="1" applyAlignment="1">
      <alignment horizontal="center" vertical="center"/>
    </xf>
    <xf numFmtId="1" fontId="20" fillId="5" borderId="127" xfId="0" applyNumberFormat="1" applyFont="1" applyFill="1" applyBorder="1" applyAlignment="1">
      <alignment vertical="center"/>
    </xf>
    <xf numFmtId="1" fontId="20" fillId="7" borderId="127" xfId="0" applyNumberFormat="1" applyFont="1" applyFill="1" applyBorder="1" applyAlignment="1">
      <alignment vertical="center"/>
    </xf>
    <xf numFmtId="1" fontId="20" fillId="0" borderId="127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78" fillId="8" borderId="0" xfId="186" applyNumberFormat="1" applyFont="1" applyFill="1" applyAlignment="1">
      <alignment horizontal="center" vertical="center"/>
    </xf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7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67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20" fillId="7" borderId="129" xfId="0" applyNumberFormat="1" applyFont="1" applyFill="1" applyBorder="1" applyAlignment="1">
      <alignment horizontal="center" vertical="center"/>
    </xf>
    <xf numFmtId="1" fontId="21" fillId="7" borderId="129" xfId="0" applyNumberFormat="1" applyFont="1" applyFill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29" xfId="0" applyNumberFormat="1" applyFont="1" applyFill="1" applyBorder="1" applyAlignment="1">
      <alignment horizontal="center" vertical="center"/>
    </xf>
    <xf numFmtId="1" fontId="20" fillId="8" borderId="129" xfId="0" applyNumberFormat="1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0" xfId="0" applyFill="1" applyBorder="1" applyAlignment="1">
      <alignment horizontal="center" vertical="center"/>
    </xf>
    <xf numFmtId="0" fontId="0" fillId="8" borderId="86" xfId="0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1" fontId="20" fillId="0" borderId="130" xfId="0" applyNumberFormat="1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1" fontId="20" fillId="0" borderId="129" xfId="0" applyNumberFormat="1" applyFont="1" applyBorder="1" applyAlignment="1">
      <alignment horizontal="center" vertical="center"/>
    </xf>
    <xf numFmtId="2" fontId="20" fillId="0" borderId="129" xfId="0" applyNumberFormat="1" applyFont="1" applyBorder="1" applyAlignment="1">
      <alignment horizontal="center" vertical="center"/>
    </xf>
    <xf numFmtId="167" fontId="20" fillId="7" borderId="129" xfId="0" applyNumberFormat="1" applyFont="1" applyFill="1" applyBorder="1" applyAlignment="1">
      <alignment vertical="center"/>
    </xf>
    <xf numFmtId="1" fontId="20" fillId="5" borderId="129" xfId="0" applyNumberFormat="1" applyFont="1" applyFill="1" applyBorder="1" applyAlignment="1">
      <alignment vertical="center"/>
    </xf>
    <xf numFmtId="167" fontId="20" fillId="7" borderId="129" xfId="0" applyNumberFormat="1" applyFont="1" applyFill="1" applyBorder="1" applyAlignment="1">
      <alignment horizontal="center" vertical="center"/>
    </xf>
    <xf numFmtId="1" fontId="19" fillId="5" borderId="129" xfId="0" applyNumberFormat="1" applyFont="1" applyFill="1" applyBorder="1" applyAlignment="1">
      <alignment horizontal="center" vertical="center"/>
    </xf>
    <xf numFmtId="1" fontId="19" fillId="6" borderId="129" xfId="0" applyNumberFormat="1" applyFont="1" applyFill="1" applyBorder="1" applyAlignment="1">
      <alignment horizontal="center" vertical="center"/>
    </xf>
    <xf numFmtId="167" fontId="18" fillId="7" borderId="129" xfId="0" applyNumberFormat="1" applyFont="1" applyFill="1" applyBorder="1" applyAlignment="1">
      <alignment vertical="center"/>
    </xf>
    <xf numFmtId="1" fontId="18" fillId="5" borderId="129" xfId="0" applyNumberFormat="1" applyFont="1" applyFill="1" applyBorder="1" applyAlignment="1">
      <alignment vertical="center"/>
    </xf>
    <xf numFmtId="0" fontId="19" fillId="8" borderId="129" xfId="0" applyFont="1" applyFill="1" applyBorder="1" applyAlignment="1">
      <alignment vertical="center"/>
    </xf>
    <xf numFmtId="1" fontId="20" fillId="7" borderId="129" xfId="0" applyNumberFormat="1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29" xfId="0" applyFont="1" applyFill="1" applyBorder="1" applyAlignment="1">
      <alignment horizontal="left" vertical="center"/>
    </xf>
    <xf numFmtId="1" fontId="20" fillId="0" borderId="129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5" borderId="131" xfId="0" applyNumberFormat="1" applyFont="1" applyFill="1" applyBorder="1" applyAlignment="1">
      <alignment vertical="center"/>
    </xf>
    <xf numFmtId="1" fontId="20" fillId="6" borderId="131" xfId="0" applyNumberFormat="1" applyFont="1" applyFill="1" applyBorder="1" applyAlignment="1">
      <alignment vertical="center"/>
    </xf>
    <xf numFmtId="1" fontId="20" fillId="44" borderId="131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32" xfId="0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0" borderId="132" xfId="0" applyNumberFormat="1" applyFont="1" applyBorder="1" applyAlignment="1">
      <alignment horizontal="center" vertical="center"/>
    </xf>
    <xf numFmtId="1" fontId="19" fillId="50" borderId="132" xfId="0" applyNumberFormat="1" applyFont="1" applyFill="1" applyBorder="1" applyAlignment="1">
      <alignment horizontal="center" vertical="center"/>
    </xf>
    <xf numFmtId="1" fontId="19" fillId="8" borderId="132" xfId="0" applyNumberFormat="1" applyFont="1" applyFill="1" applyBorder="1" applyAlignment="1">
      <alignment horizontal="center" vertical="center"/>
    </xf>
    <xf numFmtId="1" fontId="19" fillId="8" borderId="134" xfId="0" applyNumberFormat="1" applyFont="1" applyFill="1" applyBorder="1" applyAlignment="1">
      <alignment horizontal="center" vertical="center"/>
    </xf>
    <xf numFmtId="1" fontId="18" fillId="5" borderId="132" xfId="0" applyNumberFormat="1" applyFont="1" applyFill="1" applyBorder="1" applyAlignment="1">
      <alignment horizontal="center" vertical="center"/>
    </xf>
    <xf numFmtId="1" fontId="18" fillId="0" borderId="132" xfId="0" applyNumberFormat="1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69" fontId="20" fillId="0" borderId="0" xfId="0" applyNumberFormat="1" applyFont="1"/>
    <xf numFmtId="1" fontId="19" fillId="5" borderId="132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4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2" xfId="0" applyFont="1" applyBorder="1" applyAlignment="1">
      <alignment horizontal="center" vertical="center"/>
    </xf>
    <xf numFmtId="0" fontId="19" fillId="7" borderId="132" xfId="0" applyFont="1" applyFill="1" applyBorder="1" applyAlignment="1">
      <alignment horizontal="center" vertical="center"/>
    </xf>
    <xf numFmtId="0" fontId="19" fillId="5" borderId="132" xfId="0" applyFont="1" applyFill="1" applyBorder="1" applyAlignment="1">
      <alignment horizontal="center" vertical="center"/>
    </xf>
    <xf numFmtId="0" fontId="19" fillId="50" borderId="132" xfId="0" applyFont="1" applyFill="1" applyBorder="1" applyAlignment="1">
      <alignment horizontal="center" vertical="center"/>
    </xf>
    <xf numFmtId="0" fontId="19" fillId="6" borderId="132" xfId="0" applyFont="1" applyFill="1" applyBorder="1" applyAlignment="1">
      <alignment horizontal="center" vertical="center"/>
    </xf>
    <xf numFmtId="2" fontId="19" fillId="7" borderId="132" xfId="0" applyNumberFormat="1" applyFont="1" applyFill="1" applyBorder="1" applyAlignment="1">
      <alignment horizontal="center" vertical="center"/>
    </xf>
    <xf numFmtId="2" fontId="19" fillId="5" borderId="132" xfId="0" applyNumberFormat="1" applyFont="1" applyFill="1" applyBorder="1" applyAlignment="1">
      <alignment horizontal="center" vertical="center"/>
    </xf>
    <xf numFmtId="2" fontId="19" fillId="6" borderId="132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" fontId="20" fillId="8" borderId="132" xfId="0" applyNumberFormat="1" applyFont="1" applyFill="1" applyBorder="1" applyAlignment="1">
      <alignment horizontal="center" vertical="center"/>
    </xf>
    <xf numFmtId="1" fontId="19" fillId="8" borderId="132" xfId="0" applyNumberFormat="1" applyFont="1" applyFill="1" applyBorder="1" applyAlignment="1">
      <alignment horizontal="center"/>
    </xf>
    <xf numFmtId="1" fontId="19" fillId="7" borderId="132" xfId="0" applyNumberFormat="1" applyFont="1" applyFill="1" applyBorder="1" applyAlignment="1">
      <alignment horizontal="center"/>
    </xf>
    <xf numFmtId="1" fontId="19" fillId="5" borderId="132" xfId="0" applyNumberFormat="1" applyFont="1" applyFill="1" applyBorder="1" applyAlignment="1">
      <alignment horizontal="center"/>
    </xf>
    <xf numFmtId="1" fontId="19" fillId="6" borderId="132" xfId="0" applyNumberFormat="1" applyFont="1" applyFill="1" applyBorder="1" applyAlignment="1">
      <alignment horizontal="center"/>
    </xf>
    <xf numFmtId="164" fontId="20" fillId="0" borderId="132" xfId="0" quotePrefix="1" applyNumberFormat="1" applyFont="1" applyBorder="1" applyAlignment="1">
      <alignment horizontal="right" vertical="center"/>
    </xf>
    <xf numFmtId="1" fontId="48" fillId="0" borderId="132" xfId="0" applyNumberFormat="1" applyFont="1" applyBorder="1" applyAlignment="1">
      <alignment vertical="center"/>
    </xf>
    <xf numFmtId="1" fontId="48" fillId="7" borderId="132" xfId="0" applyNumberFormat="1" applyFont="1" applyFill="1" applyBorder="1" applyAlignment="1">
      <alignment vertical="center"/>
    </xf>
    <xf numFmtId="1" fontId="20" fillId="7" borderId="132" xfId="0" applyNumberFormat="1" applyFont="1" applyFill="1" applyBorder="1" applyAlignment="1">
      <alignment horizontal="center" vertical="center"/>
    </xf>
    <xf numFmtId="1" fontId="48" fillId="5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horizontal="center" vertical="center"/>
    </xf>
    <xf numFmtId="0" fontId="20" fillId="8" borderId="132" xfId="0" applyFont="1" applyFill="1" applyBorder="1" applyAlignment="1">
      <alignment horizontal="left" vertical="center"/>
    </xf>
    <xf numFmtId="0" fontId="20" fillId="0" borderId="132" xfId="0" applyFont="1" applyBorder="1" applyAlignment="1">
      <alignment horizontal="left" vertical="center"/>
    </xf>
    <xf numFmtId="1" fontId="20" fillId="0" borderId="132" xfId="0" applyNumberFormat="1" applyFont="1" applyBorder="1" applyAlignment="1">
      <alignment vertical="center"/>
    </xf>
    <xf numFmtId="1" fontId="20" fillId="0" borderId="132" xfId="0" applyNumberFormat="1" applyFont="1" applyBorder="1" applyAlignment="1">
      <alignment horizontal="center" vertical="center"/>
    </xf>
    <xf numFmtId="1" fontId="20" fillId="7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81" fillId="0" borderId="0" xfId="0" applyFont="1"/>
    <xf numFmtId="167" fontId="181" fillId="0" borderId="0" xfId="0" applyNumberFormat="1" applyFont="1" applyAlignment="1">
      <alignment horizontal="center" vertical="center"/>
    </xf>
    <xf numFmtId="1" fontId="181" fillId="0" borderId="0" xfId="0" applyNumberFormat="1" applyFont="1" applyAlignment="1">
      <alignment horizontal="center" vertical="center"/>
    </xf>
    <xf numFmtId="0" fontId="181" fillId="0" borderId="0" xfId="0" applyFont="1" applyAlignment="1">
      <alignment horizontal="center" vertical="center"/>
    </xf>
    <xf numFmtId="0" fontId="181" fillId="8" borderId="0" xfId="0" applyFont="1" applyFill="1" applyAlignment="1">
      <alignment horizontal="center" vertical="center"/>
    </xf>
    <xf numFmtId="1" fontId="7" fillId="45" borderId="134" xfId="0" applyNumberFormat="1" applyFont="1" applyFill="1" applyBorder="1" applyAlignment="1">
      <alignment horizontal="center" vertical="center"/>
    </xf>
    <xf numFmtId="1" fontId="4" fillId="45" borderId="134" xfId="0" applyNumberFormat="1" applyFont="1" applyFill="1" applyBorder="1" applyAlignment="1">
      <alignment horizontal="center" vertical="center"/>
    </xf>
    <xf numFmtId="0" fontId="76" fillId="45" borderId="134" xfId="0" applyFont="1" applyFill="1" applyBorder="1" applyAlignment="1">
      <alignment horizontal="center" vertical="center"/>
    </xf>
    <xf numFmtId="167" fontId="7" fillId="45" borderId="134" xfId="0" applyNumberFormat="1" applyFont="1" applyFill="1" applyBorder="1" applyAlignment="1">
      <alignment horizontal="center" vertical="center"/>
    </xf>
    <xf numFmtId="167" fontId="4" fillId="45" borderId="134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0" xfId="0" applyFont="1" applyBorder="1" applyAlignment="1">
      <alignment horizontal="left" vertical="center"/>
    </xf>
    <xf numFmtId="1" fontId="20" fillId="0" borderId="128" xfId="0" applyNumberFormat="1" applyFont="1" applyBorder="1" applyAlignment="1">
      <alignment horizontal="center" vertical="center"/>
    </xf>
    <xf numFmtId="1" fontId="20" fillId="5" borderId="128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0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2" xfId="0" applyFont="1" applyBorder="1" applyAlignment="1">
      <alignment horizontal="left" vertical="center"/>
    </xf>
    <xf numFmtId="1" fontId="20" fillId="6" borderId="132" xfId="0" applyNumberFormat="1" applyFont="1" applyFill="1" applyBorder="1" applyAlignment="1">
      <alignment horizontal="center" vertical="center"/>
    </xf>
    <xf numFmtId="1" fontId="20" fillId="45" borderId="132" xfId="0" applyNumberFormat="1" applyFont="1" applyFill="1" applyBorder="1" applyAlignment="1">
      <alignment horizontal="center" vertical="center"/>
    </xf>
    <xf numFmtId="0" fontId="86" fillId="0" borderId="132" xfId="0" applyFont="1" applyBorder="1" applyAlignment="1">
      <alignment horizontal="left" vertical="center"/>
    </xf>
    <xf numFmtId="1" fontId="21" fillId="5" borderId="132" xfId="0" applyNumberFormat="1" applyFont="1" applyFill="1" applyBorder="1" applyAlignment="1">
      <alignment horizontal="center" vertical="center"/>
    </xf>
    <xf numFmtId="1" fontId="21" fillId="6" borderId="132" xfId="0" applyNumberFormat="1" applyFont="1" applyFill="1" applyBorder="1" applyAlignment="1">
      <alignment horizontal="center" vertical="center"/>
    </xf>
    <xf numFmtId="1" fontId="21" fillId="7" borderId="132" xfId="0" applyNumberFormat="1" applyFont="1" applyFill="1" applyBorder="1" applyAlignment="1">
      <alignment horizontal="center" vertical="center"/>
    </xf>
    <xf numFmtId="1" fontId="21" fillId="45" borderId="132" xfId="0" applyNumberFormat="1" applyFont="1" applyFill="1" applyBorder="1" applyAlignment="1">
      <alignment horizontal="center" vertical="center"/>
    </xf>
    <xf numFmtId="0" fontId="76" fillId="8" borderId="132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2" xfId="0" applyFont="1" applyFill="1" applyBorder="1" applyAlignment="1">
      <alignment horizontal="center" vertical="center"/>
    </xf>
    <xf numFmtId="0" fontId="45" fillId="45" borderId="132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2" xfId="0" applyNumberFormat="1" applyFont="1" applyFill="1" applyBorder="1" applyAlignment="1">
      <alignment horizontal="center" vertical="center"/>
    </xf>
    <xf numFmtId="167" fontId="20" fillId="6" borderId="132" xfId="0" applyNumberFormat="1" applyFont="1" applyFill="1" applyBorder="1" applyAlignment="1">
      <alignment horizontal="center" vertical="center"/>
    </xf>
    <xf numFmtId="167" fontId="20" fillId="45" borderId="132" xfId="0" applyNumberFormat="1" applyFont="1" applyFill="1" applyBorder="1" applyAlignment="1">
      <alignment horizontal="center" vertical="center"/>
    </xf>
    <xf numFmtId="167" fontId="20" fillId="7" borderId="132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2" xfId="0" applyNumberFormat="1" applyFont="1" applyFill="1" applyBorder="1" applyAlignment="1">
      <alignment horizontal="center" vertical="center"/>
    </xf>
    <xf numFmtId="167" fontId="21" fillId="6" borderId="132" xfId="0" applyNumberFormat="1" applyFont="1" applyFill="1" applyBorder="1" applyAlignment="1">
      <alignment horizontal="center" vertical="center"/>
    </xf>
    <xf numFmtId="167" fontId="21" fillId="7" borderId="132" xfId="0" applyNumberFormat="1" applyFont="1" applyFill="1" applyBorder="1" applyAlignment="1">
      <alignment horizontal="center" vertical="center"/>
    </xf>
    <xf numFmtId="167" fontId="21" fillId="45" borderId="132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0" xfId="0" applyNumberFormat="1" applyFont="1" applyFill="1" applyBorder="1" applyAlignment="1">
      <alignment horizontal="center" vertical="center"/>
    </xf>
    <xf numFmtId="167" fontId="20" fillId="6" borderId="130" xfId="0" applyNumberFormat="1" applyFont="1" applyFill="1" applyBorder="1" applyAlignment="1">
      <alignment horizontal="center" vertical="center"/>
    </xf>
    <xf numFmtId="167" fontId="20" fillId="45" borderId="130" xfId="0" applyNumberFormat="1" applyFont="1" applyFill="1" applyBorder="1" applyAlignment="1">
      <alignment horizontal="center" vertical="center"/>
    </xf>
    <xf numFmtId="167" fontId="20" fillId="45" borderId="128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0" fontId="182" fillId="8" borderId="118" xfId="0" applyFont="1" applyFill="1" applyBorder="1" applyAlignment="1">
      <alignment horizontal="center" vertical="center"/>
    </xf>
    <xf numFmtId="0" fontId="183" fillId="8" borderId="118" xfId="0" applyFont="1" applyFill="1" applyBorder="1" applyAlignment="1">
      <alignment horizontal="center"/>
    </xf>
    <xf numFmtId="0" fontId="182" fillId="8" borderId="118" xfId="0" applyFont="1" applyFill="1" applyBorder="1" applyAlignment="1">
      <alignment horizontal="center"/>
    </xf>
    <xf numFmtId="0" fontId="184" fillId="8" borderId="118" xfId="0" applyFont="1" applyFill="1" applyBorder="1" applyAlignment="1">
      <alignment horizontal="center"/>
    </xf>
    <xf numFmtId="0" fontId="185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167" fontId="181" fillId="8" borderId="0" xfId="0" applyNumberFormat="1" applyFont="1" applyFill="1" applyAlignment="1">
      <alignment horizontal="center" vertical="center"/>
    </xf>
    <xf numFmtId="1" fontId="181" fillId="8" borderId="0" xfId="0" applyNumberFormat="1" applyFont="1" applyFill="1" applyAlignment="1">
      <alignment horizontal="center" vertical="center"/>
    </xf>
    <xf numFmtId="2" fontId="181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0" fillId="5" borderId="0" xfId="0" applyFill="1"/>
    <xf numFmtId="0" fontId="186" fillId="0" borderId="10" xfId="0" applyFont="1" applyBorder="1" applyAlignment="1">
      <alignment horizontal="center" vertical="center"/>
    </xf>
    <xf numFmtId="0" fontId="186" fillId="6" borderId="10" xfId="0" applyFont="1" applyFill="1" applyBorder="1" applyAlignment="1">
      <alignment horizontal="center" vertical="center"/>
    </xf>
    <xf numFmtId="0" fontId="187" fillId="0" borderId="10" xfId="0" applyFont="1" applyBorder="1"/>
    <xf numFmtId="0" fontId="187" fillId="8" borderId="10" xfId="0" applyFont="1" applyFill="1" applyBorder="1"/>
    <xf numFmtId="1" fontId="187" fillId="0" borderId="10" xfId="0" applyNumberFormat="1" applyFont="1" applyBorder="1" applyAlignment="1">
      <alignment horizontal="center"/>
    </xf>
    <xf numFmtId="1" fontId="187" fillId="7" borderId="10" xfId="0" applyNumberFormat="1" applyFont="1" applyFill="1" applyBorder="1" applyAlignment="1">
      <alignment horizontal="center"/>
    </xf>
    <xf numFmtId="1" fontId="187" fillId="5" borderId="10" xfId="0" applyNumberFormat="1" applyFont="1" applyFill="1" applyBorder="1" applyAlignment="1">
      <alignment horizontal="center"/>
    </xf>
    <xf numFmtId="0" fontId="187" fillId="0" borderId="0" xfId="0" applyFont="1"/>
    <xf numFmtId="1" fontId="187" fillId="8" borderId="118" xfId="0" applyNumberFormat="1" applyFont="1" applyFill="1" applyBorder="1" applyAlignment="1">
      <alignment horizontal="center"/>
    </xf>
    <xf numFmtId="1" fontId="187" fillId="6" borderId="118" xfId="0" applyNumberFormat="1" applyFont="1" applyFill="1" applyBorder="1" applyAlignment="1">
      <alignment horizontal="center"/>
    </xf>
    <xf numFmtId="1" fontId="187" fillId="6" borderId="10" xfId="0" applyNumberFormat="1" applyFont="1" applyFill="1" applyBorder="1" applyAlignment="1">
      <alignment horizontal="center"/>
    </xf>
    <xf numFmtId="0" fontId="187" fillId="0" borderId="118" xfId="0" applyFont="1" applyBorder="1"/>
    <xf numFmtId="0" fontId="187" fillId="8" borderId="118" xfId="0" applyFont="1" applyFill="1" applyBorder="1"/>
    <xf numFmtId="1" fontId="187" fillId="0" borderId="118" xfId="0" applyNumberFormat="1" applyFont="1" applyBorder="1" applyAlignment="1">
      <alignment horizontal="center"/>
    </xf>
    <xf numFmtId="1" fontId="187" fillId="5" borderId="118" xfId="0" applyNumberFormat="1" applyFont="1" applyFill="1" applyBorder="1" applyAlignment="1">
      <alignment horizontal="center"/>
    </xf>
    <xf numFmtId="1" fontId="187" fillId="7" borderId="118" xfId="0" applyNumberFormat="1" applyFont="1" applyFill="1" applyBorder="1" applyAlignment="1">
      <alignment horizontal="center"/>
    </xf>
    <xf numFmtId="1" fontId="187" fillId="0" borderId="0" xfId="0" applyNumberFormat="1" applyFont="1"/>
    <xf numFmtId="0" fontId="186" fillId="43" borderId="10" xfId="0" applyFont="1" applyFill="1" applyBorder="1"/>
    <xf numFmtId="1" fontId="186" fillId="43" borderId="10" xfId="0" applyNumberFormat="1" applyFont="1" applyFill="1" applyBorder="1" applyAlignment="1">
      <alignment horizontal="center"/>
    </xf>
    <xf numFmtId="1" fontId="186" fillId="7" borderId="10" xfId="0" applyNumberFormat="1" applyFont="1" applyFill="1" applyBorder="1" applyAlignment="1">
      <alignment horizontal="center"/>
    </xf>
    <xf numFmtId="1" fontId="186" fillId="5" borderId="10" xfId="0" applyNumberFormat="1" applyFont="1" applyFill="1" applyBorder="1" applyAlignment="1">
      <alignment horizontal="center"/>
    </xf>
    <xf numFmtId="1" fontId="186" fillId="6" borderId="10" xfId="0" applyNumberFormat="1" applyFont="1" applyFill="1" applyBorder="1" applyAlignment="1">
      <alignment horizontal="center"/>
    </xf>
    <xf numFmtId="1" fontId="187" fillId="8" borderId="10" xfId="0" applyNumberFormat="1" applyFont="1" applyFill="1" applyBorder="1" applyAlignment="1">
      <alignment horizontal="center"/>
    </xf>
    <xf numFmtId="0" fontId="187" fillId="0" borderId="117" xfId="0" applyFont="1" applyBorder="1"/>
    <xf numFmtId="1" fontId="187" fillId="8" borderId="117" xfId="0" applyNumberFormat="1" applyFont="1" applyFill="1" applyBorder="1" applyAlignment="1">
      <alignment horizontal="center"/>
    </xf>
    <xf numFmtId="1" fontId="187" fillId="7" borderId="117" xfId="0" applyNumberFormat="1" applyFont="1" applyFill="1" applyBorder="1" applyAlignment="1">
      <alignment horizontal="center"/>
    </xf>
    <xf numFmtId="1" fontId="187" fillId="5" borderId="117" xfId="0" applyNumberFormat="1" applyFont="1" applyFill="1" applyBorder="1" applyAlignment="1">
      <alignment horizontal="center"/>
    </xf>
    <xf numFmtId="0" fontId="187" fillId="0" borderId="131" xfId="0" applyFont="1" applyBorder="1"/>
    <xf numFmtId="1" fontId="187" fillId="8" borderId="131" xfId="0" applyNumberFormat="1" applyFont="1" applyFill="1" applyBorder="1" applyAlignment="1">
      <alignment horizontal="center"/>
    </xf>
    <xf numFmtId="1" fontId="187" fillId="7" borderId="131" xfId="0" applyNumberFormat="1" applyFont="1" applyFill="1" applyBorder="1" applyAlignment="1">
      <alignment horizontal="center"/>
    </xf>
    <xf numFmtId="1" fontId="187" fillId="5" borderId="131" xfId="0" applyNumberFormat="1" applyFont="1" applyFill="1" applyBorder="1" applyAlignment="1">
      <alignment horizontal="center"/>
    </xf>
    <xf numFmtId="1" fontId="187" fillId="6" borderId="131" xfId="0" applyNumberFormat="1" applyFont="1" applyFill="1" applyBorder="1" applyAlignment="1">
      <alignment horizontal="center"/>
    </xf>
    <xf numFmtId="0" fontId="187" fillId="8" borderId="10" xfId="0" applyFont="1" applyFill="1" applyBorder="1" applyAlignment="1">
      <alignment horizontal="center"/>
    </xf>
    <xf numFmtId="0" fontId="187" fillId="7" borderId="10" xfId="0" applyFont="1" applyFill="1" applyBorder="1" applyAlignment="1">
      <alignment horizontal="center"/>
    </xf>
    <xf numFmtId="0" fontId="187" fillId="5" borderId="10" xfId="0" applyFont="1" applyFill="1" applyBorder="1" applyAlignment="1">
      <alignment horizontal="center"/>
    </xf>
    <xf numFmtId="0" fontId="188" fillId="0" borderId="10" xfId="0" applyFont="1" applyBorder="1"/>
    <xf numFmtId="0" fontId="189" fillId="0" borderId="10" xfId="0" applyFont="1" applyBorder="1"/>
    <xf numFmtId="1" fontId="188" fillId="8" borderId="10" xfId="0" applyNumberFormat="1" applyFont="1" applyFill="1" applyBorder="1" applyAlignment="1">
      <alignment horizontal="center"/>
    </xf>
    <xf numFmtId="0" fontId="188" fillId="0" borderId="10" xfId="0" applyFont="1" applyBorder="1" applyAlignment="1">
      <alignment horizontal="center"/>
    </xf>
    <xf numFmtId="0" fontId="188" fillId="7" borderId="10" xfId="0" applyFont="1" applyFill="1" applyBorder="1" applyAlignment="1">
      <alignment horizontal="center"/>
    </xf>
    <xf numFmtId="0" fontId="188" fillId="5" borderId="10" xfId="0" applyFont="1" applyFill="1" applyBorder="1" applyAlignment="1">
      <alignment horizontal="center"/>
    </xf>
    <xf numFmtId="1" fontId="188" fillId="0" borderId="10" xfId="0" applyNumberFormat="1" applyFont="1" applyBorder="1" applyAlignment="1">
      <alignment horizontal="center"/>
    </xf>
    <xf numFmtId="0" fontId="188" fillId="0" borderId="0" xfId="0" applyFont="1"/>
    <xf numFmtId="1" fontId="188" fillId="8" borderId="29" xfId="0" applyNumberFormat="1" applyFont="1" applyFill="1" applyBorder="1" applyAlignment="1">
      <alignment horizontal="center"/>
    </xf>
    <xf numFmtId="0" fontId="189" fillId="0" borderId="0" xfId="0" applyFont="1"/>
    <xf numFmtId="0" fontId="187" fillId="0" borderId="10" xfId="0" applyFont="1" applyBorder="1" applyAlignment="1">
      <alignment horizontal="center"/>
    </xf>
    <xf numFmtId="1" fontId="187" fillId="8" borderId="29" xfId="0" applyNumberFormat="1" applyFont="1" applyFill="1" applyBorder="1" applyAlignment="1">
      <alignment horizontal="center"/>
    </xf>
    <xf numFmtId="0" fontId="186" fillId="0" borderId="10" xfId="0" applyFont="1" applyBorder="1"/>
    <xf numFmtId="1" fontId="186" fillId="4" borderId="10" xfId="0" applyNumberFormat="1" applyFont="1" applyFill="1" applyBorder="1" applyAlignment="1">
      <alignment horizontal="center"/>
    </xf>
    <xf numFmtId="0" fontId="187" fillId="0" borderId="10" xfId="0" applyFont="1" applyBorder="1" applyAlignment="1">
      <alignment horizontal="center" vertical="center"/>
    </xf>
    <xf numFmtId="9" fontId="186" fillId="8" borderId="10" xfId="22" applyFont="1" applyFill="1" applyBorder="1" applyAlignment="1">
      <alignment horizontal="center"/>
    </xf>
    <xf numFmtId="9" fontId="186" fillId="7" borderId="10" xfId="22" applyFont="1" applyFill="1" applyBorder="1" applyAlignment="1">
      <alignment horizontal="center"/>
    </xf>
    <xf numFmtId="9" fontId="186" fillId="6" borderId="10" xfId="22" applyFont="1" applyFill="1" applyBorder="1" applyAlignment="1">
      <alignment horizontal="center"/>
    </xf>
    <xf numFmtId="0" fontId="187" fillId="8" borderId="0" xfId="0" applyFont="1" applyFill="1"/>
    <xf numFmtId="0" fontId="187" fillId="7" borderId="0" xfId="0" applyFont="1" applyFill="1"/>
    <xf numFmtId="0" fontId="187" fillId="5" borderId="0" xfId="0" applyFont="1" applyFill="1"/>
    <xf numFmtId="0" fontId="187" fillId="6" borderId="0" xfId="0" applyFont="1" applyFill="1"/>
    <xf numFmtId="0" fontId="186" fillId="8" borderId="10" xfId="0" applyFont="1" applyFill="1" applyBorder="1" applyAlignment="1">
      <alignment horizontal="center" vertical="center"/>
    </xf>
    <xf numFmtId="0" fontId="187" fillId="0" borderId="0" xfId="0" applyFont="1" applyAlignment="1">
      <alignment horizontal="center" vertical="center"/>
    </xf>
    <xf numFmtId="1" fontId="187" fillId="7" borderId="0" xfId="0" applyNumberFormat="1" applyFont="1" applyFill="1"/>
    <xf numFmtId="1" fontId="187" fillId="5" borderId="0" xfId="0" applyNumberFormat="1" applyFont="1" applyFill="1"/>
    <xf numFmtId="1" fontId="187" fillId="8" borderId="0" xfId="0" applyNumberFormat="1" applyFont="1" applyFill="1"/>
    <xf numFmtId="1" fontId="187" fillId="6" borderId="0" xfId="0" applyNumberFormat="1" applyFont="1" applyFill="1"/>
    <xf numFmtId="0" fontId="187" fillId="0" borderId="41" xfId="0" applyFont="1" applyBorder="1"/>
    <xf numFmtId="0" fontId="187" fillId="0" borderId="46" xfId="0" applyFont="1" applyBorder="1"/>
    <xf numFmtId="0" fontId="187" fillId="0" borderId="23" xfId="0" applyFont="1" applyBorder="1"/>
    <xf numFmtId="0" fontId="187" fillId="0" borderId="30" xfId="0" applyFont="1" applyBorder="1"/>
    <xf numFmtId="0" fontId="187" fillId="0" borderId="40" xfId="0" applyFont="1" applyBorder="1" applyAlignment="1">
      <alignment horizontal="center" vertical="center"/>
    </xf>
    <xf numFmtId="0" fontId="186" fillId="8" borderId="118" xfId="0" applyFont="1" applyFill="1" applyBorder="1" applyAlignment="1">
      <alignment horizontal="center" vertical="center"/>
    </xf>
    <xf numFmtId="0" fontId="186" fillId="6" borderId="29" xfId="0" applyFont="1" applyFill="1" applyBorder="1" applyAlignment="1">
      <alignment horizontal="center" vertical="center"/>
    </xf>
    <xf numFmtId="0" fontId="187" fillId="0" borderId="59" xfId="0" applyFont="1" applyBorder="1" applyAlignment="1">
      <alignment horizontal="right" vertical="center"/>
    </xf>
    <xf numFmtId="1" fontId="187" fillId="0" borderId="23" xfId="0" applyNumberFormat="1" applyFont="1" applyBorder="1" applyAlignment="1">
      <alignment horizontal="center" vertical="center"/>
    </xf>
    <xf numFmtId="9" fontId="187" fillId="7" borderId="23" xfId="22" applyFont="1" applyFill="1" applyBorder="1" applyAlignment="1">
      <alignment horizontal="center" vertical="center"/>
    </xf>
    <xf numFmtId="9" fontId="187" fillId="5" borderId="23" xfId="22" applyFont="1" applyFill="1" applyBorder="1" applyAlignment="1">
      <alignment horizontal="center" vertical="center"/>
    </xf>
    <xf numFmtId="9" fontId="187" fillId="6" borderId="23" xfId="22" applyFont="1" applyFill="1" applyBorder="1" applyAlignment="1">
      <alignment horizontal="center" vertical="center"/>
    </xf>
    <xf numFmtId="0" fontId="187" fillId="0" borderId="38" xfId="0" applyFont="1" applyBorder="1" applyAlignment="1">
      <alignment horizontal="right" vertical="center"/>
    </xf>
    <xf numFmtId="1" fontId="187" fillId="0" borderId="46" xfId="0" applyNumberFormat="1" applyFont="1" applyBorder="1" applyAlignment="1">
      <alignment horizontal="center" vertical="center"/>
    </xf>
    <xf numFmtId="1" fontId="187" fillId="7" borderId="46" xfId="0" applyNumberFormat="1" applyFont="1" applyFill="1" applyBorder="1" applyAlignment="1">
      <alignment horizontal="center" vertical="center"/>
    </xf>
    <xf numFmtId="1" fontId="187" fillId="5" borderId="46" xfId="0" applyNumberFormat="1" applyFont="1" applyFill="1" applyBorder="1" applyAlignment="1">
      <alignment horizontal="center" vertical="center"/>
    </xf>
    <xf numFmtId="1" fontId="187" fillId="6" borderId="46" xfId="0" applyNumberFormat="1" applyFont="1" applyFill="1" applyBorder="1" applyAlignment="1">
      <alignment horizontal="center" vertical="center"/>
    </xf>
    <xf numFmtId="0" fontId="187" fillId="0" borderId="3" xfId="0" applyFont="1" applyBorder="1" applyAlignment="1">
      <alignment horizontal="left" vertical="center"/>
    </xf>
    <xf numFmtId="1" fontId="187" fillId="0" borderId="41" xfId="0" applyNumberFormat="1" applyFont="1" applyBorder="1" applyAlignment="1">
      <alignment horizontal="center" vertical="center"/>
    </xf>
    <xf numFmtId="0" fontId="187" fillId="0" borderId="41" xfId="0" applyFont="1" applyBorder="1" applyAlignment="1">
      <alignment horizontal="center" vertical="center"/>
    </xf>
    <xf numFmtId="0" fontId="187" fillId="0" borderId="59" xfId="0" applyFont="1" applyBorder="1" applyAlignment="1">
      <alignment horizontal="left" vertical="center"/>
    </xf>
    <xf numFmtId="9" fontId="187" fillId="0" borderId="23" xfId="22" applyFont="1" applyBorder="1" applyAlignment="1">
      <alignment horizontal="center" vertical="center"/>
    </xf>
    <xf numFmtId="1" fontId="187" fillId="0" borderId="30" xfId="0" applyNumberFormat="1" applyFont="1" applyBorder="1" applyAlignment="1">
      <alignment horizontal="center" vertical="center"/>
    </xf>
    <xf numFmtId="1" fontId="187" fillId="7" borderId="41" xfId="0" applyNumberFormat="1" applyFont="1" applyFill="1" applyBorder="1" applyAlignment="1">
      <alignment horizontal="center"/>
    </xf>
    <xf numFmtId="1" fontId="187" fillId="5" borderId="41" xfId="0" applyNumberFormat="1" applyFont="1" applyFill="1" applyBorder="1" applyAlignment="1">
      <alignment horizontal="center"/>
    </xf>
    <xf numFmtId="1" fontId="187" fillId="6" borderId="41" xfId="0" applyNumberFormat="1" applyFont="1" applyFill="1" applyBorder="1" applyAlignment="1">
      <alignment horizontal="center"/>
    </xf>
    <xf numFmtId="1" fontId="187" fillId="7" borderId="42" xfId="0" applyNumberFormat="1" applyFont="1" applyFill="1" applyBorder="1" applyAlignment="1">
      <alignment horizontal="center"/>
    </xf>
    <xf numFmtId="0" fontId="187" fillId="0" borderId="134" xfId="0" applyFont="1" applyBorder="1" applyAlignment="1">
      <alignment horizontal="left" vertical="center"/>
    </xf>
    <xf numFmtId="0" fontId="187" fillId="0" borderId="132" xfId="0" applyFont="1" applyBorder="1"/>
    <xf numFmtId="1" fontId="187" fillId="0" borderId="132" xfId="0" applyNumberFormat="1" applyFont="1" applyBorder="1" applyAlignment="1">
      <alignment horizontal="center" vertical="center"/>
    </xf>
    <xf numFmtId="1" fontId="187" fillId="7" borderId="132" xfId="0" applyNumberFormat="1" applyFont="1" applyFill="1" applyBorder="1" applyAlignment="1">
      <alignment horizontal="center"/>
    </xf>
    <xf numFmtId="1" fontId="187" fillId="5" borderId="132" xfId="0" applyNumberFormat="1" applyFont="1" applyFill="1" applyBorder="1" applyAlignment="1">
      <alignment horizontal="center"/>
    </xf>
    <xf numFmtId="1" fontId="187" fillId="6" borderId="132" xfId="0" applyNumberFormat="1" applyFont="1" applyFill="1" applyBorder="1" applyAlignment="1">
      <alignment horizontal="center"/>
    </xf>
    <xf numFmtId="1" fontId="187" fillId="7" borderId="17" xfId="0" applyNumberFormat="1" applyFont="1" applyFill="1" applyBorder="1" applyAlignment="1">
      <alignment horizontal="center"/>
    </xf>
    <xf numFmtId="9" fontId="187" fillId="0" borderId="132" xfId="22" applyFont="1" applyBorder="1" applyAlignment="1">
      <alignment horizontal="center" vertical="center"/>
    </xf>
    <xf numFmtId="9" fontId="187" fillId="7" borderId="132" xfId="22" applyFont="1" applyFill="1" applyBorder="1" applyAlignment="1">
      <alignment horizontal="center" vertical="center"/>
    </xf>
    <xf numFmtId="9" fontId="187" fillId="5" borderId="132" xfId="22" applyFont="1" applyFill="1" applyBorder="1" applyAlignment="1">
      <alignment horizontal="center" vertical="center"/>
    </xf>
    <xf numFmtId="9" fontId="187" fillId="6" borderId="132" xfId="22" applyFont="1" applyFill="1" applyBorder="1" applyAlignment="1">
      <alignment horizontal="center" vertical="center"/>
    </xf>
    <xf numFmtId="9" fontId="187" fillId="7" borderId="17" xfId="22" applyFont="1" applyFill="1" applyBorder="1" applyAlignment="1">
      <alignment horizontal="center" vertical="center"/>
    </xf>
    <xf numFmtId="0" fontId="187" fillId="8" borderId="134" xfId="0" applyFont="1" applyFill="1" applyBorder="1" applyAlignment="1">
      <alignment horizontal="right" vertical="center"/>
    </xf>
    <xf numFmtId="0" fontId="187" fillId="8" borderId="132" xfId="0" applyFont="1" applyFill="1" applyBorder="1"/>
    <xf numFmtId="1" fontId="187" fillId="8" borderId="132" xfId="0" applyNumberFormat="1" applyFont="1" applyFill="1" applyBorder="1" applyAlignment="1">
      <alignment horizontal="center" vertical="center"/>
    </xf>
    <xf numFmtId="0" fontId="187" fillId="0" borderId="134" xfId="0" applyFont="1" applyBorder="1" applyAlignment="1">
      <alignment horizontal="right" vertical="center"/>
    </xf>
    <xf numFmtId="1" fontId="187" fillId="7" borderId="23" xfId="0" applyNumberFormat="1" applyFont="1" applyFill="1" applyBorder="1" applyAlignment="1">
      <alignment horizontal="center"/>
    </xf>
    <xf numFmtId="1" fontId="187" fillId="5" borderId="23" xfId="0" applyNumberFormat="1" applyFont="1" applyFill="1" applyBorder="1" applyAlignment="1">
      <alignment horizontal="center"/>
    </xf>
    <xf numFmtId="1" fontId="187" fillId="6" borderId="23" xfId="0" applyNumberFormat="1" applyFont="1" applyFill="1" applyBorder="1" applyAlignment="1">
      <alignment horizontal="center"/>
    </xf>
    <xf numFmtId="1" fontId="187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87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189" fillId="0" borderId="5" xfId="0" applyFont="1" applyBorder="1"/>
    <xf numFmtId="0" fontId="55" fillId="0" borderId="55" xfId="0" applyFont="1" applyBorder="1"/>
    <xf numFmtId="1" fontId="189" fillId="8" borderId="132" xfId="0" applyNumberFormat="1" applyFont="1" applyFill="1" applyBorder="1" applyAlignment="1">
      <alignment horizontal="center" vertical="center"/>
    </xf>
    <xf numFmtId="0" fontId="189" fillId="0" borderId="25" xfId="0" applyFont="1" applyBorder="1"/>
    <xf numFmtId="0" fontId="189" fillId="0" borderId="55" xfId="0" applyFont="1" applyBorder="1"/>
    <xf numFmtId="1" fontId="189" fillId="0" borderId="5" xfId="0" applyNumberFormat="1" applyFont="1" applyBorder="1" applyAlignment="1">
      <alignment horizontal="center" vertical="center"/>
    </xf>
    <xf numFmtId="1" fontId="189" fillId="7" borderId="5" xfId="0" applyNumberFormat="1" applyFont="1" applyFill="1" applyBorder="1" applyAlignment="1">
      <alignment horizontal="center"/>
    </xf>
    <xf numFmtId="1" fontId="189" fillId="5" borderId="5" xfId="0" applyNumberFormat="1" applyFont="1" applyFill="1" applyBorder="1" applyAlignment="1">
      <alignment horizontal="center"/>
    </xf>
    <xf numFmtId="1" fontId="189" fillId="6" borderId="5" xfId="0" applyNumberFormat="1" applyFont="1" applyFill="1" applyBorder="1" applyAlignment="1">
      <alignment horizontal="center"/>
    </xf>
    <xf numFmtId="1" fontId="189" fillId="7" borderId="11" xfId="0" applyNumberFormat="1" applyFont="1" applyFill="1" applyBorder="1" applyAlignment="1">
      <alignment horizontal="center"/>
    </xf>
    <xf numFmtId="1" fontId="187" fillId="0" borderId="132" xfId="0" applyNumberFormat="1" applyFont="1" applyBorder="1" applyAlignment="1">
      <alignment horizontal="center"/>
    </xf>
    <xf numFmtId="1" fontId="187" fillId="8" borderId="132" xfId="0" applyNumberFormat="1" applyFont="1" applyFill="1" applyBorder="1" applyAlignment="1">
      <alignment horizontal="center"/>
    </xf>
    <xf numFmtId="0" fontId="187" fillId="0" borderId="135" xfId="0" applyFont="1" applyBorder="1"/>
    <xf numFmtId="1" fontId="187" fillId="0" borderId="135" xfId="0" applyNumberFormat="1" applyFont="1" applyBorder="1" applyAlignment="1">
      <alignment horizontal="center"/>
    </xf>
    <xf numFmtId="1" fontId="187" fillId="7" borderId="135" xfId="0" applyNumberFormat="1" applyFont="1" applyFill="1" applyBorder="1" applyAlignment="1">
      <alignment horizontal="center"/>
    </xf>
    <xf numFmtId="1" fontId="187" fillId="5" borderId="135" xfId="0" applyNumberFormat="1" applyFont="1" applyFill="1" applyBorder="1" applyAlignment="1">
      <alignment horizontal="center"/>
    </xf>
    <xf numFmtId="1" fontId="187" fillId="8" borderId="135" xfId="0" applyNumberFormat="1" applyFont="1" applyFill="1" applyBorder="1" applyAlignment="1">
      <alignment horizontal="center"/>
    </xf>
    <xf numFmtId="1" fontId="187" fillId="6" borderId="135" xfId="0" applyNumberFormat="1" applyFont="1" applyFill="1" applyBorder="1" applyAlignment="1">
      <alignment horizontal="center"/>
    </xf>
    <xf numFmtId="0" fontId="187" fillId="8" borderId="135" xfId="0" applyFont="1" applyFill="1" applyBorder="1"/>
    <xf numFmtId="1" fontId="11" fillId="8" borderId="132" xfId="0" applyNumberFormat="1" applyFont="1" applyFill="1" applyBorder="1" applyAlignment="1">
      <alignment horizontal="center" vertical="center"/>
    </xf>
    <xf numFmtId="1" fontId="11" fillId="7" borderId="132" xfId="0" applyNumberFormat="1" applyFont="1" applyFill="1" applyBorder="1" applyAlignment="1">
      <alignment horizontal="center" vertical="center"/>
    </xf>
    <xf numFmtId="1" fontId="11" fillId="5" borderId="132" xfId="0" applyNumberFormat="1" applyFont="1" applyFill="1" applyBorder="1" applyAlignment="1">
      <alignment horizontal="center" vertical="center"/>
    </xf>
    <xf numFmtId="1" fontId="11" fillId="6" borderId="132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187" fillId="0" borderId="0" xfId="0" applyNumberFormat="1" applyFont="1" applyAlignment="1">
      <alignment horizontal="center"/>
    </xf>
    <xf numFmtId="1" fontId="186" fillId="43" borderId="135" xfId="0" applyNumberFormat="1" applyFont="1" applyFill="1" applyBorder="1" applyAlignment="1">
      <alignment horizontal="center"/>
    </xf>
    <xf numFmtId="1" fontId="187" fillId="8" borderId="0" xfId="0" applyNumberFormat="1" applyFont="1" applyFill="1" applyAlignment="1">
      <alignment horizontal="center"/>
    </xf>
    <xf numFmtId="1" fontId="188" fillId="0" borderId="0" xfId="0" applyNumberFormat="1" applyFont="1" applyAlignment="1">
      <alignment horizontal="center"/>
    </xf>
    <xf numFmtId="0" fontId="187" fillId="0" borderId="0" xfId="0" applyFont="1" applyAlignment="1">
      <alignment horizontal="center"/>
    </xf>
    <xf numFmtId="1" fontId="186" fillId="4" borderId="135" xfId="0" applyNumberFormat="1" applyFont="1" applyFill="1" applyBorder="1" applyAlignment="1">
      <alignment horizontal="center"/>
    </xf>
    <xf numFmtId="9" fontId="186" fillId="8" borderId="135" xfId="22" applyFont="1" applyFill="1" applyBorder="1" applyAlignment="1">
      <alignment horizontal="center"/>
    </xf>
    <xf numFmtId="1" fontId="14" fillId="57" borderId="135" xfId="0" applyNumberFormat="1" applyFont="1" applyFill="1" applyBorder="1" applyAlignment="1">
      <alignment horizontal="center" vertical="center"/>
    </xf>
    <xf numFmtId="1" fontId="187" fillId="0" borderId="135" xfId="0" applyNumberFormat="1" applyFont="1" applyBorder="1" applyAlignment="1">
      <alignment horizontal="center" vertical="center"/>
    </xf>
    <xf numFmtId="9" fontId="187" fillId="0" borderId="135" xfId="22" applyFont="1" applyBorder="1" applyAlignment="1">
      <alignment horizontal="center" vertical="center"/>
    </xf>
    <xf numFmtId="1" fontId="187" fillId="8" borderId="135" xfId="0" applyNumberFormat="1" applyFont="1" applyFill="1" applyBorder="1" applyAlignment="1">
      <alignment horizontal="center" vertical="center"/>
    </xf>
    <xf numFmtId="1" fontId="189" fillId="8" borderId="135" xfId="0" applyNumberFormat="1" applyFont="1" applyFill="1" applyBorder="1" applyAlignment="1">
      <alignment horizontal="center" vertical="center"/>
    </xf>
    <xf numFmtId="2" fontId="190" fillId="0" borderId="0" xfId="0" applyNumberFormat="1" applyFont="1" applyAlignment="1">
      <alignment horizontal="center" vertical="center"/>
    </xf>
    <xf numFmtId="1" fontId="5" fillId="8" borderId="10" xfId="0" applyNumberFormat="1" applyFont="1" applyFill="1" applyBorder="1" applyAlignment="1">
      <alignment vertical="center"/>
    </xf>
    <xf numFmtId="164" fontId="20" fillId="8" borderId="138" xfId="0" quotePrefix="1" applyNumberFormat="1" applyFont="1" applyFill="1" applyBorder="1" applyAlignment="1">
      <alignment horizontal="left" vertical="center"/>
    </xf>
    <xf numFmtId="0" fontId="20" fillId="0" borderId="138" xfId="0" applyFont="1" applyBorder="1" applyAlignment="1">
      <alignment horizontal="center" vertical="center"/>
    </xf>
    <xf numFmtId="1" fontId="21" fillId="8" borderId="138" xfId="0" applyNumberFormat="1" applyFont="1" applyFill="1" applyBorder="1" applyAlignment="1">
      <alignment vertical="center"/>
    </xf>
    <xf numFmtId="1" fontId="20" fillId="0" borderId="138" xfId="0" applyNumberFormat="1" applyFont="1" applyBorder="1" applyAlignment="1">
      <alignment horizontal="center" vertical="center"/>
    </xf>
    <xf numFmtId="1" fontId="21" fillId="7" borderId="138" xfId="0" applyNumberFormat="1" applyFont="1" applyFill="1" applyBorder="1" applyAlignment="1">
      <alignment vertical="center"/>
    </xf>
    <xf numFmtId="1" fontId="20" fillId="7" borderId="138" xfId="0" applyNumberFormat="1" applyFont="1" applyFill="1" applyBorder="1" applyAlignment="1">
      <alignment horizontal="center" vertical="center"/>
    </xf>
    <xf numFmtId="1" fontId="21" fillId="5" borderId="138" xfId="0" applyNumberFormat="1" applyFont="1" applyFill="1" applyBorder="1" applyAlignment="1">
      <alignment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86" fillId="0" borderId="136" xfId="0" applyFont="1" applyBorder="1" applyAlignment="1">
      <alignment horizontal="center" vertical="center"/>
    </xf>
    <xf numFmtId="0" fontId="86" fillId="0" borderId="138" xfId="0" applyFont="1" applyBorder="1" applyAlignment="1">
      <alignment horizontal="center" vertical="center"/>
    </xf>
    <xf numFmtId="1" fontId="86" fillId="0" borderId="138" xfId="0" applyNumberFormat="1" applyFont="1" applyBorder="1" applyAlignment="1">
      <alignment horizontal="center" vertical="center"/>
    </xf>
    <xf numFmtId="0" fontId="86" fillId="7" borderId="138" xfId="0" applyFont="1" applyFill="1" applyBorder="1" applyAlignment="1">
      <alignment horizontal="center" vertical="center"/>
    </xf>
    <xf numFmtId="1" fontId="4" fillId="5" borderId="138" xfId="0" applyNumberFormat="1" applyFont="1" applyFill="1" applyBorder="1" applyAlignment="1">
      <alignment horizontal="center" vertical="center"/>
    </xf>
    <xf numFmtId="1" fontId="4" fillId="7" borderId="138" xfId="0" applyNumberFormat="1" applyFont="1" applyFill="1" applyBorder="1" applyAlignment="1">
      <alignment horizontal="center" vertical="center"/>
    </xf>
    <xf numFmtId="0" fontId="86" fillId="6" borderId="138" xfId="0" applyFont="1" applyFill="1" applyBorder="1" applyAlignment="1">
      <alignment horizontal="center" vertical="center"/>
    </xf>
    <xf numFmtId="1" fontId="20" fillId="0" borderId="139" xfId="0" applyNumberFormat="1" applyFont="1" applyBorder="1" applyAlignment="1">
      <alignment vertical="center"/>
    </xf>
    <xf numFmtId="1" fontId="20" fillId="7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vertical="center"/>
    </xf>
    <xf numFmtId="1" fontId="19" fillId="5" borderId="138" xfId="0" applyNumberFormat="1" applyFont="1" applyFill="1" applyBorder="1" applyAlignment="1">
      <alignment horizontal="center" vertical="center"/>
    </xf>
    <xf numFmtId="1" fontId="19" fillId="6" borderId="138" xfId="0" applyNumberFormat="1" applyFont="1" applyFill="1" applyBorder="1" applyAlignment="1">
      <alignment horizontal="center" vertical="center"/>
    </xf>
    <xf numFmtId="1" fontId="20" fillId="44" borderId="138" xfId="0" applyNumberFormat="1" applyFont="1" applyFill="1" applyBorder="1" applyAlignment="1">
      <alignment vertical="center"/>
    </xf>
    <xf numFmtId="0" fontId="20" fillId="8" borderId="138" xfId="0" applyFont="1" applyFill="1" applyBorder="1" applyAlignment="1">
      <alignment horizontal="left" vertical="center"/>
    </xf>
    <xf numFmtId="0" fontId="20" fillId="0" borderId="138" xfId="0" applyFont="1" applyBorder="1" applyAlignment="1">
      <alignment horizontal="left" vertical="center"/>
    </xf>
    <xf numFmtId="1" fontId="20" fillId="0" borderId="138" xfId="0" applyNumberFormat="1" applyFont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145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9" fontId="186" fillId="5" borderId="10" xfId="22" applyFont="1" applyFill="1" applyBorder="1" applyAlignment="1">
      <alignment horizontal="center"/>
    </xf>
    <xf numFmtId="167" fontId="20" fillId="8" borderId="0" xfId="0" applyNumberFormat="1" applyFont="1" applyFill="1" applyAlignment="1">
      <alignment horizontal="center" vertical="center"/>
    </xf>
    <xf numFmtId="0" fontId="36" fillId="0" borderId="130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0" xfId="0" applyFont="1" applyBorder="1"/>
    <xf numFmtId="0" fontId="36" fillId="8" borderId="140" xfId="0" applyFont="1" applyFill="1" applyBorder="1"/>
    <xf numFmtId="0" fontId="20" fillId="8" borderId="136" xfId="0" applyFont="1" applyFill="1" applyBorder="1" applyAlignment="1">
      <alignment horizontal="left" vertical="center"/>
    </xf>
    <xf numFmtId="0" fontId="19" fillId="0" borderId="136" xfId="0" applyFont="1" applyBorder="1" applyAlignment="1">
      <alignment horizontal="center" vertical="center"/>
    </xf>
    <xf numFmtId="0" fontId="19" fillId="8" borderId="140" xfId="0" applyFont="1" applyFill="1" applyBorder="1" applyAlignment="1">
      <alignment vertical="center"/>
    </xf>
    <xf numFmtId="1" fontId="20" fillId="0" borderId="140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horizontal="center" vertical="center"/>
    </xf>
    <xf numFmtId="1" fontId="20" fillId="5" borderId="140" xfId="0" applyNumberFormat="1" applyFont="1" applyFill="1" applyBorder="1" applyAlignment="1">
      <alignment horizontal="center" vertical="center"/>
    </xf>
    <xf numFmtId="1" fontId="19" fillId="5" borderId="140" xfId="0" applyNumberFormat="1" applyFont="1" applyFill="1" applyBorder="1" applyAlignment="1">
      <alignment horizontal="center" vertical="center"/>
    </xf>
    <xf numFmtId="1" fontId="19" fillId="6" borderId="140" xfId="0" applyNumberFormat="1" applyFont="1" applyFill="1" applyBorder="1" applyAlignment="1">
      <alignment horizontal="center" vertical="center"/>
    </xf>
    <xf numFmtId="1" fontId="20" fillId="8" borderId="121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0" borderId="140" xfId="0" applyFont="1" applyBorder="1" applyAlignment="1">
      <alignment horizontal="right" vertical="center" indent="2"/>
    </xf>
    <xf numFmtId="0" fontId="20" fillId="0" borderId="140" xfId="0" applyFont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 vertical="center"/>
    </xf>
    <xf numFmtId="0" fontId="36" fillId="0" borderId="141" xfId="0" applyFont="1" applyBorder="1"/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0" fontId="20" fillId="8" borderId="141" xfId="0" applyFont="1" applyFill="1" applyBorder="1" applyAlignment="1">
      <alignment horizontal="left" vertical="center"/>
    </xf>
    <xf numFmtId="1" fontId="45" fillId="8" borderId="141" xfId="0" applyNumberFormat="1" applyFont="1" applyFill="1" applyBorder="1" applyAlignment="1">
      <alignment vertical="center"/>
    </xf>
    <xf numFmtId="1" fontId="20" fillId="8" borderId="141" xfId="0" applyNumberFormat="1" applyFont="1" applyFill="1" applyBorder="1" applyAlignment="1">
      <alignment horizontal="center" vertical="center"/>
    </xf>
    <xf numFmtId="1" fontId="45" fillId="7" borderId="141" xfId="0" applyNumberFormat="1" applyFont="1" applyFill="1" applyBorder="1" applyAlignment="1">
      <alignment vertical="center"/>
    </xf>
    <xf numFmtId="1" fontId="45" fillId="5" borderId="141" xfId="0" applyNumberFormat="1" applyFont="1" applyFill="1" applyBorder="1" applyAlignment="1">
      <alignment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45" fillId="5" borderId="141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29" xfId="0" applyNumberFormat="1" applyFont="1" applyFill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64" fontId="20" fillId="8" borderId="142" xfId="0" quotePrefix="1" applyNumberFormat="1" applyFont="1" applyFill="1" applyBorder="1" applyAlignment="1">
      <alignment horizontal="left" vertical="center"/>
    </xf>
    <xf numFmtId="0" fontId="19" fillId="8" borderId="143" xfId="0" applyFont="1" applyFill="1" applyBorder="1" applyAlignment="1">
      <alignment vertical="center"/>
    </xf>
    <xf numFmtId="1" fontId="20" fillId="0" borderId="143" xfId="0" applyNumberFormat="1" applyFont="1" applyBorder="1" applyAlignment="1">
      <alignment horizontal="center" vertical="center"/>
    </xf>
    <xf numFmtId="1" fontId="20" fillId="7" borderId="143" xfId="0" applyNumberFormat="1" applyFont="1" applyFill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5" borderId="143" xfId="0" applyNumberFormat="1" applyFont="1" applyFill="1" applyBorder="1" applyAlignment="1">
      <alignment horizontal="center" vertical="center"/>
    </xf>
    <xf numFmtId="1" fontId="19" fillId="5" borderId="143" xfId="0" applyNumberFormat="1" applyFont="1" applyFill="1" applyBorder="1" applyAlignment="1">
      <alignment horizontal="center" vertical="center"/>
    </xf>
    <xf numFmtId="1" fontId="19" fillId="6" borderId="143" xfId="0" applyNumberFormat="1" applyFont="1" applyFill="1" applyBorder="1" applyAlignment="1">
      <alignment horizontal="center" vertical="center"/>
    </xf>
    <xf numFmtId="164" fontId="20" fillId="0" borderId="46" xfId="0" quotePrefix="1" applyNumberFormat="1" applyFont="1" applyBorder="1" applyAlignment="1">
      <alignment horizontal="left" vertical="center"/>
    </xf>
    <xf numFmtId="172" fontId="20" fillId="0" borderId="136" xfId="0" quotePrefix="1" applyNumberFormat="1" applyFont="1" applyBorder="1" applyAlignment="1">
      <alignment horizontal="center" vertical="center"/>
    </xf>
    <xf numFmtId="1" fontId="20" fillId="0" borderId="142" xfId="0" applyNumberFormat="1" applyFont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vertical="center"/>
    </xf>
    <xf numFmtId="1" fontId="20" fillId="7" borderId="142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6" borderId="143" xfId="0" applyNumberFormat="1" applyFont="1" applyFill="1" applyBorder="1" applyAlignment="1">
      <alignment vertical="center"/>
    </xf>
    <xf numFmtId="1" fontId="20" fillId="44" borderId="143" xfId="0" applyNumberFormat="1" applyFont="1" applyFill="1" applyBorder="1" applyAlignment="1">
      <alignment vertical="center"/>
    </xf>
    <xf numFmtId="164" fontId="20" fillId="8" borderId="142" xfId="0" quotePrefix="1" applyNumberFormat="1" applyFont="1" applyFill="1" applyBorder="1" applyAlignment="1">
      <alignment horizontal="left" vertical="center" wrapText="1"/>
    </xf>
    <xf numFmtId="0" fontId="20" fillId="8" borderId="143" xfId="0" applyFont="1" applyFill="1" applyBorder="1" applyAlignment="1">
      <alignment horizontal="left" vertical="center"/>
    </xf>
    <xf numFmtId="0" fontId="20" fillId="0" borderId="143" xfId="0" applyFont="1" applyBorder="1" applyAlignment="1">
      <alignment horizontal="center" vertical="center"/>
    </xf>
    <xf numFmtId="0" fontId="20" fillId="8" borderId="146" xfId="0" applyFont="1" applyFill="1" applyBorder="1" applyAlignment="1">
      <alignment horizontal="left" vertical="center"/>
    </xf>
    <xf numFmtId="1" fontId="45" fillId="8" borderId="146" xfId="0" applyNumberFormat="1" applyFont="1" applyFill="1" applyBorder="1" applyAlignment="1">
      <alignment vertical="center"/>
    </xf>
    <xf numFmtId="1" fontId="20" fillId="8" borderId="146" xfId="0" applyNumberFormat="1" applyFont="1" applyFill="1" applyBorder="1" applyAlignment="1">
      <alignment horizontal="center" vertical="center"/>
    </xf>
    <xf numFmtId="1" fontId="45" fillId="7" borderId="146" xfId="0" applyNumberFormat="1" applyFont="1" applyFill="1" applyBorder="1" applyAlignment="1">
      <alignment vertical="center"/>
    </xf>
    <xf numFmtId="1" fontId="20" fillId="7" borderId="146" xfId="0" applyNumberFormat="1" applyFont="1" applyFill="1" applyBorder="1" applyAlignment="1">
      <alignment horizontal="center" vertical="center"/>
    </xf>
    <xf numFmtId="1" fontId="45" fillId="5" borderId="146" xfId="0" applyNumberFormat="1" applyFont="1" applyFill="1" applyBorder="1" applyAlignment="1">
      <alignment vertical="center"/>
    </xf>
    <xf numFmtId="1" fontId="45" fillId="5" borderId="146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0" fontId="20" fillId="0" borderId="142" xfId="0" applyFont="1" applyBorder="1" applyAlignment="1">
      <alignment horizontal="right" vertical="center"/>
    </xf>
    <xf numFmtId="1" fontId="20" fillId="8" borderId="143" xfId="0" applyNumberFormat="1" applyFont="1" applyFill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0" fontId="4" fillId="8" borderId="151" xfId="0" applyFont="1" applyFill="1" applyBorder="1" applyAlignment="1">
      <alignment horizontal="left" vertical="center"/>
    </xf>
    <xf numFmtId="0" fontId="4" fillId="0" borderId="152" xfId="0" applyFont="1" applyBorder="1" applyAlignment="1">
      <alignment horizontal="center" vertical="center"/>
    </xf>
    <xf numFmtId="0" fontId="4" fillId="8" borderId="152" xfId="0" applyFont="1" applyFill="1" applyBorder="1" applyAlignment="1">
      <alignment horizontal="center" vertical="center"/>
    </xf>
    <xf numFmtId="1" fontId="4" fillId="8" borderId="152" xfId="0" applyNumberFormat="1" applyFont="1" applyFill="1" applyBorder="1" applyAlignment="1">
      <alignment horizontal="center" vertical="center"/>
    </xf>
    <xf numFmtId="1" fontId="4" fillId="50" borderId="152" xfId="0" applyNumberFormat="1" applyFont="1" applyFill="1" applyBorder="1" applyAlignment="1">
      <alignment horizontal="center" vertical="center"/>
    </xf>
    <xf numFmtId="1" fontId="18" fillId="5" borderId="152" xfId="0" applyNumberFormat="1" applyFont="1" applyFill="1" applyBorder="1" applyAlignment="1">
      <alignment horizontal="center" vertical="center"/>
    </xf>
    <xf numFmtId="1" fontId="20" fillId="8" borderId="153" xfId="0" applyNumberFormat="1" applyFont="1" applyFill="1" applyBorder="1" applyAlignment="1">
      <alignment horizontal="center" vertical="center"/>
    </xf>
    <xf numFmtId="1" fontId="20" fillId="8" borderId="152" xfId="0" applyNumberFormat="1" applyFont="1" applyFill="1" applyBorder="1" applyAlignment="1">
      <alignment horizontal="center" vertical="center"/>
    </xf>
    <xf numFmtId="1" fontId="4" fillId="6" borderId="154" xfId="0" applyNumberFormat="1" applyFont="1" applyFill="1" applyBorder="1" applyAlignment="1">
      <alignment horizontal="center" vertical="center"/>
    </xf>
    <xf numFmtId="1" fontId="4" fillId="8" borderId="154" xfId="0" applyNumberFormat="1" applyFont="1" applyFill="1" applyBorder="1" applyAlignment="1">
      <alignment horizontal="center" vertical="center"/>
    </xf>
    <xf numFmtId="0" fontId="20" fillId="0" borderId="151" xfId="0" applyFont="1" applyBorder="1" applyAlignment="1">
      <alignment horizontal="right" vertical="center"/>
    </xf>
    <xf numFmtId="0" fontId="20" fillId="0" borderId="152" xfId="0" applyFont="1" applyBorder="1" applyAlignment="1">
      <alignment horizontal="center" vertical="center"/>
    </xf>
    <xf numFmtId="1" fontId="20" fillId="50" borderId="152" xfId="0" applyNumberFormat="1" applyFont="1" applyFill="1" applyBorder="1" applyAlignment="1">
      <alignment horizontal="center" vertical="center"/>
    </xf>
    <xf numFmtId="1" fontId="21" fillId="6" borderId="154" xfId="0" applyNumberFormat="1" applyFont="1" applyFill="1" applyBorder="1" applyAlignment="1">
      <alignment horizontal="center" vertical="center"/>
    </xf>
    <xf numFmtId="1" fontId="20" fillId="7" borderId="154" xfId="0" applyNumberFormat="1" applyFont="1" applyFill="1" applyBorder="1" applyAlignment="1">
      <alignment horizontal="center" vertical="center"/>
    </xf>
    <xf numFmtId="1" fontId="21" fillId="7" borderId="154" xfId="0" applyNumberFormat="1" applyFont="1" applyFill="1" applyBorder="1" applyAlignment="1">
      <alignment horizontal="center" vertical="center"/>
    </xf>
    <xf numFmtId="0" fontId="18" fillId="8" borderId="152" xfId="0" applyFont="1" applyFill="1" applyBorder="1" applyAlignment="1">
      <alignment horizontal="center" vertical="center"/>
    </xf>
    <xf numFmtId="0" fontId="20" fillId="8" borderId="152" xfId="0" applyFont="1" applyFill="1" applyBorder="1" applyAlignment="1">
      <alignment horizontal="center" vertical="center"/>
    </xf>
    <xf numFmtId="1" fontId="4" fillId="8" borderId="153" xfId="0" applyNumberFormat="1" applyFont="1" applyFill="1" applyBorder="1" applyAlignment="1">
      <alignment horizontal="center" vertical="center"/>
    </xf>
    <xf numFmtId="0" fontId="18" fillId="0" borderId="152" xfId="0" applyFont="1" applyBorder="1" applyAlignment="1">
      <alignment horizontal="center" vertical="center"/>
    </xf>
    <xf numFmtId="1" fontId="19" fillId="8" borderId="153" xfId="0" applyNumberFormat="1" applyFont="1" applyFill="1" applyBorder="1" applyAlignment="1">
      <alignment horizontal="center" vertical="center"/>
    </xf>
    <xf numFmtId="1" fontId="19" fillId="8" borderId="152" xfId="0" applyNumberFormat="1" applyFont="1" applyFill="1" applyBorder="1" applyAlignment="1">
      <alignment horizontal="center" vertical="center"/>
    </xf>
    <xf numFmtId="1" fontId="19" fillId="5" borderId="152" xfId="0" applyNumberFormat="1" applyFont="1" applyFill="1" applyBorder="1" applyAlignment="1">
      <alignment horizontal="center" vertical="center"/>
    </xf>
    <xf numFmtId="1" fontId="4" fillId="7" borderId="154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horizontal="right" vertical="center"/>
    </xf>
    <xf numFmtId="0" fontId="20" fillId="0" borderId="155" xfId="0" applyFont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18" fillId="5" borderId="155" xfId="0" applyNumberFormat="1" applyFont="1" applyFill="1" applyBorder="1" applyAlignment="1">
      <alignment horizontal="center" vertical="center"/>
    </xf>
    <xf numFmtId="0" fontId="14" fillId="0" borderId="152" xfId="0" applyFont="1" applyBorder="1" applyAlignment="1">
      <alignment horizontal="left" vertical="center"/>
    </xf>
    <xf numFmtId="167" fontId="14" fillId="0" borderId="152" xfId="0" applyNumberFormat="1" applyFont="1" applyBorder="1" applyAlignment="1">
      <alignment horizontal="center" vertical="center"/>
    </xf>
    <xf numFmtId="167" fontId="14" fillId="7" borderId="152" xfId="0" applyNumberFormat="1" applyFont="1" applyFill="1" applyBorder="1" applyAlignment="1">
      <alignment horizontal="center" vertical="center"/>
    </xf>
    <xf numFmtId="1" fontId="14" fillId="5" borderId="152" xfId="0" applyNumberFormat="1" applyFont="1" applyFill="1" applyBorder="1" applyAlignment="1">
      <alignment horizontal="center" vertical="center"/>
    </xf>
    <xf numFmtId="1" fontId="14" fillId="0" borderId="152" xfId="0" applyNumberFormat="1" applyFont="1" applyBorder="1" applyAlignment="1">
      <alignment horizontal="center" vertical="center"/>
    </xf>
    <xf numFmtId="167" fontId="27" fillId="0" borderId="152" xfId="0" applyNumberFormat="1" applyFont="1" applyBorder="1" applyAlignment="1">
      <alignment horizontal="center" vertical="center"/>
    </xf>
    <xf numFmtId="1" fontId="27" fillId="8" borderId="152" xfId="0" applyNumberFormat="1" applyFont="1" applyFill="1" applyBorder="1" applyAlignment="1">
      <alignment horizontal="center" vertical="center"/>
    </xf>
    <xf numFmtId="1" fontId="27" fillId="0" borderId="152" xfId="0" applyNumberFormat="1" applyFont="1" applyBorder="1" applyAlignment="1">
      <alignment horizontal="center" vertical="center"/>
    </xf>
    <xf numFmtId="1" fontId="27" fillId="5" borderId="152" xfId="0" applyNumberFormat="1" applyFont="1" applyFill="1" applyBorder="1" applyAlignment="1">
      <alignment horizontal="center" vertical="center"/>
    </xf>
    <xf numFmtId="1" fontId="27" fillId="6" borderId="152" xfId="0" applyNumberFormat="1" applyFont="1" applyFill="1" applyBorder="1" applyAlignment="1">
      <alignment horizontal="center" vertical="center"/>
    </xf>
    <xf numFmtId="1" fontId="27" fillId="7" borderId="152" xfId="0" applyNumberFormat="1" applyFont="1" applyFill="1" applyBorder="1" applyAlignment="1">
      <alignment horizontal="center" vertical="center"/>
    </xf>
    <xf numFmtId="1" fontId="27" fillId="5" borderId="151" xfId="0" applyNumberFormat="1" applyFont="1" applyFill="1" applyBorder="1" applyAlignment="1">
      <alignment horizontal="center" vertical="center"/>
    </xf>
    <xf numFmtId="167" fontId="27" fillId="6" borderId="152" xfId="0" applyNumberFormat="1" applyFont="1" applyFill="1" applyBorder="1" applyAlignment="1">
      <alignment horizontal="center" vertical="center"/>
    </xf>
    <xf numFmtId="167" fontId="27" fillId="7" borderId="152" xfId="0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29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77" fontId="0" fillId="0" borderId="0" xfId="22" applyNumberFormat="1" applyFont="1"/>
    <xf numFmtId="2" fontId="20" fillId="6" borderId="20" xfId="0" applyNumberFormat="1" applyFont="1" applyFill="1" applyBorder="1" applyAlignment="1">
      <alignment horizontal="center" vertical="center"/>
    </xf>
    <xf numFmtId="0" fontId="21" fillId="7" borderId="157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2" xfId="0" applyFont="1" applyBorder="1"/>
    <xf numFmtId="0" fontId="20" fillId="0" borderId="152" xfId="0" applyFont="1" applyBorder="1"/>
    <xf numFmtId="0" fontId="84" fillId="0" borderId="25" xfId="0" applyFont="1" applyBorder="1"/>
    <xf numFmtId="0" fontId="84" fillId="0" borderId="55" xfId="0" applyFont="1" applyBorder="1"/>
    <xf numFmtId="0" fontId="0" fillId="0" borderId="151" xfId="0" applyBorder="1" applyAlignment="1">
      <alignment horizontal="right"/>
    </xf>
    <xf numFmtId="0" fontId="0" fillId="0" borderId="153" xfId="0" applyBorder="1" applyAlignment="1">
      <alignment horizontal="right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0" fontId="194" fillId="0" borderId="55" xfId="0" applyFont="1" applyBorder="1"/>
    <xf numFmtId="0" fontId="55" fillId="0" borderId="118" xfId="0" applyFont="1" applyBorder="1"/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2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 wrapText="1"/>
    </xf>
    <xf numFmtId="0" fontId="19" fillId="7" borderId="118" xfId="0" applyFont="1" applyFill="1" applyBorder="1" applyAlignment="1">
      <alignment horizontal="center" vertical="center"/>
    </xf>
    <xf numFmtId="1" fontId="20" fillId="7" borderId="152" xfId="0" applyNumberFormat="1" applyFont="1" applyFill="1" applyBorder="1" applyAlignment="1">
      <alignment horizontal="center" vertical="center"/>
    </xf>
    <xf numFmtId="0" fontId="19" fillId="8" borderId="30" xfId="0" applyFont="1" applyFill="1" applyBorder="1" applyAlignment="1">
      <alignment vertical="center"/>
    </xf>
    <xf numFmtId="164" fontId="20" fillId="8" borderId="151" xfId="0" quotePrefix="1" applyNumberFormat="1" applyFont="1" applyFill="1" applyBorder="1" applyAlignment="1">
      <alignment horizontal="left" vertical="center"/>
    </xf>
    <xf numFmtId="0" fontId="20" fillId="8" borderId="156" xfId="0" applyFont="1" applyFill="1" applyBorder="1" applyAlignment="1">
      <alignment horizontal="left" vertical="center"/>
    </xf>
    <xf numFmtId="0" fontId="19" fillId="0" borderId="156" xfId="0" applyFont="1" applyBorder="1" applyAlignment="1">
      <alignment horizontal="center" vertical="center"/>
    </xf>
    <xf numFmtId="0" fontId="18" fillId="8" borderId="152" xfId="0" applyFont="1" applyFill="1" applyBorder="1" applyAlignment="1">
      <alignment vertical="center"/>
    </xf>
    <xf numFmtId="1" fontId="20" fillId="0" borderId="152" xfId="0" applyNumberFormat="1" applyFont="1" applyBorder="1" applyAlignment="1">
      <alignment horizontal="center" vertical="center"/>
    </xf>
    <xf numFmtId="1" fontId="20" fillId="5" borderId="152" xfId="0" applyNumberFormat="1" applyFont="1" applyFill="1" applyBorder="1" applyAlignment="1">
      <alignment horizontal="center" vertical="center"/>
    </xf>
    <xf numFmtId="1" fontId="19" fillId="6" borderId="152" xfId="0" applyNumberFormat="1" applyFont="1" applyFill="1" applyBorder="1" applyAlignment="1">
      <alignment horizontal="center" vertical="center"/>
    </xf>
    <xf numFmtId="1" fontId="18" fillId="8" borderId="152" xfId="0" applyNumberFormat="1" applyFont="1" applyFill="1" applyBorder="1" applyAlignment="1">
      <alignment vertical="center"/>
    </xf>
    <xf numFmtId="164" fontId="20" fillId="8" borderId="145" xfId="0" quotePrefix="1" applyNumberFormat="1" applyFont="1" applyFill="1" applyBorder="1" applyAlignment="1">
      <alignment horizontal="left" vertical="center"/>
    </xf>
    <xf numFmtId="0" fontId="20" fillId="8" borderId="160" xfId="0" applyFont="1" applyFill="1" applyBorder="1" applyAlignment="1">
      <alignment horizontal="left" vertical="center"/>
    </xf>
    <xf numFmtId="0" fontId="18" fillId="8" borderId="155" xfId="0" applyFont="1" applyFill="1" applyBorder="1" applyAlignment="1">
      <alignment vertical="center"/>
    </xf>
    <xf numFmtId="1" fontId="20" fillId="0" borderId="155" xfId="0" applyNumberFormat="1" applyFont="1" applyBorder="1" applyAlignment="1">
      <alignment horizontal="center" vertical="center"/>
    </xf>
    <xf numFmtId="1" fontId="20" fillId="7" borderId="155" xfId="0" applyNumberFormat="1" applyFont="1" applyFill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0" fillId="5" borderId="155" xfId="0" applyNumberFormat="1" applyFont="1" applyFill="1" applyBorder="1" applyAlignment="1">
      <alignment horizontal="center" vertical="center"/>
    </xf>
    <xf numFmtId="1" fontId="19" fillId="5" borderId="155" xfId="0" applyNumberFormat="1" applyFont="1" applyFill="1" applyBorder="1" applyAlignment="1">
      <alignment horizontal="center" vertical="center"/>
    </xf>
    <xf numFmtId="1" fontId="19" fillId="6" borderId="155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1" fontId="27" fillId="5" borderId="154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0" fontId="27" fillId="0" borderId="161" xfId="0" applyFont="1" applyBorder="1" applyAlignment="1">
      <alignment horizontal="left" vertical="center"/>
    </xf>
    <xf numFmtId="167" fontId="27" fillId="0" borderId="158" xfId="0" applyNumberFormat="1" applyFont="1" applyBorder="1" applyAlignment="1">
      <alignment horizontal="center" vertical="center"/>
    </xf>
    <xf numFmtId="1" fontId="27" fillId="0" borderId="154" xfId="0" applyNumberFormat="1" applyFont="1" applyBorder="1" applyAlignment="1">
      <alignment horizontal="center" vertical="center"/>
    </xf>
    <xf numFmtId="0" fontId="14" fillId="0" borderId="161" xfId="0" applyFont="1" applyBorder="1" applyAlignment="1">
      <alignment horizontal="right" vertical="center"/>
    </xf>
    <xf numFmtId="167" fontId="14" fillId="0" borderId="158" xfId="0" applyNumberFormat="1" applyFont="1" applyBorder="1" applyAlignment="1">
      <alignment horizontal="center" vertical="center"/>
    </xf>
    <xf numFmtId="1" fontId="14" fillId="0" borderId="158" xfId="0" applyNumberFormat="1" applyFont="1" applyBorder="1" applyAlignment="1">
      <alignment horizontal="center" vertical="center"/>
    </xf>
    <xf numFmtId="167" fontId="27" fillId="0" borderId="159" xfId="0" applyNumberFormat="1" applyFont="1" applyBorder="1" applyAlignment="1">
      <alignment horizontal="center" vertical="center"/>
    </xf>
    <xf numFmtId="1" fontId="27" fillId="0" borderId="157" xfId="0" applyNumberFormat="1" applyFont="1" applyBorder="1" applyAlignment="1">
      <alignment horizontal="center" vertical="center"/>
    </xf>
    <xf numFmtId="1" fontId="27" fillId="8" borderId="154" xfId="0" applyNumberFormat="1" applyFont="1" applyFill="1" applyBorder="1" applyAlignment="1">
      <alignment horizontal="center" vertical="center"/>
    </xf>
    <xf numFmtId="0" fontId="14" fillId="0" borderId="163" xfId="0" applyFont="1" applyBorder="1" applyAlignment="1">
      <alignment horizontal="right" vertical="center"/>
    </xf>
    <xf numFmtId="1" fontId="14" fillId="0" borderId="164" xfId="0" applyNumberFormat="1" applyFont="1" applyBorder="1" applyAlignment="1">
      <alignment horizontal="center" vertical="center"/>
    </xf>
    <xf numFmtId="0" fontId="27" fillId="8" borderId="161" xfId="0" applyFont="1" applyFill="1" applyBorder="1" applyAlignment="1">
      <alignment horizontal="left" vertical="center"/>
    </xf>
    <xf numFmtId="0" fontId="27" fillId="8" borderId="163" xfId="0" applyFont="1" applyFill="1" applyBorder="1" applyAlignment="1">
      <alignment horizontal="left" vertical="center"/>
    </xf>
    <xf numFmtId="167" fontId="27" fillId="0" borderId="164" xfId="0" applyNumberFormat="1" applyFont="1" applyBorder="1" applyAlignment="1">
      <alignment horizontal="center" vertical="center"/>
    </xf>
    <xf numFmtId="1" fontId="27" fillId="0" borderId="165" xfId="0" applyNumberFormat="1" applyFont="1" applyBorder="1" applyAlignment="1">
      <alignment horizontal="center" vertical="center"/>
    </xf>
    <xf numFmtId="1" fontId="14" fillId="0" borderId="159" xfId="0" applyNumberFormat="1" applyFont="1" applyBorder="1" applyAlignment="1">
      <alignment horizontal="center" vertical="center"/>
    </xf>
    <xf numFmtId="1" fontId="14" fillId="0" borderId="166" xfId="0" applyNumberFormat="1" applyFont="1" applyBorder="1" applyAlignment="1">
      <alignment horizontal="center" vertical="center"/>
    </xf>
    <xf numFmtId="2" fontId="27" fillId="0" borderId="158" xfId="0" applyNumberFormat="1" applyFont="1" applyBorder="1" applyAlignment="1">
      <alignment horizontal="center" vertical="center"/>
    </xf>
    <xf numFmtId="2" fontId="27" fillId="0" borderId="154" xfId="0" applyNumberFormat="1" applyFont="1" applyBorder="1" applyAlignment="1">
      <alignment horizontal="center" vertical="center"/>
    </xf>
    <xf numFmtId="0" fontId="14" fillId="8" borderId="161" xfId="0" applyFont="1" applyFill="1" applyBorder="1" applyAlignment="1">
      <alignment horizontal="right" vertical="center"/>
    </xf>
    <xf numFmtId="1" fontId="14" fillId="8" borderId="151" xfId="0" applyNumberFormat="1" applyFont="1" applyFill="1" applyBorder="1" applyAlignment="1">
      <alignment horizontal="center" vertical="center"/>
    </xf>
    <xf numFmtId="1" fontId="14" fillId="5" borderId="151" xfId="0" applyNumberFormat="1" applyFont="1" applyFill="1" applyBorder="1" applyAlignment="1">
      <alignment horizontal="center" vertical="center"/>
    </xf>
    <xf numFmtId="1" fontId="14" fillId="8" borderId="167" xfId="0" applyNumberFormat="1" applyFont="1" applyFill="1" applyBorder="1" applyAlignment="1">
      <alignment horizontal="center" vertical="center"/>
    </xf>
    <xf numFmtId="1" fontId="14" fillId="8" borderId="152" xfId="0" applyNumberFormat="1" applyFont="1" applyFill="1" applyBorder="1" applyAlignment="1">
      <alignment horizontal="center" vertical="center"/>
    </xf>
    <xf numFmtId="1" fontId="14" fillId="5" borderId="168" xfId="0" applyNumberFormat="1" applyFont="1" applyFill="1" applyBorder="1" applyAlignment="1">
      <alignment horizontal="center" vertical="center"/>
    </xf>
    <xf numFmtId="167" fontId="14" fillId="6" borderId="170" xfId="0" applyNumberFormat="1" applyFont="1" applyFill="1" applyBorder="1" applyAlignment="1">
      <alignment horizontal="center" vertical="center"/>
    </xf>
    <xf numFmtId="167" fontId="27" fillId="6" borderId="170" xfId="0" applyNumberFormat="1" applyFont="1" applyFill="1" applyBorder="1" applyAlignment="1">
      <alignment horizontal="center" vertical="center"/>
    </xf>
    <xf numFmtId="0" fontId="27" fillId="8" borderId="155" xfId="0" applyFont="1" applyFill="1" applyBorder="1" applyAlignment="1">
      <alignment vertical="center"/>
    </xf>
    <xf numFmtId="167" fontId="14" fillId="0" borderId="155" xfId="0" applyNumberFormat="1" applyFont="1" applyBorder="1" applyAlignment="1">
      <alignment horizontal="center" vertical="center"/>
    </xf>
    <xf numFmtId="1" fontId="14" fillId="0" borderId="155" xfId="0" applyNumberFormat="1" applyFont="1" applyBorder="1" applyAlignment="1">
      <alignment horizontal="center" vertical="center"/>
    </xf>
    <xf numFmtId="1" fontId="14" fillId="5" borderId="155" xfId="0" applyNumberFormat="1" applyFont="1" applyFill="1" applyBorder="1" applyAlignment="1">
      <alignment horizontal="center" vertical="center"/>
    </xf>
    <xf numFmtId="0" fontId="27" fillId="8" borderId="152" xfId="0" applyFont="1" applyFill="1" applyBorder="1" applyAlignment="1">
      <alignment horizontal="left" vertical="center"/>
    </xf>
    <xf numFmtId="0" fontId="27" fillId="0" borderId="152" xfId="0" applyFont="1" applyBorder="1" applyAlignment="1">
      <alignment horizontal="left" vertical="center"/>
    </xf>
    <xf numFmtId="0" fontId="14" fillId="0" borderId="152" xfId="0" applyFont="1" applyBorder="1" applyAlignment="1">
      <alignment horizontal="right" vertical="center"/>
    </xf>
    <xf numFmtId="167" fontId="14" fillId="6" borderId="152" xfId="0" applyNumberFormat="1" applyFont="1" applyFill="1" applyBorder="1" applyAlignment="1">
      <alignment horizontal="center" vertical="center"/>
    </xf>
    <xf numFmtId="0" fontId="18" fillId="8" borderId="52" xfId="186" applyFont="1" applyFill="1" applyBorder="1" applyAlignment="1">
      <alignment horizontal="left" vertical="center"/>
    </xf>
    <xf numFmtId="1" fontId="19" fillId="8" borderId="118" xfId="0" applyNumberFormat="1" applyFont="1" applyFill="1" applyBorder="1" applyAlignment="1">
      <alignment horizontal="center"/>
    </xf>
    <xf numFmtId="0" fontId="195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0" xfId="0" applyNumberFormat="1" applyFont="1" applyFill="1" applyBorder="1" applyAlignment="1">
      <alignment horizontal="center" vertical="center"/>
    </xf>
    <xf numFmtId="1" fontId="20" fillId="5" borderId="168" xfId="0" applyNumberFormat="1" applyFont="1" applyFill="1" applyBorder="1" applyAlignment="1">
      <alignment vertical="center"/>
    </xf>
    <xf numFmtId="1" fontId="20" fillId="5" borderId="165" xfId="0" applyNumberFormat="1" applyFont="1" applyFill="1" applyBorder="1" applyAlignment="1">
      <alignment horizontal="center" vertical="center"/>
    </xf>
    <xf numFmtId="1" fontId="20" fillId="7" borderId="168" xfId="0" applyNumberFormat="1" applyFont="1" applyFill="1" applyBorder="1" applyAlignment="1">
      <alignment vertical="center"/>
    </xf>
    <xf numFmtId="1" fontId="20" fillId="7" borderId="165" xfId="0" applyNumberFormat="1" applyFont="1" applyFill="1" applyBorder="1" applyAlignment="1">
      <alignment horizontal="center" vertical="center"/>
    </xf>
    <xf numFmtId="1" fontId="20" fillId="5" borderId="170" xfId="0" applyNumberFormat="1" applyFont="1" applyFill="1" applyBorder="1" applyAlignment="1">
      <alignment vertical="center"/>
    </xf>
    <xf numFmtId="1" fontId="20" fillId="5" borderId="170" xfId="0" applyNumberFormat="1" applyFont="1" applyFill="1" applyBorder="1" applyAlignment="1">
      <alignment horizontal="center" vertical="center"/>
    </xf>
    <xf numFmtId="1" fontId="20" fillId="44" borderId="170" xfId="0" applyNumberFormat="1" applyFont="1" applyFill="1" applyBorder="1" applyAlignment="1">
      <alignment vertical="center"/>
    </xf>
    <xf numFmtId="1" fontId="20" fillId="44" borderId="170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2" xfId="0" quotePrefix="1" applyNumberFormat="1" applyFont="1" applyBorder="1" applyAlignment="1">
      <alignment horizontal="left" vertical="center"/>
    </xf>
    <xf numFmtId="172" fontId="20" fillId="0" borderId="152" xfId="0" quotePrefix="1" applyNumberFormat="1" applyFont="1" applyBorder="1" applyAlignment="1">
      <alignment horizontal="center" vertical="center"/>
    </xf>
    <xf numFmtId="1" fontId="20" fillId="0" borderId="152" xfId="0" applyNumberFormat="1" applyFont="1" applyBorder="1" applyAlignment="1">
      <alignment vertical="center"/>
    </xf>
    <xf numFmtId="1" fontId="20" fillId="7" borderId="152" xfId="0" applyNumberFormat="1" applyFont="1" applyFill="1" applyBorder="1" applyAlignment="1">
      <alignment vertical="center"/>
    </xf>
    <xf numFmtId="1" fontId="20" fillId="5" borderId="152" xfId="0" applyNumberFormat="1" applyFont="1" applyFill="1" applyBorder="1" applyAlignment="1">
      <alignment vertical="center"/>
    </xf>
    <xf numFmtId="1" fontId="20" fillId="6" borderId="152" xfId="0" applyNumberFormat="1" applyFont="1" applyFill="1" applyBorder="1" applyAlignment="1">
      <alignment vertical="center"/>
    </xf>
    <xf numFmtId="1" fontId="20" fillId="6" borderId="152" xfId="0" applyNumberFormat="1" applyFont="1" applyFill="1" applyBorder="1" applyAlignment="1">
      <alignment horizontal="center" vertical="center"/>
    </xf>
    <xf numFmtId="1" fontId="20" fillId="44" borderId="152" xfId="0" applyNumberFormat="1" applyFont="1" applyFill="1" applyBorder="1" applyAlignment="1">
      <alignment vertical="center"/>
    </xf>
    <xf numFmtId="1" fontId="20" fillId="44" borderId="152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1" xfId="0" quotePrefix="1" applyNumberFormat="1" applyFont="1" applyBorder="1" applyAlignment="1">
      <alignment horizontal="left" vertical="center"/>
    </xf>
    <xf numFmtId="164" fontId="20" fillId="0" borderId="145" xfId="0" quotePrefix="1" applyNumberFormat="1" applyFont="1" applyBorder="1" applyAlignment="1">
      <alignment horizontal="left" vertical="center"/>
    </xf>
    <xf numFmtId="164" fontId="20" fillId="0" borderId="155" xfId="0" quotePrefix="1" applyNumberFormat="1" applyFont="1" applyBorder="1" applyAlignment="1">
      <alignment horizontal="left" vertical="center"/>
    </xf>
    <xf numFmtId="172" fontId="20" fillId="0" borderId="155" xfId="0" quotePrefix="1" applyNumberFormat="1" applyFont="1" applyBorder="1" applyAlignment="1">
      <alignment horizontal="center" vertical="center"/>
    </xf>
    <xf numFmtId="1" fontId="20" fillId="0" borderId="155" xfId="0" applyNumberFormat="1" applyFont="1" applyBorder="1" applyAlignment="1">
      <alignment vertical="center"/>
    </xf>
    <xf numFmtId="1" fontId="20" fillId="7" borderId="155" xfId="0" applyNumberFormat="1" applyFont="1" applyFill="1" applyBorder="1" applyAlignment="1">
      <alignment vertical="center"/>
    </xf>
    <xf numFmtId="1" fontId="20" fillId="5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horizontal="center" vertical="center"/>
    </xf>
    <xf numFmtId="1" fontId="20" fillId="44" borderId="155" xfId="0" applyNumberFormat="1" applyFont="1" applyFill="1" applyBorder="1" applyAlignment="1">
      <alignment vertical="center"/>
    </xf>
    <xf numFmtId="1" fontId="20" fillId="44" borderId="155" xfId="0" applyNumberFormat="1" applyFont="1" applyFill="1" applyBorder="1" applyAlignment="1">
      <alignment horizontal="center" vertical="center"/>
    </xf>
    <xf numFmtId="0" fontId="45" fillId="0" borderId="152" xfId="0" applyFont="1" applyBorder="1"/>
    <xf numFmtId="1" fontId="45" fillId="7" borderId="152" xfId="0" applyNumberFormat="1" applyFont="1" applyFill="1" applyBorder="1" applyAlignment="1">
      <alignment horizontal="center" vertical="center"/>
    </xf>
    <xf numFmtId="1" fontId="45" fillId="5" borderId="152" xfId="0" applyNumberFormat="1" applyFont="1" applyFill="1" applyBorder="1" applyAlignment="1">
      <alignment horizontal="center" vertical="center"/>
    </xf>
    <xf numFmtId="1" fontId="45" fillId="6" borderId="152" xfId="0" applyNumberFormat="1" applyFont="1" applyFill="1" applyBorder="1" applyAlignment="1">
      <alignment horizontal="center" vertical="center"/>
    </xf>
    <xf numFmtId="1" fontId="45" fillId="44" borderId="152" xfId="0" applyNumberFormat="1" applyFont="1" applyFill="1" applyBorder="1" applyAlignment="1">
      <alignment horizontal="center" vertical="center"/>
    </xf>
    <xf numFmtId="167" fontId="45" fillId="0" borderId="152" xfId="0" applyNumberFormat="1" applyFont="1" applyBorder="1"/>
    <xf numFmtId="167" fontId="45" fillId="7" borderId="152" xfId="0" applyNumberFormat="1" applyFont="1" applyFill="1" applyBorder="1"/>
    <xf numFmtId="167" fontId="45" fillId="5" borderId="152" xfId="0" applyNumberFormat="1" applyFont="1" applyFill="1" applyBorder="1"/>
    <xf numFmtId="167" fontId="45" fillId="6" borderId="152" xfId="0" applyNumberFormat="1" applyFont="1" applyFill="1" applyBorder="1"/>
    <xf numFmtId="167" fontId="45" fillId="44" borderId="152" xfId="0" applyNumberFormat="1" applyFont="1" applyFill="1" applyBorder="1"/>
    <xf numFmtId="0" fontId="45" fillId="0" borderId="152" xfId="0" applyFont="1" applyBorder="1" applyAlignment="1">
      <alignment wrapText="1"/>
    </xf>
    <xf numFmtId="0" fontId="45" fillId="7" borderId="152" xfId="0" applyFont="1" applyFill="1" applyBorder="1"/>
    <xf numFmtId="0" fontId="45" fillId="5" borderId="152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1" xfId="0" applyFont="1" applyBorder="1" applyAlignment="1">
      <alignment wrapText="1"/>
    </xf>
    <xf numFmtId="1" fontId="45" fillId="7" borderId="154" xfId="0" applyNumberFormat="1" applyFont="1" applyFill="1" applyBorder="1" applyAlignment="1">
      <alignment horizontal="center" vertical="center"/>
    </xf>
    <xf numFmtId="0" fontId="45" fillId="0" borderId="151" xfId="0" applyFont="1" applyBorder="1"/>
    <xf numFmtId="0" fontId="45" fillId="0" borderId="145" xfId="0" applyFont="1" applyBorder="1"/>
    <xf numFmtId="0" fontId="45" fillId="0" borderId="155" xfId="0" applyFont="1" applyBorder="1"/>
    <xf numFmtId="167" fontId="45" fillId="0" borderId="155" xfId="0" applyNumberFormat="1" applyFont="1" applyBorder="1"/>
    <xf numFmtId="1" fontId="45" fillId="0" borderId="155" xfId="0" applyNumberFormat="1" applyFont="1" applyBorder="1" applyAlignment="1">
      <alignment horizontal="center" vertical="center"/>
    </xf>
    <xf numFmtId="167" fontId="45" fillId="7" borderId="155" xfId="0" applyNumberFormat="1" applyFont="1" applyFill="1" applyBorder="1"/>
    <xf numFmtId="1" fontId="45" fillId="7" borderId="155" xfId="0" applyNumberFormat="1" applyFont="1" applyFill="1" applyBorder="1" applyAlignment="1">
      <alignment horizontal="center" vertical="center"/>
    </xf>
    <xf numFmtId="167" fontId="45" fillId="5" borderId="155" xfId="0" applyNumberFormat="1" applyFont="1" applyFill="1" applyBorder="1"/>
    <xf numFmtId="1" fontId="45" fillId="5" borderId="155" xfId="0" applyNumberFormat="1" applyFont="1" applyFill="1" applyBorder="1" applyAlignment="1">
      <alignment horizontal="center" vertical="center"/>
    </xf>
    <xf numFmtId="167" fontId="45" fillId="6" borderId="155" xfId="0" applyNumberFormat="1" applyFont="1" applyFill="1" applyBorder="1"/>
    <xf numFmtId="1" fontId="45" fillId="6" borderId="155" xfId="0" applyNumberFormat="1" applyFont="1" applyFill="1" applyBorder="1" applyAlignment="1">
      <alignment horizontal="center" vertical="center"/>
    </xf>
    <xf numFmtId="167" fontId="45" fillId="44" borderId="155" xfId="0" applyNumberFormat="1" applyFont="1" applyFill="1" applyBorder="1"/>
    <xf numFmtId="1" fontId="45" fillId="44" borderId="155" xfId="0" applyNumberFormat="1" applyFont="1" applyFill="1" applyBorder="1" applyAlignment="1">
      <alignment horizontal="center" vertical="center"/>
    </xf>
    <xf numFmtId="1" fontId="45" fillId="7" borderId="157" xfId="0" applyNumberFormat="1" applyFont="1" applyFill="1" applyBorder="1" applyAlignment="1">
      <alignment horizontal="center" vertical="center"/>
    </xf>
    <xf numFmtId="1" fontId="45" fillId="8" borderId="152" xfId="0" applyNumberFormat="1" applyFont="1" applyFill="1" applyBorder="1" applyAlignment="1">
      <alignment horizontal="center" vertical="center"/>
    </xf>
    <xf numFmtId="0" fontId="45" fillId="8" borderId="152" xfId="0" applyFont="1" applyFill="1" applyBorder="1"/>
    <xf numFmtId="0" fontId="45" fillId="6" borderId="152" xfId="0" applyFont="1" applyFill="1" applyBorder="1"/>
    <xf numFmtId="0" fontId="45" fillId="44" borderId="152" xfId="0" applyFont="1" applyFill="1" applyBorder="1"/>
    <xf numFmtId="9" fontId="45" fillId="0" borderId="152" xfId="22" applyFont="1" applyBorder="1" applyAlignment="1">
      <alignment horizontal="center" vertical="center"/>
    </xf>
    <xf numFmtId="9" fontId="45" fillId="7" borderId="152" xfId="22" applyFont="1" applyFill="1" applyBorder="1" applyAlignment="1">
      <alignment horizontal="center" vertical="center"/>
    </xf>
    <xf numFmtId="9" fontId="45" fillId="5" borderId="152" xfId="22" applyFont="1" applyFill="1" applyBorder="1" applyAlignment="1">
      <alignment horizontal="center" vertical="center"/>
    </xf>
    <xf numFmtId="9" fontId="45" fillId="6" borderId="152" xfId="22" applyFont="1" applyFill="1" applyBorder="1" applyAlignment="1">
      <alignment horizontal="center" vertical="center"/>
    </xf>
    <xf numFmtId="9" fontId="45" fillId="44" borderId="152" xfId="22" applyFont="1" applyFill="1" applyBorder="1" applyAlignment="1">
      <alignment horizontal="center" vertical="center"/>
    </xf>
    <xf numFmtId="0" fontId="45" fillId="8" borderId="151" xfId="0" applyFont="1" applyFill="1" applyBorder="1"/>
    <xf numFmtId="9" fontId="45" fillId="7" borderId="154" xfId="22" applyFont="1" applyFill="1" applyBorder="1" applyAlignment="1">
      <alignment horizontal="center" vertical="center"/>
    </xf>
    <xf numFmtId="0" fontId="45" fillId="7" borderId="155" xfId="0" applyFont="1" applyFill="1" applyBorder="1"/>
    <xf numFmtId="0" fontId="45" fillId="5" borderId="155" xfId="0" applyFont="1" applyFill="1" applyBorder="1"/>
    <xf numFmtId="0" fontId="20" fillId="0" borderId="152" xfId="0" applyFont="1" applyBorder="1" applyAlignment="1">
      <alignment vertical="center"/>
    </xf>
    <xf numFmtId="0" fontId="20" fillId="7" borderId="152" xfId="0" applyFont="1" applyFill="1" applyBorder="1" applyAlignment="1">
      <alignment horizontal="center" vertical="center"/>
    </xf>
    <xf numFmtId="167" fontId="20" fillId="0" borderId="152" xfId="0" applyNumberFormat="1" applyFont="1" applyBorder="1" applyAlignment="1">
      <alignment horizontal="center" vertical="center"/>
    </xf>
    <xf numFmtId="167" fontId="20" fillId="7" borderId="152" xfId="0" applyNumberFormat="1" applyFont="1" applyFill="1" applyBorder="1" applyAlignment="1">
      <alignment horizontal="center" vertical="center"/>
    </xf>
    <xf numFmtId="167" fontId="20" fillId="5" borderId="152" xfId="0" applyNumberFormat="1" applyFont="1" applyFill="1" applyBorder="1" applyAlignment="1">
      <alignment horizontal="center" vertical="center"/>
    </xf>
    <xf numFmtId="167" fontId="20" fillId="6" borderId="152" xfId="0" applyNumberFormat="1" applyFont="1" applyFill="1" applyBorder="1" applyAlignment="1">
      <alignment horizontal="center" vertical="center"/>
    </xf>
    <xf numFmtId="167" fontId="20" fillId="44" borderId="152" xfId="0" applyNumberFormat="1" applyFont="1" applyFill="1" applyBorder="1" applyAlignment="1">
      <alignment horizontal="center" vertical="center"/>
    </xf>
    <xf numFmtId="167" fontId="20" fillId="8" borderId="152" xfId="0" applyNumberFormat="1" applyFont="1" applyFill="1" applyBorder="1" applyAlignment="1">
      <alignment horizontal="center" vertical="center"/>
    </xf>
    <xf numFmtId="169" fontId="20" fillId="8" borderId="152" xfId="0" applyNumberFormat="1" applyFont="1" applyFill="1" applyBorder="1" applyAlignment="1">
      <alignment horizontal="center" vertical="center"/>
    </xf>
    <xf numFmtId="169" fontId="20" fillId="7" borderId="152" xfId="0" applyNumberFormat="1" applyFont="1" applyFill="1" applyBorder="1" applyAlignment="1">
      <alignment horizontal="center" vertical="center"/>
    </xf>
    <xf numFmtId="169" fontId="20" fillId="5" borderId="152" xfId="0" applyNumberFormat="1" applyFont="1" applyFill="1" applyBorder="1" applyAlignment="1">
      <alignment horizontal="center" vertical="center"/>
    </xf>
    <xf numFmtId="169" fontId="20" fillId="6" borderId="152" xfId="0" applyNumberFormat="1" applyFont="1" applyFill="1" applyBorder="1" applyAlignment="1">
      <alignment horizontal="center" vertical="center"/>
    </xf>
    <xf numFmtId="169" fontId="20" fillId="44" borderId="152" xfId="0" applyNumberFormat="1" applyFont="1" applyFill="1" applyBorder="1" applyAlignment="1">
      <alignment horizontal="center" vertical="center"/>
    </xf>
    <xf numFmtId="2" fontId="20" fillId="8" borderId="152" xfId="0" applyNumberFormat="1" applyFont="1" applyFill="1" applyBorder="1" applyAlignment="1">
      <alignment horizontal="center" vertical="center"/>
    </xf>
    <xf numFmtId="2" fontId="20" fillId="7" borderId="152" xfId="0" applyNumberFormat="1" applyFont="1" applyFill="1" applyBorder="1" applyAlignment="1">
      <alignment horizontal="center" vertical="center"/>
    </xf>
    <xf numFmtId="2" fontId="20" fillId="5" borderId="152" xfId="0" applyNumberFormat="1" applyFont="1" applyFill="1" applyBorder="1" applyAlignment="1">
      <alignment horizontal="center" vertical="center"/>
    </xf>
    <xf numFmtId="2" fontId="20" fillId="6" borderId="152" xfId="0" applyNumberFormat="1" applyFont="1" applyFill="1" applyBorder="1" applyAlignment="1">
      <alignment horizontal="center" vertical="center"/>
    </xf>
    <xf numFmtId="2" fontId="20" fillId="44" borderId="152" xfId="0" applyNumberFormat="1" applyFont="1" applyFill="1" applyBorder="1" applyAlignment="1">
      <alignment horizontal="center" vertical="center"/>
    </xf>
    <xf numFmtId="0" fontId="20" fillId="0" borderId="151" xfId="0" applyFont="1" applyBorder="1" applyAlignment="1">
      <alignment vertical="center"/>
    </xf>
    <xf numFmtId="167" fontId="20" fillId="7" borderId="154" xfId="0" applyNumberFormat="1" applyFont="1" applyFill="1" applyBorder="1" applyAlignment="1">
      <alignment horizontal="center" vertical="center"/>
    </xf>
    <xf numFmtId="169" fontId="20" fillId="7" borderId="154" xfId="0" applyNumberFormat="1" applyFont="1" applyFill="1" applyBorder="1" applyAlignment="1">
      <alignment horizontal="center" vertical="center"/>
    </xf>
    <xf numFmtId="2" fontId="20" fillId="7" borderId="154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vertical="center"/>
    </xf>
    <xf numFmtId="0" fontId="20" fillId="0" borderId="155" xfId="0" applyFont="1" applyBorder="1" applyAlignment="1">
      <alignment vertical="center"/>
    </xf>
    <xf numFmtId="2" fontId="20" fillId="8" borderId="155" xfId="0" applyNumberFormat="1" applyFont="1" applyFill="1" applyBorder="1" applyAlignment="1">
      <alignment horizontal="center" vertical="center"/>
    </xf>
    <xf numFmtId="167" fontId="20" fillId="7" borderId="155" xfId="0" applyNumberFormat="1" applyFont="1" applyFill="1" applyBorder="1" applyAlignment="1">
      <alignment horizontal="center" vertical="center"/>
    </xf>
    <xf numFmtId="167" fontId="20" fillId="5" borderId="155" xfId="0" applyNumberFormat="1" applyFont="1" applyFill="1" applyBorder="1" applyAlignment="1">
      <alignment horizontal="center" vertical="center"/>
    </xf>
    <xf numFmtId="2" fontId="20" fillId="6" borderId="155" xfId="0" applyNumberFormat="1" applyFont="1" applyFill="1" applyBorder="1" applyAlignment="1">
      <alignment horizontal="center" vertical="center"/>
    </xf>
    <xf numFmtId="167" fontId="20" fillId="8" borderId="155" xfId="0" applyNumberFormat="1" applyFont="1" applyFill="1" applyBorder="1" applyAlignment="1">
      <alignment horizontal="center" vertical="center"/>
    </xf>
    <xf numFmtId="2" fontId="20" fillId="44" borderId="155" xfId="0" applyNumberFormat="1" applyFont="1" applyFill="1" applyBorder="1" applyAlignment="1">
      <alignment horizontal="center" vertical="center"/>
    </xf>
    <xf numFmtId="167" fontId="20" fillId="7" borderId="157" xfId="0" applyNumberFormat="1" applyFont="1" applyFill="1" applyBorder="1" applyAlignment="1">
      <alignment horizontal="center" vertical="center"/>
    </xf>
    <xf numFmtId="167" fontId="20" fillId="6" borderId="156" xfId="0" applyNumberFormat="1" applyFont="1" applyFill="1" applyBorder="1" applyAlignment="1">
      <alignment horizontal="center" vertical="center"/>
    </xf>
    <xf numFmtId="1" fontId="21" fillId="0" borderId="13" xfId="0" applyNumberFormat="1" applyFont="1" applyBorder="1" applyAlignment="1">
      <alignment horizontal="center" vertical="center"/>
    </xf>
    <xf numFmtId="1" fontId="19" fillId="8" borderId="158" xfId="186" applyNumberFormat="1" applyFont="1" applyFill="1" applyBorder="1" applyAlignment="1">
      <alignment horizontal="center" vertical="top"/>
    </xf>
    <xf numFmtId="1" fontId="19" fillId="8" borderId="152" xfId="186" applyNumberFormat="1" applyFont="1" applyFill="1" applyBorder="1" applyAlignment="1">
      <alignment horizontal="center" vertical="top"/>
    </xf>
    <xf numFmtId="1" fontId="19" fillId="5" borderId="152" xfId="186" applyNumberFormat="1" applyFont="1" applyFill="1" applyBorder="1" applyAlignment="1">
      <alignment horizontal="center" vertical="top"/>
    </xf>
    <xf numFmtId="1" fontId="19" fillId="7" borderId="152" xfId="186" applyNumberFormat="1" applyFont="1" applyFill="1" applyBorder="1" applyAlignment="1">
      <alignment horizontal="center" vertical="top"/>
    </xf>
    <xf numFmtId="1" fontId="79" fillId="0" borderId="158" xfId="186" applyNumberFormat="1" applyFont="1" applyBorder="1" applyAlignment="1">
      <alignment horizontal="center" vertical="center"/>
    </xf>
    <xf numFmtId="1" fontId="79" fillId="7" borderId="158" xfId="186" applyNumberFormat="1" applyFont="1" applyFill="1" applyBorder="1" applyAlignment="1">
      <alignment horizontal="center" vertical="center"/>
    </xf>
    <xf numFmtId="1" fontId="79" fillId="8" borderId="158" xfId="186" applyNumberFormat="1" applyFont="1" applyFill="1" applyBorder="1" applyAlignment="1">
      <alignment horizontal="center" vertical="center"/>
    </xf>
    <xf numFmtId="1" fontId="79" fillId="5" borderId="162" xfId="186" applyNumberFormat="1" applyFont="1" applyFill="1" applyBorder="1" applyAlignment="1">
      <alignment horizontal="center" vertical="center"/>
    </xf>
    <xf numFmtId="1" fontId="78" fillId="5" borderId="154" xfId="186" applyNumberFormat="1" applyFont="1" applyFill="1" applyBorder="1" applyAlignment="1">
      <alignment horizontal="center" vertical="center"/>
    </xf>
    <xf numFmtId="1" fontId="79" fillId="0" borderId="162" xfId="186" applyNumberFormat="1" applyFont="1" applyBorder="1" applyAlignment="1">
      <alignment horizontal="center" vertical="center"/>
    </xf>
    <xf numFmtId="1" fontId="78" fillId="7" borderId="154" xfId="186" applyNumberFormat="1" applyFont="1" applyFill="1" applyBorder="1" applyAlignment="1">
      <alignment horizontal="center" vertical="center"/>
    </xf>
    <xf numFmtId="1" fontId="78" fillId="7" borderId="152" xfId="186" applyNumberFormat="1" applyFont="1" applyFill="1" applyBorder="1" applyAlignment="1">
      <alignment horizontal="center" vertical="center"/>
    </xf>
    <xf numFmtId="1" fontId="78" fillId="7" borderId="158" xfId="186" applyNumberFormat="1" applyFont="1" applyFill="1" applyBorder="1" applyAlignment="1">
      <alignment horizontal="center" vertical="center"/>
    </xf>
    <xf numFmtId="0" fontId="20" fillId="8" borderId="151" xfId="0" quotePrefix="1" applyFont="1" applyFill="1" applyBorder="1" applyAlignment="1">
      <alignment horizontal="left" vertical="center" wrapText="1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2" xfId="0" applyFont="1" applyBorder="1" applyAlignment="1">
      <alignment horizontal="right" vertical="center"/>
    </xf>
    <xf numFmtId="1" fontId="18" fillId="8" borderId="152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1" xfId="0" applyFont="1" applyBorder="1" applyAlignment="1">
      <alignment horizontal="left" vertical="center" wrapText="1" indent="2"/>
    </xf>
    <xf numFmtId="0" fontId="20" fillId="0" borderId="154" xfId="0" applyFont="1" applyBorder="1" applyAlignment="1">
      <alignment horizontal="center" vertical="center"/>
    </xf>
    <xf numFmtId="1" fontId="21" fillId="8" borderId="151" xfId="0" applyNumberFormat="1" applyFont="1" applyFill="1" applyBorder="1" applyAlignment="1">
      <alignment horizontal="center" vertical="center"/>
    </xf>
    <xf numFmtId="0" fontId="20" fillId="0" borderId="168" xfId="0" applyFont="1" applyBorder="1" applyAlignment="1">
      <alignment horizontal="left" vertical="center" wrapText="1" indent="2"/>
    </xf>
    <xf numFmtId="0" fontId="20" fillId="0" borderId="165" xfId="0" applyFont="1" applyBorder="1" applyAlignment="1">
      <alignment horizontal="center" vertical="center"/>
    </xf>
    <xf numFmtId="1" fontId="21" fillId="8" borderId="145" xfId="0" applyNumberFormat="1" applyFont="1" applyFill="1" applyBorder="1" applyAlignment="1">
      <alignment horizontal="center" vertical="center"/>
    </xf>
    <xf numFmtId="1" fontId="176" fillId="8" borderId="35" xfId="0" applyNumberFormat="1" applyFont="1" applyFill="1" applyBorder="1" applyAlignment="1">
      <alignment vertical="center" wrapText="1"/>
    </xf>
    <xf numFmtId="0" fontId="177" fillId="8" borderId="0" xfId="0" applyFont="1" applyFill="1" applyAlignment="1">
      <alignment horizontal="left" vertical="center" wrapText="1"/>
    </xf>
    <xf numFmtId="0" fontId="20" fillId="0" borderId="156" xfId="0" applyFont="1" applyBorder="1" applyAlignment="1">
      <alignment horizontal="center" vertical="center"/>
    </xf>
    <xf numFmtId="0" fontId="20" fillId="0" borderId="169" xfId="0" applyFont="1" applyBorder="1" applyAlignment="1">
      <alignment horizontal="center" vertical="center"/>
    </xf>
    <xf numFmtId="0" fontId="20" fillId="0" borderId="168" xfId="0" applyFont="1" applyBorder="1" applyAlignment="1">
      <alignment horizontal="right" vertical="center" wrapText="1" indent="2"/>
    </xf>
    <xf numFmtId="0" fontId="20" fillId="0" borderId="151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6" xfId="0" applyNumberFormat="1" applyFont="1" applyFill="1" applyBorder="1" applyAlignment="1">
      <alignment horizontal="center" vertical="center"/>
    </xf>
    <xf numFmtId="1" fontId="20" fillId="8" borderId="160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67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1" xfId="0" applyNumberFormat="1" applyFont="1" applyFill="1" applyBorder="1" applyAlignment="1">
      <alignment horizontal="center" vertical="center" wrapText="1"/>
    </xf>
    <xf numFmtId="1" fontId="20" fillId="8" borderId="161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2" xfId="0" applyFont="1" applyFill="1" applyBorder="1" applyAlignment="1">
      <alignment vertical="center"/>
    </xf>
    <xf numFmtId="0" fontId="21" fillId="8" borderId="152" xfId="0" applyFont="1" applyFill="1" applyBorder="1" applyAlignment="1">
      <alignment horizontal="center" vertical="center"/>
    </xf>
    <xf numFmtId="9" fontId="21" fillId="8" borderId="152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1" xfId="0" applyFont="1" applyFill="1" applyBorder="1" applyAlignment="1">
      <alignment vertical="center"/>
    </xf>
    <xf numFmtId="9" fontId="21" fillId="8" borderId="154" xfId="22" applyFont="1" applyFill="1" applyBorder="1" applyAlignment="1">
      <alignment horizontal="center" vertical="center"/>
    </xf>
    <xf numFmtId="1" fontId="19" fillId="8" borderId="154" xfId="0" applyNumberFormat="1" applyFont="1" applyFill="1" applyBorder="1" applyAlignment="1">
      <alignment horizontal="center" vertical="center"/>
    </xf>
    <xf numFmtId="0" fontId="21" fillId="8" borderId="145" xfId="0" applyFont="1" applyFill="1" applyBorder="1" applyAlignment="1">
      <alignment vertical="center"/>
    </xf>
    <xf numFmtId="0" fontId="21" fillId="8" borderId="155" xfId="0" applyFont="1" applyFill="1" applyBorder="1" applyAlignment="1">
      <alignment vertical="center"/>
    </xf>
    <xf numFmtId="0" fontId="21" fillId="8" borderId="155" xfId="0" applyFont="1" applyFill="1" applyBorder="1" applyAlignment="1">
      <alignment horizontal="center" vertical="center"/>
    </xf>
    <xf numFmtId="9" fontId="21" fillId="8" borderId="155" xfId="22" applyFont="1" applyFill="1" applyBorder="1" applyAlignment="1">
      <alignment horizontal="center" vertical="center"/>
    </xf>
    <xf numFmtId="1" fontId="19" fillId="8" borderId="157" xfId="0" applyNumberFormat="1" applyFont="1" applyFill="1" applyBorder="1" applyAlignment="1">
      <alignment horizontal="center" vertical="center"/>
    </xf>
    <xf numFmtId="0" fontId="14" fillId="0" borderId="158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0" fillId="6" borderId="151" xfId="0" applyNumberFormat="1" applyFont="1" applyFill="1" applyBorder="1" applyAlignment="1">
      <alignment horizontal="center" vertical="center"/>
    </xf>
    <xf numFmtId="0" fontId="18" fillId="0" borderId="151" xfId="0" applyFont="1" applyBorder="1" applyAlignment="1">
      <alignment vertical="center"/>
    </xf>
    <xf numFmtId="0" fontId="18" fillId="0" borderId="156" xfId="0" applyFont="1" applyBorder="1" applyAlignment="1">
      <alignment horizontal="center" vertical="center"/>
    </xf>
    <xf numFmtId="167" fontId="21" fillId="8" borderId="151" xfId="0" applyNumberFormat="1" applyFont="1" applyFill="1" applyBorder="1" applyAlignment="1">
      <alignment horizontal="center" vertical="center"/>
    </xf>
    <xf numFmtId="0" fontId="7" fillId="0" borderId="152" xfId="0" applyFont="1" applyBorder="1" applyAlignment="1">
      <alignment horizontal="center" vertical="center"/>
    </xf>
    <xf numFmtId="4" fontId="0" fillId="0" borderId="0" xfId="0" applyNumberFormat="1"/>
    <xf numFmtId="2" fontId="36" fillId="47" borderId="0" xfId="0" applyNumberFormat="1" applyFont="1" applyFill="1"/>
    <xf numFmtId="171" fontId="186" fillId="8" borderId="10" xfId="22" applyNumberFormat="1" applyFont="1" applyFill="1" applyBorder="1" applyAlignment="1">
      <alignment horizontal="center"/>
    </xf>
    <xf numFmtId="0" fontId="187" fillId="0" borderId="152" xfId="0" applyFont="1" applyBorder="1"/>
    <xf numFmtId="1" fontId="187" fillId="8" borderId="152" xfId="0" applyNumberFormat="1" applyFont="1" applyFill="1" applyBorder="1" applyAlignment="1">
      <alignment horizontal="center"/>
    </xf>
    <xf numFmtId="1" fontId="187" fillId="7" borderId="152" xfId="0" applyNumberFormat="1" applyFont="1" applyFill="1" applyBorder="1" applyAlignment="1">
      <alignment horizontal="center"/>
    </xf>
    <xf numFmtId="1" fontId="187" fillId="5" borderId="152" xfId="0" applyNumberFormat="1" applyFont="1" applyFill="1" applyBorder="1" applyAlignment="1">
      <alignment horizontal="center"/>
    </xf>
    <xf numFmtId="0" fontId="12" fillId="0" borderId="171" xfId="0" applyFont="1" applyBorder="1" applyAlignment="1">
      <alignment horizontal="right" vertical="center"/>
    </xf>
    <xf numFmtId="0" fontId="12" fillId="0" borderId="171" xfId="0" applyFont="1" applyBorder="1" applyAlignment="1">
      <alignment horizontal="center" vertical="center"/>
    </xf>
    <xf numFmtId="1" fontId="20" fillId="0" borderId="171" xfId="0" applyNumberFormat="1" applyFont="1" applyBorder="1" applyAlignment="1">
      <alignment horizontal="center" vertical="center"/>
    </xf>
    <xf numFmtId="1" fontId="12" fillId="0" borderId="171" xfId="0" applyNumberFormat="1" applyFont="1" applyBorder="1" applyAlignment="1">
      <alignment horizontal="center" vertical="center"/>
    </xf>
    <xf numFmtId="1" fontId="12" fillId="7" borderId="171" xfId="0" applyNumberFormat="1" applyFont="1" applyFill="1" applyBorder="1" applyAlignment="1">
      <alignment horizontal="center" vertical="center"/>
    </xf>
    <xf numFmtId="1" fontId="12" fillId="5" borderId="171" xfId="0" applyNumberFormat="1" applyFont="1" applyFill="1" applyBorder="1" applyAlignment="1">
      <alignment horizontal="center" vertical="center"/>
    </xf>
    <xf numFmtId="1" fontId="12" fillId="6" borderId="171" xfId="0" applyNumberFormat="1" applyFont="1" applyFill="1" applyBorder="1" applyAlignment="1">
      <alignment horizontal="center" vertical="center"/>
    </xf>
    <xf numFmtId="0" fontId="12" fillId="8" borderId="151" xfId="0" applyFont="1" applyFill="1" applyBorder="1" applyAlignment="1">
      <alignment horizontal="right" vertical="center"/>
    </xf>
    <xf numFmtId="2" fontId="12" fillId="8" borderId="171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1" xfId="0" applyNumberFormat="1" applyFont="1" applyFill="1" applyBorder="1" applyAlignment="1">
      <alignment horizontal="center" vertical="center"/>
    </xf>
    <xf numFmtId="1" fontId="20" fillId="7" borderId="171" xfId="0" applyNumberFormat="1" applyFont="1" applyFill="1" applyBorder="1" applyAlignment="1">
      <alignment horizontal="center" vertical="center"/>
    </xf>
    <xf numFmtId="1" fontId="20" fillId="7" borderId="171" xfId="0" applyNumberFormat="1" applyFont="1" applyFill="1" applyBorder="1" applyAlignment="1">
      <alignment vertical="center"/>
    </xf>
    <xf numFmtId="1" fontId="19" fillId="6" borderId="171" xfId="0" applyNumberFormat="1" applyFont="1" applyFill="1" applyBorder="1" applyAlignment="1">
      <alignment horizontal="center" vertical="center"/>
    </xf>
    <xf numFmtId="1" fontId="78" fillId="7" borderId="171" xfId="186" applyNumberFormat="1" applyFont="1" applyFill="1" applyBorder="1" applyAlignment="1">
      <alignment horizontal="center" vertical="center"/>
    </xf>
    <xf numFmtId="0" fontId="7" fillId="0" borderId="156" xfId="0" applyFont="1" applyBorder="1" applyAlignment="1">
      <alignment horizontal="left" vertical="center"/>
    </xf>
    <xf numFmtId="0" fontId="7" fillId="0" borderId="171" xfId="0" applyFont="1" applyBorder="1" applyAlignment="1">
      <alignment horizontal="left" vertical="center"/>
    </xf>
    <xf numFmtId="0" fontId="7" fillId="0" borderId="171" xfId="0" applyFont="1" applyBorder="1" applyAlignment="1">
      <alignment horizontal="center" vertical="center"/>
    </xf>
    <xf numFmtId="0" fontId="7" fillId="7" borderId="171" xfId="0" applyFont="1" applyFill="1" applyBorder="1" applyAlignment="1">
      <alignment horizontal="center" vertical="center"/>
    </xf>
    <xf numFmtId="0" fontId="7" fillId="5" borderId="171" xfId="0" applyFont="1" applyFill="1" applyBorder="1" applyAlignment="1">
      <alignment horizontal="center" vertical="center"/>
    </xf>
    <xf numFmtId="0" fontId="0" fillId="0" borderId="171" xfId="0" applyBorder="1" applyAlignment="1">
      <alignment horizontal="center" vertical="center"/>
    </xf>
    <xf numFmtId="0" fontId="20" fillId="0" borderId="172" xfId="0" applyFont="1" applyBorder="1" applyAlignment="1">
      <alignment horizontal="center" vertical="center"/>
    </xf>
    <xf numFmtId="1" fontId="19" fillId="0" borderId="172" xfId="0" applyNumberFormat="1" applyFont="1" applyBorder="1" applyAlignment="1">
      <alignment horizontal="center" vertical="center"/>
    </xf>
    <xf numFmtId="1" fontId="19" fillId="50" borderId="172" xfId="0" applyNumberFormat="1" applyFont="1" applyFill="1" applyBorder="1" applyAlignment="1">
      <alignment horizontal="center" vertical="center"/>
    </xf>
    <xf numFmtId="1" fontId="112" fillId="5" borderId="172" xfId="0" applyNumberFormat="1" applyFont="1" applyFill="1" applyBorder="1" applyAlignment="1">
      <alignment horizontal="center" vertical="center"/>
    </xf>
    <xf numFmtId="1" fontId="18" fillId="6" borderId="172" xfId="0" applyNumberFormat="1" applyFont="1" applyFill="1" applyBorder="1" applyAlignment="1">
      <alignment horizontal="center" vertical="center"/>
    </xf>
    <xf numFmtId="1" fontId="19" fillId="7" borderId="172" xfId="0" applyNumberFormat="1" applyFont="1" applyFill="1" applyBorder="1" applyAlignment="1">
      <alignment horizontal="center" vertical="center"/>
    </xf>
    <xf numFmtId="1" fontId="18" fillId="7" borderId="154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Alignment="1">
      <alignment horizontal="center"/>
    </xf>
    <xf numFmtId="0" fontId="113" fillId="8" borderId="172" xfId="0" applyFont="1" applyFill="1" applyBorder="1" applyAlignment="1">
      <alignment horizontal="right" vertical="center"/>
    </xf>
    <xf numFmtId="0" fontId="18" fillId="8" borderId="172" xfId="0" applyFont="1" applyFill="1" applyBorder="1" applyAlignment="1">
      <alignment horizontal="center" vertical="center"/>
    </xf>
    <xf numFmtId="1" fontId="112" fillId="8" borderId="172" xfId="0" applyNumberFormat="1" applyFont="1" applyFill="1" applyBorder="1" applyAlignment="1">
      <alignment horizontal="center" vertical="center"/>
    </xf>
    <xf numFmtId="0" fontId="112" fillId="7" borderId="172" xfId="0" applyFont="1" applyFill="1" applyBorder="1" applyAlignment="1">
      <alignment horizontal="center" vertical="center"/>
    </xf>
    <xf numFmtId="0" fontId="112" fillId="5" borderId="172" xfId="0" applyFont="1" applyFill="1" applyBorder="1" applyAlignment="1">
      <alignment horizontal="right" vertical="center"/>
    </xf>
    <xf numFmtId="1" fontId="19" fillId="5" borderId="172" xfId="0" applyNumberFormat="1" applyFont="1" applyFill="1" applyBorder="1" applyAlignment="1">
      <alignment horizontal="center" vertical="center"/>
    </xf>
    <xf numFmtId="1" fontId="19" fillId="6" borderId="172" xfId="0" applyNumberFormat="1" applyFont="1" applyFill="1" applyBorder="1" applyAlignment="1">
      <alignment horizontal="center" vertical="center"/>
    </xf>
    <xf numFmtId="171" fontId="186" fillId="7" borderId="10" xfId="22" applyNumberFormat="1" applyFont="1" applyFill="1" applyBorder="1" applyAlignment="1">
      <alignment horizont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19" fillId="8" borderId="172" xfId="186" applyNumberFormat="1" applyFont="1" applyFill="1" applyBorder="1" applyAlignment="1">
      <alignment horizontal="center" vertical="top"/>
    </xf>
    <xf numFmtId="1" fontId="19" fillId="5" borderId="172" xfId="186" applyNumberFormat="1" applyFont="1" applyFill="1" applyBorder="1" applyAlignment="1">
      <alignment horizontal="center" vertical="top"/>
    </xf>
    <xf numFmtId="1" fontId="19" fillId="7" borderId="172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2" fontId="12" fillId="7" borderId="118" xfId="0" applyNumberFormat="1" applyFont="1" applyFill="1" applyBorder="1" applyAlignment="1">
      <alignment horizontal="center" vertical="center"/>
    </xf>
    <xf numFmtId="2" fontId="12" fillId="7" borderId="171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72" xfId="0" applyNumberFormat="1" applyFont="1" applyFill="1" applyBorder="1" applyAlignment="1">
      <alignment vertical="center"/>
    </xf>
    <xf numFmtId="1" fontId="20" fillId="7" borderId="172" xfId="0" applyNumberFormat="1" applyFont="1" applyFill="1" applyBorder="1" applyAlignment="1">
      <alignment vertical="center"/>
    </xf>
    <xf numFmtId="1" fontId="20" fillId="7" borderId="172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134" fillId="0" borderId="151" xfId="0" quotePrefix="1" applyNumberFormat="1" applyFont="1" applyBorder="1" applyAlignment="1">
      <alignment horizontal="left" vertical="center"/>
    </xf>
    <xf numFmtId="164" fontId="134" fillId="0" borderId="162" xfId="0" quotePrefix="1" applyNumberFormat="1" applyFont="1" applyBorder="1" applyAlignment="1">
      <alignment horizontal="left" vertical="center"/>
    </xf>
    <xf numFmtId="1" fontId="18" fillId="0" borderId="172" xfId="0" applyNumberFormat="1" applyFont="1" applyBorder="1" applyAlignment="1">
      <alignment horizontal="center" vertical="center"/>
    </xf>
    <xf numFmtId="1" fontId="20" fillId="8" borderId="172" xfId="0" applyNumberFormat="1" applyFont="1" applyFill="1" applyBorder="1" applyAlignment="1">
      <alignment horizontal="center" vertical="center"/>
    </xf>
    <xf numFmtId="1" fontId="20" fillId="5" borderId="172" xfId="0" applyNumberFormat="1" applyFont="1" applyFill="1" applyBorder="1" applyAlignment="1">
      <alignment horizontal="center" vertical="center"/>
    </xf>
    <xf numFmtId="1" fontId="18" fillId="5" borderId="172" xfId="0" applyNumberFormat="1" applyFont="1" applyFill="1" applyBorder="1" applyAlignment="1">
      <alignment horizontal="center" vertical="center"/>
    </xf>
    <xf numFmtId="1" fontId="20" fillId="5" borderId="151" xfId="0" applyNumberFormat="1" applyFont="1" applyFill="1" applyBorder="1" applyAlignment="1">
      <alignment vertical="center"/>
    </xf>
    <xf numFmtId="1" fontId="20" fillId="7" borderId="151" xfId="0" applyNumberFormat="1" applyFont="1" applyFill="1" applyBorder="1" applyAlignment="1">
      <alignment vertical="center"/>
    </xf>
    <xf numFmtId="1" fontId="20" fillId="6" borderId="172" xfId="0" applyNumberFormat="1" applyFont="1" applyFill="1" applyBorder="1" applyAlignment="1">
      <alignment vertical="center"/>
    </xf>
    <xf numFmtId="1" fontId="20" fillId="6" borderId="172" xfId="0" applyNumberFormat="1" applyFont="1" applyFill="1" applyBorder="1" applyAlignment="1">
      <alignment horizontal="center" vertical="center"/>
    </xf>
    <xf numFmtId="1" fontId="20" fillId="44" borderId="172" xfId="0" applyNumberFormat="1" applyFont="1" applyFill="1" applyBorder="1" applyAlignment="1">
      <alignment vertical="center"/>
    </xf>
    <xf numFmtId="0" fontId="187" fillId="0" borderId="172" xfId="0" applyFont="1" applyBorder="1"/>
    <xf numFmtId="0" fontId="36" fillId="0" borderId="172" xfId="0" applyFont="1" applyBorder="1"/>
    <xf numFmtId="164" fontId="20" fillId="0" borderId="161" xfId="0" quotePrefix="1" applyNumberFormat="1" applyFont="1" applyBorder="1" applyAlignment="1">
      <alignment horizontal="left" vertical="center"/>
    </xf>
    <xf numFmtId="164" fontId="20" fillId="0" borderId="164" xfId="0" quotePrefix="1" applyNumberFormat="1" applyFont="1" applyBorder="1" applyAlignment="1">
      <alignment horizontal="left" vertical="center"/>
    </xf>
    <xf numFmtId="172" fontId="20" fillId="0" borderId="169" xfId="0" quotePrefix="1" applyNumberFormat="1" applyFont="1" applyBorder="1" applyAlignment="1">
      <alignment horizontal="center" vertical="center"/>
    </xf>
    <xf numFmtId="0" fontId="20" fillId="0" borderId="161" xfId="0" applyFont="1" applyBorder="1" applyAlignment="1">
      <alignment horizontal="center" vertical="center"/>
    </xf>
    <xf numFmtId="1" fontId="20" fillId="0" borderId="151" xfId="0" applyNumberFormat="1" applyFont="1" applyBorder="1" applyAlignment="1">
      <alignment vertical="center"/>
    </xf>
    <xf numFmtId="1" fontId="20" fillId="0" borderId="154" xfId="0" applyNumberFormat="1" applyFont="1" applyBorder="1" applyAlignment="1">
      <alignment horizontal="center" vertical="center"/>
    </xf>
    <xf numFmtId="1" fontId="20" fillId="7" borderId="158" xfId="0" applyNumberFormat="1" applyFont="1" applyFill="1" applyBorder="1" applyAlignment="1">
      <alignment vertical="center"/>
    </xf>
    <xf numFmtId="1" fontId="20" fillId="5" borderId="154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63" xfId="0" quotePrefix="1" applyNumberFormat="1" applyFont="1" applyBorder="1" applyAlignment="1">
      <alignment horizontal="left" vertical="center"/>
    </xf>
    <xf numFmtId="164" fontId="37" fillId="0" borderId="164" xfId="0" quotePrefix="1" applyNumberFormat="1" applyFont="1" applyBorder="1" applyAlignment="1">
      <alignment horizontal="left" vertical="center"/>
    </xf>
    <xf numFmtId="172" fontId="37" fillId="0" borderId="169" xfId="0" quotePrefix="1" applyNumberFormat="1" applyFont="1" applyBorder="1" applyAlignment="1">
      <alignment horizontal="center" vertical="center"/>
    </xf>
    <xf numFmtId="0" fontId="37" fillId="0" borderId="163" xfId="0" applyFont="1" applyBorder="1" applyAlignment="1">
      <alignment horizontal="center" vertical="center"/>
    </xf>
    <xf numFmtId="1" fontId="21" fillId="0" borderId="168" xfId="0" applyNumberFormat="1" applyFont="1" applyBorder="1" applyAlignment="1">
      <alignment vertical="center"/>
    </xf>
    <xf numFmtId="1" fontId="20" fillId="0" borderId="165" xfId="0" applyNumberFormat="1" applyFont="1" applyBorder="1" applyAlignment="1">
      <alignment horizontal="center" vertical="center"/>
    </xf>
    <xf numFmtId="1" fontId="21" fillId="7" borderId="164" xfId="0" applyNumberFormat="1" applyFont="1" applyFill="1" applyBorder="1" applyAlignment="1">
      <alignment vertical="center"/>
    </xf>
    <xf numFmtId="1" fontId="21" fillId="5" borderId="151" xfId="0" applyNumberFormat="1" applyFont="1" applyFill="1" applyBorder="1" applyAlignment="1">
      <alignment vertical="center"/>
    </xf>
    <xf numFmtId="1" fontId="21" fillId="7" borderId="151" xfId="0" applyNumberFormat="1" applyFont="1" applyFill="1" applyBorder="1" applyAlignment="1">
      <alignment vertical="center"/>
    </xf>
    <xf numFmtId="1" fontId="21" fillId="5" borderId="172" xfId="0" applyNumberFormat="1" applyFont="1" applyFill="1" applyBorder="1" applyAlignment="1">
      <alignment vertical="center"/>
    </xf>
    <xf numFmtId="0" fontId="25" fillId="0" borderId="161" xfId="0" applyFont="1" applyBorder="1" applyAlignment="1">
      <alignment horizontal="left" vertical="center" indent="2"/>
    </xf>
    <xf numFmtId="0" fontId="12" fillId="0" borderId="162" xfId="0" applyFont="1" applyBorder="1" applyAlignment="1">
      <alignment horizontal="center" vertical="center"/>
    </xf>
    <xf numFmtId="1" fontId="21" fillId="8" borderId="161" xfId="0" applyNumberFormat="1" applyFont="1" applyFill="1" applyBorder="1" applyAlignment="1">
      <alignment horizontal="center" vertical="center"/>
    </xf>
    <xf numFmtId="1" fontId="20" fillId="8" borderId="151" xfId="0" applyNumberFormat="1" applyFont="1" applyFill="1" applyBorder="1" applyAlignment="1">
      <alignment horizontal="center" vertical="center"/>
    </xf>
    <xf numFmtId="1" fontId="20" fillId="7" borderId="151" xfId="0" applyNumberFormat="1" applyFont="1" applyFill="1" applyBorder="1" applyAlignment="1">
      <alignment horizontal="center" vertical="center"/>
    </xf>
    <xf numFmtId="1" fontId="20" fillId="5" borderId="151" xfId="0" applyNumberFormat="1" applyFont="1" applyFill="1" applyBorder="1" applyAlignment="1">
      <alignment horizontal="center" vertical="center"/>
    </xf>
    <xf numFmtId="1" fontId="20" fillId="45" borderId="172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64" fontId="20" fillId="8" borderId="172" xfId="0" quotePrefix="1" applyNumberFormat="1" applyFont="1" applyFill="1" applyBorder="1" applyAlignment="1">
      <alignment horizontal="left" vertical="center"/>
    </xf>
    <xf numFmtId="0" fontId="20" fillId="8" borderId="172" xfId="0" applyFont="1" applyFill="1" applyBorder="1" applyAlignment="1">
      <alignment horizontal="left" vertical="center"/>
    </xf>
    <xf numFmtId="0" fontId="20" fillId="0" borderId="172" xfId="0" applyFont="1" applyBorder="1" applyAlignment="1">
      <alignment horizontal="left" vertical="center"/>
    </xf>
    <xf numFmtId="1" fontId="20" fillId="0" borderId="172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1" fontId="79" fillId="0" borderId="173" xfId="186" applyNumberFormat="1" applyFont="1" applyBorder="1" applyAlignment="1">
      <alignment horizontal="center" vertical="center"/>
    </xf>
    <xf numFmtId="1" fontId="79" fillId="7" borderId="173" xfId="186" applyNumberFormat="1" applyFont="1" applyFill="1" applyBorder="1" applyAlignment="1">
      <alignment horizontal="center" vertical="center"/>
    </xf>
    <xf numFmtId="1" fontId="79" fillId="8" borderId="173" xfId="186" applyNumberFormat="1" applyFont="1" applyFill="1" applyBorder="1" applyAlignment="1">
      <alignment horizontal="center" vertical="center"/>
    </xf>
    <xf numFmtId="1" fontId="79" fillId="5" borderId="174" xfId="186" applyNumberFormat="1" applyFont="1" applyFill="1" applyBorder="1" applyAlignment="1">
      <alignment horizontal="center" vertical="center"/>
    </xf>
    <xf numFmtId="1" fontId="79" fillId="0" borderId="174" xfId="186" applyNumberFormat="1" applyFont="1" applyBorder="1" applyAlignment="1">
      <alignment horizontal="center" vertical="center"/>
    </xf>
    <xf numFmtId="1" fontId="78" fillId="7" borderId="172" xfId="186" applyNumberFormat="1" applyFont="1" applyFill="1" applyBorder="1" applyAlignment="1">
      <alignment horizontal="center" vertical="center"/>
    </xf>
    <xf numFmtId="1" fontId="78" fillId="7" borderId="173" xfId="186" applyNumberFormat="1" applyFont="1" applyFill="1" applyBorder="1" applyAlignment="1">
      <alignment horizontal="center" vertical="center"/>
    </xf>
    <xf numFmtId="0" fontId="21" fillId="8" borderId="151" xfId="0" applyFont="1" applyFill="1" applyBorder="1" applyAlignment="1">
      <alignment horizontal="left" vertical="center"/>
    </xf>
    <xf numFmtId="0" fontId="12" fillId="0" borderId="175" xfId="0" applyFont="1" applyBorder="1" applyAlignment="1">
      <alignment horizontal="left" indent="1"/>
    </xf>
    <xf numFmtId="0" fontId="12" fillId="0" borderId="175" xfId="0" applyFont="1" applyBorder="1" applyAlignment="1">
      <alignment horizontal="center"/>
    </xf>
    <xf numFmtId="1" fontId="12" fillId="0" borderId="163" xfId="0" applyNumberFormat="1" applyFont="1" applyBorder="1" applyAlignment="1">
      <alignment horizontal="center"/>
    </xf>
    <xf numFmtId="1" fontId="12" fillId="0" borderId="175" xfId="0" applyNumberFormat="1" applyFont="1" applyBorder="1" applyAlignment="1">
      <alignment horizontal="center"/>
    </xf>
    <xf numFmtId="168" fontId="20" fillId="0" borderId="172" xfId="1" applyFont="1" applyBorder="1" applyAlignment="1">
      <alignment vertical="center"/>
    </xf>
    <xf numFmtId="169" fontId="20" fillId="8" borderId="172" xfId="0" applyNumberFormat="1" applyFont="1" applyFill="1" applyBorder="1" applyAlignment="1">
      <alignment horizontal="center" vertical="center"/>
    </xf>
    <xf numFmtId="169" fontId="20" fillId="7" borderId="172" xfId="0" applyNumberFormat="1" applyFont="1" applyFill="1" applyBorder="1" applyAlignment="1">
      <alignment horizontal="center" vertical="center"/>
    </xf>
    <xf numFmtId="167" fontId="48" fillId="8" borderId="10" xfId="0" applyNumberFormat="1" applyFont="1" applyFill="1" applyBorder="1" applyAlignment="1">
      <alignment horizontal="center" vertical="center"/>
    </xf>
    <xf numFmtId="179" fontId="12" fillId="0" borderId="0" xfId="0" applyNumberFormat="1" applyFont="1"/>
    <xf numFmtId="0" fontId="12" fillId="0" borderId="174" xfId="0" applyFont="1" applyBorder="1" applyAlignment="1">
      <alignment horizontal="center" vertical="center"/>
    </xf>
    <xf numFmtId="1" fontId="19" fillId="8" borderId="154" xfId="186" applyNumberFormat="1" applyFont="1" applyFill="1" applyBorder="1" applyAlignment="1">
      <alignment horizontal="center" vertical="top"/>
    </xf>
    <xf numFmtId="1" fontId="19" fillId="8" borderId="173" xfId="186" applyNumberFormat="1" applyFont="1" applyFill="1" applyBorder="1" applyAlignment="1">
      <alignment horizontal="center" vertical="top"/>
    </xf>
    <xf numFmtId="171" fontId="186" fillId="5" borderId="10" xfId="22" applyNumberFormat="1" applyFont="1" applyFill="1" applyBorder="1" applyAlignment="1">
      <alignment horizontal="center"/>
    </xf>
    <xf numFmtId="0" fontId="27" fillId="0" borderId="22" xfId="0" applyFont="1" applyBorder="1" applyAlignment="1">
      <alignment horizontal="left" vertical="center"/>
    </xf>
    <xf numFmtId="167" fontId="27" fillId="6" borderId="172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left" vertical="center"/>
    </xf>
    <xf numFmtId="167" fontId="12" fillId="0" borderId="0" xfId="0" applyNumberFormat="1" applyFont="1"/>
    <xf numFmtId="0" fontId="20" fillId="7" borderId="28" xfId="0" applyFont="1" applyFill="1" applyBorder="1" applyAlignment="1">
      <alignment horizontal="center" vertical="center"/>
    </xf>
    <xf numFmtId="1" fontId="19" fillId="48" borderId="118" xfId="0" applyNumberFormat="1" applyFont="1" applyFill="1" applyBorder="1" applyAlignment="1">
      <alignment horizontal="center" vertical="center"/>
    </xf>
    <xf numFmtId="1" fontId="7" fillId="50" borderId="152" xfId="0" applyNumberFormat="1" applyFont="1" applyFill="1" applyBorder="1" applyAlignment="1">
      <alignment horizontal="center" vertical="center"/>
    </xf>
    <xf numFmtId="1" fontId="7" fillId="8" borderId="152" xfId="0" applyNumberFormat="1" applyFont="1" applyFill="1" applyBorder="1" applyAlignment="1">
      <alignment horizontal="center" vertical="center"/>
    </xf>
    <xf numFmtId="164" fontId="20" fillId="0" borderId="175" xfId="0" quotePrefix="1" applyNumberFormat="1" applyFont="1" applyBorder="1" applyAlignment="1">
      <alignment horizontal="left" vertical="center"/>
    </xf>
    <xf numFmtId="164" fontId="20" fillId="0" borderId="176" xfId="0" quotePrefix="1" applyNumberFormat="1" applyFont="1" applyBorder="1" applyAlignment="1">
      <alignment horizontal="left" vertical="center"/>
    </xf>
    <xf numFmtId="0" fontId="20" fillId="0" borderId="177" xfId="0" applyFont="1" applyBorder="1" applyAlignment="1">
      <alignment horizontal="center" vertical="center"/>
    </xf>
    <xf numFmtId="1" fontId="20" fillId="0" borderId="176" xfId="0" applyNumberFormat="1" applyFont="1" applyBorder="1" applyAlignment="1">
      <alignment horizontal="center" vertical="center"/>
    </xf>
    <xf numFmtId="1" fontId="20" fillId="8" borderId="176" xfId="0" applyNumberFormat="1" applyFont="1" applyFill="1" applyBorder="1" applyAlignment="1">
      <alignment horizontal="center" vertical="center"/>
    </xf>
    <xf numFmtId="1" fontId="20" fillId="7" borderId="176" xfId="0" applyNumberFormat="1" applyFont="1" applyFill="1" applyBorder="1" applyAlignment="1">
      <alignment horizontal="center" vertical="center"/>
    </xf>
    <xf numFmtId="164" fontId="20" fillId="0" borderId="74" xfId="0" quotePrefix="1" applyNumberFormat="1" applyFont="1" applyBorder="1" applyAlignment="1">
      <alignment horizontal="left" vertical="center"/>
    </xf>
    <xf numFmtId="172" fontId="20" fillId="0" borderId="46" xfId="0" quotePrefix="1" applyNumberFormat="1" applyFont="1" applyBorder="1" applyAlignment="1">
      <alignment horizontal="center" vertical="center"/>
    </xf>
    <xf numFmtId="1" fontId="45" fillId="5" borderId="172" xfId="0" applyNumberFormat="1" applyFont="1" applyFill="1" applyBorder="1" applyAlignment="1">
      <alignment vertical="center"/>
    </xf>
    <xf numFmtId="1" fontId="45" fillId="7" borderId="172" xfId="0" applyNumberFormat="1" applyFont="1" applyFill="1" applyBorder="1" applyAlignment="1">
      <alignment vertical="center"/>
    </xf>
    <xf numFmtId="1" fontId="20" fillId="0" borderId="179" xfId="0" applyNumberFormat="1" applyFont="1" applyBorder="1" applyAlignment="1">
      <alignment horizontal="center" vertical="center"/>
    </xf>
    <xf numFmtId="1" fontId="20" fillId="7" borderId="179" xfId="0" applyNumberFormat="1" applyFont="1" applyFill="1" applyBorder="1" applyAlignment="1">
      <alignment horizontal="center" vertical="center"/>
    </xf>
    <xf numFmtId="1" fontId="20" fillId="5" borderId="179" xfId="0" applyNumberFormat="1" applyFont="1" applyFill="1" applyBorder="1" applyAlignment="1">
      <alignment horizontal="center" vertical="center"/>
    </xf>
    <xf numFmtId="0" fontId="20" fillId="0" borderId="168" xfId="0" applyFont="1" applyBorder="1" applyAlignment="1">
      <alignment vertical="center"/>
    </xf>
    <xf numFmtId="167" fontId="20" fillId="0" borderId="165" xfId="0" applyNumberFormat="1" applyFont="1" applyBorder="1" applyAlignment="1">
      <alignment horizontal="center" vertical="center"/>
    </xf>
    <xf numFmtId="0" fontId="20" fillId="7" borderId="180" xfId="0" applyFont="1" applyFill="1" applyBorder="1" applyAlignment="1">
      <alignment horizontal="center" vertical="center"/>
    </xf>
    <xf numFmtId="0" fontId="20" fillId="5" borderId="180" xfId="0" applyFont="1" applyFill="1" applyBorder="1" applyAlignment="1">
      <alignment horizontal="center" vertical="center"/>
    </xf>
    <xf numFmtId="1" fontId="20" fillId="6" borderId="180" xfId="0" applyNumberFormat="1" applyFont="1" applyFill="1" applyBorder="1" applyAlignment="1">
      <alignment horizontal="center" vertical="center"/>
    </xf>
    <xf numFmtId="1" fontId="20" fillId="7" borderId="180" xfId="0" applyNumberFormat="1" applyFont="1" applyFill="1" applyBorder="1" applyAlignment="1">
      <alignment horizontal="center" vertical="center"/>
    </xf>
    <xf numFmtId="1" fontId="14" fillId="0" borderId="179" xfId="0" applyNumberFormat="1" applyFont="1" applyBorder="1" applyAlignment="1">
      <alignment horizontal="center" vertical="center"/>
    </xf>
    <xf numFmtId="1" fontId="14" fillId="5" borderId="179" xfId="0" applyNumberFormat="1" applyFont="1" applyFill="1" applyBorder="1" applyAlignment="1">
      <alignment horizontal="center" vertical="center"/>
    </xf>
    <xf numFmtId="167" fontId="27" fillId="6" borderId="179" xfId="0" applyNumberFormat="1" applyFont="1" applyFill="1" applyBorder="1" applyAlignment="1">
      <alignment horizontal="center" vertical="center"/>
    </xf>
    <xf numFmtId="1" fontId="27" fillId="6" borderId="179" xfId="0" applyNumberFormat="1" applyFont="1" applyFill="1" applyBorder="1" applyAlignment="1">
      <alignment horizontal="center" vertical="center"/>
    </xf>
    <xf numFmtId="1" fontId="14" fillId="8" borderId="179" xfId="0" applyNumberFormat="1" applyFont="1" applyFill="1" applyBorder="1" applyAlignment="1">
      <alignment horizontal="center" vertical="center"/>
    </xf>
    <xf numFmtId="1" fontId="27" fillId="5" borderId="178" xfId="0" applyNumberFormat="1" applyFont="1" applyFill="1" applyBorder="1" applyAlignment="1">
      <alignment horizontal="center" vertical="center"/>
    </xf>
    <xf numFmtId="1" fontId="27" fillId="7" borderId="179" xfId="0" applyNumberFormat="1" applyFont="1" applyFill="1" applyBorder="1" applyAlignment="1">
      <alignment horizontal="center" vertical="center"/>
    </xf>
    <xf numFmtId="1" fontId="27" fillId="5" borderId="179" xfId="0" applyNumberFormat="1" applyFont="1" applyFill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27" fillId="0" borderId="178" xfId="0" applyFont="1" applyBorder="1" applyAlignment="1">
      <alignment horizontal="right" vertical="center"/>
    </xf>
    <xf numFmtId="0" fontId="187" fillId="0" borderId="179" xfId="0" applyFont="1" applyBorder="1"/>
    <xf numFmtId="0" fontId="187" fillId="8" borderId="179" xfId="0" applyFont="1" applyFill="1" applyBorder="1"/>
    <xf numFmtId="1" fontId="18" fillId="5" borderId="179" xfId="0" applyNumberFormat="1" applyFont="1" applyFill="1" applyBorder="1" applyAlignment="1">
      <alignment horizontal="center" vertical="center"/>
    </xf>
    <xf numFmtId="1" fontId="18" fillId="6" borderId="179" xfId="0" applyNumberFormat="1" applyFont="1" applyFill="1" applyBorder="1" applyAlignment="1">
      <alignment horizontal="center" vertical="center"/>
    </xf>
    <xf numFmtId="1" fontId="19" fillId="6" borderId="179" xfId="0" applyNumberFormat="1" applyFont="1" applyFill="1" applyBorder="1" applyAlignment="1">
      <alignment horizontal="center" vertical="center"/>
    </xf>
    <xf numFmtId="1" fontId="20" fillId="5" borderId="179" xfId="0" applyNumberFormat="1" applyFont="1" applyFill="1" applyBorder="1" applyAlignment="1">
      <alignment vertical="center"/>
    </xf>
    <xf numFmtId="1" fontId="20" fillId="44" borderId="179" xfId="0" applyNumberFormat="1" applyFont="1" applyFill="1" applyBorder="1" applyAlignment="1">
      <alignment vertical="center"/>
    </xf>
    <xf numFmtId="0" fontId="78" fillId="0" borderId="22" xfId="186" applyFont="1" applyBorder="1" applyAlignment="1">
      <alignment horizontal="left" vertical="center"/>
    </xf>
    <xf numFmtId="0" fontId="78" fillId="0" borderId="7" xfId="186" applyFont="1" applyBorder="1" applyAlignment="1">
      <alignment horizontal="left" vertical="center"/>
    </xf>
    <xf numFmtId="1" fontId="79" fillId="0" borderId="178" xfId="186" applyNumberFormat="1" applyFont="1" applyBorder="1" applyAlignment="1">
      <alignment horizontal="center" vertical="center"/>
    </xf>
    <xf numFmtId="1" fontId="79" fillId="0" borderId="179" xfId="186" applyNumberFormat="1" applyFont="1" applyBorder="1" applyAlignment="1">
      <alignment horizontal="center" vertical="center"/>
    </xf>
    <xf numFmtId="1" fontId="79" fillId="7" borderId="178" xfId="186" applyNumberFormat="1" applyFont="1" applyFill="1" applyBorder="1" applyAlignment="1">
      <alignment horizontal="center" vertical="center"/>
    </xf>
    <xf numFmtId="1" fontId="78" fillId="7" borderId="179" xfId="186" applyNumberFormat="1" applyFont="1" applyFill="1" applyBorder="1" applyAlignment="1">
      <alignment horizontal="center" vertical="center"/>
    </xf>
    <xf numFmtId="1" fontId="78" fillId="7" borderId="178" xfId="186" applyNumberFormat="1" applyFont="1" applyFill="1" applyBorder="1" applyAlignment="1">
      <alignment horizontal="center" vertical="center"/>
    </xf>
    <xf numFmtId="0" fontId="0" fillId="0" borderId="151" xfId="0" applyBorder="1"/>
    <xf numFmtId="0" fontId="0" fillId="0" borderId="178" xfId="0" applyBorder="1"/>
    <xf numFmtId="1" fontId="0" fillId="0" borderId="151" xfId="0" applyNumberFormat="1" applyBorder="1" applyAlignment="1">
      <alignment horizontal="center" vertical="center"/>
    </xf>
    <xf numFmtId="1" fontId="0" fillId="0" borderId="179" xfId="0" applyNumberFormat="1" applyBorder="1" applyAlignment="1">
      <alignment horizontal="center" vertical="center"/>
    </xf>
    <xf numFmtId="1" fontId="45" fillId="5" borderId="46" xfId="0" applyNumberFormat="1" applyFont="1" applyFill="1" applyBorder="1" applyAlignment="1">
      <alignment vertical="center"/>
    </xf>
    <xf numFmtId="180" fontId="0" fillId="0" borderId="0" xfId="0" applyNumberFormat="1"/>
    <xf numFmtId="0" fontId="21" fillId="7" borderId="0" xfId="0" applyFont="1" applyFill="1" applyAlignment="1">
      <alignment horizontal="center" vertical="center"/>
    </xf>
    <xf numFmtId="0" fontId="21" fillId="5" borderId="54" xfId="0" applyFont="1" applyFill="1" applyBorder="1" applyAlignment="1">
      <alignment horizontal="center" vertical="center"/>
    </xf>
    <xf numFmtId="0" fontId="21" fillId="8" borderId="54" xfId="0" applyFont="1" applyFill="1" applyBorder="1" applyAlignment="1">
      <alignment horizontal="center" vertical="center"/>
    </xf>
    <xf numFmtId="0" fontId="21" fillId="6" borderId="54" xfId="0" applyFont="1" applyFill="1" applyBorder="1" applyAlignment="1">
      <alignment horizontal="center" vertical="center"/>
    </xf>
    <xf numFmtId="0" fontId="21" fillId="7" borderId="86" xfId="0" applyFont="1" applyFill="1" applyBorder="1" applyAlignment="1">
      <alignment horizontal="center" vertical="center"/>
    </xf>
    <xf numFmtId="0" fontId="21" fillId="5" borderId="76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center" vertical="center"/>
    </xf>
    <xf numFmtId="0" fontId="21" fillId="8" borderId="86" xfId="0" applyFont="1" applyFill="1" applyBorder="1" applyAlignment="1">
      <alignment horizontal="center" vertical="center"/>
    </xf>
    <xf numFmtId="0" fontId="21" fillId="6" borderId="86" xfId="0" applyFont="1" applyFill="1" applyBorder="1" applyAlignment="1">
      <alignment horizontal="center" vertical="center"/>
    </xf>
    <xf numFmtId="0" fontId="21" fillId="44" borderId="86" xfId="0" applyFont="1" applyFill="1" applyBorder="1" applyAlignment="1">
      <alignment horizontal="center" vertical="center"/>
    </xf>
    <xf numFmtId="0" fontId="21" fillId="44" borderId="54" xfId="0" applyFont="1" applyFill="1" applyBorder="1" applyAlignment="1">
      <alignment horizontal="center" vertical="center"/>
    </xf>
    <xf numFmtId="0" fontId="18" fillId="0" borderId="40" xfId="0" applyFont="1" applyBorder="1" applyAlignment="1">
      <alignment vertical="center"/>
    </xf>
    <xf numFmtId="0" fontId="21" fillId="0" borderId="179" xfId="0" applyFont="1" applyBorder="1" applyAlignment="1">
      <alignment horizontal="left" vertical="center"/>
    </xf>
    <xf numFmtId="0" fontId="21" fillId="0" borderId="179" xfId="0" applyFont="1" applyBorder="1" applyAlignment="1">
      <alignment horizontal="center" vertical="center"/>
    </xf>
    <xf numFmtId="0" fontId="21" fillId="0" borderId="179" xfId="0" applyFont="1" applyBorder="1" applyAlignment="1">
      <alignment horizontal="center" vertical="center" wrapText="1"/>
    </xf>
    <xf numFmtId="1" fontId="21" fillId="0" borderId="179" xfId="0" applyNumberFormat="1" applyFont="1" applyBorder="1" applyAlignment="1">
      <alignment horizontal="center" vertical="center"/>
    </xf>
    <xf numFmtId="0" fontId="21" fillId="7" borderId="179" xfId="0" applyFont="1" applyFill="1" applyBorder="1" applyAlignment="1">
      <alignment horizontal="center" vertical="center"/>
    </xf>
    <xf numFmtId="0" fontId="21" fillId="5" borderId="179" xfId="0" applyFont="1" applyFill="1" applyBorder="1" applyAlignment="1">
      <alignment horizontal="center" vertical="center"/>
    </xf>
    <xf numFmtId="1" fontId="21" fillId="5" borderId="179" xfId="0" applyNumberFormat="1" applyFont="1" applyFill="1" applyBorder="1" applyAlignment="1">
      <alignment horizontal="center" vertical="center"/>
    </xf>
    <xf numFmtId="0" fontId="21" fillId="8" borderId="179" xfId="0" applyFont="1" applyFill="1" applyBorder="1" applyAlignment="1">
      <alignment horizontal="center" vertical="center"/>
    </xf>
    <xf numFmtId="1" fontId="21" fillId="7" borderId="179" xfId="0" applyNumberFormat="1" applyFont="1" applyFill="1" applyBorder="1" applyAlignment="1">
      <alignment horizontal="center" vertical="center"/>
    </xf>
    <xf numFmtId="0" fontId="21" fillId="6" borderId="179" xfId="0" applyFont="1" applyFill="1" applyBorder="1" applyAlignment="1">
      <alignment horizontal="center" vertical="center"/>
    </xf>
    <xf numFmtId="0" fontId="21" fillId="44" borderId="179" xfId="0" applyFont="1" applyFill="1" applyBorder="1" applyAlignment="1">
      <alignment horizontal="center" vertical="center"/>
    </xf>
    <xf numFmtId="0" fontId="0" fillId="0" borderId="179" xfId="0" applyBorder="1"/>
    <xf numFmtId="1" fontId="21" fillId="6" borderId="179" xfId="0" applyNumberFormat="1" applyFont="1" applyFill="1" applyBorder="1" applyAlignment="1">
      <alignment horizontal="center" vertical="center"/>
    </xf>
    <xf numFmtId="164" fontId="20" fillId="8" borderId="168" xfId="0" quotePrefix="1" applyNumberFormat="1" applyFont="1" applyFill="1" applyBorder="1" applyAlignment="1">
      <alignment horizontal="left" vertical="center"/>
    </xf>
    <xf numFmtId="0" fontId="20" fillId="0" borderId="176" xfId="0" applyFont="1" applyBorder="1" applyAlignment="1">
      <alignment horizontal="left" vertical="center"/>
    </xf>
    <xf numFmtId="0" fontId="20" fillId="0" borderId="165" xfId="0" applyFont="1" applyBorder="1" applyAlignment="1">
      <alignment horizontal="left" vertical="center"/>
    </xf>
    <xf numFmtId="164" fontId="20" fillId="8" borderId="179" xfId="0" quotePrefix="1" applyNumberFormat="1" applyFont="1" applyFill="1" applyBorder="1" applyAlignment="1">
      <alignment horizontal="left" vertical="center"/>
    </xf>
    <xf numFmtId="0" fontId="20" fillId="0" borderId="179" xfId="0" applyFont="1" applyBorder="1" applyAlignment="1">
      <alignment horizontal="left" vertical="center"/>
    </xf>
    <xf numFmtId="0" fontId="36" fillId="0" borderId="179" xfId="0" applyFont="1" applyBorder="1"/>
    <xf numFmtId="0" fontId="36" fillId="8" borderId="179" xfId="0" applyFont="1" applyFill="1" applyBorder="1"/>
    <xf numFmtId="167" fontId="27" fillId="0" borderId="179" xfId="0" applyNumberFormat="1" applyFont="1" applyBorder="1" applyAlignment="1">
      <alignment horizontal="center" vertical="center"/>
    </xf>
    <xf numFmtId="1" fontId="27" fillId="8" borderId="179" xfId="0" applyNumberFormat="1" applyFont="1" applyFill="1" applyBorder="1" applyAlignment="1">
      <alignment horizontal="center" vertical="center"/>
    </xf>
    <xf numFmtId="1" fontId="27" fillId="0" borderId="179" xfId="0" applyNumberFormat="1" applyFont="1" applyBorder="1" applyAlignment="1">
      <alignment horizontal="center" vertical="center"/>
    </xf>
    <xf numFmtId="172" fontId="20" fillId="0" borderId="156" xfId="0" quotePrefix="1" applyNumberFormat="1" applyFont="1" applyBorder="1" applyAlignment="1">
      <alignment horizontal="center" vertical="center"/>
    </xf>
    <xf numFmtId="1" fontId="20" fillId="7" borderId="178" xfId="0" applyNumberFormat="1" applyFont="1" applyFill="1" applyBorder="1" applyAlignment="1">
      <alignment vertical="center"/>
    </xf>
    <xf numFmtId="1" fontId="20" fillId="6" borderId="179" xfId="0" applyNumberFormat="1" applyFont="1" applyFill="1" applyBorder="1" applyAlignment="1">
      <alignment vertical="center"/>
    </xf>
    <xf numFmtId="164" fontId="37" fillId="0" borderId="121" xfId="0" quotePrefix="1" applyNumberFormat="1" applyFont="1" applyBorder="1" applyAlignment="1">
      <alignment horizontal="left" vertical="center"/>
    </xf>
    <xf numFmtId="172" fontId="37" fillId="0" borderId="123" xfId="0" quotePrefix="1" applyNumberFormat="1" applyFont="1" applyBorder="1" applyAlignment="1">
      <alignment horizontal="center" vertical="center"/>
    </xf>
    <xf numFmtId="1" fontId="21" fillId="7" borderId="121" xfId="0" applyNumberFormat="1" applyFont="1" applyFill="1" applyBorder="1" applyAlignment="1">
      <alignment vertical="center"/>
    </xf>
    <xf numFmtId="1" fontId="21" fillId="5" borderId="179" xfId="0" applyNumberFormat="1" applyFont="1" applyFill="1" applyBorder="1" applyAlignment="1">
      <alignment vertical="center"/>
    </xf>
    <xf numFmtId="1" fontId="21" fillId="6" borderId="179" xfId="0" applyNumberFormat="1" applyFont="1" applyFill="1" applyBorder="1" applyAlignment="1">
      <alignment vertical="center"/>
    </xf>
    <xf numFmtId="2" fontId="7" fillId="54" borderId="69" xfId="0" applyNumberFormat="1" applyFont="1" applyFill="1" applyBorder="1" applyAlignment="1">
      <alignment horizontal="center" vertical="center"/>
    </xf>
    <xf numFmtId="169" fontId="20" fillId="0" borderId="0" xfId="0" applyNumberFormat="1" applyFont="1" applyAlignment="1">
      <alignment horizontal="center" vertical="center"/>
    </xf>
    <xf numFmtId="167" fontId="27" fillId="7" borderId="179" xfId="0" applyNumberFormat="1" applyFont="1" applyFill="1" applyBorder="1" applyAlignment="1">
      <alignment horizontal="center" vertical="center"/>
    </xf>
    <xf numFmtId="167" fontId="14" fillId="7" borderId="179" xfId="0" applyNumberFormat="1" applyFont="1" applyFill="1" applyBorder="1" applyAlignment="1">
      <alignment horizontal="center" vertical="center"/>
    </xf>
    <xf numFmtId="1" fontId="14" fillId="7" borderId="179" xfId="0" applyNumberFormat="1" applyFont="1" applyFill="1" applyBorder="1" applyAlignment="1">
      <alignment horizontal="center" vertical="center"/>
    </xf>
    <xf numFmtId="0" fontId="197" fillId="0" borderId="179" xfId="0" applyFont="1" applyBorder="1" applyAlignment="1">
      <alignment horizontal="left" vertical="center" wrapText="1" readingOrder="1"/>
    </xf>
    <xf numFmtId="0" fontId="158" fillId="0" borderId="179" xfId="0" applyFont="1" applyBorder="1" applyAlignment="1">
      <alignment horizontal="left" vertical="center" wrapText="1" readingOrder="1"/>
    </xf>
    <xf numFmtId="0" fontId="198" fillId="0" borderId="179" xfId="0" applyFont="1" applyBorder="1" applyAlignment="1">
      <alignment horizontal="left" vertical="center" wrapText="1" readingOrder="1"/>
    </xf>
    <xf numFmtId="0" fontId="197" fillId="0" borderId="179" xfId="0" applyFont="1" applyBorder="1" applyAlignment="1">
      <alignment horizontal="center" vertical="center" wrapText="1" readingOrder="1"/>
    </xf>
    <xf numFmtId="0" fontId="198" fillId="0" borderId="179" xfId="0" applyFont="1" applyBorder="1" applyAlignment="1">
      <alignment horizontal="center" vertical="center" wrapText="1" readingOrder="1"/>
    </xf>
    <xf numFmtId="0" fontId="143" fillId="0" borderId="138" xfId="0" applyFont="1" applyBorder="1" applyAlignment="1">
      <alignment horizontal="center" vertical="center"/>
    </xf>
    <xf numFmtId="0" fontId="136" fillId="0" borderId="138" xfId="0" applyFont="1" applyBorder="1" applyAlignment="1">
      <alignment horizontal="center" vertical="center"/>
    </xf>
    <xf numFmtId="0" fontId="143" fillId="0" borderId="138" xfId="0" applyFont="1" applyBorder="1" applyAlignment="1">
      <alignment horizontal="left" vertical="center"/>
    </xf>
    <xf numFmtId="0" fontId="136" fillId="8" borderId="179" xfId="0" applyFont="1" applyFill="1" applyBorder="1" applyAlignment="1">
      <alignment horizontal="center" vertical="center"/>
    </xf>
    <xf numFmtId="0" fontId="136" fillId="0" borderId="138" xfId="0" applyFont="1" applyBorder="1" applyAlignment="1">
      <alignment horizontal="center" vertical="center" wrapText="1"/>
    </xf>
    <xf numFmtId="0" fontId="143" fillId="0" borderId="138" xfId="0" applyFont="1" applyBorder="1" applyAlignment="1">
      <alignment vertical="center"/>
    </xf>
    <xf numFmtId="0" fontId="136" fillId="0" borderId="179" xfId="0" applyFont="1" applyBorder="1" applyAlignment="1">
      <alignment horizontal="center" vertical="center"/>
    </xf>
    <xf numFmtId="0" fontId="136" fillId="0" borderId="138" xfId="0" applyFont="1" applyBorder="1"/>
    <xf numFmtId="0" fontId="136" fillId="0" borderId="130" xfId="0" applyFont="1" applyBorder="1" applyAlignment="1">
      <alignment horizontal="center" vertical="center"/>
    </xf>
    <xf numFmtId="0" fontId="143" fillId="8" borderId="138" xfId="0" applyFont="1" applyFill="1" applyBorder="1" applyAlignment="1">
      <alignment horizontal="left" vertical="center"/>
    </xf>
    <xf numFmtId="0" fontId="143" fillId="8" borderId="179" xfId="0" applyFont="1" applyFill="1" applyBorder="1" applyAlignment="1">
      <alignment horizontal="left" vertical="center"/>
    </xf>
    <xf numFmtId="0" fontId="143" fillId="8" borderId="138" xfId="0" applyFont="1" applyFill="1" applyBorder="1" applyAlignment="1">
      <alignment horizontal="center" vertical="center"/>
    </xf>
    <xf numFmtId="0" fontId="136" fillId="8" borderId="179" xfId="0" applyFont="1" applyFill="1" applyBorder="1" applyAlignment="1">
      <alignment vertical="center" wrapText="1"/>
    </xf>
    <xf numFmtId="0" fontId="136" fillId="0" borderId="179" xfId="0" applyFont="1" applyBorder="1" applyAlignment="1">
      <alignment horizontal="left" vertical="center" wrapText="1"/>
    </xf>
    <xf numFmtId="0" fontId="136" fillId="0" borderId="179" xfId="0" applyFont="1" applyBorder="1" applyAlignment="1">
      <alignment horizontal="center"/>
    </xf>
    <xf numFmtId="0" fontId="143" fillId="0" borderId="179" xfId="0" applyFont="1" applyBorder="1" applyAlignment="1">
      <alignment horizontal="center" vertical="center"/>
    </xf>
    <xf numFmtId="0" fontId="17" fillId="0" borderId="179" xfId="0" applyFont="1" applyBorder="1" applyAlignment="1">
      <alignment vertical="center" wrapText="1"/>
    </xf>
    <xf numFmtId="0" fontId="199" fillId="0" borderId="179" xfId="0" applyFont="1" applyBorder="1" applyAlignment="1">
      <alignment horizontal="center" vertical="center"/>
    </xf>
    <xf numFmtId="0" fontId="36" fillId="0" borderId="179" xfId="0" applyFont="1" applyBorder="1" applyAlignment="1">
      <alignment horizontal="center" vertical="center"/>
    </xf>
    <xf numFmtId="0" fontId="36" fillId="0" borderId="179" xfId="0" applyFont="1" applyBorder="1" applyAlignment="1">
      <alignment horizontal="center" vertical="center" wrapText="1"/>
    </xf>
    <xf numFmtId="0" fontId="136" fillId="8" borderId="179" xfId="0" applyFont="1" applyFill="1" applyBorder="1" applyAlignment="1">
      <alignment horizontal="left" vertical="center" wrapText="1"/>
    </xf>
    <xf numFmtId="0" fontId="136" fillId="0" borderId="179" xfId="0" applyFont="1" applyBorder="1" applyAlignment="1">
      <alignment horizontal="left" vertical="center"/>
    </xf>
    <xf numFmtId="0" fontId="136" fillId="0" borderId="179" xfId="0" applyFont="1" applyBorder="1" applyAlignment="1">
      <alignment horizontal="center" vertical="center" wrapText="1"/>
    </xf>
    <xf numFmtId="0" fontId="136" fillId="0" borderId="179" xfId="0" applyFont="1" applyBorder="1" applyAlignment="1">
      <alignment vertical="center" wrapText="1"/>
    </xf>
    <xf numFmtId="0" fontId="136" fillId="0" borderId="138" xfId="0" applyFont="1" applyBorder="1" applyAlignment="1">
      <alignment horizontal="left" vertical="center" wrapText="1"/>
    </xf>
    <xf numFmtId="0" fontId="136" fillId="0" borderId="179" xfId="0" applyFont="1" applyBorder="1"/>
    <xf numFmtId="0" fontId="198" fillId="8" borderId="179" xfId="0" applyFont="1" applyFill="1" applyBorder="1" applyAlignment="1">
      <alignment horizontal="left" vertical="center" wrapText="1" readingOrder="1"/>
    </xf>
    <xf numFmtId="0" fontId="198" fillId="0" borderId="179" xfId="0" applyFont="1" applyBorder="1" applyAlignment="1">
      <alignment horizontal="center" vertical="center" wrapText="1"/>
    </xf>
    <xf numFmtId="0" fontId="14" fillId="48" borderId="178" xfId="0" applyFont="1" applyFill="1" applyBorder="1" applyAlignment="1">
      <alignment horizontal="left" vertical="center"/>
    </xf>
    <xf numFmtId="1" fontId="14" fillId="48" borderId="152" xfId="0" applyNumberFormat="1" applyFont="1" applyFill="1" applyBorder="1" applyAlignment="1">
      <alignment horizontal="center" vertical="center"/>
    </xf>
    <xf numFmtId="1" fontId="14" fillId="0" borderId="178" xfId="0" applyNumberFormat="1" applyFont="1" applyBorder="1" applyAlignment="1">
      <alignment horizontal="center" vertical="center"/>
    </xf>
    <xf numFmtId="1" fontId="27" fillId="0" borderId="178" xfId="0" applyNumberFormat="1" applyFont="1" applyBorder="1" applyAlignment="1">
      <alignment horizontal="center" vertical="center"/>
    </xf>
    <xf numFmtId="0" fontId="0" fillId="8" borderId="179" xfId="0" applyFill="1" applyBorder="1"/>
    <xf numFmtId="1" fontId="36" fillId="0" borderId="179" xfId="0" applyNumberFormat="1" applyFont="1" applyBorder="1" applyAlignment="1">
      <alignment horizontal="right" vertical="center"/>
    </xf>
    <xf numFmtId="0" fontId="27" fillId="0" borderId="179" xfId="0" applyFont="1" applyBorder="1" applyAlignment="1">
      <alignment horizontal="right" vertical="center"/>
    </xf>
    <xf numFmtId="1" fontId="14" fillId="48" borderId="179" xfId="0" applyNumberFormat="1" applyFont="1" applyFill="1" applyBorder="1" applyAlignment="1">
      <alignment horizontal="center" vertical="center"/>
    </xf>
    <xf numFmtId="0" fontId="0" fillId="48" borderId="179" xfId="0" applyFill="1" applyBorder="1"/>
    <xf numFmtId="167" fontId="27" fillId="5" borderId="179" xfId="0" applyNumberFormat="1" applyFont="1" applyFill="1" applyBorder="1" applyAlignment="1">
      <alignment horizontal="center" vertical="center"/>
    </xf>
    <xf numFmtId="1" fontId="23" fillId="48" borderId="179" xfId="0" applyNumberFormat="1" applyFont="1" applyFill="1" applyBorder="1" applyAlignment="1">
      <alignment horizontal="left" vertical="center"/>
    </xf>
    <xf numFmtId="0" fontId="14" fillId="33" borderId="179" xfId="0" applyFont="1" applyFill="1" applyBorder="1" applyAlignment="1">
      <alignment horizontal="left" vertical="center"/>
    </xf>
    <xf numFmtId="0" fontId="0" fillId="33" borderId="179" xfId="0" applyFill="1" applyBorder="1"/>
    <xf numFmtId="1" fontId="14" fillId="33" borderId="179" xfId="0" applyNumberFormat="1" applyFont="1" applyFill="1" applyBorder="1" applyAlignment="1">
      <alignment horizontal="center" vertical="center"/>
    </xf>
    <xf numFmtId="1" fontId="27" fillId="33" borderId="179" xfId="0" applyNumberFormat="1" applyFont="1" applyFill="1" applyBorder="1" applyAlignment="1">
      <alignment horizontal="center" vertical="center"/>
    </xf>
    <xf numFmtId="1" fontId="14" fillId="33" borderId="178" xfId="0" applyNumberFormat="1" applyFont="1" applyFill="1" applyBorder="1" applyAlignment="1">
      <alignment horizontal="center" vertical="center"/>
    </xf>
    <xf numFmtId="0" fontId="14" fillId="8" borderId="179" xfId="0" applyFont="1" applyFill="1" applyBorder="1" applyAlignment="1">
      <alignment horizontal="left" vertical="center"/>
    </xf>
    <xf numFmtId="1" fontId="14" fillId="8" borderId="178" xfId="0" applyNumberFormat="1" applyFont="1" applyFill="1" applyBorder="1" applyAlignment="1">
      <alignment horizontal="center" vertical="center"/>
    </xf>
    <xf numFmtId="167" fontId="0" fillId="8" borderId="0" xfId="0" applyNumberFormat="1" applyFill="1"/>
    <xf numFmtId="167" fontId="27" fillId="0" borderId="178" xfId="0" applyNumberFormat="1" applyFont="1" applyBorder="1" applyAlignment="1">
      <alignment horizontal="center" vertical="center"/>
    </xf>
    <xf numFmtId="0" fontId="27" fillId="8" borderId="179" xfId="0" applyFont="1" applyFill="1" applyBorder="1" applyAlignment="1">
      <alignment horizontal="right" vertical="center"/>
    </xf>
    <xf numFmtId="1" fontId="27" fillId="8" borderId="178" xfId="0" applyNumberFormat="1" applyFont="1" applyFill="1" applyBorder="1" applyAlignment="1">
      <alignment horizontal="center" vertical="center"/>
    </xf>
    <xf numFmtId="1" fontId="27" fillId="33" borderId="154" xfId="0" applyNumberFormat="1" applyFont="1" applyFill="1" applyBorder="1" applyAlignment="1">
      <alignment horizontal="center" vertical="center"/>
    </xf>
    <xf numFmtId="1" fontId="27" fillId="33" borderId="156" xfId="0" applyNumberFormat="1" applyFont="1" applyFill="1" applyBorder="1" applyAlignment="1">
      <alignment horizontal="center" vertical="center"/>
    </xf>
    <xf numFmtId="1" fontId="27" fillId="33" borderId="152" xfId="0" applyNumberFormat="1" applyFont="1" applyFill="1" applyBorder="1" applyAlignment="1">
      <alignment horizontal="center" vertical="center"/>
    </xf>
    <xf numFmtId="0" fontId="17" fillId="0" borderId="179" xfId="0" applyFont="1" applyBorder="1"/>
    <xf numFmtId="0" fontId="14" fillId="7" borderId="166" xfId="0" applyFont="1" applyFill="1" applyBorder="1" applyAlignment="1">
      <alignment horizontal="center" vertical="center"/>
    </xf>
    <xf numFmtId="167" fontId="27" fillId="7" borderId="24" xfId="0" applyNumberFormat="1" applyFont="1" applyFill="1" applyBorder="1" applyAlignment="1">
      <alignment horizontal="center" vertical="center"/>
    </xf>
    <xf numFmtId="1" fontId="14" fillId="0" borderId="174" xfId="0" applyNumberFormat="1" applyFont="1" applyBorder="1" applyAlignment="1">
      <alignment horizontal="center" vertical="center"/>
    </xf>
    <xf numFmtId="1" fontId="14" fillId="0" borderId="133" xfId="0" applyNumberFormat="1" applyFont="1" applyBorder="1" applyAlignment="1">
      <alignment horizontal="center" vertical="center"/>
    </xf>
    <xf numFmtId="167" fontId="27" fillId="7" borderId="66" xfId="0" applyNumberFormat="1" applyFont="1" applyFill="1" applyBorder="1" applyAlignment="1">
      <alignment horizontal="center" vertical="center"/>
    </xf>
    <xf numFmtId="167" fontId="27" fillId="7" borderId="85" xfId="0" applyNumberFormat="1" applyFont="1" applyFill="1" applyBorder="1" applyAlignment="1">
      <alignment horizontal="center" vertical="center"/>
    </xf>
    <xf numFmtId="167" fontId="27" fillId="7" borderId="156" xfId="0" applyNumberFormat="1" applyFont="1" applyFill="1" applyBorder="1" applyAlignment="1">
      <alignment horizontal="center" vertical="center"/>
    </xf>
    <xf numFmtId="167" fontId="14" fillId="7" borderId="39" xfId="0" applyNumberFormat="1" applyFont="1" applyFill="1" applyBorder="1" applyAlignment="1">
      <alignment horizontal="center" vertical="center"/>
    </xf>
    <xf numFmtId="167" fontId="14" fillId="7" borderId="66" xfId="0" applyNumberFormat="1" applyFont="1" applyFill="1" applyBorder="1" applyAlignment="1">
      <alignment horizontal="center" vertical="center"/>
    </xf>
    <xf numFmtId="1" fontId="27" fillId="7" borderId="156" xfId="0" applyNumberFormat="1" applyFont="1" applyFill="1" applyBorder="1" applyAlignment="1">
      <alignment horizontal="center" vertical="center"/>
    </xf>
    <xf numFmtId="167" fontId="27" fillId="7" borderId="7" xfId="0" applyNumberFormat="1" applyFont="1" applyFill="1" applyBorder="1" applyAlignment="1">
      <alignment horizontal="center" vertical="center"/>
    </xf>
    <xf numFmtId="1" fontId="14" fillId="8" borderId="156" xfId="0" applyNumberFormat="1" applyFont="1" applyFill="1" applyBorder="1" applyAlignment="1">
      <alignment horizontal="center" vertical="center"/>
    </xf>
    <xf numFmtId="1" fontId="14" fillId="48" borderId="156" xfId="0" applyNumberFormat="1" applyFont="1" applyFill="1" applyBorder="1" applyAlignment="1">
      <alignment horizontal="center" vertical="center"/>
    </xf>
    <xf numFmtId="0" fontId="0" fillId="0" borderId="156" xfId="0" applyBorder="1"/>
    <xf numFmtId="1" fontId="14" fillId="33" borderId="156" xfId="0" applyNumberFormat="1" applyFont="1" applyFill="1" applyBorder="1" applyAlignment="1">
      <alignment horizontal="center" vertical="center"/>
    </xf>
    <xf numFmtId="0" fontId="14" fillId="8" borderId="159" xfId="0" applyFont="1" applyFill="1" applyBorder="1" applyAlignment="1">
      <alignment horizontal="center" vertical="center"/>
    </xf>
    <xf numFmtId="1" fontId="14" fillId="0" borderId="121" xfId="0" applyNumberFormat="1" applyFont="1" applyBorder="1" applyAlignment="1">
      <alignment horizontal="center" vertical="center"/>
    </xf>
    <xf numFmtId="167" fontId="27" fillId="0" borderId="121" xfId="0" applyNumberFormat="1" applyFont="1" applyBorder="1" applyAlignment="1">
      <alignment horizontal="center" vertical="center"/>
    </xf>
    <xf numFmtId="2" fontId="27" fillId="0" borderId="178" xfId="0" applyNumberFormat="1" applyFont="1" applyBorder="1" applyAlignment="1">
      <alignment horizontal="center" vertical="center"/>
    </xf>
    <xf numFmtId="167" fontId="14" fillId="0" borderId="3" xfId="0" applyNumberFormat="1" applyFont="1" applyBorder="1" applyAlignment="1">
      <alignment horizontal="center" vertical="center"/>
    </xf>
    <xf numFmtId="167" fontId="14" fillId="0" borderId="159" xfId="0" applyNumberFormat="1" applyFont="1" applyBorder="1" applyAlignment="1">
      <alignment horizontal="center" vertical="center"/>
    </xf>
    <xf numFmtId="167" fontId="14" fillId="0" borderId="178" xfId="0" applyNumberFormat="1" applyFont="1" applyBorder="1" applyAlignment="1">
      <alignment horizontal="center" vertical="center"/>
    </xf>
    <xf numFmtId="1" fontId="14" fillId="48" borderId="178" xfId="0" applyNumberFormat="1" applyFont="1" applyFill="1" applyBorder="1" applyAlignment="1">
      <alignment horizontal="center" vertical="center"/>
    </xf>
    <xf numFmtId="0" fontId="14" fillId="7" borderId="179" xfId="0" applyFont="1" applyFill="1" applyBorder="1" applyAlignment="1">
      <alignment horizontal="center" vertical="center"/>
    </xf>
    <xf numFmtId="1" fontId="19" fillId="8" borderId="178" xfId="186" applyNumberFormat="1" applyFont="1" applyFill="1" applyBorder="1" applyAlignment="1">
      <alignment horizontal="center" vertical="top"/>
    </xf>
    <xf numFmtId="1" fontId="19" fillId="8" borderId="179" xfId="186" applyNumberFormat="1" applyFont="1" applyFill="1" applyBorder="1" applyAlignment="1">
      <alignment horizontal="center" vertical="top"/>
    </xf>
    <xf numFmtId="1" fontId="19" fillId="5" borderId="179" xfId="186" applyNumberFormat="1" applyFont="1" applyFill="1" applyBorder="1" applyAlignment="1">
      <alignment horizontal="center" vertical="top"/>
    </xf>
    <xf numFmtId="1" fontId="19" fillId="7" borderId="179" xfId="186" applyNumberFormat="1" applyFont="1" applyFill="1" applyBorder="1" applyAlignment="1">
      <alignment horizontal="center" vertical="top"/>
    </xf>
    <xf numFmtId="1" fontId="19" fillId="54" borderId="179" xfId="186" applyNumberFormat="1" applyFont="1" applyFill="1" applyBorder="1" applyAlignment="1">
      <alignment horizontal="center" vertical="top"/>
    </xf>
    <xf numFmtId="3" fontId="7" fillId="0" borderId="179" xfId="0" applyNumberFormat="1" applyFont="1" applyBorder="1" applyAlignment="1">
      <alignment horizontal="center" vertical="top"/>
    </xf>
    <xf numFmtId="1" fontId="20" fillId="7" borderId="179" xfId="0" applyNumberFormat="1" applyFont="1" applyFill="1" applyBorder="1" applyAlignment="1">
      <alignment vertical="center"/>
    </xf>
    <xf numFmtId="1" fontId="19" fillId="5" borderId="179" xfId="0" applyNumberFormat="1" applyFont="1" applyFill="1" applyBorder="1" applyAlignment="1">
      <alignment horizontal="center" vertical="center"/>
    </xf>
    <xf numFmtId="1" fontId="20" fillId="6" borderId="179" xfId="0" applyNumberFormat="1" applyFont="1" applyFill="1" applyBorder="1" applyAlignment="1">
      <alignment horizontal="center" vertical="center"/>
    </xf>
    <xf numFmtId="164" fontId="37" fillId="0" borderId="60" xfId="0" quotePrefix="1" applyNumberFormat="1" applyFont="1" applyBorder="1" applyAlignment="1">
      <alignment horizontal="left" vertical="center"/>
    </xf>
    <xf numFmtId="1" fontId="21" fillId="0" borderId="62" xfId="0" applyNumberFormat="1" applyFont="1" applyBorder="1" applyAlignment="1">
      <alignment vertical="center"/>
    </xf>
    <xf numFmtId="164" fontId="20" fillId="8" borderId="181" xfId="0" quotePrefix="1" applyNumberFormat="1" applyFont="1" applyFill="1" applyBorder="1" applyAlignment="1">
      <alignment horizontal="left" vertical="center"/>
    </xf>
    <xf numFmtId="0" fontId="20" fillId="0" borderId="182" xfId="0" applyFont="1" applyBorder="1" applyAlignment="1">
      <alignment horizontal="left" vertical="center"/>
    </xf>
    <xf numFmtId="0" fontId="20" fillId="0" borderId="183" xfId="0" applyFont="1" applyBorder="1" applyAlignment="1">
      <alignment horizontal="left" vertical="center"/>
    </xf>
    <xf numFmtId="1" fontId="20" fillId="0" borderId="185" xfId="0" applyNumberFormat="1" applyFont="1" applyBorder="1" applyAlignment="1">
      <alignment horizontal="center" vertical="center"/>
    </xf>
    <xf numFmtId="1" fontId="20" fillId="7" borderId="185" xfId="0" applyNumberFormat="1" applyFont="1" applyFill="1" applyBorder="1" applyAlignment="1">
      <alignment horizontal="center" vertical="center"/>
    </xf>
    <xf numFmtId="1" fontId="20" fillId="5" borderId="185" xfId="0" applyNumberFormat="1" applyFont="1" applyFill="1" applyBorder="1" applyAlignment="1">
      <alignment horizontal="center" vertical="center"/>
    </xf>
    <xf numFmtId="167" fontId="0" fillId="0" borderId="10" xfId="0" applyNumberFormat="1" applyBorder="1"/>
    <xf numFmtId="167" fontId="12" fillId="8" borderId="171" xfId="0" applyNumberFormat="1" applyFont="1" applyFill="1" applyBorder="1" applyAlignment="1">
      <alignment horizontal="center" vertical="center"/>
    </xf>
    <xf numFmtId="0" fontId="166" fillId="8" borderId="46" xfId="0" applyFont="1" applyFill="1" applyBorder="1" applyAlignment="1">
      <alignment horizontal="center" vertical="center" wrapText="1"/>
    </xf>
    <xf numFmtId="2" fontId="168" fillId="0" borderId="46" xfId="0" applyNumberFormat="1" applyFont="1" applyBorder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0" fontId="162" fillId="0" borderId="41" xfId="0" applyFont="1" applyBorder="1" applyAlignment="1">
      <alignment horizontal="left" vertical="center" wrapText="1" indent="1"/>
    </xf>
    <xf numFmtId="167" fontId="162" fillId="0" borderId="41" xfId="0" applyNumberFormat="1" applyFont="1" applyBorder="1" applyAlignment="1">
      <alignment horizontal="center" wrapText="1"/>
    </xf>
    <xf numFmtId="2" fontId="162" fillId="0" borderId="41" xfId="0" applyNumberFormat="1" applyFont="1" applyBorder="1" applyAlignment="1">
      <alignment horizontal="center" wrapText="1"/>
    </xf>
    <xf numFmtId="2" fontId="168" fillId="8" borderId="41" xfId="0" applyNumberFormat="1" applyFont="1" applyFill="1" applyBorder="1" applyAlignment="1">
      <alignment horizontal="center" wrapText="1"/>
    </xf>
    <xf numFmtId="167" fontId="162" fillId="0" borderId="41" xfId="0" applyNumberFormat="1" applyFont="1" applyBorder="1" applyAlignment="1">
      <alignment horizontal="center" vertical="center" wrapText="1"/>
    </xf>
    <xf numFmtId="2" fontId="164" fillId="0" borderId="41" xfId="0" applyNumberFormat="1" applyFont="1" applyBorder="1" applyAlignment="1">
      <alignment horizontal="center" wrapText="1"/>
    </xf>
    <xf numFmtId="167" fontId="169" fillId="0" borderId="41" xfId="0" applyNumberFormat="1" applyFont="1" applyBorder="1" applyAlignment="1">
      <alignment horizontal="center" vertical="center"/>
    </xf>
    <xf numFmtId="167" fontId="169" fillId="0" borderId="42" xfId="0" applyNumberFormat="1" applyFont="1" applyBorder="1" applyAlignment="1">
      <alignment horizontal="center" vertical="center"/>
    </xf>
    <xf numFmtId="167" fontId="169" fillId="0" borderId="154" xfId="0" applyNumberFormat="1" applyFont="1" applyBorder="1" applyAlignment="1">
      <alignment horizontal="center" vertical="center"/>
    </xf>
    <xf numFmtId="0" fontId="162" fillId="0" borderId="155" xfId="0" applyFont="1" applyBorder="1" applyAlignment="1">
      <alignment horizontal="left" vertical="center" wrapText="1" indent="1"/>
    </xf>
    <xf numFmtId="2" fontId="0" fillId="0" borderId="155" xfId="0" applyNumberFormat="1" applyBorder="1" applyAlignment="1">
      <alignment horizontal="center" vertical="center"/>
    </xf>
    <xf numFmtId="2" fontId="162" fillId="0" borderId="155" xfId="0" applyNumberFormat="1" applyFont="1" applyBorder="1" applyAlignment="1">
      <alignment horizontal="center" wrapText="1"/>
    </xf>
    <xf numFmtId="2" fontId="168" fillId="8" borderId="155" xfId="0" applyNumberFormat="1" applyFont="1" applyFill="1" applyBorder="1" applyAlignment="1">
      <alignment horizontal="center" wrapText="1"/>
    </xf>
    <xf numFmtId="167" fontId="162" fillId="0" borderId="155" xfId="0" applyNumberFormat="1" applyFont="1" applyBorder="1" applyAlignment="1">
      <alignment horizontal="center" vertical="center" wrapText="1"/>
    </xf>
    <xf numFmtId="2" fontId="164" fillId="0" borderId="155" xfId="0" applyNumberFormat="1" applyFont="1" applyBorder="1" applyAlignment="1">
      <alignment horizontal="center" wrapText="1"/>
    </xf>
    <xf numFmtId="167" fontId="169" fillId="0" borderId="155" xfId="0" applyNumberFormat="1" applyFont="1" applyBorder="1" applyAlignment="1">
      <alignment horizontal="center" vertical="center"/>
    </xf>
    <xf numFmtId="167" fontId="169" fillId="0" borderId="157" xfId="0" applyNumberFormat="1" applyFont="1" applyBorder="1" applyAlignment="1">
      <alignment horizontal="center" vertical="center"/>
    </xf>
    <xf numFmtId="0" fontId="162" fillId="0" borderId="46" xfId="0" applyFont="1" applyBorder="1" applyAlignment="1">
      <alignment horizontal="center" vertical="center" wrapText="1"/>
    </xf>
    <xf numFmtId="0" fontId="164" fillId="8" borderId="46" xfId="0" applyFont="1" applyFill="1" applyBorder="1" applyAlignment="1">
      <alignment vertical="center" wrapText="1"/>
    </xf>
    <xf numFmtId="0" fontId="164" fillId="0" borderId="41" xfId="0" applyFont="1" applyBorder="1" applyAlignment="1">
      <alignment horizontal="center" vertical="center" wrapText="1"/>
    </xf>
    <xf numFmtId="0" fontId="164" fillId="0" borderId="66" xfId="0" applyFont="1" applyBorder="1" applyAlignment="1">
      <alignment horizontal="center" vertical="center" wrapText="1"/>
    </xf>
    <xf numFmtId="0" fontId="164" fillId="0" borderId="3" xfId="0" applyFont="1" applyBorder="1" applyAlignment="1">
      <alignment horizontal="center" vertical="center" wrapText="1"/>
    </xf>
    <xf numFmtId="0" fontId="164" fillId="0" borderId="42" xfId="0" applyFont="1" applyBorder="1" applyAlignment="1">
      <alignment horizontal="center" vertical="center" wrapText="1"/>
    </xf>
    <xf numFmtId="167" fontId="162" fillId="0" borderId="154" xfId="0" applyNumberFormat="1" applyFont="1" applyBorder="1" applyAlignment="1">
      <alignment horizontal="center" wrapText="1"/>
    </xf>
    <xf numFmtId="0" fontId="0" fillId="0" borderId="185" xfId="0" applyBorder="1"/>
    <xf numFmtId="0" fontId="0" fillId="0" borderId="154" xfId="0" applyBorder="1"/>
    <xf numFmtId="167" fontId="162" fillId="0" borderId="155" xfId="0" applyNumberFormat="1" applyFont="1" applyBorder="1" applyAlignment="1">
      <alignment horizontal="center" wrapText="1"/>
    </xf>
    <xf numFmtId="167" fontId="162" fillId="0" borderId="157" xfId="0" applyNumberFormat="1" applyFont="1" applyBorder="1" applyAlignment="1">
      <alignment horizontal="center" wrapText="1"/>
    </xf>
    <xf numFmtId="0" fontId="164" fillId="0" borderId="63" xfId="0" applyFont="1" applyBorder="1" applyAlignment="1">
      <alignment horizontal="center" vertical="center" wrapText="1"/>
    </xf>
    <xf numFmtId="167" fontId="162" fillId="0" borderId="154" xfId="0" applyNumberFormat="1" applyFont="1" applyBorder="1" applyAlignment="1">
      <alignment horizontal="center" vertical="center" wrapText="1"/>
    </xf>
    <xf numFmtId="17" fontId="169" fillId="0" borderId="155" xfId="0" applyNumberFormat="1" applyFont="1" applyBorder="1" applyAlignment="1">
      <alignment horizontal="left" vertical="center" wrapText="1" indent="1"/>
    </xf>
    <xf numFmtId="167" fontId="17" fillId="0" borderId="155" xfId="0" applyNumberFormat="1" applyFont="1" applyBorder="1" applyAlignment="1">
      <alignment horizontal="center" vertical="center"/>
    </xf>
    <xf numFmtId="167" fontId="162" fillId="0" borderId="157" xfId="0" applyNumberFormat="1" applyFont="1" applyBorder="1" applyAlignment="1">
      <alignment horizontal="center" vertical="center" wrapText="1"/>
    </xf>
    <xf numFmtId="0" fontId="162" fillId="0" borderId="3" xfId="0" applyFont="1" applyBorder="1" applyAlignment="1">
      <alignment wrapText="1"/>
    </xf>
    <xf numFmtId="0" fontId="162" fillId="0" borderId="41" xfId="0" applyFont="1" applyBorder="1" applyAlignment="1">
      <alignment horizontal="center" wrapText="1"/>
    </xf>
    <xf numFmtId="0" fontId="162" fillId="0" borderId="42" xfId="0" applyFont="1" applyBorder="1" applyAlignment="1">
      <alignment horizontal="center" wrapText="1"/>
    </xf>
    <xf numFmtId="0" fontId="164" fillId="0" borderId="154" xfId="0" applyFont="1" applyBorder="1" applyAlignment="1">
      <alignment horizontal="center" vertical="center" wrapText="1"/>
    </xf>
    <xf numFmtId="167" fontId="168" fillId="0" borderId="154" xfId="0" applyNumberFormat="1" applyFont="1" applyBorder="1" applyAlignment="1">
      <alignment horizontal="center"/>
    </xf>
    <xf numFmtId="167" fontId="169" fillId="0" borderId="154" xfId="0" applyNumberFormat="1" applyFont="1" applyBorder="1" applyAlignment="1">
      <alignment horizontal="center"/>
    </xf>
    <xf numFmtId="1" fontId="17" fillId="0" borderId="155" xfId="0" applyNumberFormat="1" applyFont="1" applyBorder="1" applyAlignment="1">
      <alignment horizontal="center" vertical="center"/>
    </xf>
    <xf numFmtId="0" fontId="169" fillId="0" borderId="155" xfId="0" applyFont="1" applyBorder="1" applyAlignment="1">
      <alignment horizontal="center"/>
    </xf>
    <xf numFmtId="0" fontId="168" fillId="0" borderId="155" xfId="0" applyFont="1" applyBorder="1" applyAlignment="1">
      <alignment horizontal="center"/>
    </xf>
    <xf numFmtId="167" fontId="169" fillId="0" borderId="155" xfId="0" applyNumberFormat="1" applyFont="1" applyBorder="1" applyAlignment="1">
      <alignment horizontal="center"/>
    </xf>
    <xf numFmtId="167" fontId="169" fillId="0" borderId="157" xfId="0" applyNumberFormat="1" applyFont="1" applyBorder="1" applyAlignment="1">
      <alignment horizontal="center"/>
    </xf>
    <xf numFmtId="0" fontId="162" fillId="0" borderId="30" xfId="0" applyFont="1" applyBorder="1" applyAlignment="1">
      <alignment wrapText="1"/>
    </xf>
    <xf numFmtId="0" fontId="162" fillId="0" borderId="30" xfId="0" applyFont="1" applyBorder="1" applyAlignment="1">
      <alignment horizontal="center" wrapText="1"/>
    </xf>
    <xf numFmtId="0" fontId="0" fillId="0" borderId="30" xfId="0" applyBorder="1"/>
    <xf numFmtId="167" fontId="18" fillId="8" borderId="80" xfId="0" applyNumberFormat="1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/>
    </xf>
    <xf numFmtId="177" fontId="112" fillId="7" borderId="118" xfId="412" applyNumberFormat="1" applyFont="1" applyFill="1" applyBorder="1" applyAlignment="1">
      <alignment horizontal="center" vertical="center"/>
    </xf>
    <xf numFmtId="0" fontId="138" fillId="7" borderId="185" xfId="376" applyFont="1" applyFill="1" applyBorder="1" applyAlignment="1">
      <alignment wrapText="1"/>
    </xf>
    <xf numFmtId="0" fontId="54" fillId="0" borderId="185" xfId="376" applyBorder="1"/>
    <xf numFmtId="0" fontId="138" fillId="9" borderId="185" xfId="376" applyFont="1" applyFill="1" applyBorder="1" applyAlignment="1">
      <alignment wrapText="1"/>
    </xf>
    <xf numFmtId="2" fontId="139" fillId="9" borderId="185" xfId="376" applyNumberFormat="1" applyFont="1" applyFill="1" applyBorder="1" applyAlignment="1">
      <alignment vertical="center"/>
    </xf>
    <xf numFmtId="2" fontId="139" fillId="9" borderId="185" xfId="376" applyNumberFormat="1" applyFont="1" applyFill="1" applyBorder="1" applyAlignment="1">
      <alignment horizontal="center" vertical="center"/>
    </xf>
    <xf numFmtId="0" fontId="138" fillId="6" borderId="185" xfId="376" applyFont="1" applyFill="1" applyBorder="1" applyAlignment="1">
      <alignment wrapText="1"/>
    </xf>
    <xf numFmtId="2" fontId="139" fillId="6" borderId="185" xfId="376" applyNumberFormat="1" applyFont="1" applyFill="1" applyBorder="1" applyAlignment="1">
      <alignment horizontal="center" vertical="center"/>
    </xf>
    <xf numFmtId="0" fontId="138" fillId="5" borderId="185" xfId="376" applyFont="1" applyFill="1" applyBorder="1" applyAlignment="1">
      <alignment wrapText="1"/>
    </xf>
    <xf numFmtId="2" fontId="139" fillId="5" borderId="185" xfId="376" applyNumberFormat="1" applyFont="1" applyFill="1" applyBorder="1" applyAlignment="1">
      <alignment horizontal="center" vertical="center"/>
    </xf>
    <xf numFmtId="0" fontId="138" fillId="32" borderId="185" xfId="376" applyFont="1" applyFill="1" applyBorder="1" applyAlignment="1">
      <alignment wrapText="1"/>
    </xf>
    <xf numFmtId="2" fontId="139" fillId="32" borderId="185" xfId="376" applyNumberFormat="1" applyFont="1" applyFill="1" applyBorder="1" applyAlignment="1">
      <alignment horizontal="center" vertical="center"/>
    </xf>
    <xf numFmtId="1" fontId="20" fillId="45" borderId="121" xfId="0" applyNumberFormat="1" applyFont="1" applyFill="1" applyBorder="1" applyAlignment="1">
      <alignment horizontal="center" vertical="center"/>
    </xf>
    <xf numFmtId="1" fontId="20" fillId="45" borderId="146" xfId="0" applyNumberFormat="1" applyFont="1" applyFill="1" applyBorder="1" applyAlignment="1">
      <alignment horizontal="center" vertical="center"/>
    </xf>
    <xf numFmtId="1" fontId="20" fillId="45" borderId="128" xfId="0" applyNumberFormat="1" applyFont="1" applyFill="1" applyBorder="1" applyAlignment="1">
      <alignment horizontal="center" vertical="center"/>
    </xf>
    <xf numFmtId="1" fontId="7" fillId="45" borderId="139" xfId="0" applyNumberFormat="1" applyFont="1" applyFill="1" applyBorder="1" applyAlignment="1">
      <alignment horizontal="center" vertical="center"/>
    </xf>
    <xf numFmtId="1" fontId="7" fillId="45" borderId="143" xfId="0" applyNumberFormat="1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2" fontId="139" fillId="7" borderId="185" xfId="376" applyNumberFormat="1" applyFont="1" applyFill="1" applyBorder="1" applyAlignment="1">
      <alignment horizontal="center" vertical="center"/>
    </xf>
    <xf numFmtId="167" fontId="20" fillId="45" borderId="8" xfId="0" applyNumberFormat="1" applyFont="1" applyFill="1" applyBorder="1" applyAlignment="1">
      <alignment horizontal="center" vertical="center"/>
    </xf>
    <xf numFmtId="1" fontId="20" fillId="45" borderId="139" xfId="0" applyNumberFormat="1" applyFont="1" applyFill="1" applyBorder="1" applyAlignment="1">
      <alignment horizontal="center" vertical="center"/>
    </xf>
    <xf numFmtId="1" fontId="20" fillId="45" borderId="4" xfId="0" applyNumberFormat="1" applyFont="1" applyFill="1" applyBorder="1" applyAlignment="1">
      <alignment horizontal="center" vertical="center"/>
    </xf>
    <xf numFmtId="1" fontId="20" fillId="45" borderId="8" xfId="0" applyNumberFormat="1" applyFont="1" applyFill="1" applyBorder="1" applyAlignment="1">
      <alignment horizontal="center" vertical="center"/>
    </xf>
    <xf numFmtId="1" fontId="20" fillId="45" borderId="38" xfId="0" applyNumberFormat="1" applyFont="1" applyFill="1" applyBorder="1" applyAlignment="1">
      <alignment horizontal="center" vertical="center"/>
    </xf>
    <xf numFmtId="169" fontId="20" fillId="45" borderId="59" xfId="0" applyNumberFormat="1" applyFont="1" applyFill="1" applyBorder="1" applyAlignment="1">
      <alignment horizontal="center" vertical="center"/>
    </xf>
    <xf numFmtId="1" fontId="20" fillId="45" borderId="86" xfId="0" applyNumberFormat="1" applyFont="1" applyFill="1" applyBorder="1" applyAlignment="1">
      <alignment horizontal="center" vertical="center"/>
    </xf>
    <xf numFmtId="167" fontId="20" fillId="45" borderId="3" xfId="0" applyNumberFormat="1" applyFont="1" applyFill="1" applyBorder="1" applyAlignment="1">
      <alignment horizontal="center" vertical="center"/>
    </xf>
    <xf numFmtId="167" fontId="20" fillId="45" borderId="139" xfId="0" applyNumberFormat="1" applyFont="1" applyFill="1" applyBorder="1" applyAlignment="1">
      <alignment horizontal="center" vertical="center"/>
    </xf>
    <xf numFmtId="169" fontId="20" fillId="45" borderId="139" xfId="0" applyNumberFormat="1" applyFont="1" applyFill="1" applyBorder="1" applyAlignment="1">
      <alignment horizontal="center" vertical="center"/>
    </xf>
    <xf numFmtId="2" fontId="20" fillId="45" borderId="139" xfId="0" applyNumberFormat="1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7" borderId="143" xfId="0" applyFont="1" applyFill="1" applyBorder="1" applyAlignment="1">
      <alignment horizontal="center" vertical="center"/>
    </xf>
    <xf numFmtId="0" fontId="4" fillId="8" borderId="143" xfId="0" applyFont="1" applyFill="1" applyBorder="1" applyAlignment="1">
      <alignment horizontal="center" vertical="center"/>
    </xf>
    <xf numFmtId="0" fontId="4" fillId="5" borderId="143" xfId="0" applyFont="1" applyFill="1" applyBorder="1" applyAlignment="1">
      <alignment horizontal="center" vertical="center"/>
    </xf>
    <xf numFmtId="0" fontId="4" fillId="6" borderId="143" xfId="0" applyFont="1" applyFill="1" applyBorder="1" applyAlignment="1">
      <alignment horizontal="center" vertical="center"/>
    </xf>
    <xf numFmtId="0" fontId="4" fillId="45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7" fillId="0" borderId="143" xfId="0" applyFont="1" applyBorder="1" applyAlignment="1">
      <alignment horizontal="center" vertical="center"/>
    </xf>
    <xf numFmtId="167" fontId="20" fillId="8" borderId="143" xfId="0" applyNumberFormat="1" applyFont="1" applyFill="1" applyBorder="1" applyAlignment="1">
      <alignment horizontal="center" vertical="center"/>
    </xf>
    <xf numFmtId="167" fontId="20" fillId="0" borderId="143" xfId="0" applyNumberFormat="1" applyFont="1" applyBorder="1" applyAlignment="1">
      <alignment horizontal="center" vertical="center"/>
    </xf>
    <xf numFmtId="167" fontId="20" fillId="7" borderId="143" xfId="0" applyNumberFormat="1" applyFont="1" applyFill="1" applyBorder="1" applyAlignment="1">
      <alignment horizontal="center" vertical="center"/>
    </xf>
    <xf numFmtId="167" fontId="20" fillId="5" borderId="143" xfId="0" applyNumberFormat="1" applyFont="1" applyFill="1" applyBorder="1" applyAlignment="1">
      <alignment horizontal="center" vertical="center"/>
    </xf>
    <xf numFmtId="167" fontId="20" fillId="6" borderId="143" xfId="0" applyNumberFormat="1" applyFont="1" applyFill="1" applyBorder="1" applyAlignment="1">
      <alignment horizontal="center" vertical="center"/>
    </xf>
    <xf numFmtId="167" fontId="20" fillId="45" borderId="143" xfId="0" applyNumberFormat="1" applyFont="1" applyFill="1" applyBorder="1" applyAlignment="1">
      <alignment horizontal="center" vertical="center"/>
    </xf>
    <xf numFmtId="0" fontId="7" fillId="8" borderId="143" xfId="0" applyFont="1" applyFill="1" applyBorder="1" applyAlignment="1">
      <alignment horizontal="left" vertical="center"/>
    </xf>
    <xf numFmtId="0" fontId="7" fillId="8" borderId="143" xfId="0" applyFont="1" applyFill="1" applyBorder="1" applyAlignment="1">
      <alignment horizontal="center" vertical="center"/>
    </xf>
    <xf numFmtId="0" fontId="20" fillId="8" borderId="143" xfId="0" applyFont="1" applyFill="1" applyBorder="1" applyAlignment="1">
      <alignment horizontal="center" vertical="center"/>
    </xf>
    <xf numFmtId="1" fontId="20" fillId="45" borderId="143" xfId="0" applyNumberFormat="1" applyFont="1" applyFill="1" applyBorder="1" applyAlignment="1">
      <alignment horizontal="center" vertical="center"/>
    </xf>
    <xf numFmtId="1" fontId="20" fillId="6" borderId="143" xfId="0" applyNumberFormat="1" applyFont="1" applyFill="1" applyBorder="1" applyAlignment="1">
      <alignment horizontal="center" vertical="center"/>
    </xf>
    <xf numFmtId="169" fontId="20" fillId="0" borderId="143" xfId="0" applyNumberFormat="1" applyFont="1" applyBorder="1" applyAlignment="1">
      <alignment horizontal="center" vertical="center"/>
    </xf>
    <xf numFmtId="169" fontId="20" fillId="7" borderId="143" xfId="0" applyNumberFormat="1" applyFont="1" applyFill="1" applyBorder="1" applyAlignment="1">
      <alignment horizontal="center" vertical="center"/>
    </xf>
    <xf numFmtId="169" fontId="20" fillId="5" borderId="143" xfId="0" applyNumberFormat="1" applyFont="1" applyFill="1" applyBorder="1" applyAlignment="1">
      <alignment horizontal="center" vertical="center"/>
    </xf>
    <xf numFmtId="169" fontId="20" fillId="6" borderId="143" xfId="0" applyNumberFormat="1" applyFont="1" applyFill="1" applyBorder="1" applyAlignment="1">
      <alignment horizontal="center" vertical="center"/>
    </xf>
    <xf numFmtId="169" fontId="20" fillId="8" borderId="143" xfId="0" applyNumberFormat="1" applyFont="1" applyFill="1" applyBorder="1" applyAlignment="1">
      <alignment horizontal="center" vertical="center"/>
    </xf>
    <xf numFmtId="169" fontId="20" fillId="45" borderId="143" xfId="0" applyNumberFormat="1" applyFont="1" applyFill="1" applyBorder="1" applyAlignment="1">
      <alignment horizontal="center" vertical="center"/>
    </xf>
    <xf numFmtId="0" fontId="36" fillId="8" borderId="143" xfId="0" applyFont="1" applyFill="1" applyBorder="1" applyAlignment="1">
      <alignment horizontal="left" vertical="center"/>
    </xf>
    <xf numFmtId="0" fontId="11" fillId="8" borderId="143" xfId="0" applyFont="1" applyFill="1" applyBorder="1" applyAlignment="1">
      <alignment horizontal="center" vertical="center"/>
    </xf>
    <xf numFmtId="1" fontId="0" fillId="8" borderId="143" xfId="0" applyNumberFormat="1" applyFill="1" applyBorder="1" applyAlignment="1">
      <alignment horizontal="center" vertical="center"/>
    </xf>
    <xf numFmtId="0" fontId="0" fillId="8" borderId="143" xfId="0" applyFill="1" applyBorder="1" applyAlignment="1">
      <alignment horizontal="center" vertical="center"/>
    </xf>
    <xf numFmtId="2" fontId="20" fillId="8" borderId="143" xfId="0" applyNumberFormat="1" applyFont="1" applyFill="1" applyBorder="1" applyAlignment="1">
      <alignment horizontal="center" vertical="center"/>
    </xf>
    <xf numFmtId="2" fontId="20" fillId="7" borderId="143" xfId="0" applyNumberFormat="1" applyFont="1" applyFill="1" applyBorder="1" applyAlignment="1">
      <alignment horizontal="center" vertical="center"/>
    </xf>
    <xf numFmtId="2" fontId="20" fillId="5" borderId="143" xfId="0" applyNumberFormat="1" applyFont="1" applyFill="1" applyBorder="1" applyAlignment="1">
      <alignment horizontal="center" vertical="center"/>
    </xf>
    <xf numFmtId="2" fontId="20" fillId="6" borderId="143" xfId="0" applyNumberFormat="1" applyFont="1" applyFill="1" applyBorder="1" applyAlignment="1">
      <alignment horizontal="center" vertical="center"/>
    </xf>
    <xf numFmtId="2" fontId="20" fillId="0" borderId="143" xfId="0" applyNumberFormat="1" applyFont="1" applyBorder="1" applyAlignment="1">
      <alignment horizontal="center" vertical="center"/>
    </xf>
    <xf numFmtId="2" fontId="20" fillId="45" borderId="143" xfId="0" applyNumberFormat="1" applyFont="1" applyFill="1" applyBorder="1" applyAlignment="1">
      <alignment horizontal="center" vertical="center"/>
    </xf>
    <xf numFmtId="1" fontId="45" fillId="8" borderId="128" xfId="0" applyNumberFormat="1" applyFont="1" applyFill="1" applyBorder="1" applyAlignment="1">
      <alignment horizontal="center" vertical="center"/>
    </xf>
    <xf numFmtId="0" fontId="76" fillId="8" borderId="121" xfId="0" applyFont="1" applyFill="1" applyBorder="1" applyAlignment="1">
      <alignment horizontal="center" vertical="center"/>
    </xf>
    <xf numFmtId="0" fontId="76" fillId="8" borderId="128" xfId="0" applyFont="1" applyFill="1" applyBorder="1" applyAlignment="1">
      <alignment horizontal="center" vertical="center"/>
    </xf>
    <xf numFmtId="0" fontId="0" fillId="5" borderId="143" xfId="0" applyFill="1" applyBorder="1" applyAlignment="1">
      <alignment horizontal="center" vertical="center"/>
    </xf>
    <xf numFmtId="0" fontId="45" fillId="5" borderId="31" xfId="0" applyFont="1" applyFill="1" applyBorder="1" applyAlignment="1">
      <alignment horizontal="center" vertical="center"/>
    </xf>
    <xf numFmtId="0" fontId="45" fillId="5" borderId="17" xfId="0" applyFont="1" applyFill="1" applyBorder="1" applyAlignment="1">
      <alignment horizontal="center" vertical="center"/>
    </xf>
    <xf numFmtId="0" fontId="45" fillId="5" borderId="132" xfId="0" applyFont="1" applyFill="1" applyBorder="1" applyAlignment="1">
      <alignment horizontal="center" vertical="center"/>
    </xf>
    <xf numFmtId="0" fontId="20" fillId="6" borderId="143" xfId="0" applyFont="1" applyFill="1" applyBorder="1" applyAlignment="1">
      <alignment horizontal="center" vertical="center"/>
    </xf>
    <xf numFmtId="0" fontId="0" fillId="6" borderId="143" xfId="0" applyFill="1" applyBorder="1" applyAlignment="1">
      <alignment horizontal="center" vertical="center"/>
    </xf>
    <xf numFmtId="0" fontId="45" fillId="6" borderId="132" xfId="0" applyFont="1" applyFill="1" applyBorder="1" applyAlignment="1">
      <alignment horizontal="center" vertical="center"/>
    </xf>
    <xf numFmtId="0" fontId="0" fillId="7" borderId="143" xfId="0" applyFill="1" applyBorder="1" applyAlignment="1">
      <alignment horizontal="center" vertical="center"/>
    </xf>
    <xf numFmtId="0" fontId="45" fillId="7" borderId="31" xfId="0" applyFont="1" applyFill="1" applyBorder="1" applyAlignment="1">
      <alignment horizontal="center" vertical="center"/>
    </xf>
    <xf numFmtId="0" fontId="45" fillId="7" borderId="17" xfId="0" applyFont="1" applyFill="1" applyBorder="1" applyAlignment="1">
      <alignment horizontal="center" vertical="center"/>
    </xf>
    <xf numFmtId="169" fontId="0" fillId="8" borderId="0" xfId="0" applyNumberFormat="1" applyFill="1"/>
    <xf numFmtId="0" fontId="45" fillId="8" borderId="8" xfId="0" applyFont="1" applyFill="1" applyBorder="1" applyAlignment="1">
      <alignment horizontal="center" vertical="center"/>
    </xf>
    <xf numFmtId="0" fontId="45" fillId="8" borderId="139" xfId="0" applyFont="1" applyFill="1" applyBorder="1" applyAlignment="1">
      <alignment horizontal="center" vertical="center"/>
    </xf>
    <xf numFmtId="0" fontId="45" fillId="8" borderId="121" xfId="0" applyFont="1" applyFill="1" applyBorder="1" applyAlignment="1">
      <alignment horizontal="center" vertical="center"/>
    </xf>
    <xf numFmtId="0" fontId="45" fillId="8" borderId="59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left" vertical="center"/>
    </xf>
    <xf numFmtId="1" fontId="20" fillId="8" borderId="144" xfId="0" applyNumberFormat="1" applyFont="1" applyFill="1" applyBorder="1" applyAlignment="1">
      <alignment horizontal="center" vertical="center"/>
    </xf>
    <xf numFmtId="0" fontId="7" fillId="8" borderId="155" xfId="0" applyFont="1" applyFill="1" applyBorder="1" applyAlignment="1">
      <alignment horizontal="left" vertical="center"/>
    </xf>
    <xf numFmtId="1" fontId="20" fillId="8" borderId="157" xfId="0" applyNumberFormat="1" applyFont="1" applyFill="1" applyBorder="1" applyAlignment="1">
      <alignment horizontal="center" vertical="center"/>
    </xf>
    <xf numFmtId="169" fontId="12" fillId="8" borderId="0" xfId="0" applyNumberFormat="1" applyFont="1" applyFill="1"/>
    <xf numFmtId="0" fontId="7" fillId="8" borderId="143" xfId="0" applyFont="1" applyFill="1" applyBorder="1" applyAlignment="1">
      <alignment horizontal="left" vertical="center" wrapText="1"/>
    </xf>
    <xf numFmtId="0" fontId="138" fillId="0" borderId="185" xfId="376" applyFont="1" applyBorder="1" applyAlignment="1">
      <alignment horizontal="center" vertical="center"/>
    </xf>
    <xf numFmtId="0" fontId="139" fillId="0" borderId="185" xfId="376" applyFont="1" applyBorder="1" applyAlignment="1">
      <alignment horizontal="center" vertical="center"/>
    </xf>
    <xf numFmtId="0" fontId="138" fillId="7" borderId="185" xfId="376" applyFont="1" applyFill="1" applyBorder="1"/>
    <xf numFmtId="0" fontId="138" fillId="0" borderId="185" xfId="376" applyFont="1" applyBorder="1" applyAlignment="1">
      <alignment wrapText="1"/>
    </xf>
    <xf numFmtId="0" fontId="138" fillId="0" borderId="185" xfId="376" applyFont="1" applyBorder="1"/>
    <xf numFmtId="0" fontId="139" fillId="0" borderId="185" xfId="376" applyFont="1" applyBorder="1"/>
    <xf numFmtId="0" fontId="138" fillId="9" borderId="185" xfId="376" applyFont="1" applyFill="1" applyBorder="1"/>
    <xf numFmtId="0" fontId="138" fillId="6" borderId="185" xfId="376" applyFont="1" applyFill="1" applyBorder="1"/>
    <xf numFmtId="1" fontId="139" fillId="7" borderId="185" xfId="376" applyNumberFormat="1" applyFont="1" applyFill="1" applyBorder="1" applyAlignment="1">
      <alignment horizontal="center" vertical="center"/>
    </xf>
    <xf numFmtId="0" fontId="138" fillId="5" borderId="185" xfId="376" applyFont="1" applyFill="1" applyBorder="1"/>
    <xf numFmtId="1" fontId="106" fillId="5" borderId="185" xfId="376" applyNumberFormat="1" applyFont="1" applyFill="1" applyBorder="1" applyAlignment="1">
      <alignment horizontal="center" vertical="center"/>
    </xf>
    <xf numFmtId="0" fontId="138" fillId="32" borderId="185" xfId="376" applyFont="1" applyFill="1" applyBorder="1"/>
    <xf numFmtId="1" fontId="139" fillId="32" borderId="185" xfId="376" applyNumberFormat="1" applyFont="1" applyFill="1" applyBorder="1" applyAlignment="1">
      <alignment horizontal="center" vertical="center"/>
    </xf>
    <xf numFmtId="0" fontId="138" fillId="32" borderId="185" xfId="376" applyFont="1" applyFill="1" applyBorder="1" applyAlignment="1">
      <alignment horizontal="center" vertical="center" wrapText="1"/>
    </xf>
    <xf numFmtId="0" fontId="138" fillId="32" borderId="185" xfId="376" applyFont="1" applyFill="1" applyBorder="1" applyAlignment="1">
      <alignment horizontal="center" vertical="center"/>
    </xf>
    <xf numFmtId="0" fontId="54" fillId="0" borderId="0" xfId="376" applyAlignment="1">
      <alignment horizontal="center" vertical="center"/>
    </xf>
    <xf numFmtId="1" fontId="0" fillId="0" borderId="0" xfId="22" applyNumberFormat="1" applyFont="1"/>
    <xf numFmtId="0" fontId="20" fillId="0" borderId="146" xfId="0" applyFont="1" applyBorder="1" applyAlignment="1">
      <alignment horizontal="left" vertical="center"/>
    </xf>
    <xf numFmtId="1" fontId="20" fillId="0" borderId="146" xfId="0" applyNumberFormat="1" applyFont="1" applyBorder="1" applyAlignment="1">
      <alignment vertical="center"/>
    </xf>
    <xf numFmtId="1" fontId="20" fillId="0" borderId="146" xfId="0" applyNumberFormat="1" applyFont="1" applyBorder="1" applyAlignment="1">
      <alignment horizontal="center" vertical="center"/>
    </xf>
    <xf numFmtId="1" fontId="20" fillId="7" borderId="146" xfId="0" applyNumberFormat="1" applyFont="1" applyFill="1" applyBorder="1" applyAlignment="1">
      <alignment vertical="center"/>
    </xf>
    <xf numFmtId="1" fontId="20" fillId="5" borderId="146" xfId="0" applyNumberFormat="1" applyFont="1" applyFill="1" applyBorder="1" applyAlignment="1">
      <alignment vertical="center"/>
    </xf>
    <xf numFmtId="164" fontId="20" fillId="8" borderId="185" xfId="0" quotePrefix="1" applyNumberFormat="1" applyFont="1" applyFill="1" applyBorder="1" applyAlignment="1">
      <alignment horizontal="left" vertical="center"/>
    </xf>
    <xf numFmtId="0" fontId="20" fillId="8" borderId="185" xfId="0" applyFont="1" applyFill="1" applyBorder="1" applyAlignment="1">
      <alignment horizontal="left" vertical="center"/>
    </xf>
    <xf numFmtId="1" fontId="45" fillId="7" borderId="185" xfId="0" applyNumberFormat="1" applyFont="1" applyFill="1" applyBorder="1" applyAlignment="1">
      <alignment vertical="center"/>
    </xf>
    <xf numFmtId="170" fontId="21" fillId="7" borderId="12" xfId="0" applyNumberFormat="1" applyFont="1" applyFill="1" applyBorder="1" applyAlignment="1">
      <alignment horizontal="center" vertical="center"/>
    </xf>
    <xf numFmtId="164" fontId="20" fillId="8" borderId="121" xfId="0" quotePrefix="1" applyNumberFormat="1" applyFont="1" applyFill="1" applyBorder="1" applyAlignment="1">
      <alignment horizontal="left" vertical="center"/>
    </xf>
    <xf numFmtId="0" fontId="20" fillId="0" borderId="123" xfId="0" applyFont="1" applyBorder="1" applyAlignment="1">
      <alignment horizontal="left" vertical="center"/>
    </xf>
    <xf numFmtId="1" fontId="20" fillId="7" borderId="143" xfId="0" applyNumberFormat="1" applyFont="1" applyFill="1" applyBorder="1" applyAlignment="1">
      <alignment vertical="center"/>
    </xf>
    <xf numFmtId="1" fontId="20" fillId="5" borderId="144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69" fontId="3" fillId="0" borderId="77" xfId="0" applyNumberFormat="1" applyFont="1" applyBorder="1"/>
    <xf numFmtId="1" fontId="139" fillId="5" borderId="185" xfId="376" applyNumberFormat="1" applyFont="1" applyFill="1" applyBorder="1" applyAlignment="1">
      <alignment horizontal="center" vertical="center"/>
    </xf>
    <xf numFmtId="0" fontId="20" fillId="0" borderId="185" xfId="0" applyFont="1" applyBorder="1" applyAlignment="1">
      <alignment horizontal="left" vertical="center"/>
    </xf>
    <xf numFmtId="1" fontId="20" fillId="0" borderId="185" xfId="0" applyNumberFormat="1" applyFont="1" applyBorder="1" applyAlignment="1">
      <alignment vertical="center"/>
    </xf>
    <xf numFmtId="1" fontId="20" fillId="7" borderId="185" xfId="0" applyNumberFormat="1" applyFont="1" applyFill="1" applyBorder="1" applyAlignment="1">
      <alignment vertical="center"/>
    </xf>
    <xf numFmtId="1" fontId="20" fillId="5" borderId="185" xfId="0" applyNumberFormat="1" applyFont="1" applyFill="1" applyBorder="1" applyAlignment="1">
      <alignment vertical="center"/>
    </xf>
    <xf numFmtId="0" fontId="20" fillId="0" borderId="154" xfId="0" applyFont="1" applyBorder="1" applyAlignment="1">
      <alignment horizontal="left" vertical="center"/>
    </xf>
    <xf numFmtId="1" fontId="45" fillId="5" borderId="185" xfId="0" applyNumberFormat="1" applyFont="1" applyFill="1" applyBorder="1" applyAlignment="1">
      <alignment vertical="center"/>
    </xf>
    <xf numFmtId="1" fontId="45" fillId="5" borderId="185" xfId="0" applyNumberFormat="1" applyFont="1" applyFill="1" applyBorder="1" applyAlignment="1">
      <alignment horizontal="center" vertical="center"/>
    </xf>
    <xf numFmtId="1" fontId="20" fillId="5" borderId="146" xfId="0" applyNumberFormat="1" applyFont="1" applyFill="1" applyBorder="1" applyAlignment="1">
      <alignment horizontal="center" vertical="center"/>
    </xf>
    <xf numFmtId="1" fontId="45" fillId="8" borderId="185" xfId="0" applyNumberFormat="1" applyFont="1" applyFill="1" applyBorder="1" applyAlignment="1">
      <alignment vertical="center"/>
    </xf>
    <xf numFmtId="1" fontId="20" fillId="8" borderId="185" xfId="0" applyNumberFormat="1" applyFont="1" applyFill="1" applyBorder="1" applyAlignment="1">
      <alignment horizontal="center" vertical="center"/>
    </xf>
    <xf numFmtId="1" fontId="45" fillId="5" borderId="41" xfId="0" applyNumberFormat="1" applyFont="1" applyFill="1" applyBorder="1" applyAlignment="1">
      <alignment vertical="center"/>
    </xf>
    <xf numFmtId="0" fontId="20" fillId="8" borderId="155" xfId="0" applyFont="1" applyFill="1" applyBorder="1" applyAlignment="1">
      <alignment horizontal="left" vertical="center"/>
    </xf>
    <xf numFmtId="1" fontId="45" fillId="8" borderId="155" xfId="0" applyNumberFormat="1" applyFont="1" applyFill="1" applyBorder="1" applyAlignment="1">
      <alignment vertical="center"/>
    </xf>
    <xf numFmtId="1" fontId="45" fillId="7" borderId="155" xfId="0" applyNumberFormat="1" applyFont="1" applyFill="1" applyBorder="1" applyAlignment="1">
      <alignment vertical="center"/>
    </xf>
    <xf numFmtId="1" fontId="45" fillId="5" borderId="155" xfId="0" applyNumberFormat="1" applyFont="1" applyFill="1" applyBorder="1" applyAlignment="1">
      <alignment vertical="center"/>
    </xf>
    <xf numFmtId="1" fontId="21" fillId="45" borderId="136" xfId="0" applyNumberFormat="1" applyFont="1" applyFill="1" applyBorder="1" applyAlignment="1">
      <alignment horizontal="center" vertical="center"/>
    </xf>
    <xf numFmtId="1" fontId="4" fillId="45" borderId="136" xfId="0" applyNumberFormat="1" applyFont="1" applyFill="1" applyBorder="1" applyAlignment="1">
      <alignment horizontal="center" vertical="center"/>
    </xf>
    <xf numFmtId="2" fontId="20" fillId="7" borderId="42" xfId="0" applyNumberFormat="1" applyFont="1" applyFill="1" applyBorder="1" applyAlignment="1">
      <alignment horizontal="center" vertical="center"/>
    </xf>
    <xf numFmtId="2" fontId="19" fillId="0" borderId="0" xfId="186" applyNumberFormat="1" applyFont="1"/>
    <xf numFmtId="1" fontId="79" fillId="0" borderId="139" xfId="186" applyNumberFormat="1" applyFont="1" applyBorder="1" applyAlignment="1">
      <alignment horizontal="center" vertical="center"/>
    </xf>
    <xf numFmtId="1" fontId="79" fillId="7" borderId="139" xfId="186" applyNumberFormat="1" applyFont="1" applyFill="1" applyBorder="1" applyAlignment="1">
      <alignment horizontal="center" vertical="center"/>
    </xf>
    <xf numFmtId="1" fontId="79" fillId="8" borderId="139" xfId="186" applyNumberFormat="1" applyFont="1" applyFill="1" applyBorder="1" applyAlignment="1">
      <alignment horizontal="center" vertical="center"/>
    </xf>
    <xf numFmtId="1" fontId="78" fillId="7" borderId="139" xfId="186" applyNumberFormat="1" applyFont="1" applyFill="1" applyBorder="1" applyAlignment="1">
      <alignment horizontal="center" vertical="center"/>
    </xf>
    <xf numFmtId="1" fontId="78" fillId="5" borderId="136" xfId="186" applyNumberFormat="1" applyFont="1" applyFill="1" applyBorder="1" applyAlignment="1">
      <alignment horizontal="center" vertical="center"/>
    </xf>
    <xf numFmtId="1" fontId="78" fillId="6" borderId="185" xfId="186" applyNumberFormat="1" applyFont="1" applyFill="1" applyBorder="1" applyAlignment="1">
      <alignment horizontal="center" vertical="center"/>
    </xf>
    <xf numFmtId="1" fontId="78" fillId="6" borderId="139" xfId="186" applyNumberFormat="1" applyFont="1" applyFill="1" applyBorder="1" applyAlignment="1">
      <alignment horizontal="center" vertical="center"/>
    </xf>
    <xf numFmtId="1" fontId="78" fillId="7" borderId="185" xfId="186" applyNumberFormat="1" applyFont="1" applyFill="1" applyBorder="1" applyAlignment="1">
      <alignment horizontal="center" vertical="center"/>
    </xf>
    <xf numFmtId="0" fontId="187" fillId="0" borderId="185" xfId="0" applyFont="1" applyBorder="1"/>
    <xf numFmtId="1" fontId="187" fillId="8" borderId="185" xfId="0" applyNumberFormat="1" applyFont="1" applyFill="1" applyBorder="1" applyAlignment="1">
      <alignment horizontal="center"/>
    </xf>
    <xf numFmtId="0" fontId="187" fillId="0" borderId="185" xfId="0" applyFont="1" applyBorder="1" applyAlignment="1">
      <alignment horizontal="center"/>
    </xf>
    <xf numFmtId="0" fontId="187" fillId="7" borderId="185" xfId="0" applyFont="1" applyFill="1" applyBorder="1" applyAlignment="1">
      <alignment horizontal="center"/>
    </xf>
    <xf numFmtId="1" fontId="187" fillId="7" borderId="185" xfId="0" applyNumberFormat="1" applyFont="1" applyFill="1" applyBorder="1" applyAlignment="1">
      <alignment horizontal="center"/>
    </xf>
    <xf numFmtId="0" fontId="187" fillId="5" borderId="185" xfId="0" applyFont="1" applyFill="1" applyBorder="1" applyAlignment="1">
      <alignment horizontal="center"/>
    </xf>
    <xf numFmtId="1" fontId="187" fillId="5" borderId="185" xfId="0" applyNumberFormat="1" applyFont="1" applyFill="1" applyBorder="1" applyAlignment="1">
      <alignment horizontal="center"/>
    </xf>
    <xf numFmtId="1" fontId="187" fillId="6" borderId="185" xfId="0" applyNumberFormat="1" applyFont="1" applyFill="1" applyBorder="1" applyAlignment="1">
      <alignment horizontal="center"/>
    </xf>
    <xf numFmtId="0" fontId="78" fillId="8" borderId="161" xfId="186" applyFont="1" applyFill="1" applyBorder="1" applyAlignment="1">
      <alignment horizontal="left" vertical="center"/>
    </xf>
    <xf numFmtId="0" fontId="78" fillId="4" borderId="0" xfId="186" applyFont="1" applyFill="1" applyAlignment="1">
      <alignment horizontal="left" vertical="center"/>
    </xf>
    <xf numFmtId="1" fontId="79" fillId="4" borderId="38" xfId="186" applyNumberFormat="1" applyFont="1" applyFill="1" applyBorder="1" applyAlignment="1">
      <alignment horizontal="center" vertical="center"/>
    </xf>
    <xf numFmtId="1" fontId="79" fillId="4" borderId="0" xfId="186" applyNumberFormat="1" applyFont="1" applyFill="1" applyAlignment="1">
      <alignment horizontal="center" vertical="center"/>
    </xf>
    <xf numFmtId="1" fontId="78" fillId="4" borderId="38" xfId="186" applyNumberFormat="1" applyFont="1" applyFill="1" applyBorder="1" applyAlignment="1">
      <alignment horizontal="center" vertical="center"/>
    </xf>
    <xf numFmtId="1" fontId="78" fillId="4" borderId="0" xfId="186" applyNumberFormat="1" applyFont="1" applyFill="1" applyAlignment="1">
      <alignment horizontal="center" vertical="center"/>
    </xf>
    <xf numFmtId="2" fontId="20" fillId="0" borderId="165" xfId="0" applyNumberFormat="1" applyFont="1" applyBorder="1" applyAlignment="1">
      <alignment horizontal="center" vertical="center"/>
    </xf>
    <xf numFmtId="2" fontId="20" fillId="0" borderId="128" xfId="0" applyNumberFormat="1" applyFont="1" applyBorder="1" applyAlignment="1">
      <alignment horizontal="center" vertical="center"/>
    </xf>
    <xf numFmtId="167" fontId="24" fillId="0" borderId="31" xfId="0" applyNumberFormat="1" applyFont="1" applyBorder="1" applyAlignment="1">
      <alignment horizontal="center" vertical="center"/>
    </xf>
    <xf numFmtId="167" fontId="24" fillId="0" borderId="17" xfId="0" applyNumberFormat="1" applyFont="1" applyBorder="1" applyAlignment="1">
      <alignment horizontal="center" vertical="center"/>
    </xf>
    <xf numFmtId="0" fontId="18" fillId="4" borderId="52" xfId="186" applyFont="1" applyFill="1" applyBorder="1" applyAlignment="1">
      <alignment horizontal="left" vertical="center"/>
    </xf>
    <xf numFmtId="0" fontId="20" fillId="0" borderId="151" xfId="0" applyFont="1" applyBorder="1" applyAlignment="1">
      <alignment horizontal="left" vertical="center" indent="1"/>
    </xf>
    <xf numFmtId="0" fontId="20" fillId="0" borderId="185" xfId="0" applyFont="1" applyBorder="1" applyAlignment="1">
      <alignment horizontal="center" vertical="center"/>
    </xf>
    <xf numFmtId="1" fontId="19" fillId="0" borderId="185" xfId="0" applyNumberFormat="1" applyFont="1" applyBorder="1" applyAlignment="1">
      <alignment horizontal="center" vertical="center"/>
    </xf>
    <xf numFmtId="1" fontId="19" fillId="50" borderId="185" xfId="0" applyNumberFormat="1" applyFont="1" applyFill="1" applyBorder="1" applyAlignment="1">
      <alignment horizontal="center" vertical="center"/>
    </xf>
    <xf numFmtId="1" fontId="19" fillId="50" borderId="154" xfId="0" applyNumberFormat="1" applyFont="1" applyFill="1" applyBorder="1" applyAlignment="1">
      <alignment horizontal="center" vertical="center"/>
    </xf>
    <xf numFmtId="1" fontId="19" fillId="0" borderId="139" xfId="0" applyNumberFormat="1" applyFont="1" applyBorder="1" applyAlignment="1">
      <alignment horizontal="center" vertical="center"/>
    </xf>
    <xf numFmtId="1" fontId="112" fillId="5" borderId="185" xfId="0" applyNumberFormat="1" applyFont="1" applyFill="1" applyBorder="1" applyAlignment="1">
      <alignment horizontal="center" vertical="center"/>
    </xf>
    <xf numFmtId="1" fontId="20" fillId="50" borderId="185" xfId="0" applyNumberFormat="1" applyFont="1" applyFill="1" applyBorder="1" applyAlignment="1">
      <alignment horizontal="center" vertical="center"/>
    </xf>
    <xf numFmtId="1" fontId="18" fillId="6" borderId="185" xfId="0" applyNumberFormat="1" applyFont="1" applyFill="1" applyBorder="1" applyAlignment="1">
      <alignment horizontal="center" vertical="center"/>
    </xf>
    <xf numFmtId="1" fontId="19" fillId="7" borderId="185" xfId="0" applyNumberFormat="1" applyFont="1" applyFill="1" applyBorder="1" applyAlignment="1">
      <alignment horizontal="center" vertical="center"/>
    </xf>
    <xf numFmtId="1" fontId="18" fillId="7" borderId="185" xfId="0" applyNumberFormat="1" applyFont="1" applyFill="1" applyBorder="1" applyAlignment="1">
      <alignment horizontal="center" vertical="center"/>
    </xf>
    <xf numFmtId="167" fontId="18" fillId="6" borderId="185" xfId="0" applyNumberFormat="1" applyFont="1" applyFill="1" applyBorder="1" applyAlignment="1">
      <alignment horizontal="center" vertical="center"/>
    </xf>
    <xf numFmtId="1" fontId="18" fillId="48" borderId="185" xfId="0" applyNumberFormat="1" applyFont="1" applyFill="1" applyBorder="1" applyAlignment="1">
      <alignment horizontal="center" vertical="center"/>
    </xf>
    <xf numFmtId="1" fontId="18" fillId="50" borderId="185" xfId="0" applyNumberFormat="1" applyFont="1" applyFill="1" applyBorder="1" applyAlignment="1">
      <alignment horizontal="center" vertical="center"/>
    </xf>
    <xf numFmtId="1" fontId="18" fillId="0" borderId="185" xfId="0" applyNumberFormat="1" applyFont="1" applyBorder="1" applyAlignment="1">
      <alignment horizontal="center" vertical="center"/>
    </xf>
    <xf numFmtId="1" fontId="113" fillId="5" borderId="185" xfId="0" applyNumberFormat="1" applyFont="1" applyFill="1" applyBorder="1" applyAlignment="1">
      <alignment horizontal="center" vertical="center"/>
    </xf>
    <xf numFmtId="0" fontId="113" fillId="0" borderId="185" xfId="0" applyFont="1" applyBorder="1" applyAlignment="1">
      <alignment horizontal="left" vertical="center" wrapText="1"/>
    </xf>
    <xf numFmtId="0" fontId="18" fillId="0" borderId="136" xfId="0" applyFont="1" applyBorder="1" applyAlignment="1">
      <alignment horizontal="center" vertical="center"/>
    </xf>
    <xf numFmtId="1" fontId="19" fillId="8" borderId="185" xfId="0" applyNumberFormat="1" applyFont="1" applyFill="1" applyBorder="1" applyAlignment="1">
      <alignment horizontal="center" vertical="center"/>
    </xf>
    <xf numFmtId="1" fontId="19" fillId="5" borderId="185" xfId="0" applyNumberFormat="1" applyFont="1" applyFill="1" applyBorder="1" applyAlignment="1">
      <alignment horizontal="center" vertical="center"/>
    </xf>
    <xf numFmtId="1" fontId="19" fillId="6" borderId="185" xfId="0" applyNumberFormat="1" applyFont="1" applyFill="1" applyBorder="1" applyAlignment="1">
      <alignment horizontal="center" vertical="center"/>
    </xf>
    <xf numFmtId="1" fontId="19" fillId="7" borderId="154" xfId="0" applyNumberFormat="1" applyFont="1" applyFill="1" applyBorder="1" applyAlignment="1">
      <alignment horizontal="center" vertical="center"/>
    </xf>
    <xf numFmtId="1" fontId="0" fillId="7" borderId="185" xfId="0" applyNumberFormat="1" applyFill="1" applyBorder="1" applyAlignment="1">
      <alignment horizontal="center" vertical="center"/>
    </xf>
    <xf numFmtId="0" fontId="20" fillId="8" borderId="185" xfId="0" applyFont="1" applyFill="1" applyBorder="1" applyAlignment="1">
      <alignment horizontal="center" vertical="center"/>
    </xf>
    <xf numFmtId="1" fontId="18" fillId="8" borderId="185" xfId="0" applyNumberFormat="1" applyFont="1" applyFill="1" applyBorder="1" applyAlignment="1">
      <alignment horizontal="center" vertical="center"/>
    </xf>
    <xf numFmtId="0" fontId="185" fillId="80" borderId="126" xfId="0" applyFont="1" applyFill="1" applyBorder="1" applyAlignment="1">
      <alignment horizontal="center"/>
    </xf>
    <xf numFmtId="2" fontId="185" fillId="81" borderId="126" xfId="0" applyNumberFormat="1" applyFont="1" applyFill="1" applyBorder="1" applyAlignment="1">
      <alignment horizontal="center"/>
    </xf>
    <xf numFmtId="2" fontId="185" fillId="80" borderId="126" xfId="0" applyNumberFormat="1" applyFont="1" applyFill="1" applyBorder="1" applyAlignment="1">
      <alignment horizontal="center"/>
    </xf>
    <xf numFmtId="0" fontId="185" fillId="8" borderId="126" xfId="0" applyFont="1" applyFill="1" applyBorder="1" applyAlignment="1">
      <alignment horizontal="center"/>
    </xf>
    <xf numFmtId="167" fontId="185" fillId="81" borderId="126" xfId="0" applyNumberFormat="1" applyFont="1" applyFill="1" applyBorder="1" applyAlignment="1">
      <alignment horizontal="center"/>
    </xf>
    <xf numFmtId="1" fontId="185" fillId="8" borderId="126" xfId="0" applyNumberFormat="1" applyFont="1" applyFill="1" applyBorder="1" applyAlignment="1">
      <alignment horizontal="center"/>
    </xf>
    <xf numFmtId="167" fontId="185" fillId="80" borderId="126" xfId="0" applyNumberFormat="1" applyFont="1" applyFill="1" applyBorder="1" applyAlignment="1">
      <alignment horizontal="center"/>
    </xf>
    <xf numFmtId="167" fontId="185" fillId="8" borderId="126" xfId="0" applyNumberFormat="1" applyFont="1" applyFill="1" applyBorder="1" applyAlignment="1">
      <alignment horizontal="center"/>
    </xf>
    <xf numFmtId="0" fontId="36" fillId="0" borderId="185" xfId="0" applyFont="1" applyBorder="1"/>
    <xf numFmtId="1" fontId="36" fillId="0" borderId="185" xfId="0" applyNumberFormat="1" applyFont="1" applyBorder="1" applyAlignment="1">
      <alignment horizontal="center"/>
    </xf>
    <xf numFmtId="0" fontId="36" fillId="0" borderId="185" xfId="0" applyFont="1" applyBorder="1" applyAlignment="1">
      <alignment horizontal="center"/>
    </xf>
    <xf numFmtId="0" fontId="36" fillId="7" borderId="185" xfId="0" applyFont="1" applyFill="1" applyBorder="1" applyAlignment="1">
      <alignment horizontal="center"/>
    </xf>
    <xf numFmtId="1" fontId="36" fillId="7" borderId="185" xfId="0" applyNumberFormat="1" applyFont="1" applyFill="1" applyBorder="1" applyAlignment="1">
      <alignment horizontal="center"/>
    </xf>
    <xf numFmtId="0" fontId="36" fillId="5" borderId="185" xfId="0" applyFont="1" applyFill="1" applyBorder="1" applyAlignment="1">
      <alignment horizontal="center"/>
    </xf>
    <xf numFmtId="1" fontId="36" fillId="5" borderId="185" xfId="0" applyNumberFormat="1" applyFont="1" applyFill="1" applyBorder="1" applyAlignment="1">
      <alignment horizontal="center"/>
    </xf>
    <xf numFmtId="1" fontId="36" fillId="5" borderId="136" xfId="0" applyNumberFormat="1" applyFont="1" applyFill="1" applyBorder="1" applyAlignment="1">
      <alignment horizontal="center"/>
    </xf>
    <xf numFmtId="0" fontId="0" fillId="6" borderId="185" xfId="0" applyFill="1" applyBorder="1" applyAlignment="1">
      <alignment horizontal="center" vertical="center"/>
    </xf>
    <xf numFmtId="1" fontId="11" fillId="6" borderId="185" xfId="0" applyNumberFormat="1" applyFont="1" applyFill="1" applyBorder="1" applyAlignment="1">
      <alignment horizontal="center" vertical="center"/>
    </xf>
    <xf numFmtId="1" fontId="23" fillId="43" borderId="185" xfId="0" applyNumberFormat="1" applyFont="1" applyFill="1" applyBorder="1" applyAlignment="1">
      <alignment horizontal="center"/>
    </xf>
    <xf numFmtId="0" fontId="23" fillId="43" borderId="185" xfId="0" applyFont="1" applyFill="1" applyBorder="1" applyAlignment="1">
      <alignment horizontal="center"/>
    </xf>
    <xf numFmtId="2" fontId="47" fillId="0" borderId="0" xfId="0" applyNumberFormat="1" applyFont="1"/>
    <xf numFmtId="167" fontId="4" fillId="0" borderId="17" xfId="0" applyNumberFormat="1" applyFont="1" applyBorder="1" applyAlignment="1">
      <alignment horizontal="center" vertical="center"/>
    </xf>
    <xf numFmtId="1" fontId="12" fillId="0" borderId="46" xfId="0" applyNumberFormat="1" applyFont="1" applyBorder="1" applyAlignment="1">
      <alignment horizontal="center" vertical="center"/>
    </xf>
    <xf numFmtId="1" fontId="20" fillId="45" borderId="136" xfId="0" applyNumberFormat="1" applyFont="1" applyFill="1" applyBorder="1" applyAlignment="1">
      <alignment horizontal="center" vertical="center"/>
    </xf>
    <xf numFmtId="0" fontId="18" fillId="8" borderId="146" xfId="0" applyFont="1" applyFill="1" applyBorder="1" applyAlignment="1">
      <alignment vertical="center"/>
    </xf>
    <xf numFmtId="1" fontId="19" fillId="5" borderId="146" xfId="0" applyNumberFormat="1" applyFont="1" applyFill="1" applyBorder="1" applyAlignment="1">
      <alignment horizontal="center" vertical="center"/>
    </xf>
    <xf numFmtId="1" fontId="19" fillId="6" borderId="146" xfId="0" applyNumberFormat="1" applyFont="1" applyFill="1" applyBorder="1" applyAlignment="1">
      <alignment horizontal="center" vertical="center"/>
    </xf>
    <xf numFmtId="1" fontId="19" fillId="5" borderId="46" xfId="0" applyNumberFormat="1" applyFont="1" applyFill="1" applyBorder="1" applyAlignment="1">
      <alignment horizontal="center" vertical="center"/>
    </xf>
    <xf numFmtId="1" fontId="19" fillId="6" borderId="46" xfId="0" applyNumberFormat="1" applyFont="1" applyFill="1" applyBorder="1" applyAlignment="1">
      <alignment horizontal="center" vertical="center"/>
    </xf>
    <xf numFmtId="1" fontId="20" fillId="7" borderId="84" xfId="0" applyNumberFormat="1" applyFont="1" applyFill="1" applyBorder="1" applyAlignment="1">
      <alignment horizontal="center" vertical="center"/>
    </xf>
    <xf numFmtId="1" fontId="20" fillId="5" borderId="80" xfId="0" applyNumberFormat="1" applyFont="1" applyFill="1" applyBorder="1" applyAlignment="1">
      <alignment horizontal="center" vertical="center"/>
    </xf>
    <xf numFmtId="1" fontId="20" fillId="7" borderId="80" xfId="0" applyNumberFormat="1" applyFont="1" applyFill="1" applyBorder="1" applyAlignment="1">
      <alignment horizontal="center" vertical="center"/>
    </xf>
    <xf numFmtId="1" fontId="19" fillId="5" borderId="80" xfId="0" applyNumberFormat="1" applyFont="1" applyFill="1" applyBorder="1" applyAlignment="1">
      <alignment horizontal="center" vertical="center"/>
    </xf>
    <xf numFmtId="1" fontId="19" fillId="6" borderId="80" xfId="0" applyNumberFormat="1" applyFont="1" applyFill="1" applyBorder="1" applyAlignment="1">
      <alignment horizontal="center" vertical="center"/>
    </xf>
    <xf numFmtId="0" fontId="18" fillId="8" borderId="185" xfId="0" applyFont="1" applyFill="1" applyBorder="1" applyAlignment="1">
      <alignment vertical="center"/>
    </xf>
    <xf numFmtId="1" fontId="20" fillId="6" borderId="185" xfId="0" applyNumberFormat="1" applyFont="1" applyFill="1" applyBorder="1" applyAlignment="1">
      <alignment vertical="center"/>
    </xf>
    <xf numFmtId="1" fontId="20" fillId="6" borderId="185" xfId="0" applyNumberFormat="1" applyFont="1" applyFill="1" applyBorder="1" applyAlignment="1">
      <alignment horizontal="center" vertical="center"/>
    </xf>
    <xf numFmtId="1" fontId="4" fillId="8" borderId="146" xfId="0" applyNumberFormat="1" applyFont="1" applyFill="1" applyBorder="1" applyAlignment="1">
      <alignment horizontal="center" vertical="center"/>
    </xf>
    <xf numFmtId="1" fontId="4" fillId="50" borderId="146" xfId="0" applyNumberFormat="1" applyFont="1" applyFill="1" applyBorder="1" applyAlignment="1">
      <alignment horizontal="center" vertical="center"/>
    </xf>
    <xf numFmtId="1" fontId="18" fillId="5" borderId="185" xfId="0" applyNumberFormat="1" applyFont="1" applyFill="1" applyBorder="1" applyAlignment="1">
      <alignment horizontal="center" vertical="center"/>
    </xf>
    <xf numFmtId="1" fontId="18" fillId="6" borderId="154" xfId="0" applyNumberFormat="1" applyFont="1" applyFill="1" applyBorder="1" applyAlignment="1">
      <alignment horizontal="center" vertical="center"/>
    </xf>
    <xf numFmtId="0" fontId="20" fillId="8" borderId="151" xfId="0" applyFont="1" applyFill="1" applyBorder="1" applyAlignment="1">
      <alignment horizontal="right" vertical="center" indent="1"/>
    </xf>
    <xf numFmtId="0" fontId="29" fillId="0" borderId="185" xfId="0" applyFont="1" applyBorder="1" applyAlignment="1">
      <alignment vertical="center"/>
    </xf>
    <xf numFmtId="0" fontId="29" fillId="7" borderId="185" xfId="0" applyFont="1" applyFill="1" applyBorder="1" applyAlignment="1">
      <alignment vertical="center"/>
    </xf>
    <xf numFmtId="0" fontId="29" fillId="5" borderId="185" xfId="0" applyFont="1" applyFill="1" applyBorder="1" applyAlignment="1">
      <alignment vertical="center"/>
    </xf>
    <xf numFmtId="1" fontId="21" fillId="6" borderId="185" xfId="0" applyNumberFormat="1" applyFont="1" applyFill="1" applyBorder="1" applyAlignment="1">
      <alignment horizontal="center" vertical="center"/>
    </xf>
    <xf numFmtId="1" fontId="21" fillId="7" borderId="185" xfId="0" applyNumberFormat="1" applyFont="1" applyFill="1" applyBorder="1" applyAlignment="1">
      <alignment horizontal="center" vertical="center"/>
    </xf>
    <xf numFmtId="1" fontId="0" fillId="50" borderId="185" xfId="0" applyNumberFormat="1" applyFill="1" applyBorder="1" applyAlignment="1">
      <alignment horizontal="center" vertical="center"/>
    </xf>
    <xf numFmtId="1" fontId="19" fillId="8" borderId="139" xfId="186" applyNumberFormat="1" applyFont="1" applyFill="1" applyBorder="1" applyAlignment="1">
      <alignment horizontal="center" vertical="top"/>
    </xf>
    <xf numFmtId="1" fontId="19" fillId="8" borderId="185" xfId="186" applyNumberFormat="1" applyFont="1" applyFill="1" applyBorder="1" applyAlignment="1">
      <alignment horizontal="center" vertical="top"/>
    </xf>
    <xf numFmtId="1" fontId="19" fillId="5" borderId="185" xfId="186" applyNumberFormat="1" applyFont="1" applyFill="1" applyBorder="1" applyAlignment="1">
      <alignment horizontal="center" vertical="top"/>
    </xf>
    <xf numFmtId="1" fontId="19" fillId="7" borderId="185" xfId="186" applyNumberFormat="1" applyFont="1" applyFill="1" applyBorder="1" applyAlignment="1">
      <alignment horizontal="center" vertical="top"/>
    </xf>
    <xf numFmtId="1" fontId="19" fillId="54" borderId="185" xfId="186" applyNumberFormat="1" applyFont="1" applyFill="1" applyBorder="1" applyAlignment="1">
      <alignment horizontal="center" vertical="top"/>
    </xf>
    <xf numFmtId="169" fontId="7" fillId="8" borderId="31" xfId="0" applyNumberFormat="1" applyFont="1" applyFill="1" applyBorder="1" applyAlignment="1">
      <alignment horizontal="center" vertical="center"/>
    </xf>
    <xf numFmtId="167" fontId="18" fillId="8" borderId="30" xfId="0" applyNumberFormat="1" applyFont="1" applyFill="1" applyBorder="1" applyAlignment="1">
      <alignment horizontal="center" vertical="center"/>
    </xf>
    <xf numFmtId="1" fontId="4" fillId="50" borderId="154" xfId="0" applyNumberFormat="1" applyFont="1" applyFill="1" applyBorder="1" applyAlignment="1">
      <alignment horizontal="center" vertical="center"/>
    </xf>
    <xf numFmtId="1" fontId="4" fillId="8" borderId="139" xfId="0" applyNumberFormat="1" applyFont="1" applyFill="1" applyBorder="1" applyAlignment="1">
      <alignment horizontal="center" vertical="center"/>
    </xf>
    <xf numFmtId="1" fontId="4" fillId="8" borderId="185" xfId="0" applyNumberFormat="1" applyFont="1" applyFill="1" applyBorder="1" applyAlignment="1">
      <alignment horizontal="center" vertical="center"/>
    </xf>
    <xf numFmtId="169" fontId="21" fillId="7" borderId="10" xfId="0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center" vertical="center"/>
    </xf>
    <xf numFmtId="167" fontId="20" fillId="0" borderId="29" xfId="0" applyNumberFormat="1" applyFont="1" applyBorder="1" applyAlignment="1">
      <alignment horizontal="center" vertical="center"/>
    </xf>
    <xf numFmtId="167" fontId="20" fillId="0" borderId="59" xfId="0" applyNumberFormat="1" applyFont="1" applyBorder="1" applyAlignment="1">
      <alignment horizontal="center" vertical="center"/>
    </xf>
    <xf numFmtId="2" fontId="20" fillId="0" borderId="138" xfId="0" applyNumberFormat="1" applyFont="1" applyBorder="1" applyAlignment="1">
      <alignment horizontal="center" vertical="center"/>
    </xf>
    <xf numFmtId="0" fontId="80" fillId="0" borderId="185" xfId="0" applyFont="1" applyBorder="1" applyAlignment="1">
      <alignment horizontal="left" vertical="center"/>
    </xf>
    <xf numFmtId="1" fontId="113" fillId="32" borderId="23" xfId="0" applyNumberFormat="1" applyFont="1" applyFill="1" applyBorder="1" applyAlignment="1">
      <alignment horizontal="center" vertical="center"/>
    </xf>
    <xf numFmtId="1" fontId="45" fillId="0" borderId="31" xfId="0" applyNumberFormat="1" applyFont="1" applyBorder="1" applyAlignment="1">
      <alignment horizontal="center" vertical="center"/>
    </xf>
    <xf numFmtId="1" fontId="45" fillId="0" borderId="151" xfId="0" applyNumberFormat="1" applyFont="1" applyBorder="1" applyAlignment="1">
      <alignment horizontal="center" vertical="center"/>
    </xf>
    <xf numFmtId="1" fontId="113" fillId="32" borderId="120" xfId="0" applyNumberFormat="1" applyFont="1" applyFill="1" applyBorder="1" applyAlignment="1">
      <alignment horizontal="center" vertical="center"/>
    </xf>
    <xf numFmtId="1" fontId="48" fillId="0" borderId="118" xfId="0" applyNumberFormat="1" applyFont="1" applyBorder="1" applyAlignment="1">
      <alignment horizontal="center" vertical="center"/>
    </xf>
    <xf numFmtId="1" fontId="48" fillId="32" borderId="118" xfId="0" applyNumberFormat="1" applyFont="1" applyFill="1" applyBorder="1" applyAlignment="1">
      <alignment horizontal="center" vertical="center"/>
    </xf>
    <xf numFmtId="0" fontId="7" fillId="8" borderId="139" xfId="0" applyFont="1" applyFill="1" applyBorder="1" applyAlignment="1">
      <alignment horizontal="right" vertical="center"/>
    </xf>
    <xf numFmtId="0" fontId="4" fillId="8" borderId="185" xfId="0" applyFont="1" applyFill="1" applyBorder="1" applyAlignment="1">
      <alignment horizontal="center" vertical="center"/>
    </xf>
    <xf numFmtId="1" fontId="45" fillId="8" borderId="185" xfId="0" applyNumberFormat="1" applyFont="1" applyFill="1" applyBorder="1" applyAlignment="1">
      <alignment horizontal="center" vertical="center"/>
    </xf>
    <xf numFmtId="1" fontId="19" fillId="8" borderId="128" xfId="0" applyNumberFormat="1" applyFont="1" applyFill="1" applyBorder="1" applyAlignment="1">
      <alignment horizontal="center" vertical="center"/>
    </xf>
    <xf numFmtId="1" fontId="18" fillId="50" borderId="154" xfId="0" applyNumberFormat="1" applyFont="1" applyFill="1" applyBorder="1" applyAlignment="1">
      <alignment horizontal="center" vertical="center"/>
    </xf>
    <xf numFmtId="1" fontId="18" fillId="8" borderId="139" xfId="0" applyNumberFormat="1" applyFont="1" applyFill="1" applyBorder="1" applyAlignment="1">
      <alignment horizontal="center" vertical="center"/>
    </xf>
    <xf numFmtId="1" fontId="0" fillId="0" borderId="185" xfId="0" applyNumberFormat="1" applyBorder="1" applyAlignment="1">
      <alignment horizontal="center" vertical="center"/>
    </xf>
    <xf numFmtId="0" fontId="20" fillId="0" borderId="151" xfId="0" applyFont="1" applyBorder="1" applyAlignment="1">
      <alignment horizontal="left" vertical="center" indent="2"/>
    </xf>
    <xf numFmtId="1" fontId="0" fillId="50" borderId="154" xfId="0" applyNumberFormat="1" applyFill="1" applyBorder="1" applyAlignment="1">
      <alignment horizontal="center" vertical="center"/>
    </xf>
    <xf numFmtId="1" fontId="0" fillId="0" borderId="139" xfId="0" applyNumberFormat="1" applyBorder="1" applyAlignment="1">
      <alignment horizontal="center" vertical="center"/>
    </xf>
    <xf numFmtId="0" fontId="12" fillId="0" borderId="186" xfId="0" applyFont="1" applyBorder="1" applyAlignment="1">
      <alignment horizontal="right" vertical="center"/>
    </xf>
    <xf numFmtId="1" fontId="20" fillId="0" borderId="186" xfId="0" applyNumberFormat="1" applyFont="1" applyBorder="1" applyAlignment="1">
      <alignment horizontal="center" vertical="center"/>
    </xf>
    <xf numFmtId="1" fontId="12" fillId="0" borderId="186" xfId="0" applyNumberFormat="1" applyFont="1" applyBorder="1" applyAlignment="1">
      <alignment horizontal="center" vertical="center"/>
    </xf>
    <xf numFmtId="1" fontId="12" fillId="7" borderId="186" xfId="0" applyNumberFormat="1" applyFont="1" applyFill="1" applyBorder="1" applyAlignment="1">
      <alignment horizontal="center" vertical="center"/>
    </xf>
    <xf numFmtId="1" fontId="12" fillId="5" borderId="186" xfId="0" applyNumberFormat="1" applyFont="1" applyFill="1" applyBorder="1" applyAlignment="1">
      <alignment horizontal="center" vertical="center"/>
    </xf>
    <xf numFmtId="1" fontId="12" fillId="6" borderId="186" xfId="0" applyNumberFormat="1" applyFont="1" applyFill="1" applyBorder="1" applyAlignment="1">
      <alignment horizontal="center" vertical="center"/>
    </xf>
    <xf numFmtId="1" fontId="20" fillId="8" borderId="186" xfId="0" applyNumberFormat="1" applyFont="1" applyFill="1" applyBorder="1" applyAlignment="1">
      <alignment horizontal="center" vertical="center"/>
    </xf>
    <xf numFmtId="0" fontId="20" fillId="0" borderId="186" xfId="0" applyFont="1" applyBorder="1" applyAlignment="1">
      <alignment horizontal="left" vertical="center"/>
    </xf>
    <xf numFmtId="1" fontId="20" fillId="7" borderId="186" xfId="0" applyNumberFormat="1" applyFont="1" applyFill="1" applyBorder="1" applyAlignment="1">
      <alignment horizontal="center" vertical="center"/>
    </xf>
    <xf numFmtId="1" fontId="20" fillId="5" borderId="186" xfId="0" applyNumberFormat="1" applyFont="1" applyFill="1" applyBorder="1" applyAlignment="1">
      <alignment horizontal="center" vertical="center"/>
    </xf>
    <xf numFmtId="0" fontId="20" fillId="0" borderId="186" xfId="0" applyFont="1" applyBorder="1" applyAlignment="1">
      <alignment horizontal="center" vertical="center"/>
    </xf>
    <xf numFmtId="1" fontId="21" fillId="8" borderId="186" xfId="0" applyNumberFormat="1" applyFont="1" applyFill="1" applyBorder="1" applyAlignment="1">
      <alignment horizontal="center" vertical="center"/>
    </xf>
    <xf numFmtId="1" fontId="21" fillId="5" borderId="186" xfId="0" applyNumberFormat="1" applyFont="1" applyFill="1" applyBorder="1" applyAlignment="1">
      <alignment horizontal="center" vertical="center"/>
    </xf>
    <xf numFmtId="0" fontId="0" fillId="0" borderId="80" xfId="0" applyBorder="1"/>
    <xf numFmtId="0" fontId="21" fillId="8" borderId="0" xfId="0" applyFont="1" applyFill="1" applyAlignment="1">
      <alignment horizontal="left" vertical="center"/>
    </xf>
    <xf numFmtId="1" fontId="20" fillId="7" borderId="0" xfId="0" applyNumberFormat="1" applyFont="1" applyFill="1" applyAlignment="1">
      <alignment horizontal="center" vertical="center"/>
    </xf>
    <xf numFmtId="1" fontId="20" fillId="5" borderId="0" xfId="0" applyNumberFormat="1" applyFont="1" applyFill="1" applyAlignment="1">
      <alignment horizontal="center" vertical="center"/>
    </xf>
    <xf numFmtId="0" fontId="29" fillId="8" borderId="186" xfId="0" applyFont="1" applyFill="1" applyBorder="1" applyAlignment="1">
      <alignment horizontal="left" vertical="center"/>
    </xf>
    <xf numFmtId="0" fontId="0" fillId="0" borderId="186" xfId="0" applyBorder="1"/>
    <xf numFmtId="0" fontId="21" fillId="8" borderId="0" xfId="0" applyFont="1" applyFill="1" applyAlignment="1">
      <alignment horizontal="left" vertical="top" wrapText="1"/>
    </xf>
    <xf numFmtId="1" fontId="21" fillId="8" borderId="0" xfId="0" applyNumberFormat="1" applyFont="1" applyFill="1" applyAlignment="1">
      <alignment horizontal="center" vertical="center"/>
    </xf>
    <xf numFmtId="1" fontId="21" fillId="5" borderId="0" xfId="0" applyNumberFormat="1" applyFont="1" applyFill="1" applyAlignment="1">
      <alignment horizontal="center" vertical="center"/>
    </xf>
    <xf numFmtId="1" fontId="21" fillId="6" borderId="0" xfId="0" applyNumberFormat="1" applyFont="1" applyFill="1" applyAlignment="1">
      <alignment horizontal="center" vertical="center"/>
    </xf>
    <xf numFmtId="0" fontId="21" fillId="8" borderId="186" xfId="0" applyFont="1" applyFill="1" applyBorder="1" applyAlignment="1">
      <alignment horizontal="left" vertical="top" wrapText="1"/>
    </xf>
    <xf numFmtId="1" fontId="21" fillId="6" borderId="186" xfId="0" applyNumberFormat="1" applyFont="1" applyFill="1" applyBorder="1" applyAlignment="1">
      <alignment horizontal="center" vertical="center"/>
    </xf>
    <xf numFmtId="1" fontId="21" fillId="0" borderId="186" xfId="0" applyNumberFormat="1" applyFont="1" applyBorder="1" applyAlignment="1">
      <alignment horizontal="center" vertical="center"/>
    </xf>
    <xf numFmtId="1" fontId="21" fillId="7" borderId="186" xfId="0" applyNumberFormat="1" applyFont="1" applyFill="1" applyBorder="1" applyAlignment="1">
      <alignment horizontal="center" vertical="center"/>
    </xf>
    <xf numFmtId="181" fontId="0" fillId="0" borderId="0" xfId="0" applyNumberFormat="1"/>
    <xf numFmtId="1" fontId="20" fillId="0" borderId="186" xfId="0" applyNumberFormat="1" applyFont="1" applyBorder="1" applyAlignment="1">
      <alignment vertical="center"/>
    </xf>
    <xf numFmtId="1" fontId="20" fillId="7" borderId="186" xfId="0" applyNumberFormat="1" applyFont="1" applyFill="1" applyBorder="1" applyAlignment="1">
      <alignment vertical="center"/>
    </xf>
    <xf numFmtId="1" fontId="20" fillId="5" borderId="186" xfId="0" applyNumberFormat="1" applyFont="1" applyFill="1" applyBorder="1" applyAlignment="1">
      <alignment vertical="center"/>
    </xf>
    <xf numFmtId="1" fontId="48" fillId="0" borderId="186" xfId="0" applyNumberFormat="1" applyFont="1" applyBorder="1" applyAlignment="1">
      <alignment vertical="center"/>
    </xf>
    <xf numFmtId="1" fontId="48" fillId="7" borderId="186" xfId="0" applyNumberFormat="1" applyFont="1" applyFill="1" applyBorder="1" applyAlignment="1">
      <alignment vertical="center"/>
    </xf>
    <xf numFmtId="1" fontId="48" fillId="5" borderId="186" xfId="0" applyNumberFormat="1" applyFont="1" applyFill="1" applyBorder="1" applyAlignment="1">
      <alignment vertical="center"/>
    </xf>
    <xf numFmtId="1" fontId="20" fillId="0" borderId="3" xfId="0" applyNumberFormat="1" applyFont="1" applyBorder="1" applyAlignment="1">
      <alignment horizontal="center" vertical="center"/>
    </xf>
    <xf numFmtId="1" fontId="21" fillId="0" borderId="18" xfId="0" applyNumberFormat="1" applyFont="1" applyBorder="1" applyAlignment="1">
      <alignment horizontal="center" vertical="center"/>
    </xf>
    <xf numFmtId="1" fontId="21" fillId="0" borderId="187" xfId="0" applyNumberFormat="1" applyFont="1" applyBorder="1" applyAlignment="1">
      <alignment horizontal="center" vertical="center"/>
    </xf>
    <xf numFmtId="2" fontId="12" fillId="8" borderId="143" xfId="0" applyNumberFormat="1" applyFont="1" applyFill="1" applyBorder="1" applyAlignment="1">
      <alignment horizontal="center" vertical="center"/>
    </xf>
    <xf numFmtId="2" fontId="12" fillId="7" borderId="143" xfId="0" applyNumberFormat="1" applyFont="1" applyFill="1" applyBorder="1" applyAlignment="1">
      <alignment horizontal="center" vertical="center"/>
    </xf>
    <xf numFmtId="2" fontId="12" fillId="7" borderId="154" xfId="0" applyNumberFormat="1" applyFont="1" applyFill="1" applyBorder="1" applyAlignment="1">
      <alignment horizontal="center" vertical="center"/>
    </xf>
    <xf numFmtId="1" fontId="12" fillId="5" borderId="143" xfId="0" applyNumberFormat="1" applyFont="1" applyFill="1" applyBorder="1" applyAlignment="1">
      <alignment horizontal="center" vertical="center"/>
    </xf>
    <xf numFmtId="167" fontId="12" fillId="5" borderId="143" xfId="0" applyNumberFormat="1" applyFont="1" applyFill="1" applyBorder="1" applyAlignment="1">
      <alignment horizontal="center" vertical="center"/>
    </xf>
    <xf numFmtId="1" fontId="12" fillId="7" borderId="143" xfId="0" applyNumberFormat="1" applyFont="1" applyFill="1" applyBorder="1" applyAlignment="1">
      <alignment horizontal="center" vertical="center"/>
    </xf>
    <xf numFmtId="167" fontId="12" fillId="7" borderId="143" xfId="0" applyNumberFormat="1" applyFont="1" applyFill="1" applyBorder="1" applyAlignment="1">
      <alignment horizontal="center" vertical="center"/>
    </xf>
    <xf numFmtId="1" fontId="12" fillId="6" borderId="143" xfId="0" applyNumberFormat="1" applyFont="1" applyFill="1" applyBorder="1" applyAlignment="1">
      <alignment horizontal="center" vertical="center"/>
    </xf>
    <xf numFmtId="167" fontId="12" fillId="8" borderId="143" xfId="0" applyNumberFormat="1" applyFont="1" applyFill="1" applyBorder="1" applyAlignment="1">
      <alignment horizontal="center" vertical="center"/>
    </xf>
    <xf numFmtId="1" fontId="19" fillId="5" borderId="186" xfId="0" applyNumberFormat="1" applyFont="1" applyFill="1" applyBorder="1" applyAlignment="1">
      <alignment horizontal="center" vertical="center"/>
    </xf>
    <xf numFmtId="1" fontId="19" fillId="6" borderId="186" xfId="0" applyNumberFormat="1" applyFont="1" applyFill="1" applyBorder="1" applyAlignment="1">
      <alignment horizontal="center" vertical="center"/>
    </xf>
    <xf numFmtId="0" fontId="187" fillId="0" borderId="186" xfId="0" applyFont="1" applyBorder="1"/>
    <xf numFmtId="1" fontId="187" fillId="8" borderId="186" xfId="0" applyNumberFormat="1" applyFont="1" applyFill="1" applyBorder="1" applyAlignment="1">
      <alignment horizontal="center"/>
    </xf>
    <xf numFmtId="1" fontId="187" fillId="7" borderId="186" xfId="0" applyNumberFormat="1" applyFont="1" applyFill="1" applyBorder="1" applyAlignment="1">
      <alignment horizontal="center"/>
    </xf>
    <xf numFmtId="1" fontId="187" fillId="5" borderId="186" xfId="0" applyNumberFormat="1" applyFont="1" applyFill="1" applyBorder="1" applyAlignment="1">
      <alignment horizontal="center"/>
    </xf>
    <xf numFmtId="1" fontId="187" fillId="6" borderId="186" xfId="0" applyNumberFormat="1" applyFont="1" applyFill="1" applyBorder="1" applyAlignment="1">
      <alignment horizontal="center"/>
    </xf>
    <xf numFmtId="1" fontId="187" fillId="0" borderId="185" xfId="0" applyNumberFormat="1" applyFont="1" applyBorder="1" applyAlignment="1">
      <alignment horizontal="center"/>
    </xf>
    <xf numFmtId="167" fontId="11" fillId="0" borderId="0" xfId="0" applyNumberFormat="1" applyFont="1"/>
    <xf numFmtId="169" fontId="18" fillId="6" borderId="10" xfId="0" applyNumberFormat="1" applyFont="1" applyFill="1" applyBorder="1" applyAlignment="1">
      <alignment horizontal="center" vertical="center"/>
    </xf>
    <xf numFmtId="1" fontId="18" fillId="5" borderId="186" xfId="0" applyNumberFormat="1" applyFont="1" applyFill="1" applyBorder="1" applyAlignment="1">
      <alignment horizontal="center" vertical="center"/>
    </xf>
    <xf numFmtId="1" fontId="20" fillId="50" borderId="186" xfId="0" applyNumberFormat="1" applyFont="1" applyFill="1" applyBorder="1" applyAlignment="1">
      <alignment horizontal="center" vertical="center"/>
    </xf>
    <xf numFmtId="1" fontId="4" fillId="8" borderId="184" xfId="0" applyNumberFormat="1" applyFont="1" applyFill="1" applyBorder="1" applyAlignment="1">
      <alignment horizontal="center" vertical="center"/>
    </xf>
    <xf numFmtId="1" fontId="4" fillId="8" borderId="186" xfId="0" applyNumberFormat="1" applyFont="1" applyFill="1" applyBorder="1" applyAlignment="1">
      <alignment horizontal="center" vertical="center"/>
    </xf>
    <xf numFmtId="167" fontId="20" fillId="0" borderId="129" xfId="0" applyNumberFormat="1" applyFont="1" applyBorder="1" applyAlignment="1">
      <alignment horizontal="center" vertical="center"/>
    </xf>
    <xf numFmtId="167" fontId="47" fillId="0" borderId="0" xfId="0" applyNumberFormat="1" applyFont="1"/>
    <xf numFmtId="1" fontId="47" fillId="0" borderId="0" xfId="0" applyNumberFormat="1" applyFont="1" applyAlignment="1">
      <alignment horizontal="center"/>
    </xf>
    <xf numFmtId="1" fontId="45" fillId="0" borderId="0" xfId="0" applyNumberFormat="1" applyFont="1" applyAlignment="1">
      <alignment horizontal="center"/>
    </xf>
    <xf numFmtId="1" fontId="47" fillId="8" borderId="0" xfId="0" applyNumberFormat="1" applyFont="1" applyFill="1" applyAlignment="1">
      <alignment horizontal="center"/>
    </xf>
    <xf numFmtId="0" fontId="162" fillId="0" borderId="186" xfId="0" applyFont="1" applyBorder="1" applyAlignment="1">
      <alignment horizontal="center" vertical="center" wrapText="1"/>
    </xf>
    <xf numFmtId="0" fontId="162" fillId="0" borderId="186" xfId="0" applyFont="1" applyBorder="1" applyAlignment="1">
      <alignment wrapText="1"/>
    </xf>
    <xf numFmtId="0" fontId="164" fillId="0" borderId="186" xfId="0" applyFont="1" applyBorder="1" applyAlignment="1">
      <alignment horizontal="center" vertical="center" wrapText="1"/>
    </xf>
    <xf numFmtId="0" fontId="164" fillId="0" borderId="186" xfId="0" applyFont="1" applyBorder="1" applyAlignment="1">
      <alignment vertical="center" wrapText="1"/>
    </xf>
    <xf numFmtId="17" fontId="162" fillId="0" borderId="186" xfId="0" applyNumberFormat="1" applyFont="1" applyBorder="1" applyAlignment="1">
      <alignment wrapText="1"/>
    </xf>
    <xf numFmtId="1" fontId="162" fillId="0" borderId="186" xfId="0" applyNumberFormat="1" applyFont="1" applyBorder="1" applyAlignment="1">
      <alignment horizontal="center" vertical="center" wrapText="1"/>
    </xf>
    <xf numFmtId="0" fontId="165" fillId="0" borderId="186" xfId="0" applyFont="1" applyBorder="1" applyAlignment="1">
      <alignment horizontal="center" vertical="center" wrapText="1"/>
    </xf>
    <xf numFmtId="0" fontId="165" fillId="8" borderId="186" xfId="0" applyFont="1" applyFill="1" applyBorder="1" applyAlignment="1">
      <alignment horizontal="center" vertical="center" wrapText="1"/>
    </xf>
    <xf numFmtId="0" fontId="164" fillId="0" borderId="186" xfId="0" applyFont="1" applyBorder="1" applyAlignment="1">
      <alignment wrapText="1"/>
    </xf>
    <xf numFmtId="0" fontId="166" fillId="0" borderId="186" xfId="0" applyFont="1" applyBorder="1" applyAlignment="1">
      <alignment horizontal="center" vertical="center" wrapText="1"/>
    </xf>
    <xf numFmtId="0" fontId="167" fillId="8" borderId="186" xfId="0" applyFont="1" applyFill="1" applyBorder="1" applyAlignment="1">
      <alignment horizontal="center" vertical="center" wrapText="1"/>
    </xf>
    <xf numFmtId="0" fontId="169" fillId="0" borderId="186" xfId="0" applyFont="1" applyBorder="1" applyAlignment="1">
      <alignment horizontal="center" vertical="center" wrapText="1"/>
    </xf>
    <xf numFmtId="0" fontId="169" fillId="8" borderId="186" xfId="0" applyFont="1" applyFill="1" applyBorder="1" applyAlignment="1">
      <alignment horizontal="center" vertical="center" wrapText="1"/>
    </xf>
    <xf numFmtId="0" fontId="170" fillId="0" borderId="186" xfId="0" applyFont="1" applyBorder="1" applyAlignment="1">
      <alignment horizontal="center" vertical="center" wrapText="1"/>
    </xf>
    <xf numFmtId="0" fontId="168" fillId="0" borderId="186" xfId="0" applyFont="1" applyBorder="1" applyAlignment="1">
      <alignment horizontal="center" vertical="center" wrapText="1"/>
    </xf>
    <xf numFmtId="0" fontId="168" fillId="8" borderId="186" xfId="0" applyFont="1" applyFill="1" applyBorder="1" applyAlignment="1">
      <alignment horizontal="center" vertical="center" wrapText="1"/>
    </xf>
    <xf numFmtId="0" fontId="166" fillId="8" borderId="186" xfId="0" applyFont="1" applyFill="1" applyBorder="1" applyAlignment="1">
      <alignment horizontal="center" vertical="center" wrapText="1"/>
    </xf>
    <xf numFmtId="1" fontId="166" fillId="8" borderId="186" xfId="0" applyNumberFormat="1" applyFont="1" applyFill="1" applyBorder="1" applyAlignment="1">
      <alignment horizontal="center" vertical="center" wrapText="1"/>
    </xf>
    <xf numFmtId="0" fontId="162" fillId="8" borderId="186" xfId="0" applyFont="1" applyFill="1" applyBorder="1" applyAlignment="1">
      <alignment horizontal="center" vertical="center" wrapText="1"/>
    </xf>
    <xf numFmtId="0" fontId="164" fillId="8" borderId="186" xfId="0" applyFont="1" applyFill="1" applyBorder="1" applyAlignment="1">
      <alignment horizontal="center" vertical="center" wrapText="1"/>
    </xf>
    <xf numFmtId="1" fontId="168" fillId="0" borderId="186" xfId="0" applyNumberFormat="1" applyFont="1" applyBorder="1" applyAlignment="1">
      <alignment horizontal="center" vertical="center" wrapText="1"/>
    </xf>
    <xf numFmtId="1" fontId="166" fillId="0" borderId="186" xfId="0" applyNumberFormat="1" applyFont="1" applyBorder="1" applyAlignment="1">
      <alignment horizontal="center" vertical="center" wrapText="1"/>
    </xf>
    <xf numFmtId="0" fontId="167" fillId="0" borderId="186" xfId="0" applyFont="1" applyBorder="1" applyAlignment="1">
      <alignment horizontal="center" vertical="center" wrapText="1"/>
    </xf>
    <xf numFmtId="1" fontId="168" fillId="8" borderId="186" xfId="0" applyNumberFormat="1" applyFont="1" applyFill="1" applyBorder="1" applyAlignment="1">
      <alignment horizontal="center" vertical="center" wrapText="1"/>
    </xf>
    <xf numFmtId="1" fontId="169" fillId="0" borderId="186" xfId="0" applyNumberFormat="1" applyFont="1" applyBorder="1" applyAlignment="1">
      <alignment horizontal="center" vertical="center" wrapText="1"/>
    </xf>
    <xf numFmtId="1" fontId="170" fillId="0" borderId="186" xfId="0" applyNumberFormat="1" applyFont="1" applyBorder="1" applyAlignment="1">
      <alignment horizontal="center" vertical="center" wrapText="1"/>
    </xf>
    <xf numFmtId="1" fontId="165" fillId="0" borderId="186" xfId="0" applyNumberFormat="1" applyFont="1" applyBorder="1" applyAlignment="1">
      <alignment horizontal="center" vertical="center" wrapText="1"/>
    </xf>
    <xf numFmtId="167" fontId="168" fillId="0" borderId="186" xfId="0" applyNumberFormat="1" applyFont="1" applyBorder="1" applyAlignment="1">
      <alignment horizontal="center" vertical="center" wrapText="1"/>
    </xf>
    <xf numFmtId="2" fontId="168" fillId="0" borderId="186" xfId="0" applyNumberFormat="1" applyFont="1" applyBorder="1" applyAlignment="1">
      <alignment horizontal="center" vertical="center" wrapText="1"/>
    </xf>
    <xf numFmtId="1" fontId="167" fillId="0" borderId="186" xfId="0" applyNumberFormat="1" applyFont="1" applyBorder="1" applyAlignment="1">
      <alignment horizontal="center" vertical="center" wrapText="1"/>
    </xf>
    <xf numFmtId="9" fontId="162" fillId="0" borderId="186" xfId="22" applyFont="1" applyBorder="1" applyAlignment="1">
      <alignment horizontal="center" vertical="center" wrapText="1"/>
    </xf>
    <xf numFmtId="1" fontId="164" fillId="0" borderId="186" xfId="0" applyNumberFormat="1" applyFont="1" applyBorder="1" applyAlignment="1">
      <alignment horizontal="center" vertical="center" wrapText="1"/>
    </xf>
    <xf numFmtId="167" fontId="165" fillId="0" borderId="186" xfId="0" applyNumberFormat="1" applyFont="1" applyBorder="1" applyAlignment="1">
      <alignment horizontal="center" vertical="center" wrapText="1"/>
    </xf>
    <xf numFmtId="0" fontId="162" fillId="0" borderId="182" xfId="0" applyFont="1" applyBorder="1" applyAlignment="1">
      <alignment horizontal="center" vertical="center" wrapText="1"/>
    </xf>
    <xf numFmtId="0" fontId="162" fillId="0" borderId="182" xfId="0" applyFont="1" applyBorder="1" applyAlignment="1">
      <alignment wrapText="1"/>
    </xf>
    <xf numFmtId="0" fontId="164" fillId="0" borderId="182" xfId="0" applyFont="1" applyBorder="1" applyAlignment="1">
      <alignment horizontal="center" vertical="center" wrapText="1"/>
    </xf>
    <xf numFmtId="0" fontId="162" fillId="0" borderId="186" xfId="0" applyFont="1" applyBorder="1" applyAlignment="1">
      <alignment horizontal="left" vertical="center" wrapText="1" indent="1"/>
    </xf>
    <xf numFmtId="167" fontId="0" fillId="0" borderId="186" xfId="0" applyNumberFormat="1" applyBorder="1" applyAlignment="1">
      <alignment horizontal="center" vertical="center"/>
    </xf>
    <xf numFmtId="2" fontId="162" fillId="0" borderId="186" xfId="0" applyNumberFormat="1" applyFont="1" applyBorder="1" applyAlignment="1">
      <alignment horizontal="center" wrapText="1"/>
    </xf>
    <xf numFmtId="2" fontId="168" fillId="8" borderId="186" xfId="0" applyNumberFormat="1" applyFont="1" applyFill="1" applyBorder="1" applyAlignment="1">
      <alignment horizontal="center" wrapText="1"/>
    </xf>
    <xf numFmtId="167" fontId="162" fillId="0" borderId="186" xfId="0" applyNumberFormat="1" applyFont="1" applyBorder="1" applyAlignment="1">
      <alignment horizontal="center" vertical="center" wrapText="1"/>
    </xf>
    <xf numFmtId="2" fontId="164" fillId="0" borderId="186" xfId="0" applyNumberFormat="1" applyFont="1" applyBorder="1" applyAlignment="1">
      <alignment horizontal="center" wrapText="1"/>
    </xf>
    <xf numFmtId="167" fontId="169" fillId="0" borderId="186" xfId="0" applyNumberFormat="1" applyFont="1" applyBorder="1" applyAlignment="1">
      <alignment horizontal="center" vertical="center"/>
    </xf>
    <xf numFmtId="167" fontId="162" fillId="0" borderId="186" xfId="0" applyNumberFormat="1" applyFont="1" applyBorder="1" applyAlignment="1">
      <alignment horizontal="center" wrapText="1"/>
    </xf>
    <xf numFmtId="2" fontId="0" fillId="0" borderId="186" xfId="0" applyNumberFormat="1" applyBorder="1" applyAlignment="1">
      <alignment horizontal="center" vertical="center"/>
    </xf>
    <xf numFmtId="0" fontId="162" fillId="0" borderId="186" xfId="0" applyFont="1" applyBorder="1" applyAlignment="1">
      <alignment horizontal="left" wrapText="1" indent="1"/>
    </xf>
    <xf numFmtId="167" fontId="17" fillId="0" borderId="186" xfId="0" applyNumberFormat="1" applyFont="1" applyBorder="1" applyAlignment="1">
      <alignment horizontal="center" vertical="center"/>
    </xf>
    <xf numFmtId="167" fontId="164" fillId="0" borderId="186" xfId="0" applyNumberFormat="1" applyFont="1" applyBorder="1" applyAlignment="1">
      <alignment horizontal="center" wrapText="1"/>
    </xf>
    <xf numFmtId="17" fontId="164" fillId="0" borderId="184" xfId="0" applyNumberFormat="1" applyFont="1" applyBorder="1" applyAlignment="1">
      <alignment wrapText="1"/>
    </xf>
    <xf numFmtId="0" fontId="169" fillId="0" borderId="186" xfId="0" applyFont="1" applyBorder="1" applyAlignment="1">
      <alignment horizontal="center"/>
    </xf>
    <xf numFmtId="167" fontId="168" fillId="0" borderId="186" xfId="0" applyNumberFormat="1" applyFont="1" applyBorder="1" applyAlignment="1">
      <alignment horizontal="center"/>
    </xf>
    <xf numFmtId="167" fontId="169" fillId="0" borderId="186" xfId="0" applyNumberFormat="1" applyFont="1" applyBorder="1" applyAlignment="1">
      <alignment horizontal="center"/>
    </xf>
    <xf numFmtId="1" fontId="17" fillId="0" borderId="186" xfId="0" applyNumberFormat="1" applyFont="1" applyBorder="1" applyAlignment="1">
      <alignment horizontal="center" vertical="center"/>
    </xf>
    <xf numFmtId="0" fontId="168" fillId="0" borderId="186" xfId="0" applyFont="1" applyBorder="1" applyAlignment="1">
      <alignment horizontal="center"/>
    </xf>
    <xf numFmtId="17" fontId="164" fillId="0" borderId="186" xfId="0" applyNumberFormat="1" applyFont="1" applyBorder="1" applyAlignment="1">
      <alignment wrapText="1"/>
    </xf>
    <xf numFmtId="2" fontId="169" fillId="0" borderId="186" xfId="0" applyNumberFormat="1" applyFont="1" applyBorder="1" applyAlignment="1">
      <alignment horizontal="center"/>
    </xf>
    <xf numFmtId="1" fontId="164" fillId="0" borderId="186" xfId="0" applyNumberFormat="1" applyFont="1" applyBorder="1" applyAlignment="1">
      <alignment horizontal="center" wrapText="1"/>
    </xf>
    <xf numFmtId="1" fontId="166" fillId="8" borderId="186" xfId="0" applyNumberFormat="1" applyFont="1" applyFill="1" applyBorder="1" applyAlignment="1">
      <alignment horizontal="center" wrapText="1"/>
    </xf>
    <xf numFmtId="0" fontId="162" fillId="0" borderId="186" xfId="0" applyFont="1" applyBorder="1" applyAlignment="1">
      <alignment horizontal="center" wrapText="1"/>
    </xf>
    <xf numFmtId="167" fontId="0" fillId="0" borderId="186" xfId="0" applyNumberFormat="1" applyBorder="1"/>
    <xf numFmtId="167" fontId="164" fillId="0" borderId="186" xfId="0" applyNumberFormat="1" applyFont="1" applyBorder="1" applyAlignment="1">
      <alignment horizontal="center" vertical="center" wrapText="1"/>
    </xf>
    <xf numFmtId="17" fontId="169" fillId="0" borderId="186" xfId="0" applyNumberFormat="1" applyFont="1" applyBorder="1" applyAlignment="1">
      <alignment horizontal="left" vertical="center" wrapText="1" indent="1"/>
    </xf>
    <xf numFmtId="170" fontId="181" fillId="0" borderId="0" xfId="0" applyNumberFormat="1" applyFont="1" applyAlignment="1">
      <alignment horizontal="center" vertical="center"/>
    </xf>
    <xf numFmtId="0" fontId="45" fillId="0" borderId="120" xfId="0" applyFont="1" applyBorder="1"/>
    <xf numFmtId="1" fontId="14" fillId="0" borderId="181" xfId="0" applyNumberFormat="1" applyFont="1" applyBorder="1" applyAlignment="1">
      <alignment horizontal="center" vertical="center"/>
    </xf>
    <xf numFmtId="1" fontId="14" fillId="0" borderId="186" xfId="0" applyNumberFormat="1" applyFont="1" applyBorder="1" applyAlignment="1">
      <alignment horizontal="center" vertical="center"/>
    </xf>
    <xf numFmtId="167" fontId="20" fillId="4" borderId="31" xfId="0" applyNumberFormat="1" applyFont="1" applyFill="1" applyBorder="1" applyAlignment="1">
      <alignment horizontal="center" vertical="center"/>
    </xf>
    <xf numFmtId="2" fontId="20" fillId="4" borderId="17" xfId="0" applyNumberFormat="1" applyFont="1" applyFill="1" applyBorder="1" applyAlignment="1">
      <alignment horizontal="center" vertical="center"/>
    </xf>
    <xf numFmtId="167" fontId="20" fillId="4" borderId="53" xfId="0" applyNumberFormat="1" applyFont="1" applyFill="1" applyBorder="1" applyAlignment="1">
      <alignment horizontal="center" vertical="center"/>
    </xf>
    <xf numFmtId="167" fontId="14" fillId="7" borderId="10" xfId="0" applyNumberFormat="1" applyFont="1" applyFill="1" applyBorder="1" applyAlignment="1">
      <alignment horizontal="center" vertical="center"/>
    </xf>
    <xf numFmtId="0" fontId="18" fillId="7" borderId="30" xfId="0" applyFont="1" applyFill="1" applyBorder="1" applyAlignment="1">
      <alignment horizontal="center" vertical="center"/>
    </xf>
    <xf numFmtId="0" fontId="21" fillId="7" borderId="145" xfId="0" applyFont="1" applyFill="1" applyBorder="1" applyAlignment="1">
      <alignment horizontal="center" vertical="center"/>
    </xf>
    <xf numFmtId="0" fontId="12" fillId="4" borderId="0" xfId="0" applyFont="1" applyFill="1"/>
    <xf numFmtId="0" fontId="20" fillId="4" borderId="32" xfId="0" applyFont="1" applyFill="1" applyBorder="1" applyAlignment="1">
      <alignment horizontal="left" vertical="center" wrapText="1" indent="1"/>
    </xf>
    <xf numFmtId="0" fontId="20" fillId="4" borderId="68" xfId="0" applyFont="1" applyFill="1" applyBorder="1" applyAlignment="1">
      <alignment horizontal="center" vertical="center"/>
    </xf>
    <xf numFmtId="0" fontId="20" fillId="4" borderId="3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33" xfId="0" applyFont="1" applyFill="1" applyBorder="1" applyAlignment="1">
      <alignment horizontal="center" vertical="center"/>
    </xf>
    <xf numFmtId="169" fontId="12" fillId="4" borderId="0" xfId="0" applyNumberFormat="1" applyFont="1" applyFill="1"/>
    <xf numFmtId="1" fontId="12" fillId="4" borderId="0" xfId="0" applyNumberFormat="1" applyFont="1" applyFill="1"/>
    <xf numFmtId="2" fontId="12" fillId="4" borderId="0" xfId="0" applyNumberFormat="1" applyFont="1" applyFill="1"/>
    <xf numFmtId="1" fontId="79" fillId="8" borderId="6" xfId="186" applyNumberFormat="1" applyFont="1" applyFill="1" applyBorder="1" applyAlignment="1">
      <alignment horizontal="center" vertical="center"/>
    </xf>
    <xf numFmtId="1" fontId="78" fillId="8" borderId="17" xfId="186" applyNumberFormat="1" applyFont="1" applyFill="1" applyBorder="1" applyAlignment="1">
      <alignment horizontal="center" vertical="center"/>
    </xf>
    <xf numFmtId="1" fontId="78" fillId="8" borderId="29" xfId="186" applyNumberFormat="1" applyFont="1" applyFill="1" applyBorder="1" applyAlignment="1">
      <alignment horizontal="center" vertical="center"/>
    </xf>
    <xf numFmtId="1" fontId="78" fillId="8" borderId="119" xfId="186" applyNumberFormat="1" applyFont="1" applyFill="1" applyBorder="1" applyAlignment="1">
      <alignment horizontal="center" vertical="center"/>
    </xf>
    <xf numFmtId="1" fontId="78" fillId="8" borderId="118" xfId="186" applyNumberFormat="1" applyFont="1" applyFill="1" applyBorder="1" applyAlignment="1">
      <alignment horizontal="center" vertical="center"/>
    </xf>
    <xf numFmtId="1" fontId="78" fillId="8" borderId="6" xfId="186" applyNumberFormat="1" applyFont="1" applyFill="1" applyBorder="1" applyAlignment="1">
      <alignment horizontal="center" vertical="center"/>
    </xf>
    <xf numFmtId="1" fontId="54" fillId="8" borderId="0" xfId="0" applyNumberFormat="1" applyFont="1" applyFill="1"/>
    <xf numFmtId="0" fontId="54" fillId="8" borderId="0" xfId="0" applyFont="1" applyFill="1"/>
    <xf numFmtId="0" fontId="187" fillId="8" borderId="184" xfId="0" applyFont="1" applyFill="1" applyBorder="1" applyAlignment="1">
      <alignment horizontal="right" vertical="center"/>
    </xf>
    <xf numFmtId="0" fontId="187" fillId="8" borderId="186" xfId="0" applyFont="1" applyFill="1" applyBorder="1"/>
    <xf numFmtId="1" fontId="3" fillId="8" borderId="10" xfId="0" applyNumberFormat="1" applyFont="1" applyFill="1" applyBorder="1" applyAlignment="1">
      <alignment horizontal="center" vertical="center"/>
    </xf>
    <xf numFmtId="1" fontId="45" fillId="0" borderId="39" xfId="0" applyNumberFormat="1" applyFont="1" applyBorder="1"/>
    <xf numFmtId="0" fontId="45" fillId="0" borderId="39" xfId="0" applyFont="1" applyBorder="1"/>
    <xf numFmtId="1" fontId="45" fillId="0" borderId="185" xfId="0" applyNumberFormat="1" applyFont="1" applyBorder="1" applyAlignment="1">
      <alignment horizontal="center" vertical="center"/>
    </xf>
    <xf numFmtId="1" fontId="45" fillId="0" borderId="39" xfId="0" applyNumberFormat="1" applyFont="1" applyBorder="1" applyAlignment="1">
      <alignment horizontal="center" vertical="center"/>
    </xf>
    <xf numFmtId="167" fontId="21" fillId="6" borderId="129" xfId="0" applyNumberFormat="1" applyFont="1" applyFill="1" applyBorder="1" applyAlignment="1">
      <alignment horizontal="center" vertical="center"/>
    </xf>
    <xf numFmtId="167" fontId="12" fillId="6" borderId="143" xfId="0" applyNumberFormat="1" applyFont="1" applyFill="1" applyBorder="1" applyAlignment="1">
      <alignment horizontal="center" vertical="center"/>
    </xf>
    <xf numFmtId="167" fontId="26" fillId="6" borderId="10" xfId="0" applyNumberFormat="1" applyFont="1" applyFill="1" applyBorder="1" applyAlignment="1">
      <alignment horizontal="center" vertical="center"/>
    </xf>
    <xf numFmtId="1" fontId="14" fillId="0" borderId="71" xfId="0" applyNumberFormat="1" applyFont="1" applyBorder="1" applyAlignment="1">
      <alignment horizontal="center" vertical="center"/>
    </xf>
    <xf numFmtId="1" fontId="200" fillId="8" borderId="120" xfId="0" applyNumberFormat="1" applyFont="1" applyFill="1" applyBorder="1" applyAlignment="1">
      <alignment vertical="center"/>
    </xf>
    <xf numFmtId="1" fontId="12" fillId="8" borderId="41" xfId="0" applyNumberFormat="1" applyFont="1" applyFill="1" applyBorder="1" applyAlignment="1">
      <alignment horizontal="center" vertical="center"/>
    </xf>
    <xf numFmtId="1" fontId="12" fillId="8" borderId="23" xfId="0" applyNumberFormat="1" applyFont="1" applyFill="1" applyBorder="1" applyAlignment="1">
      <alignment horizontal="center" vertical="center"/>
    </xf>
    <xf numFmtId="1" fontId="12" fillId="8" borderId="30" xfId="0" applyNumberFormat="1" applyFont="1" applyFill="1" applyBorder="1" applyAlignment="1">
      <alignment horizontal="center" vertical="center"/>
    </xf>
    <xf numFmtId="1" fontId="12" fillId="8" borderId="176" xfId="0" applyNumberFormat="1" applyFont="1" applyFill="1" applyBorder="1" applyAlignment="1">
      <alignment horizontal="center" vertical="center"/>
    </xf>
    <xf numFmtId="1" fontId="12" fillId="8" borderId="120" xfId="0" applyNumberFormat="1" applyFont="1" applyFill="1" applyBorder="1" applyAlignment="1">
      <alignment horizontal="center" vertical="center"/>
    </xf>
    <xf numFmtId="1" fontId="12" fillId="8" borderId="5" xfId="0" applyNumberFormat="1" applyFont="1" applyFill="1" applyBorder="1" applyAlignment="1">
      <alignment horizontal="center" vertical="center"/>
    </xf>
    <xf numFmtId="1" fontId="12" fillId="8" borderId="14" xfId="0" applyNumberFormat="1" applyFont="1" applyFill="1" applyBorder="1" applyAlignment="1">
      <alignment horizontal="center" vertical="center"/>
    </xf>
    <xf numFmtId="2" fontId="12" fillId="8" borderId="10" xfId="0" applyNumberFormat="1" applyFont="1" applyFill="1" applyBorder="1" applyAlignment="1">
      <alignment horizontal="center" vertical="center"/>
    </xf>
    <xf numFmtId="167" fontId="12" fillId="8" borderId="10" xfId="0" applyNumberFormat="1" applyFont="1" applyFill="1" applyBorder="1" applyAlignment="1">
      <alignment horizontal="center" vertical="center"/>
    </xf>
    <xf numFmtId="1" fontId="12" fillId="8" borderId="172" xfId="0" applyNumberFormat="1" applyFont="1" applyFill="1" applyBorder="1" applyAlignment="1">
      <alignment horizontal="center" vertical="center"/>
    </xf>
    <xf numFmtId="1" fontId="27" fillId="8" borderId="157" xfId="0" applyNumberFormat="1" applyFont="1" applyFill="1" applyBorder="1" applyAlignment="1">
      <alignment horizontal="center" vertical="center"/>
    </xf>
    <xf numFmtId="0" fontId="23" fillId="8" borderId="30" xfId="0" applyFont="1" applyFill="1" applyBorder="1" applyAlignment="1">
      <alignment horizontal="center" vertical="center"/>
    </xf>
    <xf numFmtId="169" fontId="12" fillId="8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87" fillId="0" borderId="5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" fontId="187" fillId="8" borderId="41" xfId="0" applyNumberFormat="1" applyFont="1" applyFill="1" applyBorder="1" applyAlignment="1">
      <alignment horizontal="center" vertical="center"/>
    </xf>
    <xf numFmtId="9" fontId="187" fillId="8" borderId="132" xfId="22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/>
    </xf>
    <xf numFmtId="0" fontId="0" fillId="8" borderId="0" xfId="0" applyFill="1" applyAlignment="1">
      <alignment horizontal="right"/>
    </xf>
    <xf numFmtId="2" fontId="0" fillId="8" borderId="0" xfId="0" applyNumberFormat="1" applyFill="1"/>
    <xf numFmtId="1" fontId="14" fillId="0" borderId="182" xfId="0" applyNumberFormat="1" applyFont="1" applyBorder="1" applyAlignment="1">
      <alignment horizontal="center" vertical="center"/>
    </xf>
    <xf numFmtId="1" fontId="27" fillId="7" borderId="53" xfId="0" applyNumberFormat="1" applyFont="1" applyFill="1" applyBorder="1" applyAlignment="1">
      <alignment horizontal="center" vertical="center"/>
    </xf>
    <xf numFmtId="1" fontId="27" fillId="5" borderId="53" xfId="0" applyNumberFormat="1" applyFont="1" applyFill="1" applyBorder="1" applyAlignment="1">
      <alignment horizontal="center" vertical="center"/>
    </xf>
    <xf numFmtId="1" fontId="27" fillId="7" borderId="8" xfId="0" applyNumberFormat="1" applyFont="1" applyFill="1" applyBorder="1" applyAlignment="1">
      <alignment horizontal="center" vertical="center"/>
    </xf>
    <xf numFmtId="1" fontId="27" fillId="5" borderId="48" xfId="0" applyNumberFormat="1" applyFont="1" applyFill="1" applyBorder="1" applyAlignment="1">
      <alignment horizontal="center" vertical="center"/>
    </xf>
    <xf numFmtId="1" fontId="27" fillId="6" borderId="30" xfId="0" applyNumberFormat="1" applyFont="1" applyFill="1" applyBorder="1" applyAlignment="1">
      <alignment horizontal="center" vertical="center"/>
    </xf>
    <xf numFmtId="1" fontId="14" fillId="7" borderId="30" xfId="0" applyNumberFormat="1" applyFont="1" applyFill="1" applyBorder="1" applyAlignment="1">
      <alignment horizontal="center" vertical="center"/>
    </xf>
    <xf numFmtId="0" fontId="14" fillId="0" borderId="186" xfId="0" applyFont="1" applyBorder="1" applyAlignment="1">
      <alignment horizontal="center" vertical="center"/>
    </xf>
    <xf numFmtId="0" fontId="14" fillId="0" borderId="186" xfId="0" applyFont="1" applyBorder="1" applyAlignment="1">
      <alignment horizontal="right" vertical="center"/>
    </xf>
    <xf numFmtId="1" fontId="27" fillId="0" borderId="186" xfId="0" applyNumberFormat="1" applyFont="1" applyBorder="1" applyAlignment="1">
      <alignment horizontal="center" vertical="center"/>
    </xf>
    <xf numFmtId="167" fontId="27" fillId="0" borderId="186" xfId="0" applyNumberFormat="1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1" fontId="14" fillId="0" borderId="48" xfId="0" applyNumberFormat="1" applyFont="1" applyBorder="1" applyAlignment="1">
      <alignment horizontal="center" vertical="center"/>
    </xf>
    <xf numFmtId="1" fontId="14" fillId="0" borderId="184" xfId="0" applyNumberFormat="1" applyFont="1" applyBorder="1" applyAlignment="1">
      <alignment horizontal="center" vertical="center"/>
    </xf>
    <xf numFmtId="1" fontId="14" fillId="0" borderId="156" xfId="0" applyNumberFormat="1" applyFont="1" applyBorder="1" applyAlignment="1">
      <alignment horizontal="center" vertical="center"/>
    </xf>
    <xf numFmtId="1" fontId="14" fillId="0" borderId="7" xfId="0" applyNumberFormat="1" applyFont="1" applyBorder="1" applyAlignment="1">
      <alignment horizontal="center" vertical="center"/>
    </xf>
    <xf numFmtId="167" fontId="14" fillId="8" borderId="152" xfId="0" applyNumberFormat="1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42" xfId="0" applyNumberFormat="1" applyFont="1" applyFill="1" applyBorder="1" applyAlignment="1">
      <alignment horizontal="center" vertical="center"/>
    </xf>
    <xf numFmtId="1" fontId="27" fillId="8" borderId="3" xfId="0" applyNumberFormat="1" applyFont="1" applyFill="1" applyBorder="1" applyAlignment="1">
      <alignment horizontal="center" vertical="center"/>
    </xf>
    <xf numFmtId="1" fontId="14" fillId="8" borderId="168" xfId="0" applyNumberFormat="1" applyFont="1" applyFill="1" applyBorder="1" applyAlignment="1">
      <alignment horizontal="center" vertical="center"/>
    </xf>
    <xf numFmtId="1" fontId="27" fillId="8" borderId="156" xfId="0" applyNumberFormat="1" applyFont="1" applyFill="1" applyBorder="1" applyAlignment="1">
      <alignment horizontal="center" vertical="center"/>
    </xf>
    <xf numFmtId="167" fontId="14" fillId="8" borderId="123" xfId="0" applyNumberFormat="1" applyFont="1" applyFill="1" applyBorder="1" applyAlignment="1">
      <alignment horizontal="center" vertical="center"/>
    </xf>
    <xf numFmtId="167" fontId="14" fillId="8" borderId="178" xfId="0" applyNumberFormat="1" applyFont="1" applyFill="1" applyBorder="1" applyAlignment="1">
      <alignment horizontal="center" vertical="center"/>
    </xf>
    <xf numFmtId="167" fontId="14" fillId="8" borderId="170" xfId="0" applyNumberFormat="1" applyFont="1" applyFill="1" applyBorder="1" applyAlignment="1">
      <alignment horizontal="center" vertical="center"/>
    </xf>
    <xf numFmtId="167" fontId="27" fillId="8" borderId="152" xfId="0" applyNumberFormat="1" applyFont="1" applyFill="1" applyBorder="1" applyAlignment="1">
      <alignment horizontal="center" vertical="center"/>
    </xf>
    <xf numFmtId="0" fontId="127" fillId="8" borderId="0" xfId="0" applyFont="1" applyFill="1" applyAlignment="1">
      <alignment horizontal="center" vertical="center"/>
    </xf>
    <xf numFmtId="0" fontId="14" fillId="8" borderId="152" xfId="0" applyFont="1" applyFill="1" applyBorder="1" applyAlignment="1">
      <alignment horizontal="left" vertical="center"/>
    </xf>
    <xf numFmtId="1" fontId="27" fillId="8" borderId="153" xfId="0" applyNumberFormat="1" applyFont="1" applyFill="1" applyBorder="1" applyAlignment="1">
      <alignment horizontal="center" vertical="center"/>
    </xf>
    <xf numFmtId="1" fontId="14" fillId="8" borderId="154" xfId="0" applyNumberFormat="1" applyFont="1" applyFill="1" applyBorder="1" applyAlignment="1">
      <alignment horizontal="center" vertical="center"/>
    </xf>
    <xf numFmtId="0" fontId="0" fillId="0" borderId="186" xfId="0" quotePrefix="1" applyBorder="1" applyAlignment="1">
      <alignment horizontal="center" vertical="center"/>
    </xf>
    <xf numFmtId="16" fontId="0" fillId="0" borderId="186" xfId="0" quotePrefix="1" applyNumberFormat="1" applyBorder="1" applyAlignment="1">
      <alignment horizontal="center" vertical="center"/>
    </xf>
    <xf numFmtId="16" fontId="0" fillId="0" borderId="186" xfId="0" quotePrefix="1" applyNumberFormat="1" applyBorder="1" applyAlignment="1">
      <alignment horizontal="center"/>
    </xf>
    <xf numFmtId="2" fontId="0" fillId="0" borderId="186" xfId="0" applyNumberFormat="1" applyBorder="1" applyAlignment="1">
      <alignment horizontal="center"/>
    </xf>
    <xf numFmtId="0" fontId="196" fillId="0" borderId="186" xfId="0" applyFont="1" applyBorder="1"/>
    <xf numFmtId="2" fontId="17" fillId="0" borderId="186" xfId="0" applyNumberFormat="1" applyFont="1" applyBorder="1" applyAlignment="1">
      <alignment horizontal="center"/>
    </xf>
    <xf numFmtId="1" fontId="18" fillId="7" borderId="186" xfId="0" applyNumberFormat="1" applyFont="1" applyFill="1" applyBorder="1" applyAlignment="1">
      <alignment horizontal="center" vertical="center"/>
    </xf>
    <xf numFmtId="1" fontId="19" fillId="8" borderId="186" xfId="0" applyNumberFormat="1" applyFont="1" applyFill="1" applyBorder="1" applyAlignment="1">
      <alignment horizontal="center" vertical="center"/>
    </xf>
    <xf numFmtId="1" fontId="21" fillId="50" borderId="186" xfId="0" applyNumberFormat="1" applyFont="1" applyFill="1" applyBorder="1" applyAlignment="1">
      <alignment horizontal="center" vertical="center"/>
    </xf>
    <xf numFmtId="1" fontId="18" fillId="8" borderId="186" xfId="0" applyNumberFormat="1" applyFont="1" applyFill="1" applyBorder="1" applyAlignment="1">
      <alignment horizontal="center" vertical="center"/>
    </xf>
    <xf numFmtId="1" fontId="7" fillId="8" borderId="146" xfId="0" applyNumberFormat="1" applyFont="1" applyFill="1" applyBorder="1" applyAlignment="1">
      <alignment horizontal="center" vertical="center"/>
    </xf>
    <xf numFmtId="1" fontId="7" fillId="50" borderId="146" xfId="0" applyNumberFormat="1" applyFont="1" applyFill="1" applyBorder="1" applyAlignment="1">
      <alignment horizontal="center" vertical="center"/>
    </xf>
    <xf numFmtId="1" fontId="7" fillId="50" borderId="154" xfId="0" applyNumberFormat="1" applyFont="1" applyFill="1" applyBorder="1" applyAlignment="1">
      <alignment horizontal="center" vertical="center"/>
    </xf>
    <xf numFmtId="1" fontId="7" fillId="8" borderId="121" xfId="0" applyNumberFormat="1" applyFont="1" applyFill="1" applyBorder="1" applyAlignment="1">
      <alignment horizontal="center" vertical="center"/>
    </xf>
    <xf numFmtId="1" fontId="19" fillId="6" borderId="154" xfId="0" applyNumberFormat="1" applyFont="1" applyFill="1" applyBorder="1" applyAlignment="1">
      <alignment horizontal="center" vertical="center"/>
    </xf>
    <xf numFmtId="1" fontId="19" fillId="7" borderId="186" xfId="0" applyNumberFormat="1" applyFont="1" applyFill="1" applyBorder="1" applyAlignment="1">
      <alignment horizontal="center" vertical="center"/>
    </xf>
    <xf numFmtId="0" fontId="21" fillId="8" borderId="186" xfId="0" applyFont="1" applyFill="1" applyBorder="1" applyAlignment="1">
      <alignment horizontal="right" vertical="center"/>
    </xf>
    <xf numFmtId="0" fontId="20" fillId="0" borderId="186" xfId="0" applyFont="1" applyBorder="1" applyAlignment="1">
      <alignment horizontal="right" vertical="center"/>
    </xf>
    <xf numFmtId="0" fontId="21" fillId="7" borderId="10" xfId="0" applyFont="1" applyFill="1" applyBorder="1"/>
    <xf numFmtId="0" fontId="21" fillId="7" borderId="10" xfId="0" applyFont="1" applyFill="1" applyBorder="1" applyAlignment="1">
      <alignment vertical="center"/>
    </xf>
    <xf numFmtId="0" fontId="29" fillId="7" borderId="10" xfId="0" applyFont="1" applyFill="1" applyBorder="1" applyAlignment="1">
      <alignment horizontal="center"/>
    </xf>
    <xf numFmtId="0" fontId="29" fillId="7" borderId="10" xfId="0" applyFont="1" applyFill="1" applyBorder="1"/>
    <xf numFmtId="0" fontId="29" fillId="7" borderId="45" xfId="0" applyFont="1" applyFill="1" applyBorder="1" applyAlignment="1">
      <alignment vertical="center"/>
    </xf>
    <xf numFmtId="0" fontId="21" fillId="7" borderId="6" xfId="0" applyFont="1" applyFill="1" applyBorder="1" applyAlignment="1">
      <alignment vertical="center"/>
    </xf>
    <xf numFmtId="0" fontId="0" fillId="7" borderId="45" xfId="0" applyFill="1" applyBorder="1"/>
    <xf numFmtId="0" fontId="0" fillId="7" borderId="80" xfId="0" applyFill="1" applyBorder="1"/>
    <xf numFmtId="0" fontId="0" fillId="7" borderId="186" xfId="0" applyFill="1" applyBorder="1"/>
    <xf numFmtId="0" fontId="45" fillId="7" borderId="30" xfId="0" applyFont="1" applyFill="1" applyBorder="1"/>
    <xf numFmtId="1" fontId="0" fillId="7" borderId="0" xfId="0" applyNumberFormat="1" applyFill="1"/>
    <xf numFmtId="0" fontId="29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horizontal="center"/>
    </xf>
    <xf numFmtId="0" fontId="21" fillId="5" borderId="10" xfId="0" applyFont="1" applyFill="1" applyBorder="1"/>
    <xf numFmtId="0" fontId="29" fillId="5" borderId="10" xfId="0" applyFont="1" applyFill="1" applyBorder="1"/>
    <xf numFmtId="0" fontId="29" fillId="5" borderId="45" xfId="0" applyFont="1" applyFill="1" applyBorder="1" applyAlignment="1">
      <alignment vertical="center"/>
    </xf>
    <xf numFmtId="1" fontId="0" fillId="5" borderId="0" xfId="0" applyNumberFormat="1" applyFill="1"/>
    <xf numFmtId="0" fontId="0" fillId="5" borderId="45" xfId="0" applyFill="1" applyBorder="1"/>
    <xf numFmtId="0" fontId="0" fillId="5" borderId="80" xfId="0" applyFill="1" applyBorder="1"/>
    <xf numFmtId="0" fontId="0" fillId="5" borderId="186" xfId="0" applyFill="1" applyBorder="1"/>
    <xf numFmtId="0" fontId="21" fillId="6" borderId="10" xfId="0" applyFont="1" applyFill="1" applyBorder="1" applyAlignment="1">
      <alignment vertical="center"/>
    </xf>
    <xf numFmtId="0" fontId="0" fillId="6" borderId="10" xfId="0" applyFill="1" applyBorder="1"/>
    <xf numFmtId="0" fontId="29" fillId="6" borderId="10" xfId="0" applyFont="1" applyFill="1" applyBorder="1" applyAlignment="1">
      <alignment horizontal="center"/>
    </xf>
    <xf numFmtId="1" fontId="20" fillId="6" borderId="186" xfId="0" applyNumberFormat="1" applyFont="1" applyFill="1" applyBorder="1" applyAlignment="1">
      <alignment horizontal="center" vertical="center"/>
    </xf>
    <xf numFmtId="0" fontId="21" fillId="6" borderId="10" xfId="0" applyFont="1" applyFill="1" applyBorder="1"/>
    <xf numFmtId="167" fontId="21" fillId="6" borderId="10" xfId="0" applyNumberFormat="1" applyFont="1" applyFill="1" applyBorder="1" applyAlignment="1">
      <alignment horizontal="center" vertical="center"/>
    </xf>
    <xf numFmtId="0" fontId="29" fillId="6" borderId="10" xfId="0" applyFont="1" applyFill="1" applyBorder="1"/>
    <xf numFmtId="0" fontId="29" fillId="6" borderId="45" xfId="0" applyFont="1" applyFill="1" applyBorder="1" applyAlignment="1">
      <alignment vertical="center"/>
    </xf>
    <xf numFmtId="0" fontId="29" fillId="6" borderId="41" xfId="0" applyFont="1" applyFill="1" applyBorder="1" applyAlignment="1">
      <alignment vertical="center"/>
    </xf>
    <xf numFmtId="0" fontId="29" fillId="6" borderId="30" xfId="0" applyFont="1" applyFill="1" applyBorder="1" applyAlignment="1">
      <alignment vertical="center"/>
    </xf>
    <xf numFmtId="1" fontId="20" fillId="6" borderId="146" xfId="0" applyNumberFormat="1" applyFont="1" applyFill="1" applyBorder="1" applyAlignment="1">
      <alignment vertical="center"/>
    </xf>
    <xf numFmtId="1" fontId="20" fillId="6" borderId="23" xfId="0" applyNumberFormat="1" applyFont="1" applyFill="1" applyBorder="1" applyAlignment="1">
      <alignment vertical="center"/>
    </xf>
    <xf numFmtId="1" fontId="20" fillId="6" borderId="30" xfId="0" applyNumberFormat="1" applyFont="1" applyFill="1" applyBorder="1" applyAlignment="1">
      <alignment vertical="center"/>
    </xf>
    <xf numFmtId="1" fontId="20" fillId="6" borderId="46" xfId="0" applyNumberFormat="1" applyFont="1" applyFill="1" applyBorder="1" applyAlignment="1">
      <alignment vertical="center"/>
    </xf>
    <xf numFmtId="1" fontId="20" fillId="6" borderId="45" xfId="0" applyNumberFormat="1" applyFont="1" applyFill="1" applyBorder="1" applyAlignment="1">
      <alignment vertical="center"/>
    </xf>
    <xf numFmtId="1" fontId="20" fillId="6" borderId="138" xfId="0" applyNumberFormat="1" applyFont="1" applyFill="1" applyBorder="1" applyAlignment="1">
      <alignment vertical="center"/>
    </xf>
    <xf numFmtId="0" fontId="20" fillId="6" borderId="23" xfId="0" applyFont="1" applyFill="1" applyBorder="1" applyAlignment="1">
      <alignment horizontal="center" vertical="center"/>
    </xf>
    <xf numFmtId="1" fontId="20" fillId="6" borderId="132" xfId="0" applyNumberFormat="1" applyFont="1" applyFill="1" applyBorder="1" applyAlignment="1">
      <alignment vertical="center"/>
    </xf>
    <xf numFmtId="1" fontId="20" fillId="6" borderId="186" xfId="0" applyNumberFormat="1" applyFont="1" applyFill="1" applyBorder="1" applyAlignment="1">
      <alignment vertical="center"/>
    </xf>
    <xf numFmtId="1" fontId="0" fillId="6" borderId="0" xfId="0" applyNumberFormat="1" applyFill="1"/>
    <xf numFmtId="1" fontId="48" fillId="6" borderId="10" xfId="0" applyNumberFormat="1" applyFont="1" applyFill="1" applyBorder="1" applyAlignment="1">
      <alignment vertical="center"/>
    </xf>
    <xf numFmtId="1" fontId="48" fillId="6" borderId="186" xfId="0" applyNumberFormat="1" applyFont="1" applyFill="1" applyBorder="1" applyAlignment="1">
      <alignment vertical="center"/>
    </xf>
    <xf numFmtId="1" fontId="48" fillId="6" borderId="118" xfId="0" applyNumberFormat="1" applyFont="1" applyFill="1" applyBorder="1" applyAlignment="1">
      <alignment vertical="center"/>
    </xf>
    <xf numFmtId="1" fontId="48" fillId="6" borderId="132" xfId="0" applyNumberFormat="1" applyFont="1" applyFill="1" applyBorder="1" applyAlignment="1">
      <alignment vertical="center"/>
    </xf>
    <xf numFmtId="0" fontId="45" fillId="6" borderId="10" xfId="0" applyFont="1" applyFill="1" applyBorder="1"/>
    <xf numFmtId="1" fontId="45" fillId="6" borderId="10" xfId="0" applyNumberFormat="1" applyFont="1" applyFill="1" applyBorder="1" applyAlignment="1">
      <alignment vertical="center"/>
    </xf>
    <xf numFmtId="1" fontId="45" fillId="6" borderId="146" xfId="0" applyNumberFormat="1" applyFont="1" applyFill="1" applyBorder="1" applyAlignment="1">
      <alignment vertical="center"/>
    </xf>
    <xf numFmtId="1" fontId="45" fillId="6" borderId="46" xfId="0" applyNumberFormat="1" applyFont="1" applyFill="1" applyBorder="1" applyAlignment="1">
      <alignment vertical="center"/>
    </xf>
    <xf numFmtId="1" fontId="45" fillId="6" borderId="5" xfId="0" applyNumberFormat="1" applyFont="1" applyFill="1" applyBorder="1" applyAlignment="1">
      <alignment vertical="center"/>
    </xf>
    <xf numFmtId="1" fontId="45" fillId="6" borderId="30" xfId="0" applyNumberFormat="1" applyFont="1" applyFill="1" applyBorder="1" applyAlignment="1">
      <alignment vertical="center"/>
    </xf>
    <xf numFmtId="1" fontId="45" fillId="6" borderId="141" xfId="0" applyNumberFormat="1" applyFont="1" applyFill="1" applyBorder="1" applyAlignment="1">
      <alignment vertical="center"/>
    </xf>
    <xf numFmtId="1" fontId="45" fillId="6" borderId="23" xfId="0" applyNumberFormat="1" applyFont="1" applyFill="1" applyBorder="1" applyAlignment="1">
      <alignment vertical="center"/>
    </xf>
    <xf numFmtId="1" fontId="45" fillId="6" borderId="172" xfId="0" applyNumberFormat="1" applyFont="1" applyFill="1" applyBorder="1" applyAlignment="1">
      <alignment vertical="center"/>
    </xf>
    <xf numFmtId="1" fontId="20" fillId="6" borderId="146" xfId="0" applyNumberFormat="1" applyFont="1" applyFill="1" applyBorder="1" applyAlignment="1">
      <alignment horizontal="center" vertical="center"/>
    </xf>
    <xf numFmtId="1" fontId="45" fillId="6" borderId="41" xfId="0" applyNumberFormat="1" applyFont="1" applyFill="1" applyBorder="1" applyAlignment="1">
      <alignment vertical="center"/>
    </xf>
    <xf numFmtId="1" fontId="45" fillId="6" borderId="185" xfId="0" applyNumberFormat="1" applyFont="1" applyFill="1" applyBorder="1" applyAlignment="1">
      <alignment vertical="center"/>
    </xf>
    <xf numFmtId="1" fontId="45" fillId="6" borderId="155" xfId="0" applyNumberFormat="1" applyFont="1" applyFill="1" applyBorder="1" applyAlignment="1">
      <alignment vertical="center"/>
    </xf>
    <xf numFmtId="0" fontId="48" fillId="6" borderId="10" xfId="0" applyFont="1" applyFill="1" applyBorder="1" applyAlignment="1">
      <alignment vertical="center"/>
    </xf>
    <xf numFmtId="1" fontId="21" fillId="6" borderId="138" xfId="0" applyNumberFormat="1" applyFont="1" applyFill="1" applyBorder="1" applyAlignment="1">
      <alignment vertical="center"/>
    </xf>
    <xf numFmtId="0" fontId="0" fillId="6" borderId="45" xfId="0" applyFill="1" applyBorder="1"/>
    <xf numFmtId="0" fontId="0" fillId="6" borderId="80" xfId="0" applyFill="1" applyBorder="1"/>
    <xf numFmtId="1" fontId="20" fillId="6" borderId="0" xfId="0" applyNumberFormat="1" applyFont="1" applyFill="1" applyAlignment="1">
      <alignment horizontal="center" vertical="center"/>
    </xf>
    <xf numFmtId="0" fontId="0" fillId="6" borderId="186" xfId="0" applyFill="1" applyBorder="1"/>
    <xf numFmtId="0" fontId="29" fillId="6" borderId="185" xfId="0" applyFont="1" applyFill="1" applyBorder="1" applyAlignment="1">
      <alignment vertical="center"/>
    </xf>
    <xf numFmtId="0" fontId="148" fillId="6" borderId="10" xfId="0" applyFont="1" applyFill="1" applyBorder="1" applyAlignment="1">
      <alignment vertical="center"/>
    </xf>
    <xf numFmtId="0" fontId="20" fillId="6" borderId="10" xfId="0" applyFont="1" applyFill="1" applyBorder="1" applyAlignment="1">
      <alignment vertical="center"/>
    </xf>
    <xf numFmtId="0" fontId="45" fillId="6" borderId="30" xfId="0" applyFont="1" applyFill="1" applyBorder="1"/>
    <xf numFmtId="1" fontId="45" fillId="6" borderId="10" xfId="0" applyNumberFormat="1" applyFont="1" applyFill="1" applyBorder="1"/>
    <xf numFmtId="1" fontId="20" fillId="6" borderId="127" xfId="0" applyNumberFormat="1" applyFont="1" applyFill="1" applyBorder="1" applyAlignment="1">
      <alignment vertical="center"/>
    </xf>
    <xf numFmtId="0" fontId="0" fillId="6" borderId="84" xfId="0" applyFill="1" applyBorder="1"/>
    <xf numFmtId="0" fontId="0" fillId="6" borderId="17" xfId="0" applyFill="1" applyBorder="1"/>
    <xf numFmtId="0" fontId="4" fillId="8" borderId="146" xfId="0" applyFont="1" applyFill="1" applyBorder="1" applyAlignment="1">
      <alignment horizontal="center" vertical="center"/>
    </xf>
    <xf numFmtId="0" fontId="8" fillId="8" borderId="62" xfId="0" applyFont="1" applyFill="1" applyBorder="1" applyAlignment="1">
      <alignment horizontal="left" vertical="center"/>
    </xf>
    <xf numFmtId="0" fontId="18" fillId="8" borderId="62" xfId="0" applyFont="1" applyFill="1" applyBorder="1" applyAlignment="1">
      <alignment horizontal="right" vertical="center"/>
    </xf>
    <xf numFmtId="2" fontId="17" fillId="0" borderId="0" xfId="0" applyNumberFormat="1" applyFont="1"/>
    <xf numFmtId="1" fontId="17" fillId="0" borderId="0" xfId="0" applyNumberFormat="1" applyFont="1"/>
    <xf numFmtId="0" fontId="48" fillId="8" borderId="0" xfId="0" applyFont="1" applyFill="1"/>
    <xf numFmtId="1" fontId="48" fillId="0" borderId="0" xfId="0" applyNumberFormat="1" applyFont="1"/>
    <xf numFmtId="0" fontId="148" fillId="8" borderId="10" xfId="0" applyFont="1" applyFill="1" applyBorder="1" applyAlignment="1">
      <alignment vertical="center"/>
    </xf>
    <xf numFmtId="0" fontId="20" fillId="8" borderId="186" xfId="0" applyFont="1" applyFill="1" applyBorder="1" applyAlignment="1">
      <alignment horizontal="center" vertical="center"/>
    </xf>
    <xf numFmtId="0" fontId="148" fillId="8" borderId="45" xfId="0" applyFont="1" applyFill="1" applyBorder="1" applyAlignment="1">
      <alignment vertical="center"/>
    </xf>
    <xf numFmtId="2" fontId="21" fillId="8" borderId="10" xfId="0" applyNumberFormat="1" applyFont="1" applyFill="1" applyBorder="1" applyAlignment="1">
      <alignment horizontal="center" vertical="center"/>
    </xf>
    <xf numFmtId="0" fontId="14" fillId="8" borderId="168" xfId="0" applyFont="1" applyFill="1" applyBorder="1" applyAlignment="1">
      <alignment horizontal="right" vertical="center"/>
    </xf>
    <xf numFmtId="1" fontId="19" fillId="7" borderId="132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2" fontId="19" fillId="8" borderId="31" xfId="0" applyNumberFormat="1" applyFont="1" applyFill="1" applyBorder="1" applyAlignment="1">
      <alignment horizontal="center" vertical="center"/>
    </xf>
    <xf numFmtId="2" fontId="19" fillId="8" borderId="132" xfId="0" applyNumberFormat="1" applyFont="1" applyFill="1" applyBorder="1" applyAlignment="1">
      <alignment horizontal="center" vertical="center"/>
    </xf>
    <xf numFmtId="169" fontId="19" fillId="8" borderId="31" xfId="0" applyNumberFormat="1" applyFont="1" applyFill="1" applyBorder="1" applyAlignment="1">
      <alignment horizontal="center" vertical="center"/>
    </xf>
    <xf numFmtId="169" fontId="19" fillId="8" borderId="132" xfId="0" applyNumberFormat="1" applyFont="1" applyFill="1" applyBorder="1" applyAlignment="1">
      <alignment horizontal="center" vertical="center"/>
    </xf>
    <xf numFmtId="1" fontId="19" fillId="8" borderId="15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/>
    </xf>
    <xf numFmtId="0" fontId="54" fillId="7" borderId="0" xfId="0" applyFont="1" applyFill="1"/>
    <xf numFmtId="0" fontId="112" fillId="8" borderId="172" xfId="0" applyFont="1" applyFill="1" applyBorder="1" applyAlignment="1">
      <alignment horizontal="right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2" xfId="22" applyFont="1" applyFill="1" applyBorder="1" applyAlignment="1">
      <alignment horizontal="center" vertical="center"/>
    </xf>
    <xf numFmtId="9" fontId="19" fillId="8" borderId="132" xfId="0" applyNumberFormat="1" applyFont="1" applyFill="1" applyBorder="1" applyAlignment="1">
      <alignment horizontal="center" vertical="center"/>
    </xf>
    <xf numFmtId="9" fontId="19" fillId="8" borderId="17" xfId="22" applyFont="1" applyFill="1" applyBorder="1" applyAlignment="1">
      <alignment horizontal="center" vertical="center"/>
    </xf>
    <xf numFmtId="9" fontId="19" fillId="8" borderId="118" xfId="22" applyFont="1" applyFill="1" applyBorder="1" applyAlignment="1">
      <alignment horizontal="center" vertical="center"/>
    </xf>
    <xf numFmtId="169" fontId="0" fillId="8" borderId="0" xfId="0" applyNumberFormat="1" applyFill="1" applyAlignment="1">
      <alignment horizontal="center" vertical="center"/>
    </xf>
    <xf numFmtId="168" fontId="20" fillId="8" borderId="32" xfId="0" applyNumberFormat="1" applyFont="1" applyFill="1" applyBorder="1" applyAlignment="1">
      <alignment horizontal="right" vertical="center"/>
    </xf>
    <xf numFmtId="0" fontId="20" fillId="8" borderId="33" xfId="0" applyFont="1" applyFill="1" applyBorder="1" applyAlignment="1">
      <alignment horizontal="center" vertical="center"/>
    </xf>
    <xf numFmtId="169" fontId="20" fillId="8" borderId="59" xfId="0" applyNumberFormat="1" applyFont="1" applyFill="1" applyBorder="1" applyAlignment="1">
      <alignment horizontal="center" vertic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59" xfId="0" quotePrefix="1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69" fontId="53" fillId="8" borderId="79" xfId="0" applyNumberFormat="1" applyFont="1" applyFill="1" applyBorder="1" applyAlignment="1">
      <alignment horizontal="center" vertical="center"/>
    </xf>
    <xf numFmtId="169" fontId="20" fillId="8" borderId="79" xfId="0" applyNumberFormat="1" applyFont="1" applyFill="1" applyBorder="1" applyAlignment="1">
      <alignment horizontal="center" vertical="center"/>
    </xf>
    <xf numFmtId="164" fontId="20" fillId="0" borderId="182" xfId="0" quotePrefix="1" applyNumberFormat="1" applyFont="1" applyBorder="1" applyAlignment="1">
      <alignment horizontal="left" vertical="center"/>
    </xf>
    <xf numFmtId="0" fontId="20" fillId="0" borderId="183" xfId="0" applyFont="1" applyBorder="1" applyAlignment="1">
      <alignment horizontal="center" vertical="center"/>
    </xf>
    <xf numFmtId="0" fontId="32" fillId="8" borderId="182" xfId="0" applyFont="1" applyFill="1" applyBorder="1" applyAlignment="1">
      <alignment horizontal="center" vertical="center"/>
    </xf>
    <xf numFmtId="1" fontId="20" fillId="8" borderId="182" xfId="0" applyNumberFormat="1" applyFont="1" applyFill="1" applyBorder="1" applyAlignment="1">
      <alignment horizontal="center" vertical="center"/>
    </xf>
    <xf numFmtId="1" fontId="20" fillId="7" borderId="182" xfId="0" applyNumberFormat="1" applyFont="1" applyFill="1" applyBorder="1" applyAlignment="1">
      <alignment horizontal="center" vertical="center"/>
    </xf>
    <xf numFmtId="1" fontId="20" fillId="5" borderId="182" xfId="0" applyNumberFormat="1" applyFont="1" applyFill="1" applyBorder="1" applyAlignment="1">
      <alignment horizontal="center" vertical="center"/>
    </xf>
    <xf numFmtId="1" fontId="18" fillId="5" borderId="182" xfId="0" applyNumberFormat="1" applyFont="1" applyFill="1" applyBorder="1" applyAlignment="1">
      <alignment horizontal="center" vertical="center"/>
    </xf>
    <xf numFmtId="1" fontId="18" fillId="6" borderId="182" xfId="0" applyNumberFormat="1" applyFont="1" applyFill="1" applyBorder="1" applyAlignment="1">
      <alignment horizontal="center" vertical="center"/>
    </xf>
    <xf numFmtId="1" fontId="19" fillId="6" borderId="182" xfId="0" applyNumberFormat="1" applyFont="1" applyFill="1" applyBorder="1" applyAlignment="1">
      <alignment horizontal="center" vertical="center"/>
    </xf>
    <xf numFmtId="1" fontId="12" fillId="8" borderId="182" xfId="0" applyNumberFormat="1" applyFont="1" applyFill="1" applyBorder="1" applyAlignment="1">
      <alignment horizontal="center" vertical="center"/>
    </xf>
    <xf numFmtId="164" fontId="20" fillId="0" borderId="186" xfId="0" quotePrefix="1" applyNumberFormat="1" applyFont="1" applyBorder="1" applyAlignment="1">
      <alignment horizontal="left" vertical="center"/>
    </xf>
    <xf numFmtId="0" fontId="32" fillId="8" borderId="186" xfId="0" applyFont="1" applyFill="1" applyBorder="1" applyAlignment="1">
      <alignment horizontal="center" vertical="center"/>
    </xf>
    <xf numFmtId="1" fontId="18" fillId="6" borderId="186" xfId="0" applyNumberFormat="1" applyFont="1" applyFill="1" applyBorder="1" applyAlignment="1">
      <alignment horizontal="center" vertical="center"/>
    </xf>
    <xf numFmtId="1" fontId="12" fillId="8" borderId="186" xfId="0" applyNumberFormat="1" applyFont="1" applyFill="1" applyBorder="1" applyAlignment="1">
      <alignment horizontal="center" vertical="center"/>
    </xf>
    <xf numFmtId="0" fontId="113" fillId="8" borderId="186" xfId="0" applyFont="1" applyFill="1" applyBorder="1" applyAlignment="1">
      <alignment horizontal="left" vertical="center"/>
    </xf>
    <xf numFmtId="0" fontId="18" fillId="8" borderId="186" xfId="0" applyFont="1" applyFill="1" applyBorder="1" applyAlignment="1">
      <alignment horizontal="center" vertical="center"/>
    </xf>
    <xf numFmtId="0" fontId="112" fillId="8" borderId="186" xfId="0" applyFont="1" applyFill="1" applyBorder="1"/>
    <xf numFmtId="1" fontId="112" fillId="8" borderId="186" xfId="0" applyNumberFormat="1" applyFont="1" applyFill="1" applyBorder="1" applyAlignment="1">
      <alignment horizontal="center" vertical="center"/>
    </xf>
    <xf numFmtId="0" fontId="112" fillId="5" borderId="186" xfId="0" applyFont="1" applyFill="1" applyBorder="1" applyAlignment="1">
      <alignment horizontal="center"/>
    </xf>
    <xf numFmtId="1" fontId="19" fillId="7" borderId="186" xfId="0" applyNumberFormat="1" applyFont="1" applyFill="1" applyBorder="1" applyAlignment="1">
      <alignment horizontal="center"/>
    </xf>
    <xf numFmtId="1" fontId="19" fillId="6" borderId="186" xfId="0" applyNumberFormat="1" applyFont="1" applyFill="1" applyBorder="1" applyAlignment="1">
      <alignment horizontal="center"/>
    </xf>
    <xf numFmtId="1" fontId="19" fillId="8" borderId="186" xfId="0" applyNumberFormat="1" applyFont="1" applyFill="1" applyBorder="1" applyAlignment="1">
      <alignment horizontal="center"/>
    </xf>
    <xf numFmtId="0" fontId="112" fillId="7" borderId="186" xfId="0" applyFont="1" applyFill="1" applyBorder="1"/>
    <xf numFmtId="0" fontId="201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0" fontId="71" fillId="0" borderId="156" xfId="0" applyFont="1" applyBorder="1" applyAlignment="1">
      <alignment horizontal="left" vertical="center"/>
    </xf>
    <xf numFmtId="17" fontId="201" fillId="0" borderId="186" xfId="0" applyNumberFormat="1" applyFont="1" applyBorder="1" applyAlignment="1">
      <alignment horizontal="center" vertical="center" wrapText="1"/>
    </xf>
    <xf numFmtId="0" fontId="201" fillId="82" borderId="156" xfId="0" applyFont="1" applyFill="1" applyBorder="1" applyAlignment="1">
      <alignment horizontal="left" vertical="center"/>
    </xf>
    <xf numFmtId="0" fontId="71" fillId="82" borderId="186" xfId="0" applyFont="1" applyFill="1" applyBorder="1" applyAlignment="1">
      <alignment horizontal="center" vertical="center"/>
    </xf>
    <xf numFmtId="0" fontId="71" fillId="8" borderId="186" xfId="0" applyFont="1" applyFill="1" applyBorder="1" applyAlignment="1">
      <alignment horizontal="center" vertical="center"/>
    </xf>
    <xf numFmtId="0" fontId="71" fillId="34" borderId="156" xfId="0" applyFont="1" applyFill="1" applyBorder="1" applyAlignment="1">
      <alignment horizontal="left" vertical="center"/>
    </xf>
    <xf numFmtId="0" fontId="71" fillId="34" borderId="186" xfId="0" applyFont="1" applyFill="1" applyBorder="1" applyAlignment="1">
      <alignment horizontal="center" vertical="center"/>
    </xf>
    <xf numFmtId="1" fontId="71" fillId="8" borderId="186" xfId="0" applyNumberFormat="1" applyFont="1" applyFill="1" applyBorder="1" applyAlignment="1">
      <alignment horizontal="center" vertical="center"/>
    </xf>
    <xf numFmtId="1" fontId="71" fillId="34" borderId="186" xfId="0" applyNumberFormat="1" applyFont="1" applyFill="1" applyBorder="1" applyAlignment="1">
      <alignment horizontal="center" vertical="center"/>
    </xf>
    <xf numFmtId="0" fontId="71" fillId="0" borderId="186" xfId="0" applyFont="1" applyBorder="1" applyAlignment="1">
      <alignment horizontal="center" vertical="center"/>
    </xf>
    <xf numFmtId="0" fontId="71" fillId="0" borderId="156" xfId="0" applyFont="1" applyBorder="1" applyAlignment="1">
      <alignment horizontal="left" vertical="center" wrapText="1"/>
    </xf>
    <xf numFmtId="1" fontId="71" fillId="0" borderId="186" xfId="0" applyNumberFormat="1" applyFont="1" applyBorder="1" applyAlignment="1">
      <alignment horizontal="center" vertical="center"/>
    </xf>
    <xf numFmtId="167" fontId="71" fillId="0" borderId="186" xfId="0" applyNumberFormat="1" applyFont="1" applyBorder="1" applyAlignment="1">
      <alignment horizontal="center" vertical="center"/>
    </xf>
    <xf numFmtId="0" fontId="71" fillId="34" borderId="156" xfId="0" applyFont="1" applyFill="1" applyBorder="1" applyAlignment="1">
      <alignment horizontal="left" vertical="center" wrapText="1"/>
    </xf>
    <xf numFmtId="0" fontId="71" fillId="8" borderId="156" xfId="0" applyFont="1" applyFill="1" applyBorder="1" applyAlignment="1">
      <alignment horizontal="left" vertical="center" wrapText="1"/>
    </xf>
    <xf numFmtId="1" fontId="202" fillId="34" borderId="186" xfId="0" applyNumberFormat="1" applyFont="1" applyFill="1" applyBorder="1" applyAlignment="1">
      <alignment horizontal="center" vertical="center"/>
    </xf>
    <xf numFmtId="0" fontId="201" fillId="34" borderId="156" xfId="0" applyFont="1" applyFill="1" applyBorder="1" applyAlignment="1">
      <alignment horizontal="left" vertical="center"/>
    </xf>
    <xf numFmtId="169" fontId="203" fillId="34" borderId="186" xfId="0" applyNumberFormat="1" applyFont="1" applyFill="1" applyBorder="1" applyAlignment="1">
      <alignment horizontal="center" vertical="center"/>
    </xf>
    <xf numFmtId="0" fontId="204" fillId="0" borderId="0" xfId="0" applyFont="1" applyAlignment="1">
      <alignment horizontal="center" vertical="center"/>
    </xf>
    <xf numFmtId="1" fontId="204" fillId="0" borderId="0" xfId="0" applyNumberFormat="1" applyFont="1" applyAlignment="1">
      <alignment horizontal="center" vertical="center"/>
    </xf>
    <xf numFmtId="0" fontId="196" fillId="84" borderId="188" xfId="536" applyFont="1" applyFill="1" applyBorder="1" applyAlignment="1">
      <alignment horizontal="center"/>
    </xf>
    <xf numFmtId="1" fontId="81" fillId="0" borderId="189" xfId="536" applyNumberFormat="1" applyFont="1" applyBorder="1" applyAlignment="1">
      <alignment horizontal="center"/>
    </xf>
    <xf numFmtId="1" fontId="81" fillId="0" borderId="190" xfId="536" applyNumberFormat="1" applyFont="1" applyBorder="1" applyAlignment="1">
      <alignment horizontal="center"/>
    </xf>
    <xf numFmtId="1" fontId="81" fillId="0" borderId="191" xfId="536" applyNumberFormat="1" applyFont="1" applyBorder="1" applyAlignment="1">
      <alignment horizontal="center"/>
    </xf>
    <xf numFmtId="0" fontId="196" fillId="84" borderId="192" xfId="536" applyFont="1" applyFill="1" applyBorder="1" applyAlignment="1">
      <alignment horizontal="center"/>
    </xf>
    <xf numFmtId="1" fontId="81" fillId="0" borderId="193" xfId="536" applyNumberFormat="1" applyFont="1" applyBorder="1" applyAlignment="1">
      <alignment horizontal="center"/>
    </xf>
    <xf numFmtId="1" fontId="81" fillId="0" borderId="126" xfId="536" applyNumberFormat="1" applyFont="1" applyBorder="1" applyAlignment="1">
      <alignment horizontal="center"/>
    </xf>
    <xf numFmtId="1" fontId="81" fillId="0" borderId="194" xfId="536" applyNumberFormat="1" applyFont="1" applyBorder="1" applyAlignment="1">
      <alignment horizontal="center"/>
    </xf>
    <xf numFmtId="0" fontId="10" fillId="0" borderId="0" xfId="536" applyAlignment="1">
      <alignment horizontal="center"/>
    </xf>
    <xf numFmtId="0" fontId="196" fillId="84" borderId="195" xfId="536" applyFont="1" applyFill="1" applyBorder="1" applyAlignment="1">
      <alignment horizontal="center"/>
    </xf>
    <xf numFmtId="1" fontId="81" fillId="0" borderId="196" xfId="536" applyNumberFormat="1" applyFont="1" applyBorder="1" applyAlignment="1">
      <alignment horizontal="center"/>
    </xf>
    <xf numFmtId="1" fontId="81" fillId="0" borderId="197" xfId="536" applyNumberFormat="1" applyFont="1" applyBorder="1" applyAlignment="1">
      <alignment horizontal="center"/>
    </xf>
    <xf numFmtId="1" fontId="81" fillId="0" borderId="198" xfId="536" applyNumberFormat="1" applyFont="1" applyBorder="1" applyAlignment="1">
      <alignment horizontal="center"/>
    </xf>
    <xf numFmtId="0" fontId="196" fillId="0" borderId="199" xfId="536" applyFont="1" applyBorder="1" applyAlignment="1">
      <alignment horizontal="center"/>
    </xf>
    <xf numFmtId="1" fontId="196" fillId="0" borderId="200" xfId="536" applyNumberFormat="1" applyFont="1" applyBorder="1" applyAlignment="1">
      <alignment horizontal="center"/>
    </xf>
    <xf numFmtId="1" fontId="196" fillId="0" borderId="201" xfId="536" applyNumberFormat="1" applyFont="1" applyBorder="1" applyAlignment="1">
      <alignment horizontal="center"/>
    </xf>
    <xf numFmtId="1" fontId="196" fillId="0" borderId="199" xfId="536" applyNumberFormat="1" applyFont="1" applyBorder="1" applyAlignment="1">
      <alignment horizontal="center"/>
    </xf>
    <xf numFmtId="17" fontId="196" fillId="0" borderId="202" xfId="536" applyNumberFormat="1" applyFont="1" applyBorder="1" applyAlignment="1">
      <alignment horizontal="center" vertical="center"/>
    </xf>
    <xf numFmtId="17" fontId="207" fillId="83" borderId="203" xfId="536" applyNumberFormat="1" applyFont="1" applyFill="1" applyBorder="1" applyAlignment="1">
      <alignment horizontal="center" vertical="center"/>
    </xf>
    <xf numFmtId="0" fontId="207" fillId="83" borderId="204" xfId="536" applyFont="1" applyFill="1" applyBorder="1" applyAlignment="1">
      <alignment horizontal="center" vertical="center" wrapText="1"/>
    </xf>
    <xf numFmtId="1" fontId="196" fillId="0" borderId="205" xfId="536" applyNumberFormat="1" applyFont="1" applyBorder="1" applyAlignment="1">
      <alignment horizontal="center"/>
    </xf>
    <xf numFmtId="1" fontId="196" fillId="0" borderId="206" xfId="536" applyNumberFormat="1" applyFont="1" applyBorder="1" applyAlignment="1">
      <alignment horizontal="center"/>
    </xf>
    <xf numFmtId="1" fontId="196" fillId="0" borderId="207" xfId="536" applyNumberFormat="1" applyFont="1" applyBorder="1" applyAlignment="1">
      <alignment horizontal="center"/>
    </xf>
    <xf numFmtId="1" fontId="196" fillId="0" borderId="208" xfId="536" applyNumberFormat="1" applyFont="1" applyBorder="1" applyAlignment="1">
      <alignment horizontal="center"/>
    </xf>
    <xf numFmtId="169" fontId="12" fillId="0" borderId="10" xfId="0" applyNumberFormat="1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0" borderId="76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7" borderId="41" xfId="0" applyFont="1" applyFill="1" applyBorder="1" applyAlignment="1">
      <alignment horizontal="center" vertic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0" fontId="4" fillId="45" borderId="143" xfId="0" applyFont="1" applyFill="1" applyBorder="1" applyAlignment="1">
      <alignment horizontal="center" vertical="center"/>
    </xf>
    <xf numFmtId="0" fontId="7" fillId="8" borderId="63" xfId="0" applyFont="1" applyFill="1" applyBorder="1" applyAlignment="1">
      <alignment horizontal="left" vertical="center" wrapText="1"/>
    </xf>
    <xf numFmtId="0" fontId="7" fillId="8" borderId="142" xfId="0" applyFont="1" applyFill="1" applyBorder="1" applyAlignment="1">
      <alignment horizontal="left" vertical="center" wrapText="1"/>
    </xf>
    <xf numFmtId="0" fontId="7" fillId="8" borderId="145" xfId="0" applyFont="1" applyFill="1" applyBorder="1" applyAlignment="1">
      <alignment horizontal="left" vertical="center" wrapText="1"/>
    </xf>
    <xf numFmtId="0" fontId="4" fillId="7" borderId="143" xfId="0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6" borderId="143" xfId="0" applyFont="1" applyFill="1" applyBorder="1" applyAlignment="1">
      <alignment horizontal="center" vertical="center"/>
    </xf>
    <xf numFmtId="0" fontId="4" fillId="5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4" fillId="0" borderId="143" xfId="0" applyFont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8" borderId="14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1" fontId="20" fillId="8" borderId="182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0" fontId="20" fillId="0" borderId="172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8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72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29" xfId="0" applyNumberFormat="1" applyFont="1" applyFill="1" applyBorder="1" applyAlignment="1">
      <alignment horizontal="center"/>
    </xf>
    <xf numFmtId="1" fontId="20" fillId="5" borderId="185" xfId="0" applyNumberFormat="1" applyFont="1" applyFill="1" applyBorder="1" applyAlignment="1">
      <alignment horizontal="center"/>
    </xf>
    <xf numFmtId="1" fontId="20" fillId="5" borderId="179" xfId="0" applyNumberFormat="1" applyFont="1" applyFill="1" applyBorder="1" applyAlignment="1">
      <alignment horizontal="center"/>
    </xf>
    <xf numFmtId="1" fontId="20" fillId="5" borderId="186" xfId="0" applyNumberFormat="1" applyFont="1" applyFill="1" applyBorder="1" applyAlignment="1">
      <alignment horizontal="center"/>
    </xf>
    <xf numFmtId="1" fontId="20" fillId="5" borderId="143" xfId="0" applyNumberFormat="1" applyFont="1" applyFill="1" applyBorder="1" applyAlignment="1">
      <alignment horizontal="center"/>
    </xf>
    <xf numFmtId="1" fontId="20" fillId="6" borderId="10" xfId="0" applyNumberFormat="1" applyFont="1" applyFill="1" applyBorder="1" applyAlignment="1">
      <alignment horizontal="center"/>
    </xf>
    <xf numFmtId="1" fontId="20" fillId="6" borderId="138" xfId="0" applyNumberFormat="1" applyFont="1" applyFill="1" applyBorder="1" applyAlignment="1">
      <alignment horizontal="center"/>
    </xf>
    <xf numFmtId="1" fontId="20" fillId="6" borderId="118" xfId="0" applyNumberFormat="1" applyFont="1" applyFill="1" applyBorder="1" applyAlignment="1">
      <alignment horizontal="center"/>
    </xf>
    <xf numFmtId="1" fontId="20" fillId="6" borderId="172" xfId="0" applyNumberFormat="1" applyFont="1" applyFill="1" applyBorder="1" applyAlignment="1">
      <alignment horizontal="center"/>
    </xf>
    <xf numFmtId="1" fontId="20" fillId="6" borderId="117" xfId="0" applyNumberFormat="1" applyFont="1" applyFill="1" applyBorder="1" applyAlignment="1">
      <alignment horizontal="center"/>
    </xf>
    <xf numFmtId="1" fontId="20" fillId="6" borderId="129" xfId="0" applyNumberFormat="1" applyFont="1" applyFill="1" applyBorder="1" applyAlignment="1">
      <alignment horizontal="center"/>
    </xf>
    <xf numFmtId="1" fontId="20" fillId="6" borderId="185" xfId="0" applyNumberFormat="1" applyFont="1" applyFill="1" applyBorder="1" applyAlignment="1">
      <alignment horizontal="center"/>
    </xf>
    <xf numFmtId="1" fontId="20" fillId="6" borderId="179" xfId="0" applyNumberFormat="1" applyFont="1" applyFill="1" applyBorder="1" applyAlignment="1">
      <alignment horizontal="center"/>
    </xf>
    <xf numFmtId="1" fontId="20" fillId="6" borderId="186" xfId="0" applyNumberFormat="1" applyFont="1" applyFill="1" applyBorder="1" applyAlignment="1">
      <alignment horizontal="center"/>
    </xf>
    <xf numFmtId="1" fontId="20" fillId="6" borderId="143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29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2" xfId="0" applyFont="1" applyFill="1" applyBorder="1" applyAlignment="1">
      <alignment horizontal="center" vertical="center"/>
    </xf>
    <xf numFmtId="0" fontId="20" fillId="5" borderId="172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6" borderId="129" xfId="0" applyFont="1" applyFill="1" applyBorder="1" applyAlignment="1">
      <alignment horizontal="center" vertical="center"/>
    </xf>
    <xf numFmtId="0" fontId="20" fillId="6" borderId="117" xfId="0" applyFont="1" applyFill="1" applyBorder="1" applyAlignment="1">
      <alignment horizontal="center" vertical="center"/>
    </xf>
    <xf numFmtId="0" fontId="20" fillId="6" borderId="152" xfId="0" applyFont="1" applyFill="1" applyBorder="1" applyAlignment="1">
      <alignment horizontal="center" vertical="center"/>
    </xf>
    <xf numFmtId="0" fontId="20" fillId="6" borderId="172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0" fillId="6" borderId="143" xfId="0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8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72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29" xfId="0" applyNumberFormat="1" applyFont="1" applyFill="1" applyBorder="1" applyAlignment="1">
      <alignment horizontal="center"/>
    </xf>
    <xf numFmtId="1" fontId="20" fillId="7" borderId="185" xfId="0" applyNumberFormat="1" applyFont="1" applyFill="1" applyBorder="1" applyAlignment="1">
      <alignment horizontal="center"/>
    </xf>
    <xf numFmtId="1" fontId="20" fillId="7" borderId="179" xfId="0" applyNumberFormat="1" applyFont="1" applyFill="1" applyBorder="1" applyAlignment="1">
      <alignment horizontal="center"/>
    </xf>
    <xf numFmtId="1" fontId="20" fillId="7" borderId="186" xfId="0" applyNumberFormat="1" applyFont="1" applyFill="1" applyBorder="1" applyAlignment="1">
      <alignment horizontal="center"/>
    </xf>
    <xf numFmtId="1" fontId="20" fillId="7" borderId="143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29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2" xfId="0" applyFont="1" applyFill="1" applyBorder="1" applyAlignment="1">
      <alignment horizontal="center" vertical="center"/>
    </xf>
    <xf numFmtId="0" fontId="20" fillId="7" borderId="172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38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72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39" xfId="0" applyNumberFormat="1" applyFont="1" applyFill="1" applyBorder="1" applyAlignment="1">
      <alignment horizontal="center"/>
    </xf>
    <xf numFmtId="1" fontId="20" fillId="8" borderId="178" xfId="0" applyNumberFormat="1" applyFont="1" applyFill="1" applyBorder="1" applyAlignment="1">
      <alignment horizontal="center"/>
    </xf>
    <xf numFmtId="1" fontId="20" fillId="8" borderId="186" xfId="0" applyNumberFormat="1" applyFont="1" applyFill="1" applyBorder="1" applyAlignment="1">
      <alignment horizontal="center"/>
    </xf>
    <xf numFmtId="1" fontId="20" fillId="8" borderId="184" xfId="0" applyNumberFormat="1" applyFont="1" applyFill="1" applyBorder="1" applyAlignment="1">
      <alignment horizontal="center"/>
    </xf>
    <xf numFmtId="1" fontId="20" fillId="8" borderId="158" xfId="0" applyNumberFormat="1" applyFont="1" applyFill="1" applyBorder="1" applyAlignment="1">
      <alignment horizontal="center"/>
    </xf>
    <xf numFmtId="1" fontId="20" fillId="8" borderId="179" xfId="0" applyNumberFormat="1" applyFont="1" applyFill="1" applyBorder="1" applyAlignment="1">
      <alignment horizontal="center"/>
    </xf>
    <xf numFmtId="1" fontId="20" fillId="8" borderId="185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/>
    <xf numFmtId="1" fontId="20" fillId="7" borderId="29" xfId="0" applyNumberFormat="1" applyFont="1" applyFill="1" applyBorder="1" applyAlignment="1">
      <alignment horizontal="center"/>
    </xf>
    <xf numFmtId="1" fontId="20" fillId="7" borderId="139" xfId="0" applyNumberFormat="1" applyFont="1" applyFill="1" applyBorder="1" applyAlignment="1">
      <alignment horizontal="center"/>
    </xf>
    <xf numFmtId="1" fontId="20" fillId="7" borderId="178" xfId="0" applyNumberFormat="1" applyFont="1" applyFill="1" applyBorder="1" applyAlignment="1">
      <alignment horizont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4" fillId="0" borderId="52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0" fontId="130" fillId="0" borderId="44" xfId="0" applyFont="1" applyBorder="1" applyAlignment="1">
      <alignment horizontal="center" vertical="center"/>
    </xf>
    <xf numFmtId="0" fontId="130" fillId="0" borderId="47" xfId="0" applyFont="1" applyBorder="1" applyAlignment="1">
      <alignment horizontal="center" vertical="center"/>
    </xf>
    <xf numFmtId="0" fontId="130" fillId="0" borderId="70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0" fillId="0" borderId="51" xfId="0" applyFont="1" applyBorder="1" applyAlignment="1">
      <alignment horizontal="center" vertical="center"/>
    </xf>
    <xf numFmtId="0" fontId="131" fillId="0" borderId="52" xfId="0" applyFont="1" applyBorder="1" applyAlignment="1">
      <alignment horizontal="center" vertical="center"/>
    </xf>
    <xf numFmtId="0" fontId="131" fillId="0" borderId="47" xfId="0" applyFont="1" applyBorder="1" applyAlignment="1">
      <alignment horizontal="center" vertical="center"/>
    </xf>
    <xf numFmtId="0" fontId="131" fillId="0" borderId="51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80" fillId="0" borderId="76" xfId="0" applyFont="1" applyBorder="1" applyAlignment="1">
      <alignment horizontal="center" vertical="center"/>
    </xf>
    <xf numFmtId="0" fontId="180" fillId="0" borderId="34" xfId="0" applyFont="1" applyBorder="1" applyAlignment="1">
      <alignment horizontal="center" vertical="center"/>
    </xf>
    <xf numFmtId="0" fontId="33" fillId="0" borderId="179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0" fontId="131" fillId="0" borderId="44" xfId="0" applyFont="1" applyBorder="1" applyAlignment="1">
      <alignment horizontal="center" vertical="center"/>
    </xf>
    <xf numFmtId="0" fontId="131" fillId="0" borderId="70" xfId="0" applyFont="1" applyBorder="1" applyAlignment="1">
      <alignment horizontal="center" vertical="center"/>
    </xf>
    <xf numFmtId="0" fontId="131" fillId="0" borderId="175" xfId="0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" fontId="20" fillId="8" borderId="76" xfId="0" applyNumberFormat="1" applyFont="1" applyFill="1" applyBorder="1" applyAlignment="1">
      <alignment horizontal="center" vertical="center"/>
    </xf>
    <xf numFmtId="1" fontId="20" fillId="8" borderId="74" xfId="0" applyNumberFormat="1" applyFont="1" applyFill="1" applyBorder="1" applyAlignment="1">
      <alignment horizontal="center" vertical="center"/>
    </xf>
    <xf numFmtId="1" fontId="20" fillId="8" borderId="9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26" fillId="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0" fillId="0" borderId="185" xfId="0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46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46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/>
    </xf>
    <xf numFmtId="0" fontId="21" fillId="0" borderId="163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72" fillId="8" borderId="0" xfId="186" applyFont="1" applyFill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17" fontId="186" fillId="0" borderId="10" xfId="0" applyNumberFormat="1" applyFont="1" applyBorder="1" applyAlignment="1">
      <alignment horizontal="center" vertical="center"/>
    </xf>
    <xf numFmtId="0" fontId="186" fillId="0" borderId="10" xfId="0" applyFont="1" applyBorder="1" applyAlignment="1">
      <alignment horizontal="center" vertical="center"/>
    </xf>
    <xf numFmtId="0" fontId="186" fillId="7" borderId="10" xfId="0" applyFont="1" applyFill="1" applyBorder="1" applyAlignment="1">
      <alignment horizontal="center" vertical="center"/>
    </xf>
    <xf numFmtId="0" fontId="186" fillId="0" borderId="136" xfId="0" applyFont="1" applyBorder="1" applyAlignment="1">
      <alignment horizontal="center" vertical="center"/>
    </xf>
    <xf numFmtId="0" fontId="186" fillId="0" borderId="137" xfId="0" applyFont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86" fillId="5" borderId="37" xfId="0" applyFont="1" applyFill="1" applyBorder="1" applyAlignment="1">
      <alignment horizontal="center" vertical="center"/>
    </xf>
    <xf numFmtId="0" fontId="186" fillId="5" borderId="29" xfId="0" applyFont="1" applyFill="1" applyBorder="1" applyAlignment="1">
      <alignment horizontal="center" vertical="center"/>
    </xf>
    <xf numFmtId="0" fontId="187" fillId="0" borderId="10" xfId="0" applyFont="1" applyBorder="1" applyAlignment="1">
      <alignment horizontal="center"/>
    </xf>
    <xf numFmtId="0" fontId="186" fillId="43" borderId="10" xfId="0" applyFont="1" applyFill="1" applyBorder="1" applyAlignment="1">
      <alignment horizontal="center"/>
    </xf>
    <xf numFmtId="0" fontId="186" fillId="4" borderId="10" xfId="0" applyFont="1" applyFill="1" applyBorder="1" applyAlignment="1">
      <alignment horizontal="center"/>
    </xf>
    <xf numFmtId="0" fontId="186" fillId="0" borderId="37" xfId="0" applyFont="1" applyBorder="1" applyAlignment="1">
      <alignment horizontal="center" vertical="center"/>
    </xf>
    <xf numFmtId="0" fontId="186" fillId="0" borderId="29" xfId="0" applyFont="1" applyBorder="1" applyAlignment="1">
      <alignment horizontal="center" vertical="center"/>
    </xf>
    <xf numFmtId="0" fontId="187" fillId="0" borderId="46" xfId="0" applyFont="1" applyBorder="1" applyAlignment="1">
      <alignment horizontal="center" vertical="center"/>
    </xf>
    <xf numFmtId="0" fontId="187" fillId="0" borderId="30" xfId="0" applyFont="1" applyBorder="1" applyAlignment="1">
      <alignment horizontal="center" vertical="center"/>
    </xf>
    <xf numFmtId="0" fontId="84" fillId="8" borderId="0" xfId="0" applyFont="1" applyFill="1" applyAlignment="1">
      <alignment horizontal="center"/>
    </xf>
    <xf numFmtId="0" fontId="187" fillId="0" borderId="43" xfId="0" applyFont="1" applyBorder="1" applyAlignment="1">
      <alignment horizontal="center" vertical="center"/>
    </xf>
    <xf numFmtId="0" fontId="187" fillId="0" borderId="40" xfId="0" applyFont="1" applyBorder="1" applyAlignment="1">
      <alignment horizontal="center" vertical="center"/>
    </xf>
    <xf numFmtId="0" fontId="187" fillId="0" borderId="16" xfId="0" applyFont="1" applyBorder="1" applyAlignment="1">
      <alignment horizontal="center" vertical="center"/>
    </xf>
    <xf numFmtId="0" fontId="187" fillId="0" borderId="18" xfId="0" applyFont="1" applyBorder="1" applyAlignment="1">
      <alignment horizontal="center" vertical="center"/>
    </xf>
    <xf numFmtId="0" fontId="187" fillId="0" borderId="12" xfId="0" applyFont="1" applyBorder="1" applyAlignment="1">
      <alignment horizontal="center" vertical="center"/>
    </xf>
    <xf numFmtId="0" fontId="187" fillId="0" borderId="161" xfId="0" applyFont="1" applyBorder="1" applyAlignment="1">
      <alignment horizontal="center" vertical="center"/>
    </xf>
    <xf numFmtId="0" fontId="187" fillId="0" borderId="20" xfId="0" applyFont="1" applyBorder="1" applyAlignment="1">
      <alignment horizontal="center" vertical="center"/>
    </xf>
    <xf numFmtId="0" fontId="186" fillId="7" borderId="37" xfId="0" applyFont="1" applyFill="1" applyBorder="1" applyAlignment="1">
      <alignment horizontal="center" vertical="center"/>
    </xf>
    <xf numFmtId="0" fontId="186" fillId="7" borderId="29" xfId="0" applyFont="1" applyFill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112" fillId="8" borderId="186" xfId="0" applyNumberFormat="1" applyFont="1" applyFill="1" applyBorder="1" applyAlignment="1">
      <alignment horizontal="center" vertical="center"/>
    </xf>
    <xf numFmtId="1" fontId="19" fillId="7" borderId="186" xfId="0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1" fontId="112" fillId="5" borderId="186" xfId="0" applyNumberFormat="1" applyFont="1" applyFill="1" applyBorder="1" applyAlignment="1">
      <alignment horizontal="center" vertical="center"/>
    </xf>
    <xf numFmtId="1" fontId="19" fillId="6" borderId="186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0" borderId="134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112" fillId="5" borderId="186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19" fillId="8" borderId="32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66" xfId="0" applyFont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138" fillId="9" borderId="146" xfId="376" applyFont="1" applyFill="1" applyBorder="1" applyAlignment="1">
      <alignment horizontal="left" vertical="center" wrapText="1"/>
    </xf>
    <xf numFmtId="0" fontId="138" fillId="9" borderId="46" xfId="376" applyFont="1" applyFill="1" applyBorder="1" applyAlignment="1">
      <alignment horizontal="left" vertical="center" wrapText="1"/>
    </xf>
    <xf numFmtId="0" fontId="138" fillId="9" borderId="30" xfId="376" applyFont="1" applyFill="1" applyBorder="1" applyAlignment="1">
      <alignment horizontal="left" vertical="center" wrapText="1"/>
    </xf>
    <xf numFmtId="0" fontId="137" fillId="0" borderId="185" xfId="376" applyFont="1" applyBorder="1" applyAlignment="1">
      <alignment horizontal="center"/>
    </xf>
    <xf numFmtId="0" fontId="137" fillId="0" borderId="136" xfId="376" applyFont="1" applyBorder="1" applyAlignment="1">
      <alignment horizontal="center"/>
    </xf>
    <xf numFmtId="0" fontId="137" fillId="0" borderId="6" xfId="376" applyFont="1" applyBorder="1" applyAlignment="1">
      <alignment horizontal="center"/>
    </xf>
    <xf numFmtId="0" fontId="137" fillId="0" borderId="139" xfId="376" applyFont="1" applyBorder="1" applyAlignment="1">
      <alignment horizontal="center"/>
    </xf>
    <xf numFmtId="2" fontId="139" fillId="7" borderId="185" xfId="376" applyNumberFormat="1" applyFont="1" applyFill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23" fillId="0" borderId="29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160" fillId="0" borderId="118" xfId="0" applyFont="1" applyBorder="1" applyAlignment="1">
      <alignment horizontal="center" vertical="center"/>
    </xf>
    <xf numFmtId="0" fontId="159" fillId="0" borderId="118" xfId="0" applyFont="1" applyBorder="1" applyAlignment="1">
      <alignment horizontal="center"/>
    </xf>
    <xf numFmtId="0" fontId="159" fillId="4" borderId="118" xfId="0" applyFont="1" applyFill="1" applyBorder="1" applyAlignment="1">
      <alignment horizontal="center"/>
    </xf>
    <xf numFmtId="0" fontId="160" fillId="0" borderId="118" xfId="0" applyFont="1" applyBorder="1" applyAlignment="1">
      <alignment horizontal="center"/>
    </xf>
    <xf numFmtId="0" fontId="173" fillId="49" borderId="7" xfId="0" applyFont="1" applyFill="1" applyBorder="1" applyAlignment="1">
      <alignment horizontal="center"/>
    </xf>
    <xf numFmtId="0" fontId="173" fillId="49" borderId="8" xfId="0" applyFont="1" applyFill="1" applyBorder="1" applyAlignment="1">
      <alignment horizontal="center"/>
    </xf>
    <xf numFmtId="0" fontId="159" fillId="0" borderId="119" xfId="0" applyFont="1" applyBorder="1" applyAlignment="1">
      <alignment horizontal="left" vertical="center"/>
    </xf>
    <xf numFmtId="0" fontId="159" fillId="0" borderId="29" xfId="0" applyFont="1" applyBorder="1" applyAlignment="1">
      <alignment horizontal="left" vertical="center"/>
    </xf>
    <xf numFmtId="0" fontId="159" fillId="4" borderId="119" xfId="0" applyFont="1" applyFill="1" applyBorder="1" applyAlignment="1">
      <alignment horizontal="left" vertical="center"/>
    </xf>
    <xf numFmtId="0" fontId="159" fillId="4" borderId="29" xfId="0" applyFont="1" applyFill="1" applyBorder="1" applyAlignment="1">
      <alignment horizontal="left" vertical="center"/>
    </xf>
    <xf numFmtId="0" fontId="160" fillId="0" borderId="119" xfId="0" applyFont="1" applyBorder="1" applyAlignment="1">
      <alignment horizontal="left"/>
    </xf>
    <xf numFmtId="0" fontId="160" fillId="0" borderId="29" xfId="0" applyFont="1" applyBorder="1" applyAlignment="1">
      <alignment horizontal="left"/>
    </xf>
    <xf numFmtId="0" fontId="160" fillId="49" borderId="119" xfId="0" applyFont="1" applyFill="1" applyBorder="1" applyAlignment="1">
      <alignment horizontal="center"/>
    </xf>
    <xf numFmtId="0" fontId="160" fillId="49" borderId="29" xfId="0" applyFont="1" applyFill="1" applyBorder="1" applyAlignment="1">
      <alignment horizontal="center"/>
    </xf>
    <xf numFmtId="0" fontId="143" fillId="49" borderId="7" xfId="0" applyFont="1" applyFill="1" applyBorder="1" applyAlignment="1">
      <alignment horizontal="center" vertical="center"/>
    </xf>
    <xf numFmtId="0" fontId="143" fillId="49" borderId="8" xfId="0" applyFont="1" applyFill="1" applyBorder="1" applyAlignment="1">
      <alignment horizontal="center" vertical="center"/>
    </xf>
    <xf numFmtId="17" fontId="171" fillId="0" borderId="186" xfId="0" applyNumberFormat="1" applyFont="1" applyBorder="1" applyAlignment="1">
      <alignment horizontal="center" vertical="center" wrapText="1"/>
    </xf>
    <xf numFmtId="0" fontId="163" fillId="0" borderId="0" xfId="0" applyFont="1" applyAlignment="1">
      <alignment horizontal="center" wrapText="1"/>
    </xf>
    <xf numFmtId="0" fontId="163" fillId="0" borderId="0" xfId="0" applyFont="1" applyAlignment="1">
      <alignment horizontal="center" vertical="center" wrapText="1"/>
    </xf>
    <xf numFmtId="0" fontId="162" fillId="0" borderId="186" xfId="0" applyFont="1" applyBorder="1" applyAlignment="1">
      <alignment horizontal="center" vertical="center" wrapText="1"/>
    </xf>
    <xf numFmtId="17" fontId="163" fillId="0" borderId="76" xfId="0" applyNumberFormat="1" applyFont="1" applyBorder="1" applyAlignment="1">
      <alignment horizontal="center" vertical="center" wrapText="1"/>
    </xf>
    <xf numFmtId="17" fontId="163" fillId="0" borderId="74" xfId="0" applyNumberFormat="1" applyFont="1" applyBorder="1" applyAlignment="1">
      <alignment horizontal="center" vertical="center" wrapText="1"/>
    </xf>
    <xf numFmtId="17" fontId="163" fillId="0" borderId="9" xfId="0" applyNumberFormat="1" applyFont="1" applyBorder="1" applyAlignment="1">
      <alignment horizontal="center" vertical="center" wrapText="1"/>
    </xf>
    <xf numFmtId="17" fontId="171" fillId="0" borderId="63" xfId="0" applyNumberFormat="1" applyFont="1" applyBorder="1" applyAlignment="1">
      <alignment horizontal="center" vertical="center" wrapText="1"/>
    </xf>
    <xf numFmtId="17" fontId="171" fillId="0" borderId="151" xfId="0" applyNumberFormat="1" applyFont="1" applyBorder="1" applyAlignment="1">
      <alignment horizontal="center" vertical="center" wrapText="1"/>
    </xf>
    <xf numFmtId="17" fontId="171" fillId="0" borderId="145" xfId="0" applyNumberFormat="1" applyFont="1" applyBorder="1" applyAlignment="1">
      <alignment horizontal="center" vertical="center" wrapText="1"/>
    </xf>
    <xf numFmtId="17" fontId="171" fillId="0" borderId="43" xfId="0" applyNumberFormat="1" applyFont="1" applyBorder="1" applyAlignment="1">
      <alignment horizontal="center" vertical="center" wrapText="1"/>
    </xf>
    <xf numFmtId="17" fontId="171" fillId="0" borderId="40" xfId="0" applyNumberFormat="1" applyFont="1" applyBorder="1" applyAlignment="1">
      <alignment horizontal="center" vertical="center" wrapText="1"/>
    </xf>
    <xf numFmtId="17" fontId="171" fillId="0" borderId="16" xfId="0" applyNumberFormat="1" applyFont="1" applyBorder="1" applyAlignment="1">
      <alignment horizontal="center" vertical="center" wrapText="1"/>
    </xf>
    <xf numFmtId="17" fontId="171" fillId="0" borderId="30" xfId="0" applyNumberFormat="1" applyFont="1" applyBorder="1" applyAlignment="1">
      <alignment horizontal="center" vertical="center" wrapText="1"/>
    </xf>
    <xf numFmtId="0" fontId="143" fillId="0" borderId="138" xfId="0" applyFont="1" applyBorder="1" applyAlignment="1">
      <alignment horizontal="center" vertical="center"/>
    </xf>
    <xf numFmtId="0" fontId="143" fillId="0" borderId="136" xfId="0" applyFont="1" applyBorder="1" applyAlignment="1">
      <alignment horizontal="center" vertical="center"/>
    </xf>
    <xf numFmtId="0" fontId="143" fillId="0" borderId="6" xfId="0" applyFont="1" applyBorder="1" applyAlignment="1">
      <alignment horizontal="center" vertical="center"/>
    </xf>
    <xf numFmtId="0" fontId="143" fillId="0" borderId="174" xfId="0" applyFont="1" applyBorder="1" applyAlignment="1">
      <alignment horizontal="center" vertical="center"/>
    </xf>
    <xf numFmtId="0" fontId="143" fillId="0" borderId="137" xfId="0" applyFont="1" applyBorder="1" applyAlignment="1">
      <alignment horizontal="center" vertical="center"/>
    </xf>
    <xf numFmtId="0" fontId="136" fillId="0" borderId="138" xfId="0" applyFont="1" applyBorder="1" applyAlignment="1">
      <alignment horizontal="center" vertical="center"/>
    </xf>
    <xf numFmtId="0" fontId="136" fillId="0" borderId="130" xfId="0" applyFont="1" applyBorder="1" applyAlignment="1">
      <alignment horizontal="center" vertical="center"/>
    </xf>
    <xf numFmtId="0" fontId="136" fillId="0" borderId="46" xfId="0" applyFont="1" applyBorder="1" applyAlignment="1">
      <alignment horizontal="center" vertical="center"/>
    </xf>
    <xf numFmtId="0" fontId="143" fillId="8" borderId="130" xfId="0" applyFont="1" applyFill="1" applyBorder="1" applyAlignment="1">
      <alignment horizontal="left" vertical="center"/>
    </xf>
    <xf numFmtId="0" fontId="143" fillId="8" borderId="46" xfId="0" applyFont="1" applyFill="1" applyBorder="1" applyAlignment="1">
      <alignment horizontal="left" vertical="center"/>
    </xf>
    <xf numFmtId="0" fontId="143" fillId="8" borderId="176" xfId="0" applyFont="1" applyFill="1" applyBorder="1" applyAlignment="1">
      <alignment horizontal="left" vertical="center"/>
    </xf>
    <xf numFmtId="0" fontId="143" fillId="8" borderId="30" xfId="0" applyFont="1" applyFill="1" applyBorder="1" applyAlignment="1">
      <alignment horizontal="left" vertical="center"/>
    </xf>
    <xf numFmtId="0" fontId="136" fillId="0" borderId="176" xfId="0" applyFont="1" applyBorder="1" applyAlignment="1">
      <alignment horizontal="center" vertical="center"/>
    </xf>
    <xf numFmtId="0" fontId="136" fillId="0" borderId="30" xfId="0" applyFont="1" applyBorder="1" applyAlignment="1">
      <alignment horizontal="center" vertical="center"/>
    </xf>
    <xf numFmtId="0" fontId="136" fillId="8" borderId="176" xfId="0" applyFont="1" applyFill="1" applyBorder="1" applyAlignment="1">
      <alignment horizontal="center" vertical="center"/>
    </xf>
    <xf numFmtId="0" fontId="136" fillId="8" borderId="46" xfId="0" applyFont="1" applyFill="1" applyBorder="1" applyAlignment="1">
      <alignment horizontal="center" vertical="center"/>
    </xf>
    <xf numFmtId="0" fontId="136" fillId="8" borderId="30" xfId="0" applyFont="1" applyFill="1" applyBorder="1" applyAlignment="1">
      <alignment horizontal="center" vertical="center"/>
    </xf>
    <xf numFmtId="0" fontId="197" fillId="0" borderId="179" xfId="0" applyFont="1" applyBorder="1" applyAlignment="1">
      <alignment horizontal="center" vertical="center" wrapText="1" readingOrder="1"/>
    </xf>
    <xf numFmtId="0" fontId="143" fillId="0" borderId="179" xfId="0" applyFont="1" applyBorder="1" applyAlignment="1">
      <alignment horizontal="center" vertical="center"/>
    </xf>
    <xf numFmtId="0" fontId="143" fillId="0" borderId="156" xfId="0" applyFont="1" applyBorder="1" applyAlignment="1">
      <alignment horizontal="center" vertical="center"/>
    </xf>
    <xf numFmtId="0" fontId="143" fillId="0" borderId="178" xfId="0" applyFont="1" applyBorder="1" applyAlignment="1">
      <alignment horizontal="center" vertical="center"/>
    </xf>
    <xf numFmtId="0" fontId="143" fillId="0" borderId="176" xfId="0" applyFont="1" applyBorder="1" applyAlignment="1">
      <alignment horizontal="center" vertical="center"/>
    </xf>
    <xf numFmtId="0" fontId="143" fillId="0" borderId="46" xfId="0" applyFont="1" applyBorder="1" applyAlignment="1">
      <alignment horizontal="center" vertical="center"/>
    </xf>
    <xf numFmtId="0" fontId="197" fillId="0" borderId="176" xfId="0" applyFont="1" applyBorder="1" applyAlignment="1">
      <alignment horizontal="center" vertical="center" wrapText="1" readingOrder="1"/>
    </xf>
    <xf numFmtId="0" fontId="197" fillId="0" borderId="46" xfId="0" applyFont="1" applyBorder="1" applyAlignment="1">
      <alignment horizontal="center" vertical="center" wrapText="1" readingOrder="1"/>
    </xf>
    <xf numFmtId="0" fontId="136" fillId="0" borderId="176" xfId="0" applyFont="1" applyBorder="1" applyAlignment="1">
      <alignment horizontal="left" vertical="center" wrapText="1"/>
    </xf>
    <xf numFmtId="0" fontId="136" fillId="0" borderId="46" xfId="0" applyFont="1" applyBorder="1" applyAlignment="1">
      <alignment horizontal="left" vertical="center" wrapText="1"/>
    </xf>
    <xf numFmtId="0" fontId="136" fillId="0" borderId="30" xfId="0" applyFont="1" applyBorder="1" applyAlignment="1">
      <alignment horizontal="left" vertical="center" wrapText="1"/>
    </xf>
    <xf numFmtId="0" fontId="136" fillId="0" borderId="179" xfId="0" applyFont="1" applyBorder="1" applyAlignment="1">
      <alignment horizontal="center" vertical="center"/>
    </xf>
    <xf numFmtId="0" fontId="143" fillId="0" borderId="179" xfId="0" applyFont="1" applyBorder="1" applyAlignment="1">
      <alignment horizontal="left" vertical="center"/>
    </xf>
    <xf numFmtId="0" fontId="197" fillId="0" borderId="179" xfId="0" applyFont="1" applyBorder="1" applyAlignment="1">
      <alignment horizontal="left" vertical="center" wrapText="1" readingOrder="1"/>
    </xf>
    <xf numFmtId="0" fontId="136" fillId="8" borderId="179" xfId="0" applyFont="1" applyFill="1" applyBorder="1" applyAlignment="1">
      <alignment horizontal="center" vertical="center"/>
    </xf>
    <xf numFmtId="0" fontId="0" fillId="0" borderId="186" xfId="0" applyBorder="1" applyAlignment="1">
      <alignment horizontal="center" vertical="center" wrapText="1"/>
    </xf>
    <xf numFmtId="0" fontId="0" fillId="0" borderId="186" xfId="0" applyBorder="1" applyAlignment="1">
      <alignment horizontal="center" vertical="center"/>
    </xf>
    <xf numFmtId="0" fontId="205" fillId="45" borderId="0" xfId="536" applyFont="1" applyFill="1" applyAlignment="1">
      <alignment horizontal="center"/>
    </xf>
    <xf numFmtId="0" fontId="206" fillId="45" borderId="0" xfId="536" applyFont="1" applyFill="1"/>
    <xf numFmtId="0" fontId="20" fillId="4" borderId="31" xfId="0" applyFont="1" applyFill="1" applyBorder="1"/>
    <xf numFmtId="0" fontId="20" fillId="4" borderId="52" xfId="0" applyFont="1" applyFill="1" applyBorder="1" applyAlignment="1">
      <alignment horizontal="left" indent="1"/>
    </xf>
    <xf numFmtId="0" fontId="20" fillId="4" borderId="70" xfId="0" applyFont="1" applyFill="1" applyBorder="1" applyAlignment="1">
      <alignment horizontal="left" indent="1"/>
    </xf>
    <xf numFmtId="0" fontId="20" fillId="4" borderId="63" xfId="0" applyFont="1" applyFill="1" applyBorder="1" applyAlignment="1">
      <alignment horizontal="left" indent="1"/>
    </xf>
    <xf numFmtId="0" fontId="18" fillId="4" borderId="31" xfId="0" applyFont="1" applyFill="1" applyBorder="1" applyAlignment="1">
      <alignment horizontal="right" vertical="center" indent="1"/>
    </xf>
    <xf numFmtId="0" fontId="18" fillId="4" borderId="31" xfId="0" applyFont="1" applyFill="1" applyBorder="1" applyAlignment="1">
      <alignment horizontal="right" vertical="center" indent="2"/>
    </xf>
    <xf numFmtId="0" fontId="18" fillId="4" borderId="31" xfId="0" applyFont="1" applyFill="1" applyBorder="1" applyAlignment="1">
      <alignment horizontal="right" indent="1"/>
    </xf>
    <xf numFmtId="168" fontId="20" fillId="4" borderId="47" xfId="0" quotePrefix="1" applyNumberFormat="1" applyFont="1" applyFill="1" applyBorder="1" applyAlignment="1">
      <alignment horizontal="right" vertical="center" indent="1"/>
    </xf>
    <xf numFmtId="0" fontId="20" fillId="4" borderId="47" xfId="0" applyFont="1" applyFill="1" applyBorder="1" applyAlignment="1">
      <alignment horizontal="right" vertical="center" indent="1"/>
    </xf>
  </cellXfs>
  <cellStyles count="1035">
    <cellStyle name="20% - Accent1 2" xfId="29" xr:uid="{00000000-0005-0000-0000-000000000000}"/>
    <cellStyle name="20% - Accent1 2 2" xfId="880" xr:uid="{00000000-0005-0000-0000-000001000000}"/>
    <cellStyle name="20% - Accent1 3" xfId="30" xr:uid="{00000000-0005-0000-0000-000002000000}"/>
    <cellStyle name="20% - Accent1 3 2" xfId="881" xr:uid="{00000000-0005-0000-0000-000003000000}"/>
    <cellStyle name="20% - Accent2 2" xfId="31" xr:uid="{00000000-0005-0000-0000-000004000000}"/>
    <cellStyle name="20% - Accent2 2 2" xfId="882" xr:uid="{00000000-0005-0000-0000-000005000000}"/>
    <cellStyle name="20% - Accent2 3" xfId="32" xr:uid="{00000000-0005-0000-0000-000006000000}"/>
    <cellStyle name="20% - Accent2 3 2" xfId="883" xr:uid="{00000000-0005-0000-0000-000007000000}"/>
    <cellStyle name="20% - Accent3 2" xfId="33" xr:uid="{00000000-0005-0000-0000-000008000000}"/>
    <cellStyle name="20% - Accent3 2 2" xfId="884" xr:uid="{00000000-0005-0000-0000-000009000000}"/>
    <cellStyle name="20% - Accent3 3" xfId="34" xr:uid="{00000000-0005-0000-0000-00000A000000}"/>
    <cellStyle name="20% - Accent3 3 2" xfId="885" xr:uid="{00000000-0005-0000-0000-00000B000000}"/>
    <cellStyle name="20% - Accent4 2" xfId="35" xr:uid="{00000000-0005-0000-0000-00000C000000}"/>
    <cellStyle name="20% - Accent4 2 2" xfId="886" xr:uid="{00000000-0005-0000-0000-00000D000000}"/>
    <cellStyle name="20% - Accent4 3" xfId="36" xr:uid="{00000000-0005-0000-0000-00000E000000}"/>
    <cellStyle name="20% - Accent4 3 2" xfId="887" xr:uid="{00000000-0005-0000-0000-00000F000000}"/>
    <cellStyle name="20% - Accent5 2" xfId="37" xr:uid="{00000000-0005-0000-0000-000010000000}"/>
    <cellStyle name="20% - Accent5 2 2" xfId="888" xr:uid="{00000000-0005-0000-0000-000011000000}"/>
    <cellStyle name="20% - Accent5 3" xfId="38" xr:uid="{00000000-0005-0000-0000-000012000000}"/>
    <cellStyle name="20% - Accent5 3 2" xfId="889" xr:uid="{00000000-0005-0000-0000-000013000000}"/>
    <cellStyle name="20% - Accent6 2" xfId="39" xr:uid="{00000000-0005-0000-0000-000014000000}"/>
    <cellStyle name="20% - Accent6 2 2" xfId="890" xr:uid="{00000000-0005-0000-0000-000015000000}"/>
    <cellStyle name="20% - Accent6 3" xfId="40" xr:uid="{00000000-0005-0000-0000-000016000000}"/>
    <cellStyle name="20% - Accent6 3 2" xfId="891" xr:uid="{00000000-0005-0000-0000-000017000000}"/>
    <cellStyle name="40% - Accent1 2" xfId="41" xr:uid="{00000000-0005-0000-0000-000018000000}"/>
    <cellStyle name="40% - Accent1 2 2" xfId="892" xr:uid="{00000000-0005-0000-0000-000019000000}"/>
    <cellStyle name="40% - Accent1 3" xfId="42" xr:uid="{00000000-0005-0000-0000-00001A000000}"/>
    <cellStyle name="40% - Accent1 3 2" xfId="893" xr:uid="{00000000-0005-0000-0000-00001B000000}"/>
    <cellStyle name="40% - Accent2 2" xfId="43" xr:uid="{00000000-0005-0000-0000-00001C000000}"/>
    <cellStyle name="40% - Accent2 2 2" xfId="894" xr:uid="{00000000-0005-0000-0000-00001D000000}"/>
    <cellStyle name="40% - Accent2 3" xfId="44" xr:uid="{00000000-0005-0000-0000-00001E000000}"/>
    <cellStyle name="40% - Accent2 3 2" xfId="895" xr:uid="{00000000-0005-0000-0000-00001F000000}"/>
    <cellStyle name="40% - Accent3 2" xfId="45" xr:uid="{00000000-0005-0000-0000-000020000000}"/>
    <cellStyle name="40% - Accent3 2 2" xfId="896" xr:uid="{00000000-0005-0000-0000-000021000000}"/>
    <cellStyle name="40% - Accent3 3" xfId="46" xr:uid="{00000000-0005-0000-0000-000022000000}"/>
    <cellStyle name="40% - Accent3 3 2" xfId="897" xr:uid="{00000000-0005-0000-0000-000023000000}"/>
    <cellStyle name="40% - Accent4 2" xfId="47" xr:uid="{00000000-0005-0000-0000-000024000000}"/>
    <cellStyle name="40% - Accent4 2 2" xfId="898" xr:uid="{00000000-0005-0000-0000-000025000000}"/>
    <cellStyle name="40% - Accent4 3" xfId="48" xr:uid="{00000000-0005-0000-0000-000026000000}"/>
    <cellStyle name="40% - Accent4 3 2" xfId="899" xr:uid="{00000000-0005-0000-0000-000027000000}"/>
    <cellStyle name="40% - Accent5 2" xfId="49" xr:uid="{00000000-0005-0000-0000-000028000000}"/>
    <cellStyle name="40% - Accent5 2 2" xfId="900" xr:uid="{00000000-0005-0000-0000-000029000000}"/>
    <cellStyle name="40% - Accent5 3" xfId="50" xr:uid="{00000000-0005-0000-0000-00002A000000}"/>
    <cellStyle name="40% - Accent5 3 2" xfId="901" xr:uid="{00000000-0005-0000-0000-00002B000000}"/>
    <cellStyle name="40% - Accent6 2" xfId="51" xr:uid="{00000000-0005-0000-0000-00002C000000}"/>
    <cellStyle name="40% - Accent6 2 2" xfId="902" xr:uid="{00000000-0005-0000-0000-00002D000000}"/>
    <cellStyle name="40% - Accent6 3" xfId="52" xr:uid="{00000000-0005-0000-0000-00002E000000}"/>
    <cellStyle name="40% - Accent6 3 2" xfId="903" xr:uid="{00000000-0005-0000-0000-00002F000000}"/>
    <cellStyle name="60% - Accent1 2" xfId="53" xr:uid="{00000000-0005-0000-0000-000030000000}"/>
    <cellStyle name="60% - Accent1 2 2" xfId="904" xr:uid="{00000000-0005-0000-0000-000031000000}"/>
    <cellStyle name="60% - Accent1 3" xfId="54" xr:uid="{00000000-0005-0000-0000-000032000000}"/>
    <cellStyle name="60% - Accent1 3 2" xfId="905" xr:uid="{00000000-0005-0000-0000-000033000000}"/>
    <cellStyle name="60% - Accent2 2" xfId="55" xr:uid="{00000000-0005-0000-0000-000034000000}"/>
    <cellStyle name="60% - Accent2 2 2" xfId="906" xr:uid="{00000000-0005-0000-0000-000035000000}"/>
    <cellStyle name="60% - Accent2 3" xfId="56" xr:uid="{00000000-0005-0000-0000-000036000000}"/>
    <cellStyle name="60% - Accent2 3 2" xfId="907" xr:uid="{00000000-0005-0000-0000-000037000000}"/>
    <cellStyle name="60% - Accent3 2" xfId="57" xr:uid="{00000000-0005-0000-0000-000038000000}"/>
    <cellStyle name="60% - Accent3 2 2" xfId="908" xr:uid="{00000000-0005-0000-0000-000039000000}"/>
    <cellStyle name="60% - Accent3 3" xfId="58" xr:uid="{00000000-0005-0000-0000-00003A000000}"/>
    <cellStyle name="60% - Accent3 3 2" xfId="909" xr:uid="{00000000-0005-0000-0000-00003B000000}"/>
    <cellStyle name="60% - Accent4 2" xfId="59" xr:uid="{00000000-0005-0000-0000-00003C000000}"/>
    <cellStyle name="60% - Accent4 2 2" xfId="910" xr:uid="{00000000-0005-0000-0000-00003D000000}"/>
    <cellStyle name="60% - Accent4 3" xfId="60" xr:uid="{00000000-0005-0000-0000-00003E000000}"/>
    <cellStyle name="60% - Accent4 3 2" xfId="911" xr:uid="{00000000-0005-0000-0000-00003F000000}"/>
    <cellStyle name="60% - Accent5 2" xfId="61" xr:uid="{00000000-0005-0000-0000-000040000000}"/>
    <cellStyle name="60% - Accent5 2 2" xfId="912" xr:uid="{00000000-0005-0000-0000-000041000000}"/>
    <cellStyle name="60% - Accent5 3" xfId="62" xr:uid="{00000000-0005-0000-0000-000042000000}"/>
    <cellStyle name="60% - Accent5 3 2" xfId="913" xr:uid="{00000000-0005-0000-0000-000043000000}"/>
    <cellStyle name="60% - Accent6 2" xfId="63" xr:uid="{00000000-0005-0000-0000-000044000000}"/>
    <cellStyle name="60% - Accent6 2 2" xfId="914" xr:uid="{00000000-0005-0000-0000-000045000000}"/>
    <cellStyle name="60% - Accent6 3" xfId="64" xr:uid="{00000000-0005-0000-0000-000046000000}"/>
    <cellStyle name="60% - Accent6 3 2" xfId="915" xr:uid="{00000000-0005-0000-0000-000047000000}"/>
    <cellStyle name="Accent 1 1" xfId="279" xr:uid="{00000000-0005-0000-0000-000048000000}"/>
    <cellStyle name="Accent 2 1" xfId="280" xr:uid="{00000000-0005-0000-0000-000049000000}"/>
    <cellStyle name="Accent 3 1" xfId="281" xr:uid="{00000000-0005-0000-0000-00004A000000}"/>
    <cellStyle name="Accent 4" xfId="282" xr:uid="{00000000-0005-0000-0000-00004B000000}"/>
    <cellStyle name="Accent1 2" xfId="65" xr:uid="{00000000-0005-0000-0000-00004C000000}"/>
    <cellStyle name="Accent1 2 2" xfId="916" xr:uid="{00000000-0005-0000-0000-00004D000000}"/>
    <cellStyle name="Accent1 3" xfId="66" xr:uid="{00000000-0005-0000-0000-00004E000000}"/>
    <cellStyle name="Accent1 3 2" xfId="917" xr:uid="{00000000-0005-0000-0000-00004F000000}"/>
    <cellStyle name="Accent2 2" xfId="67" xr:uid="{00000000-0005-0000-0000-000050000000}"/>
    <cellStyle name="Accent2 2 2" xfId="918" xr:uid="{00000000-0005-0000-0000-000051000000}"/>
    <cellStyle name="Accent2 3" xfId="68" xr:uid="{00000000-0005-0000-0000-000052000000}"/>
    <cellStyle name="Accent2 3 2" xfId="919" xr:uid="{00000000-0005-0000-0000-000053000000}"/>
    <cellStyle name="Accent3 2" xfId="69" xr:uid="{00000000-0005-0000-0000-000054000000}"/>
    <cellStyle name="Accent3 2 2" xfId="920" xr:uid="{00000000-0005-0000-0000-000055000000}"/>
    <cellStyle name="Accent3 3" xfId="70" xr:uid="{00000000-0005-0000-0000-000056000000}"/>
    <cellStyle name="Accent3 3 2" xfId="921" xr:uid="{00000000-0005-0000-0000-000057000000}"/>
    <cellStyle name="Accent4 2" xfId="71" xr:uid="{00000000-0005-0000-0000-000058000000}"/>
    <cellStyle name="Accent4 2 2" xfId="922" xr:uid="{00000000-0005-0000-0000-000059000000}"/>
    <cellStyle name="Accent4 3" xfId="72" xr:uid="{00000000-0005-0000-0000-00005A000000}"/>
    <cellStyle name="Accent4 3 2" xfId="923" xr:uid="{00000000-0005-0000-0000-00005B000000}"/>
    <cellStyle name="Accent5 2" xfId="73" xr:uid="{00000000-0005-0000-0000-00005C000000}"/>
    <cellStyle name="Accent5 2 2" xfId="924" xr:uid="{00000000-0005-0000-0000-00005D000000}"/>
    <cellStyle name="Accent5 3" xfId="74" xr:uid="{00000000-0005-0000-0000-00005E000000}"/>
    <cellStyle name="Accent5 3 2" xfId="925" xr:uid="{00000000-0005-0000-0000-00005F000000}"/>
    <cellStyle name="Accent6 2" xfId="75" xr:uid="{00000000-0005-0000-0000-000060000000}"/>
    <cellStyle name="Accent6 2 2" xfId="926" xr:uid="{00000000-0005-0000-0000-000061000000}"/>
    <cellStyle name="Accent6 3" xfId="76" xr:uid="{00000000-0005-0000-0000-000062000000}"/>
    <cellStyle name="Accent6 3 2" xfId="927" xr:uid="{00000000-0005-0000-0000-000063000000}"/>
    <cellStyle name="Bad 1" xfId="283" xr:uid="{00000000-0005-0000-0000-000064000000}"/>
    <cellStyle name="Bad 2" xfId="77" xr:uid="{00000000-0005-0000-0000-000065000000}"/>
    <cellStyle name="Bad 2 2" xfId="928" xr:uid="{00000000-0005-0000-0000-000066000000}"/>
    <cellStyle name="Bad 3" xfId="78" xr:uid="{00000000-0005-0000-0000-000067000000}"/>
    <cellStyle name="Bad 3 2" xfId="929" xr:uid="{00000000-0005-0000-0000-000068000000}"/>
    <cellStyle name="Calculation 2" xfId="79" xr:uid="{00000000-0005-0000-0000-000069000000}"/>
    <cellStyle name="Calculation 2 2" xfId="353" xr:uid="{00000000-0005-0000-0000-00006A000000}"/>
    <cellStyle name="Calculation 2 2 2" xfId="414" xr:uid="{00000000-0005-0000-0000-00006B000000}"/>
    <cellStyle name="Calculation 2 2 2 2" xfId="932" xr:uid="{00000000-0005-0000-0000-00006C000000}"/>
    <cellStyle name="Calculation 2 2 3" xfId="415" xr:uid="{00000000-0005-0000-0000-00006D000000}"/>
    <cellStyle name="Calculation 2 2 3 2" xfId="933" xr:uid="{00000000-0005-0000-0000-00006E000000}"/>
    <cellStyle name="Calculation 2 2 4" xfId="931" xr:uid="{00000000-0005-0000-0000-00006F000000}"/>
    <cellStyle name="Calculation 2 3" xfId="366" xr:uid="{00000000-0005-0000-0000-000070000000}"/>
    <cellStyle name="Calculation 2 3 2" xfId="416" xr:uid="{00000000-0005-0000-0000-000071000000}"/>
    <cellStyle name="Calculation 2 3 2 2" xfId="935" xr:uid="{00000000-0005-0000-0000-000072000000}"/>
    <cellStyle name="Calculation 2 3 3" xfId="417" xr:uid="{00000000-0005-0000-0000-000073000000}"/>
    <cellStyle name="Calculation 2 3 3 2" xfId="936" xr:uid="{00000000-0005-0000-0000-000074000000}"/>
    <cellStyle name="Calculation 2 3 4" xfId="934" xr:uid="{00000000-0005-0000-0000-000075000000}"/>
    <cellStyle name="Calculation 2 4" xfId="418" xr:uid="{00000000-0005-0000-0000-000076000000}"/>
    <cellStyle name="Calculation 2 4 2" xfId="937" xr:uid="{00000000-0005-0000-0000-000077000000}"/>
    <cellStyle name="Calculation 2 5" xfId="419" xr:uid="{00000000-0005-0000-0000-000078000000}"/>
    <cellStyle name="Calculation 2 5 2" xfId="938" xr:uid="{00000000-0005-0000-0000-000079000000}"/>
    <cellStyle name="Calculation 2 6" xfId="930" xr:uid="{00000000-0005-0000-0000-00007A000000}"/>
    <cellStyle name="Calculation 3" xfId="80" xr:uid="{00000000-0005-0000-0000-00007B000000}"/>
    <cellStyle name="Calculation 3 2" xfId="354" xr:uid="{00000000-0005-0000-0000-00007C000000}"/>
    <cellStyle name="Calculation 3 2 2" xfId="420" xr:uid="{00000000-0005-0000-0000-00007D000000}"/>
    <cellStyle name="Calculation 3 2 2 2" xfId="941" xr:uid="{00000000-0005-0000-0000-00007E000000}"/>
    <cellStyle name="Calculation 3 2 3" xfId="421" xr:uid="{00000000-0005-0000-0000-00007F000000}"/>
    <cellStyle name="Calculation 3 2 3 2" xfId="942" xr:uid="{00000000-0005-0000-0000-000080000000}"/>
    <cellStyle name="Calculation 3 2 4" xfId="940" xr:uid="{00000000-0005-0000-0000-000081000000}"/>
    <cellStyle name="Calculation 3 3" xfId="367" xr:uid="{00000000-0005-0000-0000-000082000000}"/>
    <cellStyle name="Calculation 3 3 2" xfId="422" xr:uid="{00000000-0005-0000-0000-000083000000}"/>
    <cellStyle name="Calculation 3 3 2 2" xfId="944" xr:uid="{00000000-0005-0000-0000-000084000000}"/>
    <cellStyle name="Calculation 3 3 3" xfId="423" xr:uid="{00000000-0005-0000-0000-000085000000}"/>
    <cellStyle name="Calculation 3 3 3 2" xfId="945" xr:uid="{00000000-0005-0000-0000-000086000000}"/>
    <cellStyle name="Calculation 3 3 4" xfId="943" xr:uid="{00000000-0005-0000-0000-000087000000}"/>
    <cellStyle name="Calculation 3 4" xfId="424" xr:uid="{00000000-0005-0000-0000-000088000000}"/>
    <cellStyle name="Calculation 3 4 2" xfId="946" xr:uid="{00000000-0005-0000-0000-000089000000}"/>
    <cellStyle name="Calculation 3 5" xfId="425" xr:uid="{00000000-0005-0000-0000-00008A000000}"/>
    <cellStyle name="Calculation 3 5 2" xfId="947" xr:uid="{00000000-0005-0000-0000-00008B000000}"/>
    <cellStyle name="Calculation 3 6" xfId="939" xr:uid="{00000000-0005-0000-0000-00008C000000}"/>
    <cellStyle name="Check Cell 2" xfId="81" xr:uid="{00000000-0005-0000-0000-00008D000000}"/>
    <cellStyle name="Check Cell 2 2" xfId="948" xr:uid="{00000000-0005-0000-0000-00008E000000}"/>
    <cellStyle name="Check Cell 3" xfId="82" xr:uid="{00000000-0005-0000-0000-00008F000000}"/>
    <cellStyle name="Check Cell 3 2" xfId="949" xr:uid="{00000000-0005-0000-0000-000090000000}"/>
    <cellStyle name="Comma" xfId="412" builtinId="3"/>
    <cellStyle name="Comma 10" xfId="426" xr:uid="{00000000-0005-0000-0000-000092000000}"/>
    <cellStyle name="Comma 11" xfId="427" xr:uid="{00000000-0005-0000-0000-000093000000}"/>
    <cellStyle name="Comma 12" xfId="428" xr:uid="{00000000-0005-0000-0000-000094000000}"/>
    <cellStyle name="Comma 13" xfId="429" xr:uid="{00000000-0005-0000-0000-000095000000}"/>
    <cellStyle name="Comma 14" xfId="430" xr:uid="{00000000-0005-0000-0000-000096000000}"/>
    <cellStyle name="Comma 15" xfId="431" xr:uid="{00000000-0005-0000-0000-000097000000}"/>
    <cellStyle name="Comma 16" xfId="432" xr:uid="{00000000-0005-0000-0000-000098000000}"/>
    <cellStyle name="Comma 17" xfId="433" xr:uid="{00000000-0005-0000-0000-000099000000}"/>
    <cellStyle name="Comma 2" xfId="9" xr:uid="{00000000-0005-0000-0000-00009A000000}"/>
    <cellStyle name="Comma 2 2" xfId="11" xr:uid="{00000000-0005-0000-0000-00009B000000}"/>
    <cellStyle name="Comma 2 2 2" xfId="83" xr:uid="{00000000-0005-0000-0000-00009C000000}"/>
    <cellStyle name="Comma 2 2 2 2" xfId="347" xr:uid="{00000000-0005-0000-0000-00009D000000}"/>
    <cellStyle name="Comma 2 2 2 2 2" xfId="434" xr:uid="{00000000-0005-0000-0000-00009E000000}"/>
    <cellStyle name="Comma 2 2 2 3" xfId="337" xr:uid="{00000000-0005-0000-0000-00009F000000}"/>
    <cellStyle name="Comma 2 2 3" xfId="335" xr:uid="{00000000-0005-0000-0000-0000A0000000}"/>
    <cellStyle name="Comma 2 2 4" xfId="394" xr:uid="{00000000-0005-0000-0000-0000A1000000}"/>
    <cellStyle name="Comma 2 3" xfId="188" xr:uid="{00000000-0005-0000-0000-0000A2000000}"/>
    <cellStyle name="Comma 2 3 2" xfId="189" xr:uid="{00000000-0005-0000-0000-0000A3000000}"/>
    <cellStyle name="Comma 2 3 2 2" xfId="382" xr:uid="{00000000-0005-0000-0000-0000A4000000}"/>
    <cellStyle name="Comma 2 3 2 2 2" xfId="435" xr:uid="{00000000-0005-0000-0000-0000A5000000}"/>
    <cellStyle name="Comma 2 3 2 3" xfId="338" xr:uid="{00000000-0005-0000-0000-0000A6000000}"/>
    <cellStyle name="Comma 2 3 2 4" xfId="436" xr:uid="{00000000-0005-0000-0000-0000A7000000}"/>
    <cellStyle name="Comma 2 3 3" xfId="339" xr:uid="{00000000-0005-0000-0000-0000A8000000}"/>
    <cellStyle name="Comma 2 3 3 2" xfId="437" xr:uid="{00000000-0005-0000-0000-0000A9000000}"/>
    <cellStyle name="Comma 2 3 4" xfId="381" xr:uid="{00000000-0005-0000-0000-0000AA000000}"/>
    <cellStyle name="Comma 2 3 4 2" xfId="438" xr:uid="{00000000-0005-0000-0000-0000AB000000}"/>
    <cellStyle name="Comma 2 3 5" xfId="336" xr:uid="{00000000-0005-0000-0000-0000AC000000}"/>
    <cellStyle name="Comma 2 3 6" xfId="395" xr:uid="{00000000-0005-0000-0000-0000AD000000}"/>
    <cellStyle name="Comma 2 3 7" xfId="439" xr:uid="{00000000-0005-0000-0000-0000AE000000}"/>
    <cellStyle name="Comma 2 4" xfId="190" xr:uid="{00000000-0005-0000-0000-0000AF000000}"/>
    <cellStyle name="Comma 2 4 2" xfId="383" xr:uid="{00000000-0005-0000-0000-0000B0000000}"/>
    <cellStyle name="Comma 2 4 2 2" xfId="440" xr:uid="{00000000-0005-0000-0000-0000B1000000}"/>
    <cellStyle name="Comma 2 4 3" xfId="340" xr:uid="{00000000-0005-0000-0000-0000B2000000}"/>
    <cellStyle name="Comma 2 5" xfId="191" xr:uid="{00000000-0005-0000-0000-0000B3000000}"/>
    <cellStyle name="Comma 2 6" xfId="187" xr:uid="{00000000-0005-0000-0000-0000B4000000}"/>
    <cellStyle name="Comma 2 6 2" xfId="441" xr:uid="{00000000-0005-0000-0000-0000B5000000}"/>
    <cellStyle name="Comma 2 7" xfId="393" xr:uid="{00000000-0005-0000-0000-0000B6000000}"/>
    <cellStyle name="Comma 2 8" xfId="442" xr:uid="{00000000-0005-0000-0000-0000B7000000}"/>
    <cellStyle name="Comma 3" xfId="311" xr:uid="{00000000-0005-0000-0000-0000B8000000}"/>
    <cellStyle name="Comma 3 2" xfId="363" xr:uid="{00000000-0005-0000-0000-0000B9000000}"/>
    <cellStyle name="Comma 3 2 2" xfId="443" xr:uid="{00000000-0005-0000-0000-0000BA000000}"/>
    <cellStyle name="Comma 3 2 2 2" xfId="444" xr:uid="{00000000-0005-0000-0000-0000BB000000}"/>
    <cellStyle name="Comma 3 2 3" xfId="445" xr:uid="{00000000-0005-0000-0000-0000BC000000}"/>
    <cellStyle name="Comma 3 3" xfId="396" xr:uid="{00000000-0005-0000-0000-0000BD000000}"/>
    <cellStyle name="Comma 3 3 2" xfId="446" xr:uid="{00000000-0005-0000-0000-0000BE000000}"/>
    <cellStyle name="Comma 3 4" xfId="447" xr:uid="{00000000-0005-0000-0000-0000BF000000}"/>
    <cellStyle name="Comma 3 5" xfId="448" xr:uid="{00000000-0005-0000-0000-0000C0000000}"/>
    <cellStyle name="Comma 4" xfId="397" xr:uid="{00000000-0005-0000-0000-0000C1000000}"/>
    <cellStyle name="Comma 4 2" xfId="449" xr:uid="{00000000-0005-0000-0000-0000C2000000}"/>
    <cellStyle name="Comma 4 3" xfId="450" xr:uid="{00000000-0005-0000-0000-0000C3000000}"/>
    <cellStyle name="Comma 5" xfId="451" xr:uid="{00000000-0005-0000-0000-0000C4000000}"/>
    <cellStyle name="Comma 6" xfId="452" xr:uid="{00000000-0005-0000-0000-0000C5000000}"/>
    <cellStyle name="Comma 7" xfId="453" xr:uid="{00000000-0005-0000-0000-0000C6000000}"/>
    <cellStyle name="Comma 8" xfId="454" xr:uid="{00000000-0005-0000-0000-0000C7000000}"/>
    <cellStyle name="Comma 9" xfId="455" xr:uid="{00000000-0005-0000-0000-0000C8000000}"/>
    <cellStyle name="Currency 2" xfId="12" xr:uid="{00000000-0005-0000-0000-0000C9000000}"/>
    <cellStyle name="Currency 2 2" xfId="84" xr:uid="{00000000-0005-0000-0000-0000CA000000}"/>
    <cellStyle name="Currency 2 2 2" xfId="348" xr:uid="{00000000-0005-0000-0000-0000CB000000}"/>
    <cellStyle name="Currency 2 2 2 2" xfId="456" xr:uid="{00000000-0005-0000-0000-0000CC000000}"/>
    <cellStyle name="Currency 2 2 3" xfId="328" xr:uid="{00000000-0005-0000-0000-0000CD000000}"/>
    <cellStyle name="Currency 2 3" xfId="341" xr:uid="{00000000-0005-0000-0000-0000CE000000}"/>
    <cellStyle name="Currency 2 4" xfId="398" xr:uid="{00000000-0005-0000-0000-0000CF000000}"/>
    <cellStyle name="Error 1" xfId="284" xr:uid="{00000000-0005-0000-0000-0000D0000000}"/>
    <cellStyle name="Excel Built-in Normal" xfId="192" xr:uid="{00000000-0005-0000-0000-0000D1000000}"/>
    <cellStyle name="Excel Built-in Normal 2" xfId="399" xr:uid="{00000000-0005-0000-0000-0000D2000000}"/>
    <cellStyle name="Explanatory Text 2" xfId="85" xr:uid="{00000000-0005-0000-0000-0000D3000000}"/>
    <cellStyle name="Explanatory Text 3" xfId="86" xr:uid="{00000000-0005-0000-0000-0000D4000000}"/>
    <cellStyle name="Footnote 1" xfId="285" xr:uid="{00000000-0005-0000-0000-0000D5000000}"/>
    <cellStyle name="Good 1" xfId="286" xr:uid="{00000000-0005-0000-0000-0000D6000000}"/>
    <cellStyle name="Good 2" xfId="87" xr:uid="{00000000-0005-0000-0000-0000D7000000}"/>
    <cellStyle name="Good 2 2" xfId="950" xr:uid="{00000000-0005-0000-0000-0000D8000000}"/>
    <cellStyle name="Good 3" xfId="88" xr:uid="{00000000-0005-0000-0000-0000D9000000}"/>
    <cellStyle name="Good 3 2" xfId="951" xr:uid="{00000000-0005-0000-0000-0000DA000000}"/>
    <cellStyle name="Heading 1 1" xfId="287" xr:uid="{00000000-0005-0000-0000-0000DB000000}"/>
    <cellStyle name="Heading 1 2" xfId="89" xr:uid="{00000000-0005-0000-0000-0000DC000000}"/>
    <cellStyle name="Heading 1 2 10" xfId="457" xr:uid="{00000000-0005-0000-0000-0000DD000000}"/>
    <cellStyle name="Heading 1 2 2" xfId="193" xr:uid="{00000000-0005-0000-0000-0000DE000000}"/>
    <cellStyle name="Heading 1 2 2 2" xfId="323" xr:uid="{00000000-0005-0000-0000-0000DF000000}"/>
    <cellStyle name="Heading 1 2 2 2 2" xfId="868" xr:uid="{00000000-0005-0000-0000-0000E0000000}"/>
    <cellStyle name="Heading 1 2 2 3" xfId="384" xr:uid="{00000000-0005-0000-0000-0000E1000000}"/>
    <cellStyle name="Heading 1 2 2 4" xfId="458" xr:uid="{00000000-0005-0000-0000-0000E2000000}"/>
    <cellStyle name="Heading 1 2 2 5" xfId="459" xr:uid="{00000000-0005-0000-0000-0000E3000000}"/>
    <cellStyle name="Heading 1 2 2 6" xfId="460" xr:uid="{00000000-0005-0000-0000-0000E4000000}"/>
    <cellStyle name="Heading 1 2 2 7" xfId="461" xr:uid="{00000000-0005-0000-0000-0000E5000000}"/>
    <cellStyle name="Heading 1 2 2 8" xfId="462" xr:uid="{00000000-0005-0000-0000-0000E6000000}"/>
    <cellStyle name="Heading 1 2 3" xfId="318" xr:uid="{00000000-0005-0000-0000-0000E7000000}"/>
    <cellStyle name="Heading 1 2 3 2" xfId="377" xr:uid="{00000000-0005-0000-0000-0000E8000000}"/>
    <cellStyle name="Heading 1 2 4" xfId="349" xr:uid="{00000000-0005-0000-0000-0000E9000000}"/>
    <cellStyle name="Heading 1 2 5" xfId="463" xr:uid="{00000000-0005-0000-0000-0000EA000000}"/>
    <cellStyle name="Heading 1 2 6" xfId="464" xr:uid="{00000000-0005-0000-0000-0000EB000000}"/>
    <cellStyle name="Heading 1 2 7" xfId="465" xr:uid="{00000000-0005-0000-0000-0000EC000000}"/>
    <cellStyle name="Heading 1 2 8" xfId="466" xr:uid="{00000000-0005-0000-0000-0000ED000000}"/>
    <cellStyle name="Heading 1 2 9" xfId="467" xr:uid="{00000000-0005-0000-0000-0000EE000000}"/>
    <cellStyle name="Heading 1 3" xfId="90" xr:uid="{00000000-0005-0000-0000-0000EF000000}"/>
    <cellStyle name="Heading 1 3 10" xfId="468" xr:uid="{00000000-0005-0000-0000-0000F0000000}"/>
    <cellStyle name="Heading 1 3 2" xfId="194" xr:uid="{00000000-0005-0000-0000-0000F1000000}"/>
    <cellStyle name="Heading 1 3 2 2" xfId="324" xr:uid="{00000000-0005-0000-0000-0000F2000000}"/>
    <cellStyle name="Heading 1 3 2 2 2" xfId="869" xr:uid="{00000000-0005-0000-0000-0000F3000000}"/>
    <cellStyle name="Heading 1 3 2 3" xfId="385" xr:uid="{00000000-0005-0000-0000-0000F4000000}"/>
    <cellStyle name="Heading 1 3 2 4" xfId="469" xr:uid="{00000000-0005-0000-0000-0000F5000000}"/>
    <cellStyle name="Heading 1 3 2 5" xfId="470" xr:uid="{00000000-0005-0000-0000-0000F6000000}"/>
    <cellStyle name="Heading 1 3 2 6" xfId="471" xr:uid="{00000000-0005-0000-0000-0000F7000000}"/>
    <cellStyle name="Heading 1 3 2 7" xfId="472" xr:uid="{00000000-0005-0000-0000-0000F8000000}"/>
    <cellStyle name="Heading 1 3 2 8" xfId="473" xr:uid="{00000000-0005-0000-0000-0000F9000000}"/>
    <cellStyle name="Heading 1 3 3" xfId="319" xr:uid="{00000000-0005-0000-0000-0000FA000000}"/>
    <cellStyle name="Heading 1 3 3 2" xfId="378" xr:uid="{00000000-0005-0000-0000-0000FB000000}"/>
    <cellStyle name="Heading 1 3 4" xfId="350" xr:uid="{00000000-0005-0000-0000-0000FC000000}"/>
    <cellStyle name="Heading 1 3 5" xfId="474" xr:uid="{00000000-0005-0000-0000-0000FD000000}"/>
    <cellStyle name="Heading 1 3 6" xfId="475" xr:uid="{00000000-0005-0000-0000-0000FE000000}"/>
    <cellStyle name="Heading 1 3 7" xfId="476" xr:uid="{00000000-0005-0000-0000-0000FF000000}"/>
    <cellStyle name="Heading 1 3 8" xfId="477" xr:uid="{00000000-0005-0000-0000-000000010000}"/>
    <cellStyle name="Heading 1 3 9" xfId="478" xr:uid="{00000000-0005-0000-0000-000001010000}"/>
    <cellStyle name="Heading 2 1" xfId="288" xr:uid="{00000000-0005-0000-0000-000002010000}"/>
    <cellStyle name="Heading 2 2" xfId="91" xr:uid="{00000000-0005-0000-0000-000003010000}"/>
    <cellStyle name="Heading 2 2 10" xfId="479" xr:uid="{00000000-0005-0000-0000-000004010000}"/>
    <cellStyle name="Heading 2 2 2" xfId="195" xr:uid="{00000000-0005-0000-0000-000005010000}"/>
    <cellStyle name="Heading 2 2 2 2" xfId="325" xr:uid="{00000000-0005-0000-0000-000006010000}"/>
    <cellStyle name="Heading 2 2 2 2 2" xfId="870" xr:uid="{00000000-0005-0000-0000-000007010000}"/>
    <cellStyle name="Heading 2 2 2 3" xfId="386" xr:uid="{00000000-0005-0000-0000-000008010000}"/>
    <cellStyle name="Heading 2 2 2 4" xfId="480" xr:uid="{00000000-0005-0000-0000-000009010000}"/>
    <cellStyle name="Heading 2 2 2 5" xfId="481" xr:uid="{00000000-0005-0000-0000-00000A010000}"/>
    <cellStyle name="Heading 2 2 2 6" xfId="482" xr:uid="{00000000-0005-0000-0000-00000B010000}"/>
    <cellStyle name="Heading 2 2 2 7" xfId="483" xr:uid="{00000000-0005-0000-0000-00000C010000}"/>
    <cellStyle name="Heading 2 2 3" xfId="320" xr:uid="{00000000-0005-0000-0000-00000D010000}"/>
    <cellStyle name="Heading 2 2 3 2" xfId="379" xr:uid="{00000000-0005-0000-0000-00000E010000}"/>
    <cellStyle name="Heading 2 2 4" xfId="351" xr:uid="{00000000-0005-0000-0000-00000F010000}"/>
    <cellStyle name="Heading 2 2 5" xfId="484" xr:uid="{00000000-0005-0000-0000-000010010000}"/>
    <cellStyle name="Heading 2 2 6" xfId="485" xr:uid="{00000000-0005-0000-0000-000011010000}"/>
    <cellStyle name="Heading 2 2 7" xfId="486" xr:uid="{00000000-0005-0000-0000-000012010000}"/>
    <cellStyle name="Heading 2 2 8" xfId="487" xr:uid="{00000000-0005-0000-0000-000013010000}"/>
    <cellStyle name="Heading 2 2 9" xfId="488" xr:uid="{00000000-0005-0000-0000-000014010000}"/>
    <cellStyle name="Heading 2 3" xfId="92" xr:uid="{00000000-0005-0000-0000-000015010000}"/>
    <cellStyle name="Heading 2 3 10" xfId="489" xr:uid="{00000000-0005-0000-0000-000016010000}"/>
    <cellStyle name="Heading 2 3 2" xfId="196" xr:uid="{00000000-0005-0000-0000-000017010000}"/>
    <cellStyle name="Heading 2 3 2 2" xfId="326" xr:uid="{00000000-0005-0000-0000-000018010000}"/>
    <cellStyle name="Heading 2 3 2 2 2" xfId="871" xr:uid="{00000000-0005-0000-0000-000019010000}"/>
    <cellStyle name="Heading 2 3 2 3" xfId="387" xr:uid="{00000000-0005-0000-0000-00001A010000}"/>
    <cellStyle name="Heading 2 3 2 4" xfId="490" xr:uid="{00000000-0005-0000-0000-00001B010000}"/>
    <cellStyle name="Heading 2 3 2 5" xfId="491" xr:uid="{00000000-0005-0000-0000-00001C010000}"/>
    <cellStyle name="Heading 2 3 2 6" xfId="492" xr:uid="{00000000-0005-0000-0000-00001D010000}"/>
    <cellStyle name="Heading 2 3 2 7" xfId="493" xr:uid="{00000000-0005-0000-0000-00001E010000}"/>
    <cellStyle name="Heading 2 3 3" xfId="321" xr:uid="{00000000-0005-0000-0000-00001F010000}"/>
    <cellStyle name="Heading 2 3 3 2" xfId="380" xr:uid="{00000000-0005-0000-0000-000020010000}"/>
    <cellStyle name="Heading 2 3 4" xfId="352" xr:uid="{00000000-0005-0000-0000-000021010000}"/>
    <cellStyle name="Heading 2 3 5" xfId="494" xr:uid="{00000000-0005-0000-0000-000022010000}"/>
    <cellStyle name="Heading 2 3 6" xfId="495" xr:uid="{00000000-0005-0000-0000-000023010000}"/>
    <cellStyle name="Heading 2 3 7" xfId="496" xr:uid="{00000000-0005-0000-0000-000024010000}"/>
    <cellStyle name="Heading 2 3 8" xfId="497" xr:uid="{00000000-0005-0000-0000-000025010000}"/>
    <cellStyle name="Heading 2 3 9" xfId="498" xr:uid="{00000000-0005-0000-0000-000026010000}"/>
    <cellStyle name="Heading 3 2" xfId="93" xr:uid="{00000000-0005-0000-0000-000027010000}"/>
    <cellStyle name="Heading 3 3" xfId="94" xr:uid="{00000000-0005-0000-0000-000028010000}"/>
    <cellStyle name="Heading 4 2" xfId="95" xr:uid="{00000000-0005-0000-0000-000029010000}"/>
    <cellStyle name="Heading 4 3" xfId="96" xr:uid="{00000000-0005-0000-0000-00002A010000}"/>
    <cellStyle name="Hyperlink 1" xfId="289" xr:uid="{00000000-0005-0000-0000-00002B010000}"/>
    <cellStyle name="Hyperlink 2" xfId="97" xr:uid="{00000000-0005-0000-0000-00002C010000}"/>
    <cellStyle name="Hyperlink 2 2" xfId="499" xr:uid="{00000000-0005-0000-0000-00002D010000}"/>
    <cellStyle name="Hyperlink 3" xfId="500" xr:uid="{00000000-0005-0000-0000-00002E010000}"/>
    <cellStyle name="Input 2" xfId="98" xr:uid="{00000000-0005-0000-0000-00002F010000}"/>
    <cellStyle name="Input 2 2" xfId="355" xr:uid="{00000000-0005-0000-0000-000030010000}"/>
    <cellStyle name="Input 2 2 2" xfId="501" xr:uid="{00000000-0005-0000-0000-000031010000}"/>
    <cellStyle name="Input 2 2 2 2" xfId="954" xr:uid="{00000000-0005-0000-0000-000032010000}"/>
    <cellStyle name="Input 2 2 3" xfId="502" xr:uid="{00000000-0005-0000-0000-000033010000}"/>
    <cellStyle name="Input 2 2 3 2" xfId="955" xr:uid="{00000000-0005-0000-0000-000034010000}"/>
    <cellStyle name="Input 2 2 4" xfId="953" xr:uid="{00000000-0005-0000-0000-000035010000}"/>
    <cellStyle name="Input 2 3" xfId="368" xr:uid="{00000000-0005-0000-0000-000036010000}"/>
    <cellStyle name="Input 2 3 2" xfId="503" xr:uid="{00000000-0005-0000-0000-000037010000}"/>
    <cellStyle name="Input 2 3 2 2" xfId="957" xr:uid="{00000000-0005-0000-0000-000038010000}"/>
    <cellStyle name="Input 2 3 3" xfId="504" xr:uid="{00000000-0005-0000-0000-000039010000}"/>
    <cellStyle name="Input 2 3 3 2" xfId="958" xr:uid="{00000000-0005-0000-0000-00003A010000}"/>
    <cellStyle name="Input 2 3 4" xfId="956" xr:uid="{00000000-0005-0000-0000-00003B010000}"/>
    <cellStyle name="Input 2 4" xfId="505" xr:uid="{00000000-0005-0000-0000-00003C010000}"/>
    <cellStyle name="Input 2 4 2" xfId="959" xr:uid="{00000000-0005-0000-0000-00003D010000}"/>
    <cellStyle name="Input 2 5" xfId="506" xr:uid="{00000000-0005-0000-0000-00003E010000}"/>
    <cellStyle name="Input 2 5 2" xfId="960" xr:uid="{00000000-0005-0000-0000-00003F010000}"/>
    <cellStyle name="Input 2 6" xfId="952" xr:uid="{00000000-0005-0000-0000-000040010000}"/>
    <cellStyle name="Input 3" xfId="99" xr:uid="{00000000-0005-0000-0000-000041010000}"/>
    <cellStyle name="Input 3 2" xfId="356" xr:uid="{00000000-0005-0000-0000-000042010000}"/>
    <cellStyle name="Input 3 2 2" xfId="507" xr:uid="{00000000-0005-0000-0000-000043010000}"/>
    <cellStyle name="Input 3 2 2 2" xfId="963" xr:uid="{00000000-0005-0000-0000-000044010000}"/>
    <cellStyle name="Input 3 2 3" xfId="508" xr:uid="{00000000-0005-0000-0000-000045010000}"/>
    <cellStyle name="Input 3 2 3 2" xfId="964" xr:uid="{00000000-0005-0000-0000-000046010000}"/>
    <cellStyle name="Input 3 2 4" xfId="962" xr:uid="{00000000-0005-0000-0000-000047010000}"/>
    <cellStyle name="Input 3 3" xfId="369" xr:uid="{00000000-0005-0000-0000-000048010000}"/>
    <cellStyle name="Input 3 3 2" xfId="509" xr:uid="{00000000-0005-0000-0000-000049010000}"/>
    <cellStyle name="Input 3 3 2 2" xfId="966" xr:uid="{00000000-0005-0000-0000-00004A010000}"/>
    <cellStyle name="Input 3 3 3" xfId="510" xr:uid="{00000000-0005-0000-0000-00004B010000}"/>
    <cellStyle name="Input 3 3 3 2" xfId="967" xr:uid="{00000000-0005-0000-0000-00004C010000}"/>
    <cellStyle name="Input 3 3 4" xfId="965" xr:uid="{00000000-0005-0000-0000-00004D010000}"/>
    <cellStyle name="Input 3 4" xfId="511" xr:uid="{00000000-0005-0000-0000-00004E010000}"/>
    <cellStyle name="Input 3 4 2" xfId="968" xr:uid="{00000000-0005-0000-0000-00004F010000}"/>
    <cellStyle name="Input 3 5" xfId="512" xr:uid="{00000000-0005-0000-0000-000050010000}"/>
    <cellStyle name="Input 3 5 2" xfId="969" xr:uid="{00000000-0005-0000-0000-000051010000}"/>
    <cellStyle name="Input 3 6" xfId="961" xr:uid="{00000000-0005-0000-0000-000052010000}"/>
    <cellStyle name="Linked Cell 2" xfId="100" xr:uid="{00000000-0005-0000-0000-000053010000}"/>
    <cellStyle name="Linked Cell 3" xfId="101" xr:uid="{00000000-0005-0000-0000-000054010000}"/>
    <cellStyle name="Neutral 1" xfId="290" xr:uid="{00000000-0005-0000-0000-000055010000}"/>
    <cellStyle name="Neutral 2" xfId="102" xr:uid="{00000000-0005-0000-0000-000056010000}"/>
    <cellStyle name="Neutral 2 2" xfId="970" xr:uid="{00000000-0005-0000-0000-000057010000}"/>
    <cellStyle name="Neutral 3" xfId="103" xr:uid="{00000000-0005-0000-0000-000058010000}"/>
    <cellStyle name="Neutral 3 2" xfId="971" xr:uid="{00000000-0005-0000-0000-000059010000}"/>
    <cellStyle name="Normal" xfId="0" builtinId="0"/>
    <cellStyle name="Normal 10" xfId="104" xr:uid="{00000000-0005-0000-0000-00005B010000}"/>
    <cellStyle name="Normal 10 2" xfId="400" xr:uid="{00000000-0005-0000-0000-00005C010000}"/>
    <cellStyle name="Normal 11" xfId="105" xr:uid="{00000000-0005-0000-0000-00005D010000}"/>
    <cellStyle name="Normal 11 2" xfId="401" xr:uid="{00000000-0005-0000-0000-00005E010000}"/>
    <cellStyle name="Normal 11 2 2" xfId="513" xr:uid="{00000000-0005-0000-0000-00005F010000}"/>
    <cellStyle name="Normal 11 2 2 2" xfId="514" xr:uid="{00000000-0005-0000-0000-000060010000}"/>
    <cellStyle name="Normal 11 2 3" xfId="515" xr:uid="{00000000-0005-0000-0000-000061010000}"/>
    <cellStyle name="Normal 11 3" xfId="516" xr:uid="{00000000-0005-0000-0000-000062010000}"/>
    <cellStyle name="Normal 11 3 2" xfId="517" xr:uid="{00000000-0005-0000-0000-000063010000}"/>
    <cellStyle name="Normal 11 4" xfId="518" xr:uid="{00000000-0005-0000-0000-000064010000}"/>
    <cellStyle name="Normal 12" xfId="27" xr:uid="{00000000-0005-0000-0000-000065010000}"/>
    <cellStyle name="Normal 12 2" xfId="402" xr:uid="{00000000-0005-0000-0000-000066010000}"/>
    <cellStyle name="Normal 12 2 2" xfId="519" xr:uid="{00000000-0005-0000-0000-000067010000}"/>
    <cellStyle name="Normal 12 2 2 2" xfId="296" xr:uid="{00000000-0005-0000-0000-000068010000}"/>
    <cellStyle name="Normal 12 2 2 2 2" xfId="520" xr:uid="{00000000-0005-0000-0000-000069010000}"/>
    <cellStyle name="Normal 12 2 2 2 2 2" xfId="521" xr:uid="{00000000-0005-0000-0000-00006A010000}"/>
    <cellStyle name="Normal 12 2 2 2 2 2 2" xfId="522" xr:uid="{00000000-0005-0000-0000-00006B010000}"/>
    <cellStyle name="Normal 12 2 2 2 2 2 2 2" xfId="523" xr:uid="{00000000-0005-0000-0000-00006C010000}"/>
    <cellStyle name="Normal 12 2 2 2 2 2 2 2 3 2 2 2 2" xfId="524" xr:uid="{00000000-0005-0000-0000-00006D010000}"/>
    <cellStyle name="Normal 12 3" xfId="525" xr:uid="{00000000-0005-0000-0000-00006E010000}"/>
    <cellStyle name="Normal 13" xfId="28" xr:uid="{00000000-0005-0000-0000-00006F010000}"/>
    <cellStyle name="Normal 13 2" xfId="392" xr:uid="{00000000-0005-0000-0000-000070010000}"/>
    <cellStyle name="Normal 13 2 2" xfId="403" xr:uid="{00000000-0005-0000-0000-000071010000}"/>
    <cellStyle name="Normal 14" xfId="186" xr:uid="{00000000-0005-0000-0000-000072010000}"/>
    <cellStyle name="Normal 14 2" xfId="197" xr:uid="{00000000-0005-0000-0000-000073010000}"/>
    <cellStyle name="Normal 14 3" xfId="526" xr:uid="{00000000-0005-0000-0000-000074010000}"/>
    <cellStyle name="Normal 15" xfId="106" xr:uid="{00000000-0005-0000-0000-000075010000}"/>
    <cellStyle name="Normal 15 2" xfId="405" xr:uid="{00000000-0005-0000-0000-000076010000}"/>
    <cellStyle name="Normal 15 3" xfId="404" xr:uid="{00000000-0005-0000-0000-000077010000}"/>
    <cellStyle name="Normal 16" xfId="198" xr:uid="{00000000-0005-0000-0000-000078010000}"/>
    <cellStyle name="Normal 16 2" xfId="388" xr:uid="{00000000-0005-0000-0000-000079010000}"/>
    <cellStyle name="Normal 16 3" xfId="376" xr:uid="{00000000-0005-0000-0000-00007A010000}"/>
    <cellStyle name="Normal 16 4" xfId="527" xr:uid="{00000000-0005-0000-0000-00007B010000}"/>
    <cellStyle name="Normal 17" xfId="390" xr:uid="{00000000-0005-0000-0000-00007C010000}"/>
    <cellStyle name="Normal 17 2" xfId="528" xr:uid="{00000000-0005-0000-0000-00007D010000}"/>
    <cellStyle name="Normal 17 3" xfId="529" xr:uid="{00000000-0005-0000-0000-00007E010000}"/>
    <cellStyle name="Normal 17 4" xfId="872" xr:uid="{00000000-0005-0000-0000-00007F010000}"/>
    <cellStyle name="Normal 18" xfId="107" xr:uid="{00000000-0005-0000-0000-000080010000}"/>
    <cellStyle name="Normal 18 2" xfId="530" xr:uid="{00000000-0005-0000-0000-000081010000}"/>
    <cellStyle name="Normal 18 2 2" xfId="531" xr:uid="{00000000-0005-0000-0000-000082010000}"/>
    <cellStyle name="Normal 18 3" xfId="532" xr:uid="{00000000-0005-0000-0000-000083010000}"/>
    <cellStyle name="Normal 19" xfId="391" xr:uid="{00000000-0005-0000-0000-000084010000}"/>
    <cellStyle name="Normal 19 2" xfId="873" xr:uid="{00000000-0005-0000-0000-000085010000}"/>
    <cellStyle name="Normal 2" xfId="1" xr:uid="{00000000-0005-0000-0000-000086010000}"/>
    <cellStyle name="Normal 2 10" xfId="533" xr:uid="{00000000-0005-0000-0000-000087010000}"/>
    <cellStyle name="Normal 2 10 2" xfId="534" xr:uid="{00000000-0005-0000-0000-000088010000}"/>
    <cellStyle name="Normal 2 11" xfId="535" xr:uid="{00000000-0005-0000-0000-000089010000}"/>
    <cellStyle name="Normal 2 12" xfId="865" xr:uid="{00000000-0005-0000-0000-00008A010000}"/>
    <cellStyle name="Normal 2 2" xfId="8" xr:uid="{00000000-0005-0000-0000-00008B010000}"/>
    <cellStyle name="Normal 2 2 10" xfId="536" xr:uid="{00000000-0005-0000-0000-00008C010000}"/>
    <cellStyle name="Normal 2 2 11" xfId="537" xr:uid="{00000000-0005-0000-0000-00008D010000}"/>
    <cellStyle name="Normal 2 2 12" xfId="538" xr:uid="{00000000-0005-0000-0000-00008E010000}"/>
    <cellStyle name="Normal 2 2 13" xfId="539" xr:uid="{00000000-0005-0000-0000-00008F010000}"/>
    <cellStyle name="Normal 2 2 14" xfId="540" xr:uid="{00000000-0005-0000-0000-000090010000}"/>
    <cellStyle name="Normal 2 2 15" xfId="541" xr:uid="{00000000-0005-0000-0000-000091010000}"/>
    <cellStyle name="Normal 2 2 16" xfId="542" xr:uid="{00000000-0005-0000-0000-000092010000}"/>
    <cellStyle name="Normal 2 2 17" xfId="543" xr:uid="{00000000-0005-0000-0000-000093010000}"/>
    <cellStyle name="Normal 2 2 18" xfId="544" xr:uid="{00000000-0005-0000-0000-000094010000}"/>
    <cellStyle name="Normal 2 2 19" xfId="545" xr:uid="{00000000-0005-0000-0000-000095010000}"/>
    <cellStyle name="Normal 2 2 2" xfId="109" xr:uid="{00000000-0005-0000-0000-000096010000}"/>
    <cellStyle name="Normal 2 2 2 10" xfId="546" xr:uid="{00000000-0005-0000-0000-000097010000}"/>
    <cellStyle name="Normal 2 2 2 11" xfId="547" xr:uid="{00000000-0005-0000-0000-000098010000}"/>
    <cellStyle name="Normal 2 2 2 12" xfId="548" xr:uid="{00000000-0005-0000-0000-000099010000}"/>
    <cellStyle name="Normal 2 2 2 13" xfId="549" xr:uid="{00000000-0005-0000-0000-00009A010000}"/>
    <cellStyle name="Normal 2 2 2 14" xfId="550" xr:uid="{00000000-0005-0000-0000-00009B010000}"/>
    <cellStyle name="Normal 2 2 2 15" xfId="551" xr:uid="{00000000-0005-0000-0000-00009C010000}"/>
    <cellStyle name="Normal 2 2 2 16" xfId="552" xr:uid="{00000000-0005-0000-0000-00009D010000}"/>
    <cellStyle name="Normal 2 2 2 17" xfId="553" xr:uid="{00000000-0005-0000-0000-00009E010000}"/>
    <cellStyle name="Normal 2 2 2 18" xfId="554" xr:uid="{00000000-0005-0000-0000-00009F010000}"/>
    <cellStyle name="Normal 2 2 2 19" xfId="555" xr:uid="{00000000-0005-0000-0000-0000A0010000}"/>
    <cellStyle name="Normal 2 2 2 2" xfId="199" xr:uid="{00000000-0005-0000-0000-0000A1010000}"/>
    <cellStyle name="Normal 2 2 2 2 10" xfId="556" xr:uid="{00000000-0005-0000-0000-0000A2010000}"/>
    <cellStyle name="Normal 2 2 2 2 11" xfId="557" xr:uid="{00000000-0005-0000-0000-0000A3010000}"/>
    <cellStyle name="Normal 2 2 2 2 12" xfId="558" xr:uid="{00000000-0005-0000-0000-0000A4010000}"/>
    <cellStyle name="Normal 2 2 2 2 13" xfId="559" xr:uid="{00000000-0005-0000-0000-0000A5010000}"/>
    <cellStyle name="Normal 2 2 2 2 14" xfId="560" xr:uid="{00000000-0005-0000-0000-0000A6010000}"/>
    <cellStyle name="Normal 2 2 2 2 15" xfId="561" xr:uid="{00000000-0005-0000-0000-0000A7010000}"/>
    <cellStyle name="Normal 2 2 2 2 16" xfId="562" xr:uid="{00000000-0005-0000-0000-0000A8010000}"/>
    <cellStyle name="Normal 2 2 2 2 17" xfId="563" xr:uid="{00000000-0005-0000-0000-0000A9010000}"/>
    <cellStyle name="Normal 2 2 2 2 18" xfId="564" xr:uid="{00000000-0005-0000-0000-0000AA010000}"/>
    <cellStyle name="Normal 2 2 2 2 19" xfId="565" xr:uid="{00000000-0005-0000-0000-0000AB010000}"/>
    <cellStyle name="Normal 2 2 2 2 2" xfId="200" xr:uid="{00000000-0005-0000-0000-0000AC010000}"/>
    <cellStyle name="Normal 2 2 2 2 2 10" xfId="566" xr:uid="{00000000-0005-0000-0000-0000AD010000}"/>
    <cellStyle name="Normal 2 2 2 2 2 11" xfId="567" xr:uid="{00000000-0005-0000-0000-0000AE010000}"/>
    <cellStyle name="Normal 2 2 2 2 2 12" xfId="568" xr:uid="{00000000-0005-0000-0000-0000AF010000}"/>
    <cellStyle name="Normal 2 2 2 2 2 13" xfId="569" xr:uid="{00000000-0005-0000-0000-0000B0010000}"/>
    <cellStyle name="Normal 2 2 2 2 2 14" xfId="570" xr:uid="{00000000-0005-0000-0000-0000B1010000}"/>
    <cellStyle name="Normal 2 2 2 2 2 15" xfId="571" xr:uid="{00000000-0005-0000-0000-0000B2010000}"/>
    <cellStyle name="Normal 2 2 2 2 2 16" xfId="572" xr:uid="{00000000-0005-0000-0000-0000B3010000}"/>
    <cellStyle name="Normal 2 2 2 2 2 17" xfId="573" xr:uid="{00000000-0005-0000-0000-0000B4010000}"/>
    <cellStyle name="Normal 2 2 2 2 2 18" xfId="574" xr:uid="{00000000-0005-0000-0000-0000B5010000}"/>
    <cellStyle name="Normal 2 2 2 2 2 19" xfId="575" xr:uid="{00000000-0005-0000-0000-0000B6010000}"/>
    <cellStyle name="Normal 2 2 2 2 2 2" xfId="576" xr:uid="{00000000-0005-0000-0000-0000B7010000}"/>
    <cellStyle name="Normal 2 2 2 2 2 20" xfId="577" xr:uid="{00000000-0005-0000-0000-0000B8010000}"/>
    <cellStyle name="Normal 2 2 2 2 2 21" xfId="578" xr:uid="{00000000-0005-0000-0000-0000B9010000}"/>
    <cellStyle name="Normal 2 2 2 2 2 22" xfId="579" xr:uid="{00000000-0005-0000-0000-0000BA010000}"/>
    <cellStyle name="Normal 2 2 2 2 2 23" xfId="580" xr:uid="{00000000-0005-0000-0000-0000BB010000}"/>
    <cellStyle name="Normal 2 2 2 2 2 24" xfId="581" xr:uid="{00000000-0005-0000-0000-0000BC010000}"/>
    <cellStyle name="Normal 2 2 2 2 2 3" xfId="582" xr:uid="{00000000-0005-0000-0000-0000BD010000}"/>
    <cellStyle name="Normal 2 2 2 2 2 4" xfId="583" xr:uid="{00000000-0005-0000-0000-0000BE010000}"/>
    <cellStyle name="Normal 2 2 2 2 2 5" xfId="584" xr:uid="{00000000-0005-0000-0000-0000BF010000}"/>
    <cellStyle name="Normal 2 2 2 2 2 6" xfId="585" xr:uid="{00000000-0005-0000-0000-0000C0010000}"/>
    <cellStyle name="Normal 2 2 2 2 2 7" xfId="586" xr:uid="{00000000-0005-0000-0000-0000C1010000}"/>
    <cellStyle name="Normal 2 2 2 2 2 8" xfId="587" xr:uid="{00000000-0005-0000-0000-0000C2010000}"/>
    <cellStyle name="Normal 2 2 2 2 2 9" xfId="588" xr:uid="{00000000-0005-0000-0000-0000C3010000}"/>
    <cellStyle name="Normal 2 2 2 2 20" xfId="589" xr:uid="{00000000-0005-0000-0000-0000C4010000}"/>
    <cellStyle name="Normal 2 2 2 2 21" xfId="590" xr:uid="{00000000-0005-0000-0000-0000C5010000}"/>
    <cellStyle name="Normal 2 2 2 2 22" xfId="591" xr:uid="{00000000-0005-0000-0000-0000C6010000}"/>
    <cellStyle name="Normal 2 2 2 2 23" xfId="592" xr:uid="{00000000-0005-0000-0000-0000C7010000}"/>
    <cellStyle name="Normal 2 2 2 2 24" xfId="593" xr:uid="{00000000-0005-0000-0000-0000C8010000}"/>
    <cellStyle name="Normal 2 2 2 2 25" xfId="594" xr:uid="{00000000-0005-0000-0000-0000C9010000}"/>
    <cellStyle name="Normal 2 2 2 2 26" xfId="595" xr:uid="{00000000-0005-0000-0000-0000CA010000}"/>
    <cellStyle name="Normal 2 2 2 2 3" xfId="596" xr:uid="{00000000-0005-0000-0000-0000CB010000}"/>
    <cellStyle name="Normal 2 2 2 2 3 2" xfId="597" xr:uid="{00000000-0005-0000-0000-0000CC010000}"/>
    <cellStyle name="Normal 2 2 2 2 3 2 2" xfId="598" xr:uid="{00000000-0005-0000-0000-0000CD010000}"/>
    <cellStyle name="Normal 2 2 2 2 3 2 2 2" xfId="599" xr:uid="{00000000-0005-0000-0000-0000CE010000}"/>
    <cellStyle name="Normal 2 2 2 2 3 2 2 2 2" xfId="600" xr:uid="{00000000-0005-0000-0000-0000CF010000}"/>
    <cellStyle name="Normal 2 2 2 2 3 2 2 2 2 2" xfId="601" xr:uid="{00000000-0005-0000-0000-0000D0010000}"/>
    <cellStyle name="Normal 2 2 2 2 3 2 2 2 2 2 2" xfId="602" xr:uid="{00000000-0005-0000-0000-0000D1010000}"/>
    <cellStyle name="Normal 2 2 2 2 3 2 2 2 2 2 2 2" xfId="298" xr:uid="{00000000-0005-0000-0000-0000D2010000}"/>
    <cellStyle name="Normal 2 2 2 2 3 2 2 2 2 2 2 2 2" xfId="603" xr:uid="{00000000-0005-0000-0000-0000D3010000}"/>
    <cellStyle name="Normal 2 2 2 2 3 2 2 2 2 2 2 2 2 2" xfId="604" xr:uid="{00000000-0005-0000-0000-0000D4010000}"/>
    <cellStyle name="Normal 2 2 2 2 3 2 2 2 2 2 2 2 2 2 2" xfId="605" xr:uid="{00000000-0005-0000-0000-0000D5010000}"/>
    <cellStyle name="Normal 2 2 2 2 3 2 2 2 2 2 2 2 2 2 2 2" xfId="299" xr:uid="{00000000-0005-0000-0000-0000D6010000}"/>
    <cellStyle name="Normal 2 2 2 2 3 2 2 2 2 2 2 2 2 2 2 2 3" xfId="327" xr:uid="{00000000-0005-0000-0000-0000D7010000}"/>
    <cellStyle name="Normal 2 2 2 2 3 2 2 2 2 2 2 2 2 2 2 2 3 2 2 2 2" xfId="606" xr:uid="{00000000-0005-0000-0000-0000D8010000}"/>
    <cellStyle name="Normal 2 2 2 2 3 2 2 2 2 2 2 2 2 2 2 2 3 2 2 2 2 2" xfId="607" xr:uid="{00000000-0005-0000-0000-0000D9010000}"/>
    <cellStyle name="Normal 2 2 2 2 3 2 2 2 2 2 2 2 2 2 2 2 3 2 2 2 2 2 2" xfId="608" xr:uid="{00000000-0005-0000-0000-0000DA010000}"/>
    <cellStyle name="Normal 2 2 2 2 3 2 2 2 2 2 2 2 2 2 2 2 3 2 2 2 2 2 2 2" xfId="609" xr:uid="{00000000-0005-0000-0000-0000DB010000}"/>
    <cellStyle name="Normal 2 2 2 2 3 2 2 2 2 2 2 2 2 2 2 2 3 2 2 2 2 2 2 2 2" xfId="610" xr:uid="{00000000-0005-0000-0000-0000DC010000}"/>
    <cellStyle name="Normal 2 2 2 2 3 2 2 2 2 2 2 2 2 2 2 2 3 2 2 2 2 2 2 3" xfId="611" xr:uid="{00000000-0005-0000-0000-0000DD010000}"/>
    <cellStyle name="Normal 2 2 2 2 3 2 2 2 2 2 2 2 2 2 2 2 3 2 2 2 2 2 3" xfId="612" xr:uid="{00000000-0005-0000-0000-0000DE010000}"/>
    <cellStyle name="Normal 2 2 2 2 3 2 2 2 2 2 2 2 2 2 2 2 3 2 2 2 2 2 3 2" xfId="613" xr:uid="{00000000-0005-0000-0000-0000DF010000}"/>
    <cellStyle name="Normal 2 2 2 2 3 2 2 2 2 2 2 2 2 2 2 2 3 2 2 2 2 2 4" xfId="614" xr:uid="{00000000-0005-0000-0000-0000E0010000}"/>
    <cellStyle name="Normal 2 2 2 2 3 2 2 2 2 2 2 2 2 2 2 2 3 2 2 2 2 3" xfId="615" xr:uid="{00000000-0005-0000-0000-0000E1010000}"/>
    <cellStyle name="Normal 2 2 2 2 3 2 2 2 2 2 2 2 2 2 2 2 3 2 2 2 2 3 2" xfId="616" xr:uid="{00000000-0005-0000-0000-0000E2010000}"/>
    <cellStyle name="Normal 2 2 2 2 3 2 2 2 2 2 2 2 2 2 2 2 3 2 2 2 2 3 2 2" xfId="617" xr:uid="{00000000-0005-0000-0000-0000E3010000}"/>
    <cellStyle name="Normal 2 2 2 2 3 2 2 2 2 2 2 2 2 2 2 2 3 2 2 2 2 3 3" xfId="618" xr:uid="{00000000-0005-0000-0000-0000E4010000}"/>
    <cellStyle name="Normal 2 2 2 2 3 2 2 2 2 2 2 2 2 2 2 2 3 2 2 2 2 4" xfId="619" xr:uid="{00000000-0005-0000-0000-0000E5010000}"/>
    <cellStyle name="Normal 2 2 2 2 3 2 2 2 2 2 2 2 2 2 2 2 3 2 2 2 2 4 2" xfId="620" xr:uid="{00000000-0005-0000-0000-0000E6010000}"/>
    <cellStyle name="Normal 2 2 2 2 3 2 2 2 2 2 2 2 2 2 2 2 3 2 2 2 2 4 2 2" xfId="621" xr:uid="{00000000-0005-0000-0000-0000E7010000}"/>
    <cellStyle name="Normal 2 2 2 2 3 2 2 2 2 2 2 2 2 2 2 2 3 2 2 2 2 4 3" xfId="622" xr:uid="{00000000-0005-0000-0000-0000E8010000}"/>
    <cellStyle name="Normal 2 2 2 2 3 2 2 2 2 2 2 2 2 2 2 2 3 2 2 2 2 5" xfId="623" xr:uid="{00000000-0005-0000-0000-0000E9010000}"/>
    <cellStyle name="Normal 2 2 2 2 3 2 2 2 2 2 2 2 2 2 2 2 3 2 2 2 2 5 2" xfId="624" xr:uid="{00000000-0005-0000-0000-0000EA010000}"/>
    <cellStyle name="Normal 2 2 2 2 3 2 2 2 2 2 2 2 2 2 2 2 3 2 2 2 2 6" xfId="625" xr:uid="{00000000-0005-0000-0000-0000EB010000}"/>
    <cellStyle name="Normal 2 2 2 2 3 2 2 2 2 2 2 2 2 2 2 2 3 2 2 2 2 7" xfId="626" xr:uid="{00000000-0005-0000-0000-0000EC010000}"/>
    <cellStyle name="Normal 2 2 2 2 4" xfId="627" xr:uid="{00000000-0005-0000-0000-0000ED010000}"/>
    <cellStyle name="Normal 2 2 2 2 5" xfId="628" xr:uid="{00000000-0005-0000-0000-0000EE010000}"/>
    <cellStyle name="Normal 2 2 2 2 6" xfId="629" xr:uid="{00000000-0005-0000-0000-0000EF010000}"/>
    <cellStyle name="Normal 2 2 2 2 7" xfId="630" xr:uid="{00000000-0005-0000-0000-0000F0010000}"/>
    <cellStyle name="Normal 2 2 2 2 8" xfId="631" xr:uid="{00000000-0005-0000-0000-0000F1010000}"/>
    <cellStyle name="Normal 2 2 2 2 9" xfId="632" xr:uid="{00000000-0005-0000-0000-0000F2010000}"/>
    <cellStyle name="Normal 2 2 2 20" xfId="633" xr:uid="{00000000-0005-0000-0000-0000F3010000}"/>
    <cellStyle name="Normal 2 2 2 21" xfId="634" xr:uid="{00000000-0005-0000-0000-0000F4010000}"/>
    <cellStyle name="Normal 2 2 2 22" xfId="635" xr:uid="{00000000-0005-0000-0000-0000F5010000}"/>
    <cellStyle name="Normal 2 2 2 23" xfId="636" xr:uid="{00000000-0005-0000-0000-0000F6010000}"/>
    <cellStyle name="Normal 2 2 2 24" xfId="637" xr:uid="{00000000-0005-0000-0000-0000F7010000}"/>
    <cellStyle name="Normal 2 2 2 3" xfId="201" xr:uid="{00000000-0005-0000-0000-0000F8010000}"/>
    <cellStyle name="Normal 2 2 2 3 2" xfId="638" xr:uid="{00000000-0005-0000-0000-0000F9010000}"/>
    <cellStyle name="Normal 2 2 2 4" xfId="639" xr:uid="{00000000-0005-0000-0000-0000FA010000}"/>
    <cellStyle name="Normal 2 2 2 5" xfId="640" xr:uid="{00000000-0005-0000-0000-0000FB010000}"/>
    <cellStyle name="Normal 2 2 2 6" xfId="641" xr:uid="{00000000-0005-0000-0000-0000FC010000}"/>
    <cellStyle name="Normal 2 2 2 7" xfId="642" xr:uid="{00000000-0005-0000-0000-0000FD010000}"/>
    <cellStyle name="Normal 2 2 2 8" xfId="643" xr:uid="{00000000-0005-0000-0000-0000FE010000}"/>
    <cellStyle name="Normal 2 2 2 9" xfId="644" xr:uid="{00000000-0005-0000-0000-0000FF010000}"/>
    <cellStyle name="Normal 2 2 20" xfId="645" xr:uid="{00000000-0005-0000-0000-000000020000}"/>
    <cellStyle name="Normal 2 2 21" xfId="646" xr:uid="{00000000-0005-0000-0000-000001020000}"/>
    <cellStyle name="Normal 2 2 22" xfId="647" xr:uid="{00000000-0005-0000-0000-000002020000}"/>
    <cellStyle name="Normal 2 2 23" xfId="648" xr:uid="{00000000-0005-0000-0000-000003020000}"/>
    <cellStyle name="Normal 2 2 24" xfId="649" xr:uid="{00000000-0005-0000-0000-000004020000}"/>
    <cellStyle name="Normal 2 2 3" xfId="110" xr:uid="{00000000-0005-0000-0000-000005020000}"/>
    <cellStyle name="Normal 2 2 3 2" xfId="650" xr:uid="{00000000-0005-0000-0000-000006020000}"/>
    <cellStyle name="Normal 2 2 4" xfId="111" xr:uid="{00000000-0005-0000-0000-000007020000}"/>
    <cellStyle name="Normal 2 2 4 2" xfId="651" xr:uid="{00000000-0005-0000-0000-000008020000}"/>
    <cellStyle name="Normal 2 2 5" xfId="112" xr:uid="{00000000-0005-0000-0000-000009020000}"/>
    <cellStyle name="Normal 2 2 5 2" xfId="652" xr:uid="{00000000-0005-0000-0000-00000A020000}"/>
    <cellStyle name="Normal 2 2 6" xfId="113" xr:uid="{00000000-0005-0000-0000-00000B020000}"/>
    <cellStyle name="Normal 2 2 6 2" xfId="653" xr:uid="{00000000-0005-0000-0000-00000C020000}"/>
    <cellStyle name="Normal 2 2 7" xfId="114" xr:uid="{00000000-0005-0000-0000-00000D020000}"/>
    <cellStyle name="Normal 2 2 7 2" xfId="654" xr:uid="{00000000-0005-0000-0000-00000E020000}"/>
    <cellStyle name="Normal 2 2 8" xfId="108" xr:uid="{00000000-0005-0000-0000-00000F020000}"/>
    <cellStyle name="Normal 2 2 8 2" xfId="202" xr:uid="{00000000-0005-0000-0000-000010020000}"/>
    <cellStyle name="Normal 2 2 8 2 2" xfId="655" xr:uid="{00000000-0005-0000-0000-000011020000}"/>
    <cellStyle name="Normal 2 2 9" xfId="315" xr:uid="{00000000-0005-0000-0000-000012020000}"/>
    <cellStyle name="Normal 2 2 9 2" xfId="656" xr:uid="{00000000-0005-0000-0000-000013020000}"/>
    <cellStyle name="Normal 2 3" xfId="24" xr:uid="{00000000-0005-0000-0000-000014020000}"/>
    <cellStyle name="Normal 2 3 2" xfId="115" xr:uid="{00000000-0005-0000-0000-000015020000}"/>
    <cellStyle name="Normal 2 3 2 2" xfId="203" xr:uid="{00000000-0005-0000-0000-000016020000}"/>
    <cellStyle name="Normal 2 3 2 2 2" xfId="322" xr:uid="{00000000-0005-0000-0000-000017020000}"/>
    <cellStyle name="Normal 2 3 2 2 2 2" xfId="389" xr:uid="{00000000-0005-0000-0000-000018020000}"/>
    <cellStyle name="Normal 2 3 2 2 3" xfId="657" xr:uid="{00000000-0005-0000-0000-000019020000}"/>
    <cellStyle name="Normal 2 3 2 3" xfId="332" xr:uid="{00000000-0005-0000-0000-00001A020000}"/>
    <cellStyle name="Normal 2 3 3" xfId="317" xr:uid="{00000000-0005-0000-0000-00001B020000}"/>
    <cellStyle name="Normal 2 3 3 2" xfId="342" xr:uid="{00000000-0005-0000-0000-00001C020000}"/>
    <cellStyle name="Normal 2 3 3 2 2" xfId="972" xr:uid="{00000000-0005-0000-0000-00001D020000}"/>
    <cellStyle name="Normal 2 3 4" xfId="300" xr:uid="{00000000-0005-0000-0000-00001E020000}"/>
    <cellStyle name="Normal 2 3 5" xfId="329" xr:uid="{00000000-0005-0000-0000-00001F020000}"/>
    <cellStyle name="Normal 2 3 5 2" xfId="973" xr:uid="{00000000-0005-0000-0000-000020020000}"/>
    <cellStyle name="Normal 2 3 6" xfId="658" xr:uid="{00000000-0005-0000-0000-000021020000}"/>
    <cellStyle name="Normal 2 4" xfId="116" xr:uid="{00000000-0005-0000-0000-000022020000}"/>
    <cellStyle name="Normal 2 4 2" xfId="204" xr:uid="{00000000-0005-0000-0000-000023020000}"/>
    <cellStyle name="Normal 2 4 3" xfId="659" xr:uid="{00000000-0005-0000-0000-000024020000}"/>
    <cellStyle name="Normal 2 4 4" xfId="660" xr:uid="{00000000-0005-0000-0000-000025020000}"/>
    <cellStyle name="Normal 2 5" xfId="117" xr:uid="{00000000-0005-0000-0000-000026020000}"/>
    <cellStyle name="Normal 2 5 2" xfId="661" xr:uid="{00000000-0005-0000-0000-000027020000}"/>
    <cellStyle name="Normal 2 6" xfId="118" xr:uid="{00000000-0005-0000-0000-000028020000}"/>
    <cellStyle name="Normal 2 6 2" xfId="662" xr:uid="{00000000-0005-0000-0000-000029020000}"/>
    <cellStyle name="Normal 2 7" xfId="119" xr:uid="{00000000-0005-0000-0000-00002A020000}"/>
    <cellStyle name="Normal 2 7 2" xfId="663" xr:uid="{00000000-0005-0000-0000-00002B020000}"/>
    <cellStyle name="Normal 2 8" xfId="312" xr:uid="{00000000-0005-0000-0000-00002C020000}"/>
    <cellStyle name="Normal 2 8 2" xfId="365" xr:uid="{00000000-0005-0000-0000-00002D020000}"/>
    <cellStyle name="Normal 2 8 3" xfId="664" xr:uid="{00000000-0005-0000-0000-00002E020000}"/>
    <cellStyle name="Normal 2 9" xfId="297" xr:uid="{00000000-0005-0000-0000-00002F020000}"/>
    <cellStyle name="Normal 2 9 2" xfId="665" xr:uid="{00000000-0005-0000-0000-000030020000}"/>
    <cellStyle name="Normal 20" xfId="413" xr:uid="{00000000-0005-0000-0000-000031020000}"/>
    <cellStyle name="Normal 20 2" xfId="874" xr:uid="{00000000-0005-0000-0000-000032020000}"/>
    <cellStyle name="Normal 21" xfId="301" xr:uid="{00000000-0005-0000-0000-000033020000}"/>
    <cellStyle name="Normal 22" xfId="406" xr:uid="{00000000-0005-0000-0000-000034020000}"/>
    <cellStyle name="Normal 22 2" xfId="407" xr:uid="{00000000-0005-0000-0000-000035020000}"/>
    <cellStyle name="Normal 23" xfId="408" xr:uid="{00000000-0005-0000-0000-000036020000}"/>
    <cellStyle name="Normal 23 2" xfId="409" xr:uid="{00000000-0005-0000-0000-000037020000}"/>
    <cellStyle name="Normal 23 2 2" xfId="666" xr:uid="{00000000-0005-0000-0000-000038020000}"/>
    <cellStyle name="Normal 23 2 2 2" xfId="667" xr:uid="{00000000-0005-0000-0000-000039020000}"/>
    <cellStyle name="Normal 24" xfId="410" xr:uid="{00000000-0005-0000-0000-00003A020000}"/>
    <cellStyle name="Normal 24 2" xfId="668" xr:uid="{00000000-0005-0000-0000-00003B020000}"/>
    <cellStyle name="Normal 24 2 2" xfId="669" xr:uid="{00000000-0005-0000-0000-00003C020000}"/>
    <cellStyle name="Normal 24 2 2 2" xfId="670" xr:uid="{00000000-0005-0000-0000-00003D020000}"/>
    <cellStyle name="Normal 24 2 2 2 3 2 2 2 2" xfId="671" xr:uid="{00000000-0005-0000-0000-00003E020000}"/>
    <cellStyle name="Normal 25" xfId="672" xr:uid="{00000000-0005-0000-0000-00003F020000}"/>
    <cellStyle name="Normal 26" xfId="673" xr:uid="{00000000-0005-0000-0000-000040020000}"/>
    <cellStyle name="Normal 26 2" xfId="674" xr:uid="{00000000-0005-0000-0000-000041020000}"/>
    <cellStyle name="Normal 26 2 3 2 2 2 2" xfId="675" xr:uid="{00000000-0005-0000-0000-000042020000}"/>
    <cellStyle name="Normal 27" xfId="676" xr:uid="{00000000-0005-0000-0000-000043020000}"/>
    <cellStyle name="Normal 28" xfId="677" xr:uid="{00000000-0005-0000-0000-000044020000}"/>
    <cellStyle name="Normal 29" xfId="678" xr:uid="{00000000-0005-0000-0000-000045020000}"/>
    <cellStyle name="Normal 3" xfId="2" xr:uid="{00000000-0005-0000-0000-000046020000}"/>
    <cellStyle name="Normal 3 10" xfId="121" xr:uid="{00000000-0005-0000-0000-000047020000}"/>
    <cellStyle name="Normal 3 10 2" xfId="679" xr:uid="{00000000-0005-0000-0000-000048020000}"/>
    <cellStyle name="Normal 3 11" xfId="122" xr:uid="{00000000-0005-0000-0000-000049020000}"/>
    <cellStyle name="Normal 3 11 2" xfId="680" xr:uid="{00000000-0005-0000-0000-00004A020000}"/>
    <cellStyle name="Normal 3 12" xfId="123" xr:uid="{00000000-0005-0000-0000-00004B020000}"/>
    <cellStyle name="Normal 3 12 2" xfId="681" xr:uid="{00000000-0005-0000-0000-00004C020000}"/>
    <cellStyle name="Normal 3 13" xfId="124" xr:uid="{00000000-0005-0000-0000-00004D020000}"/>
    <cellStyle name="Normal 3 13 2" xfId="682" xr:uid="{00000000-0005-0000-0000-00004E020000}"/>
    <cellStyle name="Normal 3 14" xfId="125" xr:uid="{00000000-0005-0000-0000-00004F020000}"/>
    <cellStyle name="Normal 3 14 2" xfId="683" xr:uid="{00000000-0005-0000-0000-000050020000}"/>
    <cellStyle name="Normal 3 15" xfId="126" xr:uid="{00000000-0005-0000-0000-000051020000}"/>
    <cellStyle name="Normal 3 15 2" xfId="684" xr:uid="{00000000-0005-0000-0000-000052020000}"/>
    <cellStyle name="Normal 3 16" xfId="127" xr:uid="{00000000-0005-0000-0000-000053020000}"/>
    <cellStyle name="Normal 3 16 2" xfId="685" xr:uid="{00000000-0005-0000-0000-000054020000}"/>
    <cellStyle name="Normal 3 17" xfId="128" xr:uid="{00000000-0005-0000-0000-000055020000}"/>
    <cellStyle name="Normal 3 17 2" xfId="686" xr:uid="{00000000-0005-0000-0000-000056020000}"/>
    <cellStyle name="Normal 3 18" xfId="120" xr:uid="{00000000-0005-0000-0000-000057020000}"/>
    <cellStyle name="Normal 3 18 2" xfId="205" xr:uid="{00000000-0005-0000-0000-000058020000}"/>
    <cellStyle name="Normal 3 18 2 2" xfId="687" xr:uid="{00000000-0005-0000-0000-000059020000}"/>
    <cellStyle name="Normal 3 19" xfId="313" xr:uid="{00000000-0005-0000-0000-00005A020000}"/>
    <cellStyle name="Normal 3 2" xfId="14" xr:uid="{00000000-0005-0000-0000-00005B020000}"/>
    <cellStyle name="Normal 3 2 10" xfId="688" xr:uid="{00000000-0005-0000-0000-00005C020000}"/>
    <cellStyle name="Normal 3 2 11" xfId="689" xr:uid="{00000000-0005-0000-0000-00005D020000}"/>
    <cellStyle name="Normal 3 2 12" xfId="690" xr:uid="{00000000-0005-0000-0000-00005E020000}"/>
    <cellStyle name="Normal 3 2 13" xfId="691" xr:uid="{00000000-0005-0000-0000-00005F020000}"/>
    <cellStyle name="Normal 3 2 14" xfId="692" xr:uid="{00000000-0005-0000-0000-000060020000}"/>
    <cellStyle name="Normal 3 2 15" xfId="693" xr:uid="{00000000-0005-0000-0000-000061020000}"/>
    <cellStyle name="Normal 3 2 16" xfId="694" xr:uid="{00000000-0005-0000-0000-000062020000}"/>
    <cellStyle name="Normal 3 2 17" xfId="695" xr:uid="{00000000-0005-0000-0000-000063020000}"/>
    <cellStyle name="Normal 3 2 18" xfId="696" xr:uid="{00000000-0005-0000-0000-000064020000}"/>
    <cellStyle name="Normal 3 2 19" xfId="697" xr:uid="{00000000-0005-0000-0000-000065020000}"/>
    <cellStyle name="Normal 3 2 2" xfId="129" xr:uid="{00000000-0005-0000-0000-000066020000}"/>
    <cellStyle name="Normal 3 2 2 10" xfId="698" xr:uid="{00000000-0005-0000-0000-000067020000}"/>
    <cellStyle name="Normal 3 2 2 11" xfId="699" xr:uid="{00000000-0005-0000-0000-000068020000}"/>
    <cellStyle name="Normal 3 2 2 12" xfId="700" xr:uid="{00000000-0005-0000-0000-000069020000}"/>
    <cellStyle name="Normal 3 2 2 13" xfId="701" xr:uid="{00000000-0005-0000-0000-00006A020000}"/>
    <cellStyle name="Normal 3 2 2 14" xfId="702" xr:uid="{00000000-0005-0000-0000-00006B020000}"/>
    <cellStyle name="Normal 3 2 2 15" xfId="703" xr:uid="{00000000-0005-0000-0000-00006C020000}"/>
    <cellStyle name="Normal 3 2 2 16" xfId="704" xr:uid="{00000000-0005-0000-0000-00006D020000}"/>
    <cellStyle name="Normal 3 2 2 17" xfId="705" xr:uid="{00000000-0005-0000-0000-00006E020000}"/>
    <cellStyle name="Normal 3 2 2 18" xfId="706" xr:uid="{00000000-0005-0000-0000-00006F020000}"/>
    <cellStyle name="Normal 3 2 2 19" xfId="707" xr:uid="{00000000-0005-0000-0000-000070020000}"/>
    <cellStyle name="Normal 3 2 2 2" xfId="206" xr:uid="{00000000-0005-0000-0000-000071020000}"/>
    <cellStyle name="Normal 3 2 2 2 2" xfId="708" xr:uid="{00000000-0005-0000-0000-000072020000}"/>
    <cellStyle name="Normal 3 2 2 20" xfId="709" xr:uid="{00000000-0005-0000-0000-000073020000}"/>
    <cellStyle name="Normal 3 2 2 21" xfId="710" xr:uid="{00000000-0005-0000-0000-000074020000}"/>
    <cellStyle name="Normal 3 2 2 22" xfId="711" xr:uid="{00000000-0005-0000-0000-000075020000}"/>
    <cellStyle name="Normal 3 2 2 23" xfId="712" xr:uid="{00000000-0005-0000-0000-000076020000}"/>
    <cellStyle name="Normal 3 2 2 3" xfId="713" xr:uid="{00000000-0005-0000-0000-000077020000}"/>
    <cellStyle name="Normal 3 2 2 4" xfId="714" xr:uid="{00000000-0005-0000-0000-000078020000}"/>
    <cellStyle name="Normal 3 2 2 5" xfId="715" xr:uid="{00000000-0005-0000-0000-000079020000}"/>
    <cellStyle name="Normal 3 2 2 6" xfId="716" xr:uid="{00000000-0005-0000-0000-00007A020000}"/>
    <cellStyle name="Normal 3 2 2 7" xfId="717" xr:uid="{00000000-0005-0000-0000-00007B020000}"/>
    <cellStyle name="Normal 3 2 2 8" xfId="718" xr:uid="{00000000-0005-0000-0000-00007C020000}"/>
    <cellStyle name="Normal 3 2 2 9" xfId="719" xr:uid="{00000000-0005-0000-0000-00007D020000}"/>
    <cellStyle name="Normal 3 2 20" xfId="720" xr:uid="{00000000-0005-0000-0000-00007E020000}"/>
    <cellStyle name="Normal 3 2 21" xfId="721" xr:uid="{00000000-0005-0000-0000-00007F020000}"/>
    <cellStyle name="Normal 3 2 22" xfId="722" xr:uid="{00000000-0005-0000-0000-000080020000}"/>
    <cellStyle name="Normal 3 2 23" xfId="723" xr:uid="{00000000-0005-0000-0000-000081020000}"/>
    <cellStyle name="Normal 3 2 24" xfId="724" xr:uid="{00000000-0005-0000-0000-000082020000}"/>
    <cellStyle name="Normal 3 2 25" xfId="725" xr:uid="{00000000-0005-0000-0000-000083020000}"/>
    <cellStyle name="Normal 3 2 26" xfId="726" xr:uid="{00000000-0005-0000-0000-000084020000}"/>
    <cellStyle name="Normal 3 2 3" xfId="207" xr:uid="{00000000-0005-0000-0000-000085020000}"/>
    <cellStyle name="Normal 3 2 3 2" xfId="302" xr:uid="{00000000-0005-0000-0000-000086020000}"/>
    <cellStyle name="Normal 3 2 3 2 2" xfId="727" xr:uid="{00000000-0005-0000-0000-000087020000}"/>
    <cellStyle name="Normal 3 2 3 2 2 2" xfId="303" xr:uid="{00000000-0005-0000-0000-000088020000}"/>
    <cellStyle name="Normal 3 2 3 2 2 2 2" xfId="728" xr:uid="{00000000-0005-0000-0000-000089020000}"/>
    <cellStyle name="Normal 3 2 3 2 2 2 2 2" xfId="304" xr:uid="{00000000-0005-0000-0000-00008A020000}"/>
    <cellStyle name="Normal 3 2 3 2 2 2 2 2 2" xfId="729" xr:uid="{00000000-0005-0000-0000-00008B020000}"/>
    <cellStyle name="Normal 3 2 3 2 2 2 2 2 2 2" xfId="305" xr:uid="{00000000-0005-0000-0000-00008C020000}"/>
    <cellStyle name="Normal 3 2 3 2 2 2 2 2 2 2 2" xfId="306" xr:uid="{00000000-0005-0000-0000-00008D020000}"/>
    <cellStyle name="Normal 3 2 3 2 2 2 2 2 2 2 2 2" xfId="730" xr:uid="{00000000-0005-0000-0000-00008E020000}"/>
    <cellStyle name="Normal 3 2 3 2 2 2 2 2 2 2 2 2 2" xfId="307" xr:uid="{00000000-0005-0000-0000-00008F020000}"/>
    <cellStyle name="Normal 3 2 3 2 2 2 2 2 2 2 2 2 2 2" xfId="308" xr:uid="{00000000-0005-0000-0000-000090020000}"/>
    <cellStyle name="Normal 3 2 3 2 2 2 2 2 2 2 2 2 2 2 3" xfId="310" xr:uid="{00000000-0005-0000-0000-000091020000}"/>
    <cellStyle name="Normal 3 2 3 2 2 2 2 2 2 2 2 2 2 2 3 2 2 2 2" xfId="411" xr:uid="{00000000-0005-0000-0000-000092020000}"/>
    <cellStyle name="Normal 3 2 3 2 2 2 2 2 2 2 2 2 2 2 3 2 2 2 2 2" xfId="731" xr:uid="{00000000-0005-0000-0000-000093020000}"/>
    <cellStyle name="Normal 3 2 3 2 2 2 2 2 2 2 2 2 2 2 3 2 2 2 2 2 2" xfId="732" xr:uid="{00000000-0005-0000-0000-000094020000}"/>
    <cellStyle name="Normal 3 2 3 2 2 2 2 2 2 2 2 2 2 2 3 2 2 2 2 2 2 2" xfId="733" xr:uid="{00000000-0005-0000-0000-000095020000}"/>
    <cellStyle name="Normal 3 2 3 2 2 2 2 2 2 2 2 2 2 2 3 2 2 2 2 2 2 2 2" xfId="734" xr:uid="{00000000-0005-0000-0000-000096020000}"/>
    <cellStyle name="Normal 3 2 3 2 2 2 2 2 2 2 2 2 2 2 3 2 2 2 2 2 2 3" xfId="735" xr:uid="{00000000-0005-0000-0000-000097020000}"/>
    <cellStyle name="Normal 3 2 3 2 2 2 2 2 2 2 2 2 2 2 3 2 2 2 2 2 3" xfId="736" xr:uid="{00000000-0005-0000-0000-000098020000}"/>
    <cellStyle name="Normal 3 2 3 2 2 2 2 2 2 2 2 2 2 2 3 2 2 2 2 2 3 2" xfId="737" xr:uid="{00000000-0005-0000-0000-000099020000}"/>
    <cellStyle name="Normal 3 2 3 2 2 2 2 2 2 2 2 2 2 2 3 2 2 2 2 2 4" xfId="738" xr:uid="{00000000-0005-0000-0000-00009A020000}"/>
    <cellStyle name="Normal 3 2 3 2 2 2 2 2 2 2 2 2 2 2 3 2 2 2 2 3" xfId="739" xr:uid="{00000000-0005-0000-0000-00009B020000}"/>
    <cellStyle name="Normal 3 2 3 2 2 2 2 2 2 2 2 2 2 2 3 2 2 2 2 3 2" xfId="740" xr:uid="{00000000-0005-0000-0000-00009C020000}"/>
    <cellStyle name="Normal 3 2 3 2 2 2 2 2 2 2 2 2 2 2 3 2 2 2 2 3 2 2" xfId="741" xr:uid="{00000000-0005-0000-0000-00009D020000}"/>
    <cellStyle name="Normal 3 2 3 2 2 2 2 2 2 2 2 2 2 2 3 2 2 2 2 3 3" xfId="742" xr:uid="{00000000-0005-0000-0000-00009E020000}"/>
    <cellStyle name="Normal 3 2 3 2 2 2 2 2 2 2 2 2 2 2 3 2 2 2 2 4" xfId="743" xr:uid="{00000000-0005-0000-0000-00009F020000}"/>
    <cellStyle name="Normal 3 2 3 2 2 2 2 2 2 2 2 2 2 2 3 2 2 2 2 4 2" xfId="744" xr:uid="{00000000-0005-0000-0000-0000A0020000}"/>
    <cellStyle name="Normal 3 2 3 2 2 2 2 2 2 2 2 2 2 2 3 2 2 2 2 4 2 2" xfId="745" xr:uid="{00000000-0005-0000-0000-0000A1020000}"/>
    <cellStyle name="Normal 3 2 3 2 2 2 2 2 2 2 2 2 2 2 3 2 2 2 2 4 3" xfId="746" xr:uid="{00000000-0005-0000-0000-0000A2020000}"/>
    <cellStyle name="Normal 3 2 3 2 2 2 2 2 2 2 2 2 2 2 3 2 2 2 2 5" xfId="747" xr:uid="{00000000-0005-0000-0000-0000A3020000}"/>
    <cellStyle name="Normal 3 2 3 2 2 2 2 2 2 2 2 2 2 2 3 2 2 2 2 5 2" xfId="748" xr:uid="{00000000-0005-0000-0000-0000A4020000}"/>
    <cellStyle name="Normal 3 2 3 2 2 2 2 2 2 2 2 2 2 2 3 2 2 2 2 6" xfId="749" xr:uid="{00000000-0005-0000-0000-0000A5020000}"/>
    <cellStyle name="Normal 3 2 3 2 2 2 2 2 2 2 2 2 2 2 3 2 2 2 2 7" xfId="750" xr:uid="{00000000-0005-0000-0000-0000A6020000}"/>
    <cellStyle name="Normal 3 2 3 3" xfId="751" xr:uid="{00000000-0005-0000-0000-0000A7020000}"/>
    <cellStyle name="Normal 3 2 4" xfId="752" xr:uid="{00000000-0005-0000-0000-0000A8020000}"/>
    <cellStyle name="Normal 3 2 5" xfId="753" xr:uid="{00000000-0005-0000-0000-0000A9020000}"/>
    <cellStyle name="Normal 3 2 6" xfId="754" xr:uid="{00000000-0005-0000-0000-0000AA020000}"/>
    <cellStyle name="Normal 3 2 7" xfId="755" xr:uid="{00000000-0005-0000-0000-0000AB020000}"/>
    <cellStyle name="Normal 3 2 8" xfId="756" xr:uid="{00000000-0005-0000-0000-0000AC020000}"/>
    <cellStyle name="Normal 3 2 9" xfId="757" xr:uid="{00000000-0005-0000-0000-0000AD020000}"/>
    <cellStyle name="Normal 3 20" xfId="758" xr:uid="{00000000-0005-0000-0000-0000AE020000}"/>
    <cellStyle name="Normal 3 21" xfId="759" xr:uid="{00000000-0005-0000-0000-0000AF020000}"/>
    <cellStyle name="Normal 3 22" xfId="760" xr:uid="{00000000-0005-0000-0000-0000B0020000}"/>
    <cellStyle name="Normal 3 23" xfId="761" xr:uid="{00000000-0005-0000-0000-0000B1020000}"/>
    <cellStyle name="Normal 3 24" xfId="762" xr:uid="{00000000-0005-0000-0000-0000B2020000}"/>
    <cellStyle name="Normal 3 25" xfId="763" xr:uid="{00000000-0005-0000-0000-0000B3020000}"/>
    <cellStyle name="Normal 3 3" xfId="13" xr:uid="{00000000-0005-0000-0000-0000B4020000}"/>
    <cellStyle name="Normal 3 3 2" xfId="130" xr:uid="{00000000-0005-0000-0000-0000B5020000}"/>
    <cellStyle name="Normal 3 3 2 2" xfId="764" xr:uid="{00000000-0005-0000-0000-0000B6020000}"/>
    <cellStyle name="Normal 3 3 3" xfId="344" xr:uid="{00000000-0005-0000-0000-0000B7020000}"/>
    <cellStyle name="Normal 3 3 3 2" xfId="765" xr:uid="{00000000-0005-0000-0000-0000B8020000}"/>
    <cellStyle name="Normal 3 3 4" xfId="333" xr:uid="{00000000-0005-0000-0000-0000B9020000}"/>
    <cellStyle name="Normal 3 3 5" xfId="766" xr:uid="{00000000-0005-0000-0000-0000BA020000}"/>
    <cellStyle name="Normal 3 3 6" xfId="767" xr:uid="{00000000-0005-0000-0000-0000BB020000}"/>
    <cellStyle name="Normal 3 4" xfId="25" xr:uid="{00000000-0005-0000-0000-0000BC020000}"/>
    <cellStyle name="Normal 3 4 2" xfId="131" xr:uid="{00000000-0005-0000-0000-0000BD020000}"/>
    <cellStyle name="Normal 3 4 3" xfId="768" xr:uid="{00000000-0005-0000-0000-0000BE020000}"/>
    <cellStyle name="Normal 3 5" xfId="132" xr:uid="{00000000-0005-0000-0000-0000BF020000}"/>
    <cellStyle name="Normal 3 5 2" xfId="769" xr:uid="{00000000-0005-0000-0000-0000C0020000}"/>
    <cellStyle name="Normal 3 6" xfId="133" xr:uid="{00000000-0005-0000-0000-0000C1020000}"/>
    <cellStyle name="Normal 3 6 2" xfId="770" xr:uid="{00000000-0005-0000-0000-0000C2020000}"/>
    <cellStyle name="Normal 3 7" xfId="134" xr:uid="{00000000-0005-0000-0000-0000C3020000}"/>
    <cellStyle name="Normal 3 7 2" xfId="771" xr:uid="{00000000-0005-0000-0000-0000C4020000}"/>
    <cellStyle name="Normal 3 8" xfId="135" xr:uid="{00000000-0005-0000-0000-0000C5020000}"/>
    <cellStyle name="Normal 3 8 2" xfId="772" xr:uid="{00000000-0005-0000-0000-0000C6020000}"/>
    <cellStyle name="Normal 3 9" xfId="136" xr:uid="{00000000-0005-0000-0000-0000C7020000}"/>
    <cellStyle name="Normal 3 9 2" xfId="773" xr:uid="{00000000-0005-0000-0000-0000C8020000}"/>
    <cellStyle name="Normal 30" xfId="774" xr:uid="{00000000-0005-0000-0000-0000C9020000}"/>
    <cellStyle name="Normal 31" xfId="775" xr:uid="{00000000-0005-0000-0000-0000CA020000}"/>
    <cellStyle name="Normal 32" xfId="776" xr:uid="{00000000-0005-0000-0000-0000CB020000}"/>
    <cellStyle name="Normal 33" xfId="777" xr:uid="{00000000-0005-0000-0000-0000CC020000}"/>
    <cellStyle name="Normal 34" xfId="778" xr:uid="{00000000-0005-0000-0000-0000CD020000}"/>
    <cellStyle name="Normal 35" xfId="863" xr:uid="{00000000-0005-0000-0000-0000CE020000}"/>
    <cellStyle name="Normal 35 2" xfId="875" xr:uid="{00000000-0005-0000-0000-0000CF020000}"/>
    <cellStyle name="Normal 36" xfId="864" xr:uid="{00000000-0005-0000-0000-0000D0020000}"/>
    <cellStyle name="Normal 36 2" xfId="876" xr:uid="{00000000-0005-0000-0000-0000D1020000}"/>
    <cellStyle name="Normal 37" xfId="867" xr:uid="{00000000-0005-0000-0000-0000D2020000}"/>
    <cellStyle name="Normal 38" xfId="877" xr:uid="{00000000-0005-0000-0000-0000D3020000}"/>
    <cellStyle name="Normal 39" xfId="878" xr:uid="{00000000-0005-0000-0000-0000D4020000}"/>
    <cellStyle name="Normal 4" xfId="3" xr:uid="{00000000-0005-0000-0000-0000D5020000}"/>
    <cellStyle name="Normal 4 10" xfId="137" xr:uid="{00000000-0005-0000-0000-0000D6020000}"/>
    <cellStyle name="Normal 4 11" xfId="138" xr:uid="{00000000-0005-0000-0000-0000D7020000}"/>
    <cellStyle name="Normal 4 12" xfId="208" xr:uid="{00000000-0005-0000-0000-0000D8020000}"/>
    <cellStyle name="Normal 4 12 2" xfId="314" xr:uid="{00000000-0005-0000-0000-0000D9020000}"/>
    <cellStyle name="Normal 4 13" xfId="209" xr:uid="{00000000-0005-0000-0000-0000DA020000}"/>
    <cellStyle name="Normal 4 14" xfId="210" xr:uid="{00000000-0005-0000-0000-0000DB020000}"/>
    <cellStyle name="Normal 4 15" xfId="211" xr:uid="{00000000-0005-0000-0000-0000DC020000}"/>
    <cellStyle name="Normal 4 16" xfId="212" xr:uid="{00000000-0005-0000-0000-0000DD020000}"/>
    <cellStyle name="Normal 4 17" xfId="213" xr:uid="{00000000-0005-0000-0000-0000DE020000}"/>
    <cellStyle name="Normal 4 18" xfId="214" xr:uid="{00000000-0005-0000-0000-0000DF020000}"/>
    <cellStyle name="Normal 4 19" xfId="215" xr:uid="{00000000-0005-0000-0000-0000E0020000}"/>
    <cellStyle name="Normal 4 2" xfId="7" xr:uid="{00000000-0005-0000-0000-0000E1020000}"/>
    <cellStyle name="Normal 4 2 10" xfId="334" xr:uid="{00000000-0005-0000-0000-0000E2020000}"/>
    <cellStyle name="Normal 4 2 11" xfId="779" xr:uid="{00000000-0005-0000-0000-0000E3020000}"/>
    <cellStyle name="Normal 4 2 12" xfId="780" xr:uid="{00000000-0005-0000-0000-0000E4020000}"/>
    <cellStyle name="Normal 4 2 2" xfId="140" xr:uid="{00000000-0005-0000-0000-0000E5020000}"/>
    <cellStyle name="Normal 4 2 2 2" xfId="781" xr:uid="{00000000-0005-0000-0000-0000E6020000}"/>
    <cellStyle name="Normal 4 2 3" xfId="141" xr:uid="{00000000-0005-0000-0000-0000E7020000}"/>
    <cellStyle name="Normal 4 2 4" xfId="142" xr:uid="{00000000-0005-0000-0000-0000E8020000}"/>
    <cellStyle name="Normal 4 2 5" xfId="143" xr:uid="{00000000-0005-0000-0000-0000E9020000}"/>
    <cellStyle name="Normal 4 2 6" xfId="144" xr:uid="{00000000-0005-0000-0000-0000EA020000}"/>
    <cellStyle name="Normal 4 2 7" xfId="145" xr:uid="{00000000-0005-0000-0000-0000EB020000}"/>
    <cellStyle name="Normal 4 2 8" xfId="139" xr:uid="{00000000-0005-0000-0000-0000EC020000}"/>
    <cellStyle name="Normal 4 2 9" xfId="343" xr:uid="{00000000-0005-0000-0000-0000ED020000}"/>
    <cellStyle name="Normal 4 2 9 2" xfId="782" xr:uid="{00000000-0005-0000-0000-0000EE020000}"/>
    <cellStyle name="Normal 4 20" xfId="216" xr:uid="{00000000-0005-0000-0000-0000EF020000}"/>
    <cellStyle name="Normal 4 21" xfId="217" xr:uid="{00000000-0005-0000-0000-0000F0020000}"/>
    <cellStyle name="Normal 4 22" xfId="218" xr:uid="{00000000-0005-0000-0000-0000F1020000}"/>
    <cellStyle name="Normal 4 23" xfId="219" xr:uid="{00000000-0005-0000-0000-0000F2020000}"/>
    <cellStyle name="Normal 4 24" xfId="220" xr:uid="{00000000-0005-0000-0000-0000F3020000}"/>
    <cellStyle name="Normal 4 25" xfId="221" xr:uid="{00000000-0005-0000-0000-0000F4020000}"/>
    <cellStyle name="Normal 4 26" xfId="222" xr:uid="{00000000-0005-0000-0000-0000F5020000}"/>
    <cellStyle name="Normal 4 27" xfId="223" xr:uid="{00000000-0005-0000-0000-0000F6020000}"/>
    <cellStyle name="Normal 4 28" xfId="224" xr:uid="{00000000-0005-0000-0000-0000F7020000}"/>
    <cellStyle name="Normal 4 29" xfId="225" xr:uid="{00000000-0005-0000-0000-0000F8020000}"/>
    <cellStyle name="Normal 4 3" xfId="15" xr:uid="{00000000-0005-0000-0000-0000F9020000}"/>
    <cellStyle name="Normal 4 3 2" xfId="783" xr:uid="{00000000-0005-0000-0000-0000FA020000}"/>
    <cellStyle name="Normal 4 30" xfId="226" xr:uid="{00000000-0005-0000-0000-0000FB020000}"/>
    <cellStyle name="Normal 4 31" xfId="227" xr:uid="{00000000-0005-0000-0000-0000FC020000}"/>
    <cellStyle name="Normal 4 32" xfId="228" xr:uid="{00000000-0005-0000-0000-0000FD020000}"/>
    <cellStyle name="Normal 4 33" xfId="229" xr:uid="{00000000-0005-0000-0000-0000FE020000}"/>
    <cellStyle name="Normal 4 34" xfId="230" xr:uid="{00000000-0005-0000-0000-0000FF020000}"/>
    <cellStyle name="Normal 4 35" xfId="231" xr:uid="{00000000-0005-0000-0000-000000030000}"/>
    <cellStyle name="Normal 4 36" xfId="232" xr:uid="{00000000-0005-0000-0000-000001030000}"/>
    <cellStyle name="Normal 4 37" xfId="233" xr:uid="{00000000-0005-0000-0000-000002030000}"/>
    <cellStyle name="Normal 4 38" xfId="234" xr:uid="{00000000-0005-0000-0000-000003030000}"/>
    <cellStyle name="Normal 4 39" xfId="235" xr:uid="{00000000-0005-0000-0000-000004030000}"/>
    <cellStyle name="Normal 4 4" xfId="26" xr:uid="{00000000-0005-0000-0000-000005030000}"/>
    <cellStyle name="Normal 4 4 2" xfId="146" xr:uid="{00000000-0005-0000-0000-000006030000}"/>
    <cellStyle name="Normal 4 4 3" xfId="784" xr:uid="{00000000-0005-0000-0000-000007030000}"/>
    <cellStyle name="Normal 4 4 4" xfId="785" xr:uid="{00000000-0005-0000-0000-000008030000}"/>
    <cellStyle name="Normal 4 40" xfId="236" xr:uid="{00000000-0005-0000-0000-000009030000}"/>
    <cellStyle name="Normal 4 41" xfId="237" xr:uid="{00000000-0005-0000-0000-00000A030000}"/>
    <cellStyle name="Normal 4 42" xfId="238" xr:uid="{00000000-0005-0000-0000-00000B030000}"/>
    <cellStyle name="Normal 4 43" xfId="239" xr:uid="{00000000-0005-0000-0000-00000C030000}"/>
    <cellStyle name="Normal 4 44" xfId="240" xr:uid="{00000000-0005-0000-0000-00000D030000}"/>
    <cellStyle name="Normal 4 45" xfId="241" xr:uid="{00000000-0005-0000-0000-00000E030000}"/>
    <cellStyle name="Normal 4 46" xfId="242" xr:uid="{00000000-0005-0000-0000-00000F030000}"/>
    <cellStyle name="Normal 4 47" xfId="243" xr:uid="{00000000-0005-0000-0000-000010030000}"/>
    <cellStyle name="Normal 4 48" xfId="244" xr:uid="{00000000-0005-0000-0000-000011030000}"/>
    <cellStyle name="Normal 4 49" xfId="245" xr:uid="{00000000-0005-0000-0000-000012030000}"/>
    <cellStyle name="Normal 4 5" xfId="147" xr:uid="{00000000-0005-0000-0000-000013030000}"/>
    <cellStyle name="Normal 4 50" xfId="246" xr:uid="{00000000-0005-0000-0000-000014030000}"/>
    <cellStyle name="Normal 4 51" xfId="247" xr:uid="{00000000-0005-0000-0000-000015030000}"/>
    <cellStyle name="Normal 4 52" xfId="248" xr:uid="{00000000-0005-0000-0000-000016030000}"/>
    <cellStyle name="Normal 4 53" xfId="249" xr:uid="{00000000-0005-0000-0000-000017030000}"/>
    <cellStyle name="Normal 4 54" xfId="250" xr:uid="{00000000-0005-0000-0000-000018030000}"/>
    <cellStyle name="Normal 4 55" xfId="251" xr:uid="{00000000-0005-0000-0000-000019030000}"/>
    <cellStyle name="Normal 4 56" xfId="252" xr:uid="{00000000-0005-0000-0000-00001A030000}"/>
    <cellStyle name="Normal 4 57" xfId="253" xr:uid="{00000000-0005-0000-0000-00001B030000}"/>
    <cellStyle name="Normal 4 58" xfId="254" xr:uid="{00000000-0005-0000-0000-00001C030000}"/>
    <cellStyle name="Normal 4 59" xfId="255" xr:uid="{00000000-0005-0000-0000-00001D030000}"/>
    <cellStyle name="Normal 4 6" xfId="148" xr:uid="{00000000-0005-0000-0000-00001E030000}"/>
    <cellStyle name="Normal 4 60" xfId="256" xr:uid="{00000000-0005-0000-0000-00001F030000}"/>
    <cellStyle name="Normal 4 61" xfId="257" xr:uid="{00000000-0005-0000-0000-000020030000}"/>
    <cellStyle name="Normal 4 62" xfId="258" xr:uid="{00000000-0005-0000-0000-000021030000}"/>
    <cellStyle name="Normal 4 63" xfId="259" xr:uid="{00000000-0005-0000-0000-000022030000}"/>
    <cellStyle name="Normal 4 64" xfId="260" xr:uid="{00000000-0005-0000-0000-000023030000}"/>
    <cellStyle name="Normal 4 65" xfId="261" xr:uid="{00000000-0005-0000-0000-000024030000}"/>
    <cellStyle name="Normal 4 66" xfId="262" xr:uid="{00000000-0005-0000-0000-000025030000}"/>
    <cellStyle name="Normal 4 67" xfId="263" xr:uid="{00000000-0005-0000-0000-000026030000}"/>
    <cellStyle name="Normal 4 68" xfId="264" xr:uid="{00000000-0005-0000-0000-000027030000}"/>
    <cellStyle name="Normal 4 69" xfId="265" xr:uid="{00000000-0005-0000-0000-000028030000}"/>
    <cellStyle name="Normal 4 7" xfId="149" xr:uid="{00000000-0005-0000-0000-000029030000}"/>
    <cellStyle name="Normal 4 70" xfId="266" xr:uid="{00000000-0005-0000-0000-00002A030000}"/>
    <cellStyle name="Normal 4 71" xfId="267" xr:uid="{00000000-0005-0000-0000-00002B030000}"/>
    <cellStyle name="Normal 4 72" xfId="268" xr:uid="{00000000-0005-0000-0000-00002C030000}"/>
    <cellStyle name="Normal 4 73" xfId="269" xr:uid="{00000000-0005-0000-0000-00002D030000}"/>
    <cellStyle name="Normal 4 74" xfId="270" xr:uid="{00000000-0005-0000-0000-00002E030000}"/>
    <cellStyle name="Normal 4 75" xfId="271" xr:uid="{00000000-0005-0000-0000-00002F030000}"/>
    <cellStyle name="Normal 4 76" xfId="272" xr:uid="{00000000-0005-0000-0000-000030030000}"/>
    <cellStyle name="Normal 4 77" xfId="273" xr:uid="{00000000-0005-0000-0000-000031030000}"/>
    <cellStyle name="Normal 4 78" xfId="274" xr:uid="{00000000-0005-0000-0000-000032030000}"/>
    <cellStyle name="Normal 4 79" xfId="275" xr:uid="{00000000-0005-0000-0000-000033030000}"/>
    <cellStyle name="Normal 4 8" xfId="150" xr:uid="{00000000-0005-0000-0000-000034030000}"/>
    <cellStyle name="Normal 4 80" xfId="276" xr:uid="{00000000-0005-0000-0000-000035030000}"/>
    <cellStyle name="Normal 4 81" xfId="295" xr:uid="{00000000-0005-0000-0000-000036030000}"/>
    <cellStyle name="Normal 4 81 2" xfId="974" xr:uid="{00000000-0005-0000-0000-000037030000}"/>
    <cellStyle name="Normal 4 9" xfId="151" xr:uid="{00000000-0005-0000-0000-000038030000}"/>
    <cellStyle name="Normal 4_Daily Production" xfId="277" xr:uid="{00000000-0005-0000-0000-000039030000}"/>
    <cellStyle name="Normal 40" xfId="879" xr:uid="{00000000-0005-0000-0000-00003A030000}"/>
    <cellStyle name="Normal 5" xfId="4" xr:uid="{00000000-0005-0000-0000-00003B030000}"/>
    <cellStyle name="Normal 5 2" xfId="10" xr:uid="{00000000-0005-0000-0000-00003C030000}"/>
    <cellStyle name="Normal 5 2 2" xfId="153" xr:uid="{00000000-0005-0000-0000-00003D030000}"/>
    <cellStyle name="Normal 5 2 3" xfId="154" xr:uid="{00000000-0005-0000-0000-00003E030000}"/>
    <cellStyle name="Normal 5 2 4" xfId="155" xr:uid="{00000000-0005-0000-0000-00003F030000}"/>
    <cellStyle name="Normal 5 2 5" xfId="156" xr:uid="{00000000-0005-0000-0000-000040030000}"/>
    <cellStyle name="Normal 5 2 6" xfId="157" xr:uid="{00000000-0005-0000-0000-000041030000}"/>
    <cellStyle name="Normal 5 2 7" xfId="158" xr:uid="{00000000-0005-0000-0000-000042030000}"/>
    <cellStyle name="Normal 5 2 8" xfId="152" xr:uid="{00000000-0005-0000-0000-000043030000}"/>
    <cellStyle name="Normal 5 2 9" xfId="786" xr:uid="{00000000-0005-0000-0000-000044030000}"/>
    <cellStyle name="Normal 5 3" xfId="16" xr:uid="{00000000-0005-0000-0000-000045030000}"/>
    <cellStyle name="Normal 5 4" xfId="159" xr:uid="{00000000-0005-0000-0000-000046030000}"/>
    <cellStyle name="Normal 5 5" xfId="160" xr:uid="{00000000-0005-0000-0000-000047030000}"/>
    <cellStyle name="Normal 5 6" xfId="161" xr:uid="{00000000-0005-0000-0000-000048030000}"/>
    <cellStyle name="Normal 5 7" xfId="162" xr:uid="{00000000-0005-0000-0000-000049030000}"/>
    <cellStyle name="Normal 5 8" xfId="787" xr:uid="{00000000-0005-0000-0000-00004A030000}"/>
    <cellStyle name="Normal 6" xfId="5" xr:uid="{00000000-0005-0000-0000-00004B030000}"/>
    <cellStyle name="Normal 6 10" xfId="788" xr:uid="{00000000-0005-0000-0000-00004C030000}"/>
    <cellStyle name="Normal 6 11" xfId="789" xr:uid="{00000000-0005-0000-0000-00004D030000}"/>
    <cellStyle name="Normal 6 2" xfId="17" xr:uid="{00000000-0005-0000-0000-00004E030000}"/>
    <cellStyle name="Normal 6 2 2" xfId="345" xr:uid="{00000000-0005-0000-0000-00004F030000}"/>
    <cellStyle name="Normal 6 2 2 2" xfId="790" xr:uid="{00000000-0005-0000-0000-000050030000}"/>
    <cellStyle name="Normal 6 2 2 2 2" xfId="791" xr:uid="{00000000-0005-0000-0000-000051030000}"/>
    <cellStyle name="Normal 6 2 2 3" xfId="792" xr:uid="{00000000-0005-0000-0000-000052030000}"/>
    <cellStyle name="Normal 6 2 3" xfId="331" xr:uid="{00000000-0005-0000-0000-000053030000}"/>
    <cellStyle name="Normal 6 2 3 2" xfId="793" xr:uid="{00000000-0005-0000-0000-000054030000}"/>
    <cellStyle name="Normal 6 2 4" xfId="794" xr:uid="{00000000-0005-0000-0000-000055030000}"/>
    <cellStyle name="Normal 6 2 5" xfId="795" xr:uid="{00000000-0005-0000-0000-000056030000}"/>
    <cellStyle name="Normal 6 3" xfId="164" xr:uid="{00000000-0005-0000-0000-000057030000}"/>
    <cellStyle name="Normal 6 3 2" xfId="364" xr:uid="{00000000-0005-0000-0000-000058030000}"/>
    <cellStyle name="Normal 6 3 2 2" xfId="796" xr:uid="{00000000-0005-0000-0000-000059030000}"/>
    <cellStyle name="Normal 6 3 2 3" xfId="797" xr:uid="{00000000-0005-0000-0000-00005A030000}"/>
    <cellStyle name="Normal 6 3 3" xfId="798" xr:uid="{00000000-0005-0000-0000-00005B030000}"/>
    <cellStyle name="Normal 6 4" xfId="165" xr:uid="{00000000-0005-0000-0000-00005C030000}"/>
    <cellStyle name="Normal 6 4 2" xfId="799" xr:uid="{00000000-0005-0000-0000-00005D030000}"/>
    <cellStyle name="Normal 6 5" xfId="166" xr:uid="{00000000-0005-0000-0000-00005E030000}"/>
    <cellStyle name="Normal 6 6" xfId="167" xr:uid="{00000000-0005-0000-0000-00005F030000}"/>
    <cellStyle name="Normal 6 7" xfId="168" xr:uid="{00000000-0005-0000-0000-000060030000}"/>
    <cellStyle name="Normal 6 8" xfId="163" xr:uid="{00000000-0005-0000-0000-000061030000}"/>
    <cellStyle name="Normal 6 9" xfId="800" xr:uid="{00000000-0005-0000-0000-000062030000}"/>
    <cellStyle name="Normal 7" xfId="6" xr:uid="{00000000-0005-0000-0000-000063030000}"/>
    <cellStyle name="Normal 7 2" xfId="18" xr:uid="{00000000-0005-0000-0000-000064030000}"/>
    <cellStyle name="Normal 7 2 2" xfId="346" xr:uid="{00000000-0005-0000-0000-000065030000}"/>
    <cellStyle name="Normal 7 2 2 2" xfId="801" xr:uid="{00000000-0005-0000-0000-000066030000}"/>
    <cellStyle name="Normal 7 2 2 3" xfId="802" xr:uid="{00000000-0005-0000-0000-000067030000}"/>
    <cellStyle name="Normal 7 2 3" xfId="330" xr:uid="{00000000-0005-0000-0000-000068030000}"/>
    <cellStyle name="Normal 7 2 4" xfId="803" xr:uid="{00000000-0005-0000-0000-000069030000}"/>
    <cellStyle name="Normal 7 2 5" xfId="804" xr:uid="{00000000-0005-0000-0000-00006A030000}"/>
    <cellStyle name="Normal 7 3" xfId="170" xr:uid="{00000000-0005-0000-0000-00006B030000}"/>
    <cellStyle name="Normal 7 3 2" xfId="805" xr:uid="{00000000-0005-0000-0000-00006C030000}"/>
    <cellStyle name="Normal 7 4" xfId="171" xr:uid="{00000000-0005-0000-0000-00006D030000}"/>
    <cellStyle name="Normal 7 5" xfId="172" xr:uid="{00000000-0005-0000-0000-00006E030000}"/>
    <cellStyle name="Normal 7 6" xfId="173" xr:uid="{00000000-0005-0000-0000-00006F030000}"/>
    <cellStyle name="Normal 7 7" xfId="174" xr:uid="{00000000-0005-0000-0000-000070030000}"/>
    <cellStyle name="Normal 7 8" xfId="169" xr:uid="{00000000-0005-0000-0000-000071030000}"/>
    <cellStyle name="Normal 7 8 2" xfId="806" xr:uid="{00000000-0005-0000-0000-000072030000}"/>
    <cellStyle name="Normal 7 9" xfId="807" xr:uid="{00000000-0005-0000-0000-000073030000}"/>
    <cellStyle name="Normal 8" xfId="19" xr:uid="{00000000-0005-0000-0000-000074030000}"/>
    <cellStyle name="Normal 8 2" xfId="808" xr:uid="{00000000-0005-0000-0000-000075030000}"/>
    <cellStyle name="Normal 8 2 2" xfId="809" xr:uid="{00000000-0005-0000-0000-000076030000}"/>
    <cellStyle name="Normal 8 2 3" xfId="810" xr:uid="{00000000-0005-0000-0000-000077030000}"/>
    <cellStyle name="Normal 8 3" xfId="811" xr:uid="{00000000-0005-0000-0000-000078030000}"/>
    <cellStyle name="Normal 8 3 2" xfId="812" xr:uid="{00000000-0005-0000-0000-000079030000}"/>
    <cellStyle name="Normal 8 4" xfId="813" xr:uid="{00000000-0005-0000-0000-00007A030000}"/>
    <cellStyle name="Normal 9" xfId="23" xr:uid="{00000000-0005-0000-0000-00007B030000}"/>
    <cellStyle name="Normal 9 2" xfId="175" xr:uid="{00000000-0005-0000-0000-00007C030000}"/>
    <cellStyle name="Normal 9 2 2" xfId="814" xr:uid="{00000000-0005-0000-0000-00007D030000}"/>
    <cellStyle name="Normal 9 2 3" xfId="815" xr:uid="{00000000-0005-0000-0000-00007E030000}"/>
    <cellStyle name="Normal 9 3" xfId="316" xr:uid="{00000000-0005-0000-0000-00007F030000}"/>
    <cellStyle name="Normal 9 4" xfId="816" xr:uid="{00000000-0005-0000-0000-000080030000}"/>
    <cellStyle name="Note 1" xfId="291" xr:uid="{00000000-0005-0000-0000-000081030000}"/>
    <cellStyle name="Note 1 2" xfId="817" xr:uid="{00000000-0005-0000-0000-000082030000}"/>
    <cellStyle name="Note 1 2 2" xfId="976" xr:uid="{00000000-0005-0000-0000-000083030000}"/>
    <cellStyle name="Note 1 3" xfId="818" xr:uid="{00000000-0005-0000-0000-000084030000}"/>
    <cellStyle name="Note 1 3 2" xfId="977" xr:uid="{00000000-0005-0000-0000-000085030000}"/>
    <cellStyle name="Note 1 4" xfId="975" xr:uid="{00000000-0005-0000-0000-000086030000}"/>
    <cellStyle name="Note 2" xfId="176" xr:uid="{00000000-0005-0000-0000-000087030000}"/>
    <cellStyle name="Note 2 2" xfId="357" xr:uid="{00000000-0005-0000-0000-000088030000}"/>
    <cellStyle name="Note 2 2 2" xfId="819" xr:uid="{00000000-0005-0000-0000-000089030000}"/>
    <cellStyle name="Note 2 2 2 2" xfId="980" xr:uid="{00000000-0005-0000-0000-00008A030000}"/>
    <cellStyle name="Note 2 2 3" xfId="820" xr:uid="{00000000-0005-0000-0000-00008B030000}"/>
    <cellStyle name="Note 2 2 3 2" xfId="981" xr:uid="{00000000-0005-0000-0000-00008C030000}"/>
    <cellStyle name="Note 2 2 4" xfId="979" xr:uid="{00000000-0005-0000-0000-00008D030000}"/>
    <cellStyle name="Note 2 3" xfId="370" xr:uid="{00000000-0005-0000-0000-00008E030000}"/>
    <cellStyle name="Note 2 3 2" xfId="821" xr:uid="{00000000-0005-0000-0000-00008F030000}"/>
    <cellStyle name="Note 2 3 2 2" xfId="983" xr:uid="{00000000-0005-0000-0000-000090030000}"/>
    <cellStyle name="Note 2 3 3" xfId="822" xr:uid="{00000000-0005-0000-0000-000091030000}"/>
    <cellStyle name="Note 2 3 3 2" xfId="984" xr:uid="{00000000-0005-0000-0000-000092030000}"/>
    <cellStyle name="Note 2 3 4" xfId="982" xr:uid="{00000000-0005-0000-0000-000093030000}"/>
    <cellStyle name="Note 2 4" xfId="823" xr:uid="{00000000-0005-0000-0000-000094030000}"/>
    <cellStyle name="Note 2 4 2" xfId="985" xr:uid="{00000000-0005-0000-0000-000095030000}"/>
    <cellStyle name="Note 2 5" xfId="824" xr:uid="{00000000-0005-0000-0000-000096030000}"/>
    <cellStyle name="Note 2 5 2" xfId="986" xr:uid="{00000000-0005-0000-0000-000097030000}"/>
    <cellStyle name="Note 2 6" xfId="978" xr:uid="{00000000-0005-0000-0000-000098030000}"/>
    <cellStyle name="Note 3" xfId="177" xr:uid="{00000000-0005-0000-0000-000099030000}"/>
    <cellStyle name="Note 3 2" xfId="358" xr:uid="{00000000-0005-0000-0000-00009A030000}"/>
    <cellStyle name="Note 3 2 2" xfId="825" xr:uid="{00000000-0005-0000-0000-00009B030000}"/>
    <cellStyle name="Note 3 2 2 2" xfId="989" xr:uid="{00000000-0005-0000-0000-00009C030000}"/>
    <cellStyle name="Note 3 2 3" xfId="826" xr:uid="{00000000-0005-0000-0000-00009D030000}"/>
    <cellStyle name="Note 3 2 3 2" xfId="990" xr:uid="{00000000-0005-0000-0000-00009E030000}"/>
    <cellStyle name="Note 3 2 4" xfId="988" xr:uid="{00000000-0005-0000-0000-00009F030000}"/>
    <cellStyle name="Note 3 3" xfId="371" xr:uid="{00000000-0005-0000-0000-0000A0030000}"/>
    <cellStyle name="Note 3 3 2" xfId="827" xr:uid="{00000000-0005-0000-0000-0000A1030000}"/>
    <cellStyle name="Note 3 3 2 2" xfId="992" xr:uid="{00000000-0005-0000-0000-0000A2030000}"/>
    <cellStyle name="Note 3 3 3" xfId="828" xr:uid="{00000000-0005-0000-0000-0000A3030000}"/>
    <cellStyle name="Note 3 3 3 2" xfId="993" xr:uid="{00000000-0005-0000-0000-0000A4030000}"/>
    <cellStyle name="Note 3 3 4" xfId="991" xr:uid="{00000000-0005-0000-0000-0000A5030000}"/>
    <cellStyle name="Note 3 4" xfId="829" xr:uid="{00000000-0005-0000-0000-0000A6030000}"/>
    <cellStyle name="Note 3 4 2" xfId="994" xr:uid="{00000000-0005-0000-0000-0000A7030000}"/>
    <cellStyle name="Note 3 5" xfId="830" xr:uid="{00000000-0005-0000-0000-0000A8030000}"/>
    <cellStyle name="Note 3 5 2" xfId="995" xr:uid="{00000000-0005-0000-0000-0000A9030000}"/>
    <cellStyle name="Note 3 6" xfId="987" xr:uid="{00000000-0005-0000-0000-0000AA030000}"/>
    <cellStyle name="Output 2" xfId="178" xr:uid="{00000000-0005-0000-0000-0000AB030000}"/>
    <cellStyle name="Output 2 2" xfId="359" xr:uid="{00000000-0005-0000-0000-0000AC030000}"/>
    <cellStyle name="Output 2 2 2" xfId="831" xr:uid="{00000000-0005-0000-0000-0000AD030000}"/>
    <cellStyle name="Output 2 2 2 2" xfId="998" xr:uid="{00000000-0005-0000-0000-0000AE030000}"/>
    <cellStyle name="Output 2 2 3" xfId="832" xr:uid="{00000000-0005-0000-0000-0000AF030000}"/>
    <cellStyle name="Output 2 2 3 2" xfId="999" xr:uid="{00000000-0005-0000-0000-0000B0030000}"/>
    <cellStyle name="Output 2 2 4" xfId="997" xr:uid="{00000000-0005-0000-0000-0000B1030000}"/>
    <cellStyle name="Output 2 3" xfId="372" xr:uid="{00000000-0005-0000-0000-0000B2030000}"/>
    <cellStyle name="Output 2 3 2" xfId="833" xr:uid="{00000000-0005-0000-0000-0000B3030000}"/>
    <cellStyle name="Output 2 3 2 2" xfId="1001" xr:uid="{00000000-0005-0000-0000-0000B4030000}"/>
    <cellStyle name="Output 2 3 3" xfId="834" xr:uid="{00000000-0005-0000-0000-0000B5030000}"/>
    <cellStyle name="Output 2 3 3 2" xfId="1002" xr:uid="{00000000-0005-0000-0000-0000B6030000}"/>
    <cellStyle name="Output 2 3 4" xfId="1000" xr:uid="{00000000-0005-0000-0000-0000B7030000}"/>
    <cellStyle name="Output 2 4" xfId="835" xr:uid="{00000000-0005-0000-0000-0000B8030000}"/>
    <cellStyle name="Output 2 4 2" xfId="1003" xr:uid="{00000000-0005-0000-0000-0000B9030000}"/>
    <cellStyle name="Output 2 5" xfId="836" xr:uid="{00000000-0005-0000-0000-0000BA030000}"/>
    <cellStyle name="Output 2 5 2" xfId="1004" xr:uid="{00000000-0005-0000-0000-0000BB030000}"/>
    <cellStyle name="Output 2 6" xfId="996" xr:uid="{00000000-0005-0000-0000-0000BC030000}"/>
    <cellStyle name="Output 3" xfId="179" xr:uid="{00000000-0005-0000-0000-0000BD030000}"/>
    <cellStyle name="Output 3 2" xfId="360" xr:uid="{00000000-0005-0000-0000-0000BE030000}"/>
    <cellStyle name="Output 3 2 2" xfId="837" xr:uid="{00000000-0005-0000-0000-0000BF030000}"/>
    <cellStyle name="Output 3 2 2 2" xfId="1007" xr:uid="{00000000-0005-0000-0000-0000C0030000}"/>
    <cellStyle name="Output 3 2 3" xfId="838" xr:uid="{00000000-0005-0000-0000-0000C1030000}"/>
    <cellStyle name="Output 3 2 3 2" xfId="1008" xr:uid="{00000000-0005-0000-0000-0000C2030000}"/>
    <cellStyle name="Output 3 2 4" xfId="1006" xr:uid="{00000000-0005-0000-0000-0000C3030000}"/>
    <cellStyle name="Output 3 3" xfId="373" xr:uid="{00000000-0005-0000-0000-0000C4030000}"/>
    <cellStyle name="Output 3 3 2" xfId="839" xr:uid="{00000000-0005-0000-0000-0000C5030000}"/>
    <cellStyle name="Output 3 3 2 2" xfId="1010" xr:uid="{00000000-0005-0000-0000-0000C6030000}"/>
    <cellStyle name="Output 3 3 3" xfId="840" xr:uid="{00000000-0005-0000-0000-0000C7030000}"/>
    <cellStyle name="Output 3 3 3 2" xfId="1011" xr:uid="{00000000-0005-0000-0000-0000C8030000}"/>
    <cellStyle name="Output 3 3 4" xfId="1009" xr:uid="{00000000-0005-0000-0000-0000C9030000}"/>
    <cellStyle name="Output 3 4" xfId="841" xr:uid="{00000000-0005-0000-0000-0000CA030000}"/>
    <cellStyle name="Output 3 4 2" xfId="1012" xr:uid="{00000000-0005-0000-0000-0000CB030000}"/>
    <cellStyle name="Output 3 5" xfId="842" xr:uid="{00000000-0005-0000-0000-0000CC030000}"/>
    <cellStyle name="Output 3 5 2" xfId="1013" xr:uid="{00000000-0005-0000-0000-0000CD030000}"/>
    <cellStyle name="Output 3 6" xfId="1005" xr:uid="{00000000-0005-0000-0000-0000CE030000}"/>
    <cellStyle name="Percent" xfId="22" builtinId="5"/>
    <cellStyle name="Percent 2" xfId="20" xr:uid="{00000000-0005-0000-0000-0000D0030000}"/>
    <cellStyle name="Percent 2 2" xfId="843" xr:uid="{00000000-0005-0000-0000-0000D1030000}"/>
    <cellStyle name="Percent 2 3" xfId="844" xr:uid="{00000000-0005-0000-0000-0000D2030000}"/>
    <cellStyle name="Percent 2 4" xfId="866" xr:uid="{00000000-0005-0000-0000-0000D3030000}"/>
    <cellStyle name="Percent 3" xfId="21" xr:uid="{00000000-0005-0000-0000-0000D4030000}"/>
    <cellStyle name="Percent 4" xfId="845" xr:uid="{00000000-0005-0000-0000-0000D5030000}"/>
    <cellStyle name="Percent 5" xfId="846" xr:uid="{00000000-0005-0000-0000-0000D6030000}"/>
    <cellStyle name="Percent 6" xfId="847" xr:uid="{00000000-0005-0000-0000-0000D7030000}"/>
    <cellStyle name="Percent 7" xfId="848" xr:uid="{00000000-0005-0000-0000-0000D8030000}"/>
    <cellStyle name="Percent 8" xfId="849" xr:uid="{00000000-0005-0000-0000-0000D9030000}"/>
    <cellStyle name="Percent 9" xfId="850" xr:uid="{00000000-0005-0000-0000-0000DA030000}"/>
    <cellStyle name="Pivot Table Value" xfId="278" xr:uid="{00000000-0005-0000-0000-0000DB030000}"/>
    <cellStyle name="Status 1" xfId="292" xr:uid="{00000000-0005-0000-0000-0000DC030000}"/>
    <cellStyle name="TableStyleLight1" xfId="309" xr:uid="{00000000-0005-0000-0000-0000DD030000}"/>
    <cellStyle name="TableStyleLight1 2" xfId="1014" xr:uid="{00000000-0005-0000-0000-0000DE030000}"/>
    <cellStyle name="Text 1" xfId="293" xr:uid="{00000000-0005-0000-0000-0000DF030000}"/>
    <cellStyle name="Title 2" xfId="180" xr:uid="{00000000-0005-0000-0000-0000E0030000}"/>
    <cellStyle name="Title 2 2" xfId="1015" xr:uid="{00000000-0005-0000-0000-0000E1030000}"/>
    <cellStyle name="Title 3" xfId="181" xr:uid="{00000000-0005-0000-0000-0000E2030000}"/>
    <cellStyle name="Title 3 2" xfId="1016" xr:uid="{00000000-0005-0000-0000-0000E3030000}"/>
    <cellStyle name="Total 2" xfId="182" xr:uid="{00000000-0005-0000-0000-0000E4030000}"/>
    <cellStyle name="Total 2 2" xfId="361" xr:uid="{00000000-0005-0000-0000-0000E5030000}"/>
    <cellStyle name="Total 2 2 2" xfId="851" xr:uid="{00000000-0005-0000-0000-0000E6030000}"/>
    <cellStyle name="Total 2 2 2 2" xfId="1019" xr:uid="{00000000-0005-0000-0000-0000E7030000}"/>
    <cellStyle name="Total 2 2 3" xfId="852" xr:uid="{00000000-0005-0000-0000-0000E8030000}"/>
    <cellStyle name="Total 2 2 3 2" xfId="1020" xr:uid="{00000000-0005-0000-0000-0000E9030000}"/>
    <cellStyle name="Total 2 2 4" xfId="1018" xr:uid="{00000000-0005-0000-0000-0000EA030000}"/>
    <cellStyle name="Total 2 3" xfId="374" xr:uid="{00000000-0005-0000-0000-0000EB030000}"/>
    <cellStyle name="Total 2 3 2" xfId="853" xr:uid="{00000000-0005-0000-0000-0000EC030000}"/>
    <cellStyle name="Total 2 3 2 2" xfId="1022" xr:uid="{00000000-0005-0000-0000-0000ED030000}"/>
    <cellStyle name="Total 2 3 3" xfId="854" xr:uid="{00000000-0005-0000-0000-0000EE030000}"/>
    <cellStyle name="Total 2 3 3 2" xfId="1023" xr:uid="{00000000-0005-0000-0000-0000EF030000}"/>
    <cellStyle name="Total 2 3 4" xfId="1021" xr:uid="{00000000-0005-0000-0000-0000F0030000}"/>
    <cellStyle name="Total 2 4" xfId="855" xr:uid="{00000000-0005-0000-0000-0000F1030000}"/>
    <cellStyle name="Total 2 4 2" xfId="1024" xr:uid="{00000000-0005-0000-0000-0000F2030000}"/>
    <cellStyle name="Total 2 5" xfId="856" xr:uid="{00000000-0005-0000-0000-0000F3030000}"/>
    <cellStyle name="Total 2 5 2" xfId="1025" xr:uid="{00000000-0005-0000-0000-0000F4030000}"/>
    <cellStyle name="Total 2 6" xfId="1017" xr:uid="{00000000-0005-0000-0000-0000F5030000}"/>
    <cellStyle name="Total 3" xfId="183" xr:uid="{00000000-0005-0000-0000-0000F6030000}"/>
    <cellStyle name="Total 3 2" xfId="362" xr:uid="{00000000-0005-0000-0000-0000F7030000}"/>
    <cellStyle name="Total 3 2 2" xfId="857" xr:uid="{00000000-0005-0000-0000-0000F8030000}"/>
    <cellStyle name="Total 3 2 2 2" xfId="1028" xr:uid="{00000000-0005-0000-0000-0000F9030000}"/>
    <cellStyle name="Total 3 2 3" xfId="858" xr:uid="{00000000-0005-0000-0000-0000FA030000}"/>
    <cellStyle name="Total 3 2 3 2" xfId="1029" xr:uid="{00000000-0005-0000-0000-0000FB030000}"/>
    <cellStyle name="Total 3 2 4" xfId="1027" xr:uid="{00000000-0005-0000-0000-0000FC030000}"/>
    <cellStyle name="Total 3 3" xfId="375" xr:uid="{00000000-0005-0000-0000-0000FD030000}"/>
    <cellStyle name="Total 3 3 2" xfId="859" xr:uid="{00000000-0005-0000-0000-0000FE030000}"/>
    <cellStyle name="Total 3 3 2 2" xfId="1031" xr:uid="{00000000-0005-0000-0000-0000FF030000}"/>
    <cellStyle name="Total 3 3 3" xfId="860" xr:uid="{00000000-0005-0000-0000-000000040000}"/>
    <cellStyle name="Total 3 3 3 2" xfId="1032" xr:uid="{00000000-0005-0000-0000-000001040000}"/>
    <cellStyle name="Total 3 3 4" xfId="1030" xr:uid="{00000000-0005-0000-0000-000002040000}"/>
    <cellStyle name="Total 3 4" xfId="861" xr:uid="{00000000-0005-0000-0000-000003040000}"/>
    <cellStyle name="Total 3 4 2" xfId="1033" xr:uid="{00000000-0005-0000-0000-000004040000}"/>
    <cellStyle name="Total 3 5" xfId="862" xr:uid="{00000000-0005-0000-0000-000005040000}"/>
    <cellStyle name="Total 3 5 2" xfId="1034" xr:uid="{00000000-0005-0000-0000-000006040000}"/>
    <cellStyle name="Total 3 6" xfId="1026" xr:uid="{00000000-0005-0000-0000-000007040000}"/>
    <cellStyle name="Warning 1" xfId="294" xr:uid="{00000000-0005-0000-0000-000008040000}"/>
    <cellStyle name="Warning Text 2" xfId="184" xr:uid="{00000000-0005-0000-0000-000009040000}"/>
    <cellStyle name="Warning Text 3" xfId="185" xr:uid="{00000000-0005-0000-0000-00000A04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P\ABP%202025-26%20Final%20work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P\ABP%202025-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CL1432\Downloads\Summarized%20Monthly%20Report%202025-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1">
          <cell r="E21">
            <v>1023.84</v>
          </cell>
          <cell r="F21">
            <v>1057.9680000000001</v>
          </cell>
          <cell r="G21">
            <v>1023.84</v>
          </cell>
          <cell r="H21">
            <v>1057.9680000000001</v>
          </cell>
          <cell r="I21">
            <v>1057.9680000000001</v>
          </cell>
          <cell r="J21">
            <v>682.56</v>
          </cell>
          <cell r="K21">
            <v>1057.9680000000001</v>
          </cell>
          <cell r="L21">
            <v>1023.84</v>
          </cell>
          <cell r="M21">
            <v>1057.9680000000001</v>
          </cell>
          <cell r="N21">
            <v>1057.9680000000001</v>
          </cell>
          <cell r="O21">
            <v>955.58399999999995</v>
          </cell>
          <cell r="P21">
            <v>1057.9680000000001</v>
          </cell>
        </row>
        <row r="22">
          <cell r="E22">
            <v>1828.2857142857142</v>
          </cell>
          <cell r="F22">
            <v>1889.2285714285713</v>
          </cell>
          <cell r="G22">
            <v>1828.2857142857142</v>
          </cell>
          <cell r="H22">
            <v>1889.2285714285713</v>
          </cell>
          <cell r="I22">
            <v>1889.2285714285713</v>
          </cell>
          <cell r="J22">
            <v>1218.8571428571427</v>
          </cell>
          <cell r="K22">
            <v>1889.2285714285713</v>
          </cell>
          <cell r="L22">
            <v>1828.2857142857142</v>
          </cell>
          <cell r="M22">
            <v>1889.2285714285713</v>
          </cell>
          <cell r="N22">
            <v>1889.2285714285713</v>
          </cell>
          <cell r="O22">
            <v>1706.3999999999996</v>
          </cell>
          <cell r="P22">
            <v>1889.2285714285713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j Production Summ"/>
      <sheetName val="Maj Despatch Summ"/>
      <sheetName val="Maj Techno Summ"/>
      <sheetName val="Major techno all dept"/>
      <sheetName val="Direct sales IPT details"/>
      <sheetName val="Coal to Hot Metal"/>
      <sheetName val="DETAIL DESP  "/>
      <sheetName val="Raw Mat Received"/>
      <sheetName val="COKE OVENS"/>
      <sheetName val="RMHP"/>
      <sheetName val="SINTER"/>
      <sheetName val="B-FCE"/>
      <sheetName val="SMS"/>
      <sheetName val="WRM"/>
      <sheetName val="BM"/>
      <sheetName val="USM"/>
      <sheetName val="with diff nomenclature"/>
      <sheetName val="GRD SUMM RCL 150X150 "/>
      <sheetName val="GRD SUMM RCL CASTER 3"/>
      <sheetName val="150x150 saleable grades"/>
      <sheetName val="Value added steel "/>
      <sheetName val="POWER DISTRIBUTION"/>
      <sheetName val="PBS"/>
      <sheetName val="ECD"/>
      <sheetName val="EMD"/>
      <sheetName val="LDCP"/>
      <sheetName val="OXY PL"/>
      <sheetName val="SEQR  Prod &amp; Dispatch"/>
      <sheetName val="High carbon grades"/>
      <sheetName val="SHOPS"/>
      <sheetName val="Quality"/>
      <sheetName val="Slag Rate and IOF"/>
      <sheetName val="Special steel "/>
      <sheetName val="shopwise make up water"/>
      <sheetName val="Slag Analysis"/>
      <sheetName val="Shopwise Refractory consumption"/>
      <sheetName val="Delay Analysis"/>
      <sheetName val="Sheet1"/>
      <sheetName val="Sheet2"/>
      <sheetName val="Capital Repair"/>
      <sheetName val="Sheet3"/>
      <sheetName val="Sheet4"/>
      <sheetName val="Sheet5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3">
          <cell r="D103">
            <v>55.430739802849317</v>
          </cell>
        </row>
        <row r="105">
          <cell r="D105">
            <v>5.3691091749165931</v>
          </cell>
        </row>
        <row r="106">
          <cell r="D106">
            <v>2.7277716029417967</v>
          </cell>
        </row>
        <row r="109">
          <cell r="D109">
            <v>1.7221171729653546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  <pageSetUpPr fitToPage="1"/>
  </sheetPr>
  <dimension ref="A1:BX67"/>
  <sheetViews>
    <sheetView topLeftCell="A11" zoomScale="115" zoomScaleNormal="115" workbookViewId="0">
      <pane xSplit="4" topLeftCell="E1" activePane="topRight" state="frozen"/>
      <selection pane="topRight" activeCell="M3" sqref="M3:N3"/>
    </sheetView>
  </sheetViews>
  <sheetFormatPr defaultColWidth="9.109375" defaultRowHeight="14.4" x14ac:dyDescent="0.3"/>
  <cols>
    <col min="1" max="1" width="2.6640625" customWidth="1"/>
    <col min="2" max="2" width="47.44140625" bestFit="1" customWidth="1"/>
    <col min="3" max="3" width="10.88671875" bestFit="1" customWidth="1"/>
    <col min="4" max="4" width="13.6640625" bestFit="1" customWidth="1"/>
    <col min="5" max="8" width="10.6640625" customWidth="1"/>
    <col min="9" max="10" width="10.6640625" hidden="1" customWidth="1"/>
    <col min="11" max="16" width="10.6640625" customWidth="1"/>
    <col min="17" max="18" width="10.6640625" hidden="1" customWidth="1"/>
    <col min="19" max="20" width="10.6640625" customWidth="1"/>
    <col min="21" max="22" width="10.6640625" hidden="1" customWidth="1"/>
    <col min="23" max="30" width="10.6640625" customWidth="1"/>
    <col min="31" max="32" width="10.6640625" hidden="1" customWidth="1"/>
    <col min="33" max="34" width="10.6640625" customWidth="1"/>
    <col min="35" max="36" width="10.6640625" hidden="1" customWidth="1"/>
    <col min="37" max="40" width="10.6640625" customWidth="1"/>
    <col min="41" max="42" width="10.6640625" hidden="1" customWidth="1"/>
    <col min="43" max="44" width="10.6640625" customWidth="1"/>
    <col min="45" max="46" width="10.6640625" hidden="1" customWidth="1"/>
    <col min="47" max="48" width="10.6640625" customWidth="1"/>
    <col min="49" max="50" width="10.6640625" hidden="1" customWidth="1"/>
    <col min="51" max="58" width="10.6640625" customWidth="1"/>
    <col min="59" max="59" width="11.33203125" hidden="1" customWidth="1"/>
    <col min="60" max="60" width="11.33203125" customWidth="1"/>
    <col min="61" max="61" width="11.33203125" hidden="1" customWidth="1"/>
    <col min="62" max="63" width="11.33203125" customWidth="1"/>
    <col min="64" max="69" width="11.33203125" hidden="1" customWidth="1"/>
    <col min="70" max="70" width="12.88671875" bestFit="1" customWidth="1"/>
    <col min="71" max="71" width="10.88671875" bestFit="1" customWidth="1"/>
    <col min="72" max="84" width="9.109375" customWidth="1"/>
  </cols>
  <sheetData>
    <row r="1" spans="1:76" ht="17.399999999999999" x14ac:dyDescent="0.3">
      <c r="B1" s="2705" t="s">
        <v>339</v>
      </c>
      <c r="C1" s="4105"/>
      <c r="D1" s="4107">
        <v>341.01686746987951</v>
      </c>
      <c r="E1" s="4107">
        <v>29</v>
      </c>
      <c r="F1" s="4107">
        <f>F2-'B-FCE'!F3</f>
        <v>26.666666666666668</v>
      </c>
      <c r="G1" s="4107">
        <v>30</v>
      </c>
      <c r="H1" s="4107">
        <f>H2-'B-FCE'!H3</f>
        <v>29.791666666666668</v>
      </c>
      <c r="I1" s="4107">
        <f>E1+G1</f>
        <v>59</v>
      </c>
      <c r="J1" s="4107">
        <f>F1+H1</f>
        <v>56.458333333333336</v>
      </c>
      <c r="K1" s="4107">
        <v>29</v>
      </c>
      <c r="L1" s="4106">
        <f>L2-'B-FCE'!L3</f>
        <v>29.611249999999998</v>
      </c>
      <c r="M1" s="4107">
        <f>+E1+G1+K1</f>
        <v>88</v>
      </c>
      <c r="N1" s="4107">
        <f>+F1+H1+L1</f>
        <v>86.069583333333327</v>
      </c>
      <c r="O1" s="4107">
        <v>30</v>
      </c>
      <c r="P1" s="4107">
        <f>P2-'B-FCE'!P3</f>
        <v>31</v>
      </c>
      <c r="Q1" s="4107">
        <f>+M1+O1</f>
        <v>118</v>
      </c>
      <c r="R1" s="4107">
        <f>+N1+P1</f>
        <v>117.06958333333333</v>
      </c>
      <c r="S1" s="4107">
        <v>30</v>
      </c>
      <c r="T1" s="4107">
        <f>T2-'B-FCE'!T3</f>
        <v>30.024305555555554</v>
      </c>
      <c r="U1" s="4107">
        <f>+Q1+S1</f>
        <v>148</v>
      </c>
      <c r="V1" s="4107">
        <f>+R1+T1</f>
        <v>147.09388888888887</v>
      </c>
      <c r="W1" s="4107">
        <v>17.016867469879518</v>
      </c>
      <c r="X1" s="4107">
        <f>X2-'B-FCE'!X3</f>
        <v>29.673749999999998</v>
      </c>
      <c r="Y1" s="4107">
        <f>+O1+S1+W1</f>
        <v>77.016867469879514</v>
      </c>
      <c r="Z1" s="4107">
        <f>+P1+T1+X1</f>
        <v>90.698055555555555</v>
      </c>
      <c r="AA1" s="4107">
        <f>+U1+W1</f>
        <v>165.01686746987951</v>
      </c>
      <c r="AB1" s="4107">
        <f>+V1+X1</f>
        <v>176.76763888888888</v>
      </c>
      <c r="AC1" s="4107">
        <v>30</v>
      </c>
      <c r="AD1" s="4177">
        <f>AD2-'B-FCE'!AD3-2</f>
        <v>24.930555555555557</v>
      </c>
      <c r="AE1" s="4107">
        <f>AA1+AC1</f>
        <v>195.01686746987951</v>
      </c>
      <c r="AF1" s="4107">
        <f>AB1+AD1</f>
        <v>201.69819444444443</v>
      </c>
      <c r="AG1" s="4107">
        <v>29</v>
      </c>
      <c r="AH1" s="4107">
        <f>AH2-'B-FCE'!AH3</f>
        <v>29.107500000000002</v>
      </c>
      <c r="AI1" s="4107">
        <f>AE1+AG1</f>
        <v>224.01686746987951</v>
      </c>
      <c r="AJ1" s="4107">
        <f>AF1+AH1</f>
        <v>230.80569444444444</v>
      </c>
      <c r="AK1" s="64">
        <v>30</v>
      </c>
      <c r="AL1" s="64">
        <f>31-'B-FCE'!AL3</f>
        <v>30.697916666666668</v>
      </c>
      <c r="AM1" s="64">
        <f>+AC1+AG1+AK1</f>
        <v>89</v>
      </c>
      <c r="AN1" s="64">
        <f>+AD1+AH1+AL1</f>
        <v>84.73597222222223</v>
      </c>
      <c r="AO1" s="64">
        <f>AI1+AK1</f>
        <v>254.01686746987951</v>
      </c>
      <c r="AP1" s="64">
        <f>AJ1+AL1</f>
        <v>261.50361111111113</v>
      </c>
      <c r="AQ1" s="64">
        <v>30</v>
      </c>
      <c r="AR1" s="4365">
        <f>31-'B-FCE'!AR3</f>
        <v>30.413194444444446</v>
      </c>
      <c r="AS1" s="64">
        <f>AO1+AQ1</f>
        <v>284.01686746987951</v>
      </c>
      <c r="AT1" s="64">
        <f>AP1+AR1</f>
        <v>291.91680555555558</v>
      </c>
      <c r="AU1" s="64">
        <v>27</v>
      </c>
      <c r="AV1" s="2464">
        <f>28-'B-FCE'!AV3</f>
        <v>27.576250000000002</v>
      </c>
      <c r="AW1" s="64">
        <f>AS1+AU1</f>
        <v>311.01686746987951</v>
      </c>
      <c r="AX1" s="64">
        <f>AT1+AV1</f>
        <v>319.4930555555556</v>
      </c>
      <c r="AY1" s="64">
        <v>30</v>
      </c>
      <c r="AZ1" s="2464">
        <f>31-'B-FCE'!AZ3</f>
        <v>29.972222222222221</v>
      </c>
      <c r="BA1" s="64">
        <f>+AQ1+AU1+AY1</f>
        <v>87</v>
      </c>
      <c r="BB1" s="64">
        <f>+AR1+AV1+AZ1</f>
        <v>87.961666666666673</v>
      </c>
      <c r="BC1" s="64">
        <f>+AM1+BA1</f>
        <v>176</v>
      </c>
      <c r="BD1" s="64">
        <f>+AN1+BB1</f>
        <v>172.69763888888889</v>
      </c>
      <c r="BE1" s="64">
        <f>AW1+AY1</f>
        <v>341.01686746987951</v>
      </c>
      <c r="BF1" s="64">
        <f>AX1+AZ1</f>
        <v>349.46527777777783</v>
      </c>
      <c r="BG1" s="64"/>
      <c r="BH1" s="5018"/>
      <c r="BI1" s="64"/>
      <c r="BJ1" s="64"/>
      <c r="BK1" s="1412"/>
      <c r="BL1" s="199"/>
      <c r="BM1" s="199"/>
      <c r="BN1" s="199"/>
      <c r="BO1" s="199"/>
      <c r="BP1" s="199"/>
      <c r="BQ1" s="199"/>
    </row>
    <row r="2" spans="1:76" ht="16.5" customHeight="1" thickBot="1" x14ac:dyDescent="0.35">
      <c r="B2" s="4"/>
      <c r="C2" s="4105"/>
      <c r="D2" s="4108">
        <v>365</v>
      </c>
      <c r="E2" s="4108">
        <v>30</v>
      </c>
      <c r="F2" s="4108">
        <v>30</v>
      </c>
      <c r="G2" s="4108">
        <v>31</v>
      </c>
      <c r="H2" s="4108">
        <v>31</v>
      </c>
      <c r="I2" s="4108">
        <f>+E2+G2</f>
        <v>61</v>
      </c>
      <c r="J2" s="4108">
        <f>+F2+H2</f>
        <v>61</v>
      </c>
      <c r="K2" s="4108">
        <v>30</v>
      </c>
      <c r="L2" s="4108">
        <v>30</v>
      </c>
      <c r="M2" s="4108">
        <f>+I2+K2</f>
        <v>91</v>
      </c>
      <c r="N2" s="4108">
        <f>+J2+L2</f>
        <v>91</v>
      </c>
      <c r="O2" s="4109">
        <v>31</v>
      </c>
      <c r="P2" s="4108">
        <v>31</v>
      </c>
      <c r="Q2" s="4108">
        <f>+M2+O2</f>
        <v>122</v>
      </c>
      <c r="R2" s="4108">
        <f>+N2+P2</f>
        <v>122</v>
      </c>
      <c r="S2" s="4108">
        <v>31</v>
      </c>
      <c r="T2" s="4108">
        <v>31</v>
      </c>
      <c r="U2" s="4108">
        <f>+Q2+S2</f>
        <v>153</v>
      </c>
      <c r="V2" s="4108">
        <f>+R2+T2</f>
        <v>153</v>
      </c>
      <c r="W2" s="4108">
        <v>30</v>
      </c>
      <c r="X2" s="4108">
        <v>30</v>
      </c>
      <c r="Y2" s="4108">
        <f>+O2+S2+W2</f>
        <v>92</v>
      </c>
      <c r="Z2" s="4108">
        <f>+P2+T2+X2</f>
        <v>92</v>
      </c>
      <c r="AA2" s="4108">
        <f>+U2+W2</f>
        <v>183</v>
      </c>
      <c r="AB2" s="4108">
        <f>+V2+X2</f>
        <v>183</v>
      </c>
      <c r="AC2" s="4108">
        <v>31</v>
      </c>
      <c r="AD2" s="4108">
        <v>31</v>
      </c>
      <c r="AE2" s="4108">
        <f>AA2+AC2</f>
        <v>214</v>
      </c>
      <c r="AF2" s="4108">
        <f>AB2+AD2</f>
        <v>214</v>
      </c>
      <c r="AG2" s="4108">
        <v>30</v>
      </c>
      <c r="AH2" s="4108">
        <v>30</v>
      </c>
      <c r="AI2" s="4108">
        <f>AE2+AG2</f>
        <v>244</v>
      </c>
      <c r="AJ2" s="4108">
        <f>AF2+AH2</f>
        <v>244</v>
      </c>
      <c r="AK2" s="199">
        <v>31</v>
      </c>
      <c r="AL2" s="199">
        <v>31</v>
      </c>
      <c r="AM2" s="199">
        <f>+AC2+AG2+AK2</f>
        <v>92</v>
      </c>
      <c r="AN2" s="199">
        <f>+AD2+AH2+AL2</f>
        <v>92</v>
      </c>
      <c r="AO2" s="199">
        <f>AI2+AK2</f>
        <v>275</v>
      </c>
      <c r="AP2" s="199">
        <f>AJ2+AL2</f>
        <v>275</v>
      </c>
      <c r="AQ2" s="199">
        <v>31</v>
      </c>
      <c r="AR2" s="199">
        <v>31</v>
      </c>
      <c r="AS2" s="199">
        <f>AO2+AQ2</f>
        <v>306</v>
      </c>
      <c r="AT2" s="199">
        <f>AP2+AR2</f>
        <v>306</v>
      </c>
      <c r="AU2" s="199">
        <v>28</v>
      </c>
      <c r="AV2" s="199">
        <v>28</v>
      </c>
      <c r="AW2" s="199">
        <f>AS2+AU2</f>
        <v>334</v>
      </c>
      <c r="AX2" s="199">
        <f>AT2+AV2</f>
        <v>334</v>
      </c>
      <c r="AY2" s="199">
        <v>31</v>
      </c>
      <c r="AZ2" s="199">
        <v>31</v>
      </c>
      <c r="BA2" s="199">
        <f>+AQ2+AU2+AY2</f>
        <v>90</v>
      </c>
      <c r="BB2" s="199">
        <f>+AR2+AV2+AZ2</f>
        <v>90</v>
      </c>
      <c r="BC2" s="199">
        <f>+AM2+BA2</f>
        <v>182</v>
      </c>
      <c r="BD2" s="199">
        <f>+AN2+BB2</f>
        <v>182</v>
      </c>
      <c r="BE2" s="199">
        <f>AW2+AY2</f>
        <v>365</v>
      </c>
      <c r="BF2" s="199">
        <f>AX2+AZ2</f>
        <v>365</v>
      </c>
      <c r="BG2" s="199"/>
      <c r="BH2" s="199"/>
      <c r="BI2" s="199"/>
      <c r="BJ2" s="199"/>
      <c r="BK2" s="199"/>
      <c r="BL2" s="199"/>
      <c r="BM2" s="199"/>
      <c r="BN2" s="199">
        <v>365</v>
      </c>
      <c r="BO2" s="199">
        <v>365</v>
      </c>
      <c r="BP2" s="199">
        <v>366</v>
      </c>
      <c r="BQ2" s="199">
        <v>366</v>
      </c>
    </row>
    <row r="3" spans="1:76" ht="18.75" customHeight="1" x14ac:dyDescent="0.3">
      <c r="A3">
        <v>1000</v>
      </c>
      <c r="B3" s="5906" t="s">
        <v>171</v>
      </c>
      <c r="C3" s="5908" t="s">
        <v>172</v>
      </c>
      <c r="D3" s="5910" t="s">
        <v>1963</v>
      </c>
      <c r="E3" s="5876" t="s">
        <v>1962</v>
      </c>
      <c r="F3" s="5877"/>
      <c r="G3" s="5876" t="s">
        <v>2013</v>
      </c>
      <c r="H3" s="5877"/>
      <c r="I3" s="5894" t="s">
        <v>14</v>
      </c>
      <c r="J3" s="5895"/>
      <c r="K3" s="5914" t="s">
        <v>2043</v>
      </c>
      <c r="L3" s="5915"/>
      <c r="M3" s="5912" t="s">
        <v>637</v>
      </c>
      <c r="N3" s="5913"/>
      <c r="O3" s="5876" t="s">
        <v>2065</v>
      </c>
      <c r="P3" s="5877"/>
      <c r="Q3" s="5894" t="s">
        <v>17</v>
      </c>
      <c r="R3" s="5895"/>
      <c r="S3" s="5876" t="s">
        <v>2068</v>
      </c>
      <c r="T3" s="5877"/>
      <c r="U3" s="5894" t="s">
        <v>18</v>
      </c>
      <c r="V3" s="5895"/>
      <c r="W3" s="5917" t="s">
        <v>2110</v>
      </c>
      <c r="X3" s="5918"/>
      <c r="Y3" s="5886" t="s">
        <v>833</v>
      </c>
      <c r="Z3" s="5886"/>
      <c r="AA3" s="5905" t="s">
        <v>657</v>
      </c>
      <c r="AB3" s="5905"/>
      <c r="AC3" s="5876" t="s">
        <v>2135</v>
      </c>
      <c r="AD3" s="5877"/>
      <c r="AE3" s="5894" t="s">
        <v>24</v>
      </c>
      <c r="AF3" s="5895"/>
      <c r="AG3" s="5876" t="s">
        <v>2238</v>
      </c>
      <c r="AH3" s="5877"/>
      <c r="AI3" s="5894" t="s">
        <v>27</v>
      </c>
      <c r="AJ3" s="5895"/>
      <c r="AK3" s="5917" t="s">
        <v>2262</v>
      </c>
      <c r="AL3" s="5918"/>
      <c r="AM3" s="5886" t="s">
        <v>1612</v>
      </c>
      <c r="AN3" s="5886"/>
      <c r="AO3" s="5894" t="s">
        <v>1613</v>
      </c>
      <c r="AP3" s="5895"/>
      <c r="AQ3" s="5876" t="s">
        <v>2274</v>
      </c>
      <c r="AR3" s="5877"/>
      <c r="AS3" s="5894" t="s">
        <v>28</v>
      </c>
      <c r="AT3" s="5895"/>
      <c r="AU3" s="5876" t="s">
        <v>2311</v>
      </c>
      <c r="AV3" s="5877"/>
      <c r="AW3" s="5894" t="s">
        <v>30</v>
      </c>
      <c r="AX3" s="5895"/>
      <c r="AY3" s="5876" t="s">
        <v>2329</v>
      </c>
      <c r="AZ3" s="5877"/>
      <c r="BA3" s="5886" t="s">
        <v>1648</v>
      </c>
      <c r="BB3" s="5886"/>
      <c r="BC3" s="5905" t="s">
        <v>670</v>
      </c>
      <c r="BD3" s="5905"/>
      <c r="BE3" s="5894" t="s">
        <v>2041</v>
      </c>
      <c r="BF3" s="5895"/>
      <c r="BG3" s="5899" t="s">
        <v>1672</v>
      </c>
      <c r="BH3" s="5900"/>
      <c r="BI3" s="5899" t="s">
        <v>1375</v>
      </c>
      <c r="BJ3" s="5900"/>
      <c r="BK3" s="2683" t="s">
        <v>1242</v>
      </c>
      <c r="BL3" s="5892" t="s">
        <v>937</v>
      </c>
      <c r="BM3" s="5892"/>
      <c r="BN3" s="5892" t="s">
        <v>678</v>
      </c>
      <c r="BO3" s="5892"/>
      <c r="BP3" s="5892" t="s">
        <v>668</v>
      </c>
      <c r="BQ3" s="5901"/>
    </row>
    <row r="4" spans="1:76" ht="23.25" customHeight="1" thickBot="1" x14ac:dyDescent="0.35">
      <c r="B4" s="5907"/>
      <c r="C4" s="5909"/>
      <c r="D4" s="5911"/>
      <c r="E4" s="1933" t="s">
        <v>173</v>
      </c>
      <c r="F4" s="1934" t="s">
        <v>174</v>
      </c>
      <c r="G4" s="1933" t="s">
        <v>173</v>
      </c>
      <c r="H4" s="1934" t="s">
        <v>174</v>
      </c>
      <c r="I4" s="1939" t="s">
        <v>173</v>
      </c>
      <c r="J4" s="1899" t="s">
        <v>174</v>
      </c>
      <c r="K4" s="1941" t="s">
        <v>173</v>
      </c>
      <c r="L4" s="1942" t="s">
        <v>174</v>
      </c>
      <c r="M4" s="1943" t="s">
        <v>173</v>
      </c>
      <c r="N4" s="1944" t="s">
        <v>174</v>
      </c>
      <c r="O4" s="1941" t="s">
        <v>173</v>
      </c>
      <c r="P4" s="1934" t="s">
        <v>174</v>
      </c>
      <c r="Q4" s="1939" t="s">
        <v>173</v>
      </c>
      <c r="R4" s="1899" t="s">
        <v>174</v>
      </c>
      <c r="S4" s="1933" t="s">
        <v>173</v>
      </c>
      <c r="T4" s="1934" t="s">
        <v>174</v>
      </c>
      <c r="U4" s="1939" t="s">
        <v>173</v>
      </c>
      <c r="V4" s="1899" t="s">
        <v>174</v>
      </c>
      <c r="W4" s="1690" t="s">
        <v>173</v>
      </c>
      <c r="X4" s="701" t="s">
        <v>174</v>
      </c>
      <c r="Y4" s="703" t="s">
        <v>173</v>
      </c>
      <c r="Z4" s="703" t="s">
        <v>174</v>
      </c>
      <c r="AA4" s="792" t="s">
        <v>173</v>
      </c>
      <c r="AB4" s="792" t="s">
        <v>174</v>
      </c>
      <c r="AC4" s="1933" t="s">
        <v>173</v>
      </c>
      <c r="AD4" s="1934" t="s">
        <v>174</v>
      </c>
      <c r="AE4" s="1939" t="s">
        <v>173</v>
      </c>
      <c r="AF4" s="1899" t="s">
        <v>174</v>
      </c>
      <c r="AG4" s="1933" t="s">
        <v>173</v>
      </c>
      <c r="AH4" s="1934" t="s">
        <v>174</v>
      </c>
      <c r="AI4" s="1939" t="s">
        <v>173</v>
      </c>
      <c r="AJ4" s="1899" t="s">
        <v>174</v>
      </c>
      <c r="AK4" s="1690" t="s">
        <v>173</v>
      </c>
      <c r="AL4" s="701" t="s">
        <v>174</v>
      </c>
      <c r="AM4" s="703" t="s">
        <v>173</v>
      </c>
      <c r="AN4" s="703" t="s">
        <v>174</v>
      </c>
      <c r="AO4" s="1939" t="s">
        <v>173</v>
      </c>
      <c r="AP4" s="1899" t="s">
        <v>174</v>
      </c>
      <c r="AQ4" s="1933" t="s">
        <v>173</v>
      </c>
      <c r="AR4" s="1934" t="s">
        <v>174</v>
      </c>
      <c r="AS4" s="1939" t="s">
        <v>173</v>
      </c>
      <c r="AT4" s="1899" t="s">
        <v>174</v>
      </c>
      <c r="AU4" s="1933" t="s">
        <v>173</v>
      </c>
      <c r="AV4" s="1934" t="s">
        <v>174</v>
      </c>
      <c r="AW4" s="1939" t="s">
        <v>173</v>
      </c>
      <c r="AX4" s="1899" t="s">
        <v>174</v>
      </c>
      <c r="AY4" s="1933" t="s">
        <v>173</v>
      </c>
      <c r="AZ4" s="1934" t="s">
        <v>174</v>
      </c>
      <c r="BA4" s="703" t="s">
        <v>173</v>
      </c>
      <c r="BB4" s="703" t="s">
        <v>174</v>
      </c>
      <c r="BC4" s="792" t="s">
        <v>173</v>
      </c>
      <c r="BD4" s="792" t="s">
        <v>174</v>
      </c>
      <c r="BE4" s="1939" t="s">
        <v>173</v>
      </c>
      <c r="BF4" s="1899" t="s">
        <v>174</v>
      </c>
      <c r="BG4" s="1122" t="s">
        <v>173</v>
      </c>
      <c r="BH4" s="1122" t="s">
        <v>174</v>
      </c>
      <c r="BI4" s="1122" t="s">
        <v>173</v>
      </c>
      <c r="BJ4" s="1122" t="s">
        <v>174</v>
      </c>
      <c r="BK4" s="1122" t="s">
        <v>174</v>
      </c>
      <c r="BL4" s="1122" t="s">
        <v>173</v>
      </c>
      <c r="BM4" s="1122" t="s">
        <v>174</v>
      </c>
      <c r="BN4" s="1122" t="s">
        <v>173</v>
      </c>
      <c r="BO4" s="1122" t="s">
        <v>174</v>
      </c>
      <c r="BP4" s="1122" t="s">
        <v>173</v>
      </c>
      <c r="BQ4" s="1951" t="s">
        <v>174</v>
      </c>
    </row>
    <row r="5" spans="1:76" ht="15" customHeight="1" x14ac:dyDescent="0.3">
      <c r="A5" s="146"/>
      <c r="B5" s="1920" t="s">
        <v>345</v>
      </c>
      <c r="C5" s="1900"/>
      <c r="D5" s="2447"/>
      <c r="E5" s="882"/>
      <c r="F5" s="2448"/>
      <c r="G5" s="882"/>
      <c r="H5" s="2448"/>
      <c r="I5" s="882"/>
      <c r="J5" s="2448"/>
      <c r="K5" s="882"/>
      <c r="L5" s="2448"/>
      <c r="M5" s="882"/>
      <c r="N5" s="2448"/>
      <c r="O5" s="882"/>
      <c r="P5" s="2448"/>
      <c r="Q5" s="882"/>
      <c r="R5" s="2448"/>
      <c r="S5" s="882"/>
      <c r="T5" s="2448"/>
      <c r="U5" s="882"/>
      <c r="V5" s="2448"/>
      <c r="W5" s="1653"/>
      <c r="X5" s="853"/>
      <c r="Y5" s="853"/>
      <c r="Z5" s="853"/>
      <c r="AA5" s="853"/>
      <c r="AB5" s="853"/>
      <c r="AC5" s="882"/>
      <c r="AD5" s="2448"/>
      <c r="AE5" s="882"/>
      <c r="AF5" s="2448"/>
      <c r="AG5" s="882"/>
      <c r="AH5" s="2448"/>
      <c r="AI5" s="882"/>
      <c r="AJ5" s="2448"/>
      <c r="AK5" s="1653"/>
      <c r="AL5" s="853"/>
      <c r="AM5" s="853"/>
      <c r="AN5" s="853"/>
      <c r="AO5" s="882"/>
      <c r="AP5" s="2448"/>
      <c r="AQ5" s="882"/>
      <c r="AR5" s="2448"/>
      <c r="AS5" s="882"/>
      <c r="AT5" s="2448"/>
      <c r="AU5" s="882"/>
      <c r="AV5" s="2448"/>
      <c r="AW5" s="882"/>
      <c r="AX5" s="2448"/>
      <c r="AY5" s="882"/>
      <c r="AZ5" s="2448"/>
      <c r="BA5" s="853"/>
      <c r="BB5" s="853"/>
      <c r="BC5" s="853"/>
      <c r="BD5" s="853"/>
      <c r="BE5" s="882"/>
      <c r="BF5" s="2448"/>
      <c r="BG5" s="264"/>
      <c r="BH5" s="264"/>
      <c r="BI5" s="264"/>
      <c r="BJ5" s="264"/>
      <c r="BK5" s="264"/>
      <c r="BL5" s="264"/>
      <c r="BM5" s="264"/>
      <c r="BN5" s="264"/>
      <c r="BO5" s="264"/>
      <c r="BP5" s="264"/>
      <c r="BQ5" s="1691"/>
    </row>
    <row r="6" spans="1:76" ht="15" customHeight="1" x14ac:dyDescent="0.3">
      <c r="B6" s="1921" t="s">
        <v>349</v>
      </c>
      <c r="C6" s="1892" t="s">
        <v>353</v>
      </c>
      <c r="D6" s="2444">
        <v>94.512328767123293</v>
      </c>
      <c r="E6" s="152">
        <v>98</v>
      </c>
      <c r="F6" s="99">
        <f>+F9/F2</f>
        <v>97.2</v>
      </c>
      <c r="G6" s="152">
        <v>98</v>
      </c>
      <c r="H6" s="99">
        <f>+H9/H2</f>
        <v>97.612903225806448</v>
      </c>
      <c r="I6" s="52">
        <f>+((E6*$E$2)+(G6*$G$2))/$I$2</f>
        <v>98</v>
      </c>
      <c r="J6" s="105">
        <f>+((F6*$F$2)+(H6*$H$2))/$J$2</f>
        <v>97.409836065573771</v>
      </c>
      <c r="K6" s="152">
        <v>94</v>
      </c>
      <c r="L6" s="99">
        <f>+L9/L2</f>
        <v>96.066666666666663</v>
      </c>
      <c r="M6" s="76">
        <f>+((E6*$E$2)+(G6*$G$2)+(K6*$K$2))/$M$2</f>
        <v>96.681318681318686</v>
      </c>
      <c r="N6" s="111">
        <f>+((F6*$F$2)+(H6*$H$2)+(L6*$L$2))/$N$2</f>
        <v>96.967032967032964</v>
      </c>
      <c r="O6" s="152">
        <v>94</v>
      </c>
      <c r="P6" s="99">
        <f>+P9/P2</f>
        <v>95.41935483870968</v>
      </c>
      <c r="Q6" s="52">
        <f>+((M6*M$2)+(O6*O$2))/Q$2</f>
        <v>96</v>
      </c>
      <c r="R6" s="105">
        <f>+((N6*N$2)+(P6*P$2))/R$2</f>
        <v>96.573770491803273</v>
      </c>
      <c r="S6" s="152">
        <v>94</v>
      </c>
      <c r="T6" s="99">
        <f>+T9/T2</f>
        <v>98</v>
      </c>
      <c r="U6" s="52">
        <f>+((Q6*Q$2)+(S6*S$2))/U$2</f>
        <v>95.59477124183006</v>
      </c>
      <c r="V6" s="105">
        <f>+((R6*R$2)+(T6*T$2))/V$2</f>
        <v>96.862745098039213</v>
      </c>
      <c r="W6" s="152">
        <v>92.1</v>
      </c>
      <c r="X6" s="99">
        <f>+X9/X2</f>
        <v>98</v>
      </c>
      <c r="Y6" s="348">
        <f>+((O$6*O$2)+(S$6*S$2)+(W$6*W$2))/Y$2</f>
        <v>93.380434782608702</v>
      </c>
      <c r="Z6" s="348">
        <f>+((P$6*P$2)+(T$6*T$2)+(X$6*X$2))/Z$2</f>
        <v>97.130434782608702</v>
      </c>
      <c r="AA6" s="461">
        <f>+((M6*M$2)+(Y6*Y$2))/AA$2</f>
        <v>95.021857923497265</v>
      </c>
      <c r="AB6" s="461">
        <f>+((N6*N$2)+(Z6*Z$2))/AB$2</f>
        <v>97.049180327868854</v>
      </c>
      <c r="AC6" s="152">
        <v>94</v>
      </c>
      <c r="AD6" s="99">
        <f>+AD9/AD2</f>
        <v>96.548387096774192</v>
      </c>
      <c r="AE6" s="52">
        <f>+((AA6*$AA$2)+(AC6*$AC$2))/$AE$2</f>
        <v>94.873831775700936</v>
      </c>
      <c r="AF6" s="105">
        <f>+((AB6*$AB$2)+(AD6*$AD$2))/$AF$2</f>
        <v>96.976635514018696</v>
      </c>
      <c r="AG6" s="767">
        <v>94</v>
      </c>
      <c r="AH6" s="99">
        <f>+AH9/AH2</f>
        <v>94.233333333333334</v>
      </c>
      <c r="AI6" s="52">
        <f>+((AE6*$AE$2)+(AG6*$AG$2))/$AI$2</f>
        <v>94.766393442622956</v>
      </c>
      <c r="AJ6" s="52">
        <f>+((AF6*$AF$2)+(AH6*$AH$2))/$AJ$2</f>
        <v>96.639344262295083</v>
      </c>
      <c r="AK6" s="767">
        <v>94</v>
      </c>
      <c r="AL6" s="99">
        <f>+AL9/AL2</f>
        <v>94.096774193548384</v>
      </c>
      <c r="AM6" s="348">
        <f>+((AC$6*AC$2)+(AG$6*AG$2)+(AK$6*AK$2))/AM$2</f>
        <v>94</v>
      </c>
      <c r="AN6" s="348">
        <f>+((AD$6*AD$2)+(AH$6*AH$2)+(AL$6*AL$2))/AN$2</f>
        <v>94.967391304347828</v>
      </c>
      <c r="AO6" s="52">
        <f>+((AK6*$AK$2)+(AI6*$AI$2))/$AO$2</f>
        <v>94.68</v>
      </c>
      <c r="AP6" s="52">
        <f>+((AL6*$AL$2)+(AJ6*$AJ$2))/$AP$2</f>
        <v>96.352727272727279</v>
      </c>
      <c r="AQ6" s="767">
        <v>94</v>
      </c>
      <c r="AR6" s="99">
        <f>+AR9/AR2</f>
        <v>94.838709677419359</v>
      </c>
      <c r="AS6" s="52">
        <f>+((AO6*$AO$2)+(AQ6*$AQ$2))/$AS$2</f>
        <v>94.611111111111128</v>
      </c>
      <c r="AT6" s="52">
        <f>+((AP6*$AP$2)+(AR6*$AR$2))/$AT$2</f>
        <v>96.199346405228752</v>
      </c>
      <c r="AU6" s="767">
        <v>94</v>
      </c>
      <c r="AV6" s="99">
        <f>+AV9/AV2</f>
        <v>94.428571428571431</v>
      </c>
      <c r="AW6" s="52">
        <f>+((AS6*$AS$2)+(AU6*$AU$2))/$AW$2</f>
        <v>94.559880239520965</v>
      </c>
      <c r="AX6" s="52">
        <f>+((AT6*$AT$2)+(AV6*$AV$2))/$AX$2</f>
        <v>96.050898203592808</v>
      </c>
      <c r="AY6" s="767">
        <v>94</v>
      </c>
      <c r="AZ6" s="99">
        <f>+AZ9/AZ2</f>
        <v>98</v>
      </c>
      <c r="BA6" s="348">
        <f>+((AQ$6*AQ$2)+(AU$6*AU$2)+(AY$6*AY$2))/BA$2</f>
        <v>94</v>
      </c>
      <c r="BB6" s="348">
        <f>+((AR$6*AR$2)+(AV$6*AV$2)+(AZ$6*AZ$2))/BB$2</f>
        <v>95.8</v>
      </c>
      <c r="BC6" s="460">
        <f>+((AM6*AM$2)+(BA6*BA$2))/BC$2</f>
        <v>94</v>
      </c>
      <c r="BD6" s="460">
        <f>+((AN6*AN$2)+(BB6*BB$2))/BD$2</f>
        <v>95.379120879120876</v>
      </c>
      <c r="BE6" s="52">
        <f>+((AW6*$AW$2)+(AY6*$AY$2))/$BE$2</f>
        <v>94.512328767123293</v>
      </c>
      <c r="BF6" s="52">
        <f>+((AZ6*$AZ$2)+(AX6*$AX$2))/$BF$2</f>
        <v>96.216438356164389</v>
      </c>
      <c r="BG6" s="1193">
        <v>96.420547945205485</v>
      </c>
      <c r="BH6" s="1193">
        <v>97.709589041095896</v>
      </c>
      <c r="BI6" s="1193">
        <v>99</v>
      </c>
      <c r="BJ6" s="1193">
        <v>98.976067110347017</v>
      </c>
      <c r="BK6" s="1193">
        <v>98.783561643835611</v>
      </c>
      <c r="BL6" s="1193">
        <v>99</v>
      </c>
      <c r="BM6" s="1193">
        <v>97.824657534246569</v>
      </c>
      <c r="BN6" s="1193">
        <v>95.547945205479451</v>
      </c>
      <c r="BO6" s="1193">
        <v>95.342465753424662</v>
      </c>
      <c r="BP6" s="1193">
        <v>97</v>
      </c>
      <c r="BQ6" s="1181">
        <v>97.109590163934413</v>
      </c>
      <c r="BR6" s="1202"/>
      <c r="BS6" s="1520"/>
      <c r="BT6" s="1520"/>
      <c r="BU6" s="26"/>
      <c r="BV6" s="26"/>
      <c r="BW6" s="528"/>
      <c r="BX6" s="528"/>
    </row>
    <row r="7" spans="1:76" ht="15" customHeight="1" x14ac:dyDescent="0.3">
      <c r="B7" s="1921" t="s">
        <v>350</v>
      </c>
      <c r="C7" s="1892" t="s">
        <v>353</v>
      </c>
      <c r="D7" s="2444">
        <v>97.630136986301366</v>
      </c>
      <c r="E7" s="152">
        <v>98</v>
      </c>
      <c r="F7" s="99">
        <f>+F10/F2</f>
        <v>97.1</v>
      </c>
      <c r="G7" s="152">
        <v>98</v>
      </c>
      <c r="H7" s="99">
        <f>+H10/H2</f>
        <v>97.483870967741936</v>
      </c>
      <c r="I7" s="52">
        <f>+((E7*$E$2)+(G7*$G$2))/$I$2</f>
        <v>98</v>
      </c>
      <c r="J7" s="105">
        <f>+((F7*$F$2)+(H7*$H$2))/$J$2</f>
        <v>97.295081967213122</v>
      </c>
      <c r="K7" s="152">
        <v>98</v>
      </c>
      <c r="L7" s="99">
        <f>+L10/L2</f>
        <v>98.466666666666669</v>
      </c>
      <c r="M7" s="76">
        <f>+((E7*$E$2)+(G7*$G$2)+(K7*$K$2))/$M$2</f>
        <v>98</v>
      </c>
      <c r="N7" s="111">
        <f>+((F7*$F$2)+(H7*$H$2)+(L7*$L$2))/$N$2</f>
        <v>97.681318681318686</v>
      </c>
      <c r="O7" s="152">
        <v>98</v>
      </c>
      <c r="P7" s="99">
        <f>+P10/P2</f>
        <v>99</v>
      </c>
      <c r="Q7" s="52">
        <f>+((M7*M$2)+(O7*O$2))/Q$2</f>
        <v>98</v>
      </c>
      <c r="R7" s="105">
        <f>+((N7*N$2)+(P7*P$2))/R$2</f>
        <v>98.016393442622956</v>
      </c>
      <c r="S7" s="152">
        <v>98</v>
      </c>
      <c r="T7" s="99">
        <f>+T10/T2</f>
        <v>98.516129032258064</v>
      </c>
      <c r="U7" s="52">
        <f>+((Q7*Q$2)+(S7*S$2))/U$2</f>
        <v>98</v>
      </c>
      <c r="V7" s="105">
        <f>+((R7*R$2)+(T7*T$2))/V$2</f>
        <v>98.117647058823536</v>
      </c>
      <c r="W7" s="152">
        <v>93.5</v>
      </c>
      <c r="X7" s="99">
        <f>+X10/X2</f>
        <v>98.766666666666666</v>
      </c>
      <c r="Y7" s="348">
        <f>((O7*O2)+(S7*S2)+(W7*W2))/Y2</f>
        <v>96.532608695652172</v>
      </c>
      <c r="Z7" s="348">
        <f>+((P$7*P$2)+(T$7*T$2)+(X$7*X$2))/Z$2</f>
        <v>98.760869565217391</v>
      </c>
      <c r="AA7" s="461">
        <f>+((M7*M$2)+(Y7*Y$2))/AA$2</f>
        <v>97.26229508196721</v>
      </c>
      <c r="AB7" s="461">
        <f>+((N7*N$2)+(Z7*Z$2))/AB$2</f>
        <v>98.224043715846989</v>
      </c>
      <c r="AC7" s="152">
        <v>98</v>
      </c>
      <c r="AD7" s="99">
        <f>+AD10/AD2</f>
        <v>97.193548387096769</v>
      </c>
      <c r="AE7" s="52">
        <f>+((AA7*$AA$2)+(AC7*$AC$2))/$AE$2</f>
        <v>97.369158878504678</v>
      </c>
      <c r="AF7" s="105">
        <f>+((AB7*$AB$2)+(AD7*$AD$2))/$AF$2</f>
        <v>98.074766355140184</v>
      </c>
      <c r="AG7" s="767">
        <v>98</v>
      </c>
      <c r="AH7" s="99">
        <f>+AH10/AH2</f>
        <v>98.666666666666671</v>
      </c>
      <c r="AI7" s="52">
        <f>+((AE7*$AE$2)+(AG7*$AG$2))/$AI$2</f>
        <v>97.446721311475414</v>
      </c>
      <c r="AJ7" s="52">
        <f>+((AF7*$AF$2)+(AH7*$AH$2))/$AJ$2</f>
        <v>98.147540983606561</v>
      </c>
      <c r="AK7" s="767">
        <v>98</v>
      </c>
      <c r="AL7" s="99">
        <f>+AL10/AL2</f>
        <v>98.741935483870961</v>
      </c>
      <c r="AM7" s="348">
        <f>+((AC$7*AC$2)+(AG$7*AG$2)+(AK$7*AK$2))/AM$2</f>
        <v>98</v>
      </c>
      <c r="AN7" s="348">
        <f>+((AD$7*AD$2)+(AH$7*AH$2)+(AL$7*AL$2))/AN$2</f>
        <v>98.195652173913047</v>
      </c>
      <c r="AO7" s="52">
        <f>+((AK7*$AK$2)+(AI7*$AI$2))/$AO$2</f>
        <v>97.509090909090915</v>
      </c>
      <c r="AP7" s="52">
        <f>+((AL7*$AL$2)+(AJ7*$AJ$2))/$AP$2</f>
        <v>98.214545454545458</v>
      </c>
      <c r="AQ7" s="767">
        <v>98</v>
      </c>
      <c r="AR7" s="99">
        <f>+AR10/AR2</f>
        <v>97.870967741935488</v>
      </c>
      <c r="AS7" s="52">
        <f>+((AO7*$AO$2)+(AQ7*$AQ$2))/$AS$2</f>
        <v>97.558823529411768</v>
      </c>
      <c r="AT7" s="52">
        <f>+((AP7*$AP$2)+(AR7*$AR$2))/$AT$2</f>
        <v>98.179738562091501</v>
      </c>
      <c r="AU7" s="767">
        <v>98</v>
      </c>
      <c r="AV7" s="99">
        <f>+AV10/AV2</f>
        <v>98.035714285714292</v>
      </c>
      <c r="AW7" s="52">
        <f>+((AS7*$AS$2)+(AU7*$AU$2))/$AW$2</f>
        <v>97.595808383233532</v>
      </c>
      <c r="AX7" s="52">
        <f>+((AT7*$AT$2)+(AV7*$AV$2))/$AX$2</f>
        <v>98.167664670658681</v>
      </c>
      <c r="AY7" s="767">
        <v>98</v>
      </c>
      <c r="AZ7" s="99">
        <f>+AZ10/AZ2</f>
        <v>98.677419354838705</v>
      </c>
      <c r="BA7" s="348">
        <f>+((AQ$7*AQ$2)+(AU$7*AU$2)+(AY$7*AY$2))/BA$2</f>
        <v>98</v>
      </c>
      <c r="BB7" s="348">
        <f>+((AR$7*AR$2)+(AV$7*AV$2)+(AZ$7*AZ$2))/BB$2</f>
        <v>98.2</v>
      </c>
      <c r="BC7" s="460">
        <f>+((AM7*AM$2)+(BA7*BA$2))/BC$2</f>
        <v>98</v>
      </c>
      <c r="BD7" s="460">
        <f>+((AN7*AN$2)+(BB7*BB$2))/BD$2</f>
        <v>98.197802197802204</v>
      </c>
      <c r="BE7" s="52">
        <f>+((AW7*$AW$2)+(AY7*$AY$2))/$BE$2</f>
        <v>97.630136986301366</v>
      </c>
      <c r="BF7" s="52">
        <f>+((AZ7*$AZ$2)+(AX7*$AX$2))/$BF$2</f>
        <v>98.210958904109589</v>
      </c>
      <c r="BG7" s="1193">
        <v>98.1676712328767</v>
      </c>
      <c r="BH7" s="1193">
        <v>97.991780821917814</v>
      </c>
      <c r="BI7" s="1193">
        <v>98.000061398661487</v>
      </c>
      <c r="BJ7" s="1193">
        <v>96.670250945044899</v>
      </c>
      <c r="BK7" s="1193">
        <v>92.210958904109589</v>
      </c>
      <c r="BL7" s="1193">
        <v>99</v>
      </c>
      <c r="BM7" s="1193">
        <v>96.816438356164383</v>
      </c>
      <c r="BN7" s="1193">
        <v>94.2</v>
      </c>
      <c r="BO7" s="1193">
        <v>90.778082191780825</v>
      </c>
      <c r="BP7" s="1193">
        <v>97</v>
      </c>
      <c r="BQ7" s="1181">
        <v>95.71024590163934</v>
      </c>
      <c r="BR7" s="1202"/>
      <c r="BS7" s="1520"/>
      <c r="BT7" s="1520"/>
      <c r="BU7" s="26"/>
      <c r="BV7" s="26"/>
      <c r="BW7" s="528"/>
      <c r="BX7" s="528"/>
    </row>
    <row r="8" spans="1:76" ht="15" customHeight="1" x14ac:dyDescent="0.3">
      <c r="B8" s="1922" t="s">
        <v>79</v>
      </c>
      <c r="C8" s="1893" t="s">
        <v>353</v>
      </c>
      <c r="D8" s="2684">
        <f t="shared" ref="D8:L8" si="0">+D6+(D7*(31.55/17.2))</f>
        <v>273.59551608792611</v>
      </c>
      <c r="E8" s="2449">
        <f t="shared" si="0"/>
        <v>277.76162790697674</v>
      </c>
      <c r="F8" s="2450">
        <f t="shared" si="0"/>
        <v>275.31075581395351</v>
      </c>
      <c r="G8" s="2449">
        <f t="shared" ref="G8" si="1">+G6+(G7*(31.55/17.2))</f>
        <v>277.76162790697674</v>
      </c>
      <c r="H8" s="2450">
        <f t="shared" ref="H8" si="2">+H6+(H7*(31.55/17.2))</f>
        <v>276.42779444861219</v>
      </c>
      <c r="I8" s="2451">
        <f t="shared" si="0"/>
        <v>277.76162790697674</v>
      </c>
      <c r="J8" s="2452">
        <f t="shared" si="0"/>
        <v>275.87843118566531</v>
      </c>
      <c r="K8" s="2449">
        <f t="shared" si="0"/>
        <v>273.76162790697674</v>
      </c>
      <c r="L8" s="2450">
        <f t="shared" si="0"/>
        <v>276.68430232558137</v>
      </c>
      <c r="M8" s="1977">
        <f t="shared" ref="M8" si="3">+M6+(M7*(31.55/17.2))</f>
        <v>276.44294658829546</v>
      </c>
      <c r="N8" s="1978">
        <f t="shared" ref="N8:P8" si="4">+N6+(N7*(31.55/17.2))</f>
        <v>276.14410299003328</v>
      </c>
      <c r="O8" s="2449">
        <f t="shared" si="4"/>
        <v>273.76162790697674</v>
      </c>
      <c r="P8" s="2450">
        <f t="shared" si="4"/>
        <v>277.01528507126784</v>
      </c>
      <c r="Q8" s="1985">
        <f t="shared" ref="Q8" si="5">+Q6+(Q7*(31.55/17.2))</f>
        <v>275.76162790697674</v>
      </c>
      <c r="R8" s="1986">
        <f t="shared" ref="R8:T8" si="6">+R6+(R7*(31.55/17.2))</f>
        <v>276.36546892870763</v>
      </c>
      <c r="S8" s="2449">
        <f t="shared" si="6"/>
        <v>273.76162790697674</v>
      </c>
      <c r="T8" s="2450">
        <f t="shared" si="6"/>
        <v>278.70836459114781</v>
      </c>
      <c r="U8" s="1985">
        <f t="shared" ref="U8:X8" si="7">+U6+(U7*(31.55/17.2))</f>
        <v>275.35639914880682</v>
      </c>
      <c r="V8" s="3321">
        <f t="shared" si="7"/>
        <v>276.8401732786138</v>
      </c>
      <c r="W8" s="2449">
        <f t="shared" si="7"/>
        <v>263.60726744186047</v>
      </c>
      <c r="X8" s="2450">
        <f t="shared" si="7"/>
        <v>279.16792635658919</v>
      </c>
      <c r="Y8" s="373">
        <f>Y6+(Y7*31.55/17.2)</f>
        <v>270.45042340748233</v>
      </c>
      <c r="Z8" s="373">
        <f>Z6+(Z7*31.55/17.2)</f>
        <v>278.28772750252779</v>
      </c>
      <c r="AA8" s="539">
        <f>AA6+(AA7*31.55/17.2)</f>
        <v>273.43031198373365</v>
      </c>
      <c r="AB8" s="539">
        <f>AB6+(AB7*31.55/17.2)</f>
        <v>277.22177214385562</v>
      </c>
      <c r="AC8" s="2449">
        <f t="shared" ref="AC8:AD8" si="8">+AC6+(AC7*(31.55/17.2))</f>
        <v>273.76162790697674</v>
      </c>
      <c r="AD8" s="2450">
        <f t="shared" si="8"/>
        <v>274.83073893473369</v>
      </c>
      <c r="AE8" s="2451">
        <f t="shared" ref="AE8:AH8" si="9">+AE6+(AE7*(31.55/17.2))</f>
        <v>273.47830634644646</v>
      </c>
      <c r="AF8" s="2452">
        <f t="shared" si="9"/>
        <v>276.87540752010432</v>
      </c>
      <c r="AG8" s="2449">
        <f t="shared" si="9"/>
        <v>273.76162790697674</v>
      </c>
      <c r="AH8" s="2450">
        <f t="shared" si="9"/>
        <v>275.21782945736436</v>
      </c>
      <c r="AI8" s="2451">
        <f t="shared" ref="AI8:AL8" si="10">+AI6+(AI7*(31.55/17.2))</f>
        <v>273.51314096454445</v>
      </c>
      <c r="AJ8" s="2452">
        <f t="shared" si="10"/>
        <v>276.6716069386199</v>
      </c>
      <c r="AK8" s="2449">
        <f t="shared" si="10"/>
        <v>273.76162790697674</v>
      </c>
      <c r="AL8" s="2450">
        <f t="shared" si="10"/>
        <v>275.21933608402099</v>
      </c>
      <c r="AM8" s="373">
        <f>AM6+(AM7*31.55/17.2)</f>
        <v>273.76162790697674</v>
      </c>
      <c r="AN8" s="373">
        <f>AN6+(AN7*31.55/17.2)</f>
        <v>275.08790444893833</v>
      </c>
      <c r="AO8" s="2451">
        <f t="shared" ref="AO8:AT8" si="11">+AO6+(AO7*(31.55/17.2))</f>
        <v>273.5411522198732</v>
      </c>
      <c r="AP8" s="2452">
        <f t="shared" si="11"/>
        <v>276.50789640591967</v>
      </c>
      <c r="AQ8" s="5342">
        <f t="shared" si="11"/>
        <v>273.76162790697674</v>
      </c>
      <c r="AR8" s="5343">
        <f t="shared" si="11"/>
        <v>274.3636534133534</v>
      </c>
      <c r="AS8" s="2451">
        <f t="shared" si="11"/>
        <v>273.5634879920961</v>
      </c>
      <c r="AT8" s="2452">
        <f t="shared" si="11"/>
        <v>276.29066917464661</v>
      </c>
      <c r="AU8" s="5342">
        <f t="shared" ref="AU8:AV8" si="12">+AU6+(AU7*(31.55/17.2))</f>
        <v>273.76162790697674</v>
      </c>
      <c r="AV8" s="5343">
        <f t="shared" si="12"/>
        <v>274.25571013289039</v>
      </c>
      <c r="AW8" s="2451">
        <f t="shared" ref="AW8:AZ8" si="13">+AW6+(AW7*(31.55/17.2))</f>
        <v>273.5800985238825</v>
      </c>
      <c r="AX8" s="4484">
        <f t="shared" si="13"/>
        <v>276.12007380587664</v>
      </c>
      <c r="AY8" s="5342">
        <f t="shared" si="13"/>
        <v>273.76162790697674</v>
      </c>
      <c r="AZ8" s="5343">
        <f t="shared" si="13"/>
        <v>279.00421980495128</v>
      </c>
      <c r="BA8" s="373">
        <f>BA6+(BA7*31.55/17.2)</f>
        <v>273.76162790697674</v>
      </c>
      <c r="BB8" s="373">
        <f>BB6+(BB7*31.55/17.2)</f>
        <v>275.92848837209306</v>
      </c>
      <c r="BC8" s="539">
        <f>BC6+(BC7*31.55/17.2)</f>
        <v>273.76162790697674</v>
      </c>
      <c r="BD8" s="539">
        <f>BD6+(BD7*31.55/17.2)</f>
        <v>275.50357781753132</v>
      </c>
      <c r="BE8" s="4480">
        <f t="shared" ref="BE8:BF8" si="14">+BE6+(BE7*(31.55/17.2))</f>
        <v>273.59551608792611</v>
      </c>
      <c r="BF8" s="4484">
        <f t="shared" si="14"/>
        <v>276.3650286715515</v>
      </c>
      <c r="BG8" s="1469">
        <v>276.48973558458107</v>
      </c>
      <c r="BH8" s="1469">
        <v>277.45614049060214</v>
      </c>
      <c r="BI8" s="1469">
        <v>278.76174053068428</v>
      </c>
      <c r="BJ8" s="1469">
        <v>276.29853323338</v>
      </c>
      <c r="BK8" s="1469">
        <v>267.92633800573469</v>
      </c>
      <c r="BL8" s="1123">
        <v>280.5959302325586</v>
      </c>
      <c r="BM8" s="1469">
        <v>275.41527556546714</v>
      </c>
      <c r="BN8" s="1123">
        <v>268.33922427524732</v>
      </c>
      <c r="BO8" s="1469">
        <v>261.85691302962772</v>
      </c>
      <c r="BP8" s="1123">
        <v>274.92732558139579</v>
      </c>
      <c r="BQ8" s="1952">
        <v>272.67111680327912</v>
      </c>
      <c r="BR8" s="1202"/>
      <c r="BS8" s="1520"/>
      <c r="BT8" s="1520"/>
      <c r="BU8" s="26"/>
      <c r="BV8" s="26"/>
      <c r="BW8" s="528"/>
      <c r="BX8" s="528"/>
    </row>
    <row r="9" spans="1:76" ht="15" customHeight="1" x14ac:dyDescent="0.3">
      <c r="B9" s="1921" t="s">
        <v>349</v>
      </c>
      <c r="C9" s="1892" t="s">
        <v>679</v>
      </c>
      <c r="D9" s="1897">
        <f>+D6*D2</f>
        <v>34497</v>
      </c>
      <c r="E9" s="152">
        <f>+E6*E2</f>
        <v>2940</v>
      </c>
      <c r="F9" s="178">
        <v>2916</v>
      </c>
      <c r="G9" s="152">
        <f>+G6*G2</f>
        <v>3038</v>
      </c>
      <c r="H9" s="178">
        <v>3026</v>
      </c>
      <c r="I9" s="60">
        <f>+I6*I2</f>
        <v>5978</v>
      </c>
      <c r="J9" s="38">
        <f>+F9+H9</f>
        <v>5942</v>
      </c>
      <c r="K9" s="152">
        <f>+K6*K2</f>
        <v>2820</v>
      </c>
      <c r="L9" s="178">
        <v>2882</v>
      </c>
      <c r="M9" s="71">
        <f>+E9+G9+K9</f>
        <v>8798</v>
      </c>
      <c r="N9" s="68">
        <f>+F9+H9+L9</f>
        <v>8824</v>
      </c>
      <c r="O9" s="152">
        <f>+O6*O2</f>
        <v>2914</v>
      </c>
      <c r="P9" s="178">
        <v>2958</v>
      </c>
      <c r="Q9" s="60">
        <f>+M9+O9</f>
        <v>11712</v>
      </c>
      <c r="R9" s="38">
        <f>+N9+P9</f>
        <v>11782</v>
      </c>
      <c r="S9" s="152">
        <f>+S6*S2</f>
        <v>2914</v>
      </c>
      <c r="T9" s="178">
        <v>3038</v>
      </c>
      <c r="U9" s="60">
        <f>+Q9+S9</f>
        <v>14626</v>
      </c>
      <c r="V9" s="38">
        <f>+R9+T9</f>
        <v>14820</v>
      </c>
      <c r="W9" s="152">
        <f>+W6*W2</f>
        <v>2763</v>
      </c>
      <c r="X9" s="178">
        <v>2940</v>
      </c>
      <c r="Y9" s="774">
        <f>+O9+S9+W9</f>
        <v>8591</v>
      </c>
      <c r="Z9" s="774">
        <f>+P9+T9+X9</f>
        <v>8936</v>
      </c>
      <c r="AA9" s="460">
        <f>M9+Y9</f>
        <v>17389</v>
      </c>
      <c r="AB9" s="460">
        <f>+N9+Z9</f>
        <v>17760</v>
      </c>
      <c r="AC9" s="152">
        <f>+AC6*AC2</f>
        <v>2914</v>
      </c>
      <c r="AD9" s="178">
        <v>2993</v>
      </c>
      <c r="AE9" s="60">
        <f>+AE6*AE2</f>
        <v>20303</v>
      </c>
      <c r="AF9" s="38">
        <f>+AB9+AD9</f>
        <v>20753</v>
      </c>
      <c r="AG9" s="152">
        <f>+AG6*AG2</f>
        <v>2820</v>
      </c>
      <c r="AH9" s="178">
        <v>2827</v>
      </c>
      <c r="AI9" s="60">
        <f>+AI6*AI2</f>
        <v>23123</v>
      </c>
      <c r="AJ9" s="38">
        <f>+AF9+AH9</f>
        <v>23580</v>
      </c>
      <c r="AK9" s="152">
        <f>+AK6*AK2</f>
        <v>2914</v>
      </c>
      <c r="AL9" s="178">
        <v>2917</v>
      </c>
      <c r="AM9" s="774">
        <f>+AC9+AG9+AK9</f>
        <v>8648</v>
      </c>
      <c r="AN9" s="774">
        <f>+AD9+AH9+AL9</f>
        <v>8737</v>
      </c>
      <c r="AO9" s="60">
        <f>AI9+AK9</f>
        <v>26037</v>
      </c>
      <c r="AP9" s="60">
        <f>AJ9+AL9</f>
        <v>26497</v>
      </c>
      <c r="AQ9" s="152">
        <f>+AQ6*AQ2</f>
        <v>2914</v>
      </c>
      <c r="AR9" s="178">
        <v>2940</v>
      </c>
      <c r="AS9" s="60">
        <f>+AS6*AS2</f>
        <v>28951.000000000004</v>
      </c>
      <c r="AT9" s="38">
        <f>+AP9+AR9</f>
        <v>29437</v>
      </c>
      <c r="AU9" s="152">
        <f>+AU6*AU2</f>
        <v>2632</v>
      </c>
      <c r="AV9" s="178">
        <v>2644</v>
      </c>
      <c r="AW9" s="60">
        <f>+AW6*AW2</f>
        <v>31583.000000000004</v>
      </c>
      <c r="AX9" s="38">
        <f>+AT9+AV9</f>
        <v>32081</v>
      </c>
      <c r="AY9" s="152">
        <f>+AY6*AY2</f>
        <v>2914</v>
      </c>
      <c r="AZ9" s="178">
        <v>3038</v>
      </c>
      <c r="BA9" s="774">
        <f>+AQ9+AU9+AY9</f>
        <v>8460</v>
      </c>
      <c r="BB9" s="774">
        <f>+AR9+AV9+AZ9</f>
        <v>8622</v>
      </c>
      <c r="BC9" s="460">
        <f>AM9+BA9</f>
        <v>17108</v>
      </c>
      <c r="BD9" s="460">
        <f t="shared" ref="BD9" si="15">AN9+BB9</f>
        <v>17359</v>
      </c>
      <c r="BE9" s="60">
        <f>AW9+AY9</f>
        <v>34497</v>
      </c>
      <c r="BF9" s="60">
        <f>AX9+AZ9</f>
        <v>35119</v>
      </c>
      <c r="BG9" s="1470">
        <v>35193.5</v>
      </c>
      <c r="BH9" s="1470">
        <v>35664</v>
      </c>
      <c r="BI9" s="1470">
        <v>36234</v>
      </c>
      <c r="BJ9" s="1470">
        <v>36225</v>
      </c>
      <c r="BK9" s="1470">
        <v>36056</v>
      </c>
      <c r="BL9" s="1721">
        <v>36135</v>
      </c>
      <c r="BM9" s="1470">
        <v>35706</v>
      </c>
      <c r="BN9" s="1721">
        <v>34875</v>
      </c>
      <c r="BO9" s="1470">
        <v>34800</v>
      </c>
      <c r="BP9" s="1721">
        <v>35502</v>
      </c>
      <c r="BQ9" s="1953">
        <v>35543</v>
      </c>
      <c r="BR9" s="1202"/>
      <c r="BS9" s="1520"/>
      <c r="BT9" s="1520"/>
      <c r="BU9" s="26"/>
      <c r="BV9" s="26"/>
      <c r="BW9" s="528"/>
      <c r="BX9" s="528"/>
    </row>
    <row r="10" spans="1:76" ht="15" customHeight="1" x14ac:dyDescent="0.3">
      <c r="B10" s="1921" t="s">
        <v>350</v>
      </c>
      <c r="C10" s="1892" t="s">
        <v>679</v>
      </c>
      <c r="D10" s="1897">
        <f>+D7*D2</f>
        <v>35635</v>
      </c>
      <c r="E10" s="1316">
        <f>+E7*E2</f>
        <v>2940</v>
      </c>
      <c r="F10" s="178">
        <v>2913</v>
      </c>
      <c r="G10" s="1316">
        <f>+G7*G2</f>
        <v>3038</v>
      </c>
      <c r="H10" s="178">
        <v>3022</v>
      </c>
      <c r="I10" s="60">
        <f>+I7*I2</f>
        <v>5978</v>
      </c>
      <c r="J10" s="38">
        <f>+F10+H10</f>
        <v>5935</v>
      </c>
      <c r="K10" s="1316">
        <f>+K7*K2</f>
        <v>2940</v>
      </c>
      <c r="L10" s="178">
        <v>2954</v>
      </c>
      <c r="M10" s="71">
        <f>+E10+G10+K10</f>
        <v>8918</v>
      </c>
      <c r="N10" s="68">
        <f>+F10+H10+L10</f>
        <v>8889</v>
      </c>
      <c r="O10" s="1316">
        <f>+O7*O2</f>
        <v>3038</v>
      </c>
      <c r="P10" s="178">
        <v>3069</v>
      </c>
      <c r="Q10" s="60">
        <f>+M10+O10</f>
        <v>11956</v>
      </c>
      <c r="R10" s="38">
        <f>+N10+P10</f>
        <v>11958</v>
      </c>
      <c r="S10" s="1316">
        <f>+S7*S2</f>
        <v>3038</v>
      </c>
      <c r="T10" s="178">
        <v>3054</v>
      </c>
      <c r="U10" s="60">
        <f>+Q10+S10</f>
        <v>14994</v>
      </c>
      <c r="V10" s="38">
        <f>+R10+T10</f>
        <v>15012</v>
      </c>
      <c r="W10" s="1316">
        <f>+W7*W2</f>
        <v>2805</v>
      </c>
      <c r="X10" s="178">
        <v>2963</v>
      </c>
      <c r="Y10" s="774">
        <f>+O10+S10+W10</f>
        <v>8881</v>
      </c>
      <c r="Z10" s="774">
        <f>+P10+T10+X10</f>
        <v>9086</v>
      </c>
      <c r="AA10" s="460">
        <f>+M10+Y10</f>
        <v>17799</v>
      </c>
      <c r="AB10" s="460">
        <f>+N10+Z10</f>
        <v>17975</v>
      </c>
      <c r="AC10" s="1316">
        <f>+AC7*AC2</f>
        <v>3038</v>
      </c>
      <c r="AD10" s="178">
        <v>3013</v>
      </c>
      <c r="AE10" s="60">
        <f>+AE7*AE2</f>
        <v>20837</v>
      </c>
      <c r="AF10" s="38">
        <f>+AB10+AD10</f>
        <v>20988</v>
      </c>
      <c r="AG10" s="1316">
        <f>+AG7*AG2</f>
        <v>2940</v>
      </c>
      <c r="AH10" s="178">
        <v>2960</v>
      </c>
      <c r="AI10" s="60">
        <f>+AI7*AI2</f>
        <v>23777</v>
      </c>
      <c r="AJ10" s="38">
        <f>+AF10+AH10</f>
        <v>23948</v>
      </c>
      <c r="AK10" s="1316">
        <f>+AK7*AK2</f>
        <v>3038</v>
      </c>
      <c r="AL10" s="178">
        <v>3061</v>
      </c>
      <c r="AM10" s="774">
        <f>+AC10+AG10+AK10</f>
        <v>9016</v>
      </c>
      <c r="AN10" s="774">
        <f>+AD10+AH10+AL10</f>
        <v>9034</v>
      </c>
      <c r="AO10" s="60">
        <f>AI10+AK10</f>
        <v>26815</v>
      </c>
      <c r="AP10" s="60">
        <f>AJ10+AL10</f>
        <v>27009</v>
      </c>
      <c r="AQ10" s="1316">
        <f>+AQ7*AQ2</f>
        <v>3038</v>
      </c>
      <c r="AR10" s="178">
        <v>3034</v>
      </c>
      <c r="AS10" s="60">
        <f>+AS7*AS2</f>
        <v>29853</v>
      </c>
      <c r="AT10" s="38">
        <f>+AP10+AR10</f>
        <v>30043</v>
      </c>
      <c r="AU10" s="1316">
        <f>+AU7*AU2</f>
        <v>2744</v>
      </c>
      <c r="AV10" s="178">
        <v>2745</v>
      </c>
      <c r="AW10" s="60">
        <f>+AW7*AW2</f>
        <v>32597</v>
      </c>
      <c r="AX10" s="38">
        <f>+AT10+AV10</f>
        <v>32788</v>
      </c>
      <c r="AY10" s="1316">
        <f>+AY7*AY2</f>
        <v>3038</v>
      </c>
      <c r="AZ10" s="178">
        <v>3059</v>
      </c>
      <c r="BA10" s="774">
        <f>+AQ10+AU10+AY10</f>
        <v>8820</v>
      </c>
      <c r="BB10" s="774">
        <f>+AR10+AV10+AZ10</f>
        <v>8838</v>
      </c>
      <c r="BC10" s="460">
        <f>AM10+BA10</f>
        <v>17836</v>
      </c>
      <c r="BD10" s="460">
        <f t="shared" ref="BD10" si="16">AN10+BB10</f>
        <v>17872</v>
      </c>
      <c r="BE10" s="60">
        <f>AW10+AY10</f>
        <v>35635</v>
      </c>
      <c r="BF10" s="60">
        <f>AX10+AZ10</f>
        <v>35847</v>
      </c>
      <c r="BG10" s="1470">
        <v>35831.199999999997</v>
      </c>
      <c r="BH10" s="1470">
        <v>35767</v>
      </c>
      <c r="BI10" s="1470">
        <v>35868.022471910102</v>
      </c>
      <c r="BJ10" s="1470">
        <v>35382</v>
      </c>
      <c r="BK10" s="1470">
        <v>33657</v>
      </c>
      <c r="BL10" s="1721">
        <v>36135</v>
      </c>
      <c r="BM10" s="1470">
        <v>35338</v>
      </c>
      <c r="BN10" s="1721">
        <v>34383</v>
      </c>
      <c r="BO10" s="1470">
        <v>33134</v>
      </c>
      <c r="BP10" s="1721">
        <v>35502</v>
      </c>
      <c r="BQ10" s="1953">
        <v>35030</v>
      </c>
      <c r="BR10" s="1202"/>
      <c r="BS10" s="1520"/>
      <c r="BT10" s="1520"/>
      <c r="BU10" s="26"/>
      <c r="BV10" s="26"/>
      <c r="BW10" s="528"/>
      <c r="BX10" s="528"/>
    </row>
    <row r="11" spans="1:76" ht="15" customHeight="1" thickBot="1" x14ac:dyDescent="0.35">
      <c r="B11" s="1923" t="s">
        <v>680</v>
      </c>
      <c r="C11" s="1901" t="s">
        <v>679</v>
      </c>
      <c r="D11" s="2453">
        <f t="shared" ref="D11:L11" si="17">+D9+(D10*(31.55/17.2))</f>
        <v>99862.363372093037</v>
      </c>
      <c r="E11" s="2454">
        <f t="shared" si="17"/>
        <v>8332.8488372093016</v>
      </c>
      <c r="F11" s="2455">
        <f t="shared" si="17"/>
        <v>8259.3226744186049</v>
      </c>
      <c r="G11" s="2454">
        <f t="shared" ref="G11" si="18">+G9+(G10*(31.55/17.2))</f>
        <v>8610.6104651162786</v>
      </c>
      <c r="H11" s="2455">
        <f t="shared" ref="H11" si="19">+H9+(H10*(31.55/17.2))</f>
        <v>8569.2616279069771</v>
      </c>
      <c r="I11" s="2456">
        <f t="shared" si="17"/>
        <v>16943.45930232558</v>
      </c>
      <c r="J11" s="2457">
        <f t="shared" si="17"/>
        <v>16828.58430232558</v>
      </c>
      <c r="K11" s="2454">
        <f t="shared" si="17"/>
        <v>8212.8488372093016</v>
      </c>
      <c r="L11" s="2455">
        <f t="shared" si="17"/>
        <v>8300.5290697674427</v>
      </c>
      <c r="M11" s="1948">
        <f t="shared" ref="M11" si="20">+M9+(M10*(31.55/17.2))</f>
        <v>25156.308139534885</v>
      </c>
      <c r="N11" s="1949">
        <f t="shared" ref="N11:P11" si="21">+N9+(N10*(31.55/17.2))</f>
        <v>25129.113372093023</v>
      </c>
      <c r="O11" s="2454">
        <f t="shared" si="21"/>
        <v>8486.6104651162786</v>
      </c>
      <c r="P11" s="2455">
        <f t="shared" si="21"/>
        <v>8587.4738372093016</v>
      </c>
      <c r="Q11" s="1940">
        <f t="shared" ref="Q11" si="22">+Q9+(Q10*(31.55/17.2))</f>
        <v>33642.91860465116</v>
      </c>
      <c r="R11" s="1907">
        <f t="shared" ref="R11:U11" si="23">+R9+(R10*(31.55/17.2))</f>
        <v>33716.587209302328</v>
      </c>
      <c r="S11" s="2454">
        <f t="shared" si="23"/>
        <v>8486.6104651162786</v>
      </c>
      <c r="T11" s="2455">
        <f t="shared" si="23"/>
        <v>8639.959302325582</v>
      </c>
      <c r="U11" s="1940">
        <f t="shared" si="23"/>
        <v>42129.529069767443</v>
      </c>
      <c r="V11" s="1907">
        <f t="shared" ref="V11:X11" si="24">+V9+(V10*(31.55/17.2))</f>
        <v>42356.546511627908</v>
      </c>
      <c r="W11" s="2454">
        <f t="shared" si="24"/>
        <v>7908.2180232558139</v>
      </c>
      <c r="X11" s="2455">
        <f t="shared" si="24"/>
        <v>8375.0377906976755</v>
      </c>
      <c r="Y11" s="373">
        <f>Y9+(Y10*31.55/17.2)</f>
        <v>24881.438953488374</v>
      </c>
      <c r="Z11" s="373">
        <f>Z9+(Z10*31.55/17.2)</f>
        <v>25602.470930232557</v>
      </c>
      <c r="AA11" s="539">
        <f>AA9+(AA10*31.55/17.2)</f>
        <v>50037.747093023267</v>
      </c>
      <c r="AB11" s="539">
        <f>AB9+(AB10*31.55/17.2)</f>
        <v>50731.58430232558</v>
      </c>
      <c r="AC11" s="2454">
        <f t="shared" ref="AC11:AD11" si="25">+AC9+(AC10*(31.55/17.2))</f>
        <v>8486.6104651162786</v>
      </c>
      <c r="AD11" s="2455">
        <f t="shared" si="25"/>
        <v>8519.7529069767443</v>
      </c>
      <c r="AE11" s="2456">
        <f t="shared" ref="AE11:AH11" si="26">+AE9+(AE10*(31.55/17.2))</f>
        <v>58524.357558139534</v>
      </c>
      <c r="AF11" s="2457">
        <f t="shared" si="26"/>
        <v>59251.337209302328</v>
      </c>
      <c r="AG11" s="2454">
        <f t="shared" si="26"/>
        <v>8212.8488372093016</v>
      </c>
      <c r="AH11" s="2455">
        <f t="shared" si="26"/>
        <v>8256.5348837209312</v>
      </c>
      <c r="AI11" s="2456">
        <f t="shared" ref="AI11:AL11" si="27">+AI9+(AI10*(31.55/17.2))</f>
        <v>66737.20639534884</v>
      </c>
      <c r="AJ11" s="2457">
        <f t="shared" si="27"/>
        <v>67507.872093023267</v>
      </c>
      <c r="AK11" s="2454">
        <f t="shared" si="27"/>
        <v>8486.6104651162786</v>
      </c>
      <c r="AL11" s="2455">
        <f t="shared" si="27"/>
        <v>8531.7994186046526</v>
      </c>
      <c r="AM11" s="373">
        <f>AM9+(AM10*31.55/17.2)</f>
        <v>25186.069767441859</v>
      </c>
      <c r="AN11" s="373">
        <f>AN9+(AN10*31.55/17.2)</f>
        <v>25308.087209302328</v>
      </c>
      <c r="AO11" s="2456">
        <f t="shared" ref="AO11:AT11" si="28">+AO9+(AO10*(31.55/17.2))</f>
        <v>75223.816860465129</v>
      </c>
      <c r="AP11" s="2457">
        <f t="shared" si="28"/>
        <v>76039.671511627908</v>
      </c>
      <c r="AQ11" s="2454">
        <f t="shared" si="28"/>
        <v>8486.6104651162786</v>
      </c>
      <c r="AR11" s="2455">
        <f t="shared" si="28"/>
        <v>8505.2732558139542</v>
      </c>
      <c r="AS11" s="2456">
        <f t="shared" si="28"/>
        <v>83710.427325581404</v>
      </c>
      <c r="AT11" s="2457">
        <f t="shared" si="28"/>
        <v>84544.944767441862</v>
      </c>
      <c r="AU11" s="2454">
        <f t="shared" ref="AU11:AV11" si="29">+AU9+(AU10*(31.55/17.2))</f>
        <v>7665.3255813953492</v>
      </c>
      <c r="AV11" s="2455">
        <f t="shared" si="29"/>
        <v>7679.1598837209303</v>
      </c>
      <c r="AW11" s="2456">
        <f t="shared" ref="AW11:AZ11" si="30">+AW9+(AW10*(31.55/17.2))</f>
        <v>91375.752906976748</v>
      </c>
      <c r="AX11" s="2457">
        <f t="shared" si="30"/>
        <v>92224.104651162794</v>
      </c>
      <c r="AY11" s="2454">
        <f t="shared" si="30"/>
        <v>8486.6104651162786</v>
      </c>
      <c r="AZ11" s="2455">
        <f t="shared" si="30"/>
        <v>8649.1308139534885</v>
      </c>
      <c r="BA11" s="373">
        <f>BA9+(BA10*31.55/17.2)</f>
        <v>24638.546511627908</v>
      </c>
      <c r="BB11" s="373">
        <f>BB9+(BB10*31.55/17.2)</f>
        <v>24833.563953488374</v>
      </c>
      <c r="BC11" s="539">
        <f>BC9+(BC10*31.55/17.2)</f>
        <v>49824.616279069771</v>
      </c>
      <c r="BD11" s="539">
        <f>BD9+(BD10*31.55/17.2)</f>
        <v>50141.651162790695</v>
      </c>
      <c r="BE11" s="2456">
        <f t="shared" ref="BE11:BF11" si="31">+BE9+(BE10*(31.55/17.2))</f>
        <v>99862.363372093037</v>
      </c>
      <c r="BF11" s="2457">
        <f t="shared" si="31"/>
        <v>100873.23546511629</v>
      </c>
      <c r="BG11" s="1123">
        <v>100918.75348837209</v>
      </c>
      <c r="BH11" s="1123">
        <v>101271.49127906977</v>
      </c>
      <c r="BI11" s="1123">
        <v>102026.79703423046</v>
      </c>
      <c r="BJ11" s="1123">
        <v>101126.28488372095</v>
      </c>
      <c r="BK11" s="1123">
        <v>97793.113372093183</v>
      </c>
      <c r="BL11" s="1123">
        <v>102417.51453488389</v>
      </c>
      <c r="BM11" s="1123">
        <v>100526.5755813955</v>
      </c>
      <c r="BN11" s="1123">
        <v>97943.816860465275</v>
      </c>
      <c r="BO11" s="1123">
        <v>95577.7732558141</v>
      </c>
      <c r="BP11" s="1123">
        <v>100623.40116279086</v>
      </c>
      <c r="BQ11" s="1954">
        <v>99798.61046511645</v>
      </c>
      <c r="BR11" s="1202"/>
      <c r="BS11" s="1520"/>
      <c r="BT11" s="1520"/>
      <c r="BU11" s="26"/>
      <c r="BV11" s="26"/>
      <c r="BW11" s="528"/>
      <c r="BX11" s="528"/>
    </row>
    <row r="12" spans="1:76" ht="15" hidden="1" customHeight="1" x14ac:dyDescent="0.3">
      <c r="A12" s="146"/>
      <c r="B12" s="1924" t="s">
        <v>342</v>
      </c>
      <c r="C12" s="26"/>
      <c r="D12" s="2445"/>
      <c r="E12" s="2445"/>
      <c r="F12" s="2445"/>
      <c r="G12" s="2445"/>
      <c r="H12" s="2445"/>
      <c r="I12" s="2445"/>
      <c r="J12" s="2445"/>
      <c r="K12" s="2445"/>
      <c r="L12" s="2445"/>
      <c r="M12" s="2445"/>
      <c r="N12" s="2445"/>
      <c r="O12" s="2445"/>
      <c r="P12" s="2445"/>
      <c r="Q12" s="2445"/>
      <c r="R12" s="2445"/>
      <c r="S12" s="2445"/>
      <c r="T12" s="2445"/>
      <c r="U12" s="2445"/>
      <c r="V12" s="2445"/>
      <c r="W12" s="2445"/>
      <c r="X12" s="2445"/>
      <c r="Y12" s="2445"/>
      <c r="Z12" s="2445"/>
      <c r="AA12" s="2445"/>
      <c r="AB12" s="2445"/>
      <c r="AC12" s="2445"/>
      <c r="AD12" s="2445"/>
      <c r="AE12" s="2445"/>
      <c r="AF12" s="2445"/>
      <c r="AG12" s="2445"/>
      <c r="AH12" s="2445"/>
      <c r="AI12" s="2445"/>
      <c r="AJ12" s="2445"/>
      <c r="AK12" s="2445"/>
      <c r="AL12" s="2445"/>
      <c r="AM12" s="2445"/>
      <c r="AN12" s="2445"/>
      <c r="AO12" s="2445"/>
      <c r="AP12" s="2445"/>
      <c r="AQ12" s="2445"/>
      <c r="AR12" s="2445"/>
      <c r="AS12" s="2445"/>
      <c r="AT12" s="2445"/>
      <c r="AU12" s="2445"/>
      <c r="AV12" s="2445"/>
      <c r="AW12" s="2445"/>
      <c r="AX12" s="2445"/>
      <c r="AY12" s="2445"/>
      <c r="AZ12" s="2445"/>
      <c r="BA12" s="2445"/>
      <c r="BB12" s="2445"/>
      <c r="BC12" s="2445"/>
      <c r="BD12" s="2445"/>
      <c r="BE12" s="2445"/>
      <c r="BF12" s="2445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1955"/>
      <c r="BR12" s="1202"/>
      <c r="BS12" s="1520"/>
      <c r="BT12" s="1520"/>
      <c r="BU12" s="26"/>
      <c r="BV12" s="26"/>
      <c r="BW12" s="528"/>
      <c r="BX12" s="528"/>
    </row>
    <row r="13" spans="1:76" ht="15" hidden="1" customHeight="1" x14ac:dyDescent="0.3">
      <c r="B13" s="1925" t="s">
        <v>146</v>
      </c>
      <c r="C13" s="1892" t="s">
        <v>50</v>
      </c>
      <c r="D13" s="1897">
        <f>+D9*0.7*17.2</f>
        <v>415343.87999999995</v>
      </c>
      <c r="E13" s="152">
        <f>+E9*0.7*17.2</f>
        <v>35397.599999999999</v>
      </c>
      <c r="F13" s="18">
        <f>'COKE OVENS'!F21</f>
        <v>35108.639999999992</v>
      </c>
      <c r="G13" s="152">
        <f>+G9*0.7*17.2</f>
        <v>36577.519999999997</v>
      </c>
      <c r="H13" s="18">
        <f>'COKE OVENS'!H21</f>
        <v>36433.039999999994</v>
      </c>
      <c r="I13" s="60">
        <f>+E13+G13</f>
        <v>71975.12</v>
      </c>
      <c r="J13" s="38">
        <f>+F13+H13</f>
        <v>71541.679999999993</v>
      </c>
      <c r="K13" s="152">
        <f>+K9*0.7*17.2</f>
        <v>33952.799999999996</v>
      </c>
      <c r="L13" s="18">
        <f>'COKE OVENS'!L21</f>
        <v>34699.279999999999</v>
      </c>
      <c r="M13" s="71">
        <f>+E13+G13+K13</f>
        <v>105927.91999999998</v>
      </c>
      <c r="N13" s="68">
        <f>+F13+H13+L13</f>
        <v>106240.95999999999</v>
      </c>
      <c r="O13" s="152">
        <f>+O9*0.7*17.2</f>
        <v>35084.559999999998</v>
      </c>
      <c r="P13" s="18">
        <f>'COKE OVENS'!P21</f>
        <v>35614.32</v>
      </c>
      <c r="Q13" s="60">
        <f>+M13+O13</f>
        <v>141012.47999999998</v>
      </c>
      <c r="R13" s="38">
        <f>+N13+P13</f>
        <v>141855.28</v>
      </c>
      <c r="S13" s="152">
        <f>+S9*0.7*17.2</f>
        <v>35084.559999999998</v>
      </c>
      <c r="T13" s="18">
        <f>'COKE OVENS'!T21</f>
        <v>36577.519999999997</v>
      </c>
      <c r="U13" s="60">
        <f>+Q13+S13</f>
        <v>176097.03999999998</v>
      </c>
      <c r="V13" s="38">
        <f>+R13+T13</f>
        <v>178432.8</v>
      </c>
      <c r="W13" s="152">
        <f>+W9*0.7*17.2</f>
        <v>33266.519999999997</v>
      </c>
      <c r="X13" s="18">
        <f>'COKE OVENS'!X21</f>
        <v>35397.599999999999</v>
      </c>
      <c r="Y13" s="774">
        <f>+O13+S13+W13</f>
        <v>103435.63999999998</v>
      </c>
      <c r="Z13" s="774">
        <f>+P13+T13+X13</f>
        <v>107589.44</v>
      </c>
      <c r="AA13" s="460">
        <f>+M13+Y13</f>
        <v>209363.55999999997</v>
      </c>
      <c r="AB13" s="460">
        <f>+N13+Z13</f>
        <v>213830.39999999999</v>
      </c>
      <c r="AC13" s="152">
        <f>+AC9*0.7*17.2</f>
        <v>35084.559999999998</v>
      </c>
      <c r="AD13" s="18">
        <f>'COKE OVENS'!AD21</f>
        <v>35881.281200000005</v>
      </c>
      <c r="AE13" s="60">
        <f>+AA13+AC13</f>
        <v>244448.11999999997</v>
      </c>
      <c r="AF13" s="38">
        <f>+AB13+AD13</f>
        <v>249711.68119999999</v>
      </c>
      <c r="AG13" s="152">
        <f>+AG9*0.7*17.2</f>
        <v>33952.799999999996</v>
      </c>
      <c r="AH13" s="18">
        <f>'COKE OVENS'!AH21</f>
        <v>33793.957999999999</v>
      </c>
      <c r="AI13" s="60">
        <f>+AE13+AG13</f>
        <v>278400.92</v>
      </c>
      <c r="AJ13" s="38">
        <f>+AF13+AH13</f>
        <v>283505.63919999998</v>
      </c>
      <c r="AK13" s="152">
        <f>+AK9*0.7*17.2</f>
        <v>35084.559999999998</v>
      </c>
      <c r="AL13" s="18">
        <f>'COKE OVENS'!AL21</f>
        <v>34869.817999999999</v>
      </c>
      <c r="AM13" s="774">
        <f>+AC13+AG13+AK13</f>
        <v>104121.91999999998</v>
      </c>
      <c r="AN13" s="774">
        <f>+AD13+AH13+AL13</f>
        <v>104545.05720000001</v>
      </c>
      <c r="AO13" s="60">
        <f>AI13+AK13</f>
        <v>313485.48</v>
      </c>
      <c r="AP13" s="60">
        <f>AJ13+AL13</f>
        <v>318375.45719999995</v>
      </c>
      <c r="AQ13" s="152">
        <f>+AQ9*0.7*17.2</f>
        <v>35084.559999999998</v>
      </c>
      <c r="AR13" s="18">
        <f>'COKE OVENS'!AR21</f>
        <v>35144.759999999995</v>
      </c>
      <c r="AS13" s="60">
        <f>+AO13+AQ13</f>
        <v>348570.04</v>
      </c>
      <c r="AT13" s="38">
        <f>+AP13+AR13</f>
        <v>353520.21719999996</v>
      </c>
      <c r="AU13" s="152">
        <f>+AU9*0.7*17.2</f>
        <v>31689.279999999995</v>
      </c>
      <c r="AV13" s="18">
        <f>'COKE OVENS'!AV21</f>
        <v>31606.375999999993</v>
      </c>
      <c r="AW13" s="60">
        <f>+AS13+AU13</f>
        <v>380259.31999999995</v>
      </c>
      <c r="AX13" s="38">
        <f>+AT13+AV13</f>
        <v>385126.59319999994</v>
      </c>
      <c r="AY13" s="152">
        <f>+AY9*0.7*17.2</f>
        <v>35084.559999999998</v>
      </c>
      <c r="AZ13" s="18">
        <f>'COKE OVENS'!AZ21</f>
        <v>36316.251999999993</v>
      </c>
      <c r="BA13" s="774">
        <f>+AQ13+AU13+AY13</f>
        <v>101858.4</v>
      </c>
      <c r="BB13" s="774">
        <f>+AR13+AV13+AZ13</f>
        <v>103067.38799999998</v>
      </c>
      <c r="BC13" s="460">
        <f>AM13+BA13</f>
        <v>205980.31999999998</v>
      </c>
      <c r="BD13" s="460">
        <f t="shared" ref="BD13:BD14" si="32">AN13+BB13</f>
        <v>207612.44519999999</v>
      </c>
      <c r="BE13" s="60">
        <f>AW13+AY13</f>
        <v>415343.87999999995</v>
      </c>
      <c r="BF13" s="60">
        <f>AX13+AZ13</f>
        <v>421442.84519999992</v>
      </c>
      <c r="BG13" s="1721">
        <v>423729.73999999993</v>
      </c>
      <c r="BH13" s="1721">
        <v>431508.83856714121</v>
      </c>
      <c r="BI13" s="1721">
        <v>433141.23599999998</v>
      </c>
      <c r="BJ13" s="1721">
        <v>432382.84677469998</v>
      </c>
      <c r="BK13" s="1721">
        <v>430769.03254755842</v>
      </c>
      <c r="BL13" s="1721">
        <v>438172.79000000004</v>
      </c>
      <c r="BM13" s="1721">
        <v>428806</v>
      </c>
      <c r="BN13" s="1721">
        <v>425506</v>
      </c>
      <c r="BO13" s="1721">
        <v>430922.2</v>
      </c>
      <c r="BP13" s="1721">
        <v>406071.87599999999</v>
      </c>
      <c r="BQ13" s="1083">
        <v>412610.14</v>
      </c>
      <c r="BR13" s="1202"/>
      <c r="BS13" s="1520"/>
      <c r="BT13" s="1520"/>
      <c r="BU13" s="26"/>
      <c r="BV13" s="26"/>
      <c r="BW13" s="528"/>
      <c r="BX13" s="528"/>
    </row>
    <row r="14" spans="1:76" ht="15" hidden="1" customHeight="1" x14ac:dyDescent="0.3">
      <c r="B14" s="1925" t="s">
        <v>147</v>
      </c>
      <c r="C14" s="1892" t="s">
        <v>50</v>
      </c>
      <c r="D14" s="1897">
        <f>+D10*0.7*31.55</f>
        <v>786998.97499999998</v>
      </c>
      <c r="E14" s="152">
        <f>+E10*31.55*0.7</f>
        <v>64929.899999999994</v>
      </c>
      <c r="F14" s="18">
        <f>'COKE OVENS'!F22</f>
        <v>64333.605000000003</v>
      </c>
      <c r="G14" s="152">
        <f>+G10*31.55*0.7</f>
        <v>67094.23</v>
      </c>
      <c r="H14" s="18">
        <f>'COKE OVENS'!H22</f>
        <v>66740.87</v>
      </c>
      <c r="I14" s="60">
        <f>+E14+G14</f>
        <v>132024.13</v>
      </c>
      <c r="J14" s="38">
        <f>+F14+H14</f>
        <v>131074.47500000001</v>
      </c>
      <c r="K14" s="152">
        <f>+K10*31.55*0.7</f>
        <v>64929.899999999994</v>
      </c>
      <c r="L14" s="18">
        <f>'COKE OVENS'!L22</f>
        <v>65239.09</v>
      </c>
      <c r="M14" s="71">
        <f>+E14+G14+K14</f>
        <v>196954.03</v>
      </c>
      <c r="N14" s="68">
        <f>+F14+H14+L14</f>
        <v>196313.565</v>
      </c>
      <c r="O14" s="152">
        <f>+O10*31.55*0.7</f>
        <v>67094.23</v>
      </c>
      <c r="P14" s="18">
        <f>'COKE OVENS'!P22</f>
        <v>67778.864999999991</v>
      </c>
      <c r="Q14" s="60">
        <f>+M14+O14</f>
        <v>264048.26</v>
      </c>
      <c r="R14" s="38">
        <f>+N14+P14</f>
        <v>264092.43</v>
      </c>
      <c r="S14" s="152">
        <f>+S10*31.55*0.7</f>
        <v>67094.23</v>
      </c>
      <c r="T14" s="18">
        <f>'COKE OVENS'!T22</f>
        <v>67447.59</v>
      </c>
      <c r="U14" s="60">
        <f>+Q14+S14</f>
        <v>331142.49</v>
      </c>
      <c r="V14" s="38">
        <f>+R14+T14</f>
        <v>331540.02</v>
      </c>
      <c r="W14" s="152">
        <f>+W10*31.55*0.7</f>
        <v>61948.424999999996</v>
      </c>
      <c r="X14" s="18">
        <f>'COKE OVENS'!X22</f>
        <v>64963.855000000003</v>
      </c>
      <c r="Y14" s="774">
        <f>+O14+S14+W14</f>
        <v>196136.88499999998</v>
      </c>
      <c r="Z14" s="774">
        <f>+P14+T14+X14</f>
        <v>200190.31</v>
      </c>
      <c r="AA14" s="460">
        <f>+M14+Y14</f>
        <v>393090.91499999998</v>
      </c>
      <c r="AB14" s="460">
        <f>+N14+Z14</f>
        <v>396503.875</v>
      </c>
      <c r="AC14" s="152">
        <f>+AC10*31.55*0.7</f>
        <v>67094.23</v>
      </c>
      <c r="AD14" s="18">
        <f>'COKE OVENS'!AD22</f>
        <v>66256.924550000011</v>
      </c>
      <c r="AE14" s="60">
        <f>+AA14+AC14</f>
        <v>460185.14499999996</v>
      </c>
      <c r="AF14" s="38">
        <f>+AB14+AD14</f>
        <v>462760.79955</v>
      </c>
      <c r="AG14" s="152">
        <f>+AG10*31.55*0.7</f>
        <v>64929.899999999994</v>
      </c>
      <c r="AH14" s="18">
        <f>'COKE OVENS'!AH22</f>
        <v>64904.659999999996</v>
      </c>
      <c r="AI14" s="60">
        <f>+AE14+AG14</f>
        <v>525115.04499999993</v>
      </c>
      <c r="AJ14" s="38">
        <f>+AF14+AH14</f>
        <v>527665.45955000003</v>
      </c>
      <c r="AK14" s="152">
        <f>+AK10*31.55*0.7</f>
        <v>67094.23</v>
      </c>
      <c r="AL14" s="18">
        <f>'COKE OVENS'!AL22</f>
        <v>67119.312250000003</v>
      </c>
      <c r="AM14" s="774">
        <f>+AC14+AG14+AK14</f>
        <v>199118.36</v>
      </c>
      <c r="AN14" s="774">
        <f>+AD14+AH14+AL14</f>
        <v>198280.89679999999</v>
      </c>
      <c r="AO14" s="60">
        <f>AI14+AK14</f>
        <v>592209.27499999991</v>
      </c>
      <c r="AP14" s="60">
        <f>AJ14+AL14</f>
        <v>594784.77179999999</v>
      </c>
      <c r="AQ14" s="152">
        <f>+AQ10*31.55*0.7</f>
        <v>67094.23</v>
      </c>
      <c r="AR14" s="18">
        <f>'COKE OVENS'!AR22</f>
        <v>66527.276499999993</v>
      </c>
      <c r="AS14" s="60">
        <f>+AO14+AQ14</f>
        <v>659303.50499999989</v>
      </c>
      <c r="AT14" s="38">
        <f>+AP14+AR14</f>
        <v>661312.04830000002</v>
      </c>
      <c r="AU14" s="152">
        <f>+AU10*31.55*0.7</f>
        <v>60601.239999999991</v>
      </c>
      <c r="AV14" s="18">
        <f>'COKE OVENS'!AV22</f>
        <v>60190.301249999997</v>
      </c>
      <c r="AW14" s="60">
        <f>+AS14+AU14</f>
        <v>719904.74499999988</v>
      </c>
      <c r="AX14" s="38">
        <f>+AT14+AV14</f>
        <v>721502.34955000004</v>
      </c>
      <c r="AY14" s="152">
        <f>+AY10*31.55*0.7</f>
        <v>67094.23</v>
      </c>
      <c r="AZ14" s="18">
        <f>'COKE OVENS'!AZ22</f>
        <v>67075.457749999987</v>
      </c>
      <c r="BA14" s="774">
        <f>+AQ14+AU14+AY14</f>
        <v>194789.69999999998</v>
      </c>
      <c r="BB14" s="774">
        <f>+AR14+AV14+AZ14</f>
        <v>193793.0355</v>
      </c>
      <c r="BC14" s="460">
        <f>AM14+BA14</f>
        <v>393908.05999999994</v>
      </c>
      <c r="BD14" s="460">
        <f t="shared" si="32"/>
        <v>392073.93229999999</v>
      </c>
      <c r="BE14" s="60">
        <f>AW14+AY14</f>
        <v>786998.97499999986</v>
      </c>
      <c r="BF14" s="60">
        <f>AX14+AZ14</f>
        <v>788577.80729999999</v>
      </c>
      <c r="BG14" s="1721">
        <v>791332.05199999991</v>
      </c>
      <c r="BH14" s="1721">
        <v>793765.3142773587</v>
      </c>
      <c r="BI14" s="1721">
        <v>786486.60299999989</v>
      </c>
      <c r="BJ14" s="1721">
        <v>774691.64970837045</v>
      </c>
      <c r="BK14" s="1721">
        <v>737579.37599844171</v>
      </c>
      <c r="BL14" s="1721">
        <v>803741.80374999996</v>
      </c>
      <c r="BM14" s="1721">
        <v>778192</v>
      </c>
      <c r="BN14" s="1721">
        <v>770203</v>
      </c>
      <c r="BO14" s="1721">
        <v>752591.4</v>
      </c>
      <c r="BP14" s="1721">
        <v>744858.58650000009</v>
      </c>
      <c r="BQ14" s="1083">
        <v>745859.84</v>
      </c>
      <c r="BR14" s="1202"/>
      <c r="BS14" s="1520"/>
      <c r="BT14" s="1520"/>
      <c r="BU14" s="26"/>
      <c r="BV14" s="26"/>
      <c r="BW14" s="528"/>
      <c r="BX14" s="528"/>
    </row>
    <row r="15" spans="1:76" ht="15" hidden="1" customHeight="1" thickBot="1" x14ac:dyDescent="0.35">
      <c r="B15" s="1923" t="s">
        <v>1533</v>
      </c>
      <c r="C15" s="1901" t="s">
        <v>50</v>
      </c>
      <c r="D15" s="1898">
        <f t="shared" ref="D15:N15" si="33">SUM(D13:D14)</f>
        <v>1202342.855</v>
      </c>
      <c r="E15" s="1697">
        <f t="shared" si="33"/>
        <v>100327.5</v>
      </c>
      <c r="F15" s="1938">
        <f t="shared" si="33"/>
        <v>99442.244999999995</v>
      </c>
      <c r="G15" s="1697">
        <f t="shared" ref="G15" si="34">SUM(G13:G14)</f>
        <v>103671.75</v>
      </c>
      <c r="H15" s="1938">
        <f t="shared" ref="H15" si="35">SUM(H13:H14)</f>
        <v>103173.90999999999</v>
      </c>
      <c r="I15" s="2458">
        <f t="shared" si="33"/>
        <v>203999.25</v>
      </c>
      <c r="J15" s="2459">
        <f t="shared" si="33"/>
        <v>202616.155</v>
      </c>
      <c r="K15" s="1697">
        <f t="shared" ref="K15:L15" si="36">SUM(K13:K14)</f>
        <v>98882.699999999983</v>
      </c>
      <c r="L15" s="1938">
        <f t="shared" si="36"/>
        <v>99938.37</v>
      </c>
      <c r="M15" s="1948">
        <f t="shared" si="33"/>
        <v>302881.94999999995</v>
      </c>
      <c r="N15" s="1949">
        <f t="shared" si="33"/>
        <v>302554.52500000002</v>
      </c>
      <c r="O15" s="1697">
        <f t="shared" ref="O15:P15" si="37">SUM(O13:O14)</f>
        <v>102178.79</v>
      </c>
      <c r="P15" s="1938">
        <f t="shared" si="37"/>
        <v>103393.185</v>
      </c>
      <c r="Q15" s="1940">
        <f>SUM(Q13:Q14)</f>
        <v>405060.74</v>
      </c>
      <c r="R15" s="1907">
        <f>SUM(R13:R14)</f>
        <v>405947.70999999996</v>
      </c>
      <c r="S15" s="1697">
        <f t="shared" ref="S15:T15" si="38">SUM(S13:S14)</f>
        <v>102178.79</v>
      </c>
      <c r="T15" s="1938">
        <f t="shared" si="38"/>
        <v>104025.10999999999</v>
      </c>
      <c r="U15" s="1940">
        <f t="shared" ref="U15:X15" si="39">SUM(U13:U14)</f>
        <v>507239.52999999997</v>
      </c>
      <c r="V15" s="1907">
        <f t="shared" si="39"/>
        <v>509972.82</v>
      </c>
      <c r="W15" s="1697">
        <f t="shared" si="39"/>
        <v>95214.944999999992</v>
      </c>
      <c r="X15" s="1938">
        <f t="shared" si="39"/>
        <v>100361.455</v>
      </c>
      <c r="Y15" s="373">
        <f t="shared" ref="Y15:AD15" si="40">SUM(Y13:Y14)</f>
        <v>299572.52499999997</v>
      </c>
      <c r="Z15" s="373">
        <f t="shared" si="40"/>
        <v>307779.75</v>
      </c>
      <c r="AA15" s="539">
        <f t="shared" si="40"/>
        <v>602454.47499999998</v>
      </c>
      <c r="AB15" s="539">
        <f t="shared" si="40"/>
        <v>610334.27500000002</v>
      </c>
      <c r="AC15" s="1697">
        <f t="shared" si="40"/>
        <v>102178.79</v>
      </c>
      <c r="AD15" s="1938">
        <f t="shared" si="40"/>
        <v>102138.20575000002</v>
      </c>
      <c r="AE15" s="2458">
        <f t="shared" ref="AE15:AH15" si="41">SUM(AE13:AE14)</f>
        <v>704633.2649999999</v>
      </c>
      <c r="AF15" s="2459">
        <f t="shared" si="41"/>
        <v>712472.48074999999</v>
      </c>
      <c r="AG15" s="1697">
        <f t="shared" si="41"/>
        <v>98882.699999999983</v>
      </c>
      <c r="AH15" s="1938">
        <f t="shared" si="41"/>
        <v>98698.617999999988</v>
      </c>
      <c r="AI15" s="2458">
        <f t="shared" ref="AI15:AN15" si="42">SUM(AI13:AI14)</f>
        <v>803515.96499999985</v>
      </c>
      <c r="AJ15" s="2459">
        <f t="shared" si="42"/>
        <v>811171.09875</v>
      </c>
      <c r="AK15" s="1697">
        <f t="shared" si="42"/>
        <v>102178.79</v>
      </c>
      <c r="AL15" s="1938">
        <f t="shared" si="42"/>
        <v>101989.13025</v>
      </c>
      <c r="AM15" s="373">
        <f t="shared" si="42"/>
        <v>303240.27999999997</v>
      </c>
      <c r="AN15" s="373">
        <f t="shared" si="42"/>
        <v>302825.95400000003</v>
      </c>
      <c r="AO15" s="2458">
        <f t="shared" ref="AO15:AT15" si="43">SUM(AO13:AO14)</f>
        <v>905694.75499999989</v>
      </c>
      <c r="AP15" s="2459">
        <f t="shared" si="43"/>
        <v>913160.22899999993</v>
      </c>
      <c r="AQ15" s="1697">
        <f t="shared" si="43"/>
        <v>102178.79</v>
      </c>
      <c r="AR15" s="1938">
        <f t="shared" si="43"/>
        <v>101672.03649999999</v>
      </c>
      <c r="AS15" s="2458">
        <f t="shared" si="43"/>
        <v>1007873.5449999999</v>
      </c>
      <c r="AT15" s="2459">
        <f t="shared" si="43"/>
        <v>1014832.2655</v>
      </c>
      <c r="AU15" s="1697">
        <f t="shared" ref="AU15:AV15" si="44">SUM(AU13:AU14)</f>
        <v>92290.51999999999</v>
      </c>
      <c r="AV15" s="1938">
        <f t="shared" si="44"/>
        <v>91796.677249999993</v>
      </c>
      <c r="AW15" s="2458">
        <f t="shared" ref="AW15:BF15" si="45">SUM(AW13:AW14)</f>
        <v>1100164.0649999999</v>
      </c>
      <c r="AX15" s="2459">
        <f t="shared" si="45"/>
        <v>1106628.9427499999</v>
      </c>
      <c r="AY15" s="1697">
        <f t="shared" si="45"/>
        <v>102178.79</v>
      </c>
      <c r="AZ15" s="1938">
        <f t="shared" si="45"/>
        <v>103391.70974999998</v>
      </c>
      <c r="BA15" s="373">
        <f t="shared" si="45"/>
        <v>296648.09999999998</v>
      </c>
      <c r="BB15" s="373">
        <f t="shared" si="45"/>
        <v>296860.42349999998</v>
      </c>
      <c r="BC15" s="539">
        <f t="shared" si="45"/>
        <v>599888.37999999989</v>
      </c>
      <c r="BD15" s="539">
        <f t="shared" si="45"/>
        <v>599686.37749999994</v>
      </c>
      <c r="BE15" s="2458">
        <f t="shared" si="45"/>
        <v>1202342.8549999997</v>
      </c>
      <c r="BF15" s="2459">
        <f t="shared" si="45"/>
        <v>1210020.6524999999</v>
      </c>
      <c r="BG15" s="1123">
        <v>1215061.7919999999</v>
      </c>
      <c r="BH15" s="1123">
        <v>1225274.1528444998</v>
      </c>
      <c r="BI15" s="1123">
        <v>1219627.8389999999</v>
      </c>
      <c r="BJ15" s="1123">
        <v>1207074.4964830703</v>
      </c>
      <c r="BK15" s="1123">
        <v>1168348.4085460003</v>
      </c>
      <c r="BL15" s="1123">
        <v>1241914.59375</v>
      </c>
      <c r="BM15" s="1123">
        <v>1206998</v>
      </c>
      <c r="BN15" s="1123">
        <v>1195709</v>
      </c>
      <c r="BO15" s="1123">
        <v>1183513.6000000001</v>
      </c>
      <c r="BP15" s="1123">
        <v>1150930.4625000001</v>
      </c>
      <c r="BQ15" s="1954">
        <v>1158469.98</v>
      </c>
      <c r="BR15" s="1202"/>
      <c r="BS15" s="1520"/>
      <c r="BT15" s="1520"/>
      <c r="BU15" s="26"/>
      <c r="BV15" s="26"/>
      <c r="BW15" s="528"/>
      <c r="BX15" s="528"/>
    </row>
    <row r="16" spans="1:76" ht="15" customHeight="1" thickBot="1" x14ac:dyDescent="0.35">
      <c r="B16" s="1926" t="s">
        <v>347</v>
      </c>
      <c r="C16" s="1902" t="s">
        <v>50</v>
      </c>
      <c r="D16" s="1903">
        <f>4362.87596292192*1000+124</f>
        <v>4362999.9629219202</v>
      </c>
      <c r="E16" s="1758">
        <f>372.191438188584*1000</f>
        <v>372191.438188584</v>
      </c>
      <c r="F16" s="1935">
        <v>321830</v>
      </c>
      <c r="G16" s="1758">
        <f>383.372118766*1000</f>
        <v>383372.11876600003</v>
      </c>
      <c r="H16" s="1935">
        <v>355306</v>
      </c>
      <c r="I16" s="1760">
        <f t="shared" ref="I16:J18" si="46">+E16+G16</f>
        <v>755563.55695458408</v>
      </c>
      <c r="J16" s="1761">
        <f t="shared" si="46"/>
        <v>677136</v>
      </c>
      <c r="K16" s="1758">
        <f>372.191438188584*1000</f>
        <v>372191.438188584</v>
      </c>
      <c r="L16" s="1935">
        <v>376274</v>
      </c>
      <c r="M16" s="1762">
        <f t="shared" ref="M16:N20" si="47">+E16+G16+K16</f>
        <v>1127754.9951431681</v>
      </c>
      <c r="N16" s="1947">
        <f t="shared" si="47"/>
        <v>1053410</v>
      </c>
      <c r="O16" s="1758">
        <f>376.384193405115*1000</f>
        <v>376384.19340511499</v>
      </c>
      <c r="P16" s="1935">
        <v>397960</v>
      </c>
      <c r="Q16" s="1760">
        <f t="shared" ref="Q16:R18" si="48">+M16+O16</f>
        <v>1504139.1885482832</v>
      </c>
      <c r="R16" s="1761">
        <f t="shared" si="48"/>
        <v>1451370</v>
      </c>
      <c r="S16" s="1758">
        <f>376.384193405115*1000</f>
        <v>376384.19340511499</v>
      </c>
      <c r="T16" s="1935">
        <v>383179</v>
      </c>
      <c r="U16" s="1760">
        <f t="shared" ref="U16:U17" si="49">+Q16+S16</f>
        <v>1880523.3819533982</v>
      </c>
      <c r="V16" s="1761">
        <f t="shared" ref="V16" si="50">+R16+T16</f>
        <v>1834549</v>
      </c>
      <c r="W16" s="1758">
        <f>207.661910104769*1000</f>
        <v>207661.91010476899</v>
      </c>
      <c r="X16" s="1935">
        <v>374784</v>
      </c>
      <c r="Y16" s="774">
        <f t="shared" ref="Y16:Z18" si="51">+O16+S16+W16</f>
        <v>960430.29691499891</v>
      </c>
      <c r="Z16" s="774">
        <f t="shared" si="51"/>
        <v>1155923</v>
      </c>
      <c r="AA16" s="460">
        <f t="shared" ref="AA16:AB18" si="52">+M16+Y16</f>
        <v>2088185.292058167</v>
      </c>
      <c r="AB16" s="460">
        <f t="shared" si="52"/>
        <v>2209333</v>
      </c>
      <c r="AC16" s="1758">
        <f>383.372118766*1000</f>
        <v>383372.11876600003</v>
      </c>
      <c r="AD16" s="1935">
        <v>301448</v>
      </c>
      <c r="AE16" s="1760">
        <f t="shared" ref="AE16:AE18" si="53">+AA16+AC16</f>
        <v>2471557.4108241671</v>
      </c>
      <c r="AF16" s="1761">
        <f t="shared" ref="AF16" si="54">+AB16+AD16</f>
        <v>2510781</v>
      </c>
      <c r="AG16" s="1758">
        <f>376.191438188584*1000</f>
        <v>376191.438188584</v>
      </c>
      <c r="AH16" s="1935">
        <v>366206</v>
      </c>
      <c r="AI16" s="1760">
        <f t="shared" ref="AI16:AI18" si="55">+AE16+AG16</f>
        <v>2847748.8490127511</v>
      </c>
      <c r="AJ16" s="1761">
        <f t="shared" ref="AJ16" si="56">+AF16+AH16</f>
        <v>2876987</v>
      </c>
      <c r="AK16" s="1758">
        <f>387.372118766*1000</f>
        <v>387372.11876600003</v>
      </c>
      <c r="AL16" s="1935">
        <v>360713</v>
      </c>
      <c r="AM16" s="774">
        <f t="shared" ref="AM16:AM18" si="57">+AC16+AG16+AK16</f>
        <v>1146935.6757205841</v>
      </c>
      <c r="AN16" s="774">
        <f t="shared" ref="AN16:AN18" si="58">+AD16+AH16+AL16</f>
        <v>1028367</v>
      </c>
      <c r="AO16" s="60">
        <f t="shared" ref="AO16:AP18" si="59">AI16+AK16</f>
        <v>3235120.9677787512</v>
      </c>
      <c r="AP16" s="60">
        <f t="shared" si="59"/>
        <v>3237700</v>
      </c>
      <c r="AQ16" s="1758">
        <v>388962.4590547072</v>
      </c>
      <c r="AR16" s="1935">
        <v>366580</v>
      </c>
      <c r="AS16" s="1760">
        <f t="shared" ref="AS16:AS18" si="60">+AO16+AQ16</f>
        <v>3624083.4268334582</v>
      </c>
      <c r="AT16" s="1761">
        <f t="shared" ref="AT16" si="61">+AP16+AR16</f>
        <v>3604280</v>
      </c>
      <c r="AU16" s="1758">
        <v>349830.07703375345</v>
      </c>
      <c r="AV16" s="1935">
        <v>314846</v>
      </c>
      <c r="AW16" s="1760">
        <f t="shared" ref="AW16:AW18" si="62">+AS16+AU16</f>
        <v>3973913.5038672118</v>
      </c>
      <c r="AX16" s="1761">
        <f t="shared" ref="AX16:AX18" si="63">+AT16+AV16</f>
        <v>3919126</v>
      </c>
      <c r="AY16" s="1758">
        <v>388962.4590547072</v>
      </c>
      <c r="AZ16" s="1935">
        <v>379828</v>
      </c>
      <c r="BA16" s="774">
        <f t="shared" ref="BA16:BA20" si="64">+AQ16+AU16+AY16</f>
        <v>1127754.9951431677</v>
      </c>
      <c r="BB16" s="774">
        <f t="shared" ref="BB16:BB20" si="65">+AR16+AV16+AZ16</f>
        <v>1061254</v>
      </c>
      <c r="BC16" s="460">
        <f t="shared" ref="BC16:BC20" si="66">AM16+BA16</f>
        <v>2274690.6708637518</v>
      </c>
      <c r="BD16" s="460">
        <f t="shared" ref="BD16:BD20" si="67">AN16+BB16</f>
        <v>2089621</v>
      </c>
      <c r="BE16" s="60">
        <f t="shared" ref="BE16:BE18" si="68">AW16+AY16</f>
        <v>4362875.9629219193</v>
      </c>
      <c r="BF16" s="60">
        <f t="shared" ref="BF16:BF18" si="69">AX16+AZ16</f>
        <v>4298954</v>
      </c>
      <c r="BG16" s="1721">
        <v>4387544.4524744106</v>
      </c>
      <c r="BH16" s="1721">
        <v>3980714</v>
      </c>
      <c r="BI16" s="1721">
        <v>4499999.9123089341</v>
      </c>
      <c r="BJ16" s="1721">
        <v>4398445</v>
      </c>
      <c r="BK16" s="1721">
        <v>4395665</v>
      </c>
      <c r="BL16" s="1721">
        <v>4183927.7727635596</v>
      </c>
      <c r="BM16" s="1721">
        <v>4277831</v>
      </c>
      <c r="BN16" s="1721">
        <v>3665891.272345175</v>
      </c>
      <c r="BO16" s="1721">
        <v>3629577</v>
      </c>
      <c r="BP16" s="1721">
        <v>3903932.5274391733</v>
      </c>
      <c r="BQ16" s="1083">
        <v>3709525</v>
      </c>
      <c r="BR16" s="1202"/>
      <c r="BS16" s="1520"/>
      <c r="BT16" s="1520"/>
      <c r="BU16" s="26"/>
      <c r="BV16" s="26"/>
      <c r="BW16" s="528"/>
      <c r="BX16" s="528"/>
    </row>
    <row r="17" spans="1:76" ht="15" customHeight="1" thickBot="1" x14ac:dyDescent="0.35">
      <c r="A17" s="182"/>
      <c r="B17" s="1926" t="s">
        <v>340</v>
      </c>
      <c r="C17" s="1902" t="s">
        <v>50</v>
      </c>
      <c r="D17" s="1903">
        <v>2950000</v>
      </c>
      <c r="E17" s="1758">
        <v>252000</v>
      </c>
      <c r="F17" s="1935">
        <v>226125.59999999995</v>
      </c>
      <c r="G17" s="1758">
        <v>260000</v>
      </c>
      <c r="H17" s="1935">
        <v>255730.90000000002</v>
      </c>
      <c r="I17" s="1760">
        <f t="shared" si="46"/>
        <v>512000</v>
      </c>
      <c r="J17" s="1761">
        <f t="shared" si="46"/>
        <v>481856.5</v>
      </c>
      <c r="K17" s="1758">
        <f>252*1000</f>
        <v>252000</v>
      </c>
      <c r="L17" s="1935">
        <v>261489.89999999997</v>
      </c>
      <c r="M17" s="1762">
        <f t="shared" si="47"/>
        <v>764000</v>
      </c>
      <c r="N17" s="1947">
        <f t="shared" si="47"/>
        <v>743346.39999999991</v>
      </c>
      <c r="O17" s="1758">
        <v>255000</v>
      </c>
      <c r="P17" s="1935">
        <v>268142.30000000005</v>
      </c>
      <c r="Q17" s="1760">
        <f t="shared" si="48"/>
        <v>1019000</v>
      </c>
      <c r="R17" s="1761">
        <f>+N17+P17</f>
        <v>1011488.7</v>
      </c>
      <c r="S17" s="1758">
        <v>255000</v>
      </c>
      <c r="T17" s="1935">
        <v>253263.6</v>
      </c>
      <c r="U17" s="1760">
        <f t="shared" si="49"/>
        <v>1274000</v>
      </c>
      <c r="V17" s="1761">
        <f>+R17+T17</f>
        <v>1264752.3</v>
      </c>
      <c r="W17" s="1758">
        <v>140000</v>
      </c>
      <c r="X17" s="1935">
        <v>243297.40000000002</v>
      </c>
      <c r="Y17" s="774">
        <f t="shared" si="51"/>
        <v>650000</v>
      </c>
      <c r="Z17" s="774">
        <f t="shared" si="51"/>
        <v>764703.3</v>
      </c>
      <c r="AA17" s="460">
        <f t="shared" si="52"/>
        <v>1414000</v>
      </c>
      <c r="AB17" s="460">
        <f t="shared" si="52"/>
        <v>1508049.7</v>
      </c>
      <c r="AC17" s="1758">
        <v>260000</v>
      </c>
      <c r="AD17" s="1935">
        <v>202962.09999999998</v>
      </c>
      <c r="AE17" s="1760">
        <f t="shared" si="53"/>
        <v>1674000</v>
      </c>
      <c r="AF17" s="1761">
        <f>+AB17+AD17</f>
        <v>1711011.7999999998</v>
      </c>
      <c r="AG17" s="1758">
        <v>252000</v>
      </c>
      <c r="AH17" s="1935">
        <v>244148.19999999998</v>
      </c>
      <c r="AI17" s="1760">
        <f t="shared" si="55"/>
        <v>1926000</v>
      </c>
      <c r="AJ17" s="1761">
        <f>+AF17+AH17</f>
        <v>1955159.9999999998</v>
      </c>
      <c r="AK17" s="1758">
        <v>260000</v>
      </c>
      <c r="AL17" s="1935">
        <v>251560.99999999997</v>
      </c>
      <c r="AM17" s="774">
        <f t="shared" si="57"/>
        <v>772000</v>
      </c>
      <c r="AN17" s="774">
        <f t="shared" si="58"/>
        <v>698671.29999999993</v>
      </c>
      <c r="AO17" s="60">
        <f t="shared" si="59"/>
        <v>2186000</v>
      </c>
      <c r="AP17" s="60">
        <f t="shared" si="59"/>
        <v>2206720.9999999995</v>
      </c>
      <c r="AQ17" s="1758">
        <v>264000</v>
      </c>
      <c r="AR17" s="1935">
        <v>244851.4</v>
      </c>
      <c r="AS17" s="1760">
        <f t="shared" si="60"/>
        <v>2450000</v>
      </c>
      <c r="AT17" s="1761">
        <f>+AP17+AR17</f>
        <v>2451572.3999999994</v>
      </c>
      <c r="AU17" s="1758">
        <v>236000</v>
      </c>
      <c r="AV17" s="1935">
        <v>196575.3</v>
      </c>
      <c r="AW17" s="1760">
        <f t="shared" si="62"/>
        <v>2686000</v>
      </c>
      <c r="AX17" s="1761">
        <f t="shared" si="63"/>
        <v>2648147.6999999993</v>
      </c>
      <c r="AY17" s="1758">
        <v>264000</v>
      </c>
      <c r="AZ17" s="1935">
        <v>251871.70000000004</v>
      </c>
      <c r="BA17" s="774">
        <f t="shared" si="64"/>
        <v>764000</v>
      </c>
      <c r="BB17" s="774">
        <f t="shared" si="65"/>
        <v>693298.4</v>
      </c>
      <c r="BC17" s="460">
        <f t="shared" si="66"/>
        <v>1536000</v>
      </c>
      <c r="BD17" s="460">
        <f t="shared" si="67"/>
        <v>1391969.7</v>
      </c>
      <c r="BE17" s="60">
        <f t="shared" si="68"/>
        <v>2950000</v>
      </c>
      <c r="BF17" s="60">
        <f t="shared" si="69"/>
        <v>2900019.3999999994</v>
      </c>
      <c r="BG17" s="1721">
        <v>2650000</v>
      </c>
      <c r="BH17" s="1721">
        <v>2622585.6999999997</v>
      </c>
      <c r="BI17" s="1721">
        <v>2800000</v>
      </c>
      <c r="BJ17" s="1721">
        <v>2721268.1</v>
      </c>
      <c r="BK17" s="1721">
        <v>2592119.6</v>
      </c>
      <c r="BL17" s="1721">
        <v>2650000.9700000002</v>
      </c>
      <c r="BM17" s="1721">
        <v>2406785.7000000002</v>
      </c>
      <c r="BN17" s="1721">
        <v>2496672.1533415001</v>
      </c>
      <c r="BO17" s="1721">
        <v>2092798</v>
      </c>
      <c r="BP17" s="1721">
        <v>2700000</v>
      </c>
      <c r="BQ17" s="5393">
        <v>2505193</v>
      </c>
      <c r="BR17" s="1202"/>
      <c r="BS17" s="1520"/>
      <c r="BT17" s="1520"/>
      <c r="BU17" s="26"/>
      <c r="BV17" s="26"/>
      <c r="BW17" s="528"/>
      <c r="BX17" s="528"/>
    </row>
    <row r="18" spans="1:76" ht="16.2" thickBot="1" x14ac:dyDescent="0.35">
      <c r="B18" s="1927" t="s">
        <v>341</v>
      </c>
      <c r="C18" s="1902" t="s">
        <v>50</v>
      </c>
      <c r="D18" s="1903">
        <f>2770.01888574126*1000-19</f>
        <v>2769999.8857412599</v>
      </c>
      <c r="E18" s="1758">
        <f>237.110481586402*1000</f>
        <v>237110.48158640199</v>
      </c>
      <c r="F18" s="1935">
        <v>207020</v>
      </c>
      <c r="G18" s="1758">
        <f>244.66477809254*1000</f>
        <v>244664.77809253999</v>
      </c>
      <c r="H18" s="1935">
        <v>236638</v>
      </c>
      <c r="I18" s="1760">
        <f t="shared" si="46"/>
        <v>481775.25967894198</v>
      </c>
      <c r="J18" s="1761">
        <f t="shared" si="46"/>
        <v>443658</v>
      </c>
      <c r="K18" s="1758">
        <f>237.110481586402*1000</f>
        <v>237110.48158640199</v>
      </c>
      <c r="L18" s="1935">
        <v>243453</v>
      </c>
      <c r="M18" s="1762">
        <f t="shared" si="47"/>
        <v>718885.74126534397</v>
      </c>
      <c r="N18" s="1947">
        <f t="shared" si="47"/>
        <v>687111</v>
      </c>
      <c r="O18" s="1758">
        <f>239.943342776204*1000</f>
        <v>239943.34277620399</v>
      </c>
      <c r="P18" s="1935">
        <v>253662</v>
      </c>
      <c r="Q18" s="1760">
        <f>+M18+O18</f>
        <v>958829.08404154796</v>
      </c>
      <c r="R18" s="1761">
        <f t="shared" si="48"/>
        <v>940773</v>
      </c>
      <c r="S18" s="1758">
        <f>239.943342776204*1000</f>
        <v>239943.34277620399</v>
      </c>
      <c r="T18" s="1935">
        <v>237622</v>
      </c>
      <c r="U18" s="1760">
        <f>+Q18+S18</f>
        <v>1198772.426817752</v>
      </c>
      <c r="V18" s="1761">
        <f t="shared" ref="V18:V20" si="70">+R18+T18</f>
        <v>1178395</v>
      </c>
      <c r="W18" s="1758">
        <f>125.920679886686*1000</f>
        <v>125920.679886686</v>
      </c>
      <c r="X18" s="1935">
        <v>226847</v>
      </c>
      <c r="Y18" s="774">
        <f t="shared" si="51"/>
        <v>605807.36543909402</v>
      </c>
      <c r="Z18" s="774">
        <f t="shared" si="51"/>
        <v>718131</v>
      </c>
      <c r="AA18" s="460">
        <f t="shared" si="52"/>
        <v>1324693.1067044381</v>
      </c>
      <c r="AB18" s="460">
        <f t="shared" si="52"/>
        <v>1405242</v>
      </c>
      <c r="AC18" s="1758">
        <f>244.66477809254*1000</f>
        <v>244664.77809253999</v>
      </c>
      <c r="AD18" s="1935">
        <v>179201</v>
      </c>
      <c r="AE18" s="1760">
        <f t="shared" si="53"/>
        <v>1569357.884796978</v>
      </c>
      <c r="AF18" s="1761">
        <f t="shared" ref="AF18:AF20" si="71">+AB18+AD18</f>
        <v>1584443</v>
      </c>
      <c r="AG18" s="1758">
        <f>237.110481586402*1000</f>
        <v>237110.48158640199</v>
      </c>
      <c r="AH18" s="1935">
        <v>229502</v>
      </c>
      <c r="AI18" s="1760">
        <f t="shared" si="55"/>
        <v>1806468.36638338</v>
      </c>
      <c r="AJ18" s="1761">
        <f t="shared" ref="AJ18" si="72">+AF18+AH18</f>
        <v>1813945</v>
      </c>
      <c r="AK18" s="1758">
        <f>244.66477809254*1000</f>
        <v>244664.77809253999</v>
      </c>
      <c r="AL18" s="1935">
        <v>234365</v>
      </c>
      <c r="AM18" s="774">
        <f t="shared" si="57"/>
        <v>726440.03777148202</v>
      </c>
      <c r="AN18" s="774">
        <f t="shared" si="58"/>
        <v>643068</v>
      </c>
      <c r="AO18" s="60">
        <f t="shared" si="59"/>
        <v>2051133.1444759201</v>
      </c>
      <c r="AP18" s="60">
        <f t="shared" si="59"/>
        <v>2048310</v>
      </c>
      <c r="AQ18" s="1758">
        <v>248441.92634560907</v>
      </c>
      <c r="AR18" s="1935">
        <v>228047</v>
      </c>
      <c r="AS18" s="1760">
        <f t="shared" si="60"/>
        <v>2299575.0708215293</v>
      </c>
      <c r="AT18" s="1761">
        <f t="shared" ref="AT18:AT20" si="73">+AP18+AR18</f>
        <v>2276357</v>
      </c>
      <c r="AU18" s="1758">
        <v>222001.88857412653</v>
      </c>
      <c r="AV18" s="1935">
        <v>185016</v>
      </c>
      <c r="AW18" s="1760">
        <f t="shared" si="62"/>
        <v>2521576.9593956559</v>
      </c>
      <c r="AX18" s="1761">
        <f t="shared" si="63"/>
        <v>2461373</v>
      </c>
      <c r="AY18" s="1758">
        <v>248441.92634560907</v>
      </c>
      <c r="AZ18" s="1935">
        <v>241240</v>
      </c>
      <c r="BA18" s="774">
        <f t="shared" si="64"/>
        <v>718885.74126534467</v>
      </c>
      <c r="BB18" s="774">
        <f t="shared" si="65"/>
        <v>654303</v>
      </c>
      <c r="BC18" s="460">
        <f t="shared" si="66"/>
        <v>1445325.7790368267</v>
      </c>
      <c r="BD18" s="460">
        <f t="shared" si="67"/>
        <v>1297371</v>
      </c>
      <c r="BE18" s="60">
        <f t="shared" si="68"/>
        <v>2770018.885741265</v>
      </c>
      <c r="BF18" s="60">
        <f t="shared" si="69"/>
        <v>2702613</v>
      </c>
      <c r="BG18" s="1721">
        <v>2489528.3018867923</v>
      </c>
      <c r="BH18" s="1721">
        <v>2436959</v>
      </c>
      <c r="BI18" s="1721">
        <v>2620075.4716981109</v>
      </c>
      <c r="BJ18" s="1721">
        <v>2528925</v>
      </c>
      <c r="BK18" s="1721">
        <v>2422324.3024999998</v>
      </c>
      <c r="BL18" s="1721">
        <v>2451737.723004695</v>
      </c>
      <c r="BM18" s="1721">
        <v>2227867</v>
      </c>
      <c r="BN18" s="1721">
        <v>2297163.5</v>
      </c>
      <c r="BO18" s="1721">
        <v>1847433</v>
      </c>
      <c r="BP18" s="1721">
        <v>2500000</v>
      </c>
      <c r="BQ18" s="5393">
        <v>2083412</v>
      </c>
      <c r="BR18" s="1202"/>
      <c r="BS18" s="1520"/>
      <c r="BT18" s="1520"/>
      <c r="BU18" s="26"/>
      <c r="BV18" s="26"/>
      <c r="BW18" s="528"/>
      <c r="BX18" s="528"/>
    </row>
    <row r="19" spans="1:76" ht="16.2" thickBot="1" x14ac:dyDescent="0.35">
      <c r="B19" s="2703" t="s">
        <v>1677</v>
      </c>
      <c r="C19" s="1902" t="s">
        <v>50</v>
      </c>
      <c r="D19" s="1903">
        <f>1978.46215750908*1000-2</f>
        <v>1978460.1575090801</v>
      </c>
      <c r="E19" s="1758">
        <f>SMS!E29</f>
        <v>171675.125385875</v>
      </c>
      <c r="F19" s="1935">
        <f>SMS!F37</f>
        <v>149261</v>
      </c>
      <c r="G19" s="1758">
        <f>SMS!G29</f>
        <v>176063.19497908399</v>
      </c>
      <c r="H19" s="1935">
        <f>SMS!H37</f>
        <v>175199.53999999998</v>
      </c>
      <c r="I19" s="1760">
        <f>+E19+G19</f>
        <v>347738.32036495896</v>
      </c>
      <c r="J19" s="1761">
        <f>SMS!J37</f>
        <v>324460.53999999998</v>
      </c>
      <c r="K19" s="1758">
        <f>SMS!K29</f>
        <v>171147.420900386</v>
      </c>
      <c r="L19" s="1935">
        <f>SMS!L37</f>
        <v>182735</v>
      </c>
      <c r="M19" s="1762">
        <f t="shared" si="47"/>
        <v>518885.74126534496</v>
      </c>
      <c r="N19" s="1762">
        <f t="shared" si="47"/>
        <v>507195.54</v>
      </c>
      <c r="O19" s="1758">
        <f>SMS!O29</f>
        <v>171341.75966274799</v>
      </c>
      <c r="P19" s="1935">
        <f>SMS!P37</f>
        <v>189077</v>
      </c>
      <c r="Q19" s="1760">
        <f t="shared" ref="Q19:Q20" si="74">+M19+O19</f>
        <v>690227.50092809298</v>
      </c>
      <c r="R19" s="1761">
        <f t="shared" ref="R19:R20" si="75">+N19+P19</f>
        <v>696272.54</v>
      </c>
      <c r="S19" s="1758">
        <f>SMS!S29</f>
        <v>171341.75966274799</v>
      </c>
      <c r="T19" s="1935">
        <f>SMS!T37</f>
        <v>179543</v>
      </c>
      <c r="U19" s="1760">
        <f t="shared" ref="U19:U20" si="76">+Q19+S19</f>
        <v>861569.26059084095</v>
      </c>
      <c r="V19" s="1761">
        <f t="shared" si="70"/>
        <v>875815.54</v>
      </c>
      <c r="W19" s="1758">
        <f>SMS!W29</f>
        <v>90564.479358981</v>
      </c>
      <c r="X19" s="1935">
        <f>SMS!X37</f>
        <v>172339.6</v>
      </c>
      <c r="Y19" s="774">
        <f t="shared" ref="Y19:Y20" si="77">+O19+S19+W19</f>
        <v>433247.998684477</v>
      </c>
      <c r="Z19" s="774">
        <f t="shared" ref="Z19:Z20" si="78">+P19+T19+X19</f>
        <v>540959.6</v>
      </c>
      <c r="AA19" s="460">
        <f t="shared" ref="AA19:AA20" si="79">+M19+Y19</f>
        <v>952133.73994982196</v>
      </c>
      <c r="AB19" s="460">
        <f t="shared" ref="AB19:AB20" si="80">+N19+Z19</f>
        <v>1048155.1399999999</v>
      </c>
      <c r="AC19" s="1758">
        <f>SMS!AC29</f>
        <v>173952.38</v>
      </c>
      <c r="AD19" s="1935">
        <f>SMS!AD37</f>
        <v>135241</v>
      </c>
      <c r="AE19" s="1760">
        <f t="shared" ref="AE19:AE20" si="81">+AA19+AC19</f>
        <v>1126086.1199498218</v>
      </c>
      <c r="AF19" s="1761">
        <f t="shared" si="71"/>
        <v>1183396.1399999999</v>
      </c>
      <c r="AG19" s="1758">
        <f>SMS!AG29</f>
        <v>168508.89847294599</v>
      </c>
      <c r="AH19" s="1935">
        <f>SMS!AH37</f>
        <v>178010.44</v>
      </c>
      <c r="AI19" s="1760">
        <f>SMS!AI29</f>
        <v>1294595.0184227678</v>
      </c>
      <c r="AJ19" s="1761">
        <f>SMS!AJ37</f>
        <v>1361406.5799999998</v>
      </c>
      <c r="AK19" s="1758">
        <f>SMS!AK29</f>
        <v>173424.67255164299</v>
      </c>
      <c r="AL19" s="1935">
        <f>SMS!AL37</f>
        <v>168781</v>
      </c>
      <c r="AM19" s="774">
        <f>SMS!AM29</f>
        <v>515885.95102458901</v>
      </c>
      <c r="AN19" s="774">
        <f>SMS!AN37</f>
        <v>482032.44</v>
      </c>
      <c r="AO19" s="60">
        <f>SMS!AO29</f>
        <v>1468019.6909744106</v>
      </c>
      <c r="AP19" s="60">
        <f>SMS!AP37</f>
        <v>1530187.5799999998</v>
      </c>
      <c r="AQ19" s="1758">
        <f>SMS!AQ29</f>
        <v>176674.11631922389</v>
      </c>
      <c r="AR19" s="1935">
        <f>SMS!AR37</f>
        <v>164934.28000000003</v>
      </c>
      <c r="AS19" s="1760">
        <f t="shared" ref="AS19:AS20" si="82">+AO19+AQ19</f>
        <v>1644693.8072936344</v>
      </c>
      <c r="AT19" s="1761">
        <f t="shared" si="73"/>
        <v>1695121.8599999999</v>
      </c>
      <c r="AU19" s="1758">
        <f>SMS!AU29</f>
        <v>157621.94134457508</v>
      </c>
      <c r="AV19" s="1935">
        <f>SMS!AV37</f>
        <v>135607.79</v>
      </c>
      <c r="AW19" s="1760">
        <f t="shared" ref="AW19:AW20" si="83">+AS19+AU19</f>
        <v>1802315.7486382094</v>
      </c>
      <c r="AX19" s="1761">
        <f t="shared" ref="AX19:AX20" si="84">+AT19+AV19</f>
        <v>1830729.65</v>
      </c>
      <c r="AY19" s="1758">
        <f>SMS!AY29</f>
        <v>176146.41183373574</v>
      </c>
      <c r="AZ19" s="1935">
        <f>SMS!AZ37</f>
        <v>176644.91</v>
      </c>
      <c r="BA19" s="774">
        <f t="shared" si="64"/>
        <v>510442.46949753468</v>
      </c>
      <c r="BB19" s="774">
        <f t="shared" si="65"/>
        <v>477186.9800000001</v>
      </c>
      <c r="BC19" s="460">
        <f t="shared" si="66"/>
        <v>1026328.4205221237</v>
      </c>
      <c r="BD19" s="460">
        <f t="shared" si="67"/>
        <v>959219.42000000016</v>
      </c>
      <c r="BE19" s="60">
        <f t="shared" ref="BE19:BE20" si="85">AW19+AY19</f>
        <v>1978462.1604719451</v>
      </c>
      <c r="BF19" s="60">
        <f t="shared" ref="BF19:BF20" si="86">AX19+AZ19</f>
        <v>2007374.5599999998</v>
      </c>
      <c r="BG19" s="2706">
        <v>1880445.45</v>
      </c>
      <c r="BH19" s="1721">
        <v>1818588.73</v>
      </c>
      <c r="BI19" s="2706"/>
      <c r="BJ19" s="1721">
        <v>1922629.6</v>
      </c>
      <c r="BK19" s="1721">
        <v>1903696</v>
      </c>
      <c r="BL19" s="2706"/>
      <c r="BM19" s="1721">
        <v>1777963.7499999998</v>
      </c>
      <c r="BN19" s="2706"/>
      <c r="BO19" s="2706"/>
      <c r="BP19" s="2702"/>
      <c r="BQ19" s="1083"/>
      <c r="BR19" s="1202"/>
      <c r="BS19" s="1520"/>
      <c r="BT19" s="1520"/>
      <c r="BU19" s="26"/>
      <c r="BV19" s="26"/>
      <c r="BW19" s="528"/>
      <c r="BX19" s="528"/>
    </row>
    <row r="20" spans="1:76" ht="16.2" thickBot="1" x14ac:dyDescent="0.35">
      <c r="B20" s="2703" t="s">
        <v>1676</v>
      </c>
      <c r="C20" s="1902" t="s">
        <v>50</v>
      </c>
      <c r="D20" s="1903">
        <f>791.55672823219*1000-17</f>
        <v>791539.72823219001</v>
      </c>
      <c r="E20" s="1758">
        <f>SMS!E38</f>
        <v>65435.356200527698</v>
      </c>
      <c r="F20" s="1935">
        <f>SMS!F46</f>
        <v>57758.57</v>
      </c>
      <c r="G20" s="1758">
        <f>SMS!G38</f>
        <v>68601.583113456494</v>
      </c>
      <c r="H20" s="1935">
        <f>SMS!H46</f>
        <v>61438.559999999998</v>
      </c>
      <c r="I20" s="1760">
        <f>+E20+G20</f>
        <v>134036.93931398418</v>
      </c>
      <c r="J20" s="1761">
        <f>SMS!J46</f>
        <v>119197.13</v>
      </c>
      <c r="K20" s="1758">
        <f>SMS!K38</f>
        <v>65963.060686015902</v>
      </c>
      <c r="L20" s="1935">
        <f>SMS!L46</f>
        <v>60718.3</v>
      </c>
      <c r="M20" s="1762">
        <f t="shared" si="47"/>
        <v>200000.00000000009</v>
      </c>
      <c r="N20" s="1762">
        <f t="shared" si="47"/>
        <v>179915.43</v>
      </c>
      <c r="O20" s="1758">
        <f>SMS!O38</f>
        <v>68601.583113456407</v>
      </c>
      <c r="P20" s="1935">
        <f>SMS!P46</f>
        <v>64584.79</v>
      </c>
      <c r="Q20" s="1760">
        <f t="shared" si="74"/>
        <v>268601.58311345649</v>
      </c>
      <c r="R20" s="1761">
        <f t="shared" si="75"/>
        <v>244500.22</v>
      </c>
      <c r="S20" s="1758">
        <f>SMS!S38</f>
        <v>68601.583113456407</v>
      </c>
      <c r="T20" s="1935">
        <f>SMS!T46</f>
        <v>58078.79</v>
      </c>
      <c r="U20" s="1760">
        <f t="shared" si="76"/>
        <v>337203.16622691287</v>
      </c>
      <c r="V20" s="1761">
        <f t="shared" si="70"/>
        <v>302579.01</v>
      </c>
      <c r="W20" s="1758">
        <f>SMS!W38</f>
        <v>35356.200527704597</v>
      </c>
      <c r="X20" s="1935">
        <f>SMS!X46</f>
        <v>54507.000000000007</v>
      </c>
      <c r="Y20" s="774">
        <f t="shared" si="77"/>
        <v>172559.36675461743</v>
      </c>
      <c r="Z20" s="774">
        <f t="shared" si="78"/>
        <v>177170.58000000002</v>
      </c>
      <c r="AA20" s="460">
        <f t="shared" si="79"/>
        <v>372559.36675461754</v>
      </c>
      <c r="AB20" s="460">
        <f t="shared" si="80"/>
        <v>357086.01</v>
      </c>
      <c r="AC20" s="1758">
        <f>SMS!AC38</f>
        <v>70712.399999999994</v>
      </c>
      <c r="AD20" s="1935">
        <f>SMS!AD46</f>
        <v>43960.31</v>
      </c>
      <c r="AE20" s="1760">
        <f t="shared" si="81"/>
        <v>443271.76675461757</v>
      </c>
      <c r="AF20" s="1761">
        <f t="shared" si="71"/>
        <v>401046.32</v>
      </c>
      <c r="AG20" s="1758">
        <f>SMS!AG38</f>
        <v>68601.583113456494</v>
      </c>
      <c r="AH20" s="1935">
        <f>SMS!AH46</f>
        <v>51491.21</v>
      </c>
      <c r="AI20" s="1760">
        <f>SMS!AI38</f>
        <v>511873.34986807406</v>
      </c>
      <c r="AJ20" s="1761">
        <f>SMS!AJ46</f>
        <v>452537.53</v>
      </c>
      <c r="AK20" s="1758">
        <f>SMS!AK38</f>
        <v>71240.105540897101</v>
      </c>
      <c r="AL20" s="1935">
        <f>SMS!AL46</f>
        <v>65584.38</v>
      </c>
      <c r="AM20" s="774">
        <f>SMS!AM38</f>
        <v>210554.0886543536</v>
      </c>
      <c r="AN20" s="774">
        <f>SMS!AN46</f>
        <v>161035.9</v>
      </c>
      <c r="AO20" s="60">
        <f>SMS!AO38</f>
        <v>583113.45540897117</v>
      </c>
      <c r="AP20" s="60">
        <f>SMS!AP46</f>
        <v>518121.91000000003</v>
      </c>
      <c r="AQ20" s="1758">
        <f>SMS!AQ38</f>
        <v>71767.810026385181</v>
      </c>
      <c r="AR20" s="1935">
        <f>SMS!AR46</f>
        <v>63113.100000000006</v>
      </c>
      <c r="AS20" s="1760">
        <f t="shared" si="82"/>
        <v>654881.26543535641</v>
      </c>
      <c r="AT20" s="1761">
        <f t="shared" si="73"/>
        <v>581235.01</v>
      </c>
      <c r="AU20" s="1758">
        <f>SMS!AU38</f>
        <v>64379.947229551442</v>
      </c>
      <c r="AV20" s="1935">
        <f>SMS!AV46</f>
        <v>49408.38</v>
      </c>
      <c r="AW20" s="1760">
        <f t="shared" si="83"/>
        <v>719261.2126649078</v>
      </c>
      <c r="AX20" s="1761">
        <f t="shared" si="84"/>
        <v>630643.39</v>
      </c>
      <c r="AY20" s="1758">
        <f>SMS!AY38</f>
        <v>72295.514511873334</v>
      </c>
      <c r="AZ20" s="1935">
        <f>SMS!AZ46</f>
        <v>64595.039999999994</v>
      </c>
      <c r="BA20" s="774">
        <f t="shared" si="64"/>
        <v>208443.27176780996</v>
      </c>
      <c r="BB20" s="774">
        <f t="shared" si="65"/>
        <v>177116.52000000002</v>
      </c>
      <c r="BC20" s="460">
        <f t="shared" si="66"/>
        <v>418997.36042216356</v>
      </c>
      <c r="BD20" s="460">
        <f t="shared" si="67"/>
        <v>338152.42000000004</v>
      </c>
      <c r="BE20" s="60">
        <f t="shared" si="85"/>
        <v>791556.72717678116</v>
      </c>
      <c r="BF20" s="60">
        <f t="shared" si="86"/>
        <v>695238.43</v>
      </c>
      <c r="BG20" s="2706">
        <v>609083.06980830187</v>
      </c>
      <c r="BH20" s="1721">
        <v>618370.32000000007</v>
      </c>
      <c r="BI20" s="2706"/>
      <c r="BJ20" s="1721">
        <v>606294.79</v>
      </c>
      <c r="BK20" s="1721">
        <v>518629.33</v>
      </c>
      <c r="BL20" s="2706"/>
      <c r="BM20" s="1721">
        <v>449903.88033333333</v>
      </c>
      <c r="BN20" s="2706"/>
      <c r="BO20" s="2706"/>
      <c r="BP20" s="2702"/>
      <c r="BQ20" s="1083"/>
      <c r="BR20" s="1202"/>
      <c r="BS20" s="1520"/>
      <c r="BT20" s="1520"/>
      <c r="BU20" s="26"/>
      <c r="BV20" s="26"/>
      <c r="BW20" s="528"/>
      <c r="BX20" s="528"/>
    </row>
    <row r="21" spans="1:76" ht="16.5" customHeight="1" thickBot="1" x14ac:dyDescent="0.35">
      <c r="B21" s="1928" t="s">
        <v>517</v>
      </c>
      <c r="C21" s="1904" t="s">
        <v>469</v>
      </c>
      <c r="D21" s="1903">
        <f>D53/D1</f>
        <v>54.152138305122264</v>
      </c>
      <c r="E21" s="2460">
        <f t="shared" ref="E21:T21" si="87">+E53/E1</f>
        <v>54.508156686529361</v>
      </c>
      <c r="F21" s="1296">
        <f t="shared" si="87"/>
        <v>49.612499999999997</v>
      </c>
      <c r="G21" s="2460">
        <f t="shared" ref="G21:H21" si="88">+G53/G1</f>
        <v>54.369950687231139</v>
      </c>
      <c r="H21" s="1296">
        <f t="shared" si="88"/>
        <v>50.886713286713288</v>
      </c>
      <c r="I21" s="2460">
        <f t="shared" si="87"/>
        <v>54.437882449598057</v>
      </c>
      <c r="J21" s="1296">
        <f t="shared" si="87"/>
        <v>50.284870848708486</v>
      </c>
      <c r="K21" s="2460">
        <f t="shared" si="87"/>
        <v>54.508156686529261</v>
      </c>
      <c r="L21" s="1296">
        <f t="shared" si="87"/>
        <v>52.547595930600707</v>
      </c>
      <c r="M21" s="2460">
        <f t="shared" si="87"/>
        <v>54.461041004950381</v>
      </c>
      <c r="N21" s="1296">
        <f t="shared" si="87"/>
        <v>51.063335382708765</v>
      </c>
      <c r="O21" s="2460">
        <f t="shared" ref="O21:P21" si="89">+O53/O1</f>
        <v>53.320742839156438</v>
      </c>
      <c r="P21" s="1296">
        <f t="shared" si="89"/>
        <v>51.935483870967744</v>
      </c>
      <c r="Q21" s="2460">
        <f t="shared" si="87"/>
        <v>54.171134691612941</v>
      </c>
      <c r="R21" s="1296">
        <f t="shared" si="87"/>
        <v>51.29428011118744</v>
      </c>
      <c r="S21" s="2460">
        <f t="shared" si="87"/>
        <v>53.320742839156438</v>
      </c>
      <c r="T21" s="1296">
        <f t="shared" si="87"/>
        <v>50.459118769515442</v>
      </c>
      <c r="U21" s="2460">
        <f t="shared" ref="U21:X21" si="90">+U53/U1</f>
        <v>53.998757964763648</v>
      </c>
      <c r="V21" s="1296">
        <f t="shared" si="90"/>
        <v>51.123809811571604</v>
      </c>
      <c r="W21" s="2460">
        <f t="shared" si="90"/>
        <v>49.331711652010291</v>
      </c>
      <c r="X21" s="1296">
        <f t="shared" si="90"/>
        <v>48.797337714309791</v>
      </c>
      <c r="Y21" s="452">
        <f t="shared" ref="Y21:AD21" si="91">+Y53/Y1</f>
        <v>52.439366885097684</v>
      </c>
      <c r="Z21" s="452">
        <f t="shared" si="91"/>
        <v>50.420044531151902</v>
      </c>
      <c r="AA21" s="452">
        <f t="shared" si="91"/>
        <v>53.517482869692472</v>
      </c>
      <c r="AB21" s="452">
        <f t="shared" si="91"/>
        <v>50.733268014271722</v>
      </c>
      <c r="AC21" s="2460">
        <f t="shared" si="91"/>
        <v>54.369951111111114</v>
      </c>
      <c r="AD21" s="1296">
        <f t="shared" si="91"/>
        <v>45.927576601671305</v>
      </c>
      <c r="AE21" s="2460">
        <f t="shared" ref="AE21:AH21" si="92">+AE53/AE1</f>
        <v>53.648620486527129</v>
      </c>
      <c r="AF21" s="1296">
        <f t="shared" si="92"/>
        <v>50.139268860859914</v>
      </c>
      <c r="AG21" s="2460">
        <f t="shared" si="92"/>
        <v>54.508156686529261</v>
      </c>
      <c r="AH21" s="1296">
        <f t="shared" si="92"/>
        <v>50.055827535858455</v>
      </c>
      <c r="AI21" s="2460">
        <f t="shared" ref="AI21:AN21" si="93">+AI53/AI1</f>
        <v>53.759891347876056</v>
      </c>
      <c r="AJ21" s="1296">
        <f>+AJ53/AJ1</f>
        <v>50.128745860665624</v>
      </c>
      <c r="AK21" s="2460">
        <f t="shared" ref="AK21:AL21" si="94">+AK53/AK1</f>
        <v>54.369950687231139</v>
      </c>
      <c r="AL21" s="1296">
        <f t="shared" si="94"/>
        <v>48.993552765524257</v>
      </c>
      <c r="AM21" s="452">
        <f t="shared" si="93"/>
        <v>54.414984245613667</v>
      </c>
      <c r="AN21" s="452">
        <f t="shared" si="93"/>
        <v>48.456398059986981</v>
      </c>
      <c r="AO21" s="2460">
        <f t="shared" ref="AO21:AT21" si="95">+AO53/AO1</f>
        <v>53.831940815940698</v>
      </c>
      <c r="AP21" s="1296">
        <f t="shared" si="95"/>
        <v>49.995485509547876</v>
      </c>
      <c r="AQ21" s="2460">
        <f t="shared" si="95"/>
        <v>55.20931696569091</v>
      </c>
      <c r="AR21" s="1296">
        <f t="shared" si="95"/>
        <v>48.03836054344103</v>
      </c>
      <c r="AS21" s="2460">
        <f t="shared" si="95"/>
        <v>53.977429655602265</v>
      </c>
      <c r="AT21" s="1296">
        <f t="shared" si="95"/>
        <v>49.791583503861681</v>
      </c>
      <c r="AU21" s="2460">
        <f t="shared" ref="AU21:AV21" si="96">+AU53/AU1</f>
        <v>54.815281129413961</v>
      </c>
      <c r="AV21" s="1296">
        <f t="shared" si="96"/>
        <v>42.97176011966819</v>
      </c>
      <c r="AW21" s="2460">
        <f t="shared" ref="AW21:BF21" si="97">+AW53/AW1</f>
        <v>54.050165227717514</v>
      </c>
      <c r="AX21" s="1296">
        <f t="shared" si="97"/>
        <v>49.202947377572968</v>
      </c>
      <c r="AY21" s="2460">
        <f t="shared" si="97"/>
        <v>55.20931696569091</v>
      </c>
      <c r="AZ21" s="1296">
        <f t="shared" si="97"/>
        <v>50.91380908248378</v>
      </c>
      <c r="BA21" s="452">
        <f t="shared" si="97"/>
        <v>55.087029982018748</v>
      </c>
      <c r="BB21" s="452">
        <f t="shared" si="97"/>
        <v>47.429751596339308</v>
      </c>
      <c r="BC21" s="452">
        <f t="shared" si="97"/>
        <v>54.74718867213209</v>
      </c>
      <c r="BD21" s="452">
        <f t="shared" si="97"/>
        <v>47.933486834327496</v>
      </c>
      <c r="BE21" s="2460">
        <f t="shared" si="97"/>
        <v>54.152138342411838</v>
      </c>
      <c r="BF21" s="1296">
        <f t="shared" si="97"/>
        <v>49.349681060350129</v>
      </c>
      <c r="BG21" s="1123">
        <v>51.463117269757682</v>
      </c>
      <c r="BH21" s="1123">
        <v>49.27054583050262</v>
      </c>
      <c r="BI21" s="1123">
        <v>50.337665162307644</v>
      </c>
      <c r="BJ21" s="1123">
        <v>48.13036797026696</v>
      </c>
      <c r="BK21" s="1123">
        <v>45.269662921348313</v>
      </c>
      <c r="BL21" s="1123">
        <v>44.780041074452797</v>
      </c>
      <c r="BM21" s="1123">
        <v>40.065753424657537</v>
      </c>
      <c r="BN21" s="1123">
        <v>41.920045662100456</v>
      </c>
      <c r="BO21" s="1123">
        <v>33.30958904109589</v>
      </c>
      <c r="BP21" s="1123">
        <v>47.014645250053974</v>
      </c>
      <c r="BQ21" s="1954">
        <v>38.66393442622951</v>
      </c>
      <c r="BR21" s="1202"/>
      <c r="BS21" s="1520"/>
      <c r="BT21" s="1520"/>
      <c r="BU21" s="26"/>
      <c r="BV21" s="26"/>
      <c r="BW21" s="528"/>
      <c r="BX21" s="528"/>
    </row>
    <row r="22" spans="1:76" ht="15" customHeight="1" x14ac:dyDescent="0.3">
      <c r="A22" s="146"/>
      <c r="B22" s="1912" t="s">
        <v>236</v>
      </c>
      <c r="C22" s="1520"/>
      <c r="D22" s="2446"/>
      <c r="E22" s="2446"/>
      <c r="F22" s="2446"/>
      <c r="G22" s="2446"/>
      <c r="H22" s="2446"/>
      <c r="I22" s="2446"/>
      <c r="J22" s="2446"/>
      <c r="K22" s="2446"/>
      <c r="L22" s="2446"/>
      <c r="M22" s="2446"/>
      <c r="N22" s="2446"/>
      <c r="O22" s="2446"/>
      <c r="P22" s="2446"/>
      <c r="Q22" s="2446"/>
      <c r="R22" s="2446"/>
      <c r="S22" s="2446"/>
      <c r="T22" s="2446"/>
      <c r="U22" s="2446"/>
      <c r="V22" s="2446"/>
      <c r="W22" s="2446"/>
      <c r="X22" s="2446"/>
      <c r="Y22" s="2446"/>
      <c r="Z22" s="2446"/>
      <c r="AA22" s="2446"/>
      <c r="AB22" s="2446"/>
      <c r="AC22" s="2446"/>
      <c r="AD22" s="2446"/>
      <c r="AE22" s="2446"/>
      <c r="AF22" s="2446"/>
      <c r="AG22" s="2446"/>
      <c r="AH22" s="2446"/>
      <c r="AI22" s="2446"/>
      <c r="AJ22" s="2446"/>
      <c r="AK22" s="2446"/>
      <c r="AL22" s="2446"/>
      <c r="AM22" s="2446"/>
      <c r="AN22" s="2446"/>
      <c r="AO22" s="2446"/>
      <c r="AP22" s="2446"/>
      <c r="AQ22" s="2446"/>
      <c r="AR22" s="2446"/>
      <c r="AS22" s="2446"/>
      <c r="AT22" s="2446"/>
      <c r="AU22" s="2446"/>
      <c r="AV22" s="2446"/>
      <c r="AW22" s="2446"/>
      <c r="AX22" s="2446"/>
      <c r="AY22" s="2446"/>
      <c r="AZ22" s="2446"/>
      <c r="BA22" s="2446"/>
      <c r="BB22" s="2446"/>
      <c r="BC22" s="2446"/>
      <c r="BD22" s="2446"/>
      <c r="BE22" s="2446"/>
      <c r="BF22" s="2446"/>
      <c r="BG22" s="1520"/>
      <c r="BH22" s="1520"/>
      <c r="BI22" s="1520"/>
      <c r="BJ22" s="1520"/>
      <c r="BK22" s="1520"/>
      <c r="BL22" s="1520"/>
      <c r="BM22" s="1520"/>
      <c r="BN22" s="1520"/>
      <c r="BO22" s="1520"/>
      <c r="BP22" s="1520"/>
      <c r="BQ22" s="1956"/>
      <c r="BR22" s="1202"/>
      <c r="BS22" s="1520"/>
      <c r="BT22" s="1520"/>
      <c r="BU22" s="26"/>
      <c r="BV22" s="26"/>
      <c r="BW22" s="528"/>
      <c r="BX22" s="528"/>
    </row>
    <row r="23" spans="1:76" ht="15" customHeight="1" x14ac:dyDescent="0.3">
      <c r="B23" s="1921" t="s">
        <v>20</v>
      </c>
      <c r="C23" s="1892" t="s">
        <v>50</v>
      </c>
      <c r="D23" s="2444">
        <v>12645</v>
      </c>
      <c r="E23" s="152">
        <f>0.81*1000</f>
        <v>810</v>
      </c>
      <c r="F23" s="18">
        <v>3914.4925899999998</v>
      </c>
      <c r="G23" s="152">
        <v>810</v>
      </c>
      <c r="H23" s="18">
        <v>2383.6527900000001</v>
      </c>
      <c r="I23" s="60">
        <f t="shared" ref="I23:J25" si="98">+E23+G23</f>
        <v>1620</v>
      </c>
      <c r="J23" s="38">
        <f t="shared" si="98"/>
        <v>6298.1453799999999</v>
      </c>
      <c r="K23" s="152">
        <f>0.81*1000</f>
        <v>810</v>
      </c>
      <c r="L23" s="18">
        <v>902.97845999999993</v>
      </c>
      <c r="M23" s="71">
        <f t="shared" ref="M23:N25" si="99">+E23+G23+K23</f>
        <v>2430</v>
      </c>
      <c r="N23" s="68">
        <f t="shared" si="99"/>
        <v>7201.1238400000002</v>
      </c>
      <c r="O23" s="152">
        <v>810</v>
      </c>
      <c r="P23" s="18">
        <v>0</v>
      </c>
      <c r="Q23" s="60">
        <f t="shared" ref="Q23:R25" si="100">+M23+O23</f>
        <v>3240</v>
      </c>
      <c r="R23" s="38">
        <f t="shared" si="100"/>
        <v>7201.1238400000002</v>
      </c>
      <c r="S23" s="152">
        <f>0.81*1000</f>
        <v>810</v>
      </c>
      <c r="T23" s="18">
        <v>144.06922</v>
      </c>
      <c r="U23" s="60">
        <f t="shared" ref="U23:U25" si="101">+Q23+S23</f>
        <v>4050</v>
      </c>
      <c r="V23" s="38">
        <f t="shared" ref="V23:V25" si="102">+R23+T23</f>
        <v>7345.1930600000005</v>
      </c>
      <c r="W23" s="152">
        <f>5360-1625</f>
        <v>3735</v>
      </c>
      <c r="X23" s="18">
        <v>256.58677999999998</v>
      </c>
      <c r="Y23" s="774">
        <f t="shared" ref="Y23:Z25" si="103">+O23+S23+W23</f>
        <v>5355</v>
      </c>
      <c r="Z23" s="774">
        <f t="shared" si="103"/>
        <v>400.65599999999995</v>
      </c>
      <c r="AA23" s="460">
        <f t="shared" ref="AA23:AB25" si="104">+M23+Y23</f>
        <v>7785</v>
      </c>
      <c r="AB23" s="460">
        <f t="shared" si="104"/>
        <v>7601.7798400000001</v>
      </c>
      <c r="AC23" s="152">
        <v>810</v>
      </c>
      <c r="AD23" s="18">
        <v>3014.2686399999998</v>
      </c>
      <c r="AE23" s="60">
        <f t="shared" ref="AE23:AE25" si="105">+AA23+AC23</f>
        <v>8595</v>
      </c>
      <c r="AF23" s="38">
        <f t="shared" ref="AF23:AF25" si="106">+AB23+AD23</f>
        <v>10616.048479999999</v>
      </c>
      <c r="AG23" s="152">
        <v>810</v>
      </c>
      <c r="AH23" s="18">
        <v>135.13793000000001</v>
      </c>
      <c r="AI23" s="60">
        <f t="shared" ref="AI23:AI25" si="107">+AE23+AG23</f>
        <v>9405</v>
      </c>
      <c r="AJ23" s="38">
        <f t="shared" ref="AJ23:AJ24" si="108">+AF23+AH23</f>
        <v>10751.18641</v>
      </c>
      <c r="AK23" s="152">
        <v>810</v>
      </c>
      <c r="AL23" s="18">
        <v>35.725159999999995</v>
      </c>
      <c r="AM23" s="774">
        <f t="shared" ref="AM23:AM25" si="109">+AC23+AG23+AK23</f>
        <v>2430</v>
      </c>
      <c r="AN23" s="774">
        <f t="shared" ref="AN23:AN24" si="110">+AD23+AH23+AL23</f>
        <v>3185.1317299999996</v>
      </c>
      <c r="AO23" s="60">
        <f>AI23+AK23</f>
        <v>10215</v>
      </c>
      <c r="AP23" s="60">
        <f>AJ23+AL23</f>
        <v>10786.91157</v>
      </c>
      <c r="AQ23" s="152">
        <v>810</v>
      </c>
      <c r="AR23" s="18">
        <v>662.91874000000007</v>
      </c>
      <c r="AS23" s="60">
        <f t="shared" ref="AS23:AS25" si="111">+AO23+AQ23</f>
        <v>11025</v>
      </c>
      <c r="AT23" s="38">
        <f t="shared" ref="AT23:AT25" si="112">+AP23+AR23</f>
        <v>11449.830310000001</v>
      </c>
      <c r="AU23" s="152">
        <v>810</v>
      </c>
      <c r="AV23" s="18">
        <v>0</v>
      </c>
      <c r="AW23" s="60">
        <f t="shared" ref="AW23:AW25" si="113">+AS23+AU23</f>
        <v>11835</v>
      </c>
      <c r="AX23" s="38">
        <f t="shared" ref="AX23:AX25" si="114">+AT23+AV23</f>
        <v>11449.830310000001</v>
      </c>
      <c r="AY23" s="152">
        <v>810</v>
      </c>
      <c r="AZ23" s="18">
        <v>80.298139999999989</v>
      </c>
      <c r="BA23" s="774">
        <f t="shared" ref="BA23:BA25" si="115">+AQ23+AU23+AY23</f>
        <v>2430</v>
      </c>
      <c r="BB23" s="774">
        <f t="shared" ref="BB23:BB25" si="116">+AR23+AV23+AZ23</f>
        <v>743.21688000000006</v>
      </c>
      <c r="BC23" s="460">
        <f t="shared" ref="BC23:BC25" si="117">AM23+BA23</f>
        <v>4860</v>
      </c>
      <c r="BD23" s="460">
        <f t="shared" ref="BD23:BD25" si="118">AN23+BB23</f>
        <v>3928.3486099999996</v>
      </c>
      <c r="BE23" s="60">
        <f>AW23+AY23</f>
        <v>12645</v>
      </c>
      <c r="BF23" s="60">
        <f>AX23+AZ23</f>
        <v>11530.128450000002</v>
      </c>
      <c r="BG23" s="1721">
        <v>7740</v>
      </c>
      <c r="BH23" s="1721">
        <v>12917.885679999999</v>
      </c>
      <c r="BI23" s="1721">
        <v>19561.099796333998</v>
      </c>
      <c r="BJ23" s="1721">
        <v>7548.2755700000007</v>
      </c>
      <c r="BK23" s="1721">
        <v>9129.3344199999992</v>
      </c>
      <c r="BL23" s="1721">
        <v>19735.515274949088</v>
      </c>
      <c r="BM23" s="1721">
        <v>22361.07245</v>
      </c>
      <c r="BN23" s="1721">
        <v>20755.018447889259</v>
      </c>
      <c r="BO23" s="1721">
        <v>58220.700000000004</v>
      </c>
      <c r="BP23" s="1721">
        <v>29957.855711422799</v>
      </c>
      <c r="BQ23" s="1083">
        <v>134629.17781999998</v>
      </c>
      <c r="BR23" s="1202"/>
      <c r="BS23" s="1520"/>
      <c r="BT23" s="1520"/>
      <c r="BU23" s="26"/>
      <c r="BV23" s="26"/>
      <c r="BW23" s="528"/>
      <c r="BX23" s="528"/>
    </row>
    <row r="24" spans="1:76" ht="15" customHeight="1" x14ac:dyDescent="0.3">
      <c r="B24" s="1921" t="s">
        <v>113</v>
      </c>
      <c r="C24" s="1892" t="s">
        <v>50</v>
      </c>
      <c r="D24" s="2444">
        <v>0</v>
      </c>
      <c r="E24" s="152">
        <v>0</v>
      </c>
      <c r="F24" s="18">
        <v>552.63424799999996</v>
      </c>
      <c r="G24" s="152">
        <v>0</v>
      </c>
      <c r="H24" s="18">
        <v>336.51568800000001</v>
      </c>
      <c r="I24" s="60">
        <f t="shared" si="98"/>
        <v>0</v>
      </c>
      <c r="J24" s="38">
        <f t="shared" si="98"/>
        <v>889.14993600000003</v>
      </c>
      <c r="K24" s="152">
        <v>0</v>
      </c>
      <c r="L24" s="18">
        <v>127.47931200000001</v>
      </c>
      <c r="M24" s="71">
        <f t="shared" si="99"/>
        <v>0</v>
      </c>
      <c r="N24" s="68">
        <f t="shared" si="99"/>
        <v>1016.6292480000001</v>
      </c>
      <c r="O24" s="152">
        <v>0</v>
      </c>
      <c r="P24" s="18">
        <v>0</v>
      </c>
      <c r="Q24" s="60">
        <f t="shared" si="100"/>
        <v>0</v>
      </c>
      <c r="R24" s="38">
        <f t="shared" si="100"/>
        <v>1016.6292480000001</v>
      </c>
      <c r="S24" s="152">
        <v>0</v>
      </c>
      <c r="T24" s="18">
        <v>20.339184000000003</v>
      </c>
      <c r="U24" s="60">
        <f t="shared" si="101"/>
        <v>0</v>
      </c>
      <c r="V24" s="38">
        <f t="shared" si="102"/>
        <v>1036.9684320000001</v>
      </c>
      <c r="W24" s="152">
        <v>0</v>
      </c>
      <c r="X24" s="18">
        <v>36.224015999999999</v>
      </c>
      <c r="Y24" s="774">
        <f t="shared" si="103"/>
        <v>0</v>
      </c>
      <c r="Z24" s="774">
        <f t="shared" si="103"/>
        <v>56.563200000000002</v>
      </c>
      <c r="AA24" s="460">
        <f t="shared" si="104"/>
        <v>0</v>
      </c>
      <c r="AB24" s="460">
        <f t="shared" si="104"/>
        <v>1073.192448</v>
      </c>
      <c r="AC24" s="152">
        <v>0</v>
      </c>
      <c r="AD24" s="18">
        <v>426</v>
      </c>
      <c r="AE24" s="60">
        <f t="shared" si="105"/>
        <v>0</v>
      </c>
      <c r="AF24" s="38">
        <f t="shared" si="106"/>
        <v>1499.192448</v>
      </c>
      <c r="AG24" s="152">
        <v>0</v>
      </c>
      <c r="AH24" s="18">
        <v>19.078296000000002</v>
      </c>
      <c r="AI24" s="60">
        <f t="shared" si="107"/>
        <v>0</v>
      </c>
      <c r="AJ24" s="38">
        <f t="shared" si="108"/>
        <v>1518.2707439999999</v>
      </c>
      <c r="AK24" s="152">
        <v>0</v>
      </c>
      <c r="AL24" s="18">
        <v>5</v>
      </c>
      <c r="AM24" s="774">
        <f t="shared" si="109"/>
        <v>0</v>
      </c>
      <c r="AN24" s="774">
        <f t="shared" si="110"/>
        <v>450.07829600000002</v>
      </c>
      <c r="AO24" s="60">
        <f t="shared" ref="AO24:AP27" si="119">AI24+AK24</f>
        <v>0</v>
      </c>
      <c r="AP24" s="60">
        <f t="shared" ref="AP24:AP25" si="120">AJ24+AL24</f>
        <v>1523.2707439999999</v>
      </c>
      <c r="AQ24" s="152">
        <v>0</v>
      </c>
      <c r="AR24" s="18">
        <v>93.588527999999997</v>
      </c>
      <c r="AS24" s="60">
        <f t="shared" si="111"/>
        <v>0</v>
      </c>
      <c r="AT24" s="38">
        <f t="shared" si="112"/>
        <v>1616.8592719999999</v>
      </c>
      <c r="AU24" s="152">
        <v>0</v>
      </c>
      <c r="AV24" s="18">
        <v>0</v>
      </c>
      <c r="AW24" s="60">
        <f t="shared" si="113"/>
        <v>0</v>
      </c>
      <c r="AX24" s="38">
        <f t="shared" si="114"/>
        <v>1616.8592719999999</v>
      </c>
      <c r="AY24" s="152">
        <v>0</v>
      </c>
      <c r="AZ24" s="18">
        <v>11.336208000000001</v>
      </c>
      <c r="BA24" s="774">
        <f t="shared" si="115"/>
        <v>0</v>
      </c>
      <c r="BB24" s="774">
        <f t="shared" si="116"/>
        <v>104.924736</v>
      </c>
      <c r="BC24" s="460">
        <f t="shared" si="117"/>
        <v>0</v>
      </c>
      <c r="BD24" s="460">
        <f t="shared" si="118"/>
        <v>555.00303200000008</v>
      </c>
      <c r="BE24" s="60">
        <f t="shared" ref="BE24:BE25" si="121">AW24+AY24</f>
        <v>0</v>
      </c>
      <c r="BF24" s="60">
        <f t="shared" ref="BF24:BF25" si="122">AX24+AZ24</f>
        <v>1628.1954799999999</v>
      </c>
      <c r="BG24" s="1721">
        <v>0</v>
      </c>
      <c r="BH24" s="1721">
        <v>1823.765584</v>
      </c>
      <c r="BI24" s="1721">
        <v>0</v>
      </c>
      <c r="BJ24" s="1721">
        <v>1026.6220800000001</v>
      </c>
      <c r="BK24" s="1721">
        <v>2541.6495199999999</v>
      </c>
      <c r="BL24" s="1721">
        <v>0</v>
      </c>
      <c r="BM24" s="1721">
        <v>2774.7649000000001</v>
      </c>
      <c r="BN24" s="1721">
        <v>392</v>
      </c>
      <c r="BO24" s="1721">
        <v>3852.3</v>
      </c>
      <c r="BP24" s="1721">
        <v>1419.0563231726583</v>
      </c>
      <c r="BQ24" s="1083">
        <v>8272.9782799999994</v>
      </c>
      <c r="BR24" s="1202"/>
      <c r="BS24" s="1520"/>
      <c r="BT24" s="1520"/>
      <c r="BU24" s="26"/>
      <c r="BV24" s="26"/>
      <c r="BW24" s="528"/>
      <c r="BX24" s="528"/>
    </row>
    <row r="25" spans="1:76" ht="20.25" customHeight="1" x14ac:dyDescent="0.3">
      <c r="B25" s="1929" t="s">
        <v>1678</v>
      </c>
      <c r="C25" s="1892" t="s">
        <v>50</v>
      </c>
      <c r="D25" s="2444">
        <f>2500*0.65</f>
        <v>1625</v>
      </c>
      <c r="E25" s="1316">
        <v>0</v>
      </c>
      <c r="F25" s="18">
        <v>194.6</v>
      </c>
      <c r="G25" s="1316">
        <v>0</v>
      </c>
      <c r="H25" s="18">
        <v>230</v>
      </c>
      <c r="I25" s="60">
        <f t="shared" si="98"/>
        <v>0</v>
      </c>
      <c r="J25" s="38">
        <f t="shared" si="98"/>
        <v>424.6</v>
      </c>
      <c r="K25" s="1316">
        <v>0</v>
      </c>
      <c r="L25" s="18">
        <v>0</v>
      </c>
      <c r="M25" s="71">
        <f t="shared" si="99"/>
        <v>0</v>
      </c>
      <c r="N25" s="68">
        <f t="shared" si="99"/>
        <v>424.6</v>
      </c>
      <c r="O25" s="1316">
        <v>0</v>
      </c>
      <c r="P25" s="18">
        <v>0</v>
      </c>
      <c r="Q25" s="60">
        <f t="shared" si="100"/>
        <v>0</v>
      </c>
      <c r="R25" s="38">
        <f t="shared" si="100"/>
        <v>424.6</v>
      </c>
      <c r="S25" s="1316">
        <v>0</v>
      </c>
      <c r="T25" s="18">
        <v>0</v>
      </c>
      <c r="U25" s="60">
        <f t="shared" si="101"/>
        <v>0</v>
      </c>
      <c r="V25" s="38">
        <f t="shared" si="102"/>
        <v>424.6</v>
      </c>
      <c r="W25" s="1316">
        <f>2500*0.65</f>
        <v>1625</v>
      </c>
      <c r="X25" s="18">
        <v>0</v>
      </c>
      <c r="Y25" s="774">
        <f t="shared" si="103"/>
        <v>1625</v>
      </c>
      <c r="Z25" s="774">
        <f t="shared" si="103"/>
        <v>0</v>
      </c>
      <c r="AA25" s="460">
        <f t="shared" si="104"/>
        <v>1625</v>
      </c>
      <c r="AB25" s="460">
        <f t="shared" si="104"/>
        <v>424.6</v>
      </c>
      <c r="AC25" s="1316">
        <v>0</v>
      </c>
      <c r="AD25" s="18">
        <v>5603</v>
      </c>
      <c r="AE25" s="60">
        <f t="shared" si="105"/>
        <v>1625</v>
      </c>
      <c r="AF25" s="38">
        <f t="shared" si="106"/>
        <v>6027.6</v>
      </c>
      <c r="AG25" s="1316">
        <v>0</v>
      </c>
      <c r="AH25" s="18">
        <v>0</v>
      </c>
      <c r="AI25" s="60">
        <f t="shared" si="107"/>
        <v>1625</v>
      </c>
      <c r="AJ25" s="38">
        <f>+AF25+AH25</f>
        <v>6027.6</v>
      </c>
      <c r="AK25" s="1316">
        <v>0</v>
      </c>
      <c r="AL25" s="18">
        <v>0</v>
      </c>
      <c r="AM25" s="774">
        <f t="shared" si="109"/>
        <v>0</v>
      </c>
      <c r="AN25" s="774">
        <f>+AD25+AH25+AL25</f>
        <v>5603</v>
      </c>
      <c r="AO25" s="60">
        <f t="shared" si="119"/>
        <v>1625</v>
      </c>
      <c r="AP25" s="60">
        <f t="shared" si="120"/>
        <v>6027.6</v>
      </c>
      <c r="AQ25" s="1316">
        <v>0</v>
      </c>
      <c r="AR25" s="18">
        <v>800.6</v>
      </c>
      <c r="AS25" s="60">
        <f t="shared" si="111"/>
        <v>1625</v>
      </c>
      <c r="AT25" s="38">
        <f t="shared" si="112"/>
        <v>6828.2000000000007</v>
      </c>
      <c r="AU25" s="1316">
        <v>0</v>
      </c>
      <c r="AV25" s="18">
        <v>920</v>
      </c>
      <c r="AW25" s="60">
        <f t="shared" si="113"/>
        <v>1625</v>
      </c>
      <c r="AX25" s="38">
        <f t="shared" si="114"/>
        <v>7748.2000000000007</v>
      </c>
      <c r="AY25" s="1316">
        <v>0</v>
      </c>
      <c r="AZ25" s="18">
        <v>310</v>
      </c>
      <c r="BA25" s="774">
        <f t="shared" si="115"/>
        <v>0</v>
      </c>
      <c r="BB25" s="774">
        <f t="shared" si="116"/>
        <v>2030.6</v>
      </c>
      <c r="BC25" s="460">
        <f t="shared" si="117"/>
        <v>0</v>
      </c>
      <c r="BD25" s="460">
        <f t="shared" si="118"/>
        <v>7633.6</v>
      </c>
      <c r="BE25" s="60">
        <f t="shared" si="121"/>
        <v>1625</v>
      </c>
      <c r="BF25" s="60">
        <f t="shared" si="122"/>
        <v>8058.2000000000007</v>
      </c>
      <c r="BG25" s="1721">
        <v>1625</v>
      </c>
      <c r="BH25" s="1721">
        <v>11114.8</v>
      </c>
      <c r="BI25" s="1721">
        <v>2000</v>
      </c>
      <c r="BJ25" s="1721">
        <v>5022</v>
      </c>
      <c r="BK25" s="1721">
        <v>4664.8</v>
      </c>
      <c r="BL25" s="1721">
        <v>14800</v>
      </c>
      <c r="BM25" s="1721">
        <v>9214.4</v>
      </c>
      <c r="BN25" s="1721">
        <v>0</v>
      </c>
      <c r="BO25" s="1721">
        <v>0</v>
      </c>
      <c r="BP25" s="1721">
        <v>0</v>
      </c>
      <c r="BQ25" s="1083">
        <v>26220.800000000003</v>
      </c>
      <c r="BR25" s="1202"/>
      <c r="BS25" s="1520"/>
      <c r="BT25" s="1520"/>
      <c r="BU25" s="26"/>
      <c r="BV25" s="26"/>
      <c r="BW25" s="528"/>
      <c r="BX25" s="528"/>
    </row>
    <row r="26" spans="1:76" ht="15" customHeight="1" thickBot="1" x14ac:dyDescent="0.35">
      <c r="B26" s="1930" t="s">
        <v>711</v>
      </c>
      <c r="C26" s="1905" t="s">
        <v>50</v>
      </c>
      <c r="D26" s="2461">
        <f t="shared" ref="D26:R26" si="123">SUM(D23:D25)</f>
        <v>14270</v>
      </c>
      <c r="E26" s="1697">
        <f t="shared" si="123"/>
        <v>810</v>
      </c>
      <c r="F26" s="2462">
        <f t="shared" si="123"/>
        <v>4661.7268380000005</v>
      </c>
      <c r="G26" s="1697">
        <f t="shared" ref="G26" si="124">SUM(G23:G25)</f>
        <v>810</v>
      </c>
      <c r="H26" s="2462">
        <f t="shared" ref="H26" si="125">SUM(H23:H25)</f>
        <v>2950.1684780000001</v>
      </c>
      <c r="I26" s="1940">
        <f t="shared" si="123"/>
        <v>1620</v>
      </c>
      <c r="J26" s="1907">
        <f t="shared" si="123"/>
        <v>7611.8953160000001</v>
      </c>
      <c r="K26" s="1697">
        <f t="shared" ref="K26:L26" si="126">SUM(K23:K25)</f>
        <v>810</v>
      </c>
      <c r="L26" s="2462">
        <f t="shared" si="126"/>
        <v>1030.457772</v>
      </c>
      <c r="M26" s="1948">
        <f t="shared" si="123"/>
        <v>2430</v>
      </c>
      <c r="N26" s="1949">
        <f t="shared" si="123"/>
        <v>8642.3530879999998</v>
      </c>
      <c r="O26" s="1697">
        <f t="shared" ref="O26:P26" si="127">SUM(O23:O25)</f>
        <v>810</v>
      </c>
      <c r="P26" s="2462">
        <f t="shared" si="127"/>
        <v>0</v>
      </c>
      <c r="Q26" s="1940">
        <f t="shared" si="123"/>
        <v>3240</v>
      </c>
      <c r="R26" s="1907">
        <f t="shared" si="123"/>
        <v>8642.3530879999998</v>
      </c>
      <c r="S26" s="1697">
        <f t="shared" ref="S26:T26" si="128">SUM(S23:S25)</f>
        <v>810</v>
      </c>
      <c r="T26" s="2462">
        <f t="shared" si="128"/>
        <v>164.40840400000002</v>
      </c>
      <c r="U26" s="1940">
        <f t="shared" ref="U26:X26" si="129">SUM(U23:U25)</f>
        <v>4050</v>
      </c>
      <c r="V26" s="1907">
        <f t="shared" si="129"/>
        <v>8806.7614920000015</v>
      </c>
      <c r="W26" s="1697">
        <f t="shared" si="129"/>
        <v>5360</v>
      </c>
      <c r="X26" s="2462">
        <f t="shared" si="129"/>
        <v>292.81079599999998</v>
      </c>
      <c r="Y26" s="373">
        <f t="shared" ref="Y26:Z26" si="130">SUM(Y23:Y25)</f>
        <v>6980</v>
      </c>
      <c r="Z26" s="373">
        <f t="shared" si="130"/>
        <v>457.21919999999994</v>
      </c>
      <c r="AA26" s="539">
        <f t="shared" ref="AA26:AD26" si="131">SUM(AA23:AA25)</f>
        <v>9410</v>
      </c>
      <c r="AB26" s="539">
        <f t="shared" si="131"/>
        <v>9099.5722880000012</v>
      </c>
      <c r="AC26" s="1697">
        <f t="shared" si="131"/>
        <v>810</v>
      </c>
      <c r="AD26" s="2462">
        <f t="shared" si="131"/>
        <v>9043.2686400000002</v>
      </c>
      <c r="AE26" s="1940">
        <f t="shared" ref="AE26:AH26" si="132">SUM(AE23:AE25)</f>
        <v>10220</v>
      </c>
      <c r="AF26" s="1907">
        <f t="shared" si="132"/>
        <v>18142.840927999998</v>
      </c>
      <c r="AG26" s="1697">
        <f t="shared" si="132"/>
        <v>810</v>
      </c>
      <c r="AH26" s="2462">
        <f t="shared" si="132"/>
        <v>154.21622600000001</v>
      </c>
      <c r="AI26" s="1940">
        <f t="shared" ref="AI26:AL26" si="133">SUM(AI23:AI25)</f>
        <v>11030</v>
      </c>
      <c r="AJ26" s="1907">
        <f t="shared" si="133"/>
        <v>18297.057154000002</v>
      </c>
      <c r="AK26" s="1697">
        <f t="shared" si="133"/>
        <v>810</v>
      </c>
      <c r="AL26" s="2462">
        <f t="shared" si="133"/>
        <v>40.725159999999995</v>
      </c>
      <c r="AM26" s="373">
        <f t="shared" ref="AM26:AR26" si="134">SUM(AM23:AM25)</f>
        <v>2430</v>
      </c>
      <c r="AN26" s="373">
        <f t="shared" si="134"/>
        <v>9238.2100260000007</v>
      </c>
      <c r="AO26" s="1940">
        <f t="shared" si="134"/>
        <v>11840</v>
      </c>
      <c r="AP26" s="1907">
        <f t="shared" si="134"/>
        <v>18337.782314</v>
      </c>
      <c r="AQ26" s="1697">
        <f t="shared" si="134"/>
        <v>810</v>
      </c>
      <c r="AR26" s="2462">
        <f t="shared" si="134"/>
        <v>1557.1072680000002</v>
      </c>
      <c r="AS26" s="1940">
        <f t="shared" ref="AS26:AV26" si="135">SUM(AS23:AS25)</f>
        <v>12650</v>
      </c>
      <c r="AT26" s="1907">
        <f t="shared" si="135"/>
        <v>19894.889582000003</v>
      </c>
      <c r="AU26" s="1697">
        <f t="shared" si="135"/>
        <v>810</v>
      </c>
      <c r="AV26" s="2462">
        <f t="shared" si="135"/>
        <v>920</v>
      </c>
      <c r="AW26" s="1940">
        <f t="shared" ref="AW26:AZ26" si="136">SUM(AW23:AW25)</f>
        <v>13460</v>
      </c>
      <c r="AX26" s="1907">
        <f t="shared" si="136"/>
        <v>20814.889582000003</v>
      </c>
      <c r="AY26" s="1697">
        <f t="shared" si="136"/>
        <v>810</v>
      </c>
      <c r="AZ26" s="2462">
        <f t="shared" si="136"/>
        <v>401.63434799999999</v>
      </c>
      <c r="BA26" s="373">
        <f t="shared" ref="BA26:BF26" si="137">SUM(BA23:BA25)</f>
        <v>2430</v>
      </c>
      <c r="BB26" s="373">
        <f t="shared" si="137"/>
        <v>2878.7416160000002</v>
      </c>
      <c r="BC26" s="539">
        <f t="shared" si="137"/>
        <v>4860</v>
      </c>
      <c r="BD26" s="539">
        <f t="shared" si="137"/>
        <v>12116.951642</v>
      </c>
      <c r="BE26" s="1940">
        <f t="shared" si="137"/>
        <v>14270</v>
      </c>
      <c r="BF26" s="1907">
        <f t="shared" si="137"/>
        <v>21216.523930000003</v>
      </c>
      <c r="BG26" s="1124">
        <v>9365</v>
      </c>
      <c r="BH26" s="1124">
        <v>25856.451263999999</v>
      </c>
      <c r="BI26" s="1124">
        <v>21561.099796333998</v>
      </c>
      <c r="BJ26" s="1124">
        <v>13596.897650000001</v>
      </c>
      <c r="BK26" s="1124">
        <v>16335.783939999998</v>
      </c>
      <c r="BL26" s="1124">
        <v>34535.515274949088</v>
      </c>
      <c r="BM26" s="1124">
        <v>34350.237350000003</v>
      </c>
      <c r="BN26" s="1124">
        <v>21147.018447889259</v>
      </c>
      <c r="BO26" s="1124">
        <v>62073.000000000007</v>
      </c>
      <c r="BP26" s="1124">
        <v>31376.912034595443</v>
      </c>
      <c r="BQ26" s="1957">
        <v>169122.95610000001</v>
      </c>
      <c r="BR26" s="1202"/>
      <c r="BS26" s="1520"/>
      <c r="BT26" s="1520"/>
      <c r="BU26" s="26"/>
      <c r="BV26" s="26"/>
      <c r="BW26" s="528"/>
      <c r="BX26" s="528"/>
    </row>
    <row r="27" spans="1:76" ht="15" customHeight="1" thickBot="1" x14ac:dyDescent="0.35">
      <c r="B27" s="1931" t="s">
        <v>707</v>
      </c>
      <c r="C27" s="1902" t="s">
        <v>50</v>
      </c>
      <c r="D27" s="4712">
        <v>3541.35</v>
      </c>
      <c r="E27" s="519">
        <v>273.99599999999998</v>
      </c>
      <c r="F27" s="1937">
        <v>374.5</v>
      </c>
      <c r="G27" s="519">
        <v>279.98</v>
      </c>
      <c r="H27" s="1937">
        <v>603.86199999999997</v>
      </c>
      <c r="I27" s="1760">
        <f>+E27+G27</f>
        <v>553.976</v>
      </c>
      <c r="J27" s="1761">
        <f>+F27+H27</f>
        <v>978.36199999999997</v>
      </c>
      <c r="K27" s="519">
        <v>273.99599999999998</v>
      </c>
      <c r="L27" s="1937">
        <v>0</v>
      </c>
      <c r="M27" s="1762">
        <f>+E27+G27+K27</f>
        <v>827.97199999999998</v>
      </c>
      <c r="N27" s="1947">
        <f>+F27+H27+L27</f>
        <v>978.36199999999997</v>
      </c>
      <c r="O27" s="519">
        <v>276.24</v>
      </c>
      <c r="P27" s="1937">
        <v>0</v>
      </c>
      <c r="Q27" s="1760">
        <f>+M27+O27</f>
        <v>1104.212</v>
      </c>
      <c r="R27" s="1761">
        <f>+N27+P27</f>
        <v>978.36199999999997</v>
      </c>
      <c r="S27" s="519">
        <v>276.24</v>
      </c>
      <c r="T27" s="1937">
        <v>0</v>
      </c>
      <c r="U27" s="1760">
        <f>+Q27+S27</f>
        <v>1380.452</v>
      </c>
      <c r="V27" s="1761">
        <f>+R27+T27</f>
        <v>978.36199999999997</v>
      </c>
      <c r="W27" s="519">
        <v>498.97</v>
      </c>
      <c r="X27" s="1937">
        <v>0</v>
      </c>
      <c r="Y27" s="774">
        <f>+O27+S27+W27</f>
        <v>1051.45</v>
      </c>
      <c r="Z27" s="774">
        <f>+P27+T27+X27</f>
        <v>0</v>
      </c>
      <c r="AA27" s="460">
        <f>+M27+Y27</f>
        <v>1879.422</v>
      </c>
      <c r="AB27" s="460">
        <f>+N27+Z27</f>
        <v>978.36199999999997</v>
      </c>
      <c r="AC27" s="519">
        <v>279.98</v>
      </c>
      <c r="AD27" s="1937">
        <v>549.08699999999999</v>
      </c>
      <c r="AE27" s="1760">
        <f>+AA27+AC27</f>
        <v>2159.402</v>
      </c>
      <c r="AF27" s="1761">
        <f>+AB27+AD27</f>
        <v>1527.4490000000001</v>
      </c>
      <c r="AG27" s="519">
        <v>273.99599999999998</v>
      </c>
      <c r="AH27" s="1937">
        <v>833.46900000000005</v>
      </c>
      <c r="AI27" s="1760">
        <f>+AE27+AG27</f>
        <v>2433.3980000000001</v>
      </c>
      <c r="AJ27" s="1761">
        <f>+AF27+AH27</f>
        <v>2360.9180000000001</v>
      </c>
      <c r="AK27" s="519">
        <v>279.98</v>
      </c>
      <c r="AL27" s="1937">
        <v>1510.7470000000001</v>
      </c>
      <c r="AM27" s="774">
        <f>+AC27+AG27+AK27</f>
        <v>833.95600000000002</v>
      </c>
      <c r="AN27" s="774">
        <f>+AD27+AH27+AL27</f>
        <v>2893.3029999999999</v>
      </c>
      <c r="AO27" s="60">
        <f t="shared" si="119"/>
        <v>2713.3780000000002</v>
      </c>
      <c r="AP27" s="60">
        <f t="shared" si="119"/>
        <v>3871.665</v>
      </c>
      <c r="AQ27" s="519">
        <v>282.97199999999998</v>
      </c>
      <c r="AR27" s="1937">
        <v>1549.45</v>
      </c>
      <c r="AS27" s="1760">
        <f>+AO27+AQ27</f>
        <v>2996.3500000000004</v>
      </c>
      <c r="AT27" s="1761">
        <f>+AP27+AR27</f>
        <v>5421.1149999999998</v>
      </c>
      <c r="AU27" s="519">
        <v>262.02800000000002</v>
      </c>
      <c r="AV27" s="1937">
        <v>755.40500000000009</v>
      </c>
      <c r="AW27" s="1760">
        <f>+AS27+AU27</f>
        <v>3258.3780000000006</v>
      </c>
      <c r="AX27" s="1761">
        <f>+AT27+AV27</f>
        <v>6176.5199999999995</v>
      </c>
      <c r="AY27" s="519">
        <v>282.97199999999998</v>
      </c>
      <c r="AZ27" s="1937">
        <v>209.86</v>
      </c>
      <c r="BA27" s="774">
        <f t="shared" ref="BA27:BA28" si="138">+AQ27+AU27+AY27</f>
        <v>827.97199999999998</v>
      </c>
      <c r="BB27" s="774">
        <f t="shared" ref="BB27:BB28" si="139">+AR27+AV27+AZ27</f>
        <v>2514.7150000000001</v>
      </c>
      <c r="BC27" s="460">
        <f t="shared" ref="BC27:BC28" si="140">AM27+BA27</f>
        <v>1661.9279999999999</v>
      </c>
      <c r="BD27" s="460">
        <f t="shared" ref="BD27:BD28" si="141">AN27+BB27</f>
        <v>5408.018</v>
      </c>
      <c r="BE27" s="60">
        <f t="shared" ref="BE27:BE28" si="142">AW27+AY27</f>
        <v>3541.3500000000004</v>
      </c>
      <c r="BF27" s="60">
        <f t="shared" ref="BF27:BF28" si="143">AX27+AZ27</f>
        <v>6386.3799999999992</v>
      </c>
      <c r="BG27" s="1721">
        <v>2831.4999999999995</v>
      </c>
      <c r="BH27" s="1721">
        <v>7991.4859999999999</v>
      </c>
      <c r="BI27" s="1721">
        <v>2377.8719999999994</v>
      </c>
      <c r="BJ27" s="1721">
        <v>6141.3949999999995</v>
      </c>
      <c r="BK27" s="1721">
        <v>5885.7340000000004</v>
      </c>
      <c r="BL27" s="1721">
        <v>2398.5599999999995</v>
      </c>
      <c r="BM27" s="1721">
        <v>13377.679</v>
      </c>
      <c r="BN27" s="1721">
        <v>11568.989680591383</v>
      </c>
      <c r="BO27" s="1721">
        <v>41093.9</v>
      </c>
      <c r="BP27" s="1721">
        <v>0</v>
      </c>
      <c r="BQ27" s="1083">
        <v>44255.19</v>
      </c>
      <c r="BR27" s="1202"/>
      <c r="BS27" s="1520"/>
      <c r="BT27" s="1520"/>
      <c r="BU27" s="26"/>
      <c r="BV27" s="26"/>
      <c r="BW27" s="528"/>
      <c r="BX27" s="528"/>
    </row>
    <row r="28" spans="1:76" ht="15" customHeight="1" thickBot="1" x14ac:dyDescent="0.35">
      <c r="B28" s="1932" t="s">
        <v>348</v>
      </c>
      <c r="C28" s="1902" t="s">
        <v>50</v>
      </c>
      <c r="D28" s="1903">
        <v>1081234</v>
      </c>
      <c r="E28" s="1758">
        <v>92363.04</v>
      </c>
      <c r="F28" s="1935">
        <v>70955.830536000009</v>
      </c>
      <c r="G28" s="1758">
        <v>95295.2</v>
      </c>
      <c r="H28" s="1935">
        <v>75418.546496999988</v>
      </c>
      <c r="I28" s="1760">
        <f>+E28+G28</f>
        <v>187658.23999999999</v>
      </c>
      <c r="J28" s="1761">
        <f>+F28+H28</f>
        <v>146374.377033</v>
      </c>
      <c r="K28" s="1758">
        <v>92363.04</v>
      </c>
      <c r="L28" s="1935">
        <v>72846.055192</v>
      </c>
      <c r="M28" s="1762">
        <f>+E28+G28+K28</f>
        <v>280021.27999999997</v>
      </c>
      <c r="N28" s="1947">
        <f>+F28+H28+L28</f>
        <v>219220.432225</v>
      </c>
      <c r="O28" s="1758">
        <v>93462.6</v>
      </c>
      <c r="P28" s="1935">
        <v>75682.969600000011</v>
      </c>
      <c r="Q28" s="1760">
        <f>+M28+O28</f>
        <v>373483.88</v>
      </c>
      <c r="R28" s="1761">
        <f>+N28+P28</f>
        <v>294903.40182500001</v>
      </c>
      <c r="S28" s="1758">
        <v>93462.6</v>
      </c>
      <c r="T28" s="1935">
        <v>80832.023354799981</v>
      </c>
      <c r="U28" s="1760">
        <f>+Q28+S28</f>
        <v>466946.48</v>
      </c>
      <c r="V28" s="1761">
        <f>+R28+T28</f>
        <v>375735.42517980002</v>
      </c>
      <c r="W28" s="1758">
        <v>51312.800000000003</v>
      </c>
      <c r="X28" s="1935">
        <v>79584.048650599972</v>
      </c>
      <c r="Y28" s="774">
        <f>+O28+S28+W28</f>
        <v>238238</v>
      </c>
      <c r="Z28" s="774">
        <f>+P28+T28+X28</f>
        <v>236099.04160539998</v>
      </c>
      <c r="AA28" s="460">
        <f>+M28+Y28</f>
        <v>518259.27999999997</v>
      </c>
      <c r="AB28" s="460">
        <f>+N28+Z28</f>
        <v>455319.47383039998</v>
      </c>
      <c r="AC28" s="1758">
        <v>95295.2</v>
      </c>
      <c r="AD28" s="1935">
        <v>63840.921898000001</v>
      </c>
      <c r="AE28" s="1760">
        <f>+AA28+AC28</f>
        <v>613554.48</v>
      </c>
      <c r="AF28" s="1761">
        <f>+AB28+AD28</f>
        <v>519160.39572839998</v>
      </c>
      <c r="AG28" s="1758">
        <v>92363.04</v>
      </c>
      <c r="AH28" s="1935">
        <v>88321.763468000005</v>
      </c>
      <c r="AI28" s="1760">
        <f>+AE28+AG28</f>
        <v>705917.52</v>
      </c>
      <c r="AJ28" s="1761">
        <f>+AF28+AH28</f>
        <v>607482.15919639997</v>
      </c>
      <c r="AK28" s="1758">
        <v>95295.2</v>
      </c>
      <c r="AL28" s="1935">
        <v>84104.854628999979</v>
      </c>
      <c r="AM28" s="774">
        <f>+AC28+AG28+AK28</f>
        <v>282953.44</v>
      </c>
      <c r="AN28" s="774">
        <f>+AD28+AH28+AL28</f>
        <v>236267.53999499997</v>
      </c>
      <c r="AO28" s="60">
        <f t="shared" ref="AO28:AP30" si="144">AI28+AK28</f>
        <v>801212.72</v>
      </c>
      <c r="AP28" s="60">
        <f t="shared" ref="AP28" si="145">AJ28+AL28</f>
        <v>691587.01382539992</v>
      </c>
      <c r="AQ28" s="1758">
        <v>96761.279999999999</v>
      </c>
      <c r="AR28" s="1935">
        <v>81040.671480000005</v>
      </c>
      <c r="AS28" s="1760">
        <f>+AO28+AQ28</f>
        <v>897974</v>
      </c>
      <c r="AT28" s="1761">
        <f>+AP28+AR28</f>
        <v>772627.68530539994</v>
      </c>
      <c r="AU28" s="1758">
        <v>86498.72</v>
      </c>
      <c r="AV28" s="1935">
        <v>67236.848248000024</v>
      </c>
      <c r="AW28" s="1760">
        <f>+AS28+AU28</f>
        <v>984472.72</v>
      </c>
      <c r="AX28" s="1761">
        <f>+AT28+AV28</f>
        <v>839864.53355339996</v>
      </c>
      <c r="AY28" s="1758">
        <v>96761.279999999999</v>
      </c>
      <c r="AZ28" s="1935">
        <v>71373.051535000021</v>
      </c>
      <c r="BA28" s="774">
        <f t="shared" si="138"/>
        <v>280021.28000000003</v>
      </c>
      <c r="BB28" s="774">
        <f t="shared" si="139"/>
        <v>219650.57126300008</v>
      </c>
      <c r="BC28" s="460">
        <f t="shared" si="140"/>
        <v>562974.71999999997</v>
      </c>
      <c r="BD28" s="460">
        <f t="shared" si="141"/>
        <v>455918.11125800002</v>
      </c>
      <c r="BE28" s="60">
        <f t="shared" si="142"/>
        <v>1081234</v>
      </c>
      <c r="BF28" s="60">
        <f t="shared" si="143"/>
        <v>911237.58508839994</v>
      </c>
      <c r="BG28" s="1721">
        <v>987899.89462592197</v>
      </c>
      <c r="BH28" s="1721">
        <v>899258.75527899992</v>
      </c>
      <c r="BI28" s="1721">
        <v>1063046.9968387778</v>
      </c>
      <c r="BJ28" s="1721">
        <v>1075244.6396029999</v>
      </c>
      <c r="BK28" s="1721">
        <v>1065593.0052819999</v>
      </c>
      <c r="BL28" s="1721">
        <v>157305.11720405263</v>
      </c>
      <c r="BM28" s="1721">
        <v>920129.29913014814</v>
      </c>
      <c r="BN28" s="1721">
        <v>882599.96545301133</v>
      </c>
      <c r="BO28" s="1721">
        <v>776699</v>
      </c>
      <c r="BP28" s="1721">
        <v>854657.99999999988</v>
      </c>
      <c r="BQ28" s="1083">
        <v>809638.20576449996</v>
      </c>
      <c r="BR28" s="1202"/>
      <c r="BS28" s="1520"/>
      <c r="BT28" s="1520"/>
      <c r="BU28" s="26"/>
      <c r="BV28" s="26"/>
      <c r="BW28" s="528"/>
      <c r="BX28" s="528"/>
    </row>
    <row r="29" spans="1:76" ht="15" customHeight="1" x14ac:dyDescent="0.3">
      <c r="A29" s="146"/>
      <c r="B29" s="1912" t="s">
        <v>31</v>
      </c>
      <c r="C29" s="26"/>
      <c r="D29" s="2445"/>
      <c r="E29" s="2445"/>
      <c r="F29" s="2445"/>
      <c r="G29" s="2445"/>
      <c r="H29" s="2445"/>
      <c r="I29" s="2445"/>
      <c r="J29" s="2445"/>
      <c r="K29" s="2445"/>
      <c r="L29" s="2445"/>
      <c r="M29" s="2445"/>
      <c r="N29" s="2445"/>
      <c r="O29" s="2445"/>
      <c r="P29" s="2445"/>
      <c r="Q29" s="2445"/>
      <c r="R29" s="2445"/>
      <c r="S29" s="2445"/>
      <c r="T29" s="2445"/>
      <c r="U29" s="2445"/>
      <c r="V29" s="2445"/>
      <c r="W29" s="2445"/>
      <c r="X29" s="2445"/>
      <c r="Y29" s="2445"/>
      <c r="Z29" s="2445"/>
      <c r="AA29" s="2445"/>
      <c r="AB29" s="2445"/>
      <c r="AC29" s="2445"/>
      <c r="AD29" s="2445"/>
      <c r="AE29" s="2445"/>
      <c r="AF29" s="2445"/>
      <c r="AG29" s="2445"/>
      <c r="AH29" s="2445"/>
      <c r="AI29" s="2445"/>
      <c r="AJ29" s="2445"/>
      <c r="AK29" s="2445"/>
      <c r="AL29" s="2445"/>
      <c r="AM29" s="2445"/>
      <c r="AN29" s="2445"/>
      <c r="AO29" s="2445"/>
      <c r="AP29" s="2446"/>
      <c r="AQ29" s="2445"/>
      <c r="AR29" s="2445"/>
      <c r="AS29" s="2445"/>
      <c r="AT29" s="2445"/>
      <c r="AU29" s="2445"/>
      <c r="AV29" s="2445"/>
      <c r="AW29" s="2445"/>
      <c r="AX29" s="2445"/>
      <c r="AY29" s="2445"/>
      <c r="AZ29" s="2445"/>
      <c r="BA29" s="2445"/>
      <c r="BB29" s="2445"/>
      <c r="BC29" s="2445"/>
      <c r="BD29" s="2445"/>
      <c r="BE29" s="2445"/>
      <c r="BF29" s="244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1955"/>
      <c r="BR29" s="1202"/>
      <c r="BS29" s="1520"/>
      <c r="BT29" s="1520"/>
      <c r="BU29" s="26"/>
      <c r="BV29" s="26"/>
      <c r="BW29" s="528"/>
      <c r="BX29" s="528"/>
    </row>
    <row r="30" spans="1:76" ht="15" customHeight="1" x14ac:dyDescent="0.3">
      <c r="B30" s="1911" t="s">
        <v>34</v>
      </c>
      <c r="C30" s="1892" t="s">
        <v>50</v>
      </c>
      <c r="D30" s="2444">
        <v>500000</v>
      </c>
      <c r="E30" s="1319">
        <v>42500</v>
      </c>
      <c r="F30" s="18">
        <f>+WRM!F159</f>
        <v>36742.130000000012</v>
      </c>
      <c r="G30" s="1319">
        <v>44000</v>
      </c>
      <c r="H30" s="18">
        <f>+WRM!H159</f>
        <v>39351.799999999996</v>
      </c>
      <c r="I30" s="60">
        <f t="shared" ref="I30:J32" si="146">+E30+G30</f>
        <v>86500</v>
      </c>
      <c r="J30" s="38">
        <f t="shared" si="146"/>
        <v>76093.930000000008</v>
      </c>
      <c r="K30" s="1319">
        <v>42500</v>
      </c>
      <c r="L30" s="18">
        <f>+WRM!L159</f>
        <v>38291.349999999991</v>
      </c>
      <c r="M30" s="71">
        <f t="shared" ref="M30:N32" si="147">+E30+G30+K30</f>
        <v>129000</v>
      </c>
      <c r="N30" s="68">
        <f t="shared" si="147"/>
        <v>114385.28</v>
      </c>
      <c r="O30" s="1319">
        <v>44000</v>
      </c>
      <c r="P30" s="18">
        <f>+WRM!P159</f>
        <v>47063.899999999994</v>
      </c>
      <c r="Q30" s="60">
        <f t="shared" ref="Q30:R32" si="148">+M30+O30</f>
        <v>173000</v>
      </c>
      <c r="R30" s="38">
        <f t="shared" si="148"/>
        <v>161449.18</v>
      </c>
      <c r="S30" s="1319">
        <v>44000</v>
      </c>
      <c r="T30" s="18">
        <f>+WRM!T159</f>
        <v>38718.350000000006</v>
      </c>
      <c r="U30" s="60">
        <f t="shared" ref="U30:U32" si="149">+Q30+S30</f>
        <v>217000</v>
      </c>
      <c r="V30" s="38">
        <f t="shared" ref="V30:V32" si="150">+R30+T30</f>
        <v>200167.53</v>
      </c>
      <c r="W30" s="1319">
        <v>25000</v>
      </c>
      <c r="X30" s="18">
        <f>+WRM!X159</f>
        <v>41006.150000000009</v>
      </c>
      <c r="Y30" s="774">
        <f t="shared" ref="Y30:Z32" si="151">+O30+S30+W30</f>
        <v>113000</v>
      </c>
      <c r="Z30" s="774">
        <f t="shared" si="151"/>
        <v>126788.40000000001</v>
      </c>
      <c r="AA30" s="460">
        <f t="shared" ref="AA30:AB32" si="152">+M30+Y30</f>
        <v>242000</v>
      </c>
      <c r="AB30" s="460">
        <f t="shared" si="152"/>
        <v>241173.68</v>
      </c>
      <c r="AC30" s="1319">
        <v>42500</v>
      </c>
      <c r="AD30" s="18">
        <f>+WRM!AD159</f>
        <v>30034.550000000003</v>
      </c>
      <c r="AE30" s="60">
        <f t="shared" ref="AE30:AE32" si="153">+AA30+AC30</f>
        <v>284500</v>
      </c>
      <c r="AF30" s="38">
        <f t="shared" ref="AF30:AF32" si="154">+AB30+AD30</f>
        <v>271208.23</v>
      </c>
      <c r="AG30" s="1319">
        <v>42500</v>
      </c>
      <c r="AH30" s="18">
        <f>+WRM!AH159</f>
        <v>34614.250000000007</v>
      </c>
      <c r="AI30" s="60">
        <f t="shared" ref="AI30:AI32" si="155">+AE30+AG30</f>
        <v>327000</v>
      </c>
      <c r="AJ30" s="38">
        <f t="shared" ref="AJ30:AJ32" si="156">+AF30+AH30</f>
        <v>305822.48</v>
      </c>
      <c r="AK30" s="1319">
        <v>44000</v>
      </c>
      <c r="AL30" s="18">
        <f>+WRM!AL159</f>
        <v>44007.350000000013</v>
      </c>
      <c r="AM30" s="774">
        <f t="shared" ref="AM30:AM32" si="157">+AC30+AG30+AK30</f>
        <v>129000</v>
      </c>
      <c r="AN30" s="774">
        <f t="shared" ref="AN30:AN32" si="158">+AD30+AH30+AL30</f>
        <v>108656.15000000002</v>
      </c>
      <c r="AO30" s="60">
        <f t="shared" si="144"/>
        <v>371000</v>
      </c>
      <c r="AP30" s="60">
        <f t="shared" si="144"/>
        <v>349829.83</v>
      </c>
      <c r="AQ30" s="1319">
        <v>44500</v>
      </c>
      <c r="AR30" s="18">
        <f>+WRM!AR159</f>
        <v>44589.550000000017</v>
      </c>
      <c r="AS30" s="60">
        <f t="shared" ref="AS30:AS32" si="159">+AO30+AQ30</f>
        <v>415500</v>
      </c>
      <c r="AT30" s="38">
        <f t="shared" ref="AT30:AT32" si="160">+AP30+AR30</f>
        <v>394419.38</v>
      </c>
      <c r="AU30" s="1319">
        <v>40000</v>
      </c>
      <c r="AV30" s="18">
        <f>+WRM!AV159</f>
        <v>37420.700000000019</v>
      </c>
      <c r="AW30" s="60">
        <f t="shared" ref="AW30:AW32" si="161">+AS30+AU30</f>
        <v>455500</v>
      </c>
      <c r="AX30" s="38">
        <f t="shared" ref="AX30:AX32" si="162">+AT30+AV30</f>
        <v>431840.08</v>
      </c>
      <c r="AY30" s="1319">
        <v>44500</v>
      </c>
      <c r="AZ30" s="18">
        <f>+WRM!AZ159</f>
        <v>46692.85</v>
      </c>
      <c r="BA30" s="774">
        <f t="shared" ref="BA30:BA32" si="163">+AQ30+AU30+AY30</f>
        <v>129000</v>
      </c>
      <c r="BB30" s="774">
        <f t="shared" ref="BB30:BB32" si="164">+AR30+AV30+AZ30</f>
        <v>128703.10000000003</v>
      </c>
      <c r="BC30" s="460">
        <f t="shared" ref="BC30:BC32" si="165">AM30+BA30</f>
        <v>258000</v>
      </c>
      <c r="BD30" s="460">
        <f t="shared" ref="BD30:BD32" si="166">AN30+BB30</f>
        <v>237359.25000000006</v>
      </c>
      <c r="BE30" s="60">
        <f t="shared" ref="BE30:BE32" si="167">AW30+AY30</f>
        <v>500000</v>
      </c>
      <c r="BF30" s="60">
        <f t="shared" ref="BF30:BF32" si="168">AX30+AZ30</f>
        <v>478532.93</v>
      </c>
      <c r="BG30" s="1721">
        <v>500000</v>
      </c>
      <c r="BH30" s="1721">
        <v>459030.64</v>
      </c>
      <c r="BI30" s="1721">
        <v>500000</v>
      </c>
      <c r="BJ30" s="1721">
        <v>478528.38500000013</v>
      </c>
      <c r="BK30" s="1721">
        <v>466114.65</v>
      </c>
      <c r="BL30" s="1721">
        <v>500000</v>
      </c>
      <c r="BM30" s="1721">
        <v>465343.766</v>
      </c>
      <c r="BN30" s="1721">
        <v>435965.96179320005</v>
      </c>
      <c r="BO30" s="1721">
        <v>356518.65800000005</v>
      </c>
      <c r="BP30" s="1721">
        <v>500000</v>
      </c>
      <c r="BQ30" s="1083">
        <v>412025.22</v>
      </c>
      <c r="BR30" s="1202"/>
      <c r="BS30" s="1520"/>
      <c r="BT30" s="1520"/>
      <c r="BU30" s="26"/>
      <c r="BV30" s="26"/>
      <c r="BW30" s="528"/>
      <c r="BX30" s="528"/>
    </row>
    <row r="31" spans="1:76" ht="15" customHeight="1" x14ac:dyDescent="0.3">
      <c r="B31" s="1911" t="s">
        <v>346</v>
      </c>
      <c r="C31" s="1892" t="s">
        <v>50</v>
      </c>
      <c r="D31" s="2444">
        <v>900000</v>
      </c>
      <c r="E31" s="1319">
        <v>76000</v>
      </c>
      <c r="F31" s="18">
        <f>+BM!F56</f>
        <v>66895.455000000031</v>
      </c>
      <c r="G31" s="1319">
        <v>79000</v>
      </c>
      <c r="H31" s="18">
        <f>+BM!H56</f>
        <v>76175.635000000068</v>
      </c>
      <c r="I31" s="60">
        <f t="shared" si="146"/>
        <v>155000</v>
      </c>
      <c r="J31" s="38">
        <f t="shared" si="146"/>
        <v>143071.09000000008</v>
      </c>
      <c r="K31" s="1319">
        <v>76000</v>
      </c>
      <c r="L31" s="18">
        <f>+BM!L56</f>
        <v>73644.015000000058</v>
      </c>
      <c r="M31" s="71">
        <f t="shared" si="147"/>
        <v>231000</v>
      </c>
      <c r="N31" s="68">
        <f t="shared" si="147"/>
        <v>216715.10500000016</v>
      </c>
      <c r="O31" s="1319">
        <v>79000</v>
      </c>
      <c r="P31" s="18">
        <f>+BM!P56</f>
        <v>88056.490000000107</v>
      </c>
      <c r="Q31" s="60">
        <f t="shared" si="148"/>
        <v>310000</v>
      </c>
      <c r="R31" s="38">
        <f t="shared" si="148"/>
        <v>304771.59500000026</v>
      </c>
      <c r="S31" s="1319">
        <v>79000</v>
      </c>
      <c r="T31" s="18">
        <f>+BM!T56</f>
        <v>75853.695000000036</v>
      </c>
      <c r="U31" s="60">
        <f t="shared" si="149"/>
        <v>389000</v>
      </c>
      <c r="V31" s="38">
        <f t="shared" si="150"/>
        <v>380625.29000000027</v>
      </c>
      <c r="W31" s="1319">
        <f>47.5*1000</f>
        <v>47500</v>
      </c>
      <c r="X31" s="18">
        <f>+BM!X56</f>
        <v>76319.035000000062</v>
      </c>
      <c r="Y31" s="774">
        <f t="shared" si="151"/>
        <v>205500</v>
      </c>
      <c r="Z31" s="774">
        <f t="shared" si="151"/>
        <v>240229.2200000002</v>
      </c>
      <c r="AA31" s="460">
        <f t="shared" si="152"/>
        <v>436500</v>
      </c>
      <c r="AB31" s="460">
        <f t="shared" si="152"/>
        <v>456944.32500000036</v>
      </c>
      <c r="AC31" s="1319">
        <v>78000</v>
      </c>
      <c r="AD31" s="18">
        <f>+BM!AD56</f>
        <v>50950.275000000081</v>
      </c>
      <c r="AE31" s="60">
        <f t="shared" si="153"/>
        <v>514500</v>
      </c>
      <c r="AF31" s="38">
        <f t="shared" si="154"/>
        <v>507894.60000000044</v>
      </c>
      <c r="AG31" s="1319">
        <v>76000</v>
      </c>
      <c r="AH31" s="18">
        <f>+BM!AH56</f>
        <v>69720.765000000058</v>
      </c>
      <c r="AI31" s="60">
        <f t="shared" si="155"/>
        <v>590500</v>
      </c>
      <c r="AJ31" s="38">
        <f t="shared" si="156"/>
        <v>577615.36500000046</v>
      </c>
      <c r="AK31" s="1319">
        <v>79000</v>
      </c>
      <c r="AL31" s="18">
        <f>+BM!AL56</f>
        <v>81616.765000000145</v>
      </c>
      <c r="AM31" s="774">
        <f t="shared" si="157"/>
        <v>233000</v>
      </c>
      <c r="AN31" s="774">
        <f t="shared" si="158"/>
        <v>202287.80500000028</v>
      </c>
      <c r="AO31" s="60">
        <f t="shared" ref="AO31:AP34" si="169">AI31+AK31</f>
        <v>669500</v>
      </c>
      <c r="AP31" s="60">
        <f t="shared" ref="AP31:AP32" si="170">AJ31+AL31</f>
        <v>659232.13000000059</v>
      </c>
      <c r="AQ31" s="1319">
        <v>79000</v>
      </c>
      <c r="AR31" s="18">
        <f>+BM!AR56</f>
        <v>85804.600000000122</v>
      </c>
      <c r="AS31" s="60">
        <f t="shared" si="159"/>
        <v>748500</v>
      </c>
      <c r="AT31" s="38">
        <f t="shared" si="160"/>
        <v>745036.73000000068</v>
      </c>
      <c r="AU31" s="1319">
        <v>71500</v>
      </c>
      <c r="AV31" s="18">
        <f>+BM!AV56</f>
        <v>74058.320000000094</v>
      </c>
      <c r="AW31" s="60">
        <f t="shared" si="161"/>
        <v>820000</v>
      </c>
      <c r="AX31" s="38">
        <f t="shared" si="162"/>
        <v>819095.05000000075</v>
      </c>
      <c r="AY31" s="1319">
        <v>80000</v>
      </c>
      <c r="AZ31" s="18">
        <f>+BM!AZ56</f>
        <v>81200</v>
      </c>
      <c r="BA31" s="774">
        <f t="shared" si="163"/>
        <v>230500</v>
      </c>
      <c r="BB31" s="774">
        <f t="shared" si="164"/>
        <v>241062.92000000022</v>
      </c>
      <c r="BC31" s="460">
        <f t="shared" si="165"/>
        <v>463500</v>
      </c>
      <c r="BD31" s="460">
        <f t="shared" si="166"/>
        <v>443350.7250000005</v>
      </c>
      <c r="BE31" s="60">
        <f t="shared" si="167"/>
        <v>900000</v>
      </c>
      <c r="BF31" s="60">
        <f t="shared" si="168"/>
        <v>900295.05000000075</v>
      </c>
      <c r="BG31" s="1721">
        <v>870000</v>
      </c>
      <c r="BH31" s="1721">
        <v>750867.84800000093</v>
      </c>
      <c r="BI31" s="1721">
        <v>850000</v>
      </c>
      <c r="BJ31" s="1721">
        <v>795322.27300000074</v>
      </c>
      <c r="BK31" s="1721">
        <v>775906.62549999985</v>
      </c>
      <c r="BL31" s="1721">
        <v>750000</v>
      </c>
      <c r="BM31" s="1721">
        <v>649840.96399999992</v>
      </c>
      <c r="BN31" s="1721">
        <v>674875.14</v>
      </c>
      <c r="BO31" s="1721">
        <v>440547.26999999996</v>
      </c>
      <c r="BP31" s="1721">
        <v>800000</v>
      </c>
      <c r="BQ31" s="1083">
        <v>632220.18000000005</v>
      </c>
      <c r="BR31" s="1202"/>
      <c r="BS31" s="1520"/>
      <c r="BT31" s="1520"/>
      <c r="BU31" s="26"/>
      <c r="BV31" s="26"/>
      <c r="BW31" s="528"/>
      <c r="BX31" s="528"/>
    </row>
    <row r="32" spans="1:76" ht="15" customHeight="1" x14ac:dyDescent="0.3">
      <c r="B32" s="1911" t="s">
        <v>109</v>
      </c>
      <c r="C32" s="1892" t="s">
        <v>50</v>
      </c>
      <c r="D32" s="2444">
        <v>750000</v>
      </c>
      <c r="E32" s="1319">
        <v>62000</v>
      </c>
      <c r="F32" s="18">
        <f>+USM!G121</f>
        <v>49543.777000000002</v>
      </c>
      <c r="G32" s="1319">
        <v>65000</v>
      </c>
      <c r="H32" s="18">
        <f>+USM!I121</f>
        <v>57219.144</v>
      </c>
      <c r="I32" s="60">
        <f t="shared" si="146"/>
        <v>127000</v>
      </c>
      <c r="J32" s="38">
        <f t="shared" si="146"/>
        <v>106762.921</v>
      </c>
      <c r="K32" s="1319">
        <v>62500</v>
      </c>
      <c r="L32" s="18">
        <f>+USM!M121</f>
        <v>58674.632999999994</v>
      </c>
      <c r="M32" s="71">
        <f t="shared" si="147"/>
        <v>189500</v>
      </c>
      <c r="N32" s="68">
        <f t="shared" si="147"/>
        <v>165437.554</v>
      </c>
      <c r="O32" s="1319">
        <v>65000</v>
      </c>
      <c r="P32" s="18">
        <f>+USM!Q121</f>
        <v>57327.387000000002</v>
      </c>
      <c r="Q32" s="60">
        <f t="shared" si="148"/>
        <v>254500</v>
      </c>
      <c r="R32" s="38">
        <f t="shared" si="148"/>
        <v>222764.94099999999</v>
      </c>
      <c r="S32" s="1319">
        <v>65000</v>
      </c>
      <c r="T32" s="18">
        <f>+USM!U121</f>
        <v>44406.292999999998</v>
      </c>
      <c r="U32" s="60">
        <f t="shared" si="149"/>
        <v>319500</v>
      </c>
      <c r="V32" s="38">
        <f t="shared" si="150"/>
        <v>267171.234</v>
      </c>
      <c r="W32" s="1319">
        <v>33500</v>
      </c>
      <c r="X32" s="18">
        <f>+USM!Y121</f>
        <v>49996.715999999993</v>
      </c>
      <c r="Y32" s="774">
        <f t="shared" si="151"/>
        <v>163500</v>
      </c>
      <c r="Z32" s="774">
        <f t="shared" si="151"/>
        <v>151730.39599999998</v>
      </c>
      <c r="AA32" s="460">
        <f t="shared" si="152"/>
        <v>353000</v>
      </c>
      <c r="AB32" s="460">
        <f t="shared" si="152"/>
        <v>317167.94999999995</v>
      </c>
      <c r="AC32" s="1319">
        <v>67000</v>
      </c>
      <c r="AD32" s="18">
        <f>+USM!AE121</f>
        <v>29659.897000000008</v>
      </c>
      <c r="AE32" s="60">
        <f t="shared" si="153"/>
        <v>420000</v>
      </c>
      <c r="AF32" s="38">
        <f t="shared" si="154"/>
        <v>346827.84699999995</v>
      </c>
      <c r="AG32" s="1319">
        <v>65000</v>
      </c>
      <c r="AH32" s="18">
        <f>+USM!AI121</f>
        <v>49060.044000000016</v>
      </c>
      <c r="AI32" s="60">
        <f t="shared" si="155"/>
        <v>485000</v>
      </c>
      <c r="AJ32" s="38">
        <f t="shared" si="156"/>
        <v>395887.89099999995</v>
      </c>
      <c r="AK32" s="1319">
        <f>67.5*1000</f>
        <v>67500</v>
      </c>
      <c r="AL32" s="18">
        <f>+USM!AM121</f>
        <v>52987.18</v>
      </c>
      <c r="AM32" s="774">
        <f t="shared" si="157"/>
        <v>199500</v>
      </c>
      <c r="AN32" s="774">
        <f t="shared" si="158"/>
        <v>131707.12100000001</v>
      </c>
      <c r="AO32" s="60">
        <f t="shared" si="169"/>
        <v>552500</v>
      </c>
      <c r="AP32" s="60">
        <f t="shared" si="170"/>
        <v>448875.07099999994</v>
      </c>
      <c r="AQ32" s="1319">
        <v>68000</v>
      </c>
      <c r="AR32" s="18">
        <f>+USM!AS121</f>
        <v>56169.977999999988</v>
      </c>
      <c r="AS32" s="60">
        <f t="shared" si="159"/>
        <v>620500</v>
      </c>
      <c r="AT32" s="38">
        <f t="shared" si="160"/>
        <v>505045.04899999994</v>
      </c>
      <c r="AU32" s="1319">
        <v>61000</v>
      </c>
      <c r="AV32" s="18">
        <f>+USM!AW121</f>
        <v>54279.397999999994</v>
      </c>
      <c r="AW32" s="60">
        <f t="shared" si="161"/>
        <v>681500</v>
      </c>
      <c r="AX32" s="38">
        <f t="shared" si="162"/>
        <v>559324.44699999993</v>
      </c>
      <c r="AY32" s="1319">
        <v>68500</v>
      </c>
      <c r="AZ32" s="18">
        <f>+USM!BA121</f>
        <v>63120.145999999993</v>
      </c>
      <c r="BA32" s="774">
        <f t="shared" si="163"/>
        <v>197500</v>
      </c>
      <c r="BB32" s="774">
        <f t="shared" si="164"/>
        <v>173569.522</v>
      </c>
      <c r="BC32" s="460">
        <f t="shared" si="165"/>
        <v>397000</v>
      </c>
      <c r="BD32" s="460">
        <f t="shared" si="166"/>
        <v>305276.64300000004</v>
      </c>
      <c r="BE32" s="60">
        <f t="shared" si="167"/>
        <v>750000</v>
      </c>
      <c r="BF32" s="60">
        <f t="shared" si="168"/>
        <v>622444.59299999988</v>
      </c>
      <c r="BG32" s="1721">
        <v>560000</v>
      </c>
      <c r="BH32" s="1721">
        <v>499887.228</v>
      </c>
      <c r="BI32" s="1721">
        <v>525000</v>
      </c>
      <c r="BJ32" s="1721">
        <v>459141.95204</v>
      </c>
      <c r="BK32" s="1721">
        <v>361987.55812</v>
      </c>
      <c r="BL32" s="1721">
        <v>450000</v>
      </c>
      <c r="BM32" s="1721">
        <v>213226.16405321387</v>
      </c>
      <c r="BN32" s="1721">
        <v>220000</v>
      </c>
      <c r="BO32" s="1721">
        <v>88943.894138990887</v>
      </c>
      <c r="BP32" s="1721">
        <v>535000</v>
      </c>
      <c r="BQ32" s="1083">
        <v>171634.81128897145</v>
      </c>
      <c r="BR32" s="1202"/>
      <c r="BS32" s="1520"/>
      <c r="BT32" s="1520"/>
      <c r="BU32" s="26"/>
      <c r="BV32" s="26"/>
      <c r="BW32" s="528"/>
      <c r="BX32" s="528"/>
    </row>
    <row r="33" spans="1:76" ht="15" customHeight="1" thickBot="1" x14ac:dyDescent="0.35">
      <c r="B33" s="1913" t="s">
        <v>681</v>
      </c>
      <c r="C33" s="1906" t="s">
        <v>50</v>
      </c>
      <c r="D33" s="1898">
        <f t="shared" ref="D33:N33" si="171">SUM(D30:D32)</f>
        <v>2150000</v>
      </c>
      <c r="E33" s="1697">
        <f t="shared" si="171"/>
        <v>180500</v>
      </c>
      <c r="F33" s="1938">
        <f t="shared" si="171"/>
        <v>153181.36200000005</v>
      </c>
      <c r="G33" s="1697">
        <f t="shared" ref="G33" si="172">SUM(G30:G32)</f>
        <v>188000</v>
      </c>
      <c r="H33" s="1938">
        <f t="shared" ref="H33" si="173">SUM(H30:H32)</f>
        <v>172746.57900000006</v>
      </c>
      <c r="I33" s="1940">
        <f t="shared" si="171"/>
        <v>368500</v>
      </c>
      <c r="J33" s="1907">
        <f t="shared" si="171"/>
        <v>325927.94100000011</v>
      </c>
      <c r="K33" s="1697">
        <f t="shared" ref="K33:L33" si="174">SUM(K30:K32)</f>
        <v>181000</v>
      </c>
      <c r="L33" s="1938">
        <f t="shared" si="174"/>
        <v>170609.99800000005</v>
      </c>
      <c r="M33" s="1948">
        <f t="shared" si="171"/>
        <v>549500</v>
      </c>
      <c r="N33" s="1949">
        <f t="shared" si="171"/>
        <v>496537.93900000013</v>
      </c>
      <c r="O33" s="1697">
        <f t="shared" ref="O33:P33" si="175">SUM(O30:O32)</f>
        <v>188000</v>
      </c>
      <c r="P33" s="1938">
        <f t="shared" si="175"/>
        <v>192447.77700000012</v>
      </c>
      <c r="Q33" s="1940">
        <f>SUM(Q30:Q32)</f>
        <v>737500</v>
      </c>
      <c r="R33" s="1907">
        <f>SUM(R30:R32)</f>
        <v>688985.71600000025</v>
      </c>
      <c r="S33" s="1697">
        <f t="shared" ref="S33:T33" si="176">SUM(S30:S32)</f>
        <v>188000</v>
      </c>
      <c r="T33" s="1938">
        <f t="shared" si="176"/>
        <v>158978.33800000005</v>
      </c>
      <c r="U33" s="1940">
        <f t="shared" ref="U33:X33" si="177">SUM(U30:U32)</f>
        <v>925500</v>
      </c>
      <c r="V33" s="1907">
        <f t="shared" si="177"/>
        <v>847964.05400000024</v>
      </c>
      <c r="W33" s="1697">
        <f t="shared" si="177"/>
        <v>106000</v>
      </c>
      <c r="X33" s="1938">
        <f t="shared" si="177"/>
        <v>167321.90100000007</v>
      </c>
      <c r="Y33" s="373">
        <f>SUM(Y30:Y32)</f>
        <v>482000</v>
      </c>
      <c r="Z33" s="373">
        <f>SUM(Z30:Z32)</f>
        <v>518748.01600000018</v>
      </c>
      <c r="AA33" s="539">
        <f>SUM(AA30:AA32)</f>
        <v>1031500</v>
      </c>
      <c r="AB33" s="539">
        <f>SUM(AB30:AB32)</f>
        <v>1015285.9550000003</v>
      </c>
      <c r="AC33" s="1697">
        <f t="shared" ref="AC33:AD33" si="178">SUM(AC30:AC32)</f>
        <v>187500</v>
      </c>
      <c r="AD33" s="1938">
        <f t="shared" si="178"/>
        <v>110644.7220000001</v>
      </c>
      <c r="AE33" s="1940">
        <f t="shared" ref="AE33:AH33" si="179">SUM(AE30:AE32)</f>
        <v>1219000</v>
      </c>
      <c r="AF33" s="1907">
        <f t="shared" si="179"/>
        <v>1125930.6770000004</v>
      </c>
      <c r="AG33" s="1697">
        <f t="shared" si="179"/>
        <v>183500</v>
      </c>
      <c r="AH33" s="1938">
        <f t="shared" si="179"/>
        <v>153395.0590000001</v>
      </c>
      <c r="AI33" s="1940">
        <f t="shared" ref="AI33:AL33" si="180">SUM(AI30:AI32)</f>
        <v>1402500</v>
      </c>
      <c r="AJ33" s="1907">
        <f t="shared" si="180"/>
        <v>1279325.7360000005</v>
      </c>
      <c r="AK33" s="1697">
        <f t="shared" si="180"/>
        <v>190500</v>
      </c>
      <c r="AL33" s="1938">
        <f t="shared" si="180"/>
        <v>178611.29500000016</v>
      </c>
      <c r="AM33" s="373">
        <f t="shared" ref="AM33:AN33" si="181">SUM(AM30:AM32)</f>
        <v>561500</v>
      </c>
      <c r="AN33" s="373">
        <f t="shared" si="181"/>
        <v>442651.07600000035</v>
      </c>
      <c r="AO33" s="1940">
        <f t="shared" ref="AO33:AT33" si="182">SUM(AO30:AO32)</f>
        <v>1593000</v>
      </c>
      <c r="AP33" s="1907">
        <f t="shared" si="182"/>
        <v>1457937.0310000007</v>
      </c>
      <c r="AQ33" s="1697">
        <f t="shared" si="182"/>
        <v>191500</v>
      </c>
      <c r="AR33" s="1938">
        <f t="shared" si="182"/>
        <v>186564.12800000014</v>
      </c>
      <c r="AS33" s="1940">
        <f t="shared" si="182"/>
        <v>1784500</v>
      </c>
      <c r="AT33" s="1907">
        <f t="shared" si="182"/>
        <v>1644501.1590000007</v>
      </c>
      <c r="AU33" s="1697">
        <f t="shared" ref="AU33:AV33" si="183">SUM(AU30:AU32)</f>
        <v>172500</v>
      </c>
      <c r="AV33" s="1938">
        <f t="shared" si="183"/>
        <v>165758.41800000009</v>
      </c>
      <c r="AW33" s="1940">
        <f t="shared" ref="AW33:AZ33" si="184">SUM(AW30:AW32)</f>
        <v>1957000</v>
      </c>
      <c r="AX33" s="1907">
        <f t="shared" si="184"/>
        <v>1810259.5770000007</v>
      </c>
      <c r="AY33" s="1697">
        <f t="shared" si="184"/>
        <v>193000</v>
      </c>
      <c r="AZ33" s="1938">
        <f t="shared" si="184"/>
        <v>191012.99599999998</v>
      </c>
      <c r="BA33" s="373">
        <f t="shared" ref="BA33:BD33" si="185">SUM(BA30:BA32)</f>
        <v>557000</v>
      </c>
      <c r="BB33" s="373">
        <f t="shared" si="185"/>
        <v>543335.54200000025</v>
      </c>
      <c r="BC33" s="539">
        <f t="shared" si="185"/>
        <v>1118500</v>
      </c>
      <c r="BD33" s="539">
        <f t="shared" si="185"/>
        <v>985986.6180000006</v>
      </c>
      <c r="BE33" s="1940">
        <f t="shared" ref="BE33:BF33" si="186">SUM(BE30:BE32)</f>
        <v>2150000</v>
      </c>
      <c r="BF33" s="1907">
        <f t="shared" si="186"/>
        <v>2001272.5730000006</v>
      </c>
      <c r="BG33" s="1471">
        <v>1930000</v>
      </c>
      <c r="BH33" s="1471">
        <v>1709785.7160000009</v>
      </c>
      <c r="BI33" s="1471">
        <v>1875000</v>
      </c>
      <c r="BJ33" s="1471">
        <v>1732992.6100400006</v>
      </c>
      <c r="BK33" s="1471">
        <v>1604008.8336199999</v>
      </c>
      <c r="BL33" s="1471">
        <v>1700000</v>
      </c>
      <c r="BM33" s="1471">
        <v>1328410.8940532138</v>
      </c>
      <c r="BN33" s="1471">
        <v>1330841.1017932</v>
      </c>
      <c r="BO33" s="1471">
        <v>886009.82213899097</v>
      </c>
      <c r="BP33" s="1471">
        <f>SUM(BP30:BP32)</f>
        <v>1835000</v>
      </c>
      <c r="BQ33" s="5314">
        <f>SUM(BQ30:BQ32)</f>
        <v>1215880.2112889714</v>
      </c>
      <c r="BR33" s="1202"/>
      <c r="BS33" s="1520"/>
      <c r="BT33" s="1520"/>
      <c r="BU33" s="26"/>
      <c r="BV33" s="26"/>
      <c r="BW33" s="528"/>
      <c r="BX33" s="528"/>
    </row>
    <row r="34" spans="1:76" ht="15" customHeight="1" x14ac:dyDescent="0.3">
      <c r="B34" s="1910" t="s">
        <v>682</v>
      </c>
      <c r="C34" s="1908" t="s">
        <v>50</v>
      </c>
      <c r="D34" s="1909">
        <f>524.79833712911*1000</f>
        <v>524798.33712911</v>
      </c>
      <c r="E34" s="363">
        <f>48.4998153686034*1000</f>
        <v>48499.815368603398</v>
      </c>
      <c r="F34" s="87">
        <v>45616.58799999996</v>
      </c>
      <c r="G34" s="363">
        <v>48499.576671657102</v>
      </c>
      <c r="H34" s="87">
        <v>52556</v>
      </c>
      <c r="I34" s="707">
        <f>+E34+G34</f>
        <v>96999.3920402605</v>
      </c>
      <c r="J34" s="42">
        <f>+F34+H34</f>
        <v>98172.58799999996</v>
      </c>
      <c r="K34" s="363">
        <f>48.0001108831152*1000</f>
        <v>48000.110883115201</v>
      </c>
      <c r="L34" s="87">
        <v>56218</v>
      </c>
      <c r="M34" s="708">
        <f>+E34+G34+K34</f>
        <v>144999.50292337569</v>
      </c>
      <c r="N34" s="72">
        <f>+F34+H34+L34</f>
        <v>154390.58799999996</v>
      </c>
      <c r="O34" s="363">
        <f>43.5001413553209*1000</f>
        <v>43500.141355320899</v>
      </c>
      <c r="P34" s="87">
        <v>50303</v>
      </c>
      <c r="Q34" s="707">
        <f>+M34+O34</f>
        <v>188499.64427869659</v>
      </c>
      <c r="R34" s="42">
        <f>+N34+P34</f>
        <v>204693.58799999996</v>
      </c>
      <c r="S34" s="363">
        <f>43.5001413553209*1000</f>
        <v>43500.141355320899</v>
      </c>
      <c r="T34" s="87">
        <v>51235.42</v>
      </c>
      <c r="U34" s="707">
        <f>+Q34+S34</f>
        <v>231999.78563401749</v>
      </c>
      <c r="V34" s="42">
        <f>+R34+T34</f>
        <v>255929.00799999997</v>
      </c>
      <c r="W34" s="363">
        <f>15.3000147648532*1000</f>
        <v>15300.0147648532</v>
      </c>
      <c r="X34" s="87">
        <v>54076</v>
      </c>
      <c r="Y34" s="774">
        <f>+O34+S34+W34</f>
        <v>102300.297475495</v>
      </c>
      <c r="Z34" s="774">
        <f>+P34+T34+X34</f>
        <v>155614.41999999998</v>
      </c>
      <c r="AA34" s="460">
        <f>+M34+Y34</f>
        <v>247299.80039887069</v>
      </c>
      <c r="AB34" s="460">
        <f>+N34+Z34</f>
        <v>310005.00799999991</v>
      </c>
      <c r="AC34" s="363">
        <f>48.9995281597563*1000</f>
        <v>48999.528159756301</v>
      </c>
      <c r="AD34" s="87">
        <v>54595</v>
      </c>
      <c r="AE34" s="707">
        <f>+AA34+AC34</f>
        <v>296299.32855862699</v>
      </c>
      <c r="AF34" s="42">
        <f>+AB34+AD34</f>
        <v>364600.00799999991</v>
      </c>
      <c r="AG34" s="363">
        <f>45.4995884556746*1000</f>
        <v>45499.588455674595</v>
      </c>
      <c r="AH34" s="87">
        <v>61080</v>
      </c>
      <c r="AI34" s="707">
        <f>+AE34+AG34</f>
        <v>341798.91701430158</v>
      </c>
      <c r="AJ34" s="42">
        <f>+AF34+AH34</f>
        <v>425680.00799999991</v>
      </c>
      <c r="AK34" s="363">
        <f>46.0000542442164*1000</f>
        <v>46000.054244216401</v>
      </c>
      <c r="AL34" s="87">
        <v>52347.66</v>
      </c>
      <c r="AM34" s="774">
        <f>+AC34+AG34+AK34</f>
        <v>140499.17085964727</v>
      </c>
      <c r="AN34" s="774">
        <f>+AD34+AH34+AL34</f>
        <v>168022.66</v>
      </c>
      <c r="AO34" s="60">
        <f t="shared" si="169"/>
        <v>387798.971258518</v>
      </c>
      <c r="AP34" s="60">
        <f t="shared" si="169"/>
        <v>478027.66799999995</v>
      </c>
      <c r="AQ34" s="363">
        <v>48499.664678463945</v>
      </c>
      <c r="AR34" s="87">
        <v>30958</v>
      </c>
      <c r="AS34" s="707">
        <f>+AO34+AQ34</f>
        <v>436298.63593698194</v>
      </c>
      <c r="AT34" s="42">
        <f>+AP34+AR34</f>
        <v>508985.66799999995</v>
      </c>
      <c r="AU34" s="363">
        <v>41500.010429203743</v>
      </c>
      <c r="AV34" s="87">
        <v>16550</v>
      </c>
      <c r="AW34" s="707">
        <f>+AS34+AU34</f>
        <v>477798.64636618568</v>
      </c>
      <c r="AX34" s="42">
        <f>+AT34+AV34</f>
        <v>525535.66799999995</v>
      </c>
      <c r="AY34" s="363">
        <v>46999.690762923987</v>
      </c>
      <c r="AZ34" s="87">
        <f>38139.639-111</f>
        <v>38028.639000000003</v>
      </c>
      <c r="BA34" s="774">
        <f t="shared" ref="BA34:BA35" si="187">+AQ34+AU34+AY34</f>
        <v>136999.36587059166</v>
      </c>
      <c r="BB34" s="774">
        <f t="shared" ref="BB34:BB35" si="188">+AR34+AV34+AZ34</f>
        <v>85536.638999999996</v>
      </c>
      <c r="BC34" s="460">
        <f t="shared" ref="BC34:BC35" si="189">AM34+BA34</f>
        <v>277498.53673023893</v>
      </c>
      <c r="BD34" s="460">
        <f t="shared" ref="BD34:BD35" si="190">AN34+BB34</f>
        <v>253559.299</v>
      </c>
      <c r="BE34" s="60">
        <f t="shared" ref="BE34:BE35" si="191">AW34+AY34</f>
        <v>524798.33712910966</v>
      </c>
      <c r="BF34" s="60">
        <f t="shared" ref="BF34:BF35" si="192">AX34+AZ34</f>
        <v>563564.30699999991</v>
      </c>
      <c r="BG34" s="1721">
        <v>461999.55998512253</v>
      </c>
      <c r="BH34" s="1721">
        <v>558374.44999999995</v>
      </c>
      <c r="BI34" s="1721">
        <v>592000.00027062534</v>
      </c>
      <c r="BJ34" s="1721">
        <v>574823.37</v>
      </c>
      <c r="BK34" s="1721">
        <v>595119.90700000001</v>
      </c>
      <c r="BL34" s="1721">
        <v>516406.76683937816</v>
      </c>
      <c r="BM34" s="1721">
        <v>627684.57297577348</v>
      </c>
      <c r="BN34" s="1721">
        <v>533055.8167946114</v>
      </c>
      <c r="BO34" s="1721">
        <v>608495.73</v>
      </c>
      <c r="BP34" s="1721">
        <v>304999.74093264237</v>
      </c>
      <c r="BQ34" s="1083">
        <v>629438.95550700894</v>
      </c>
      <c r="BR34" s="1202"/>
      <c r="BS34" s="1520"/>
      <c r="BT34" s="1520"/>
      <c r="BU34" s="26"/>
      <c r="BV34" s="26"/>
      <c r="BW34" s="528"/>
      <c r="BX34" s="528"/>
    </row>
    <row r="35" spans="1:76" ht="15" customHeight="1" x14ac:dyDescent="0.3">
      <c r="B35" s="1911" t="s">
        <v>683</v>
      </c>
      <c r="C35" s="1892" t="s">
        <v>50</v>
      </c>
      <c r="D35" s="2444">
        <v>0</v>
      </c>
      <c r="E35" s="152">
        <v>0</v>
      </c>
      <c r="F35" s="18">
        <v>0</v>
      </c>
      <c r="G35" s="152">
        <v>0</v>
      </c>
      <c r="H35" s="18">
        <v>3000</v>
      </c>
      <c r="I35" s="60">
        <f>+E35+G35</f>
        <v>0</v>
      </c>
      <c r="J35" s="38">
        <f>+F35+H35</f>
        <v>3000</v>
      </c>
      <c r="K35" s="152">
        <v>0</v>
      </c>
      <c r="L35" s="18">
        <v>1066</v>
      </c>
      <c r="M35" s="71">
        <f>+E35+G35+K35</f>
        <v>0</v>
      </c>
      <c r="N35" s="68">
        <f>+F35+H35+L35</f>
        <v>4066</v>
      </c>
      <c r="O35" s="152">
        <v>0</v>
      </c>
      <c r="P35" s="18">
        <v>463</v>
      </c>
      <c r="Q35" s="60">
        <f>+M35+O35</f>
        <v>0</v>
      </c>
      <c r="R35" s="38">
        <f>+N35+P35</f>
        <v>4529</v>
      </c>
      <c r="S35" s="152">
        <v>0</v>
      </c>
      <c r="T35" s="18">
        <v>8811.77</v>
      </c>
      <c r="U35" s="60">
        <f>+Q35+S35</f>
        <v>0</v>
      </c>
      <c r="V35" s="38">
        <f>+R35+T35</f>
        <v>13340.77</v>
      </c>
      <c r="W35" s="152">
        <v>0</v>
      </c>
      <c r="X35" s="18">
        <v>1414</v>
      </c>
      <c r="Y35" s="774">
        <f>+O35+S35+W35</f>
        <v>0</v>
      </c>
      <c r="Z35" s="774">
        <f>+P35+T35+X35</f>
        <v>10688.77</v>
      </c>
      <c r="AA35" s="460">
        <f>+M35+Y35</f>
        <v>0</v>
      </c>
      <c r="AB35" s="460">
        <f>+N35+Z35</f>
        <v>14754.77</v>
      </c>
      <c r="AC35" s="152">
        <v>0</v>
      </c>
      <c r="AD35" s="18">
        <f>11175+37</f>
        <v>11212</v>
      </c>
      <c r="AE35" s="60">
        <f>+AA35+AC35</f>
        <v>0</v>
      </c>
      <c r="AF35" s="38">
        <f>+AB35+AD35</f>
        <v>25966.77</v>
      </c>
      <c r="AG35" s="152">
        <v>0</v>
      </c>
      <c r="AH35" s="18">
        <v>0</v>
      </c>
      <c r="AI35" s="60">
        <f>+AE35+AG35</f>
        <v>0</v>
      </c>
      <c r="AJ35" s="38">
        <f>+AF35+AH35</f>
        <v>25966.77</v>
      </c>
      <c r="AK35" s="152">
        <v>0</v>
      </c>
      <c r="AL35" s="18">
        <v>703.34</v>
      </c>
      <c r="AM35" s="774">
        <f>+AC35+AG35+AK35</f>
        <v>0</v>
      </c>
      <c r="AN35" s="774">
        <f>+AD35+AH35+AL35</f>
        <v>11915.34</v>
      </c>
      <c r="AO35" s="60">
        <f t="shared" ref="AO35" si="193">AI35+AK35</f>
        <v>0</v>
      </c>
      <c r="AP35" s="60">
        <f t="shared" ref="AP35" si="194">AJ35+AL35</f>
        <v>26670.11</v>
      </c>
      <c r="AQ35" s="152">
        <v>0</v>
      </c>
      <c r="AR35" s="18">
        <v>7040</v>
      </c>
      <c r="AS35" s="60">
        <f>+AO35+AQ35</f>
        <v>0</v>
      </c>
      <c r="AT35" s="38">
        <f>+AP35+AR35</f>
        <v>33710.11</v>
      </c>
      <c r="AU35" s="152">
        <v>0</v>
      </c>
      <c r="AV35" s="18">
        <v>1892</v>
      </c>
      <c r="AW35" s="60">
        <f>+AS35+AU35</f>
        <v>0</v>
      </c>
      <c r="AX35" s="38">
        <f>+AT35+AV35</f>
        <v>35602.11</v>
      </c>
      <c r="AY35" s="152">
        <v>0</v>
      </c>
      <c r="AZ35" s="18">
        <f>4180.26+111</f>
        <v>4291.26</v>
      </c>
      <c r="BA35" s="774">
        <f t="shared" si="187"/>
        <v>0</v>
      </c>
      <c r="BB35" s="774">
        <f t="shared" si="188"/>
        <v>13223.26</v>
      </c>
      <c r="BC35" s="460">
        <f t="shared" si="189"/>
        <v>0</v>
      </c>
      <c r="BD35" s="460">
        <f t="shared" si="190"/>
        <v>25138.6</v>
      </c>
      <c r="BE35" s="60">
        <f t="shared" si="191"/>
        <v>0</v>
      </c>
      <c r="BF35" s="60">
        <f t="shared" si="192"/>
        <v>39893.370000000003</v>
      </c>
      <c r="BG35" s="1721">
        <v>17999.996415592192</v>
      </c>
      <c r="BH35" s="1721">
        <v>63663.849200000004</v>
      </c>
      <c r="BI35" s="1721">
        <v>57999.916142557566</v>
      </c>
      <c r="BJ35" s="1721">
        <v>101828.14418</v>
      </c>
      <c r="BK35" s="1721">
        <v>116079.049</v>
      </c>
      <c r="BL35" s="1721">
        <v>153592.3419429849</v>
      </c>
      <c r="BM35" s="1721">
        <v>204330.35166666663</v>
      </c>
      <c r="BN35" s="1721">
        <v>371378.00888192269</v>
      </c>
      <c r="BO35" s="1721">
        <v>329378.80290000001</v>
      </c>
      <c r="BP35" s="1721">
        <v>267000</v>
      </c>
      <c r="BQ35" s="1083">
        <v>248401</v>
      </c>
      <c r="BR35" s="1202"/>
      <c r="BS35" s="1520"/>
      <c r="BT35" s="1520"/>
      <c r="BU35" s="26"/>
      <c r="BV35" s="26"/>
      <c r="BW35" s="528"/>
      <c r="BX35" s="528"/>
    </row>
    <row r="36" spans="1:76" ht="15" customHeight="1" thickBot="1" x14ac:dyDescent="0.35">
      <c r="B36" s="1913" t="s">
        <v>684</v>
      </c>
      <c r="C36" s="1906" t="s">
        <v>50</v>
      </c>
      <c r="D36" s="1898">
        <f t="shared" ref="D36:N36" si="195">SUM(D34:D35)</f>
        <v>524798.33712911</v>
      </c>
      <c r="E36" s="1697">
        <f t="shared" si="195"/>
        <v>48499.815368603398</v>
      </c>
      <c r="F36" s="1938">
        <f t="shared" si="195"/>
        <v>45616.58799999996</v>
      </c>
      <c r="G36" s="1697">
        <f t="shared" ref="G36" si="196">SUM(G34:G35)</f>
        <v>48499.576671657102</v>
      </c>
      <c r="H36" s="1938">
        <f t="shared" ref="H36" si="197">SUM(H34:H35)</f>
        <v>55556</v>
      </c>
      <c r="I36" s="1940">
        <f t="shared" si="195"/>
        <v>96999.3920402605</v>
      </c>
      <c r="J36" s="1907">
        <f t="shared" si="195"/>
        <v>101172.58799999996</v>
      </c>
      <c r="K36" s="1697">
        <f t="shared" ref="K36:L36" si="198">SUM(K34:K35)</f>
        <v>48000.110883115201</v>
      </c>
      <c r="L36" s="1938">
        <f t="shared" si="198"/>
        <v>57284</v>
      </c>
      <c r="M36" s="1948">
        <f t="shared" si="195"/>
        <v>144999.50292337569</v>
      </c>
      <c r="N36" s="1949">
        <f t="shared" si="195"/>
        <v>158456.58799999996</v>
      </c>
      <c r="O36" s="1697">
        <f t="shared" ref="O36:P36" si="199">SUM(O34:O35)</f>
        <v>43500.141355320899</v>
      </c>
      <c r="P36" s="1938">
        <f t="shared" si="199"/>
        <v>50766</v>
      </c>
      <c r="Q36" s="1940">
        <f>SUM(Q34:Q35)</f>
        <v>188499.64427869659</v>
      </c>
      <c r="R36" s="1907">
        <f>SUM(R34:R35)</f>
        <v>209222.58799999996</v>
      </c>
      <c r="S36" s="1697">
        <f t="shared" ref="S36:T36" si="200">SUM(S34:S35)</f>
        <v>43500.141355320899</v>
      </c>
      <c r="T36" s="1938">
        <f t="shared" si="200"/>
        <v>60047.19</v>
      </c>
      <c r="U36" s="1940">
        <f t="shared" ref="U36:X36" si="201">SUM(U34:U35)</f>
        <v>231999.78563401749</v>
      </c>
      <c r="V36" s="1907">
        <f t="shared" si="201"/>
        <v>269269.77799999999</v>
      </c>
      <c r="W36" s="1697">
        <f t="shared" si="201"/>
        <v>15300.0147648532</v>
      </c>
      <c r="X36" s="1938">
        <f t="shared" si="201"/>
        <v>55490</v>
      </c>
      <c r="Y36" s="373">
        <f>SUM(Y34:Y35)</f>
        <v>102300.297475495</v>
      </c>
      <c r="Z36" s="373">
        <f>SUM(Z34:Z35)</f>
        <v>166303.18999999997</v>
      </c>
      <c r="AA36" s="539">
        <f>SUM(AA34:AA35)</f>
        <v>247299.80039887069</v>
      </c>
      <c r="AB36" s="539">
        <f>SUM(AB34:AB35)</f>
        <v>324759.77799999993</v>
      </c>
      <c r="AC36" s="1697">
        <f t="shared" ref="AC36:AD36" si="202">SUM(AC34:AC35)</f>
        <v>48999.528159756301</v>
      </c>
      <c r="AD36" s="1938">
        <f t="shared" si="202"/>
        <v>65807</v>
      </c>
      <c r="AE36" s="1697">
        <f t="shared" ref="AE36:AH36" si="203">SUM(AE34:AE35)</f>
        <v>296299.32855862699</v>
      </c>
      <c r="AF36" s="1938">
        <f t="shared" si="203"/>
        <v>390566.77799999993</v>
      </c>
      <c r="AG36" s="1697">
        <f t="shared" si="203"/>
        <v>45499.588455674595</v>
      </c>
      <c r="AH36" s="1938">
        <f t="shared" si="203"/>
        <v>61080</v>
      </c>
      <c r="AI36" s="1940">
        <f t="shared" ref="AI36:AL36" si="204">SUM(AI34:AI35)</f>
        <v>341798.91701430158</v>
      </c>
      <c r="AJ36" s="1907">
        <f t="shared" si="204"/>
        <v>451646.77799999993</v>
      </c>
      <c r="AK36" s="1697">
        <f t="shared" si="204"/>
        <v>46000.054244216401</v>
      </c>
      <c r="AL36" s="1938">
        <f t="shared" si="204"/>
        <v>53051</v>
      </c>
      <c r="AM36" s="373">
        <f t="shared" ref="AM36:AN36" si="205">SUM(AM34:AM35)</f>
        <v>140499.17085964727</v>
      </c>
      <c r="AN36" s="373">
        <f t="shared" si="205"/>
        <v>179938</v>
      </c>
      <c r="AO36" s="1940">
        <f t="shared" ref="AO36:AT36" si="206">SUM(AO34:AO35)</f>
        <v>387798.971258518</v>
      </c>
      <c r="AP36" s="1907">
        <f t="shared" si="206"/>
        <v>504697.77799999993</v>
      </c>
      <c r="AQ36" s="1697">
        <f t="shared" si="206"/>
        <v>48499.664678463945</v>
      </c>
      <c r="AR36" s="1938">
        <f t="shared" si="206"/>
        <v>37998</v>
      </c>
      <c r="AS36" s="1697">
        <f t="shared" si="206"/>
        <v>436298.63593698194</v>
      </c>
      <c r="AT36" s="1938">
        <f t="shared" si="206"/>
        <v>542695.77799999993</v>
      </c>
      <c r="AU36" s="1697">
        <f t="shared" ref="AU36:AV36" si="207">SUM(AU34:AU35)</f>
        <v>41500.010429203743</v>
      </c>
      <c r="AV36" s="1938">
        <f t="shared" si="207"/>
        <v>18442</v>
      </c>
      <c r="AW36" s="1697">
        <f t="shared" ref="AW36:AZ36" si="208">SUM(AW34:AW35)</f>
        <v>477798.64636618568</v>
      </c>
      <c r="AX36" s="1938">
        <f t="shared" si="208"/>
        <v>561137.77799999993</v>
      </c>
      <c r="AY36" s="1697">
        <f t="shared" si="208"/>
        <v>46999.690762923987</v>
      </c>
      <c r="AZ36" s="1938">
        <f t="shared" si="208"/>
        <v>42319.899000000005</v>
      </c>
      <c r="BA36" s="373">
        <f t="shared" ref="BA36:BD36" si="209">SUM(BA34:BA35)</f>
        <v>136999.36587059166</v>
      </c>
      <c r="BB36" s="373">
        <f t="shared" si="209"/>
        <v>98759.89899999999</v>
      </c>
      <c r="BC36" s="539">
        <f t="shared" si="209"/>
        <v>277498.53673023893</v>
      </c>
      <c r="BD36" s="539">
        <f t="shared" si="209"/>
        <v>278697.89899999998</v>
      </c>
      <c r="BE36" s="60">
        <f t="shared" ref="BE36:BF36" si="210">SUM(BE34:BE35)</f>
        <v>524798.33712910966</v>
      </c>
      <c r="BF36" s="60">
        <f t="shared" si="210"/>
        <v>603457.67699999991</v>
      </c>
      <c r="BG36" s="1471">
        <v>479999.55640071473</v>
      </c>
      <c r="BH36" s="1471">
        <v>622038.29920000001</v>
      </c>
      <c r="BI36" s="1471">
        <v>649999.91641318286</v>
      </c>
      <c r="BJ36" s="1471">
        <v>676651.51417999994</v>
      </c>
      <c r="BK36" s="1471">
        <v>711198.95600000001</v>
      </c>
      <c r="BL36" s="1471">
        <v>669999.10878236312</v>
      </c>
      <c r="BM36" s="1471">
        <v>832014.92464244016</v>
      </c>
      <c r="BN36" s="1471">
        <v>904433.82567653409</v>
      </c>
      <c r="BO36" s="1471">
        <v>937874.53289999999</v>
      </c>
      <c r="BP36" s="1471">
        <f>SUM(BP34:BP35)</f>
        <v>571999.74093264237</v>
      </c>
      <c r="BQ36" s="5314">
        <f>SUM(BQ34:BQ35)</f>
        <v>877839.95550700894</v>
      </c>
      <c r="BR36" s="1202"/>
      <c r="BS36" s="1520"/>
      <c r="BT36" s="1520"/>
      <c r="BU36" s="26"/>
      <c r="BV36" s="26"/>
      <c r="BW36" s="528"/>
      <c r="BX36" s="528"/>
    </row>
    <row r="37" spans="1:76" ht="15" customHeight="1" thickBot="1" x14ac:dyDescent="0.35">
      <c r="B37" s="1914" t="s">
        <v>1532</v>
      </c>
      <c r="C37" s="1851" t="s">
        <v>50</v>
      </c>
      <c r="D37" s="1903">
        <f t="shared" ref="D37:N37" si="211">+D33+D36</f>
        <v>2674798.33712911</v>
      </c>
      <c r="E37" s="2460">
        <f t="shared" si="211"/>
        <v>228999.81536860339</v>
      </c>
      <c r="F37" s="1296">
        <f t="shared" si="211"/>
        <v>198797.95</v>
      </c>
      <c r="G37" s="2460">
        <f t="shared" ref="G37" si="212">+G33+G36</f>
        <v>236499.57667165709</v>
      </c>
      <c r="H37" s="1296">
        <f t="shared" ref="H37" si="213">+H33+H36</f>
        <v>228302.57900000006</v>
      </c>
      <c r="I37" s="1112">
        <f t="shared" si="211"/>
        <v>465499.39204026049</v>
      </c>
      <c r="J37" s="1113">
        <f t="shared" si="211"/>
        <v>427100.5290000001</v>
      </c>
      <c r="K37" s="2460">
        <f t="shared" si="211"/>
        <v>229000.11088311521</v>
      </c>
      <c r="L37" s="1296">
        <f t="shared" si="211"/>
        <v>227893.99800000005</v>
      </c>
      <c r="M37" s="759">
        <f t="shared" si="211"/>
        <v>694499.50292337569</v>
      </c>
      <c r="N37" s="169">
        <f t="shared" si="211"/>
        <v>654994.52700000012</v>
      </c>
      <c r="O37" s="2460">
        <f t="shared" ref="O37:P37" si="214">+O33+O36</f>
        <v>231500.1413553209</v>
      </c>
      <c r="P37" s="1296">
        <f t="shared" si="214"/>
        <v>243213.77700000012</v>
      </c>
      <c r="Q37" s="1112">
        <f>+Q33+Q36</f>
        <v>925999.64427869662</v>
      </c>
      <c r="R37" s="1113">
        <f>+R33+R36</f>
        <v>898208.30400000024</v>
      </c>
      <c r="S37" s="2460">
        <f t="shared" ref="S37:T37" si="215">+S33+S36</f>
        <v>231500.1413553209</v>
      </c>
      <c r="T37" s="1296">
        <f t="shared" si="215"/>
        <v>219025.52800000005</v>
      </c>
      <c r="U37" s="1112">
        <f t="shared" ref="U37:X37" si="216">+U33+U36</f>
        <v>1157499.7856340175</v>
      </c>
      <c r="V37" s="1113">
        <f t="shared" si="216"/>
        <v>1117233.8320000002</v>
      </c>
      <c r="W37" s="2460">
        <f t="shared" si="216"/>
        <v>121300.0147648532</v>
      </c>
      <c r="X37" s="1296">
        <f t="shared" si="216"/>
        <v>222811.90100000007</v>
      </c>
      <c r="Y37" s="373">
        <f t="shared" ref="Y37:AD37" si="217">+Y33+Y36</f>
        <v>584300.29747549503</v>
      </c>
      <c r="Z37" s="373">
        <f t="shared" si="217"/>
        <v>685051.20600000012</v>
      </c>
      <c r="AA37" s="539">
        <f t="shared" si="217"/>
        <v>1278799.8003988706</v>
      </c>
      <c r="AB37" s="539">
        <f t="shared" si="217"/>
        <v>1340045.7330000002</v>
      </c>
      <c r="AC37" s="2460">
        <f t="shared" si="217"/>
        <v>236499.5281597563</v>
      </c>
      <c r="AD37" s="1296">
        <f t="shared" si="217"/>
        <v>176451.7220000001</v>
      </c>
      <c r="AE37" s="2460">
        <f t="shared" ref="AE37:AH37" si="218">+AE33+AE36</f>
        <v>1515299.3285586271</v>
      </c>
      <c r="AF37" s="1296">
        <f t="shared" si="218"/>
        <v>1516497.4550000003</v>
      </c>
      <c r="AG37" s="2460">
        <f t="shared" si="218"/>
        <v>228999.58845567459</v>
      </c>
      <c r="AH37" s="1296">
        <f t="shared" si="218"/>
        <v>214475.0590000001</v>
      </c>
      <c r="AI37" s="1112">
        <f t="shared" ref="AI37:AN37" si="219">+AI33+AI36</f>
        <v>1744298.9170143015</v>
      </c>
      <c r="AJ37" s="1113">
        <f t="shared" si="219"/>
        <v>1730972.5140000004</v>
      </c>
      <c r="AK37" s="2460">
        <f t="shared" si="219"/>
        <v>236500.05424421642</v>
      </c>
      <c r="AL37" s="1296">
        <f t="shared" si="219"/>
        <v>231662.29500000016</v>
      </c>
      <c r="AM37" s="373">
        <f t="shared" si="219"/>
        <v>701999.17085964722</v>
      </c>
      <c r="AN37" s="373">
        <f t="shared" si="219"/>
        <v>622589.07600000035</v>
      </c>
      <c r="AO37" s="1112">
        <f t="shared" ref="AO37:AT37" si="220">+AO33+AO36</f>
        <v>1980798.9712585181</v>
      </c>
      <c r="AP37" s="1113">
        <f t="shared" si="220"/>
        <v>1962634.8090000006</v>
      </c>
      <c r="AQ37" s="2460">
        <f t="shared" si="220"/>
        <v>239999.66467846395</v>
      </c>
      <c r="AR37" s="1296">
        <f t="shared" si="220"/>
        <v>224562.12800000014</v>
      </c>
      <c r="AS37" s="2460">
        <f t="shared" si="220"/>
        <v>2220798.635936982</v>
      </c>
      <c r="AT37" s="1296">
        <f t="shared" si="220"/>
        <v>2187196.9370000008</v>
      </c>
      <c r="AU37" s="2460">
        <f t="shared" ref="AU37:AV37" si="221">+AU33+AU36</f>
        <v>214000.01042920374</v>
      </c>
      <c r="AV37" s="1296">
        <f t="shared" si="221"/>
        <v>184200.41800000009</v>
      </c>
      <c r="AW37" s="2460">
        <f t="shared" ref="AW37:BF37" si="222">+AW33+AW36</f>
        <v>2434798.6463661855</v>
      </c>
      <c r="AX37" s="1296">
        <f t="shared" si="222"/>
        <v>2371397.3550000004</v>
      </c>
      <c r="AY37" s="2460">
        <f t="shared" si="222"/>
        <v>239999.69076292397</v>
      </c>
      <c r="AZ37" s="1296">
        <f t="shared" si="222"/>
        <v>233332.89499999999</v>
      </c>
      <c r="BA37" s="373">
        <f t="shared" si="222"/>
        <v>693999.36587059172</v>
      </c>
      <c r="BB37" s="373">
        <f t="shared" si="222"/>
        <v>642095.44100000022</v>
      </c>
      <c r="BC37" s="539">
        <f t="shared" si="222"/>
        <v>1395998.5367302389</v>
      </c>
      <c r="BD37" s="539">
        <f t="shared" si="222"/>
        <v>1264684.5170000005</v>
      </c>
      <c r="BE37" s="2460">
        <f t="shared" si="222"/>
        <v>2674798.3371291095</v>
      </c>
      <c r="BF37" s="1296">
        <f t="shared" si="222"/>
        <v>2604730.2500000005</v>
      </c>
      <c r="BG37" s="1124">
        <v>2409999.5564007149</v>
      </c>
      <c r="BH37" s="1124">
        <v>2331824.0152000012</v>
      </c>
      <c r="BI37" s="1124">
        <v>2524999.9164131829</v>
      </c>
      <c r="BJ37" s="1124">
        <v>2409644.1242200006</v>
      </c>
      <c r="BK37" s="1124">
        <v>2315207.7896199999</v>
      </c>
      <c r="BL37" s="1124">
        <v>2369999.1087823631</v>
      </c>
      <c r="BM37" s="1124">
        <v>2160425.8186956542</v>
      </c>
      <c r="BN37" s="1124">
        <v>2235274.9274697341</v>
      </c>
      <c r="BO37" s="1124">
        <v>1823884.355038991</v>
      </c>
      <c r="BP37" s="1124">
        <f>+BP33+BP36</f>
        <v>2406999.7409326425</v>
      </c>
      <c r="BQ37" s="5315">
        <f>+BQ33+BQ36</f>
        <v>2093720.1667959802</v>
      </c>
      <c r="BR37" s="1202"/>
      <c r="BS37" s="1520"/>
      <c r="BT37" s="1520"/>
      <c r="BU37" s="26"/>
      <c r="BV37" s="26"/>
      <c r="BW37" s="528"/>
      <c r="BX37" s="528"/>
    </row>
    <row r="38" spans="1:76" ht="15" customHeight="1" x14ac:dyDescent="0.3">
      <c r="A38" s="146"/>
      <c r="B38" s="1918" t="s">
        <v>3</v>
      </c>
      <c r="C38" s="1520"/>
      <c r="D38" s="2446"/>
      <c r="E38" s="2446"/>
      <c r="F38" s="2446"/>
      <c r="G38" s="2446"/>
      <c r="H38" s="2446"/>
      <c r="I38" s="2446"/>
      <c r="J38" s="2446"/>
      <c r="K38" s="2446"/>
      <c r="L38" s="2446"/>
      <c r="M38" s="2446"/>
      <c r="N38" s="2446"/>
      <c r="O38" s="2446"/>
      <c r="P38" s="2446"/>
      <c r="Q38" s="4912"/>
      <c r="R38" s="2446"/>
      <c r="S38" s="2446"/>
      <c r="T38" s="2446"/>
      <c r="U38" s="2446"/>
      <c r="V38" s="2446"/>
      <c r="W38" s="2446"/>
      <c r="X38" s="2446"/>
      <c r="Y38" s="2446"/>
      <c r="Z38" s="2446"/>
      <c r="AA38" s="2446"/>
      <c r="AB38" s="2446"/>
      <c r="AC38" s="2446"/>
      <c r="AD38" s="2446"/>
      <c r="AE38" s="2446"/>
      <c r="AF38" s="2446"/>
      <c r="AG38" s="2446"/>
      <c r="AH38" s="2446"/>
      <c r="AI38" s="2446"/>
      <c r="AJ38" s="2446"/>
      <c r="AK38" s="2446"/>
      <c r="AL38" s="2446"/>
      <c r="AM38" s="2446"/>
      <c r="AN38" s="2446"/>
      <c r="AO38" s="2446"/>
      <c r="AP38" s="2446"/>
      <c r="AQ38" s="2446"/>
      <c r="AR38" s="2446"/>
      <c r="AS38" s="2446"/>
      <c r="AT38" s="2446"/>
      <c r="AU38" s="2446"/>
      <c r="AV38" s="2446"/>
      <c r="AW38" s="2446"/>
      <c r="AX38" s="2446"/>
      <c r="AY38" s="2446"/>
      <c r="AZ38" s="2446"/>
      <c r="BA38" s="2446"/>
      <c r="BB38" s="2446"/>
      <c r="BC38" s="2446"/>
      <c r="BD38" s="2446"/>
      <c r="BE38" s="2446"/>
      <c r="BF38" s="2446"/>
      <c r="BG38" s="1520"/>
      <c r="BH38" s="1520"/>
      <c r="BI38" s="1520"/>
      <c r="BJ38" s="1520"/>
      <c r="BK38" s="1520"/>
      <c r="BL38" s="1520"/>
      <c r="BM38" s="1520"/>
      <c r="BN38" s="1520"/>
      <c r="BO38" s="1520"/>
      <c r="BP38" s="1520"/>
      <c r="BQ38" s="1520"/>
      <c r="BR38" s="1202"/>
      <c r="BS38" s="1520"/>
      <c r="BT38" s="1520"/>
      <c r="BU38" s="26"/>
      <c r="BV38" s="26"/>
      <c r="BW38" s="528"/>
      <c r="BX38" s="528"/>
    </row>
    <row r="39" spans="1:76" ht="15" customHeight="1" x14ac:dyDescent="0.3">
      <c r="B39" s="1919" t="s">
        <v>685</v>
      </c>
      <c r="C39" s="1892" t="s">
        <v>50</v>
      </c>
      <c r="D39" s="5916">
        <f>+D30</f>
        <v>500000</v>
      </c>
      <c r="E39" s="5896">
        <f>+E30</f>
        <v>42500</v>
      </c>
      <c r="F39" s="18">
        <f>+WRM!F199</f>
        <v>36742.130000000012</v>
      </c>
      <c r="G39" s="5896">
        <f>+G30</f>
        <v>44000</v>
      </c>
      <c r="H39" s="18">
        <f>+WRM!H199</f>
        <v>39351.799999999988</v>
      </c>
      <c r="I39" s="5897">
        <f>+E39+G39</f>
        <v>86500</v>
      </c>
      <c r="J39" s="38">
        <f>+F39+H39</f>
        <v>76093.929999999993</v>
      </c>
      <c r="K39" s="5896">
        <f>+K30</f>
        <v>42500</v>
      </c>
      <c r="L39" s="18">
        <f>+WRM!L199</f>
        <v>28929.599999999991</v>
      </c>
      <c r="M39" s="5902">
        <f>+E39+G39+K39</f>
        <v>129000</v>
      </c>
      <c r="N39" s="68">
        <f>+F39+H39+L39</f>
        <v>105023.52999999998</v>
      </c>
      <c r="O39" s="5896">
        <f>+O30</f>
        <v>44000</v>
      </c>
      <c r="P39" s="18">
        <f>+WRM!P199</f>
        <v>35815.549999999988</v>
      </c>
      <c r="Q39" s="5903">
        <f>+M39+O39</f>
        <v>173000</v>
      </c>
      <c r="R39" s="38">
        <f t="shared" ref="Q39:R43" si="223">+N39+P39</f>
        <v>140839.07999999996</v>
      </c>
      <c r="S39" s="5896">
        <f>+S30</f>
        <v>44000</v>
      </c>
      <c r="T39" s="18">
        <f>+WRM!T199</f>
        <v>38718.350000000006</v>
      </c>
      <c r="U39" s="5903">
        <f>+Q39+S39</f>
        <v>217000</v>
      </c>
      <c r="V39" s="38">
        <f t="shared" ref="V39:V43" si="224">+R39+T39</f>
        <v>179557.42999999996</v>
      </c>
      <c r="W39" s="5896">
        <f>+W30</f>
        <v>25000</v>
      </c>
      <c r="X39" s="18">
        <f>+WRM!X199</f>
        <v>41006.150000000009</v>
      </c>
      <c r="Y39" s="5920">
        <f>+O39+S39+W39</f>
        <v>113000</v>
      </c>
      <c r="Z39" s="774">
        <f t="shared" ref="Z39:Z47" si="225">+P39+T39+X39</f>
        <v>115540.05</v>
      </c>
      <c r="AA39" s="5919">
        <f>+M39+Y39</f>
        <v>242000</v>
      </c>
      <c r="AB39" s="460">
        <f>+N39+Z39</f>
        <v>220563.58</v>
      </c>
      <c r="AC39" s="5896">
        <f>+AC30</f>
        <v>42500</v>
      </c>
      <c r="AD39" s="18">
        <f>+WRM!AD199</f>
        <v>30034.55</v>
      </c>
      <c r="AE39" s="5897">
        <f>+AA39+AC39</f>
        <v>284500</v>
      </c>
      <c r="AF39" s="38">
        <f>+AB39+AD39</f>
        <v>250598.12999999998</v>
      </c>
      <c r="AG39" s="5896">
        <f>+AG30</f>
        <v>42500</v>
      </c>
      <c r="AH39" s="18">
        <f>+WRM!AH199</f>
        <v>34614.25</v>
      </c>
      <c r="AI39" s="5897">
        <f>+AE39+AG39</f>
        <v>327000</v>
      </c>
      <c r="AJ39" s="38">
        <f>+AF39+AH39</f>
        <v>285212.38</v>
      </c>
      <c r="AK39" s="5896">
        <f>+AK30</f>
        <v>44000</v>
      </c>
      <c r="AL39" s="18">
        <f>+WRM!AL199</f>
        <v>44007.350000000013</v>
      </c>
      <c r="AM39" s="5898">
        <f>+AC39+AG39+AK39</f>
        <v>129000</v>
      </c>
      <c r="AN39" s="774">
        <f t="shared" ref="AN39:AN47" si="226">+AD39+AH39+AL39</f>
        <v>108656.15000000002</v>
      </c>
      <c r="AO39" s="5897">
        <f>AI39+AK39</f>
        <v>371000</v>
      </c>
      <c r="AP39" s="60">
        <f t="shared" ref="AP39:AP53" si="227">AJ39+AL39</f>
        <v>329219.73000000004</v>
      </c>
      <c r="AQ39" s="5896">
        <f>+AQ30</f>
        <v>44500</v>
      </c>
      <c r="AR39" s="18">
        <f>+WRM!AR199</f>
        <v>44589.55000000001</v>
      </c>
      <c r="AS39" s="5897">
        <f>+AO39+AQ39</f>
        <v>415500</v>
      </c>
      <c r="AT39" s="38">
        <f>+AP39+AR39</f>
        <v>373809.28</v>
      </c>
      <c r="AU39" s="5896">
        <f>+AU30</f>
        <v>40000</v>
      </c>
      <c r="AV39" s="18">
        <f>+WRM!AV199</f>
        <v>37420.700000000019</v>
      </c>
      <c r="AW39" s="5897">
        <f>+AS39+AU39</f>
        <v>455500</v>
      </c>
      <c r="AX39" s="38">
        <f>+AT39+AV39</f>
        <v>411229.98000000004</v>
      </c>
      <c r="AY39" s="5896">
        <f>+AY30</f>
        <v>44500</v>
      </c>
      <c r="AZ39" s="18">
        <f>+WRM!AZ199</f>
        <v>46692.85</v>
      </c>
      <c r="BA39" s="5898">
        <f t="shared" ref="BA39:BA48" si="228">+AQ39+AU39+AY39</f>
        <v>129000</v>
      </c>
      <c r="BB39" s="774">
        <f t="shared" ref="BB39:BB48" si="229">+AR39+AV39+AZ39</f>
        <v>128703.10000000003</v>
      </c>
      <c r="BC39" s="5919">
        <f t="shared" ref="BC39:BC48" si="230">AM39+BA39</f>
        <v>258000</v>
      </c>
      <c r="BD39" s="460">
        <f t="shared" ref="BD39:BD48" si="231">AN39+BB39</f>
        <v>237359.25000000006</v>
      </c>
      <c r="BE39" s="5897">
        <f>AW39+AY39</f>
        <v>500000</v>
      </c>
      <c r="BF39" s="60">
        <f t="shared" ref="BF39:BF48" si="232">AX39+AZ39</f>
        <v>457922.83</v>
      </c>
      <c r="BG39" s="1721">
        <v>500000</v>
      </c>
      <c r="BH39" s="1721">
        <v>459030.63999999996</v>
      </c>
      <c r="BI39" s="1721">
        <v>500000</v>
      </c>
      <c r="BJ39" s="1721">
        <v>471802.33500000008</v>
      </c>
      <c r="BK39" s="1721">
        <v>410762.6</v>
      </c>
      <c r="BL39" s="5893">
        <f>+BL30</f>
        <v>500000</v>
      </c>
      <c r="BM39" s="1721">
        <v>456374.83600000001</v>
      </c>
      <c r="BN39" s="5893">
        <f>+BN30</f>
        <v>435965.96179320005</v>
      </c>
      <c r="BO39" s="1721">
        <v>333534.61200000002</v>
      </c>
      <c r="BP39" s="5893">
        <v>500000</v>
      </c>
      <c r="BQ39" s="1083">
        <v>270654.57</v>
      </c>
      <c r="BR39" s="1202"/>
      <c r="BS39" s="1520"/>
      <c r="BT39" s="1520"/>
      <c r="BU39" s="26"/>
      <c r="BV39" s="26"/>
      <c r="BW39" s="528"/>
      <c r="BX39" s="528"/>
    </row>
    <row r="40" spans="1:76" ht="15" customHeight="1" x14ac:dyDescent="0.3">
      <c r="B40" s="1919" t="s">
        <v>630</v>
      </c>
      <c r="C40" s="1892" t="s">
        <v>50</v>
      </c>
      <c r="D40" s="5916"/>
      <c r="E40" s="5896"/>
      <c r="F40" s="18">
        <f>+WRM!F200</f>
        <v>0</v>
      </c>
      <c r="G40" s="5896"/>
      <c r="H40" s="18">
        <f>+WRM!H200</f>
        <v>0</v>
      </c>
      <c r="I40" s="5897"/>
      <c r="J40" s="38">
        <f t="shared" ref="J40:J45" si="233">+F40+H40</f>
        <v>0</v>
      </c>
      <c r="K40" s="5896"/>
      <c r="L40" s="18">
        <f>+WRM!L200</f>
        <v>9361.75</v>
      </c>
      <c r="M40" s="5902"/>
      <c r="N40" s="68">
        <f t="shared" ref="N40:N48" si="234">+F40+H40+L40</f>
        <v>9361.75</v>
      </c>
      <c r="O40" s="5896"/>
      <c r="P40" s="18">
        <f>+WRM!P200</f>
        <v>11248.350000000006</v>
      </c>
      <c r="Q40" s="5904"/>
      <c r="R40" s="38">
        <f t="shared" si="223"/>
        <v>20610.100000000006</v>
      </c>
      <c r="S40" s="5896"/>
      <c r="T40" s="18">
        <f>+WRM!T200</f>
        <v>0</v>
      </c>
      <c r="U40" s="5904"/>
      <c r="V40" s="38">
        <f t="shared" si="224"/>
        <v>20610.100000000006</v>
      </c>
      <c r="W40" s="5896"/>
      <c r="X40" s="18">
        <f>+WRM!X200</f>
        <v>0</v>
      </c>
      <c r="Y40" s="5921"/>
      <c r="Z40" s="774">
        <f t="shared" si="225"/>
        <v>11248.350000000006</v>
      </c>
      <c r="AA40" s="5919"/>
      <c r="AB40" s="460">
        <f t="shared" ref="AB40:AB48" si="235">+N40+Z40</f>
        <v>20610.100000000006</v>
      </c>
      <c r="AC40" s="5896"/>
      <c r="AD40" s="18">
        <f>+WRM!AD200</f>
        <v>0</v>
      </c>
      <c r="AE40" s="5897"/>
      <c r="AF40" s="38">
        <f t="shared" ref="AF40:AF47" si="236">+AB40+AD40</f>
        <v>20610.100000000006</v>
      </c>
      <c r="AG40" s="5896"/>
      <c r="AH40" s="18">
        <f>+WRM!AH200</f>
        <v>0</v>
      </c>
      <c r="AI40" s="5897"/>
      <c r="AJ40" s="38">
        <f t="shared" ref="AJ40:AJ47" si="237">+AF40+AH40</f>
        <v>20610.100000000006</v>
      </c>
      <c r="AK40" s="5896"/>
      <c r="AL40" s="18">
        <f>+WRM!AL200</f>
        <v>0</v>
      </c>
      <c r="AM40" s="5898"/>
      <c r="AN40" s="774">
        <f t="shared" si="226"/>
        <v>0</v>
      </c>
      <c r="AO40" s="5897"/>
      <c r="AP40" s="60">
        <f t="shared" si="227"/>
        <v>20610.100000000006</v>
      </c>
      <c r="AQ40" s="5896"/>
      <c r="AR40" s="18">
        <f>+WRM!AR200</f>
        <v>0</v>
      </c>
      <c r="AS40" s="5897"/>
      <c r="AT40" s="38">
        <f t="shared" ref="AT40:AT47" si="238">+AP40+AR40</f>
        <v>20610.100000000006</v>
      </c>
      <c r="AU40" s="5896"/>
      <c r="AV40" s="18">
        <f>+WRM!AV200</f>
        <v>0</v>
      </c>
      <c r="AW40" s="5897"/>
      <c r="AX40" s="38">
        <f t="shared" ref="AX40:AX47" si="239">+AT40+AV40</f>
        <v>20610.100000000006</v>
      </c>
      <c r="AY40" s="5896"/>
      <c r="AZ40" s="18">
        <f>+WRM!AZ200</f>
        <v>0</v>
      </c>
      <c r="BA40" s="5898">
        <f t="shared" si="228"/>
        <v>0</v>
      </c>
      <c r="BB40" s="774">
        <f t="shared" si="229"/>
        <v>0</v>
      </c>
      <c r="BC40" s="5919">
        <f t="shared" si="230"/>
        <v>0</v>
      </c>
      <c r="BD40" s="460">
        <f t="shared" si="231"/>
        <v>0</v>
      </c>
      <c r="BE40" s="5897"/>
      <c r="BF40" s="60">
        <f t="shared" si="232"/>
        <v>20610.100000000006</v>
      </c>
      <c r="BG40" s="1721"/>
      <c r="BH40" s="1721">
        <v>0</v>
      </c>
      <c r="BI40" s="1721"/>
      <c r="BJ40" s="1721">
        <v>6726.0499999999956</v>
      </c>
      <c r="BK40" s="1721">
        <v>55352.050000000025</v>
      </c>
      <c r="BL40" s="5893"/>
      <c r="BM40" s="1721">
        <v>8968.93</v>
      </c>
      <c r="BN40" s="5893"/>
      <c r="BO40" s="1721">
        <v>22983.766</v>
      </c>
      <c r="BP40" s="5893"/>
      <c r="BQ40" s="1083">
        <v>141370.65</v>
      </c>
      <c r="BR40" s="1202"/>
      <c r="BS40" s="1520"/>
      <c r="BT40" s="1520"/>
      <c r="BU40" s="26"/>
      <c r="BV40" s="26"/>
      <c r="BW40" s="528"/>
      <c r="BX40" s="528"/>
    </row>
    <row r="41" spans="1:76" ht="15" customHeight="1" x14ac:dyDescent="0.3">
      <c r="B41" s="1919" t="s">
        <v>629</v>
      </c>
      <c r="C41" s="1892" t="s">
        <v>50</v>
      </c>
      <c r="D41" s="2444">
        <f>+D31</f>
        <v>900000</v>
      </c>
      <c r="E41" s="152">
        <f>+E31</f>
        <v>76000</v>
      </c>
      <c r="F41" s="18">
        <f>+F31</f>
        <v>66895.455000000031</v>
      </c>
      <c r="G41" s="152">
        <f>+G31</f>
        <v>79000</v>
      </c>
      <c r="H41" s="18">
        <f>+H31</f>
        <v>76175.635000000068</v>
      </c>
      <c r="I41" s="60">
        <f>+E41+G41</f>
        <v>155000</v>
      </c>
      <c r="J41" s="38">
        <f t="shared" si="233"/>
        <v>143071.09000000008</v>
      </c>
      <c r="K41" s="152">
        <f>+K31</f>
        <v>76000</v>
      </c>
      <c r="L41" s="18">
        <f>+L31</f>
        <v>73644.015000000058</v>
      </c>
      <c r="M41" s="71">
        <f>+E41+G41+K41</f>
        <v>231000</v>
      </c>
      <c r="N41" s="68">
        <f t="shared" si="234"/>
        <v>216715.10500000016</v>
      </c>
      <c r="O41" s="152">
        <f>+O31</f>
        <v>79000</v>
      </c>
      <c r="P41" s="18">
        <f>+P31</f>
        <v>88056.490000000107</v>
      </c>
      <c r="Q41" s="60">
        <f t="shared" si="223"/>
        <v>310000</v>
      </c>
      <c r="R41" s="38">
        <f t="shared" si="223"/>
        <v>304771.59500000026</v>
      </c>
      <c r="S41" s="152">
        <f>+S31</f>
        <v>79000</v>
      </c>
      <c r="T41" s="18">
        <f>+T31</f>
        <v>75853.695000000036</v>
      </c>
      <c r="U41" s="60">
        <f t="shared" ref="U41" si="240">+Q41+S41</f>
        <v>389000</v>
      </c>
      <c r="V41" s="38">
        <f t="shared" si="224"/>
        <v>380625.29000000027</v>
      </c>
      <c r="W41" s="152">
        <f>+W31</f>
        <v>47500</v>
      </c>
      <c r="X41" s="18">
        <f>+X31</f>
        <v>76319.035000000062</v>
      </c>
      <c r="Y41" s="774">
        <f>+O41+S41+W41</f>
        <v>205500</v>
      </c>
      <c r="Z41" s="774">
        <f t="shared" si="225"/>
        <v>240229.2200000002</v>
      </c>
      <c r="AA41" s="460">
        <f>+M41+Y41</f>
        <v>436500</v>
      </c>
      <c r="AB41" s="460">
        <f t="shared" si="235"/>
        <v>456944.32500000036</v>
      </c>
      <c r="AC41" s="152">
        <f>+AC31</f>
        <v>78000</v>
      </c>
      <c r="AD41" s="18">
        <f>+AD31</f>
        <v>50950.275000000081</v>
      </c>
      <c r="AE41" s="60">
        <f>+AA41+AC41</f>
        <v>514500</v>
      </c>
      <c r="AF41" s="38">
        <f t="shared" si="236"/>
        <v>507894.60000000044</v>
      </c>
      <c r="AG41" s="152">
        <f>+AG31</f>
        <v>76000</v>
      </c>
      <c r="AH41" s="18">
        <f>+AH31</f>
        <v>69720.765000000058</v>
      </c>
      <c r="AI41" s="60">
        <f>+AE41+AG41</f>
        <v>590500</v>
      </c>
      <c r="AJ41" s="38">
        <f t="shared" si="237"/>
        <v>577615.36500000046</v>
      </c>
      <c r="AK41" s="152">
        <f>+AK31</f>
        <v>79000</v>
      </c>
      <c r="AL41" s="18">
        <f>+AL31</f>
        <v>81616.765000000145</v>
      </c>
      <c r="AM41" s="774">
        <f>+AC41+AG41+AK41</f>
        <v>233000</v>
      </c>
      <c r="AN41" s="774">
        <f t="shared" si="226"/>
        <v>202287.80500000028</v>
      </c>
      <c r="AO41" s="60">
        <f>AI41+AK41</f>
        <v>669500</v>
      </c>
      <c r="AP41" s="60">
        <f t="shared" si="227"/>
        <v>659232.13000000059</v>
      </c>
      <c r="AQ41" s="152">
        <f>+AQ31</f>
        <v>79000</v>
      </c>
      <c r="AR41" s="18">
        <f>+AR31</f>
        <v>85804.600000000122</v>
      </c>
      <c r="AS41" s="60">
        <f>+AO41+AQ41</f>
        <v>748500</v>
      </c>
      <c r="AT41" s="38">
        <f t="shared" si="238"/>
        <v>745036.73000000068</v>
      </c>
      <c r="AU41" s="152">
        <f>+AU31</f>
        <v>71500</v>
      </c>
      <c r="AV41" s="18">
        <f>+AV31</f>
        <v>74058.320000000094</v>
      </c>
      <c r="AW41" s="60">
        <f>+AS41+AU41</f>
        <v>820000</v>
      </c>
      <c r="AX41" s="38">
        <f t="shared" si="239"/>
        <v>819095.05000000075</v>
      </c>
      <c r="AY41" s="152">
        <f>+AY31</f>
        <v>80000</v>
      </c>
      <c r="AZ41" s="18">
        <f>+AZ31</f>
        <v>81200</v>
      </c>
      <c r="BA41" s="774">
        <f t="shared" si="228"/>
        <v>230500</v>
      </c>
      <c r="BB41" s="774">
        <f t="shared" si="229"/>
        <v>241062.92000000022</v>
      </c>
      <c r="BC41" s="460">
        <f t="shared" si="230"/>
        <v>463500</v>
      </c>
      <c r="BD41" s="460">
        <f t="shared" si="231"/>
        <v>443350.7250000005</v>
      </c>
      <c r="BE41" s="60">
        <f>AW41+AY41</f>
        <v>900000</v>
      </c>
      <c r="BF41" s="60">
        <f t="shared" si="232"/>
        <v>900295.05000000075</v>
      </c>
      <c r="BG41" s="1721">
        <v>870000</v>
      </c>
      <c r="BH41" s="1721">
        <v>750867.84800000093</v>
      </c>
      <c r="BI41" s="1721">
        <v>850000</v>
      </c>
      <c r="BJ41" s="1721">
        <v>795322.27300000074</v>
      </c>
      <c r="BK41" s="1721">
        <v>775906.62549999985</v>
      </c>
      <c r="BL41" s="1721">
        <v>750000</v>
      </c>
      <c r="BM41" s="1721">
        <v>649840.96399999992</v>
      </c>
      <c r="BN41" s="1721">
        <f>+BN31</f>
        <v>674875.14</v>
      </c>
      <c r="BO41" s="1721">
        <v>440547.14499999996</v>
      </c>
      <c r="BP41" s="1721">
        <v>800000</v>
      </c>
      <c r="BQ41" s="1083">
        <v>632220.18000000005</v>
      </c>
      <c r="BR41" s="1202"/>
      <c r="BS41" s="1520"/>
      <c r="BT41" s="1520"/>
      <c r="BU41" s="26"/>
      <c r="BV41" s="26"/>
      <c r="BW41" s="528"/>
      <c r="BX41" s="528"/>
    </row>
    <row r="42" spans="1:76" ht="15" customHeight="1" x14ac:dyDescent="0.3">
      <c r="B42" s="1919" t="s">
        <v>1171</v>
      </c>
      <c r="C42" s="1892" t="s">
        <v>50</v>
      </c>
      <c r="D42" s="5887">
        <f>+D32</f>
        <v>750000</v>
      </c>
      <c r="E42" s="5888">
        <f>+E32</f>
        <v>62000</v>
      </c>
      <c r="F42" s="18">
        <f>+USM!G170</f>
        <v>36340.903000000006</v>
      </c>
      <c r="G42" s="5888">
        <f>+G32</f>
        <v>65000</v>
      </c>
      <c r="H42" s="18">
        <f>+USM!I170</f>
        <v>44993.633999999998</v>
      </c>
      <c r="I42" s="5897">
        <f>+G42+E42</f>
        <v>127000</v>
      </c>
      <c r="J42" s="38">
        <f t="shared" si="233"/>
        <v>81334.537000000011</v>
      </c>
      <c r="K42" s="5888">
        <f>+K32</f>
        <v>62500</v>
      </c>
      <c r="L42" s="18">
        <f>+USM!M170</f>
        <v>41676.830999999998</v>
      </c>
      <c r="M42" s="5902">
        <f>+K42+G42+E42</f>
        <v>189500</v>
      </c>
      <c r="N42" s="68">
        <f t="shared" si="234"/>
        <v>123011.36800000002</v>
      </c>
      <c r="O42" s="5888">
        <f>+O32</f>
        <v>65000</v>
      </c>
      <c r="P42" s="18">
        <f>+USM!Q170</f>
        <v>39505.72800000001</v>
      </c>
      <c r="Q42" s="1108">
        <f>+M42+O42</f>
        <v>254500</v>
      </c>
      <c r="R42" s="38">
        <f t="shared" si="223"/>
        <v>162517.09600000002</v>
      </c>
      <c r="S42" s="5888">
        <f>+S32</f>
        <v>65000</v>
      </c>
      <c r="T42" s="18">
        <f>+USM!U170</f>
        <v>30061.677999999996</v>
      </c>
      <c r="U42" s="1108">
        <f>+Q42+S42</f>
        <v>319500</v>
      </c>
      <c r="V42" s="38">
        <f t="shared" si="224"/>
        <v>192578.774</v>
      </c>
      <c r="W42" s="5888">
        <f>+W32</f>
        <v>33500</v>
      </c>
      <c r="X42" s="18">
        <f>+USM!Y170</f>
        <v>32261.593999999997</v>
      </c>
      <c r="Y42" s="5920">
        <f>+W42+S42+O42</f>
        <v>163500</v>
      </c>
      <c r="Z42" s="774">
        <f t="shared" si="225"/>
        <v>101829</v>
      </c>
      <c r="AA42" s="5889">
        <f>+M42+Y42</f>
        <v>353000</v>
      </c>
      <c r="AB42" s="460">
        <f t="shared" si="235"/>
        <v>224840.36800000002</v>
      </c>
      <c r="AC42" s="5888">
        <f>+AC32</f>
        <v>67000</v>
      </c>
      <c r="AD42" s="18">
        <f>+USM!AE170</f>
        <v>26347.059000000005</v>
      </c>
      <c r="AE42" s="5897">
        <f>+AC42+AA42</f>
        <v>420000</v>
      </c>
      <c r="AF42" s="38">
        <f t="shared" si="236"/>
        <v>251187.42700000003</v>
      </c>
      <c r="AG42" s="5888">
        <f>+AG32</f>
        <v>65000</v>
      </c>
      <c r="AH42" s="18">
        <f>+USM!AI170</f>
        <v>33174.987000000001</v>
      </c>
      <c r="AI42" s="5897">
        <f>+AG42+AE42</f>
        <v>485000</v>
      </c>
      <c r="AJ42" s="38">
        <f t="shared" si="237"/>
        <v>284362.41400000005</v>
      </c>
      <c r="AK42" s="5888">
        <f>+AK32</f>
        <v>67500</v>
      </c>
      <c r="AL42" s="18">
        <f>+USM!AM170</f>
        <v>34992.377999999997</v>
      </c>
      <c r="AM42" s="5898">
        <f>+AK42+AG42+AC42</f>
        <v>199500</v>
      </c>
      <c r="AN42" s="774">
        <f t="shared" si="226"/>
        <v>94514.423999999999</v>
      </c>
      <c r="AO42" s="5897">
        <f>AI42+AK42</f>
        <v>552500</v>
      </c>
      <c r="AP42" s="60">
        <f t="shared" si="227"/>
        <v>319354.79200000002</v>
      </c>
      <c r="AQ42" s="5888">
        <f>+AQ32</f>
        <v>68000</v>
      </c>
      <c r="AR42" s="18">
        <f>+USM!AS170</f>
        <v>35829.667000000001</v>
      </c>
      <c r="AS42" s="5897">
        <f>+AQ42+AO42</f>
        <v>620500</v>
      </c>
      <c r="AT42" s="38">
        <f t="shared" si="238"/>
        <v>355184.45900000003</v>
      </c>
      <c r="AU42" s="5888">
        <f>+AU32</f>
        <v>61000</v>
      </c>
      <c r="AV42" s="18">
        <f>+USM!AW170</f>
        <v>43359.470999999998</v>
      </c>
      <c r="AW42" s="5897">
        <f>+AU42+AS42</f>
        <v>681500</v>
      </c>
      <c r="AX42" s="38">
        <f t="shared" si="239"/>
        <v>398543.93000000005</v>
      </c>
      <c r="AY42" s="5888">
        <f>+AY32</f>
        <v>68500</v>
      </c>
      <c r="AZ42" s="18">
        <f>+USM!BA170</f>
        <v>50048.392999999989</v>
      </c>
      <c r="BA42" s="5898">
        <f t="shared" si="228"/>
        <v>197500</v>
      </c>
      <c r="BB42" s="774">
        <f t="shared" si="229"/>
        <v>129237.53099999999</v>
      </c>
      <c r="BC42" s="5889">
        <f t="shared" si="230"/>
        <v>397000</v>
      </c>
      <c r="BD42" s="460">
        <f t="shared" si="231"/>
        <v>223751.95499999999</v>
      </c>
      <c r="BE42" s="5897">
        <f>AW42+AY42</f>
        <v>750000</v>
      </c>
      <c r="BF42" s="60">
        <f t="shared" si="232"/>
        <v>448592.32300000003</v>
      </c>
      <c r="BG42" s="1849">
        <v>560000</v>
      </c>
      <c r="BH42" s="1849">
        <v>369513.92899999995</v>
      </c>
      <c r="BI42" s="1849">
        <v>525000</v>
      </c>
      <c r="BJ42" s="1849">
        <v>322948.41899999994</v>
      </c>
      <c r="BK42" s="1849">
        <v>273627.652</v>
      </c>
      <c r="BL42" s="5893">
        <f>+BL32</f>
        <v>450000</v>
      </c>
      <c r="BM42" s="5925">
        <v>168119.5</v>
      </c>
      <c r="BN42" s="5893">
        <f>+BN32</f>
        <v>220000</v>
      </c>
      <c r="BO42" s="5925">
        <v>78790</v>
      </c>
      <c r="BP42" s="5893">
        <v>535000</v>
      </c>
      <c r="BQ42" s="5922">
        <f>+BQ32</f>
        <v>171634.81128897145</v>
      </c>
      <c r="BR42" s="1202"/>
      <c r="BS42" s="1520"/>
      <c r="BT42" s="1520"/>
      <c r="BU42" s="26"/>
      <c r="BV42" s="26"/>
      <c r="BW42" s="528"/>
      <c r="BX42" s="528"/>
    </row>
    <row r="43" spans="1:76" ht="15" customHeight="1" x14ac:dyDescent="0.3">
      <c r="B43" s="1919" t="s">
        <v>1172</v>
      </c>
      <c r="C43" s="1892" t="s">
        <v>50</v>
      </c>
      <c r="D43" s="5887"/>
      <c r="E43" s="5888"/>
      <c r="F43" s="18">
        <f>+USM!G171</f>
        <v>8108.2379999999994</v>
      </c>
      <c r="G43" s="5888"/>
      <c r="H43" s="18">
        <f>+USM!I171</f>
        <v>5159.0289999999995</v>
      </c>
      <c r="I43" s="5897">
        <f>+E43+G43</f>
        <v>0</v>
      </c>
      <c r="J43" s="38">
        <f t="shared" si="233"/>
        <v>13267.267</v>
      </c>
      <c r="K43" s="5888"/>
      <c r="L43" s="18">
        <f>+USM!M171</f>
        <v>5963.7650000000003</v>
      </c>
      <c r="M43" s="5902"/>
      <c r="N43" s="68">
        <f t="shared" si="234"/>
        <v>19231.031999999999</v>
      </c>
      <c r="O43" s="5888"/>
      <c r="P43" s="18">
        <f>+USM!Q171</f>
        <v>6848.3829999999998</v>
      </c>
      <c r="Q43" s="2049">
        <f>+M43+O43</f>
        <v>0</v>
      </c>
      <c r="R43" s="38">
        <f t="shared" si="223"/>
        <v>26079.415000000001</v>
      </c>
      <c r="S43" s="5888"/>
      <c r="T43" s="18">
        <f>+USM!U171</f>
        <v>1438.2529999999997</v>
      </c>
      <c r="U43" s="2049">
        <f>+Q43+S43</f>
        <v>0</v>
      </c>
      <c r="V43" s="38">
        <f t="shared" si="224"/>
        <v>27517.668000000001</v>
      </c>
      <c r="W43" s="5888"/>
      <c r="X43" s="18">
        <f>+USM!Y171</f>
        <v>5720.8829999999998</v>
      </c>
      <c r="Y43" s="5927"/>
      <c r="Z43" s="774">
        <f t="shared" si="225"/>
        <v>14007.518999999998</v>
      </c>
      <c r="AA43" s="5890"/>
      <c r="AB43" s="460">
        <f t="shared" si="235"/>
        <v>33238.550999999999</v>
      </c>
      <c r="AC43" s="5888"/>
      <c r="AD43" s="18">
        <f>+USM!AE171</f>
        <v>0</v>
      </c>
      <c r="AE43" s="5897">
        <f>+AA43+AC43</f>
        <v>0</v>
      </c>
      <c r="AF43" s="38">
        <f t="shared" si="236"/>
        <v>33238.550999999999</v>
      </c>
      <c r="AG43" s="5888"/>
      <c r="AH43" s="18">
        <f>+USM!AI171</f>
        <v>6170.5360000000001</v>
      </c>
      <c r="AI43" s="5897">
        <f>+AE43+AG43</f>
        <v>0</v>
      </c>
      <c r="AJ43" s="38">
        <f t="shared" si="237"/>
        <v>39409.087</v>
      </c>
      <c r="AK43" s="5888"/>
      <c r="AL43" s="18">
        <f>+USM!AM171</f>
        <v>4072.8229999999994</v>
      </c>
      <c r="AM43" s="5898"/>
      <c r="AN43" s="774">
        <f t="shared" si="226"/>
        <v>10243.359</v>
      </c>
      <c r="AO43" s="5897">
        <f>+AK43+AM43</f>
        <v>0</v>
      </c>
      <c r="AP43" s="60">
        <f t="shared" si="227"/>
        <v>43481.909999999996</v>
      </c>
      <c r="AQ43" s="5888"/>
      <c r="AR43" s="18">
        <f>+USM!AS171</f>
        <v>5596.3930000000018</v>
      </c>
      <c r="AS43" s="5897">
        <f>+AO43+AQ43</f>
        <v>0</v>
      </c>
      <c r="AT43" s="38">
        <f t="shared" si="238"/>
        <v>49078.303</v>
      </c>
      <c r="AU43" s="5888"/>
      <c r="AV43" s="18">
        <f>+USM!AW171</f>
        <v>3073.86</v>
      </c>
      <c r="AW43" s="5897">
        <f>+AS43+AU43</f>
        <v>0</v>
      </c>
      <c r="AX43" s="38">
        <f t="shared" si="239"/>
        <v>52152.163</v>
      </c>
      <c r="AY43" s="5888"/>
      <c r="AZ43" s="18">
        <f>+USM!BA171</f>
        <v>4775.8689999999997</v>
      </c>
      <c r="BA43" s="5898">
        <f t="shared" si="228"/>
        <v>0</v>
      </c>
      <c r="BB43" s="774">
        <f t="shared" si="229"/>
        <v>13446.122000000003</v>
      </c>
      <c r="BC43" s="5890">
        <f t="shared" si="230"/>
        <v>0</v>
      </c>
      <c r="BD43" s="460">
        <f t="shared" si="231"/>
        <v>23689.481000000003</v>
      </c>
      <c r="BE43" s="5897">
        <f>+AY43+BA43</f>
        <v>0</v>
      </c>
      <c r="BF43" s="60">
        <f t="shared" si="232"/>
        <v>56928.031999999999</v>
      </c>
      <c r="BG43" s="1850">
        <v>0</v>
      </c>
      <c r="BH43" s="1850">
        <v>47628.758000000002</v>
      </c>
      <c r="BI43" s="1850">
        <v>0</v>
      </c>
      <c r="BJ43" s="1850">
        <v>47288.060999999994</v>
      </c>
      <c r="BK43" s="1850">
        <v>21791.11</v>
      </c>
      <c r="BL43" s="5893"/>
      <c r="BM43" s="5926"/>
      <c r="BN43" s="5893"/>
      <c r="BO43" s="5926"/>
      <c r="BP43" s="5893"/>
      <c r="BQ43" s="5923"/>
      <c r="BR43" s="1202"/>
      <c r="BS43" s="1520"/>
      <c r="BT43" s="1520"/>
      <c r="BU43" s="26"/>
      <c r="BV43" s="26"/>
      <c r="BW43" s="528"/>
      <c r="BX43" s="528"/>
    </row>
    <row r="44" spans="1:76" ht="15" customHeight="1" x14ac:dyDescent="0.3">
      <c r="B44" s="1919" t="s">
        <v>930</v>
      </c>
      <c r="C44" s="1892" t="s">
        <v>50</v>
      </c>
      <c r="D44" s="5887"/>
      <c r="E44" s="5888"/>
      <c r="F44" s="18">
        <f>+USM!G172</f>
        <v>5094.6359999999995</v>
      </c>
      <c r="G44" s="5888"/>
      <c r="H44" s="18">
        <f>+USM!I172</f>
        <v>7066.4809999999998</v>
      </c>
      <c r="I44" s="5897">
        <f>+E44+G44</f>
        <v>0</v>
      </c>
      <c r="J44" s="38">
        <f t="shared" si="233"/>
        <v>12161.116999999998</v>
      </c>
      <c r="K44" s="5888"/>
      <c r="L44" s="18">
        <f>+USM!M172</f>
        <v>6391.5139999999974</v>
      </c>
      <c r="M44" s="5902"/>
      <c r="N44" s="68">
        <f t="shared" si="234"/>
        <v>18552.630999999994</v>
      </c>
      <c r="O44" s="5888"/>
      <c r="P44" s="18">
        <f>+USM!Q172</f>
        <v>8126.5689999999968</v>
      </c>
      <c r="Q44" s="2049">
        <f>+M44+O44</f>
        <v>0</v>
      </c>
      <c r="R44" s="38">
        <f>+N44+P44</f>
        <v>26679.19999999999</v>
      </c>
      <c r="S44" s="5888"/>
      <c r="T44" s="18">
        <f>+USM!U172</f>
        <v>9825.4939999999988</v>
      </c>
      <c r="U44" s="2049">
        <f>+Q44+S44</f>
        <v>0</v>
      </c>
      <c r="V44" s="38">
        <f>+R44+T44</f>
        <v>36504.693999999989</v>
      </c>
      <c r="W44" s="5888"/>
      <c r="X44" s="18">
        <f>+USM!Y172</f>
        <v>9271.39</v>
      </c>
      <c r="Y44" s="5927"/>
      <c r="Z44" s="774">
        <f t="shared" si="225"/>
        <v>27223.452999999994</v>
      </c>
      <c r="AA44" s="5890"/>
      <c r="AB44" s="460">
        <f t="shared" si="235"/>
        <v>45776.083999999988</v>
      </c>
      <c r="AC44" s="5888"/>
      <c r="AD44" s="18">
        <f>+USM!AE172</f>
        <v>2320.6020000000003</v>
      </c>
      <c r="AE44" s="5897">
        <f>+AA44+AC44</f>
        <v>0</v>
      </c>
      <c r="AF44" s="38">
        <f t="shared" si="236"/>
        <v>48096.685999999987</v>
      </c>
      <c r="AG44" s="5888"/>
      <c r="AH44" s="18">
        <f>+USM!AI172</f>
        <v>6989.3249999999998</v>
      </c>
      <c r="AI44" s="5897">
        <f>+AE44+AG44</f>
        <v>0</v>
      </c>
      <c r="AJ44" s="38">
        <f t="shared" si="237"/>
        <v>55086.010999999984</v>
      </c>
      <c r="AK44" s="5888"/>
      <c r="AL44" s="18">
        <f>+USM!AM172</f>
        <v>10163.959000000003</v>
      </c>
      <c r="AM44" s="5898"/>
      <c r="AN44" s="774">
        <f t="shared" si="226"/>
        <v>19473.886000000002</v>
      </c>
      <c r="AO44" s="5897">
        <f>+AK44+AM44</f>
        <v>0</v>
      </c>
      <c r="AP44" s="60">
        <f t="shared" si="227"/>
        <v>65249.969999999987</v>
      </c>
      <c r="AQ44" s="5888"/>
      <c r="AR44" s="18">
        <f>+USM!AS172</f>
        <v>7822.952000000003</v>
      </c>
      <c r="AS44" s="5897">
        <f>+AO44+AQ44</f>
        <v>0</v>
      </c>
      <c r="AT44" s="38">
        <f t="shared" si="238"/>
        <v>73072.921999999991</v>
      </c>
      <c r="AU44" s="5888"/>
      <c r="AV44" s="18">
        <f>+USM!AW172</f>
        <v>7846.0670000000009</v>
      </c>
      <c r="AW44" s="5897">
        <f>+AS44+AU44</f>
        <v>0</v>
      </c>
      <c r="AX44" s="38">
        <f t="shared" si="239"/>
        <v>80918.988999999987</v>
      </c>
      <c r="AY44" s="5888"/>
      <c r="AZ44" s="18">
        <f>+USM!BA172</f>
        <v>4314.1299999999992</v>
      </c>
      <c r="BA44" s="5898">
        <f t="shared" si="228"/>
        <v>0</v>
      </c>
      <c r="BB44" s="774">
        <f t="shared" si="229"/>
        <v>19983.149000000005</v>
      </c>
      <c r="BC44" s="5890">
        <f t="shared" si="230"/>
        <v>0</v>
      </c>
      <c r="BD44" s="460">
        <f t="shared" si="231"/>
        <v>39457.035000000003</v>
      </c>
      <c r="BE44" s="5897">
        <f>+AY44+BA44</f>
        <v>0</v>
      </c>
      <c r="BF44" s="60">
        <f t="shared" si="232"/>
        <v>85233.118999999992</v>
      </c>
      <c r="BG44" s="1721">
        <v>0</v>
      </c>
      <c r="BH44" s="1721">
        <v>81214.697000000015</v>
      </c>
      <c r="BI44" s="1721">
        <v>0</v>
      </c>
      <c r="BJ44" s="1721">
        <v>86018.164000000004</v>
      </c>
      <c r="BK44" s="1721">
        <v>62409.791000000005</v>
      </c>
      <c r="BL44" s="5893"/>
      <c r="BM44" s="1721">
        <v>44187.109898457304</v>
      </c>
      <c r="BN44" s="5893"/>
      <c r="BO44" s="1721">
        <v>4414.2190468179997</v>
      </c>
      <c r="BP44" s="5893"/>
      <c r="BQ44" s="5923"/>
      <c r="BR44" s="1202"/>
      <c r="BS44" s="1520"/>
      <c r="BT44" s="1520"/>
      <c r="BU44" s="26"/>
      <c r="BV44" s="26"/>
      <c r="BW44" s="528"/>
      <c r="BX44" s="528"/>
    </row>
    <row r="45" spans="1:76" ht="15" customHeight="1" x14ac:dyDescent="0.3">
      <c r="A45" s="26"/>
      <c r="B45" s="1919" t="s">
        <v>686</v>
      </c>
      <c r="C45" s="1892" t="s">
        <v>50</v>
      </c>
      <c r="D45" s="5887"/>
      <c r="E45" s="5888"/>
      <c r="F45" s="18">
        <f>+USM!G173</f>
        <v>0</v>
      </c>
      <c r="G45" s="5888"/>
      <c r="H45" s="18">
        <f>+USM!I173</f>
        <v>0</v>
      </c>
      <c r="I45" s="5897">
        <f>+E45+G45</f>
        <v>0</v>
      </c>
      <c r="J45" s="38">
        <f t="shared" si="233"/>
        <v>0</v>
      </c>
      <c r="K45" s="5888"/>
      <c r="L45" s="18">
        <f>+USM!M173</f>
        <v>1992.848</v>
      </c>
      <c r="M45" s="5902"/>
      <c r="N45" s="68">
        <f t="shared" si="234"/>
        <v>1992.848</v>
      </c>
      <c r="O45" s="5888"/>
      <c r="P45" s="18">
        <f>+USM!Q173</f>
        <v>0</v>
      </c>
      <c r="Q45" s="713">
        <f>+M45+O45</f>
        <v>0</v>
      </c>
      <c r="R45" s="38">
        <f>+N45+P45</f>
        <v>1992.848</v>
      </c>
      <c r="S45" s="5888"/>
      <c r="T45" s="18">
        <f>+USM!U173</f>
        <v>468.21000000000004</v>
      </c>
      <c r="U45" s="713">
        <f>+Q45+S45</f>
        <v>0</v>
      </c>
      <c r="V45" s="38">
        <f>+R45+T45</f>
        <v>2461.058</v>
      </c>
      <c r="W45" s="5888"/>
      <c r="X45" s="18">
        <f>+USM!Y173</f>
        <v>0</v>
      </c>
      <c r="Y45" s="5921"/>
      <c r="Z45" s="774">
        <f t="shared" si="225"/>
        <v>468.21000000000004</v>
      </c>
      <c r="AA45" s="5891"/>
      <c r="AB45" s="460">
        <f t="shared" si="235"/>
        <v>2461.058</v>
      </c>
      <c r="AC45" s="5888"/>
      <c r="AD45" s="18">
        <f>+USM!AE173</f>
        <v>0</v>
      </c>
      <c r="AE45" s="5897">
        <f>+AA45+AC45</f>
        <v>0</v>
      </c>
      <c r="AF45" s="38">
        <f t="shared" si="236"/>
        <v>2461.058</v>
      </c>
      <c r="AG45" s="5888"/>
      <c r="AH45" s="18">
        <f>+USM!AI173</f>
        <v>0</v>
      </c>
      <c r="AI45" s="5897">
        <f>+AE45+AG45</f>
        <v>0</v>
      </c>
      <c r="AJ45" s="38">
        <f t="shared" si="237"/>
        <v>2461.058</v>
      </c>
      <c r="AK45" s="5888"/>
      <c r="AL45" s="18">
        <f>+USM!AM173</f>
        <v>0</v>
      </c>
      <c r="AM45" s="5898"/>
      <c r="AN45" s="774">
        <f t="shared" si="226"/>
        <v>0</v>
      </c>
      <c r="AO45" s="5897">
        <f>+AK45+AM45</f>
        <v>0</v>
      </c>
      <c r="AP45" s="60">
        <f t="shared" si="227"/>
        <v>2461.058</v>
      </c>
      <c r="AQ45" s="5888"/>
      <c r="AR45" s="18">
        <f>+USM!AS173</f>
        <v>0</v>
      </c>
      <c r="AS45" s="5897">
        <f>+AO45+AQ45</f>
        <v>0</v>
      </c>
      <c r="AT45" s="38">
        <f t="shared" si="238"/>
        <v>2461.058</v>
      </c>
      <c r="AU45" s="5888"/>
      <c r="AV45" s="18">
        <f>+USM!AW173</f>
        <v>0</v>
      </c>
      <c r="AW45" s="5897">
        <f>+AS45+AU45</f>
        <v>0</v>
      </c>
      <c r="AX45" s="38">
        <f t="shared" si="239"/>
        <v>2461.058</v>
      </c>
      <c r="AY45" s="5888"/>
      <c r="AZ45" s="18">
        <f>+USM!BA173</f>
        <v>0</v>
      </c>
      <c r="BA45" s="5898">
        <f t="shared" si="228"/>
        <v>0</v>
      </c>
      <c r="BB45" s="774">
        <f t="shared" si="229"/>
        <v>0</v>
      </c>
      <c r="BC45" s="5891">
        <f t="shared" si="230"/>
        <v>0</v>
      </c>
      <c r="BD45" s="460">
        <f t="shared" si="231"/>
        <v>0</v>
      </c>
      <c r="BE45" s="5897">
        <f>+AY45+BA45</f>
        <v>0</v>
      </c>
      <c r="BF45" s="60">
        <f t="shared" si="232"/>
        <v>2461.058</v>
      </c>
      <c r="BG45" s="1721">
        <v>0</v>
      </c>
      <c r="BH45" s="1721">
        <v>1529.8440000000001</v>
      </c>
      <c r="BI45" s="1721">
        <v>0</v>
      </c>
      <c r="BJ45" s="1721">
        <v>2887.3210000000004</v>
      </c>
      <c r="BK45" s="1721">
        <v>4159.1839999999993</v>
      </c>
      <c r="BL45" s="5893"/>
      <c r="BM45" s="1721">
        <v>919.55454499999996</v>
      </c>
      <c r="BN45" s="5893"/>
      <c r="BO45" s="1721">
        <v>5739.5256319888003</v>
      </c>
      <c r="BP45" s="5893"/>
      <c r="BQ45" s="5924"/>
      <c r="BR45" s="1202"/>
      <c r="BS45" s="1520"/>
      <c r="BT45" s="1520"/>
      <c r="BU45" s="26"/>
      <c r="BV45" s="26"/>
      <c r="BW45" s="528"/>
      <c r="BX45" s="528"/>
    </row>
    <row r="46" spans="1:76" ht="15" customHeight="1" x14ac:dyDescent="0.3">
      <c r="A46" s="26"/>
      <c r="B46" s="4883" t="s">
        <v>2069</v>
      </c>
      <c r="C46" s="4913"/>
      <c r="D46" s="4885"/>
      <c r="E46" s="4886"/>
      <c r="F46" s="4863">
        <v>0</v>
      </c>
      <c r="G46" s="4886"/>
      <c r="H46" s="4863">
        <v>0</v>
      </c>
      <c r="I46" s="4887"/>
      <c r="J46" s="4446"/>
      <c r="K46" s="4886"/>
      <c r="L46" s="18">
        <f>+USM!M174</f>
        <v>0</v>
      </c>
      <c r="M46" s="4888"/>
      <c r="N46" s="68">
        <f t="shared" si="234"/>
        <v>0</v>
      </c>
      <c r="O46" s="4886"/>
      <c r="P46" s="18">
        <f>+USM!Q174</f>
        <v>15.712999999999999</v>
      </c>
      <c r="Q46" s="713"/>
      <c r="R46" s="38">
        <f t="shared" ref="R46:R47" si="241">+N46+P46</f>
        <v>15.712999999999999</v>
      </c>
      <c r="S46" s="4886"/>
      <c r="T46" s="18">
        <f>+USM!U174</f>
        <v>0</v>
      </c>
      <c r="U46" s="713"/>
      <c r="V46" s="38">
        <f t="shared" ref="V46:V47" si="242">+R46+T46</f>
        <v>15.712999999999999</v>
      </c>
      <c r="W46" s="4886"/>
      <c r="X46" s="18">
        <f>+USM!Y174</f>
        <v>1199.047</v>
      </c>
      <c r="Y46" s="451"/>
      <c r="Z46" s="774">
        <f t="shared" si="225"/>
        <v>1214.76</v>
      </c>
      <c r="AA46" s="1584"/>
      <c r="AB46" s="460">
        <f t="shared" si="235"/>
        <v>1214.76</v>
      </c>
      <c r="AC46" s="4886"/>
      <c r="AD46" s="18">
        <f>+USM!AE174</f>
        <v>992.23599999999988</v>
      </c>
      <c r="AE46" s="4887"/>
      <c r="AF46" s="38">
        <f t="shared" si="236"/>
        <v>2206.9960000000001</v>
      </c>
      <c r="AG46" s="4886"/>
      <c r="AH46" s="18">
        <f>+USM!AI174</f>
        <v>1383.221</v>
      </c>
      <c r="AI46" s="4887"/>
      <c r="AJ46" s="38">
        <f t="shared" si="237"/>
        <v>3590.2170000000001</v>
      </c>
      <c r="AK46" s="4886"/>
      <c r="AL46" s="18">
        <f>+USM!AM174</f>
        <v>3758.0199999999995</v>
      </c>
      <c r="AM46" s="4849"/>
      <c r="AN46" s="774">
        <f t="shared" si="226"/>
        <v>6133.476999999999</v>
      </c>
      <c r="AO46" s="4887"/>
      <c r="AP46" s="60">
        <f t="shared" si="227"/>
        <v>7348.2369999999992</v>
      </c>
      <c r="AQ46" s="4886"/>
      <c r="AR46" s="18">
        <f>+USM!AS174</f>
        <v>2622.34</v>
      </c>
      <c r="AS46" s="4887"/>
      <c r="AT46" s="38">
        <f t="shared" si="238"/>
        <v>9970.5769999999993</v>
      </c>
      <c r="AU46" s="4886"/>
      <c r="AV46" s="18">
        <f>+USM!AW174</f>
        <v>0</v>
      </c>
      <c r="AW46" s="4887"/>
      <c r="AX46" s="38">
        <f t="shared" si="239"/>
        <v>9970.5769999999993</v>
      </c>
      <c r="AY46" s="4886"/>
      <c r="AZ46" s="18">
        <f>+USM!BA174</f>
        <v>1750.001</v>
      </c>
      <c r="BA46" s="4849">
        <f t="shared" si="228"/>
        <v>0</v>
      </c>
      <c r="BB46" s="4849">
        <f t="shared" si="229"/>
        <v>4372.3410000000003</v>
      </c>
      <c r="BC46" s="1584">
        <f t="shared" si="230"/>
        <v>0</v>
      </c>
      <c r="BD46" s="4854">
        <f t="shared" si="231"/>
        <v>10505.817999999999</v>
      </c>
      <c r="BE46" s="4887">
        <f t="shared" ref="BE46:BE47" si="243">AW46+AY46</f>
        <v>0</v>
      </c>
      <c r="BF46" s="4887">
        <f t="shared" ref="BF46:BF47" si="244">AX46+AZ46</f>
        <v>11720.578</v>
      </c>
      <c r="BG46" s="4889"/>
      <c r="BH46" s="4889"/>
      <c r="BI46" s="4889"/>
      <c r="BJ46" s="4889"/>
      <c r="BK46" s="4889"/>
      <c r="BL46" s="4889"/>
      <c r="BM46" s="4889"/>
      <c r="BN46" s="4889"/>
      <c r="BO46" s="4889"/>
      <c r="BP46" s="4889"/>
      <c r="BQ46" s="3779"/>
      <c r="BR46" s="1202"/>
      <c r="BS46" s="1520"/>
      <c r="BT46" s="1520"/>
      <c r="BU46" s="26"/>
      <c r="BV46" s="26"/>
      <c r="BW46" s="528"/>
      <c r="BX46" s="528"/>
    </row>
    <row r="47" spans="1:76" ht="15" customHeight="1" x14ac:dyDescent="0.3">
      <c r="A47" s="26"/>
      <c r="B47" s="4883" t="s">
        <v>2050</v>
      </c>
      <c r="C47" s="4884"/>
      <c r="D47" s="4885"/>
      <c r="E47" s="4886"/>
      <c r="F47" s="18">
        <f>+USM!G175</f>
        <v>0</v>
      </c>
      <c r="G47" s="4886"/>
      <c r="H47" s="18">
        <f>+USM!I175</f>
        <v>0</v>
      </c>
      <c r="I47" s="4887"/>
      <c r="J47" s="4446">
        <f>+USM!K175</f>
        <v>0</v>
      </c>
      <c r="K47" s="4886"/>
      <c r="L47" s="4863">
        <f>+USM!M175</f>
        <v>2649.6750000000002</v>
      </c>
      <c r="M47" s="4888"/>
      <c r="N47" s="4865">
        <f>+USM!O175</f>
        <v>2649.6750000000002</v>
      </c>
      <c r="O47" s="4886"/>
      <c r="P47" s="4863">
        <f>+USM!Q175</f>
        <v>2830.9939999999997</v>
      </c>
      <c r="Q47" s="713"/>
      <c r="R47" s="38">
        <f t="shared" si="241"/>
        <v>5480.6689999999999</v>
      </c>
      <c r="S47" s="4886"/>
      <c r="T47" s="4863">
        <f>+USM!U175</f>
        <v>2612.6579999999994</v>
      </c>
      <c r="U47" s="713"/>
      <c r="V47" s="38">
        <f t="shared" si="242"/>
        <v>8093.3269999999993</v>
      </c>
      <c r="W47" s="4886"/>
      <c r="X47" s="4863">
        <f>+USM!Y175</f>
        <v>1543.8019999999997</v>
      </c>
      <c r="Y47" s="451"/>
      <c r="Z47" s="774">
        <f t="shared" si="225"/>
        <v>6987.4539999999988</v>
      </c>
      <c r="AA47" s="1584"/>
      <c r="AB47" s="460">
        <f t="shared" si="235"/>
        <v>9637.128999999999</v>
      </c>
      <c r="AC47" s="4886"/>
      <c r="AD47" s="4863">
        <f>+USM!AE175</f>
        <v>0</v>
      </c>
      <c r="AE47" s="4887"/>
      <c r="AF47" s="38">
        <f t="shared" si="236"/>
        <v>9637.128999999999</v>
      </c>
      <c r="AG47" s="4886"/>
      <c r="AH47" s="4863">
        <f>+USM!AI175</f>
        <v>1341.9749999999999</v>
      </c>
      <c r="AI47" s="4887"/>
      <c r="AJ47" s="38">
        <f t="shared" si="237"/>
        <v>10979.103999999999</v>
      </c>
      <c r="AK47" s="4886"/>
      <c r="AL47" s="4863">
        <f>+USM!AM175</f>
        <v>0</v>
      </c>
      <c r="AM47" s="4849"/>
      <c r="AN47" s="774">
        <f t="shared" si="226"/>
        <v>1341.9749999999999</v>
      </c>
      <c r="AO47" s="4887"/>
      <c r="AP47" s="60">
        <f t="shared" si="227"/>
        <v>10979.103999999999</v>
      </c>
      <c r="AQ47" s="4886"/>
      <c r="AR47" s="4863">
        <f>+USM!AS175</f>
        <v>4298.6260000000002</v>
      </c>
      <c r="AS47" s="4887"/>
      <c r="AT47" s="38">
        <f t="shared" si="238"/>
        <v>15277.73</v>
      </c>
      <c r="AU47" s="4886"/>
      <c r="AV47" s="4863">
        <f>+USM!AW175</f>
        <v>0</v>
      </c>
      <c r="AW47" s="4887"/>
      <c r="AX47" s="38">
        <f t="shared" si="239"/>
        <v>15277.73</v>
      </c>
      <c r="AY47" s="4886"/>
      <c r="AZ47" s="4863">
        <f>+USM!BA175</f>
        <v>2231.7529999999997</v>
      </c>
      <c r="BA47" s="4849">
        <f t="shared" si="228"/>
        <v>0</v>
      </c>
      <c r="BB47" s="4849">
        <f t="shared" si="229"/>
        <v>6530.3789999999999</v>
      </c>
      <c r="BC47" s="1584">
        <f t="shared" si="230"/>
        <v>0</v>
      </c>
      <c r="BD47" s="4854">
        <f t="shared" si="231"/>
        <v>7872.3539999999994</v>
      </c>
      <c r="BE47" s="4887">
        <f t="shared" si="243"/>
        <v>0</v>
      </c>
      <c r="BF47" s="4887">
        <f t="shared" si="244"/>
        <v>17509.483</v>
      </c>
      <c r="BG47" s="4889"/>
      <c r="BH47" s="4889"/>
      <c r="BI47" s="4889"/>
      <c r="BJ47" s="4889"/>
      <c r="BK47" s="4889"/>
      <c r="BL47" s="4889"/>
      <c r="BM47" s="4889"/>
      <c r="BN47" s="4889"/>
      <c r="BO47" s="4889"/>
      <c r="BP47" s="4889"/>
      <c r="BQ47" s="3779"/>
      <c r="BR47" s="1202"/>
      <c r="BS47" s="1520"/>
      <c r="BT47" s="1520"/>
      <c r="BU47" s="26"/>
      <c r="BV47" s="26"/>
      <c r="BW47" s="528"/>
      <c r="BX47" s="528"/>
    </row>
    <row r="48" spans="1:76" ht="15" customHeight="1" x14ac:dyDescent="0.3">
      <c r="B48" s="1919" t="s">
        <v>687</v>
      </c>
      <c r="C48" s="1892" t="s">
        <v>50</v>
      </c>
      <c r="D48" s="2444">
        <f t="shared" ref="D48:L48" si="245">+D36</f>
        <v>524798.33712911</v>
      </c>
      <c r="E48" s="152">
        <f t="shared" si="245"/>
        <v>48499.815368603398</v>
      </c>
      <c r="F48" s="178">
        <f t="shared" si="245"/>
        <v>45616.58799999996</v>
      </c>
      <c r="G48" s="152">
        <f t="shared" ref="G48:H48" si="246">+G36</f>
        <v>48499.576671657102</v>
      </c>
      <c r="H48" s="178">
        <f t="shared" si="246"/>
        <v>55556</v>
      </c>
      <c r="I48" s="60">
        <f t="shared" si="245"/>
        <v>96999.3920402605</v>
      </c>
      <c r="J48" s="38">
        <f t="shared" si="245"/>
        <v>101172.58799999996</v>
      </c>
      <c r="K48" s="152">
        <f t="shared" si="245"/>
        <v>48000.110883115201</v>
      </c>
      <c r="L48" s="178">
        <f t="shared" si="245"/>
        <v>57284</v>
      </c>
      <c r="M48" s="71">
        <f>+E48+G48+K48</f>
        <v>144999.50292337569</v>
      </c>
      <c r="N48" s="68">
        <f t="shared" si="234"/>
        <v>158456.58799999996</v>
      </c>
      <c r="O48" s="152">
        <f t="shared" ref="O48:P48" si="247">+O36</f>
        <v>43500.141355320899</v>
      </c>
      <c r="P48" s="178">
        <f t="shared" si="247"/>
        <v>50766</v>
      </c>
      <c r="Q48" s="60">
        <f t="shared" ref="Q48:AA48" si="248">+Q36</f>
        <v>188499.64427869659</v>
      </c>
      <c r="R48" s="38">
        <f t="shared" si="248"/>
        <v>209222.58799999996</v>
      </c>
      <c r="S48" s="152">
        <f t="shared" si="248"/>
        <v>43500.141355320899</v>
      </c>
      <c r="T48" s="178">
        <f t="shared" si="248"/>
        <v>60047.19</v>
      </c>
      <c r="U48" s="60">
        <f t="shared" ref="U48:X48" si="249">+U36</f>
        <v>231999.78563401749</v>
      </c>
      <c r="V48" s="38">
        <f t="shared" si="249"/>
        <v>269269.77799999999</v>
      </c>
      <c r="W48" s="152">
        <f t="shared" si="249"/>
        <v>15300.0147648532</v>
      </c>
      <c r="X48" s="178">
        <f t="shared" si="249"/>
        <v>55490</v>
      </c>
      <c r="Y48" s="774">
        <f t="shared" si="248"/>
        <v>102300.297475495</v>
      </c>
      <c r="Z48" s="774">
        <f t="shared" si="248"/>
        <v>166303.18999999997</v>
      </c>
      <c r="AA48" s="460">
        <f t="shared" si="248"/>
        <v>247299.80039887069</v>
      </c>
      <c r="AB48" s="460">
        <f t="shared" si="235"/>
        <v>324759.77799999993</v>
      </c>
      <c r="AC48" s="152">
        <f t="shared" ref="AC48:AD48" si="250">+AC36</f>
        <v>48999.528159756301</v>
      </c>
      <c r="AD48" s="178">
        <f t="shared" si="250"/>
        <v>65807</v>
      </c>
      <c r="AE48" s="60">
        <f t="shared" ref="AE48:AH48" si="251">+AE36</f>
        <v>296299.32855862699</v>
      </c>
      <c r="AF48" s="38">
        <f t="shared" si="251"/>
        <v>390566.77799999993</v>
      </c>
      <c r="AG48" s="152">
        <f t="shared" si="251"/>
        <v>45499.588455674595</v>
      </c>
      <c r="AH48" s="178">
        <f t="shared" si="251"/>
        <v>61080</v>
      </c>
      <c r="AI48" s="60">
        <f t="shared" ref="AI48:AN48" si="252">+AI36</f>
        <v>341798.91701430158</v>
      </c>
      <c r="AJ48" s="38">
        <f t="shared" si="252"/>
        <v>451646.77799999993</v>
      </c>
      <c r="AK48" s="152">
        <f t="shared" si="252"/>
        <v>46000.054244216401</v>
      </c>
      <c r="AL48" s="178">
        <f t="shared" si="252"/>
        <v>53051</v>
      </c>
      <c r="AM48" s="774">
        <f t="shared" si="252"/>
        <v>140499.17085964727</v>
      </c>
      <c r="AN48" s="774">
        <f t="shared" si="252"/>
        <v>179938</v>
      </c>
      <c r="AO48" s="60">
        <f>AI48+AK48</f>
        <v>387798.971258518</v>
      </c>
      <c r="AP48" s="60">
        <f t="shared" si="227"/>
        <v>504697.77799999993</v>
      </c>
      <c r="AQ48" s="152">
        <f t="shared" ref="AQ48:AR48" si="253">+AQ36</f>
        <v>48499.664678463945</v>
      </c>
      <c r="AR48" s="178">
        <f t="shared" si="253"/>
        <v>37998</v>
      </c>
      <c r="AS48" s="60">
        <f t="shared" ref="AS48:AV48" si="254">+AS36</f>
        <v>436298.63593698194</v>
      </c>
      <c r="AT48" s="38">
        <f t="shared" si="254"/>
        <v>542695.77799999993</v>
      </c>
      <c r="AU48" s="152">
        <f t="shared" si="254"/>
        <v>41500.010429203743</v>
      </c>
      <c r="AV48" s="178">
        <f t="shared" si="254"/>
        <v>18442</v>
      </c>
      <c r="AW48" s="60">
        <f t="shared" ref="AW48:AZ48" si="255">+AW36</f>
        <v>477798.64636618568</v>
      </c>
      <c r="AX48" s="38">
        <f t="shared" si="255"/>
        <v>561137.77799999993</v>
      </c>
      <c r="AY48" s="152">
        <f t="shared" si="255"/>
        <v>46999.690762923987</v>
      </c>
      <c r="AZ48" s="178">
        <f t="shared" si="255"/>
        <v>42319.899000000005</v>
      </c>
      <c r="BA48" s="774">
        <f t="shared" si="228"/>
        <v>136999.36587059166</v>
      </c>
      <c r="BB48" s="774">
        <f t="shared" si="229"/>
        <v>98759.899000000005</v>
      </c>
      <c r="BC48" s="460">
        <f t="shared" si="230"/>
        <v>277498.53673023893</v>
      </c>
      <c r="BD48" s="460">
        <f t="shared" si="231"/>
        <v>278697.89899999998</v>
      </c>
      <c r="BE48" s="60">
        <f>AW48+AY48</f>
        <v>524798.33712910966</v>
      </c>
      <c r="BF48" s="60">
        <f t="shared" si="232"/>
        <v>603457.67699999991</v>
      </c>
      <c r="BG48" s="1721">
        <v>479999.55640071473</v>
      </c>
      <c r="BH48" s="1721">
        <v>622038.29920000001</v>
      </c>
      <c r="BI48" s="1721">
        <v>649999.91641318286</v>
      </c>
      <c r="BJ48" s="1721">
        <v>676651.51417999994</v>
      </c>
      <c r="BK48" s="1721">
        <v>711198.95600000001</v>
      </c>
      <c r="BL48" s="1721">
        <v>669999.10878236312</v>
      </c>
      <c r="BM48" s="1721">
        <v>832014.92464244016</v>
      </c>
      <c r="BN48" s="1721">
        <f>+BN36</f>
        <v>904433.82567653409</v>
      </c>
      <c r="BO48" s="1721">
        <v>937874.53289999999</v>
      </c>
      <c r="BP48" s="1721">
        <v>571999.74093264237</v>
      </c>
      <c r="BQ48" s="1083">
        <f>+BQ36</f>
        <v>877839.95550700894</v>
      </c>
      <c r="BR48" s="1202"/>
      <c r="BS48" s="1520"/>
      <c r="BT48" s="1520"/>
      <c r="BU48" s="26"/>
      <c r="BV48" s="26"/>
      <c r="BW48" s="528"/>
      <c r="BX48" s="528"/>
    </row>
    <row r="49" spans="1:76" ht="15" customHeight="1" x14ac:dyDescent="0.3">
      <c r="B49" s="1917" t="s">
        <v>1532</v>
      </c>
      <c r="C49" s="1894" t="s">
        <v>50</v>
      </c>
      <c r="D49" s="2444">
        <f t="shared" ref="D49:R49" si="256">SUM(D39:D48)</f>
        <v>2674798.33712911</v>
      </c>
      <c r="E49" s="1319">
        <f t="shared" si="256"/>
        <v>228999.81536860339</v>
      </c>
      <c r="F49" s="1125">
        <f t="shared" si="256"/>
        <v>198797.95000000004</v>
      </c>
      <c r="G49" s="1319">
        <f t="shared" ref="G49" si="257">SUM(G39:G48)</f>
        <v>236499.57667165709</v>
      </c>
      <c r="H49" s="1125">
        <f t="shared" ref="H49" si="258">SUM(H39:H48)</f>
        <v>228302.57900000006</v>
      </c>
      <c r="I49" s="1985">
        <f t="shared" si="256"/>
        <v>465499.39204026049</v>
      </c>
      <c r="J49" s="1986">
        <f t="shared" si="256"/>
        <v>427100.5290000001</v>
      </c>
      <c r="K49" s="1319">
        <f t="shared" ref="K49:L49" si="259">SUM(K39:K48)</f>
        <v>229000.11088311521</v>
      </c>
      <c r="L49" s="1125">
        <f t="shared" si="259"/>
        <v>227893.99800000005</v>
      </c>
      <c r="M49" s="1977">
        <f t="shared" si="256"/>
        <v>694499.50292337569</v>
      </c>
      <c r="N49" s="1978">
        <f t="shared" si="256"/>
        <v>654994.52700000012</v>
      </c>
      <c r="O49" s="1319">
        <f t="shared" ref="O49:P49" si="260">SUM(O39:O48)</f>
        <v>231500.1413553209</v>
      </c>
      <c r="P49" s="1125">
        <f t="shared" si="260"/>
        <v>243213.77700000009</v>
      </c>
      <c r="Q49" s="1985">
        <f t="shared" si="256"/>
        <v>925999.64427869662</v>
      </c>
      <c r="R49" s="1986">
        <f t="shared" si="256"/>
        <v>898208.30400000024</v>
      </c>
      <c r="S49" s="1319">
        <f t="shared" ref="S49:T49" si="261">SUM(S39:S48)</f>
        <v>231500.1413553209</v>
      </c>
      <c r="T49" s="1125">
        <f t="shared" si="261"/>
        <v>219025.52800000002</v>
      </c>
      <c r="U49" s="1985">
        <f t="shared" ref="U49:X49" si="262">SUM(U39:U48)</f>
        <v>1157499.7856340175</v>
      </c>
      <c r="V49" s="1986">
        <f t="shared" si="262"/>
        <v>1117233.8320000002</v>
      </c>
      <c r="W49" s="1319">
        <f t="shared" si="262"/>
        <v>121300.0147648532</v>
      </c>
      <c r="X49" s="1125">
        <f t="shared" si="262"/>
        <v>222811.90100000007</v>
      </c>
      <c r="Y49" s="373">
        <f t="shared" ref="Y49:AD49" si="263">SUM(Y39:Y48)</f>
        <v>584300.29747549503</v>
      </c>
      <c r="Z49" s="373">
        <f t="shared" si="263"/>
        <v>685051.20600000024</v>
      </c>
      <c r="AA49" s="539">
        <f t="shared" si="263"/>
        <v>1278799.8003988706</v>
      </c>
      <c r="AB49" s="539">
        <f t="shared" si="263"/>
        <v>1340045.7330000002</v>
      </c>
      <c r="AC49" s="1319">
        <f t="shared" si="263"/>
        <v>236499.5281597563</v>
      </c>
      <c r="AD49" s="1125">
        <f t="shared" si="263"/>
        <v>176451.7220000001</v>
      </c>
      <c r="AE49" s="1985">
        <f t="shared" ref="AE49:AH49" si="264">SUM(AE39:AE48)</f>
        <v>1515299.3285586271</v>
      </c>
      <c r="AF49" s="1986">
        <f t="shared" si="264"/>
        <v>1516497.4550000003</v>
      </c>
      <c r="AG49" s="1319">
        <f t="shared" si="264"/>
        <v>228999.58845567459</v>
      </c>
      <c r="AH49" s="1125">
        <f t="shared" si="264"/>
        <v>214475.05900000007</v>
      </c>
      <c r="AI49" s="1985">
        <f t="shared" ref="AI49:AL49" si="265">SUM(AI39:AI48)</f>
        <v>1744298.9170143015</v>
      </c>
      <c r="AJ49" s="1986">
        <f t="shared" si="265"/>
        <v>1730972.5140000004</v>
      </c>
      <c r="AK49" s="1319">
        <f t="shared" si="265"/>
        <v>236500.05424421642</v>
      </c>
      <c r="AL49" s="1125">
        <f t="shared" si="265"/>
        <v>231662.29500000016</v>
      </c>
      <c r="AM49" s="373">
        <f t="shared" ref="AM49:AR49" si="266">SUM(AM39:AM48)</f>
        <v>701999.17085964722</v>
      </c>
      <c r="AN49" s="373">
        <f t="shared" si="266"/>
        <v>622589.07600000035</v>
      </c>
      <c r="AO49" s="1985">
        <f t="shared" si="266"/>
        <v>1980798.9712585181</v>
      </c>
      <c r="AP49" s="1986">
        <f t="shared" si="266"/>
        <v>1962634.8090000006</v>
      </c>
      <c r="AQ49" s="1319">
        <f t="shared" si="266"/>
        <v>239999.66467846395</v>
      </c>
      <c r="AR49" s="1125">
        <f t="shared" si="266"/>
        <v>224562.12800000014</v>
      </c>
      <c r="AS49" s="1985">
        <f t="shared" ref="AS49:AV49" si="267">SUM(AS39:AS48)</f>
        <v>2220798.635936982</v>
      </c>
      <c r="AT49" s="1986">
        <f t="shared" si="267"/>
        <v>2187196.9370000008</v>
      </c>
      <c r="AU49" s="1319">
        <f t="shared" si="267"/>
        <v>214000.01042920374</v>
      </c>
      <c r="AV49" s="1125">
        <f t="shared" si="267"/>
        <v>184200.41800000009</v>
      </c>
      <c r="AW49" s="1985">
        <f t="shared" ref="AW49:AZ49" si="268">SUM(AW39:AW48)</f>
        <v>2434798.6463661855</v>
      </c>
      <c r="AX49" s="1986">
        <f t="shared" si="268"/>
        <v>2371397.3550000009</v>
      </c>
      <c r="AY49" s="1319">
        <f t="shared" si="268"/>
        <v>239999.69076292397</v>
      </c>
      <c r="AZ49" s="1125">
        <f t="shared" si="268"/>
        <v>233332.89499999999</v>
      </c>
      <c r="BA49" s="373">
        <f t="shared" ref="BA49:BF49" si="269">SUM(BA39:BA48)</f>
        <v>693999.36587059172</v>
      </c>
      <c r="BB49" s="373">
        <f t="shared" si="269"/>
        <v>642095.44100000011</v>
      </c>
      <c r="BC49" s="539">
        <f t="shared" si="269"/>
        <v>1395998.5367302389</v>
      </c>
      <c r="BD49" s="539">
        <f t="shared" si="269"/>
        <v>1264684.5170000005</v>
      </c>
      <c r="BE49" s="1985">
        <f t="shared" si="269"/>
        <v>2674798.3371291095</v>
      </c>
      <c r="BF49" s="1986">
        <f t="shared" si="269"/>
        <v>2604730.2500000009</v>
      </c>
      <c r="BG49" s="1124">
        <v>2409999.5564007149</v>
      </c>
      <c r="BH49" s="1124">
        <v>2331824.0152000007</v>
      </c>
      <c r="BI49" s="1124">
        <v>2524999.9164131829</v>
      </c>
      <c r="BJ49" s="1124">
        <v>2409644.1371800005</v>
      </c>
      <c r="BK49" s="1124">
        <v>2315207.9685</v>
      </c>
      <c r="BL49" s="1124">
        <f t="shared" ref="BL49:BQ49" si="270">SUM(BL39:BL48)</f>
        <v>2369999.1087823631</v>
      </c>
      <c r="BM49" s="1124">
        <f t="shared" si="270"/>
        <v>2160425.8190858974</v>
      </c>
      <c r="BN49" s="1124">
        <f t="shared" si="270"/>
        <v>2235274.9274697341</v>
      </c>
      <c r="BO49" s="1124">
        <f t="shared" si="270"/>
        <v>1823883.8005788068</v>
      </c>
      <c r="BP49" s="1124">
        <f t="shared" si="270"/>
        <v>2406999.7409326425</v>
      </c>
      <c r="BQ49" s="1957">
        <f t="shared" si="270"/>
        <v>2093720.1667959802</v>
      </c>
      <c r="BR49" s="1202"/>
      <c r="BS49" s="1520"/>
      <c r="BT49" s="1520"/>
      <c r="BU49" s="26"/>
      <c r="BV49" s="26"/>
      <c r="BW49" s="528"/>
      <c r="BX49" s="528"/>
    </row>
    <row r="50" spans="1:76" ht="15" customHeight="1" x14ac:dyDescent="0.3">
      <c r="B50" s="1916" t="s">
        <v>343</v>
      </c>
      <c r="C50" s="1892" t="s">
        <v>50</v>
      </c>
      <c r="D50" s="2444">
        <v>42940.816250000003</v>
      </c>
      <c r="E50" s="152">
        <v>3583.125</v>
      </c>
      <c r="F50" s="18">
        <v>3447.44</v>
      </c>
      <c r="G50" s="152">
        <v>3702.5625</v>
      </c>
      <c r="H50" s="18">
        <v>3578.13</v>
      </c>
      <c r="I50" s="60">
        <f>+E50+G50</f>
        <v>7285.6875</v>
      </c>
      <c r="J50" s="38">
        <f>+F50+H50</f>
        <v>7025.57</v>
      </c>
      <c r="K50" s="152">
        <v>3531.5250000000001</v>
      </c>
      <c r="L50" s="18">
        <v>3463.0699999999997</v>
      </c>
      <c r="M50" s="71">
        <f>+E50+G50+K50</f>
        <v>10817.2125</v>
      </c>
      <c r="N50" s="68">
        <f>+F50+H50+L50</f>
        <v>10488.64</v>
      </c>
      <c r="O50" s="152">
        <v>3649.2424999999998</v>
      </c>
      <c r="P50" s="18">
        <v>3586.12</v>
      </c>
      <c r="Q50" s="60">
        <f>+M50+O50</f>
        <v>14466.455</v>
      </c>
      <c r="R50" s="38">
        <f>+N50+P50</f>
        <v>14074.759999999998</v>
      </c>
      <c r="S50" s="152">
        <v>3649.2424999999998</v>
      </c>
      <c r="T50" s="18">
        <v>3608.6899999999996</v>
      </c>
      <c r="U50" s="60">
        <f>+Q50+S50</f>
        <v>18115.697499999998</v>
      </c>
      <c r="V50" s="38">
        <f>+R50+T50</f>
        <v>17683.449999999997</v>
      </c>
      <c r="W50" s="152">
        <v>3400.5337499999996</v>
      </c>
      <c r="X50" s="18">
        <v>3497.87</v>
      </c>
      <c r="Y50" s="774">
        <f>+O50+S50+W50</f>
        <v>10699.018749999999</v>
      </c>
      <c r="Z50" s="774">
        <f>+P50+T50+X50</f>
        <v>10692.68</v>
      </c>
      <c r="AA50" s="460">
        <f>+M50+Y50</f>
        <v>21516.231249999997</v>
      </c>
      <c r="AB50" s="460">
        <f>+N50+Z50</f>
        <v>21181.32</v>
      </c>
      <c r="AC50" s="152">
        <v>3649.2424999999998</v>
      </c>
      <c r="AD50" s="18">
        <v>3405.82</v>
      </c>
      <c r="AE50" s="60">
        <f>+AA50+AC50</f>
        <v>25165.473749999997</v>
      </c>
      <c r="AF50" s="38">
        <f>+AB50+AD50</f>
        <v>24587.14</v>
      </c>
      <c r="AG50" s="152">
        <v>3531.5250000000001</v>
      </c>
      <c r="AH50" s="18">
        <v>3215</v>
      </c>
      <c r="AI50" s="60">
        <f>+AE50+AG50</f>
        <v>28696.998749999999</v>
      </c>
      <c r="AJ50" s="38">
        <f>+AF50+AH50</f>
        <v>27802.14</v>
      </c>
      <c r="AK50" s="152">
        <v>3649.2424999999998</v>
      </c>
      <c r="AL50" s="18">
        <v>3251.75</v>
      </c>
      <c r="AM50" s="774">
        <f>+AC50+AG50+AK50</f>
        <v>10830.01</v>
      </c>
      <c r="AN50" s="774">
        <f>+AD50+AH50+AL50</f>
        <v>9872.57</v>
      </c>
      <c r="AO50" s="60">
        <f>AI50+AK50</f>
        <v>32346.241249999999</v>
      </c>
      <c r="AP50" s="60">
        <f t="shared" si="227"/>
        <v>31053.89</v>
      </c>
      <c r="AQ50" s="152">
        <v>3649.2424999999998</v>
      </c>
      <c r="AR50" s="18">
        <v>3434.6800000000003</v>
      </c>
      <c r="AS50" s="60">
        <f>+AO50+AQ50</f>
        <v>35995.483749999999</v>
      </c>
      <c r="AT50" s="38">
        <f>+AP50+AR50</f>
        <v>34488.57</v>
      </c>
      <c r="AU50" s="152">
        <v>3296.09</v>
      </c>
      <c r="AV50" s="18">
        <v>3170.67</v>
      </c>
      <c r="AW50" s="60">
        <f>+AS50+AU50</f>
        <v>39291.573749999996</v>
      </c>
      <c r="AX50" s="38">
        <f>+AT50+AV50</f>
        <v>37659.24</v>
      </c>
      <c r="AY50" s="152">
        <v>3649.2424999999998</v>
      </c>
      <c r="AZ50" s="18">
        <v>3562.08</v>
      </c>
      <c r="BA50" s="774">
        <f t="shared" ref="BA50:BA51" si="271">+AQ50+AU50+AY50</f>
        <v>10594.575000000001</v>
      </c>
      <c r="BB50" s="774">
        <f t="shared" ref="BB50:BB51" si="272">+AR50+AV50+AZ50</f>
        <v>10167.43</v>
      </c>
      <c r="BC50" s="460">
        <f t="shared" ref="BC50:BC51" si="273">AM50+BA50</f>
        <v>21424.584999999999</v>
      </c>
      <c r="BD50" s="460">
        <f t="shared" ref="BD50:BD51" si="274">AN50+BB50</f>
        <v>20040</v>
      </c>
      <c r="BE50" s="60">
        <f>AW50+AY50</f>
        <v>42940.816249999996</v>
      </c>
      <c r="BF50" s="60">
        <f t="shared" ref="BF50:BF51" si="275">AX50+AZ50</f>
        <v>41221.32</v>
      </c>
      <c r="BG50" s="1721">
        <v>46866.669119999991</v>
      </c>
      <c r="BH50" s="1721">
        <v>43164.837499999994</v>
      </c>
      <c r="BI50" s="1721">
        <v>50890.945799999994</v>
      </c>
      <c r="BJ50" s="1721">
        <v>44869.641499999998</v>
      </c>
      <c r="BK50" s="1721">
        <v>48878.170000000006</v>
      </c>
      <c r="BL50" s="1721">
        <v>51086.382800000007</v>
      </c>
      <c r="BM50" s="1721">
        <v>49592.549999999996</v>
      </c>
      <c r="BN50" s="1721">
        <v>48584.311000000002</v>
      </c>
      <c r="BO50" s="1721">
        <v>46678.95</v>
      </c>
      <c r="BP50" s="1721">
        <v>46118.873100000012</v>
      </c>
      <c r="BQ50" s="1083">
        <v>49237.57</v>
      </c>
      <c r="BR50" s="1202"/>
      <c r="BS50" s="1520"/>
      <c r="BT50" s="1520"/>
      <c r="BU50" s="26"/>
      <c r="BV50" s="26"/>
      <c r="BW50" s="528"/>
      <c r="BX50" s="528"/>
    </row>
    <row r="51" spans="1:76" ht="15" customHeight="1" x14ac:dyDescent="0.3">
      <c r="B51" s="1916" t="s">
        <v>344</v>
      </c>
      <c r="C51" s="1892" t="s">
        <v>50</v>
      </c>
      <c r="D51" s="2444">
        <v>9122.3970800000025</v>
      </c>
      <c r="E51" s="152">
        <v>835.57544000000007</v>
      </c>
      <c r="F51" s="18">
        <v>674</v>
      </c>
      <c r="G51" s="152">
        <v>865.41741999999999</v>
      </c>
      <c r="H51" s="18">
        <v>488.5</v>
      </c>
      <c r="I51" s="60">
        <f>+E51+G51</f>
        <v>1700.9928600000001</v>
      </c>
      <c r="J51" s="38">
        <f>+F51+H51</f>
        <v>1162.5</v>
      </c>
      <c r="K51" s="152">
        <v>816.31144000000006</v>
      </c>
      <c r="L51" s="18">
        <v>494.65</v>
      </c>
      <c r="M51" s="71">
        <f>+E51+G51+K51</f>
        <v>2517.3043000000002</v>
      </c>
      <c r="N51" s="68">
        <f>+F51+H51+L51</f>
        <v>1657.15</v>
      </c>
      <c r="O51" s="152">
        <v>845.46541999999999</v>
      </c>
      <c r="P51" s="18">
        <v>717.5</v>
      </c>
      <c r="Q51" s="60">
        <f>+M51+O51</f>
        <v>3362.7697200000002</v>
      </c>
      <c r="R51" s="38">
        <f>+N51+P51</f>
        <v>2374.65</v>
      </c>
      <c r="S51" s="152">
        <v>845.46541999999999</v>
      </c>
      <c r="T51" s="18">
        <v>586.54999999999995</v>
      </c>
      <c r="U51" s="60">
        <f>+Q51+S51</f>
        <v>4208.2351400000007</v>
      </c>
      <c r="V51" s="38">
        <f>+R51+T51</f>
        <v>2961.2</v>
      </c>
      <c r="W51" s="152">
        <v>790.46478000000002</v>
      </c>
      <c r="X51" s="18">
        <v>519.6</v>
      </c>
      <c r="Y51" s="774">
        <f>+O51+S51+W51</f>
        <v>2481.3956200000002</v>
      </c>
      <c r="Z51" s="774">
        <f>+P51+T51+X51</f>
        <v>1823.65</v>
      </c>
      <c r="AA51" s="460">
        <f>+M51+Y51</f>
        <v>4998.6999200000009</v>
      </c>
      <c r="AB51" s="460">
        <f>+N51+Z51</f>
        <v>3480.8</v>
      </c>
      <c r="AC51" s="152">
        <v>376.59342000000004</v>
      </c>
      <c r="AD51" s="18">
        <v>502.5</v>
      </c>
      <c r="AE51" s="60">
        <f>+AA51+AC51</f>
        <v>5375.2933400000011</v>
      </c>
      <c r="AF51" s="38">
        <f>+AB51+AD51</f>
        <v>3983.3</v>
      </c>
      <c r="AG51" s="152">
        <v>452.70400000000001</v>
      </c>
      <c r="AH51" s="18">
        <v>384</v>
      </c>
      <c r="AI51" s="60">
        <f>+AE51+AG51</f>
        <v>5827.9973400000008</v>
      </c>
      <c r="AJ51" s="38">
        <f>+AF51+AH51</f>
        <v>4367.3</v>
      </c>
      <c r="AK51" s="152">
        <v>845.46541999999999</v>
      </c>
      <c r="AL51" s="18">
        <v>573.79999999999995</v>
      </c>
      <c r="AM51" s="774">
        <f>+AC51+AG51+AK51</f>
        <v>1674.7628400000001</v>
      </c>
      <c r="AN51" s="774">
        <f>+AD51+AH51+AL51</f>
        <v>1460.3</v>
      </c>
      <c r="AO51" s="60">
        <f>AI51+AK51</f>
        <v>6673.4627600000003</v>
      </c>
      <c r="AP51" s="60">
        <f t="shared" si="227"/>
        <v>4941.1000000000004</v>
      </c>
      <c r="AQ51" s="152">
        <v>845.46541999999999</v>
      </c>
      <c r="AR51" s="18">
        <v>682.35</v>
      </c>
      <c r="AS51" s="60">
        <f>+AO51+AQ51</f>
        <v>7518.9281800000008</v>
      </c>
      <c r="AT51" s="38">
        <f>+AP51+AR51</f>
        <v>5623.4500000000007</v>
      </c>
      <c r="AU51" s="152">
        <v>758.00348000000008</v>
      </c>
      <c r="AV51" s="18">
        <v>478.4</v>
      </c>
      <c r="AW51" s="60">
        <f>+AS51+AU51</f>
        <v>8276.9316600000002</v>
      </c>
      <c r="AX51" s="38">
        <f>+AT51+AV51</f>
        <v>6101.85</v>
      </c>
      <c r="AY51" s="152">
        <v>845.46541999999999</v>
      </c>
      <c r="AZ51" s="18">
        <v>412.2</v>
      </c>
      <c r="BA51" s="774">
        <f t="shared" si="271"/>
        <v>2448.9343200000003</v>
      </c>
      <c r="BB51" s="774">
        <f t="shared" si="272"/>
        <v>1572.95</v>
      </c>
      <c r="BC51" s="460">
        <f t="shared" si="273"/>
        <v>4123.6971600000006</v>
      </c>
      <c r="BD51" s="460">
        <f t="shared" si="274"/>
        <v>3033.25</v>
      </c>
      <c r="BE51" s="60">
        <f>AW51+AY51</f>
        <v>9122.3970800000006</v>
      </c>
      <c r="BF51" s="60">
        <f t="shared" si="275"/>
        <v>6514.05</v>
      </c>
      <c r="BG51" s="1721">
        <v>9348.2025633333342</v>
      </c>
      <c r="BH51" s="1721">
        <v>4897.75</v>
      </c>
      <c r="BI51" s="1721">
        <v>8145.2</v>
      </c>
      <c r="BJ51" s="1721">
        <v>16578.809000000001</v>
      </c>
      <c r="BK51" s="1721">
        <v>8876.9</v>
      </c>
      <c r="BL51" s="1721">
        <v>21728.852072500002</v>
      </c>
      <c r="BM51" s="1721">
        <v>10510.61</v>
      </c>
      <c r="BN51" s="1721">
        <v>15654.414839999999</v>
      </c>
      <c r="BO51" s="1083">
        <v>12312.800000000001</v>
      </c>
      <c r="BP51" s="2639"/>
      <c r="BQ51" s="2639"/>
      <c r="BR51" s="1202"/>
      <c r="BS51" s="1520"/>
      <c r="BT51" s="1520"/>
      <c r="BU51" s="26"/>
      <c r="BV51" s="26"/>
      <c r="BW51" s="528"/>
      <c r="BX51" s="528"/>
    </row>
    <row r="52" spans="1:76" ht="15" customHeight="1" x14ac:dyDescent="0.3">
      <c r="A52" s="146"/>
      <c r="B52" s="1959"/>
      <c r="C52" s="26"/>
      <c r="D52" s="2445"/>
      <c r="E52" s="2445"/>
      <c r="F52" s="2445"/>
      <c r="G52" s="2445"/>
      <c r="H52" s="2445"/>
      <c r="I52" s="2445"/>
      <c r="J52" s="2445"/>
      <c r="K52" s="2445"/>
      <c r="L52" s="2445"/>
      <c r="M52" s="2445"/>
      <c r="N52" s="2445"/>
      <c r="O52" s="2445"/>
      <c r="P52" s="2445"/>
      <c r="Q52" s="2445"/>
      <c r="R52" s="2445"/>
      <c r="S52" s="2445"/>
      <c r="T52" s="2445"/>
      <c r="U52" s="2445"/>
      <c r="V52" s="2445"/>
      <c r="W52" s="2445"/>
      <c r="X52" s="2445"/>
      <c r="Y52" s="2445"/>
      <c r="Z52" s="2445"/>
      <c r="AA52" s="2445"/>
      <c r="AB52" s="2445"/>
      <c r="AC52" s="2445"/>
      <c r="AD52" s="2445"/>
      <c r="AE52" s="2445"/>
      <c r="AF52" s="2445"/>
      <c r="AG52" s="2445"/>
      <c r="AH52" s="2445"/>
      <c r="AI52" s="2445"/>
      <c r="AJ52" s="2445"/>
      <c r="AK52" s="2445"/>
      <c r="AL52" s="2445"/>
      <c r="AM52" s="2445"/>
      <c r="AN52" s="2445"/>
      <c r="AO52" s="2445"/>
      <c r="AP52" s="2445"/>
      <c r="AQ52" s="2445"/>
      <c r="AR52" s="2445"/>
      <c r="AS52" s="2445"/>
      <c r="AT52" s="2445"/>
      <c r="AU52" s="2445"/>
      <c r="AV52" s="2445"/>
      <c r="AW52" s="2445"/>
      <c r="AX52" s="2445"/>
      <c r="AY52" s="2445"/>
      <c r="AZ52" s="2445"/>
      <c r="BA52" s="2445"/>
      <c r="BB52" s="2445"/>
      <c r="BC52" s="2445"/>
      <c r="BD52" s="2445"/>
      <c r="BE52" s="2445"/>
      <c r="BF52" s="2445"/>
      <c r="BG52" s="26"/>
      <c r="BH52" s="26"/>
      <c r="BI52" s="26"/>
      <c r="BJ52" s="26"/>
      <c r="BK52" s="26"/>
      <c r="BL52" s="26"/>
      <c r="BM52" s="26"/>
      <c r="BN52" s="26"/>
      <c r="BO52" s="1955"/>
      <c r="BP52" s="2639"/>
      <c r="BQ52" s="2639"/>
      <c r="BR52" s="1202"/>
      <c r="BS52" s="1520"/>
      <c r="BT52" s="1520"/>
      <c r="BU52" s="26"/>
      <c r="BV52" s="26"/>
      <c r="BW52" s="528"/>
      <c r="BX52" s="528"/>
    </row>
    <row r="53" spans="1:76" ht="15" thickBot="1" x14ac:dyDescent="0.35">
      <c r="B53" s="1915" t="s">
        <v>708</v>
      </c>
      <c r="C53" s="1895" t="s">
        <v>709</v>
      </c>
      <c r="D53" s="1898">
        <v>18466.792571608465</v>
      </c>
      <c r="E53" s="715">
        <v>1580.7365439093514</v>
      </c>
      <c r="F53" s="37">
        <v>1323</v>
      </c>
      <c r="G53" s="715">
        <v>1631.0985206169341</v>
      </c>
      <c r="H53" s="37">
        <v>1516</v>
      </c>
      <c r="I53" s="717">
        <f>+E53+G53</f>
        <v>3211.8350645262854</v>
      </c>
      <c r="J53" s="43">
        <f>+F53+H53</f>
        <v>2839</v>
      </c>
      <c r="K53" s="715">
        <v>1580.7365439093485</v>
      </c>
      <c r="L53" s="37">
        <v>1556</v>
      </c>
      <c r="M53" s="1516">
        <f>+E53+G53+K53</f>
        <v>4792.5716084356336</v>
      </c>
      <c r="N53" s="73">
        <f>+F53+H53+L53</f>
        <v>4395</v>
      </c>
      <c r="O53" s="715">
        <v>1599.6222851746932</v>
      </c>
      <c r="P53" s="37">
        <v>1610</v>
      </c>
      <c r="Q53" s="717">
        <f>+M53+O53</f>
        <v>6392.193893610327</v>
      </c>
      <c r="R53" s="43">
        <f>+N53+P53</f>
        <v>6005</v>
      </c>
      <c r="S53" s="715">
        <v>1599.6222851746932</v>
      </c>
      <c r="T53" s="37">
        <v>1515</v>
      </c>
      <c r="U53" s="717">
        <f>+Q53+S53</f>
        <v>7991.8161787850204</v>
      </c>
      <c r="V53" s="43">
        <f>+R53+T53</f>
        <v>7520</v>
      </c>
      <c r="W53" s="715">
        <v>839.47119924457036</v>
      </c>
      <c r="X53" s="37">
        <v>1448</v>
      </c>
      <c r="Y53" s="483">
        <f>+O53+S53+W53</f>
        <v>4038.7157695939568</v>
      </c>
      <c r="Z53" s="483">
        <f>+P53+T53+X53</f>
        <v>4573</v>
      </c>
      <c r="AA53" s="1127">
        <f>+M53+Y53</f>
        <v>8831.2873780295904</v>
      </c>
      <c r="AB53" s="1127">
        <f>+N53+Z53</f>
        <v>8968</v>
      </c>
      <c r="AC53" s="715">
        <v>1631.0985333333333</v>
      </c>
      <c r="AD53" s="37">
        <v>1145</v>
      </c>
      <c r="AE53" s="717">
        <f>+AA53+AC53</f>
        <v>10462.385911362924</v>
      </c>
      <c r="AF53" s="43">
        <f>+AB53+AD53</f>
        <v>10113</v>
      </c>
      <c r="AG53" s="715">
        <v>1580.7365439093485</v>
      </c>
      <c r="AH53" s="37">
        <v>1457</v>
      </c>
      <c r="AI53" s="717">
        <f>+AE53+AG53</f>
        <v>12043.122455272272</v>
      </c>
      <c r="AJ53" s="43">
        <f>+AF53+AH53</f>
        <v>11570</v>
      </c>
      <c r="AK53" s="715">
        <v>1631.0985206169341</v>
      </c>
      <c r="AL53" s="37">
        <v>1504</v>
      </c>
      <c r="AM53" s="483">
        <f>+AC53+AG53+AK53</f>
        <v>4842.9335978596164</v>
      </c>
      <c r="AN53" s="483">
        <f>+AD53+AH53+AL53</f>
        <v>4106</v>
      </c>
      <c r="AO53" s="60">
        <f>AI53+AK53</f>
        <v>13674.220975889206</v>
      </c>
      <c r="AP53" s="60">
        <f t="shared" si="227"/>
        <v>13074</v>
      </c>
      <c r="AQ53" s="715">
        <v>1656.2795089707272</v>
      </c>
      <c r="AR53" s="37">
        <v>1461</v>
      </c>
      <c r="AS53" s="717">
        <f>+AO53+AQ53</f>
        <v>15330.500484859933</v>
      </c>
      <c r="AT53" s="43">
        <f>+AP53+AR53</f>
        <v>14535</v>
      </c>
      <c r="AU53" s="715">
        <v>1480.0125904941769</v>
      </c>
      <c r="AV53" s="37">
        <v>1185</v>
      </c>
      <c r="AW53" s="717">
        <f>+AS53+AU53</f>
        <v>16810.513075354109</v>
      </c>
      <c r="AX53" s="43">
        <f>+AT53+AV53</f>
        <v>15720</v>
      </c>
      <c r="AY53" s="715">
        <v>1656.2795089707272</v>
      </c>
      <c r="AZ53" s="37">
        <v>1526</v>
      </c>
      <c r="BA53" s="483">
        <f>+AQ53+AU53+AY53</f>
        <v>4792.5716084356309</v>
      </c>
      <c r="BB53" s="483">
        <f>+AR53+AV53+AZ53</f>
        <v>4172</v>
      </c>
      <c r="BC53" s="460">
        <f>AM53+BA53</f>
        <v>9635.5052062952473</v>
      </c>
      <c r="BD53" s="460">
        <f t="shared" ref="BD53" si="276">AN53+BB53</f>
        <v>8278</v>
      </c>
      <c r="BE53" s="60">
        <f>AW53+AY53</f>
        <v>18466.792584324838</v>
      </c>
      <c r="BF53" s="60">
        <f t="shared" ref="BF53" si="277">AX53+AZ53</f>
        <v>17246</v>
      </c>
      <c r="BG53" s="1128">
        <v>16596.855319496852</v>
      </c>
      <c r="BH53" s="1128">
        <v>15925</v>
      </c>
      <c r="BI53" s="1128">
        <v>16116</v>
      </c>
      <c r="BJ53" s="1128">
        <v>16344.714992175272</v>
      </c>
      <c r="BK53" s="1128">
        <v>14624</v>
      </c>
      <c r="BL53" s="1128">
        <v>15300.816666666668</v>
      </c>
      <c r="BM53" s="1128">
        <v>12158</v>
      </c>
      <c r="BN53" s="1128">
        <v>16891.891891891893</v>
      </c>
      <c r="BO53" s="1085">
        <v>14151</v>
      </c>
      <c r="BP53" s="2639"/>
      <c r="BQ53" s="2639"/>
      <c r="BR53" s="1202"/>
      <c r="BS53" s="1520"/>
      <c r="BT53" s="1520"/>
      <c r="BU53" s="26"/>
      <c r="BV53" s="26"/>
      <c r="BW53" s="528"/>
      <c r="BX53" s="528"/>
    </row>
    <row r="54" spans="1:76" x14ac:dyDescent="0.3">
      <c r="E54" s="86"/>
      <c r="F54" s="92"/>
      <c r="G54" s="86"/>
      <c r="H54" s="92"/>
      <c r="I54" s="86"/>
      <c r="J54" s="92"/>
      <c r="K54" s="86"/>
      <c r="L54" s="92"/>
      <c r="M54" s="86"/>
      <c r="N54" s="92"/>
      <c r="O54" s="86"/>
      <c r="P54" s="92"/>
      <c r="Q54" s="86"/>
      <c r="R54" s="92"/>
      <c r="S54" s="86"/>
      <c r="T54" s="92"/>
      <c r="U54" s="86"/>
      <c r="V54" s="92"/>
      <c r="W54" s="86"/>
      <c r="X54" s="92"/>
      <c r="Z54" s="92"/>
      <c r="AC54" s="86"/>
      <c r="AD54" s="92"/>
      <c r="AE54" s="86"/>
      <c r="AF54" s="92"/>
      <c r="AG54" s="86"/>
      <c r="AH54" s="92"/>
      <c r="AI54" s="86"/>
      <c r="AJ54" s="92"/>
      <c r="AK54" s="86"/>
      <c r="AL54" s="92"/>
      <c r="AN54" s="92"/>
      <c r="AO54" s="86"/>
      <c r="AP54" s="92"/>
      <c r="AQ54" s="86"/>
      <c r="AR54" s="92"/>
      <c r="AS54" s="86"/>
      <c r="AT54" s="92"/>
      <c r="AU54" s="86"/>
      <c r="AV54" s="92"/>
      <c r="AW54" s="86"/>
      <c r="AX54" s="92"/>
      <c r="AY54" s="86"/>
      <c r="AZ54" s="92"/>
      <c r="BB54" s="92"/>
      <c r="BE54" s="86"/>
      <c r="BF54" s="92"/>
      <c r="BP54" s="4021"/>
      <c r="BQ54" s="4021"/>
      <c r="BR54" s="2639"/>
      <c r="BS54" s="1520"/>
      <c r="BT54" s="1520"/>
    </row>
    <row r="55" spans="1:76" ht="15" customHeight="1" x14ac:dyDescent="0.3">
      <c r="E55" s="1326">
        <f t="shared" ref="E55:R55" si="278">+E37-E49</f>
        <v>0</v>
      </c>
      <c r="F55" s="1326">
        <f t="shared" si="278"/>
        <v>0</v>
      </c>
      <c r="G55" s="1326">
        <f t="shared" si="278"/>
        <v>0</v>
      </c>
      <c r="H55" s="1326">
        <f t="shared" si="278"/>
        <v>0</v>
      </c>
      <c r="I55" s="1326">
        <f t="shared" si="278"/>
        <v>0</v>
      </c>
      <c r="J55" s="1326">
        <f t="shared" si="278"/>
        <v>0</v>
      </c>
      <c r="K55" s="1326">
        <f t="shared" ref="K55:L55" si="279">+K37-K49</f>
        <v>0</v>
      </c>
      <c r="L55" s="1326">
        <f t="shared" si="279"/>
        <v>0</v>
      </c>
      <c r="M55" s="1326">
        <f t="shared" si="278"/>
        <v>0</v>
      </c>
      <c r="N55" s="1326">
        <f t="shared" si="278"/>
        <v>0</v>
      </c>
      <c r="O55" s="1326">
        <f t="shared" si="278"/>
        <v>0</v>
      </c>
      <c r="P55" s="1326">
        <f t="shared" si="278"/>
        <v>0</v>
      </c>
      <c r="Q55" s="1326">
        <f t="shared" si="278"/>
        <v>0</v>
      </c>
      <c r="R55" s="1326">
        <f t="shared" si="278"/>
        <v>0</v>
      </c>
      <c r="S55" s="1326">
        <f t="shared" ref="S55:T55" si="280">+S37-S49</f>
        <v>0</v>
      </c>
      <c r="T55" s="1326">
        <f t="shared" si="280"/>
        <v>0</v>
      </c>
      <c r="U55" s="1326">
        <f t="shared" ref="U55:X55" si="281">+U37-U49</f>
        <v>0</v>
      </c>
      <c r="V55" s="1326">
        <f t="shared" si="281"/>
        <v>0</v>
      </c>
      <c r="W55" s="1326">
        <f t="shared" si="281"/>
        <v>0</v>
      </c>
      <c r="X55" s="1326">
        <f t="shared" si="281"/>
        <v>0</v>
      </c>
      <c r="Y55" s="1326">
        <f t="shared" ref="Y55:AD55" si="282">+Y37-Y49</f>
        <v>0</v>
      </c>
      <c r="Z55" s="1326">
        <f t="shared" si="282"/>
        <v>0</v>
      </c>
      <c r="AA55" s="1326">
        <f t="shared" si="282"/>
        <v>0</v>
      </c>
      <c r="AB55" s="1326">
        <f t="shared" si="282"/>
        <v>0</v>
      </c>
      <c r="AC55" s="1326">
        <f t="shared" si="282"/>
        <v>0</v>
      </c>
      <c r="AD55" s="1326">
        <f t="shared" si="282"/>
        <v>0</v>
      </c>
      <c r="AE55" s="1326">
        <f t="shared" ref="AE55:AH55" si="283">+AE37-AE49</f>
        <v>0</v>
      </c>
      <c r="AF55" s="1326">
        <f t="shared" si="283"/>
        <v>0</v>
      </c>
      <c r="AG55" s="1326">
        <f t="shared" si="283"/>
        <v>0</v>
      </c>
      <c r="AH55" s="1326">
        <f t="shared" si="283"/>
        <v>0</v>
      </c>
      <c r="AI55" s="1326">
        <f t="shared" ref="AI55:AN55" si="284">+AI37-AI49</f>
        <v>0</v>
      </c>
      <c r="AJ55" s="1326">
        <f t="shared" si="284"/>
        <v>0</v>
      </c>
      <c r="AK55" s="1326">
        <f t="shared" si="284"/>
        <v>0</v>
      </c>
      <c r="AL55" s="1326">
        <f t="shared" si="284"/>
        <v>0</v>
      </c>
      <c r="AM55" s="1326">
        <f t="shared" si="284"/>
        <v>0</v>
      </c>
      <c r="AN55" s="1326">
        <f t="shared" si="284"/>
        <v>0</v>
      </c>
      <c r="AO55" s="1326">
        <f t="shared" ref="AO55:AT55" si="285">+AO37-AO49</f>
        <v>0</v>
      </c>
      <c r="AP55" s="1326">
        <f t="shared" si="285"/>
        <v>0</v>
      </c>
      <c r="AQ55" s="1326">
        <f t="shared" si="285"/>
        <v>0</v>
      </c>
      <c r="AR55" s="1326">
        <f t="shared" si="285"/>
        <v>0</v>
      </c>
      <c r="AS55" s="1326">
        <f t="shared" si="285"/>
        <v>0</v>
      </c>
      <c r="AT55" s="1326">
        <f t="shared" si="285"/>
        <v>0</v>
      </c>
      <c r="AU55" s="1326">
        <f t="shared" ref="AU55:AV55" si="286">+AU37-AU49</f>
        <v>0</v>
      </c>
      <c r="AV55" s="1326">
        <f t="shared" si="286"/>
        <v>0</v>
      </c>
      <c r="AW55" s="1326">
        <f t="shared" ref="AW55:BF55" si="287">+AW37-AW49</f>
        <v>0</v>
      </c>
      <c r="AX55" s="1326">
        <f t="shared" si="287"/>
        <v>0</v>
      </c>
      <c r="AY55" s="1326">
        <f t="shared" si="287"/>
        <v>0</v>
      </c>
      <c r="AZ55" s="1326">
        <f t="shared" si="287"/>
        <v>0</v>
      </c>
      <c r="BA55" s="1326">
        <f t="shared" si="287"/>
        <v>0</v>
      </c>
      <c r="BB55" s="1326">
        <f t="shared" si="287"/>
        <v>0</v>
      </c>
      <c r="BC55" s="1326">
        <f t="shared" si="287"/>
        <v>0</v>
      </c>
      <c r="BD55" s="1326">
        <f t="shared" si="287"/>
        <v>0</v>
      </c>
      <c r="BE55" s="1326">
        <f t="shared" si="287"/>
        <v>0</v>
      </c>
      <c r="BF55" s="1326">
        <f t="shared" si="287"/>
        <v>0</v>
      </c>
      <c r="BG55" s="1326">
        <v>0</v>
      </c>
      <c r="BH55" s="1326">
        <v>0</v>
      </c>
      <c r="BI55" s="1326">
        <v>-1.2959999963641167E-2</v>
      </c>
      <c r="BJ55" s="1326">
        <f t="shared" ref="BJ55:BO55" si="288">+BL37-BL49</f>
        <v>0</v>
      </c>
      <c r="BK55" s="1326">
        <f t="shared" si="288"/>
        <v>-3.9024325087666512E-4</v>
      </c>
      <c r="BL55" s="1326">
        <f t="shared" si="288"/>
        <v>0</v>
      </c>
      <c r="BM55" s="1326">
        <f t="shared" si="288"/>
        <v>0.55446018418297172</v>
      </c>
      <c r="BN55" s="1326">
        <f t="shared" si="288"/>
        <v>0</v>
      </c>
      <c r="BO55" s="1326">
        <f t="shared" si="288"/>
        <v>0</v>
      </c>
      <c r="BP55" s="4021"/>
      <c r="BQ55" s="4021"/>
      <c r="BR55" s="2639"/>
      <c r="BS55" s="1520"/>
      <c r="BT55" s="1520"/>
    </row>
    <row r="56" spans="1:76" x14ac:dyDescent="0.3">
      <c r="E56" s="26"/>
      <c r="F56" s="26"/>
      <c r="S56" s="26"/>
      <c r="T56" s="26"/>
      <c r="AL56" s="26"/>
    </row>
    <row r="57" spans="1:76" x14ac:dyDescent="0.3">
      <c r="AG57" s="26"/>
      <c r="AV57" s="26"/>
    </row>
    <row r="58" spans="1:76" x14ac:dyDescent="0.3">
      <c r="AH58" s="2404"/>
      <c r="AL58" s="26"/>
      <c r="AM58" s="26"/>
      <c r="AN58" s="26"/>
      <c r="AO58" s="5282"/>
      <c r="AP58" s="26"/>
    </row>
    <row r="59" spans="1:76" x14ac:dyDescent="0.3">
      <c r="AH59" s="2404"/>
      <c r="AO59" s="2404"/>
    </row>
    <row r="60" spans="1:76" x14ac:dyDescent="0.3">
      <c r="F60">
        <v>194.6</v>
      </c>
      <c r="H60">
        <v>230</v>
      </c>
      <c r="AH60" s="2404"/>
      <c r="AO60" s="2404"/>
      <c r="AZ60" s="26"/>
    </row>
    <row r="61" spans="1:76" x14ac:dyDescent="0.3">
      <c r="X61" s="26"/>
      <c r="AH61" s="2404"/>
      <c r="AZ61" s="26"/>
    </row>
    <row r="62" spans="1:76" x14ac:dyDescent="0.3">
      <c r="X62" s="26"/>
      <c r="AZ62" s="26"/>
    </row>
    <row r="63" spans="1:76" x14ac:dyDescent="0.3">
      <c r="X63" s="26"/>
    </row>
    <row r="64" spans="1:76" x14ac:dyDescent="0.3">
      <c r="AO64" s="182"/>
      <c r="AZ64" s="26"/>
    </row>
    <row r="65" spans="41:41" x14ac:dyDescent="0.3">
      <c r="AO65" s="182"/>
    </row>
    <row r="66" spans="41:41" x14ac:dyDescent="0.3">
      <c r="AO66" s="2404"/>
    </row>
    <row r="67" spans="41:41" x14ac:dyDescent="0.3">
      <c r="AO67" s="2404"/>
    </row>
  </sheetData>
  <mergeCells count="98"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  <mergeCell ref="AC42:AC45"/>
    <mergeCell ref="AE42:AE45"/>
    <mergeCell ref="AO42:AO45"/>
    <mergeCell ref="AG42:AG45"/>
    <mergeCell ref="AI42:AI45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M3:N3"/>
    <mergeCell ref="O3:P3"/>
    <mergeCell ref="O39:O40"/>
    <mergeCell ref="K39:K40"/>
    <mergeCell ref="K3:L3"/>
    <mergeCell ref="B3:B4"/>
    <mergeCell ref="C3:C4"/>
    <mergeCell ref="E3:F3"/>
    <mergeCell ref="G3:H3"/>
    <mergeCell ref="I3:J3"/>
    <mergeCell ref="D3:D4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D42:D45"/>
    <mergeCell ref="E42:E45"/>
    <mergeCell ref="G42:G45"/>
    <mergeCell ref="K42:K45"/>
    <mergeCell ref="AA42:AA45"/>
  </mergeCells>
  <printOptions horizontalCentered="1" verticalCentered="1"/>
  <pageMargins left="0" right="0" top="0" bottom="0" header="0" footer="0"/>
  <pageSetup paperSize="9" scale="88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7030A0"/>
    <pageSetUpPr fitToPage="1"/>
  </sheetPr>
  <dimension ref="A1:BW46"/>
  <sheetViews>
    <sheetView workbookViewId="0">
      <pane xSplit="4" topLeftCell="AN1" activePane="topRight" state="frozen"/>
      <selection pane="topRight" activeCell="BD17" sqref="BD17"/>
    </sheetView>
  </sheetViews>
  <sheetFormatPr defaultColWidth="9.109375" defaultRowHeight="13.8" x14ac:dyDescent="0.25"/>
  <cols>
    <col min="1" max="1" width="3.44140625" style="4" customWidth="1"/>
    <col min="2" max="2" width="57.88671875" style="4" customWidth="1"/>
    <col min="3" max="3" width="12.44140625" style="4" customWidth="1"/>
    <col min="4" max="4" width="13.6640625" style="4" bestFit="1" customWidth="1"/>
    <col min="5" max="5" width="12.109375" style="4" customWidth="1"/>
    <col min="6" max="6" width="8.44140625" style="4" customWidth="1"/>
    <col min="7" max="7" width="12.5546875" style="4" customWidth="1"/>
    <col min="8" max="8" width="8.44140625" style="4" customWidth="1"/>
    <col min="9" max="9" width="10.44140625" style="4" hidden="1" customWidth="1"/>
    <col min="10" max="10" width="9.88671875" style="4" hidden="1" customWidth="1"/>
    <col min="11" max="11" width="7.88671875" style="4" customWidth="1"/>
    <col min="12" max="12" width="9.88671875" style="4" customWidth="1"/>
    <col min="13" max="13" width="7.88671875" style="4" customWidth="1"/>
    <col min="14" max="14" width="11.33203125" style="4" customWidth="1"/>
    <col min="15" max="15" width="7.88671875" style="4" customWidth="1"/>
    <col min="16" max="16" width="9.88671875" style="4" customWidth="1"/>
    <col min="17" max="17" width="9.5546875" style="4" hidden="1" customWidth="1"/>
    <col min="18" max="18" width="11.33203125" style="4" hidden="1" customWidth="1"/>
    <col min="19" max="19" width="12.109375" style="4" customWidth="1"/>
    <col min="20" max="20" width="9.88671875" style="4" customWidth="1"/>
    <col min="21" max="21" width="9" style="4" hidden="1" customWidth="1"/>
    <col min="22" max="22" width="11.33203125" style="4" hidden="1" customWidth="1"/>
    <col min="23" max="24" width="9.88671875" style="4" customWidth="1"/>
    <col min="25" max="25" width="9.109375" style="4" customWidth="1"/>
    <col min="26" max="26" width="11.33203125" style="4" customWidth="1"/>
    <col min="27" max="27" width="9.109375" style="4" customWidth="1"/>
    <col min="28" max="30" width="11.33203125" style="4" customWidth="1"/>
    <col min="31" max="32" width="11.33203125" style="4" hidden="1" customWidth="1"/>
    <col min="33" max="34" width="11.33203125" style="4" customWidth="1"/>
    <col min="35" max="36" width="11.33203125" style="4" hidden="1" customWidth="1"/>
    <col min="37" max="40" width="11.33203125" style="4" customWidth="1"/>
    <col min="41" max="42" width="11.33203125" style="4" hidden="1" customWidth="1"/>
    <col min="43" max="44" width="11.33203125" style="4" customWidth="1"/>
    <col min="45" max="46" width="11.33203125" style="4" hidden="1" customWidth="1"/>
    <col min="47" max="48" width="11.33203125" style="4" customWidth="1"/>
    <col min="49" max="50" width="11.33203125" style="4" hidden="1" customWidth="1"/>
    <col min="51" max="58" width="11.33203125" style="4" customWidth="1"/>
    <col min="59" max="59" width="11.33203125" style="4" hidden="1" customWidth="1"/>
    <col min="60" max="60" width="11.33203125" style="4" customWidth="1"/>
    <col min="61" max="61" width="11.33203125" style="4" hidden="1" customWidth="1"/>
    <col min="62" max="62" width="11.33203125" style="4" customWidth="1"/>
    <col min="63" max="63" width="9.109375" style="4" hidden="1" customWidth="1"/>
    <col min="64" max="64" width="13" style="4" customWidth="1"/>
    <col min="65" max="65" width="11.33203125" style="4" hidden="1" customWidth="1"/>
    <col min="66" max="66" width="13.5546875" style="4" hidden="1" customWidth="1"/>
    <col min="67" max="67" width="9" style="4" hidden="1" customWidth="1"/>
    <col min="68" max="68" width="13.6640625" style="4" hidden="1" customWidth="1"/>
    <col min="69" max="70" width="9" style="4" hidden="1" customWidth="1"/>
    <col min="71" max="71" width="11.5546875" style="4" bestFit="1" customWidth="1"/>
    <col min="72" max="72" width="9.5546875" style="4" bestFit="1" customWidth="1"/>
    <col min="73" max="16384" width="9.109375" style="4"/>
  </cols>
  <sheetData>
    <row r="1" spans="1:75" ht="22.8" x14ac:dyDescent="0.4">
      <c r="B1" s="384" t="s">
        <v>1968</v>
      </c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785"/>
      <c r="P1" s="384"/>
      <c r="Q1" s="384"/>
      <c r="R1" s="384"/>
      <c r="S1" s="384"/>
      <c r="T1" s="384"/>
      <c r="U1" s="384"/>
      <c r="V1" s="384"/>
      <c r="W1" s="384"/>
      <c r="X1" s="384"/>
      <c r="Y1" s="384"/>
      <c r="Z1" s="384"/>
      <c r="AA1" s="384"/>
      <c r="AB1" s="384"/>
      <c r="AC1" s="384"/>
      <c r="AD1" s="384"/>
      <c r="AE1" s="384"/>
      <c r="AF1" s="384"/>
      <c r="AG1" s="384"/>
      <c r="AH1" s="384"/>
      <c r="AI1" s="384"/>
      <c r="AJ1" s="384"/>
      <c r="AK1" s="384"/>
      <c r="AL1" s="384"/>
      <c r="AM1" s="384"/>
      <c r="AN1" s="384"/>
      <c r="AO1" s="384"/>
      <c r="AP1" s="384"/>
      <c r="AQ1" s="384"/>
      <c r="AR1" s="384"/>
      <c r="AS1" s="384"/>
      <c r="AT1" s="384"/>
      <c r="AU1" s="384"/>
      <c r="AV1" s="384"/>
      <c r="AW1" s="384"/>
      <c r="AX1" s="384"/>
      <c r="AY1" s="384"/>
      <c r="AZ1" s="384"/>
      <c r="BA1" s="384"/>
      <c r="BB1" s="384"/>
      <c r="BC1" s="384"/>
      <c r="BD1" s="384"/>
      <c r="BE1" s="384"/>
      <c r="BF1" s="384"/>
      <c r="BG1" s="384"/>
      <c r="BH1" s="384"/>
      <c r="BI1" s="384"/>
      <c r="BJ1" s="384"/>
      <c r="BK1" s="384"/>
      <c r="BL1" s="384"/>
      <c r="BM1" s="384"/>
      <c r="BN1" s="384"/>
      <c r="BO1" s="384"/>
      <c r="BP1" s="384"/>
      <c r="BQ1" s="384"/>
      <c r="BR1" s="384"/>
    </row>
    <row r="2" spans="1:75" ht="14.4" thickBot="1" x14ac:dyDescent="0.3">
      <c r="B2" s="719"/>
      <c r="C2" s="44"/>
      <c r="D2" s="44"/>
      <c r="E2" s="199">
        <v>30</v>
      </c>
      <c r="F2" s="199">
        <v>30</v>
      </c>
      <c r="G2" s="199">
        <v>31</v>
      </c>
      <c r="H2" s="199">
        <v>31</v>
      </c>
      <c r="I2" s="199">
        <f>+G2+E2</f>
        <v>61</v>
      </c>
      <c r="J2" s="199">
        <f>+H2+F2</f>
        <v>61</v>
      </c>
      <c r="K2" s="199">
        <v>30</v>
      </c>
      <c r="L2" s="199">
        <v>30</v>
      </c>
      <c r="M2" s="199">
        <f>+E2+G2+K2</f>
        <v>91</v>
      </c>
      <c r="N2" s="199">
        <f>+F2+H2+L2</f>
        <v>91</v>
      </c>
      <c r="O2" s="636">
        <v>31</v>
      </c>
      <c r="P2" s="199">
        <v>31</v>
      </c>
      <c r="Q2" s="199">
        <f>+M2+O2</f>
        <v>122</v>
      </c>
      <c r="R2" s="199">
        <f>+N2+P2</f>
        <v>122</v>
      </c>
      <c r="S2" s="199">
        <v>31</v>
      </c>
      <c r="T2" s="199">
        <v>31</v>
      </c>
      <c r="U2" s="199">
        <f>+Q2+S2</f>
        <v>153</v>
      </c>
      <c r="V2" s="199">
        <f>+R2+T2</f>
        <v>153</v>
      </c>
      <c r="W2" s="199">
        <v>30</v>
      </c>
      <c r="X2" s="199">
        <v>30</v>
      </c>
      <c r="Y2" s="199">
        <f>+O2+S2+W2</f>
        <v>92</v>
      </c>
      <c r="Z2" s="199">
        <f>+P2+T2+X2</f>
        <v>92</v>
      </c>
      <c r="AA2" s="199">
        <f>+M2+Y2</f>
        <v>183</v>
      </c>
      <c r="AB2" s="199">
        <f>+N2+Z2</f>
        <v>183</v>
      </c>
      <c r="AC2" s="199">
        <v>31</v>
      </c>
      <c r="AD2" s="199">
        <v>31</v>
      </c>
      <c r="AE2" s="199">
        <f>AA2+AC2</f>
        <v>214</v>
      </c>
      <c r="AF2" s="199">
        <f>AB2+AD2</f>
        <v>214</v>
      </c>
      <c r="AG2" s="199">
        <v>30</v>
      </c>
      <c r="AH2" s="199">
        <v>30</v>
      </c>
      <c r="AI2" s="199">
        <f>AE2+AG2</f>
        <v>244</v>
      </c>
      <c r="AJ2" s="199">
        <f>AF2+AH2</f>
        <v>244</v>
      </c>
      <c r="AK2" s="199">
        <v>31</v>
      </c>
      <c r="AL2" s="199">
        <v>31</v>
      </c>
      <c r="AM2" s="199">
        <f>+AC2+AG2+AK2</f>
        <v>92</v>
      </c>
      <c r="AN2" s="199">
        <f>+AD2+AH2+AL2</f>
        <v>92</v>
      </c>
      <c r="AO2" s="199">
        <f>AI2+AK2</f>
        <v>275</v>
      </c>
      <c r="AP2" s="199">
        <f>AJ2+AL2</f>
        <v>275</v>
      </c>
      <c r="AQ2" s="199">
        <v>31</v>
      </c>
      <c r="AR2" s="199">
        <v>31</v>
      </c>
      <c r="AS2" s="199">
        <f>AO2+AQ2</f>
        <v>306</v>
      </c>
      <c r="AT2" s="199">
        <f>AP2+AR2</f>
        <v>306</v>
      </c>
      <c r="AU2" s="199">
        <v>28</v>
      </c>
      <c r="AV2" s="199">
        <v>28</v>
      </c>
      <c r="AW2" s="199">
        <f>AS2+AU2</f>
        <v>334</v>
      </c>
      <c r="AX2" s="199">
        <f>AT2+AV2</f>
        <v>334</v>
      </c>
      <c r="AY2" s="199">
        <v>31</v>
      </c>
      <c r="AZ2" s="199">
        <v>31</v>
      </c>
      <c r="BA2" s="199">
        <f>+AQ2+AU2+AY2</f>
        <v>90</v>
      </c>
      <c r="BB2" s="199">
        <f>+AR2+AV2+AZ2</f>
        <v>90</v>
      </c>
      <c r="BC2" s="199">
        <f>AM2+BA2</f>
        <v>182</v>
      </c>
      <c r="BD2" s="199">
        <f>AN2+BB2</f>
        <v>182</v>
      </c>
      <c r="BE2" s="199">
        <f>AW2+AY2</f>
        <v>365</v>
      </c>
      <c r="BF2" s="199">
        <f>AX2+AZ2</f>
        <v>365</v>
      </c>
      <c r="BG2" s="199"/>
      <c r="BH2" s="199"/>
      <c r="BI2" s="199"/>
      <c r="BJ2" s="199"/>
      <c r="BK2" s="199"/>
      <c r="BL2" s="199"/>
      <c r="BM2" s="199"/>
      <c r="BN2" s="199"/>
      <c r="BO2" s="199">
        <v>365</v>
      </c>
      <c r="BP2" s="199">
        <v>365</v>
      </c>
      <c r="BQ2" s="31">
        <v>366</v>
      </c>
      <c r="BR2" s="31">
        <v>366</v>
      </c>
    </row>
    <row r="3" spans="1:75" ht="15" customHeight="1" thickBot="1" x14ac:dyDescent="0.3">
      <c r="B3" s="5950" t="s">
        <v>171</v>
      </c>
      <c r="C3" s="5952" t="s">
        <v>172</v>
      </c>
      <c r="D3" s="5955" t="s">
        <v>1963</v>
      </c>
      <c r="E3" s="5866" t="s">
        <v>1962</v>
      </c>
      <c r="F3" s="5954"/>
      <c r="G3" s="5866" t="s">
        <v>2013</v>
      </c>
      <c r="H3" s="5866"/>
      <c r="I3" s="5867" t="s">
        <v>14</v>
      </c>
      <c r="J3" s="5868"/>
      <c r="K3" s="5957" t="s">
        <v>2043</v>
      </c>
      <c r="L3" s="5954"/>
      <c r="M3" s="5958" t="s">
        <v>637</v>
      </c>
      <c r="N3" s="5870"/>
      <c r="O3" s="5866" t="s">
        <v>2065</v>
      </c>
      <c r="P3" s="5866"/>
      <c r="Q3" s="5867" t="s">
        <v>17</v>
      </c>
      <c r="R3" s="5868"/>
      <c r="S3" s="5866" t="s">
        <v>2068</v>
      </c>
      <c r="T3" s="5866"/>
      <c r="U3" s="5867" t="s">
        <v>18</v>
      </c>
      <c r="V3" s="5868"/>
      <c r="W3" s="5866" t="s">
        <v>2110</v>
      </c>
      <c r="X3" s="5866"/>
      <c r="Y3" s="5869" t="s">
        <v>660</v>
      </c>
      <c r="Z3" s="5870"/>
      <c r="AA3" s="5871" t="s">
        <v>657</v>
      </c>
      <c r="AB3" s="5872"/>
      <c r="AC3" s="5866" t="s">
        <v>2135</v>
      </c>
      <c r="AD3" s="5866"/>
      <c r="AE3" s="5867" t="s">
        <v>24</v>
      </c>
      <c r="AF3" s="5868"/>
      <c r="AG3" s="5866" t="s">
        <v>2238</v>
      </c>
      <c r="AH3" s="5866"/>
      <c r="AI3" s="5867" t="s">
        <v>27</v>
      </c>
      <c r="AJ3" s="5868"/>
      <c r="AK3" s="5866" t="s">
        <v>2262</v>
      </c>
      <c r="AL3" s="5866"/>
      <c r="AM3" s="5869" t="s">
        <v>662</v>
      </c>
      <c r="AN3" s="5870"/>
      <c r="AO3" s="5867" t="s">
        <v>1613</v>
      </c>
      <c r="AP3" s="5868"/>
      <c r="AQ3" s="5866" t="s">
        <v>2274</v>
      </c>
      <c r="AR3" s="5866"/>
      <c r="AS3" s="5867" t="s">
        <v>28</v>
      </c>
      <c r="AT3" s="5868"/>
      <c r="AU3" s="5866" t="s">
        <v>2311</v>
      </c>
      <c r="AV3" s="5866"/>
      <c r="AW3" s="5867" t="s">
        <v>30</v>
      </c>
      <c r="AX3" s="5868"/>
      <c r="AY3" s="5957" t="s">
        <v>2329</v>
      </c>
      <c r="AZ3" s="5866"/>
      <c r="BA3" s="5869" t="s">
        <v>663</v>
      </c>
      <c r="BB3" s="5870"/>
      <c r="BC3" s="5871" t="s">
        <v>670</v>
      </c>
      <c r="BD3" s="5872"/>
      <c r="BE3" s="5867" t="s">
        <v>2041</v>
      </c>
      <c r="BF3" s="5868"/>
      <c r="BG3" s="5959" t="s">
        <v>1672</v>
      </c>
      <c r="BH3" s="5960"/>
      <c r="BI3" s="5959" t="s">
        <v>1375</v>
      </c>
      <c r="BJ3" s="5960"/>
      <c r="BK3" s="5959" t="s">
        <v>1242</v>
      </c>
      <c r="BL3" s="5960"/>
      <c r="BM3" s="5959" t="s">
        <v>937</v>
      </c>
      <c r="BN3" s="5960"/>
      <c r="BO3" s="5959" t="s">
        <v>678</v>
      </c>
      <c r="BP3" s="5960"/>
      <c r="BQ3" s="5959" t="s">
        <v>650</v>
      </c>
      <c r="BR3" s="5960"/>
    </row>
    <row r="4" spans="1:75" ht="15" customHeight="1" thickBot="1" x14ac:dyDescent="0.3">
      <c r="B4" s="5951"/>
      <c r="C4" s="5953"/>
      <c r="D4" s="5956"/>
      <c r="E4" s="3227" t="s">
        <v>173</v>
      </c>
      <c r="F4" s="1389" t="s">
        <v>174</v>
      </c>
      <c r="G4" s="541" t="s">
        <v>173</v>
      </c>
      <c r="H4" s="175" t="s">
        <v>174</v>
      </c>
      <c r="I4" s="143" t="s">
        <v>173</v>
      </c>
      <c r="J4" s="160" t="s">
        <v>174</v>
      </c>
      <c r="K4" s="176" t="s">
        <v>173</v>
      </c>
      <c r="L4" s="175" t="s">
        <v>174</v>
      </c>
      <c r="M4" s="699" t="s">
        <v>173</v>
      </c>
      <c r="N4" s="167" t="s">
        <v>174</v>
      </c>
      <c r="O4" s="227" t="s">
        <v>173</v>
      </c>
      <c r="P4" s="175" t="s">
        <v>174</v>
      </c>
      <c r="Q4" s="143" t="s">
        <v>173</v>
      </c>
      <c r="R4" s="160" t="s">
        <v>174</v>
      </c>
      <c r="S4" s="541" t="s">
        <v>173</v>
      </c>
      <c r="T4" s="175" t="s">
        <v>174</v>
      </c>
      <c r="U4" s="143" t="s">
        <v>173</v>
      </c>
      <c r="V4" s="160" t="s">
        <v>174</v>
      </c>
      <c r="W4" s="541" t="s">
        <v>173</v>
      </c>
      <c r="X4" s="175" t="s">
        <v>174</v>
      </c>
      <c r="Y4" s="698" t="s">
        <v>173</v>
      </c>
      <c r="Z4" s="167" t="s">
        <v>174</v>
      </c>
      <c r="AA4" s="700" t="s">
        <v>173</v>
      </c>
      <c r="AB4" s="462" t="s">
        <v>174</v>
      </c>
      <c r="AC4" s="541" t="s">
        <v>173</v>
      </c>
      <c r="AD4" s="175" t="s">
        <v>174</v>
      </c>
      <c r="AE4" s="143" t="s">
        <v>173</v>
      </c>
      <c r="AF4" s="160" t="s">
        <v>174</v>
      </c>
      <c r="AG4" s="541" t="s">
        <v>173</v>
      </c>
      <c r="AH4" s="175" t="s">
        <v>174</v>
      </c>
      <c r="AI4" s="143" t="s">
        <v>173</v>
      </c>
      <c r="AJ4" s="160" t="s">
        <v>174</v>
      </c>
      <c r="AK4" s="541" t="s">
        <v>173</v>
      </c>
      <c r="AL4" s="175" t="s">
        <v>174</v>
      </c>
      <c r="AM4" s="698" t="s">
        <v>173</v>
      </c>
      <c r="AN4" s="167" t="s">
        <v>174</v>
      </c>
      <c r="AO4" s="143" t="s">
        <v>173</v>
      </c>
      <c r="AP4" s="160" t="s">
        <v>174</v>
      </c>
      <c r="AQ4" s="541" t="s">
        <v>173</v>
      </c>
      <c r="AR4" s="175" t="s">
        <v>174</v>
      </c>
      <c r="AS4" s="143" t="s">
        <v>173</v>
      </c>
      <c r="AT4" s="160" t="s">
        <v>174</v>
      </c>
      <c r="AU4" s="541" t="s">
        <v>173</v>
      </c>
      <c r="AV4" s="175" t="s">
        <v>174</v>
      </c>
      <c r="AW4" s="143" t="s">
        <v>173</v>
      </c>
      <c r="AX4" s="160" t="s">
        <v>174</v>
      </c>
      <c r="AY4" s="541" t="s">
        <v>173</v>
      </c>
      <c r="AZ4" s="175" t="s">
        <v>174</v>
      </c>
      <c r="BA4" s="698" t="s">
        <v>173</v>
      </c>
      <c r="BB4" s="167" t="s">
        <v>174</v>
      </c>
      <c r="BC4" s="700" t="s">
        <v>173</v>
      </c>
      <c r="BD4" s="462" t="s">
        <v>174</v>
      </c>
      <c r="BE4" s="143" t="s">
        <v>173</v>
      </c>
      <c r="BF4" s="160" t="s">
        <v>174</v>
      </c>
      <c r="BG4" s="1077" t="s">
        <v>173</v>
      </c>
      <c r="BH4" s="1078" t="s">
        <v>174</v>
      </c>
      <c r="BI4" s="1077" t="s">
        <v>173</v>
      </c>
      <c r="BJ4" s="1078" t="s">
        <v>174</v>
      </c>
      <c r="BK4" s="1077" t="s">
        <v>173</v>
      </c>
      <c r="BL4" s="1078" t="s">
        <v>174</v>
      </c>
      <c r="BM4" s="1077" t="s">
        <v>173</v>
      </c>
      <c r="BN4" s="1078" t="s">
        <v>174</v>
      </c>
      <c r="BO4" s="1077" t="s">
        <v>173</v>
      </c>
      <c r="BP4" s="1078" t="s">
        <v>174</v>
      </c>
      <c r="BQ4" s="1077" t="s">
        <v>173</v>
      </c>
      <c r="BR4" s="1078" t="s">
        <v>174</v>
      </c>
    </row>
    <row r="5" spans="1:75" ht="15" customHeight="1" x14ac:dyDescent="0.25">
      <c r="A5" s="1257"/>
      <c r="B5" s="1877" t="s">
        <v>140</v>
      </c>
      <c r="C5" s="263"/>
      <c r="D5" s="247"/>
      <c r="E5" s="262"/>
      <c r="F5" s="4750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247"/>
      <c r="AC5" s="247"/>
      <c r="AD5" s="247"/>
      <c r="AE5" s="247"/>
      <c r="AF5" s="247"/>
      <c r="AG5" s="247"/>
      <c r="AH5" s="247"/>
      <c r="AI5" s="247"/>
      <c r="AJ5" s="247"/>
      <c r="AK5" s="247"/>
      <c r="AL5" s="247"/>
      <c r="AM5" s="247"/>
      <c r="AN5" s="247"/>
      <c r="AO5" s="247"/>
      <c r="AP5" s="247"/>
      <c r="AQ5" s="247"/>
      <c r="AR5" s="247"/>
      <c r="AS5" s="247"/>
      <c r="AT5" s="247"/>
      <c r="AU5" s="247"/>
      <c r="AV5" s="247"/>
      <c r="AW5" s="247"/>
      <c r="AX5" s="247"/>
      <c r="AY5" s="247"/>
      <c r="AZ5" s="247"/>
      <c r="BA5" s="247"/>
      <c r="BB5" s="247"/>
      <c r="BC5" s="247"/>
      <c r="BD5" s="247"/>
      <c r="BE5" s="247"/>
      <c r="BF5" s="247"/>
      <c r="BG5" s="247"/>
      <c r="BH5" s="247"/>
      <c r="BI5" s="247"/>
      <c r="BJ5" s="247"/>
      <c r="BK5" s="247"/>
      <c r="BL5" s="247"/>
      <c r="BM5" s="1079"/>
      <c r="BN5" s="1086"/>
      <c r="BO5" s="1079"/>
      <c r="BP5" s="1086"/>
      <c r="BQ5" s="1079"/>
      <c r="BR5" s="1086"/>
      <c r="BS5" s="1257"/>
    </row>
    <row r="6" spans="1:75" ht="15" customHeight="1" x14ac:dyDescent="0.25">
      <c r="B6" s="4731" t="s">
        <v>1176</v>
      </c>
      <c r="C6" s="4732" t="s">
        <v>354</v>
      </c>
      <c r="D6" s="1879">
        <v>25000</v>
      </c>
      <c r="E6" s="4743">
        <v>2083.3333333333335</v>
      </c>
      <c r="F6" s="4751">
        <v>1095.8900000000001</v>
      </c>
      <c r="G6" s="4743">
        <v>2083.3333333333335</v>
      </c>
      <c r="H6" s="4751">
        <v>2704.95</v>
      </c>
      <c r="I6" s="432">
        <f t="shared" ref="I6:J11" si="0">+E6+G6</f>
        <v>4166.666666666667</v>
      </c>
      <c r="J6" s="38">
        <f t="shared" si="0"/>
        <v>3800.84</v>
      </c>
      <c r="K6" s="4743">
        <v>2083.3333333333335</v>
      </c>
      <c r="L6" s="4751">
        <v>6803.8099999999995</v>
      </c>
      <c r="M6" s="67">
        <f t="shared" ref="M6:N11" si="1">+E6+G6+K6</f>
        <v>6250</v>
      </c>
      <c r="N6" s="67">
        <f t="shared" si="1"/>
        <v>10604.65</v>
      </c>
      <c r="O6" s="4743">
        <v>2083.3333333333335</v>
      </c>
      <c r="P6" s="4751">
        <v>3865.3599999999997</v>
      </c>
      <c r="Q6" s="432">
        <f t="shared" ref="Q6:Q11" si="2">+M6+O6</f>
        <v>8333.3333333333339</v>
      </c>
      <c r="R6" s="38">
        <f t="shared" ref="R6:R11" si="3">+N6+P6</f>
        <v>14470.009999999998</v>
      </c>
      <c r="S6" s="4743">
        <v>2083.3333333333335</v>
      </c>
      <c r="T6" s="4751">
        <v>6257.93</v>
      </c>
      <c r="U6" s="432">
        <f t="shared" ref="U6:U11" si="4">+Q6+S6</f>
        <v>10416.666666666668</v>
      </c>
      <c r="V6" s="38">
        <f t="shared" ref="V6:V11" si="5">+R6+T6</f>
        <v>20727.939999999999</v>
      </c>
      <c r="W6" s="4743">
        <v>2083</v>
      </c>
      <c r="X6" s="4751">
        <v>5182.59</v>
      </c>
      <c r="Y6" s="67">
        <f t="shared" ref="Y6:Z6" si="6">+O6+S6+W6</f>
        <v>6249.666666666667</v>
      </c>
      <c r="Z6" s="68">
        <f t="shared" si="6"/>
        <v>15305.880000000001</v>
      </c>
      <c r="AA6" s="635">
        <f>+M6+Y6</f>
        <v>12499.666666666668</v>
      </c>
      <c r="AB6" s="635">
        <f>+N6+Z6</f>
        <v>25910.53</v>
      </c>
      <c r="AC6" s="4743">
        <f>83.3333333333333+2000</f>
        <v>2083.3333333333335</v>
      </c>
      <c r="AD6" s="4751">
        <v>5221.92</v>
      </c>
      <c r="AE6" s="432">
        <f t="shared" ref="AE6:AE11" si="7">+AA6+AC6</f>
        <v>14583.000000000002</v>
      </c>
      <c r="AF6" s="38">
        <f t="shared" ref="AF6:AF11" si="8">+AB6+AD6</f>
        <v>31132.449999999997</v>
      </c>
      <c r="AG6" s="4743">
        <v>2083.3333333333335</v>
      </c>
      <c r="AH6" s="4751">
        <v>0</v>
      </c>
      <c r="AI6" s="432">
        <f t="shared" ref="AI6:AI11" si="9">+AE6+AG6</f>
        <v>16666.333333333336</v>
      </c>
      <c r="AJ6" s="38">
        <f t="shared" ref="AJ6:AJ11" si="10">+AF6+AH6</f>
        <v>31132.449999999997</v>
      </c>
      <c r="AK6" s="4743">
        <v>2083.3333299999999</v>
      </c>
      <c r="AL6" s="4751">
        <v>2960.7299999999996</v>
      </c>
      <c r="AM6" s="67">
        <f t="shared" ref="AM6:AM11" si="11">+AC6+AG6+AK6</f>
        <v>6249.9999966666674</v>
      </c>
      <c r="AN6" s="68">
        <f t="shared" ref="AN6:AN11" si="12">+AD6+AH6+AL6</f>
        <v>8182.65</v>
      </c>
      <c r="AO6" s="432">
        <f>AI6+AK6</f>
        <v>18749.666663333337</v>
      </c>
      <c r="AP6" s="432">
        <f>AJ6+AL6</f>
        <v>34093.179999999993</v>
      </c>
      <c r="AQ6" s="4743">
        <v>2083.3333299999999</v>
      </c>
      <c r="AR6" s="4751">
        <v>6204.6100000000015</v>
      </c>
      <c r="AS6" s="432">
        <f t="shared" ref="AS6:AS11" si="13">+AO6+AQ6</f>
        <v>20832.999993333338</v>
      </c>
      <c r="AT6" s="38">
        <f t="shared" ref="AT6:AT11" si="14">+AP6+AR6</f>
        <v>40297.789999999994</v>
      </c>
      <c r="AU6" s="4743">
        <v>2083.3333299999999</v>
      </c>
      <c r="AV6" s="4751">
        <v>3912.1499999999996</v>
      </c>
      <c r="AW6" s="432">
        <f t="shared" ref="AW6:AW11" si="15">+AS6+AU6</f>
        <v>22916.33332333334</v>
      </c>
      <c r="AX6" s="38">
        <f t="shared" ref="AX6:AX11" si="16">+AT6+AV6</f>
        <v>44209.939999999995</v>
      </c>
      <c r="AY6" s="4743">
        <v>2083.3333299999999</v>
      </c>
      <c r="AZ6" s="4751">
        <v>3740.4</v>
      </c>
      <c r="BA6" s="67">
        <f t="shared" ref="BA6:BA11" si="17">+AQ6+AU6+AY6</f>
        <v>6249.9999900000003</v>
      </c>
      <c r="BB6" s="68">
        <f t="shared" ref="BB6:BB11" si="18">+AR6+AV6+AZ6</f>
        <v>13857.160000000002</v>
      </c>
      <c r="BC6" s="635">
        <f>AM6+BA6</f>
        <v>12499.999986666668</v>
      </c>
      <c r="BD6" s="635">
        <f t="shared" ref="BD6:BD11" si="19">AN6+BB6</f>
        <v>22039.81</v>
      </c>
      <c r="BE6" s="432">
        <f t="shared" ref="BE6:BE11" si="20">+AW6+AY6</f>
        <v>24999.666653333341</v>
      </c>
      <c r="BF6" s="38">
        <f t="shared" ref="BF6:BF11" si="21">+AX6+AZ6</f>
        <v>47950.34</v>
      </c>
      <c r="BG6" s="1082">
        <v>21500</v>
      </c>
      <c r="BH6" s="1082">
        <v>53987.54</v>
      </c>
      <c r="BI6" s="1082">
        <v>21500</v>
      </c>
      <c r="BJ6" s="1082">
        <v>30649.839999999997</v>
      </c>
      <c r="BK6" s="1082">
        <v>25500</v>
      </c>
      <c r="BL6" s="1082">
        <v>34807.22</v>
      </c>
      <c r="BM6" s="1082">
        <v>16050</v>
      </c>
      <c r="BN6" s="1083">
        <v>33201.15</v>
      </c>
      <c r="BO6" s="1082">
        <v>0</v>
      </c>
      <c r="BP6" s="1083">
        <v>35268.25</v>
      </c>
      <c r="BQ6" s="1082">
        <v>2000</v>
      </c>
      <c r="BR6" s="1083">
        <v>28405.85</v>
      </c>
      <c r="BS6" s="2446"/>
      <c r="BT6" s="2446"/>
      <c r="BU6" s="2446"/>
      <c r="BV6" s="2446"/>
      <c r="BW6" s="2445"/>
    </row>
    <row r="7" spans="1:75" ht="15" customHeight="1" x14ac:dyDescent="0.25">
      <c r="B7" s="4731" t="s">
        <v>77</v>
      </c>
      <c r="C7" s="4732" t="s">
        <v>354</v>
      </c>
      <c r="D7" s="1880">
        <v>0</v>
      </c>
      <c r="E7" s="133">
        <v>0</v>
      </c>
      <c r="F7" s="4751">
        <v>0</v>
      </c>
      <c r="G7" s="133">
        <v>0</v>
      </c>
      <c r="H7" s="4751">
        <v>0</v>
      </c>
      <c r="I7" s="432">
        <f t="shared" si="0"/>
        <v>0</v>
      </c>
      <c r="J7" s="38">
        <f t="shared" si="0"/>
        <v>0</v>
      </c>
      <c r="K7" s="133">
        <v>0</v>
      </c>
      <c r="L7" s="4751">
        <v>0</v>
      </c>
      <c r="M7" s="67">
        <f t="shared" si="1"/>
        <v>0</v>
      </c>
      <c r="N7" s="67">
        <f t="shared" si="1"/>
        <v>0</v>
      </c>
      <c r="O7" s="133">
        <v>0</v>
      </c>
      <c r="P7" s="4751">
        <v>64.099999999999994</v>
      </c>
      <c r="Q7" s="432">
        <f t="shared" si="2"/>
        <v>0</v>
      </c>
      <c r="R7" s="38">
        <f t="shared" si="3"/>
        <v>64.099999999999994</v>
      </c>
      <c r="S7" s="133">
        <v>0</v>
      </c>
      <c r="T7" s="4751">
        <v>1485.1599999999999</v>
      </c>
      <c r="U7" s="432">
        <f t="shared" si="4"/>
        <v>0</v>
      </c>
      <c r="V7" s="38">
        <f t="shared" si="5"/>
        <v>1549.2599999999998</v>
      </c>
      <c r="W7" s="133">
        <v>0</v>
      </c>
      <c r="X7" s="4751">
        <v>694</v>
      </c>
      <c r="Y7" s="67">
        <f t="shared" ref="Y7:Y11" si="22">+O7+S7+W7</f>
        <v>0</v>
      </c>
      <c r="Z7" s="68">
        <f t="shared" ref="Z7:Z11" si="23">+P7+T7+X7</f>
        <v>2243.2599999999998</v>
      </c>
      <c r="AA7" s="635">
        <f t="shared" ref="AA7:AA11" si="24">+M7+Y7</f>
        <v>0</v>
      </c>
      <c r="AB7" s="635">
        <f t="shared" ref="AB7:AB11" si="25">+N7+Z7</f>
        <v>2243.2599999999998</v>
      </c>
      <c r="AC7" s="133">
        <v>0</v>
      </c>
      <c r="AD7" s="4751">
        <v>747.82</v>
      </c>
      <c r="AE7" s="432">
        <f t="shared" si="7"/>
        <v>0</v>
      </c>
      <c r="AF7" s="38">
        <f t="shared" si="8"/>
        <v>2991.08</v>
      </c>
      <c r="AG7" s="133">
        <v>0</v>
      </c>
      <c r="AH7" s="4751">
        <v>0</v>
      </c>
      <c r="AI7" s="432">
        <f t="shared" si="9"/>
        <v>0</v>
      </c>
      <c r="AJ7" s="38">
        <f t="shared" si="10"/>
        <v>2991.08</v>
      </c>
      <c r="AK7" s="133">
        <v>0</v>
      </c>
      <c r="AL7" s="4751">
        <v>244.1</v>
      </c>
      <c r="AM7" s="67">
        <f t="shared" si="11"/>
        <v>0</v>
      </c>
      <c r="AN7" s="68">
        <f t="shared" si="12"/>
        <v>991.92000000000007</v>
      </c>
      <c r="AO7" s="432">
        <f t="shared" ref="AO7:AO11" si="26">AI7+AK7</f>
        <v>0</v>
      </c>
      <c r="AP7" s="432">
        <f t="shared" ref="AP7:AP11" si="27">AJ7+AL7</f>
        <v>3235.18</v>
      </c>
      <c r="AQ7" s="133">
        <v>0</v>
      </c>
      <c r="AR7" s="4751">
        <v>0</v>
      </c>
      <c r="AS7" s="432">
        <f t="shared" si="13"/>
        <v>0</v>
      </c>
      <c r="AT7" s="38">
        <f t="shared" si="14"/>
        <v>3235.18</v>
      </c>
      <c r="AU7" s="133">
        <v>0</v>
      </c>
      <c r="AV7" s="4751">
        <v>2333.6400000000003</v>
      </c>
      <c r="AW7" s="432">
        <f t="shared" si="15"/>
        <v>0</v>
      </c>
      <c r="AX7" s="38">
        <f t="shared" si="16"/>
        <v>5568.82</v>
      </c>
      <c r="AY7" s="133">
        <v>0</v>
      </c>
      <c r="AZ7" s="4751">
        <v>2066.9</v>
      </c>
      <c r="BA7" s="67">
        <f t="shared" si="17"/>
        <v>0</v>
      </c>
      <c r="BB7" s="68">
        <f t="shared" si="18"/>
        <v>4400.5400000000009</v>
      </c>
      <c r="BC7" s="635">
        <f t="shared" ref="BC7:BC11" si="28">AM7+BA7</f>
        <v>0</v>
      </c>
      <c r="BD7" s="635">
        <f t="shared" si="19"/>
        <v>5392.4600000000009</v>
      </c>
      <c r="BE7" s="432">
        <f t="shared" si="20"/>
        <v>0</v>
      </c>
      <c r="BF7" s="38">
        <f t="shared" si="21"/>
        <v>7635.7199999999993</v>
      </c>
      <c r="BG7" s="1082">
        <v>0</v>
      </c>
      <c r="BH7" s="1082">
        <v>322.72000000000003</v>
      </c>
      <c r="BI7" s="1082">
        <v>0</v>
      </c>
      <c r="BJ7" s="1082">
        <v>3076.2</v>
      </c>
      <c r="BK7" s="1082">
        <v>123000</v>
      </c>
      <c r="BL7" s="1082">
        <v>42263.08</v>
      </c>
      <c r="BM7" s="1082">
        <v>0</v>
      </c>
      <c r="BN7" s="1083">
        <v>71707.420000000013</v>
      </c>
      <c r="BO7" s="1082">
        <v>10800</v>
      </c>
      <c r="BP7" s="1083">
        <v>9758.5099999999966</v>
      </c>
      <c r="BQ7" s="1082">
        <v>24210</v>
      </c>
      <c r="BR7" s="1083">
        <v>5928.0949999999839</v>
      </c>
      <c r="BS7" s="2446"/>
      <c r="BT7" s="2446"/>
      <c r="BU7" s="2446"/>
      <c r="BV7" s="2446"/>
      <c r="BW7" s="2445"/>
    </row>
    <row r="8" spans="1:75" ht="15" customHeight="1" x14ac:dyDescent="0.25">
      <c r="B8" s="4731" t="s">
        <v>568</v>
      </c>
      <c r="C8" s="4732" t="s">
        <v>354</v>
      </c>
      <c r="D8" s="4733">
        <v>499000.00000000006</v>
      </c>
      <c r="E8" s="4744">
        <v>42416.666666666664</v>
      </c>
      <c r="F8" s="4752">
        <v>33332.799999999996</v>
      </c>
      <c r="G8" s="4744">
        <v>43916.666666666664</v>
      </c>
      <c r="H8" s="4752">
        <v>39367.019999999997</v>
      </c>
      <c r="I8" s="432">
        <f t="shared" si="0"/>
        <v>86333.333333333328</v>
      </c>
      <c r="J8" s="38">
        <f t="shared" si="0"/>
        <v>72699.819999999992</v>
      </c>
      <c r="K8" s="4744">
        <v>42416.666666666664</v>
      </c>
      <c r="L8" s="4752">
        <v>37508.06</v>
      </c>
      <c r="M8" s="67">
        <f t="shared" si="1"/>
        <v>128750</v>
      </c>
      <c r="N8" s="67">
        <f t="shared" si="1"/>
        <v>110207.87999999999</v>
      </c>
      <c r="O8" s="4744">
        <v>43916.666666666664</v>
      </c>
      <c r="P8" s="4752">
        <v>44133.19</v>
      </c>
      <c r="Q8" s="432">
        <f t="shared" si="2"/>
        <v>172666.66666666666</v>
      </c>
      <c r="R8" s="38">
        <f t="shared" si="3"/>
        <v>154341.07</v>
      </c>
      <c r="S8" s="4744">
        <v>43916.666666666664</v>
      </c>
      <c r="T8" s="4752">
        <v>40726.54</v>
      </c>
      <c r="U8" s="432">
        <f t="shared" si="4"/>
        <v>216583.33333333331</v>
      </c>
      <c r="V8" s="38">
        <f t="shared" si="5"/>
        <v>195067.61000000002</v>
      </c>
      <c r="W8" s="4744">
        <v>24916.666666666668</v>
      </c>
      <c r="X8" s="4752">
        <v>36332.970000000008</v>
      </c>
      <c r="Y8" s="67">
        <f t="shared" si="22"/>
        <v>112750</v>
      </c>
      <c r="Z8" s="68">
        <f t="shared" si="23"/>
        <v>121192.70000000001</v>
      </c>
      <c r="AA8" s="635">
        <f t="shared" si="24"/>
        <v>241500</v>
      </c>
      <c r="AB8" s="635">
        <f t="shared" si="25"/>
        <v>231400.58000000002</v>
      </c>
      <c r="AC8" s="4744">
        <v>42416.666666666664</v>
      </c>
      <c r="AD8" s="4752">
        <v>31032.3</v>
      </c>
      <c r="AE8" s="432">
        <f t="shared" si="7"/>
        <v>283916.66666666669</v>
      </c>
      <c r="AF8" s="38">
        <f t="shared" si="8"/>
        <v>262432.88</v>
      </c>
      <c r="AG8" s="4744">
        <v>42416.666666666664</v>
      </c>
      <c r="AH8" s="4752">
        <v>38334.735999999997</v>
      </c>
      <c r="AI8" s="432">
        <f t="shared" si="9"/>
        <v>326333.33333333337</v>
      </c>
      <c r="AJ8" s="38">
        <f t="shared" si="10"/>
        <v>300767.61599999998</v>
      </c>
      <c r="AK8" s="4744">
        <v>43916.666666666664</v>
      </c>
      <c r="AL8" s="4752">
        <v>41187.810000000005</v>
      </c>
      <c r="AM8" s="67">
        <f t="shared" si="11"/>
        <v>128750</v>
      </c>
      <c r="AN8" s="68">
        <f t="shared" si="12"/>
        <v>110554.84599999999</v>
      </c>
      <c r="AO8" s="432">
        <f t="shared" si="26"/>
        <v>370250.00000000006</v>
      </c>
      <c r="AP8" s="432">
        <f t="shared" si="27"/>
        <v>341955.42599999998</v>
      </c>
      <c r="AQ8" s="4744">
        <v>44416.666666666664</v>
      </c>
      <c r="AR8" s="4752">
        <v>39752.560999999994</v>
      </c>
      <c r="AS8" s="432">
        <f t="shared" si="13"/>
        <v>414666.66666666674</v>
      </c>
      <c r="AT8" s="38">
        <f t="shared" si="14"/>
        <v>381707.98699999996</v>
      </c>
      <c r="AU8" s="4744">
        <v>39916.666666666664</v>
      </c>
      <c r="AV8" s="4752">
        <v>41871.839999999997</v>
      </c>
      <c r="AW8" s="432">
        <f t="shared" si="15"/>
        <v>454583.33333333343</v>
      </c>
      <c r="AX8" s="38">
        <f t="shared" si="16"/>
        <v>423579.82699999993</v>
      </c>
      <c r="AY8" s="4744">
        <v>44416.666666666664</v>
      </c>
      <c r="AZ8" s="4752">
        <v>48073.319999999992</v>
      </c>
      <c r="BA8" s="67">
        <f t="shared" si="17"/>
        <v>128750</v>
      </c>
      <c r="BB8" s="68">
        <f t="shared" si="18"/>
        <v>129697.72099999998</v>
      </c>
      <c r="BC8" s="635">
        <f t="shared" si="28"/>
        <v>257500</v>
      </c>
      <c r="BD8" s="635">
        <f t="shared" si="19"/>
        <v>240252.56699999998</v>
      </c>
      <c r="BE8" s="432">
        <f t="shared" si="20"/>
        <v>499000.00000000012</v>
      </c>
      <c r="BF8" s="38">
        <f t="shared" si="21"/>
        <v>471653.14699999994</v>
      </c>
      <c r="BG8" s="1082">
        <v>498500</v>
      </c>
      <c r="BH8" s="1082">
        <v>459216.41</v>
      </c>
      <c r="BI8" s="1082">
        <v>498500</v>
      </c>
      <c r="BJ8" s="1082">
        <v>473494.20999999996</v>
      </c>
      <c r="BK8" s="1082">
        <v>498500</v>
      </c>
      <c r="BL8" s="1082">
        <v>453432.75</v>
      </c>
      <c r="BM8" s="1082">
        <v>498500</v>
      </c>
      <c r="BN8" s="1083">
        <v>467953.64</v>
      </c>
      <c r="BO8" s="1082">
        <v>435166.28679320007</v>
      </c>
      <c r="BP8" s="1083">
        <v>351267.01600000006</v>
      </c>
      <c r="BQ8" s="1082">
        <v>498000</v>
      </c>
      <c r="BR8" s="1083">
        <v>399090.26199999993</v>
      </c>
      <c r="BS8" s="2446"/>
      <c r="BT8" s="2446"/>
      <c r="BU8" s="2446"/>
      <c r="BV8" s="2446"/>
      <c r="BW8" s="2445"/>
    </row>
    <row r="9" spans="1:75" ht="15" customHeight="1" x14ac:dyDescent="0.25">
      <c r="B9" s="4731" t="s">
        <v>569</v>
      </c>
      <c r="C9" s="4732" t="s">
        <v>354</v>
      </c>
      <c r="D9" s="4733">
        <v>900000</v>
      </c>
      <c r="E9" s="4744">
        <v>76000</v>
      </c>
      <c r="F9" s="4753">
        <v>60011.209999999992</v>
      </c>
      <c r="G9" s="4744">
        <v>79000</v>
      </c>
      <c r="H9" s="4753">
        <v>67347.899999999994</v>
      </c>
      <c r="I9" s="432">
        <f t="shared" si="0"/>
        <v>155000</v>
      </c>
      <c r="J9" s="38">
        <f t="shared" si="0"/>
        <v>127359.10999999999</v>
      </c>
      <c r="K9" s="4744">
        <v>76000</v>
      </c>
      <c r="L9" s="4753">
        <v>73175.62999999999</v>
      </c>
      <c r="M9" s="67">
        <f t="shared" si="1"/>
        <v>231000</v>
      </c>
      <c r="N9" s="67">
        <f t="shared" si="1"/>
        <v>200534.74</v>
      </c>
      <c r="O9" s="4744">
        <v>79000</v>
      </c>
      <c r="P9" s="4753">
        <v>84102.500000000015</v>
      </c>
      <c r="Q9" s="432">
        <f t="shared" si="2"/>
        <v>310000</v>
      </c>
      <c r="R9" s="38">
        <f t="shared" si="3"/>
        <v>284637.24</v>
      </c>
      <c r="S9" s="4744">
        <v>79000</v>
      </c>
      <c r="T9" s="4753">
        <v>86905.93</v>
      </c>
      <c r="U9" s="432">
        <f t="shared" si="4"/>
        <v>389000</v>
      </c>
      <c r="V9" s="38">
        <f t="shared" si="5"/>
        <v>371543.17</v>
      </c>
      <c r="W9" s="4744">
        <v>47500</v>
      </c>
      <c r="X9" s="4753">
        <v>68689.990000000005</v>
      </c>
      <c r="Y9" s="67">
        <f t="shared" si="22"/>
        <v>205500</v>
      </c>
      <c r="Z9" s="68">
        <f t="shared" si="23"/>
        <v>239698.41999999998</v>
      </c>
      <c r="AA9" s="635">
        <f t="shared" si="24"/>
        <v>436500</v>
      </c>
      <c r="AB9" s="635">
        <f t="shared" si="25"/>
        <v>440233.16</v>
      </c>
      <c r="AC9" s="4744">
        <v>78000</v>
      </c>
      <c r="AD9" s="4753">
        <v>52260.41</v>
      </c>
      <c r="AE9" s="432">
        <f t="shared" si="7"/>
        <v>514500</v>
      </c>
      <c r="AF9" s="38">
        <f t="shared" si="8"/>
        <v>492493.56999999995</v>
      </c>
      <c r="AG9" s="4744">
        <v>76000</v>
      </c>
      <c r="AH9" s="4753">
        <v>70091.169000000009</v>
      </c>
      <c r="AI9" s="432">
        <f t="shared" si="9"/>
        <v>590500</v>
      </c>
      <c r="AJ9" s="38">
        <f t="shared" si="10"/>
        <v>562584.73899999994</v>
      </c>
      <c r="AK9" s="4744">
        <v>79000</v>
      </c>
      <c r="AL9" s="4753">
        <v>83237.279999999999</v>
      </c>
      <c r="AM9" s="67">
        <f t="shared" si="11"/>
        <v>233000</v>
      </c>
      <c r="AN9" s="68">
        <f t="shared" si="12"/>
        <v>205588.859</v>
      </c>
      <c r="AO9" s="432">
        <f t="shared" si="26"/>
        <v>669500</v>
      </c>
      <c r="AP9" s="432">
        <f t="shared" si="27"/>
        <v>645822.01899999997</v>
      </c>
      <c r="AQ9" s="4744">
        <v>79000</v>
      </c>
      <c r="AR9" s="4753">
        <v>79536.070000000007</v>
      </c>
      <c r="AS9" s="432">
        <f t="shared" si="13"/>
        <v>748500</v>
      </c>
      <c r="AT9" s="38">
        <f t="shared" si="14"/>
        <v>725358.08899999992</v>
      </c>
      <c r="AU9" s="4744">
        <v>71500</v>
      </c>
      <c r="AV9" s="4753">
        <v>77559.290000000008</v>
      </c>
      <c r="AW9" s="432">
        <f t="shared" si="15"/>
        <v>820000</v>
      </c>
      <c r="AX9" s="38">
        <f t="shared" si="16"/>
        <v>802917.37899999996</v>
      </c>
      <c r="AY9" s="4744">
        <v>80000</v>
      </c>
      <c r="AZ9" s="4753">
        <v>81642.31</v>
      </c>
      <c r="BA9" s="67">
        <f t="shared" si="17"/>
        <v>230500</v>
      </c>
      <c r="BB9" s="68">
        <f t="shared" si="18"/>
        <v>238737.67</v>
      </c>
      <c r="BC9" s="635">
        <f t="shared" si="28"/>
        <v>463500</v>
      </c>
      <c r="BD9" s="635">
        <f t="shared" si="19"/>
        <v>444326.52899999998</v>
      </c>
      <c r="BE9" s="432">
        <f t="shared" si="20"/>
        <v>900000</v>
      </c>
      <c r="BF9" s="38">
        <f t="shared" si="21"/>
        <v>884559.68900000001</v>
      </c>
      <c r="BG9" s="1082">
        <v>870000</v>
      </c>
      <c r="BH9" s="1082">
        <v>750184.19</v>
      </c>
      <c r="BI9" s="1082">
        <v>850000</v>
      </c>
      <c r="BJ9" s="1082">
        <v>781402.45000000007</v>
      </c>
      <c r="BK9" s="1082">
        <v>780000</v>
      </c>
      <c r="BL9" s="1082">
        <v>768402.31</v>
      </c>
      <c r="BM9" s="1082">
        <v>750000</v>
      </c>
      <c r="BN9" s="1083">
        <v>648761.89</v>
      </c>
      <c r="BO9" s="1082">
        <v>674874.74</v>
      </c>
      <c r="BP9" s="1083">
        <v>436958.46299999999</v>
      </c>
      <c r="BQ9" s="1082">
        <v>800000</v>
      </c>
      <c r="BR9" s="1083">
        <v>612890.54699999979</v>
      </c>
      <c r="BS9" s="2446"/>
      <c r="BT9" s="2446"/>
      <c r="BU9" s="2446"/>
      <c r="BV9" s="2446"/>
      <c r="BW9" s="2445"/>
    </row>
    <row r="10" spans="1:75" ht="15" customHeight="1" x14ac:dyDescent="0.25">
      <c r="B10" s="4731" t="s">
        <v>570</v>
      </c>
      <c r="C10" s="4732" t="s">
        <v>354</v>
      </c>
      <c r="D10" s="4733">
        <v>750000</v>
      </c>
      <c r="E10" s="4744">
        <v>62000</v>
      </c>
      <c r="F10" s="4753">
        <v>44122.7</v>
      </c>
      <c r="G10" s="4744">
        <v>65000</v>
      </c>
      <c r="H10" s="4753">
        <v>57715.999999999985</v>
      </c>
      <c r="I10" s="432">
        <f t="shared" si="0"/>
        <v>127000</v>
      </c>
      <c r="J10" s="38">
        <f t="shared" si="0"/>
        <v>101838.69999999998</v>
      </c>
      <c r="K10" s="4744">
        <v>62500</v>
      </c>
      <c r="L10" s="4753">
        <v>56720.68</v>
      </c>
      <c r="M10" s="67">
        <f t="shared" si="1"/>
        <v>189500</v>
      </c>
      <c r="N10" s="67">
        <f t="shared" si="1"/>
        <v>158559.37999999998</v>
      </c>
      <c r="O10" s="4744">
        <v>65000</v>
      </c>
      <c r="P10" s="4753">
        <v>57264.83</v>
      </c>
      <c r="Q10" s="432">
        <f t="shared" si="2"/>
        <v>254500</v>
      </c>
      <c r="R10" s="38">
        <f t="shared" si="3"/>
        <v>215824.20999999996</v>
      </c>
      <c r="S10" s="4744">
        <v>65000</v>
      </c>
      <c r="T10" s="4753">
        <v>47224.14</v>
      </c>
      <c r="U10" s="432">
        <f t="shared" si="4"/>
        <v>319500</v>
      </c>
      <c r="V10" s="38">
        <f t="shared" si="5"/>
        <v>263048.34999999998</v>
      </c>
      <c r="W10" s="4744">
        <v>33500</v>
      </c>
      <c r="X10" s="4753">
        <v>45948.119999999995</v>
      </c>
      <c r="Y10" s="67">
        <f t="shared" si="22"/>
        <v>163500</v>
      </c>
      <c r="Z10" s="68">
        <f t="shared" si="23"/>
        <v>150437.09</v>
      </c>
      <c r="AA10" s="635">
        <f t="shared" si="24"/>
        <v>353000</v>
      </c>
      <c r="AB10" s="635">
        <f t="shared" si="25"/>
        <v>308996.46999999997</v>
      </c>
      <c r="AC10" s="4744">
        <v>67000</v>
      </c>
      <c r="AD10" s="4753">
        <v>30215.879999999997</v>
      </c>
      <c r="AE10" s="432">
        <f t="shared" si="7"/>
        <v>420000</v>
      </c>
      <c r="AF10" s="38">
        <f t="shared" si="8"/>
        <v>339212.35</v>
      </c>
      <c r="AG10" s="4744">
        <v>65000</v>
      </c>
      <c r="AH10" s="4753">
        <v>49444.75</v>
      </c>
      <c r="AI10" s="432">
        <f t="shared" si="9"/>
        <v>485000</v>
      </c>
      <c r="AJ10" s="38">
        <f t="shared" si="10"/>
        <v>388657.1</v>
      </c>
      <c r="AK10" s="4744">
        <v>67500</v>
      </c>
      <c r="AL10" s="4753">
        <v>51538.880999999994</v>
      </c>
      <c r="AM10" s="67">
        <f t="shared" si="11"/>
        <v>199500</v>
      </c>
      <c r="AN10" s="68">
        <f t="shared" si="12"/>
        <v>131199.511</v>
      </c>
      <c r="AO10" s="432">
        <f t="shared" si="26"/>
        <v>552500</v>
      </c>
      <c r="AP10" s="432">
        <f t="shared" si="27"/>
        <v>440195.98099999997</v>
      </c>
      <c r="AQ10" s="4744">
        <v>68000</v>
      </c>
      <c r="AR10" s="4753">
        <v>55396.94</v>
      </c>
      <c r="AS10" s="432">
        <f t="shared" si="13"/>
        <v>620500</v>
      </c>
      <c r="AT10" s="38">
        <f t="shared" si="14"/>
        <v>495592.92099999997</v>
      </c>
      <c r="AU10" s="4744">
        <v>61000</v>
      </c>
      <c r="AV10" s="4753">
        <v>53071.489999999991</v>
      </c>
      <c r="AW10" s="432">
        <f t="shared" si="15"/>
        <v>681500</v>
      </c>
      <c r="AX10" s="38">
        <f t="shared" si="16"/>
        <v>548664.41099999996</v>
      </c>
      <c r="AY10" s="4744">
        <v>68500</v>
      </c>
      <c r="AZ10" s="4753">
        <v>58800.212</v>
      </c>
      <c r="BA10" s="67">
        <f t="shared" si="17"/>
        <v>197500</v>
      </c>
      <c r="BB10" s="68">
        <f t="shared" si="18"/>
        <v>167268.64199999999</v>
      </c>
      <c r="BC10" s="635">
        <f t="shared" si="28"/>
        <v>397000</v>
      </c>
      <c r="BD10" s="635">
        <f t="shared" si="19"/>
        <v>298468.15299999999</v>
      </c>
      <c r="BE10" s="432">
        <f t="shared" si="20"/>
        <v>750000</v>
      </c>
      <c r="BF10" s="38">
        <f t="shared" si="21"/>
        <v>607464.62299999991</v>
      </c>
      <c r="BG10" s="1082">
        <v>560000</v>
      </c>
      <c r="BH10" s="1082">
        <v>502052.01</v>
      </c>
      <c r="BI10" s="1082">
        <v>525000</v>
      </c>
      <c r="BJ10" s="1082">
        <v>452802.58999999997</v>
      </c>
      <c r="BK10" s="1082">
        <v>470000</v>
      </c>
      <c r="BL10" s="1082">
        <v>357334.79000000004</v>
      </c>
      <c r="BM10" s="1082">
        <v>445000</v>
      </c>
      <c r="BN10" s="1083">
        <v>214319.65000000002</v>
      </c>
      <c r="BO10" s="1082">
        <v>220000</v>
      </c>
      <c r="BP10" s="1083">
        <v>100400.402</v>
      </c>
      <c r="BQ10" s="1082">
        <v>535000</v>
      </c>
      <c r="BR10" s="1083">
        <v>167166.99200000003</v>
      </c>
      <c r="BS10" s="2446"/>
      <c r="BT10" s="2446"/>
      <c r="BU10" s="2446"/>
      <c r="BV10" s="2446"/>
      <c r="BW10" s="2445"/>
    </row>
    <row r="11" spans="1:75" ht="15" customHeight="1" thickBot="1" x14ac:dyDescent="0.3">
      <c r="B11" s="4734" t="s">
        <v>661</v>
      </c>
      <c r="C11" s="4735" t="s">
        <v>354</v>
      </c>
      <c r="D11" s="4736">
        <v>500798.33712910977</v>
      </c>
      <c r="E11" s="4745">
        <v>46499.815368603406</v>
      </c>
      <c r="F11" s="4754">
        <v>37328.400000000001</v>
      </c>
      <c r="G11" s="4745">
        <v>46499.576671657051</v>
      </c>
      <c r="H11" s="4754">
        <v>50330.159999999996</v>
      </c>
      <c r="I11" s="432">
        <f t="shared" si="0"/>
        <v>92999.392040260456</v>
      </c>
      <c r="J11" s="38">
        <f t="shared" si="0"/>
        <v>87658.559999999998</v>
      </c>
      <c r="K11" s="4745">
        <v>46000.110883115281</v>
      </c>
      <c r="L11" s="4754">
        <v>44296.209999999992</v>
      </c>
      <c r="M11" s="67">
        <f t="shared" si="1"/>
        <v>138999.50292337575</v>
      </c>
      <c r="N11" s="67">
        <f t="shared" si="1"/>
        <v>131954.76999999999</v>
      </c>
      <c r="O11" s="4745">
        <v>41500.141355320884</v>
      </c>
      <c r="P11" s="4754">
        <v>54193.850000000006</v>
      </c>
      <c r="Q11" s="432">
        <f t="shared" si="2"/>
        <v>180499.64427869662</v>
      </c>
      <c r="R11" s="38">
        <f t="shared" si="3"/>
        <v>186148.62</v>
      </c>
      <c r="S11" s="4745">
        <v>41500.141355320884</v>
      </c>
      <c r="T11" s="4754">
        <v>63719.03</v>
      </c>
      <c r="U11" s="432">
        <f t="shared" si="4"/>
        <v>221999.78563401749</v>
      </c>
      <c r="V11" s="38">
        <f t="shared" si="5"/>
        <v>249867.65</v>
      </c>
      <c r="W11" s="4745">
        <v>13300.014764853251</v>
      </c>
      <c r="X11" s="4754">
        <v>50417.94000000001</v>
      </c>
      <c r="Y11" s="67">
        <f t="shared" si="22"/>
        <v>96300.297475495026</v>
      </c>
      <c r="Z11" s="68">
        <f t="shared" si="23"/>
        <v>168330.82</v>
      </c>
      <c r="AA11" s="635">
        <f t="shared" si="24"/>
        <v>235299.80039887078</v>
      </c>
      <c r="AB11" s="635">
        <f t="shared" si="25"/>
        <v>300285.58999999997</v>
      </c>
      <c r="AC11" s="4745">
        <v>46999.528159756359</v>
      </c>
      <c r="AD11" s="4754">
        <v>54079.359999999986</v>
      </c>
      <c r="AE11" s="432">
        <f t="shared" si="7"/>
        <v>282299.32855862717</v>
      </c>
      <c r="AF11" s="38">
        <f t="shared" si="8"/>
        <v>354364.94999999995</v>
      </c>
      <c r="AG11" s="4745">
        <v>43499.588455674646</v>
      </c>
      <c r="AH11" s="4754">
        <v>63043.03</v>
      </c>
      <c r="AI11" s="432">
        <f t="shared" si="9"/>
        <v>325798.91701430181</v>
      </c>
      <c r="AJ11" s="38">
        <f t="shared" si="10"/>
        <v>417407.98</v>
      </c>
      <c r="AK11" s="4745">
        <v>44000.054244216415</v>
      </c>
      <c r="AL11" s="4754">
        <v>51546.680000000008</v>
      </c>
      <c r="AM11" s="67">
        <f t="shared" si="11"/>
        <v>134499.17085964742</v>
      </c>
      <c r="AN11" s="68">
        <f t="shared" si="12"/>
        <v>168669.07</v>
      </c>
      <c r="AO11" s="432">
        <f t="shared" si="26"/>
        <v>369798.97125851823</v>
      </c>
      <c r="AP11" s="432">
        <f t="shared" si="27"/>
        <v>468954.66</v>
      </c>
      <c r="AQ11" s="4745">
        <v>46499.664678463945</v>
      </c>
      <c r="AR11" s="4754">
        <v>35800.429999999993</v>
      </c>
      <c r="AS11" s="432">
        <f t="shared" si="13"/>
        <v>416298.63593698217</v>
      </c>
      <c r="AT11" s="38">
        <f t="shared" si="14"/>
        <v>504755.08999999997</v>
      </c>
      <c r="AU11" s="4745">
        <v>39500.010429203743</v>
      </c>
      <c r="AV11" s="4754">
        <v>12710.87</v>
      </c>
      <c r="AW11" s="432">
        <f t="shared" si="15"/>
        <v>455798.64636618592</v>
      </c>
      <c r="AX11" s="38">
        <f t="shared" si="16"/>
        <v>517465.95999999996</v>
      </c>
      <c r="AY11" s="4745">
        <v>45000</v>
      </c>
      <c r="AZ11" s="4754">
        <v>37056.46</v>
      </c>
      <c r="BA11" s="67">
        <f t="shared" si="17"/>
        <v>130999.67510766769</v>
      </c>
      <c r="BB11" s="68">
        <f t="shared" si="18"/>
        <v>85567.76</v>
      </c>
      <c r="BC11" s="635">
        <f t="shared" si="28"/>
        <v>265498.84596731514</v>
      </c>
      <c r="BD11" s="635">
        <f t="shared" si="19"/>
        <v>254236.83000000002</v>
      </c>
      <c r="BE11" s="432">
        <f t="shared" si="20"/>
        <v>500798.64636618592</v>
      </c>
      <c r="BF11" s="38">
        <f t="shared" si="21"/>
        <v>554522.41999999993</v>
      </c>
      <c r="BG11" s="1082">
        <v>459999.54066167952</v>
      </c>
      <c r="BH11" s="1082">
        <v>584980.47</v>
      </c>
      <c r="BI11" s="1082">
        <v>630000.01444664178</v>
      </c>
      <c r="BJ11" s="1082">
        <v>623466.16999999993</v>
      </c>
      <c r="BK11" s="1082">
        <v>513000.01387175487</v>
      </c>
      <c r="BL11" s="1082">
        <v>641816.63</v>
      </c>
      <c r="BM11" s="1082">
        <v>659950.1509075613</v>
      </c>
      <c r="BN11" s="1083">
        <v>742311.7699999999</v>
      </c>
      <c r="BO11" s="1082">
        <v>893633.77567653405</v>
      </c>
      <c r="BP11" s="1083">
        <v>944002.20799999987</v>
      </c>
      <c r="BQ11" s="1082">
        <v>547789.74093264237</v>
      </c>
      <c r="BR11" s="1083">
        <v>836451.00399999984</v>
      </c>
      <c r="BS11" s="2446"/>
      <c r="BT11" s="2446"/>
      <c r="BU11" s="2446"/>
      <c r="BV11" s="2446"/>
      <c r="BW11" s="2445"/>
    </row>
    <row r="12" spans="1:75" ht="15" customHeight="1" thickBot="1" x14ac:dyDescent="0.3">
      <c r="A12" s="1257"/>
      <c r="B12" s="1874" t="s">
        <v>2</v>
      </c>
      <c r="C12" s="727" t="s">
        <v>354</v>
      </c>
      <c r="D12" s="706">
        <f>SUM(D6:D11)</f>
        <v>2674798.3371291095</v>
      </c>
      <c r="E12" s="1369">
        <f>SUM(E6:E11)</f>
        <v>228999.81536860339</v>
      </c>
      <c r="F12" s="1368">
        <f>SUM(F6:F11)</f>
        <v>175890.99999999997</v>
      </c>
      <c r="G12" s="1369">
        <f>SUM(G6:G11)</f>
        <v>236499.57667165704</v>
      </c>
      <c r="H12" s="1368">
        <f>SUM(H6:H11)</f>
        <v>217466.03</v>
      </c>
      <c r="I12" s="450">
        <f t="shared" ref="I12:J12" si="29">SUM(I6:I11)</f>
        <v>465499.39204026049</v>
      </c>
      <c r="J12" s="396">
        <f t="shared" si="29"/>
        <v>393357.02999999997</v>
      </c>
      <c r="K12" s="1369">
        <f>SUM(K6:K11)</f>
        <v>229000.11088311527</v>
      </c>
      <c r="L12" s="1368">
        <f>SUM(L6:L11)</f>
        <v>218504.38999999998</v>
      </c>
      <c r="M12" s="450">
        <f t="shared" ref="M12:N12" si="30">SUM(M6:M11)</f>
        <v>694499.50292337569</v>
      </c>
      <c r="N12" s="396">
        <f t="shared" si="30"/>
        <v>611861.41999999993</v>
      </c>
      <c r="O12" s="1369">
        <f>SUM(O6:O11)</f>
        <v>231500.14135532087</v>
      </c>
      <c r="P12" s="1368">
        <f>SUM(P6:P11)</f>
        <v>243623.83000000005</v>
      </c>
      <c r="Q12" s="450">
        <f t="shared" ref="Q12:R12" si="31">SUM(Q6:Q11)</f>
        <v>925999.64427869662</v>
      </c>
      <c r="R12" s="396">
        <f t="shared" si="31"/>
        <v>855485.24999999988</v>
      </c>
      <c r="S12" s="1369">
        <f>SUM(S6:S11)</f>
        <v>231500.14135532087</v>
      </c>
      <c r="T12" s="1368">
        <f>SUM(T6:T11)</f>
        <v>246318.73</v>
      </c>
      <c r="U12" s="450">
        <f t="shared" ref="U12:V12" si="32">SUM(U6:U11)</f>
        <v>1157499.7856340175</v>
      </c>
      <c r="V12" s="396">
        <f t="shared" si="32"/>
        <v>1101803.98</v>
      </c>
      <c r="W12" s="1369">
        <f>SUM(W6:W11)</f>
        <v>121299.68143151992</v>
      </c>
      <c r="X12" s="1368">
        <f>SUM(X6:X11)</f>
        <v>207265.61000000002</v>
      </c>
      <c r="Y12" s="450">
        <f t="shared" ref="Y12:Z12" si="33">SUM(Y6:Y11)</f>
        <v>584299.96414216165</v>
      </c>
      <c r="Z12" s="396">
        <f t="shared" si="33"/>
        <v>697208.16999999993</v>
      </c>
      <c r="AA12" s="450">
        <f t="shared" ref="AA12:AB12" si="34">SUM(AA6:AA11)</f>
        <v>1278799.4670655373</v>
      </c>
      <c r="AB12" s="396">
        <f t="shared" si="34"/>
        <v>1309069.5899999999</v>
      </c>
      <c r="AC12" s="1369">
        <f>SUM(AC6:AC11)</f>
        <v>236499.52815975636</v>
      </c>
      <c r="AD12" s="1368">
        <f>SUM(AD6:AD11)</f>
        <v>173557.69</v>
      </c>
      <c r="AE12" s="450">
        <f t="shared" ref="AE12:AF12" si="35">SUM(AE6:AE11)</f>
        <v>1515298.995225294</v>
      </c>
      <c r="AF12" s="396">
        <f t="shared" si="35"/>
        <v>1482627.28</v>
      </c>
      <c r="AG12" s="1369">
        <f>SUM(AG6:AG11)</f>
        <v>228999.58845567465</v>
      </c>
      <c r="AH12" s="1368">
        <f>SUM(AH6:AH11)</f>
        <v>220913.685</v>
      </c>
      <c r="AI12" s="450">
        <f t="shared" ref="AI12:AN12" si="36">SUM(AI6:AI11)</f>
        <v>1744298.5836809685</v>
      </c>
      <c r="AJ12" s="396">
        <f t="shared" si="36"/>
        <v>1703540.9649999999</v>
      </c>
      <c r="AK12" s="1369">
        <f>SUM(AK6:AK11)</f>
        <v>236500.0542408831</v>
      </c>
      <c r="AL12" s="1368">
        <f>SUM(AL6:AL11)</f>
        <v>230715.48100000003</v>
      </c>
      <c r="AM12" s="450">
        <f t="shared" si="36"/>
        <v>701999.17085631413</v>
      </c>
      <c r="AN12" s="396">
        <f t="shared" si="36"/>
        <v>625186.85600000003</v>
      </c>
      <c r="AO12" s="450">
        <f t="shared" ref="AO12:AP12" si="37">SUM(AO6:AO11)</f>
        <v>1980798.6379218516</v>
      </c>
      <c r="AP12" s="396">
        <f t="shared" si="37"/>
        <v>1934256.4459999998</v>
      </c>
      <c r="AQ12" s="1369">
        <f>SUM(AQ6:AQ11)</f>
        <v>239999.66467513063</v>
      </c>
      <c r="AR12" s="1368">
        <f>SUM(AR6:AR11)</f>
        <v>216690.611</v>
      </c>
      <c r="AS12" s="450">
        <f t="shared" ref="AS12:AT12" si="38">SUM(AS6:AS11)</f>
        <v>2220798.3025969821</v>
      </c>
      <c r="AT12" s="396">
        <f t="shared" si="38"/>
        <v>2150947.0569999996</v>
      </c>
      <c r="AU12" s="1369">
        <f>SUM(AU6:AU11)</f>
        <v>214000.01042587042</v>
      </c>
      <c r="AV12" s="1368">
        <f>SUM(AV6:AV11)</f>
        <v>191459.28</v>
      </c>
      <c r="AW12" s="450">
        <f t="shared" ref="AW12:AX12" si="39">SUM(AW6:AW11)</f>
        <v>2434798.3130228529</v>
      </c>
      <c r="AX12" s="396">
        <f t="shared" si="39"/>
        <v>2342406.3369999998</v>
      </c>
      <c r="AY12" s="1369">
        <f>SUM(AY6:AY11)</f>
        <v>239999.99999666668</v>
      </c>
      <c r="AZ12" s="1368">
        <f>SUM(AZ6:AZ11)</f>
        <v>231379.60199999998</v>
      </c>
      <c r="BA12" s="450">
        <f t="shared" ref="BA12:BD12" si="40">SUM(BA6:BA11)</f>
        <v>693999.67509766773</v>
      </c>
      <c r="BB12" s="396">
        <f t="shared" si="40"/>
        <v>639529.49300000002</v>
      </c>
      <c r="BC12" s="450">
        <f t="shared" si="40"/>
        <v>1395998.8459539819</v>
      </c>
      <c r="BD12" s="396">
        <f t="shared" si="40"/>
        <v>1264716.3489999999</v>
      </c>
      <c r="BE12" s="450">
        <f t="shared" ref="BE12:BF12" si="41">SUM(BE6:BE11)</f>
        <v>2674798.3130195192</v>
      </c>
      <c r="BF12" s="396">
        <f t="shared" si="41"/>
        <v>2573785.9389999998</v>
      </c>
      <c r="BG12" s="450">
        <v>2409999.5406616796</v>
      </c>
      <c r="BH12" s="1369">
        <v>2350743.34</v>
      </c>
      <c r="BI12" s="450">
        <v>2525000.0144466418</v>
      </c>
      <c r="BJ12" s="1369">
        <v>2364891.46</v>
      </c>
      <c r="BK12" s="450">
        <v>2410000.013871755</v>
      </c>
      <c r="BL12" s="1369">
        <v>2298056.7800000003</v>
      </c>
      <c r="BM12" s="450">
        <v>2369500.1509075612</v>
      </c>
      <c r="BN12" s="396">
        <v>2178255.52</v>
      </c>
      <c r="BO12" s="450">
        <v>2234474.8024697341</v>
      </c>
      <c r="BP12" s="396">
        <v>1877654.8489999999</v>
      </c>
      <c r="BQ12" s="450">
        <v>2406999.7409326425</v>
      </c>
      <c r="BR12" s="396">
        <v>2049932.7499999995</v>
      </c>
      <c r="BS12" s="2446"/>
      <c r="BT12" s="2446"/>
      <c r="BU12" s="2446"/>
      <c r="BV12" s="2446"/>
      <c r="BW12" s="2445"/>
    </row>
    <row r="13" spans="1:75" ht="96.75" hidden="1" customHeight="1" thickBot="1" x14ac:dyDescent="0.3">
      <c r="A13" s="1257"/>
      <c r="B13" s="4737" t="s">
        <v>1110</v>
      </c>
      <c r="C13" s="522"/>
      <c r="D13" s="4738" t="s">
        <v>1173</v>
      </c>
      <c r="E13" s="4738" t="s">
        <v>1174</v>
      </c>
      <c r="F13" s="4755"/>
      <c r="G13" s="4738" t="s">
        <v>1174</v>
      </c>
      <c r="H13" s="4755"/>
      <c r="I13" s="522"/>
      <c r="J13" s="522"/>
      <c r="K13" s="4738" t="s">
        <v>1174</v>
      </c>
      <c r="L13" s="4755"/>
      <c r="M13" s="522"/>
      <c r="N13" s="522"/>
      <c r="O13" s="4738" t="s">
        <v>1174</v>
      </c>
      <c r="P13" s="4755"/>
      <c r="Q13" s="522"/>
      <c r="R13" s="522"/>
      <c r="S13" s="4738" t="s">
        <v>1174</v>
      </c>
      <c r="T13" s="4755"/>
      <c r="U13" s="522"/>
      <c r="V13" s="522"/>
      <c r="W13" s="4738" t="s">
        <v>1174</v>
      </c>
      <c r="X13" s="4755"/>
      <c r="Y13" s="522"/>
      <c r="Z13" s="522"/>
      <c r="AA13" s="522"/>
      <c r="AB13" s="704"/>
      <c r="AC13" s="4738" t="s">
        <v>1174</v>
      </c>
      <c r="AD13" s="4755"/>
      <c r="AE13" s="522"/>
      <c r="AF13" s="522"/>
      <c r="AG13" s="4738" t="s">
        <v>1174</v>
      </c>
      <c r="AH13" s="4755"/>
      <c r="AI13" s="522"/>
      <c r="AJ13" s="522"/>
      <c r="AK13" s="4738" t="s">
        <v>1174</v>
      </c>
      <c r="AL13" s="4755"/>
      <c r="AM13" s="522"/>
      <c r="AN13" s="522"/>
      <c r="AO13" s="522"/>
      <c r="AP13" s="522"/>
      <c r="AQ13" s="4738" t="s">
        <v>1174</v>
      </c>
      <c r="AR13" s="4755"/>
      <c r="AS13" s="522"/>
      <c r="AT13" s="522"/>
      <c r="AU13" s="4738" t="s">
        <v>1174</v>
      </c>
      <c r="AV13" s="4755"/>
      <c r="AW13" s="522"/>
      <c r="AX13" s="522"/>
      <c r="AY13" s="4738" t="s">
        <v>1174</v>
      </c>
      <c r="AZ13" s="4755"/>
      <c r="BA13" s="522"/>
      <c r="BB13" s="522"/>
      <c r="BC13" s="522"/>
      <c r="BD13" s="704"/>
      <c r="BE13" s="522"/>
      <c r="BF13" s="522"/>
      <c r="BG13" s="522"/>
      <c r="BH13" s="522"/>
      <c r="BI13" s="522"/>
      <c r="BJ13" s="522"/>
      <c r="BK13" s="522"/>
      <c r="BL13" s="522"/>
      <c r="BM13" s="522"/>
      <c r="BN13" s="522"/>
      <c r="BO13" s="522"/>
      <c r="BP13" s="522"/>
      <c r="BQ13" s="522"/>
      <c r="BR13" s="522"/>
      <c r="BS13" s="2446"/>
      <c r="BT13" s="2446"/>
      <c r="BU13" s="2446"/>
      <c r="BV13" s="2446"/>
      <c r="BW13" s="2445"/>
    </row>
    <row r="14" spans="1:75" ht="15" customHeight="1" thickBot="1" x14ac:dyDescent="0.3">
      <c r="A14" s="1257"/>
      <c r="B14" s="1875" t="s">
        <v>351</v>
      </c>
      <c r="C14" s="1865"/>
      <c r="D14" s="184"/>
      <c r="E14" s="185"/>
      <c r="F14" s="2002"/>
      <c r="G14" s="185"/>
      <c r="H14" s="2002"/>
      <c r="I14" s="185"/>
      <c r="J14" s="185"/>
      <c r="K14" s="185"/>
      <c r="L14" s="2002"/>
      <c r="M14" s="185"/>
      <c r="N14" s="185"/>
      <c r="O14" s="185"/>
      <c r="P14" s="2002"/>
      <c r="Q14" s="185"/>
      <c r="R14" s="185"/>
      <c r="S14" s="185"/>
      <c r="T14" s="2002"/>
      <c r="U14" s="185"/>
      <c r="V14" s="185"/>
      <c r="W14" s="185"/>
      <c r="X14" s="2002"/>
      <c r="Y14" s="185"/>
      <c r="Z14" s="185"/>
      <c r="AA14" s="185"/>
      <c r="AB14" s="185"/>
      <c r="AC14" s="185"/>
      <c r="AD14" s="2002"/>
      <c r="AE14" s="185"/>
      <c r="AF14" s="185"/>
      <c r="AG14" s="185"/>
      <c r="AH14" s="2002"/>
      <c r="AI14" s="185"/>
      <c r="AJ14" s="185"/>
      <c r="AK14" s="185"/>
      <c r="AL14" s="2002"/>
      <c r="AM14" s="185"/>
      <c r="AN14" s="185"/>
      <c r="AO14" s="185"/>
      <c r="AP14" s="185"/>
      <c r="AQ14" s="185"/>
      <c r="AR14" s="2002"/>
      <c r="AS14" s="185"/>
      <c r="AT14" s="185"/>
      <c r="AU14" s="185"/>
      <c r="AV14" s="2002"/>
      <c r="AW14" s="185"/>
      <c r="AX14" s="185"/>
      <c r="AY14" s="185"/>
      <c r="AZ14" s="2002"/>
      <c r="BA14" s="185"/>
      <c r="BB14" s="185"/>
      <c r="BC14" s="185"/>
      <c r="BD14" s="185"/>
      <c r="BE14" s="185"/>
      <c r="BF14" s="1636"/>
      <c r="BG14" s="185"/>
      <c r="BH14" s="185"/>
      <c r="BI14" s="185"/>
      <c r="BJ14" s="185"/>
      <c r="BK14" s="185"/>
      <c r="BL14" s="185"/>
      <c r="BM14" s="1636"/>
      <c r="BN14" s="185"/>
      <c r="BO14" s="185"/>
      <c r="BP14" s="185"/>
      <c r="BQ14" s="185"/>
      <c r="BR14" s="185"/>
      <c r="BS14" s="2446"/>
      <c r="BT14" s="2446"/>
      <c r="BU14" s="2446"/>
      <c r="BV14" s="2446"/>
      <c r="BW14" s="2445"/>
    </row>
    <row r="15" spans="1:75" ht="15" customHeight="1" thickBot="1" x14ac:dyDescent="0.3">
      <c r="B15" s="1876" t="s">
        <v>77</v>
      </c>
      <c r="C15" s="751" t="s">
        <v>354</v>
      </c>
      <c r="D15" s="5935">
        <f>+D12</f>
        <v>2674798.3371291095</v>
      </c>
      <c r="E15" s="5930">
        <f>+E12</f>
        <v>228999.81536860339</v>
      </c>
      <c r="F15" s="4756">
        <f>+F7</f>
        <v>0</v>
      </c>
      <c r="G15" s="5930">
        <f>+G12</f>
        <v>236499.57667165704</v>
      </c>
      <c r="H15" s="4756">
        <f>+H7</f>
        <v>0</v>
      </c>
      <c r="I15" s="5932">
        <f>+E15+G15</f>
        <v>465499.39204026043</v>
      </c>
      <c r="J15" s="1866">
        <f>+F15+H15</f>
        <v>0</v>
      </c>
      <c r="K15" s="5930">
        <f>+K12</f>
        <v>229000.11088311527</v>
      </c>
      <c r="L15" s="4756">
        <f>+L7</f>
        <v>0</v>
      </c>
      <c r="M15" s="5947">
        <f>+E15+G15+K15</f>
        <v>694499.50292337569</v>
      </c>
      <c r="N15" s="1867">
        <f>+F15+H15+L15</f>
        <v>0</v>
      </c>
      <c r="O15" s="5930">
        <f>+O12</f>
        <v>231500.14135532087</v>
      </c>
      <c r="P15" s="4756">
        <f>+P7</f>
        <v>64.099999999999994</v>
      </c>
      <c r="Q15" s="5932">
        <f>+M15+O15</f>
        <v>925999.64427869651</v>
      </c>
      <c r="R15" s="1866">
        <f>+N15+P15</f>
        <v>64.099999999999994</v>
      </c>
      <c r="S15" s="5930">
        <f>+S12</f>
        <v>231500.14135532087</v>
      </c>
      <c r="T15" s="4756">
        <f>+T7</f>
        <v>1485.1599999999999</v>
      </c>
      <c r="U15" s="5932">
        <f>+Q15+S15</f>
        <v>1157499.7856340173</v>
      </c>
      <c r="V15" s="1866">
        <f>+R15+T15</f>
        <v>1549.2599999999998</v>
      </c>
      <c r="W15" s="5930">
        <f>+W12</f>
        <v>121299.68143151992</v>
      </c>
      <c r="X15" s="4756">
        <f>+X7</f>
        <v>694</v>
      </c>
      <c r="Y15" s="5941">
        <f>+O15+S15+W15</f>
        <v>584299.96414216165</v>
      </c>
      <c r="Z15" s="72">
        <f>+P15+T15+X15</f>
        <v>2243.2599999999998</v>
      </c>
      <c r="AA15" s="5944">
        <f>+M15+Y15</f>
        <v>1278799.4670655373</v>
      </c>
      <c r="AB15" s="709">
        <f>+N15+Z15</f>
        <v>2243.2599999999998</v>
      </c>
      <c r="AC15" s="5930">
        <f>+AC12</f>
        <v>236499.52815975636</v>
      </c>
      <c r="AD15" s="4756">
        <f>+AD7</f>
        <v>747.82</v>
      </c>
      <c r="AE15" s="5932">
        <f>+AA15+AC15</f>
        <v>1515298.9952252938</v>
      </c>
      <c r="AF15" s="1866">
        <f>+AB15+AD15</f>
        <v>2991.08</v>
      </c>
      <c r="AG15" s="5930">
        <f>+AG12</f>
        <v>228999.58845567465</v>
      </c>
      <c r="AH15" s="4756">
        <f>+AH7</f>
        <v>0</v>
      </c>
      <c r="AI15" s="5932">
        <f>+AE15+AG15</f>
        <v>1744298.5836809685</v>
      </c>
      <c r="AJ15" s="1866">
        <f>+AF15+AH15</f>
        <v>2991.08</v>
      </c>
      <c r="AK15" s="5930">
        <f>+AK12</f>
        <v>236500.0542408831</v>
      </c>
      <c r="AL15" s="4756">
        <f>+AL7</f>
        <v>244.1</v>
      </c>
      <c r="AM15" s="5941">
        <f>+AC15+AG15+AK15</f>
        <v>701999.17085631413</v>
      </c>
      <c r="AN15" s="72">
        <f>+AD15+AH15+AL15</f>
        <v>991.92000000000007</v>
      </c>
      <c r="AO15" s="5932">
        <f>AI15+AK15</f>
        <v>1980798.6379218516</v>
      </c>
      <c r="AP15" s="432">
        <f t="shared" ref="AP15:AP19" si="42">AJ15+AL15</f>
        <v>3235.18</v>
      </c>
      <c r="AQ15" s="5930">
        <f>+AQ12</f>
        <v>239999.66467513063</v>
      </c>
      <c r="AR15" s="4756">
        <f>+AR7</f>
        <v>0</v>
      </c>
      <c r="AS15" s="5932">
        <f>+AO15+AQ15</f>
        <v>2220798.3025969821</v>
      </c>
      <c r="AT15" s="1866">
        <f>+AP15+AR15</f>
        <v>3235.18</v>
      </c>
      <c r="AU15" s="5930">
        <f>+AU12</f>
        <v>214000.01042587042</v>
      </c>
      <c r="AV15" s="4756">
        <f>+AV7</f>
        <v>2333.6400000000003</v>
      </c>
      <c r="AW15" s="5932">
        <f>+AS15+AU15</f>
        <v>2434798.3130228524</v>
      </c>
      <c r="AX15" s="1866">
        <f>+AT15+AV15</f>
        <v>5568.82</v>
      </c>
      <c r="AY15" s="5930">
        <f>+AY12</f>
        <v>239999.99999666668</v>
      </c>
      <c r="AZ15" s="4756">
        <f>+AZ7</f>
        <v>2066.9</v>
      </c>
      <c r="BA15" s="5941">
        <f>+AQ15+AU15+AY15</f>
        <v>693999.67509766773</v>
      </c>
      <c r="BB15" s="72">
        <f>+AR15+AV15+AZ15</f>
        <v>4400.5400000000009</v>
      </c>
      <c r="BC15" s="5944">
        <f>+AM15+BA15</f>
        <v>1395998.8459539819</v>
      </c>
      <c r="BD15" s="635">
        <f t="shared" ref="BD15:BD19" si="43">AN15+BB15</f>
        <v>5392.4600000000009</v>
      </c>
      <c r="BE15" s="5932">
        <f>+AW15+AY15</f>
        <v>2674798.3130195192</v>
      </c>
      <c r="BF15" s="1866">
        <f>+AX15+AZ15</f>
        <v>7635.7199999999993</v>
      </c>
      <c r="BG15" s="5961">
        <v>2409999.5406616796</v>
      </c>
      <c r="BH15" s="1855">
        <v>322.72000000000003</v>
      </c>
      <c r="BI15" s="5961">
        <v>2525000.0144466418</v>
      </c>
      <c r="BJ15" s="1855">
        <v>3076.2</v>
      </c>
      <c r="BK15" s="5961">
        <v>2410000.013871755</v>
      </c>
      <c r="BL15" s="1855">
        <v>42263.08</v>
      </c>
      <c r="BM15" s="5970">
        <v>2369500.1509075612</v>
      </c>
      <c r="BN15" s="1855">
        <v>71707.420000000013</v>
      </c>
      <c r="BO15" s="5964">
        <v>2234474.8024697341</v>
      </c>
      <c r="BP15" s="1855">
        <v>9758.5099999999966</v>
      </c>
      <c r="BQ15" s="5964">
        <f>+BQ12</f>
        <v>2406999.7409326425</v>
      </c>
      <c r="BR15" s="1855">
        <v>5928.2490000000007</v>
      </c>
      <c r="BS15" s="2446"/>
      <c r="BT15" s="2446"/>
      <c r="BU15" s="2446"/>
      <c r="BV15" s="2446"/>
      <c r="BW15" s="2445"/>
    </row>
    <row r="16" spans="1:75" ht="15" customHeight="1" thickBot="1" x14ac:dyDescent="0.3">
      <c r="B16" s="4731" t="s">
        <v>75</v>
      </c>
      <c r="C16" s="4739" t="s">
        <v>354</v>
      </c>
      <c r="D16" s="5936"/>
      <c r="E16" s="5931"/>
      <c r="F16" s="4753">
        <v>121879.79999999997</v>
      </c>
      <c r="G16" s="5931"/>
      <c r="H16" s="4753">
        <v>138747.00999999995</v>
      </c>
      <c r="I16" s="5933"/>
      <c r="J16" s="523">
        <f>+F16+H16</f>
        <v>260626.80999999994</v>
      </c>
      <c r="K16" s="5931"/>
      <c r="L16" s="4753">
        <v>120386.73999999999</v>
      </c>
      <c r="M16" s="5948"/>
      <c r="N16" s="1863">
        <f>+F16+H16+L16</f>
        <v>381013.54999999993</v>
      </c>
      <c r="O16" s="5931"/>
      <c r="P16" s="4753">
        <v>136780.81</v>
      </c>
      <c r="Q16" s="5933"/>
      <c r="R16" s="523">
        <f>+N16+P16</f>
        <v>517794.35999999993</v>
      </c>
      <c r="S16" s="5931"/>
      <c r="T16" s="4753">
        <v>149407.49</v>
      </c>
      <c r="U16" s="5933"/>
      <c r="V16" s="523">
        <f>+R16+T16</f>
        <v>667201.84999999986</v>
      </c>
      <c r="W16" s="5931"/>
      <c r="X16" s="4753">
        <v>118171.66000000002</v>
      </c>
      <c r="Y16" s="5942"/>
      <c r="Z16" s="72">
        <f t="shared" ref="Z16:Z19" si="44">+P16+T16+X16</f>
        <v>404359.96</v>
      </c>
      <c r="AA16" s="5945"/>
      <c r="AB16" s="709">
        <f t="shared" ref="AB16:AB19" si="45">+N16+Z16</f>
        <v>785373.51</v>
      </c>
      <c r="AC16" s="5931"/>
      <c r="AD16" s="4753">
        <v>102074.34</v>
      </c>
      <c r="AE16" s="5933"/>
      <c r="AF16" s="523">
        <f>+AB16+AD16</f>
        <v>887447.85</v>
      </c>
      <c r="AG16" s="5931"/>
      <c r="AH16" s="4753">
        <v>144101.09</v>
      </c>
      <c r="AI16" s="5933"/>
      <c r="AJ16" s="523">
        <f>+AF16+AH16</f>
        <v>1031548.94</v>
      </c>
      <c r="AK16" s="5931"/>
      <c r="AL16" s="4753">
        <v>155324.22999999998</v>
      </c>
      <c r="AM16" s="5942"/>
      <c r="AN16" s="72">
        <f t="shared" ref="AN16:AN19" si="46">+AD16+AH16+AL16</f>
        <v>401499.66</v>
      </c>
      <c r="AO16" s="5933"/>
      <c r="AP16" s="432">
        <f t="shared" si="42"/>
        <v>1186873.17</v>
      </c>
      <c r="AQ16" s="5931"/>
      <c r="AR16" s="4753">
        <v>154023.1</v>
      </c>
      <c r="AS16" s="5933"/>
      <c r="AT16" s="523">
        <f>+AP16+AR16</f>
        <v>1340896.27</v>
      </c>
      <c r="AU16" s="5931"/>
      <c r="AV16" s="4753">
        <v>143472.91</v>
      </c>
      <c r="AW16" s="5933"/>
      <c r="AX16" s="523">
        <f>+AT16+AV16</f>
        <v>1484369.18</v>
      </c>
      <c r="AY16" s="5931"/>
      <c r="AZ16" s="4753">
        <v>163014.04</v>
      </c>
      <c r="BA16" s="5942"/>
      <c r="BB16" s="72">
        <f t="shared" ref="BB16:BB19" si="47">+AR16+AV16+AZ16</f>
        <v>460510.05000000005</v>
      </c>
      <c r="BC16" s="5945"/>
      <c r="BD16" s="635">
        <f t="shared" si="43"/>
        <v>862009.71</v>
      </c>
      <c r="BE16" s="5933"/>
      <c r="BF16" s="523">
        <f>+AX16+AZ16</f>
        <v>1647383.22</v>
      </c>
      <c r="BG16" s="5962"/>
      <c r="BH16" s="1853">
        <v>1620104.8800000001</v>
      </c>
      <c r="BI16" s="5962"/>
      <c r="BJ16" s="1853">
        <v>1443296.0299999998</v>
      </c>
      <c r="BK16" s="5962"/>
      <c r="BL16" s="1853">
        <v>1325226.6500000001</v>
      </c>
      <c r="BM16" s="5971"/>
      <c r="BN16" s="1853">
        <v>1097093.1499999999</v>
      </c>
      <c r="BO16" s="5965"/>
      <c r="BP16" s="1853">
        <v>691326.51799999992</v>
      </c>
      <c r="BQ16" s="5965"/>
      <c r="BR16" s="1853">
        <v>569419.82700000005</v>
      </c>
      <c r="BS16" s="2446"/>
      <c r="BT16" s="2446"/>
      <c r="BU16" s="2446"/>
      <c r="BV16" s="2446"/>
      <c r="BW16" s="2445"/>
    </row>
    <row r="17" spans="2:75" ht="15" customHeight="1" thickBot="1" x14ac:dyDescent="0.3">
      <c r="B17" s="4731" t="s">
        <v>76</v>
      </c>
      <c r="C17" s="4739" t="s">
        <v>354</v>
      </c>
      <c r="D17" s="5936"/>
      <c r="E17" s="5931"/>
      <c r="F17" s="4753">
        <v>48531.65</v>
      </c>
      <c r="G17" s="5931"/>
      <c r="H17" s="4753">
        <v>73085.040000000008</v>
      </c>
      <c r="I17" s="5933"/>
      <c r="J17" s="523">
        <f>+F17+H17</f>
        <v>121616.69</v>
      </c>
      <c r="K17" s="5931"/>
      <c r="L17" s="4753">
        <v>91277.939999999973</v>
      </c>
      <c r="M17" s="5948"/>
      <c r="N17" s="1863">
        <f>+F17+H17+L17</f>
        <v>212894.62999999998</v>
      </c>
      <c r="O17" s="5931"/>
      <c r="P17" s="4753">
        <v>102874.62000000002</v>
      </c>
      <c r="Q17" s="5933"/>
      <c r="R17" s="523">
        <f>+N17+P17</f>
        <v>315769.25</v>
      </c>
      <c r="S17" s="5931"/>
      <c r="T17" s="4753">
        <v>89009.359999999986</v>
      </c>
      <c r="U17" s="5933"/>
      <c r="V17" s="523">
        <f>+R17+T17</f>
        <v>404778.61</v>
      </c>
      <c r="W17" s="5931"/>
      <c r="X17" s="4753">
        <v>83127.569999999992</v>
      </c>
      <c r="Y17" s="5942"/>
      <c r="Z17" s="72">
        <f t="shared" si="44"/>
        <v>275011.55</v>
      </c>
      <c r="AA17" s="5945"/>
      <c r="AB17" s="709">
        <f t="shared" si="45"/>
        <v>487906.17999999993</v>
      </c>
      <c r="AC17" s="5931"/>
      <c r="AD17" s="4753">
        <v>62676.91</v>
      </c>
      <c r="AE17" s="5933"/>
      <c r="AF17" s="523">
        <f>+AB17+AD17</f>
        <v>550583.09</v>
      </c>
      <c r="AG17" s="5931"/>
      <c r="AH17" s="4753">
        <v>73868.744999999995</v>
      </c>
      <c r="AI17" s="5933"/>
      <c r="AJ17" s="523">
        <f>+AF17+AH17</f>
        <v>624451.83499999996</v>
      </c>
      <c r="AK17" s="5931"/>
      <c r="AL17" s="4753">
        <v>69474.281000000017</v>
      </c>
      <c r="AM17" s="5942"/>
      <c r="AN17" s="72">
        <f t="shared" si="46"/>
        <v>206019.93600000002</v>
      </c>
      <c r="AO17" s="5933"/>
      <c r="AP17" s="432">
        <f t="shared" si="42"/>
        <v>693926.11599999992</v>
      </c>
      <c r="AQ17" s="5931"/>
      <c r="AR17" s="4753">
        <v>53620.361000000012</v>
      </c>
      <c r="AS17" s="5933"/>
      <c r="AT17" s="523">
        <f>+AP17+AR17</f>
        <v>747546.47699999996</v>
      </c>
      <c r="AU17" s="5931"/>
      <c r="AV17" s="4753">
        <v>41740.58</v>
      </c>
      <c r="AW17" s="5933"/>
      <c r="AX17" s="523">
        <f>+AT17+AV17</f>
        <v>789287.05699999991</v>
      </c>
      <c r="AY17" s="5931"/>
      <c r="AZ17" s="4753">
        <v>59773.861999999994</v>
      </c>
      <c r="BA17" s="5942"/>
      <c r="BB17" s="72">
        <f t="shared" si="47"/>
        <v>155134.80300000001</v>
      </c>
      <c r="BC17" s="5945"/>
      <c r="BD17" s="635">
        <f t="shared" si="43"/>
        <v>361154.73900000006</v>
      </c>
      <c r="BE17" s="5933"/>
      <c r="BF17" s="523">
        <f>+AX17+AZ17</f>
        <v>849060.91899999988</v>
      </c>
      <c r="BG17" s="5962"/>
      <c r="BH17" s="1853">
        <v>662107.03</v>
      </c>
      <c r="BI17" s="5962"/>
      <c r="BJ17" s="1853">
        <v>829404.40000000014</v>
      </c>
      <c r="BK17" s="5962"/>
      <c r="BL17" s="1853">
        <v>809005.30999999994</v>
      </c>
      <c r="BM17" s="5971"/>
      <c r="BN17" s="1853">
        <v>567271.22</v>
      </c>
      <c r="BO17" s="5965"/>
      <c r="BP17" s="1853">
        <v>479205.15300000005</v>
      </c>
      <c r="BQ17" s="5965"/>
      <c r="BR17" s="1853">
        <v>909567.00199999986</v>
      </c>
      <c r="BS17" s="2446"/>
      <c r="BT17" s="2446"/>
      <c r="BU17" s="2446"/>
      <c r="BV17" s="2446"/>
      <c r="BW17" s="2445"/>
    </row>
    <row r="18" spans="2:75" ht="15" customHeight="1" thickBot="1" x14ac:dyDescent="0.3">
      <c r="B18" s="4734" t="s">
        <v>1753</v>
      </c>
      <c r="C18" s="4739" t="s">
        <v>354</v>
      </c>
      <c r="D18" s="5936"/>
      <c r="E18" s="5931"/>
      <c r="F18" s="4753">
        <f>+F6</f>
        <v>1095.8900000000001</v>
      </c>
      <c r="G18" s="5931"/>
      <c r="H18" s="4753">
        <f>+H6</f>
        <v>2704.95</v>
      </c>
      <c r="I18" s="5933"/>
      <c r="J18" s="523">
        <f>+F18+H18</f>
        <v>3800.84</v>
      </c>
      <c r="K18" s="5931"/>
      <c r="L18" s="4753">
        <f>+L6</f>
        <v>6803.8099999999995</v>
      </c>
      <c r="M18" s="5948"/>
      <c r="N18" s="1863">
        <f>+F18+H18+L18</f>
        <v>10604.65</v>
      </c>
      <c r="O18" s="5931"/>
      <c r="P18" s="4753">
        <f>+P6</f>
        <v>3865.3599999999997</v>
      </c>
      <c r="Q18" s="5933"/>
      <c r="R18" s="523">
        <f>+N18+P18</f>
        <v>14470.009999999998</v>
      </c>
      <c r="S18" s="5931"/>
      <c r="T18" s="4753">
        <f>+T6</f>
        <v>6257.93</v>
      </c>
      <c r="U18" s="5933"/>
      <c r="V18" s="523">
        <f>+R18+T18</f>
        <v>20727.939999999999</v>
      </c>
      <c r="W18" s="5931"/>
      <c r="X18" s="4753">
        <f>+X6</f>
        <v>5182.59</v>
      </c>
      <c r="Y18" s="5942"/>
      <c r="Z18" s="72">
        <f t="shared" si="44"/>
        <v>15305.880000000001</v>
      </c>
      <c r="AA18" s="5945"/>
      <c r="AB18" s="709">
        <f t="shared" si="45"/>
        <v>25910.53</v>
      </c>
      <c r="AC18" s="5931"/>
      <c r="AD18" s="4753">
        <f>+AD6</f>
        <v>5221.92</v>
      </c>
      <c r="AE18" s="5933"/>
      <c r="AF18" s="523">
        <f>+AB18+AD18</f>
        <v>31132.449999999997</v>
      </c>
      <c r="AG18" s="5931"/>
      <c r="AH18" s="4753">
        <f>+AH6</f>
        <v>0</v>
      </c>
      <c r="AI18" s="5933"/>
      <c r="AJ18" s="523">
        <f>+AF18+AH18</f>
        <v>31132.449999999997</v>
      </c>
      <c r="AK18" s="5931"/>
      <c r="AL18" s="4753">
        <f>+AL6</f>
        <v>2960.7299999999996</v>
      </c>
      <c r="AM18" s="5942"/>
      <c r="AN18" s="72">
        <f t="shared" si="46"/>
        <v>8182.65</v>
      </c>
      <c r="AO18" s="5933"/>
      <c r="AP18" s="432">
        <f t="shared" si="42"/>
        <v>34093.179999999993</v>
      </c>
      <c r="AQ18" s="5931"/>
      <c r="AR18" s="4753">
        <f>+AR6</f>
        <v>6204.6100000000015</v>
      </c>
      <c r="AS18" s="5933"/>
      <c r="AT18" s="523">
        <f>+AP18+AR18</f>
        <v>40297.789999999994</v>
      </c>
      <c r="AU18" s="5931"/>
      <c r="AV18" s="4753">
        <f>+AV6</f>
        <v>3912.1499999999996</v>
      </c>
      <c r="AW18" s="5933"/>
      <c r="AX18" s="523">
        <f>+AT18+AV18</f>
        <v>44209.939999999995</v>
      </c>
      <c r="AY18" s="5931"/>
      <c r="AZ18" s="4753">
        <f>+AZ6</f>
        <v>3740.4</v>
      </c>
      <c r="BA18" s="5942"/>
      <c r="BB18" s="72">
        <f t="shared" si="47"/>
        <v>13857.160000000002</v>
      </c>
      <c r="BC18" s="5945"/>
      <c r="BD18" s="635">
        <f t="shared" si="43"/>
        <v>22039.81</v>
      </c>
      <c r="BE18" s="5933"/>
      <c r="BF18" s="523">
        <f>+AX18+AZ18</f>
        <v>47950.34</v>
      </c>
      <c r="BG18" s="5962"/>
      <c r="BH18" s="1853">
        <v>53987.54</v>
      </c>
      <c r="BI18" s="5962"/>
      <c r="BJ18" s="1853">
        <v>30649.839999999997</v>
      </c>
      <c r="BK18" s="5962"/>
      <c r="BL18" s="1853">
        <v>34807.22</v>
      </c>
      <c r="BM18" s="5971"/>
      <c r="BN18" s="1853">
        <v>33201.15</v>
      </c>
      <c r="BO18" s="5965"/>
      <c r="BP18" s="1853">
        <v>35268.25</v>
      </c>
      <c r="BQ18" s="5965"/>
      <c r="BR18" s="1853">
        <v>28405.85</v>
      </c>
      <c r="BS18" s="2446"/>
      <c r="BT18" s="2446"/>
      <c r="BU18" s="2446"/>
      <c r="BV18" s="2446"/>
      <c r="BW18" s="2445"/>
    </row>
    <row r="19" spans="2:75" ht="15" customHeight="1" thickBot="1" x14ac:dyDescent="0.3">
      <c r="B19" s="4734" t="s">
        <v>1175</v>
      </c>
      <c r="C19" s="4740" t="s">
        <v>354</v>
      </c>
      <c r="D19" s="5937"/>
      <c r="E19" s="5938"/>
      <c r="F19" s="4753">
        <v>4383.6600000000008</v>
      </c>
      <c r="G19" s="5938"/>
      <c r="H19" s="4753">
        <v>2929.0299999999993</v>
      </c>
      <c r="I19" s="5933"/>
      <c r="J19" s="523">
        <f>+F19+H19</f>
        <v>7312.6900000000005</v>
      </c>
      <c r="K19" s="5938"/>
      <c r="L19" s="4753">
        <v>35.9</v>
      </c>
      <c r="M19" s="5949"/>
      <c r="N19" s="1863">
        <f>+F19+H19+L19</f>
        <v>7348.59</v>
      </c>
      <c r="O19" s="5938"/>
      <c r="P19" s="4753">
        <v>38.94</v>
      </c>
      <c r="Q19" s="5933"/>
      <c r="R19" s="523">
        <f>+N19+P19</f>
        <v>7387.53</v>
      </c>
      <c r="S19" s="5938"/>
      <c r="T19" s="4753">
        <v>158.79</v>
      </c>
      <c r="U19" s="5933"/>
      <c r="V19" s="523">
        <f>+R19+T19</f>
        <v>7546.32</v>
      </c>
      <c r="W19" s="5938"/>
      <c r="X19" s="4753">
        <v>89.79</v>
      </c>
      <c r="Y19" s="5942"/>
      <c r="Z19" s="72">
        <f t="shared" si="44"/>
        <v>287.52</v>
      </c>
      <c r="AA19" s="5945"/>
      <c r="AB19" s="709">
        <f t="shared" si="45"/>
        <v>7636.1100000000006</v>
      </c>
      <c r="AC19" s="5938"/>
      <c r="AD19" s="4753">
        <v>2836.7</v>
      </c>
      <c r="AE19" s="5933"/>
      <c r="AF19" s="523">
        <f>+AB19+AD19</f>
        <v>10472.810000000001</v>
      </c>
      <c r="AG19" s="5938"/>
      <c r="AH19" s="4753">
        <v>2943.85</v>
      </c>
      <c r="AI19" s="5933"/>
      <c r="AJ19" s="523">
        <f>+AF19+AH19</f>
        <v>13416.660000000002</v>
      </c>
      <c r="AK19" s="5938"/>
      <c r="AL19" s="4753">
        <v>2712.14</v>
      </c>
      <c r="AM19" s="5942"/>
      <c r="AN19" s="72">
        <f t="shared" si="46"/>
        <v>8492.6899999999987</v>
      </c>
      <c r="AO19" s="5933"/>
      <c r="AP19" s="432">
        <f t="shared" si="42"/>
        <v>16128.800000000001</v>
      </c>
      <c r="AQ19" s="5938"/>
      <c r="AR19" s="4753">
        <v>2842.54</v>
      </c>
      <c r="AS19" s="5933"/>
      <c r="AT19" s="523">
        <f>+AP19+AR19</f>
        <v>18971.34</v>
      </c>
      <c r="AU19" s="5938"/>
      <c r="AV19" s="4753">
        <v>0</v>
      </c>
      <c r="AW19" s="5933"/>
      <c r="AX19" s="523">
        <f>+AT19+AV19</f>
        <v>18971.34</v>
      </c>
      <c r="AY19" s="5938"/>
      <c r="AZ19" s="4753">
        <v>2784.3999999999996</v>
      </c>
      <c r="BA19" s="5942"/>
      <c r="BB19" s="72">
        <f t="shared" si="47"/>
        <v>5626.94</v>
      </c>
      <c r="BC19" s="5945"/>
      <c r="BD19" s="635">
        <f t="shared" si="43"/>
        <v>14119.629999999997</v>
      </c>
      <c r="BE19" s="5933"/>
      <c r="BF19" s="523">
        <f>+AX19+AZ19</f>
        <v>21755.739999999998</v>
      </c>
      <c r="BG19" s="5963"/>
      <c r="BH19" s="1853">
        <v>14221</v>
      </c>
      <c r="BI19" s="5963"/>
      <c r="BJ19" s="1853">
        <v>58464.989999999991</v>
      </c>
      <c r="BK19" s="5963"/>
      <c r="BL19" s="1853">
        <v>86754.520000000019</v>
      </c>
      <c r="BM19" s="5971"/>
      <c r="BN19" s="1853">
        <v>408982.57999999996</v>
      </c>
      <c r="BO19" s="5965"/>
      <c r="BP19" s="1853">
        <v>662096.97799999977</v>
      </c>
      <c r="BQ19" s="5965"/>
      <c r="BR19" s="1853">
        <v>536611.97599999979</v>
      </c>
      <c r="BS19" s="2446"/>
      <c r="BT19" s="2446"/>
      <c r="BU19" s="2446"/>
      <c r="BW19" s="2445"/>
    </row>
    <row r="20" spans="2:75" ht="15" customHeight="1" thickBot="1" x14ac:dyDescent="0.3">
      <c r="B20" s="273" t="s">
        <v>1413</v>
      </c>
      <c r="C20" s="102" t="s">
        <v>49</v>
      </c>
      <c r="D20" s="1861"/>
      <c r="E20" s="4746"/>
      <c r="F20" s="4757">
        <f>+((F16+F18+F15+F19)/F12)*100</f>
        <v>72.408110704925207</v>
      </c>
      <c r="G20" s="4746"/>
      <c r="H20" s="4757">
        <f>+((H16+H18+H15+H19)/H12)*100</f>
        <v>66.392433797591266</v>
      </c>
      <c r="I20" s="5934"/>
      <c r="J20" s="1864">
        <f>+((+J15+J16+J18+J19)/J12)*100</f>
        <v>69.082365198862718</v>
      </c>
      <c r="K20" s="4746"/>
      <c r="L20" s="4757">
        <f>+((L16+L18+L15+L19)/L12)*100</f>
        <v>58.226038387604021</v>
      </c>
      <c r="M20" s="1869"/>
      <c r="N20" s="70">
        <f>+((+N15+N16+N18+N19)/N12)*100</f>
        <v>65.205416939018647</v>
      </c>
      <c r="O20" s="4746"/>
      <c r="P20" s="4757">
        <f>+((P16+P18+P15+P19)/P12)*100</f>
        <v>57.773170219021665</v>
      </c>
      <c r="Q20" s="5934"/>
      <c r="R20" s="1864">
        <f>+((+R15+R16+R18+R19)/R12)*100</f>
        <v>63.088872660282568</v>
      </c>
      <c r="S20" s="4746"/>
      <c r="T20" s="4757">
        <f>+((T16+T18+T15+T19)/T12)*100</f>
        <v>63.864152758501149</v>
      </c>
      <c r="U20" s="5934"/>
      <c r="V20" s="1864">
        <f>+((+V15+V16+V18+V19)/V12)*100</f>
        <v>63.262193879531978</v>
      </c>
      <c r="W20" s="4746"/>
      <c r="X20" s="4757">
        <f>+((X16+X18+X15+X19)/X12)*100</f>
        <v>59.893216245570116</v>
      </c>
      <c r="Y20" s="5943"/>
      <c r="Z20" s="1585">
        <f>+((Z16+Z18+Z15+Z19)/Z12)*100</f>
        <v>60.555317359519769</v>
      </c>
      <c r="AA20" s="5946"/>
      <c r="AB20" s="1586">
        <f>+((AB16+AB18+AB15+AB19)/AB12)*100</f>
        <v>62.728782050463806</v>
      </c>
      <c r="AC20" s="4746"/>
      <c r="AD20" s="4757">
        <f>+((AD16+AD18+AD15+AD19)/AD12)*100</f>
        <v>63.886987663871295</v>
      </c>
      <c r="AE20" s="5934"/>
      <c r="AF20" s="1864">
        <f>+((+AF15+AF16+AF18+AF19)/AF12)*100</f>
        <v>62.864362646827864</v>
      </c>
      <c r="AG20" s="4746"/>
      <c r="AH20" s="4757">
        <f>+((AH16+AH18+AH15+AH19)/AH12)*100</f>
        <v>66.562168839834442</v>
      </c>
      <c r="AI20" s="5934"/>
      <c r="AJ20" s="1864">
        <f>+((+AJ15+AJ16+AJ18+AJ19)/AJ12)*100</f>
        <v>63.343890882013511</v>
      </c>
      <c r="AK20" s="4746"/>
      <c r="AL20" s="4757">
        <f>+((AL16+AL18+AL15+AL19)/AL12)*100</f>
        <v>69.887464552064444</v>
      </c>
      <c r="AM20" s="5943"/>
      <c r="AN20" s="1585">
        <f>+((AN16+AN18+AN15+AN19)/AN12)*100</f>
        <v>67.046662286194959</v>
      </c>
      <c r="AO20" s="5934"/>
      <c r="AP20" s="1864">
        <f>+((+AP15+AP16+AP18+AP19)/AP12)*100</f>
        <v>64.124399459284518</v>
      </c>
      <c r="AQ20" s="4746"/>
      <c r="AR20" s="4757">
        <f>+((AR16+AR18+AR15+AR19)/AR12)*100</f>
        <v>75.254875717711656</v>
      </c>
      <c r="AS20" s="5934"/>
      <c r="AT20" s="1864">
        <f>+((+AT15+AT16+AT18+AT19)/AT12)*100</f>
        <v>65.245705394412241</v>
      </c>
      <c r="AU20" s="4746"/>
      <c r="AV20" s="4757">
        <f>+((AV16+AV18+AV15+AV19)/AV12)*100</f>
        <v>78.198716719294055</v>
      </c>
      <c r="AW20" s="5934"/>
      <c r="AX20" s="1864">
        <f>+((+AX15+AX16+AX18+AX19)/AX12)*100</f>
        <v>66.304434694671002</v>
      </c>
      <c r="AY20" s="4746"/>
      <c r="AZ20" s="4757">
        <f>+((AZ16+AZ18+AZ15+AZ19)/AZ12)*100</f>
        <v>74.166321714046347</v>
      </c>
      <c r="BA20" s="5943"/>
      <c r="BB20" s="1585">
        <f>+((BB16+BB18+BB15+BB19)/BB12)*100</f>
        <v>75.742353605574834</v>
      </c>
      <c r="BC20" s="5946"/>
      <c r="BD20" s="1586">
        <f>+((BD16+BD18+BD15+BD19)/BD12)*100</f>
        <v>71.44381510640217</v>
      </c>
      <c r="BE20" s="5934"/>
      <c r="BF20" s="1864">
        <f>+((+BF15+BF16+BF18+BF19)/BF12)*100</f>
        <v>67.011206871000013</v>
      </c>
      <c r="BG20" s="1862"/>
      <c r="BH20" s="1860">
        <v>71.834134814564663</v>
      </c>
      <c r="BI20" s="1862"/>
      <c r="BJ20" s="1860">
        <v>64.928436927079929</v>
      </c>
      <c r="BK20" s="1862"/>
      <c r="BL20" s="1860">
        <v>64.796113088206639</v>
      </c>
      <c r="BM20" s="5966"/>
      <c r="BN20" s="1854">
        <v>70.665579215426476</v>
      </c>
      <c r="BO20" s="5966"/>
      <c r="BP20" s="1854">
        <f>+((BP16+BP18+BP15+BP19)/BP12)*100</f>
        <v>74.478558013193179</v>
      </c>
      <c r="BQ20" s="5966"/>
      <c r="BR20" s="1868">
        <f>+((BR16+BR18+BR15+BR19)/BR12)*100</f>
        <v>55.629429892273293</v>
      </c>
      <c r="BS20" s="2446"/>
      <c r="BT20" s="2446"/>
      <c r="BU20" s="2446"/>
      <c r="BV20" s="2446"/>
      <c r="BW20" s="2445"/>
    </row>
    <row r="21" spans="2:75" ht="15" customHeight="1" thickBot="1" x14ac:dyDescent="0.3">
      <c r="B21" s="1875" t="s">
        <v>141</v>
      </c>
      <c r="C21" s="1865"/>
      <c r="D21" s="184"/>
      <c r="E21" s="185"/>
      <c r="F21" s="4758"/>
      <c r="G21" s="185"/>
      <c r="H21" s="4758"/>
      <c r="I21" s="1887"/>
      <c r="J21" s="1887"/>
      <c r="K21" s="185"/>
      <c r="L21" s="4758"/>
      <c r="M21" s="1887"/>
      <c r="N21" s="1887"/>
      <c r="O21" s="185"/>
      <c r="P21" s="4758"/>
      <c r="Q21" s="1887"/>
      <c r="R21" s="1887"/>
      <c r="S21" s="185"/>
      <c r="T21" s="4758"/>
      <c r="U21" s="1887"/>
      <c r="V21" s="1887"/>
      <c r="W21" s="185"/>
      <c r="X21" s="4758"/>
      <c r="Y21" s="1887"/>
      <c r="Z21" s="1887"/>
      <c r="AA21" s="1887"/>
      <c r="AB21" s="1887"/>
      <c r="AC21" s="185"/>
      <c r="AD21" s="4758"/>
      <c r="AE21" s="1887"/>
      <c r="AF21" s="1887"/>
      <c r="AG21" s="185"/>
      <c r="AH21" s="4758"/>
      <c r="AI21" s="1887"/>
      <c r="AJ21" s="1887"/>
      <c r="AK21" s="185"/>
      <c r="AL21" s="4758"/>
      <c r="AM21" s="1887"/>
      <c r="AN21" s="1887"/>
      <c r="AO21" s="1887"/>
      <c r="AP21" s="1887"/>
      <c r="AQ21" s="185"/>
      <c r="AR21" s="4758"/>
      <c r="AS21" s="1887"/>
      <c r="AT21" s="1887"/>
      <c r="AU21" s="185"/>
      <c r="AV21" s="4758"/>
      <c r="AW21" s="1887"/>
      <c r="AX21" s="1887"/>
      <c r="AY21" s="185"/>
      <c r="AZ21" s="4758"/>
      <c r="BA21" s="1887"/>
      <c r="BB21" s="1887"/>
      <c r="BC21" s="1887"/>
      <c r="BD21" s="1887"/>
      <c r="BE21" s="1887"/>
      <c r="BF21" s="1887"/>
      <c r="BG21" s="244"/>
      <c r="BH21" s="244"/>
      <c r="BI21" s="244"/>
      <c r="BJ21" s="244"/>
      <c r="BK21" s="244"/>
      <c r="BL21" s="244"/>
      <c r="BM21" s="184"/>
      <c r="BN21" s="185"/>
      <c r="BO21" s="184"/>
      <c r="BP21" s="185"/>
      <c r="BQ21" s="184"/>
      <c r="BR21" s="185"/>
      <c r="BS21" s="2446"/>
      <c r="BT21" s="2446"/>
      <c r="BU21" s="2446"/>
      <c r="BV21" s="2446"/>
      <c r="BW21" s="2445"/>
    </row>
    <row r="22" spans="2:75" ht="15" customHeight="1" x14ac:dyDescent="0.25">
      <c r="B22" s="1890" t="s">
        <v>22</v>
      </c>
      <c r="C22" s="751" t="s">
        <v>354</v>
      </c>
      <c r="D22" s="5928">
        <f>+D12</f>
        <v>2674798.3371291095</v>
      </c>
      <c r="E22" s="5930">
        <f>+E12</f>
        <v>228999.81536860339</v>
      </c>
      <c r="F22" s="4756">
        <v>141481.09999999998</v>
      </c>
      <c r="G22" s="5930">
        <f>+G12</f>
        <v>236499.57667165704</v>
      </c>
      <c r="H22" s="4756">
        <v>175451.51999999999</v>
      </c>
      <c r="I22" s="5939">
        <f>+I12</f>
        <v>465499.39204026049</v>
      </c>
      <c r="J22" s="42">
        <f>+F22+H22</f>
        <v>316932.62</v>
      </c>
      <c r="K22" s="5930">
        <f>+K12</f>
        <v>229000.11088311527</v>
      </c>
      <c r="L22" s="4756">
        <v>185082.04</v>
      </c>
      <c r="M22" s="5947">
        <f>+M12</f>
        <v>694499.50292337569</v>
      </c>
      <c r="N22" s="711">
        <f>+F22+H22+L22</f>
        <v>502014.66000000003</v>
      </c>
      <c r="O22" s="5930">
        <f>+O12</f>
        <v>231500.14135532087</v>
      </c>
      <c r="P22" s="4756">
        <v>192470.12000000002</v>
      </c>
      <c r="Q22" s="5939">
        <f>+Q12</f>
        <v>925999.64427869662</v>
      </c>
      <c r="R22" s="42">
        <f>+N22+P22</f>
        <v>694484.78</v>
      </c>
      <c r="S22" s="5930">
        <f>+S12</f>
        <v>231500.14135532087</v>
      </c>
      <c r="T22" s="4756">
        <v>199128.92</v>
      </c>
      <c r="U22" s="5939">
        <f>+U12</f>
        <v>1157499.7856340175</v>
      </c>
      <c r="V22" s="42">
        <f>+R22+T22</f>
        <v>893613.70000000007</v>
      </c>
      <c r="W22" s="5930">
        <f>+W12</f>
        <v>121299.68143151992</v>
      </c>
      <c r="X22" s="4756">
        <v>164143.06000000003</v>
      </c>
      <c r="Y22" s="5941">
        <f>+Y12</f>
        <v>584299.96414216165</v>
      </c>
      <c r="Z22" s="72">
        <f>+P22+T22+X22</f>
        <v>555742.10000000009</v>
      </c>
      <c r="AA22" s="5944">
        <f>+AA12</f>
        <v>1278799.4670655373</v>
      </c>
      <c r="AB22" s="635">
        <f>+N22+Z22</f>
        <v>1057756.7600000002</v>
      </c>
      <c r="AC22" s="5930">
        <f>+AC12</f>
        <v>236499.52815975636</v>
      </c>
      <c r="AD22" s="4756">
        <v>145794.66000000003</v>
      </c>
      <c r="AE22" s="5939">
        <f>+AE12</f>
        <v>1515298.995225294</v>
      </c>
      <c r="AF22" s="42">
        <f>+AB22+AD22</f>
        <v>1203551.4200000004</v>
      </c>
      <c r="AG22" s="5930">
        <f>+AG12</f>
        <v>228999.58845567465</v>
      </c>
      <c r="AH22" s="4756">
        <v>168162.38500000001</v>
      </c>
      <c r="AI22" s="5939">
        <f>+AI12</f>
        <v>1744298.5836809685</v>
      </c>
      <c r="AJ22" s="42">
        <f>+AF22+AH22</f>
        <v>1371713.8050000004</v>
      </c>
      <c r="AK22" s="5930">
        <f>+AK12</f>
        <v>236500.0542408831</v>
      </c>
      <c r="AL22" s="4756">
        <v>173711.40100000001</v>
      </c>
      <c r="AM22" s="5941">
        <f>+AM12</f>
        <v>701999.17085631413</v>
      </c>
      <c r="AN22" s="72">
        <f>+AD22+AH22+AL22</f>
        <v>487668.44600000005</v>
      </c>
      <c r="AO22" s="5939">
        <f>AI22+AK22</f>
        <v>1980798.6379218516</v>
      </c>
      <c r="AP22" s="432">
        <f t="shared" ref="AP22:AP23" si="48">AJ22+AL22</f>
        <v>1545425.2060000005</v>
      </c>
      <c r="AQ22" s="5930">
        <f>+AQ12</f>
        <v>239999.66467513063</v>
      </c>
      <c r="AR22" s="4756">
        <v>175869.74100000004</v>
      </c>
      <c r="AS22" s="5939">
        <f>+AS12</f>
        <v>2220798.3025969821</v>
      </c>
      <c r="AT22" s="42">
        <f>+AP22+AR22</f>
        <v>1721294.9470000006</v>
      </c>
      <c r="AU22" s="5930">
        <f>+AU12</f>
        <v>214000.01042587042</v>
      </c>
      <c r="AV22" s="4756">
        <v>153661.51999999999</v>
      </c>
      <c r="AW22" s="5939">
        <f>+AW12</f>
        <v>2434798.3130228529</v>
      </c>
      <c r="AX22" s="42">
        <f>+AT22+AV22</f>
        <v>1874956.4670000006</v>
      </c>
      <c r="AY22" s="5930">
        <f>+AY12</f>
        <v>239999.99999666668</v>
      </c>
      <c r="AZ22" s="4756">
        <v>193134.932</v>
      </c>
      <c r="BA22" s="5941">
        <f>+BA12</f>
        <v>693999.67509766773</v>
      </c>
      <c r="BB22" s="72">
        <f>+AR22+AV22+AZ22</f>
        <v>522666.19300000009</v>
      </c>
      <c r="BC22" s="5944">
        <f>+BC12</f>
        <v>1395998.8459539819</v>
      </c>
      <c r="BD22" s="635">
        <f t="shared" ref="BD22:BD23" si="49">AN22+BB22</f>
        <v>1010334.6390000002</v>
      </c>
      <c r="BE22" s="5939">
        <f>+BE12</f>
        <v>2674798.3130195192</v>
      </c>
      <c r="BF22" s="42">
        <f>+AX22+AZ22</f>
        <v>2068091.3990000007</v>
      </c>
      <c r="BG22" s="5961">
        <v>2409999.5406616796</v>
      </c>
      <c r="BH22" s="1891">
        <v>1898390.98</v>
      </c>
      <c r="BI22" s="5961">
        <v>2525000.0144466418</v>
      </c>
      <c r="BJ22" s="1891">
        <v>1848504.2699999998</v>
      </c>
      <c r="BK22" s="5961">
        <v>2410000.013871755</v>
      </c>
      <c r="BL22" s="1891">
        <v>1959110.71</v>
      </c>
      <c r="BM22" s="5964">
        <v>2369500.1509075612</v>
      </c>
      <c r="BN22" s="1855">
        <v>1882591.37</v>
      </c>
      <c r="BO22" s="5967">
        <v>2234474.8024697341</v>
      </c>
      <c r="BP22" s="1855">
        <v>1557181.9489999996</v>
      </c>
      <c r="BQ22" s="5967">
        <f>+BQ12</f>
        <v>2406999.7409326425</v>
      </c>
      <c r="BR22" s="1855">
        <v>1655527.3639999998</v>
      </c>
      <c r="BS22" s="2446"/>
      <c r="BT22" s="2446"/>
      <c r="BU22" s="2446"/>
      <c r="BV22" s="2446"/>
      <c r="BW22" s="2445"/>
    </row>
    <row r="23" spans="2:75" ht="15" customHeight="1" thickBot="1" x14ac:dyDescent="0.3">
      <c r="B23" s="4741" t="s">
        <v>23</v>
      </c>
      <c r="C23" s="4740" t="s">
        <v>354</v>
      </c>
      <c r="D23" s="5929"/>
      <c r="E23" s="5931"/>
      <c r="F23" s="4751">
        <v>34409.9</v>
      </c>
      <c r="G23" s="5931"/>
      <c r="H23" s="4751">
        <v>42014.51</v>
      </c>
      <c r="I23" s="5940"/>
      <c r="J23" s="38">
        <f>+F23+H23</f>
        <v>76424.41</v>
      </c>
      <c r="K23" s="5931"/>
      <c r="L23" s="4751">
        <v>33422.350000000006</v>
      </c>
      <c r="M23" s="5948"/>
      <c r="N23" s="67">
        <f>+F23+H23+L23</f>
        <v>109846.76000000001</v>
      </c>
      <c r="O23" s="5931"/>
      <c r="P23" s="4751">
        <v>51153.710000000021</v>
      </c>
      <c r="Q23" s="5940"/>
      <c r="R23" s="38">
        <f>+N23+P23</f>
        <v>161000.47000000003</v>
      </c>
      <c r="S23" s="5931"/>
      <c r="T23" s="4751">
        <v>47189.729999999996</v>
      </c>
      <c r="U23" s="5940"/>
      <c r="V23" s="38">
        <f>+R23+T23</f>
        <v>208190.2</v>
      </c>
      <c r="W23" s="5931"/>
      <c r="X23" s="4751">
        <v>43122.55000000001</v>
      </c>
      <c r="Y23" s="5942"/>
      <c r="Z23" s="68">
        <f>+P23+T23+X23</f>
        <v>141465.99000000002</v>
      </c>
      <c r="AA23" s="5945"/>
      <c r="AB23" s="635">
        <f>+N23+Z23</f>
        <v>251312.75000000003</v>
      </c>
      <c r="AC23" s="5931"/>
      <c r="AD23" s="4751">
        <v>27763.029999999992</v>
      </c>
      <c r="AE23" s="5940"/>
      <c r="AF23" s="38">
        <f>+AB23+AD23</f>
        <v>279075.78000000003</v>
      </c>
      <c r="AG23" s="5931"/>
      <c r="AH23" s="4751">
        <v>52751.30000000001</v>
      </c>
      <c r="AI23" s="5940"/>
      <c r="AJ23" s="38">
        <f>+AF23+AH23</f>
        <v>331827.08</v>
      </c>
      <c r="AK23" s="5931"/>
      <c r="AL23" s="4751">
        <v>57004.079999999987</v>
      </c>
      <c r="AM23" s="5942"/>
      <c r="AN23" s="68">
        <f>+AD23+AH23+AL23</f>
        <v>137518.40999999997</v>
      </c>
      <c r="AO23" s="5940"/>
      <c r="AP23" s="432">
        <f t="shared" si="48"/>
        <v>388831.16000000003</v>
      </c>
      <c r="AQ23" s="5931"/>
      <c r="AR23" s="4751">
        <v>40820.869999999988</v>
      </c>
      <c r="AS23" s="5940"/>
      <c r="AT23" s="38">
        <f>+AP23+AR23</f>
        <v>429652.03</v>
      </c>
      <c r="AU23" s="5931"/>
      <c r="AV23" s="4751">
        <v>37797.760000000017</v>
      </c>
      <c r="AW23" s="5940"/>
      <c r="AX23" s="38">
        <f>+AT23+AV23</f>
        <v>467449.79000000004</v>
      </c>
      <c r="AY23" s="5931"/>
      <c r="AZ23" s="4751">
        <v>38244.770000000004</v>
      </c>
      <c r="BA23" s="5942"/>
      <c r="BB23" s="68">
        <f>+AR23+AV23+AZ23</f>
        <v>116863.40000000001</v>
      </c>
      <c r="BC23" s="5945"/>
      <c r="BD23" s="635">
        <f t="shared" si="49"/>
        <v>254381.81</v>
      </c>
      <c r="BE23" s="5940"/>
      <c r="BF23" s="38">
        <f>+AX23+AZ23</f>
        <v>505694.56000000006</v>
      </c>
      <c r="BG23" s="5962"/>
      <c r="BH23" s="1852">
        <v>452352.24000000011</v>
      </c>
      <c r="BI23" s="5962"/>
      <c r="BJ23" s="1852">
        <v>516386.89</v>
      </c>
      <c r="BK23" s="5962"/>
      <c r="BL23" s="1852">
        <v>338946.25000000006</v>
      </c>
      <c r="BM23" s="5965"/>
      <c r="BN23" s="1856">
        <v>295664.13</v>
      </c>
      <c r="BO23" s="5968"/>
      <c r="BP23" s="1856">
        <v>320472.90000000002</v>
      </c>
      <c r="BQ23" s="5968"/>
      <c r="BR23" s="1856">
        <v>394405.53999999992</v>
      </c>
      <c r="BS23" s="2446"/>
      <c r="BT23" s="2446"/>
      <c r="BU23" s="2446"/>
      <c r="BV23" s="2446"/>
      <c r="BW23" s="2445"/>
    </row>
    <row r="24" spans="2:75" ht="15" customHeight="1" thickBot="1" x14ac:dyDescent="0.3">
      <c r="B24" s="1873" t="s">
        <v>2</v>
      </c>
      <c r="C24" s="490" t="s">
        <v>354</v>
      </c>
      <c r="D24" s="5929"/>
      <c r="E24" s="5931"/>
      <c r="F24" s="768">
        <f>SUM(F22:F23)</f>
        <v>175890.99999999997</v>
      </c>
      <c r="G24" s="5931"/>
      <c r="H24" s="768">
        <f>SUM(H22:H23)</f>
        <v>217466.03</v>
      </c>
      <c r="I24" s="5940"/>
      <c r="J24" s="40">
        <f>SUM(J22:J23)</f>
        <v>393357.03</v>
      </c>
      <c r="K24" s="5931"/>
      <c r="L24" s="768">
        <f>SUM(L22:L23)</f>
        <v>218504.39</v>
      </c>
      <c r="M24" s="5949"/>
      <c r="N24" s="1472">
        <f>SUM(N22:N23)</f>
        <v>611861.42000000004</v>
      </c>
      <c r="O24" s="5931"/>
      <c r="P24" s="768">
        <f>SUM(P22:P23)</f>
        <v>243623.83000000005</v>
      </c>
      <c r="Q24" s="5940"/>
      <c r="R24" s="40">
        <f>SUM(R22:R23)</f>
        <v>855485.25</v>
      </c>
      <c r="S24" s="5931"/>
      <c r="T24" s="768">
        <f>SUM(T22:T23)</f>
        <v>246318.65000000002</v>
      </c>
      <c r="U24" s="5940"/>
      <c r="V24" s="40">
        <f>SUM(V22:V23)</f>
        <v>1101803.9000000001</v>
      </c>
      <c r="W24" s="5931"/>
      <c r="X24" s="768">
        <f>SUM(X22:X23)</f>
        <v>207265.61000000004</v>
      </c>
      <c r="Y24" s="5942"/>
      <c r="Z24" s="66">
        <f>SUM(Z22:Z23)</f>
        <v>697208.09000000008</v>
      </c>
      <c r="AA24" s="5945"/>
      <c r="AB24" s="455">
        <f>SUM(AB22:AB23)</f>
        <v>1309069.5100000002</v>
      </c>
      <c r="AC24" s="5931"/>
      <c r="AD24" s="768">
        <f>SUM(AD22:AD23)</f>
        <v>173557.69000000003</v>
      </c>
      <c r="AE24" s="5940"/>
      <c r="AF24" s="40">
        <f>SUM(AF22:AF23)</f>
        <v>1482627.2000000004</v>
      </c>
      <c r="AG24" s="5931"/>
      <c r="AH24" s="768">
        <f>SUM(AH22:AH23)</f>
        <v>220913.68500000003</v>
      </c>
      <c r="AI24" s="5940"/>
      <c r="AJ24" s="40">
        <f>SUM(AJ22:AJ23)</f>
        <v>1703540.8850000005</v>
      </c>
      <c r="AK24" s="5931"/>
      <c r="AL24" s="768">
        <f>SUM(AL22:AL23)</f>
        <v>230715.481</v>
      </c>
      <c r="AM24" s="5942"/>
      <c r="AN24" s="66">
        <f>SUM(AN22:AN23)</f>
        <v>625186.85600000003</v>
      </c>
      <c r="AO24" s="5940"/>
      <c r="AP24" s="40">
        <f>SUM(AP22:AP23)</f>
        <v>1934256.3660000004</v>
      </c>
      <c r="AQ24" s="5931"/>
      <c r="AR24" s="768">
        <f>SUM(AR22:AR23)</f>
        <v>216690.61100000003</v>
      </c>
      <c r="AS24" s="5940"/>
      <c r="AT24" s="40">
        <f>SUM(AT22:AT23)</f>
        <v>2150946.9770000009</v>
      </c>
      <c r="AU24" s="5931"/>
      <c r="AV24" s="768">
        <f>SUM(AV22:AV23)</f>
        <v>191459.28</v>
      </c>
      <c r="AW24" s="5940"/>
      <c r="AX24" s="40">
        <f>SUM(AX22:AX23)</f>
        <v>2342406.2570000007</v>
      </c>
      <c r="AY24" s="5931"/>
      <c r="AZ24" s="768">
        <f>SUM(AZ22:AZ23)</f>
        <v>231379.70199999999</v>
      </c>
      <c r="BA24" s="5942"/>
      <c r="BB24" s="66">
        <f>SUM(BB22:BB23)</f>
        <v>639529.59300000011</v>
      </c>
      <c r="BC24" s="5945"/>
      <c r="BD24" s="455">
        <f>SUM(BD22:BD23)</f>
        <v>1264716.4490000003</v>
      </c>
      <c r="BE24" s="5940"/>
      <c r="BF24" s="40">
        <f>SUM(BF22:BF23)</f>
        <v>2573785.9590000007</v>
      </c>
      <c r="BG24" s="5963"/>
      <c r="BH24" s="1888">
        <v>2350743.2200000002</v>
      </c>
      <c r="BI24" s="5963"/>
      <c r="BJ24" s="1888">
        <v>2364891.1599999997</v>
      </c>
      <c r="BK24" s="5963"/>
      <c r="BL24" s="1888">
        <v>2298056.96</v>
      </c>
      <c r="BM24" s="5968"/>
      <c r="BN24" s="1857">
        <f>SUM(BN22:BN23)</f>
        <v>2178255.5</v>
      </c>
      <c r="BO24" s="5968"/>
      <c r="BP24" s="1857">
        <v>1877654.8489999995</v>
      </c>
      <c r="BQ24" s="5968"/>
      <c r="BR24" s="1857">
        <f>SUM(BR22:BR23)</f>
        <v>2049932.9039999996</v>
      </c>
      <c r="BS24" s="2446"/>
      <c r="BT24" s="2446"/>
      <c r="BU24" s="2446"/>
      <c r="BV24" s="2446"/>
      <c r="BW24" s="2445"/>
    </row>
    <row r="25" spans="2:75" ht="15" customHeight="1" thickBot="1" x14ac:dyDescent="0.3">
      <c r="B25" s="1872" t="s">
        <v>656</v>
      </c>
      <c r="C25" s="490" t="s">
        <v>49</v>
      </c>
      <c r="D25" s="1881"/>
      <c r="E25" s="1881"/>
      <c r="F25" s="4759">
        <f>+F23/F24*100</f>
        <v>19.563195388052833</v>
      </c>
      <c r="G25" s="1881"/>
      <c r="H25" s="4759">
        <f>+H23/H24*100</f>
        <v>19.320033570300613</v>
      </c>
      <c r="I25" s="5934"/>
      <c r="J25" s="1864">
        <f>+J23/J24*100</f>
        <v>19.42876424504222</v>
      </c>
      <c r="K25" s="1881"/>
      <c r="L25" s="4759">
        <f>+L23/L24*100</f>
        <v>15.295962703541107</v>
      </c>
      <c r="M25" s="1886"/>
      <c r="N25" s="1882">
        <f>+N23/N24*100</f>
        <v>17.952882206562396</v>
      </c>
      <c r="O25" s="1881"/>
      <c r="P25" s="4759">
        <f>+P23/P24*100</f>
        <v>20.997005916867824</v>
      </c>
      <c r="Q25" s="5934"/>
      <c r="R25" s="1864">
        <f>+R23/R24*100</f>
        <v>18.819783275047701</v>
      </c>
      <c r="S25" s="1881"/>
      <c r="T25" s="4759">
        <f>+T23/T24*100</f>
        <v>19.158001231331852</v>
      </c>
      <c r="U25" s="5934"/>
      <c r="V25" s="1864">
        <f>+V23/V24*100</f>
        <v>18.895395088000686</v>
      </c>
      <c r="W25" s="1881"/>
      <c r="X25" s="4759">
        <f>+X23/X24*100</f>
        <v>20.805453446908054</v>
      </c>
      <c r="Y25" s="5943"/>
      <c r="Z25" s="70">
        <f>+Z23/Z24*100</f>
        <v>20.290354060578959</v>
      </c>
      <c r="AA25" s="5946"/>
      <c r="AB25" s="456">
        <f>+AB23/AB24*100</f>
        <v>19.19781555373633</v>
      </c>
      <c r="AC25" s="1881"/>
      <c r="AD25" s="4759">
        <f>+AD23/AD24*100</f>
        <v>15.996427470312602</v>
      </c>
      <c r="AE25" s="5934"/>
      <c r="AF25" s="1864">
        <f>+AF23/AF24*100</f>
        <v>18.823058149749304</v>
      </c>
      <c r="AG25" s="1881"/>
      <c r="AH25" s="4759">
        <f>+AH23/AH24*100</f>
        <v>23.878692712042717</v>
      </c>
      <c r="AI25" s="5934"/>
      <c r="AJ25" s="1864">
        <f>+AJ23/AJ24*100</f>
        <v>19.478668397207262</v>
      </c>
      <c r="AK25" s="1881"/>
      <c r="AL25" s="4759">
        <f>+AL23/AL24*100</f>
        <v>24.707522769137448</v>
      </c>
      <c r="AM25" s="5943"/>
      <c r="AN25" s="70">
        <f>+AN23/AN24*100</f>
        <v>21.9963693542527</v>
      </c>
      <c r="AO25" s="5934"/>
      <c r="AP25" s="1864">
        <f>+AP23/AP24*100</f>
        <v>20.102359068570333</v>
      </c>
      <c r="AQ25" s="1881"/>
      <c r="AR25" s="4759">
        <f>+AR23/AR24*100</f>
        <v>18.8383196722815</v>
      </c>
      <c r="AS25" s="5934"/>
      <c r="AT25" s="1864">
        <f>+AT23/AT24*100</f>
        <v>19.975017264221474</v>
      </c>
      <c r="AU25" s="1881"/>
      <c r="AV25" s="4759">
        <f>+AV23/AV24*100</f>
        <v>19.741931548055554</v>
      </c>
      <c r="AW25" s="5934"/>
      <c r="AX25" s="1864">
        <f>+AX23/AX24*100</f>
        <v>19.955965734085719</v>
      </c>
      <c r="AY25" s="1881"/>
      <c r="AZ25" s="4759">
        <f>+AZ23/AZ24*100</f>
        <v>16.529008235994706</v>
      </c>
      <c r="BA25" s="5943"/>
      <c r="BB25" s="70">
        <f>+BB23/BB24*100</f>
        <v>18.273337352818945</v>
      </c>
      <c r="BC25" s="5946"/>
      <c r="BD25" s="456">
        <f>+BD23/BD24*100</f>
        <v>20.11374250735312</v>
      </c>
      <c r="BE25" s="5934"/>
      <c r="BF25" s="1864">
        <f>+BF23/BF24*100</f>
        <v>19.64788712253597</v>
      </c>
      <c r="BG25" s="1883"/>
      <c r="BH25" s="1885">
        <v>19.24294564167668</v>
      </c>
      <c r="BI25" s="1883"/>
      <c r="BJ25" s="1885">
        <v>21.835545700124317</v>
      </c>
      <c r="BK25" s="1883"/>
      <c r="BL25" s="1885">
        <v>14.749253647742485</v>
      </c>
      <c r="BM25" s="5966"/>
      <c r="BN25" s="1858">
        <v>13.573437879389068</v>
      </c>
      <c r="BO25" s="5969"/>
      <c r="BP25" s="1884">
        <f>+BP23/BP24*100</f>
        <v>17.06772148090355</v>
      </c>
      <c r="BQ25" s="5969"/>
      <c r="BR25" s="1884">
        <f>+BR23/BR24*100</f>
        <v>19.239924352177724</v>
      </c>
      <c r="BS25" s="2446"/>
      <c r="BT25" s="2446"/>
      <c r="BU25" s="2446"/>
      <c r="BV25" s="2446"/>
      <c r="BW25" s="2445"/>
    </row>
    <row r="26" spans="2:75" x14ac:dyDescent="0.25">
      <c r="B26" s="1705" t="s">
        <v>635</v>
      </c>
      <c r="C26" s="16" t="s">
        <v>354</v>
      </c>
      <c r="D26" s="1878">
        <v>14270</v>
      </c>
      <c r="E26" s="4747">
        <f>+'Maj Production Summ'!E26</f>
        <v>810</v>
      </c>
      <c r="F26" s="4751">
        <v>3593.88</v>
      </c>
      <c r="G26" s="4747">
        <f>+'Maj Production Summ'!G26</f>
        <v>810</v>
      </c>
      <c r="H26" s="4751">
        <v>2497.5899999999997</v>
      </c>
      <c r="I26" s="713">
        <f t="shared" ref="I26:J27" si="50">+E26+G26</f>
        <v>1620</v>
      </c>
      <c r="J26" s="61">
        <f t="shared" si="50"/>
        <v>6091.4699999999993</v>
      </c>
      <c r="K26" s="4747">
        <f>+'Maj Production Summ'!K26</f>
        <v>810</v>
      </c>
      <c r="L26" s="4751">
        <v>996.79</v>
      </c>
      <c r="M26" s="451">
        <f t="shared" ref="M26:N27" si="51">+E26+G26+K26</f>
        <v>2430</v>
      </c>
      <c r="N26" s="451">
        <f t="shared" si="51"/>
        <v>7088.2599999999993</v>
      </c>
      <c r="O26" s="4747">
        <f>+'Maj Production Summ'!O26</f>
        <v>810</v>
      </c>
      <c r="P26" s="4751">
        <v>900.29000000000019</v>
      </c>
      <c r="Q26" s="713">
        <f t="shared" ref="Q26:Q27" si="52">+M26+O26</f>
        <v>3240</v>
      </c>
      <c r="R26" s="61">
        <f t="shared" ref="R26:R27" si="53">+N26+P26</f>
        <v>7988.5499999999993</v>
      </c>
      <c r="S26" s="4747">
        <f>+'Maj Production Summ'!S26</f>
        <v>810</v>
      </c>
      <c r="T26" s="4751">
        <v>98.82</v>
      </c>
      <c r="U26" s="713">
        <f t="shared" ref="U26:U27" si="54">+Q26+S26</f>
        <v>4050</v>
      </c>
      <c r="V26" s="61">
        <f t="shared" ref="V26:V27" si="55">+R26+T26</f>
        <v>8087.369999999999</v>
      </c>
      <c r="W26" s="4747">
        <f>+'Maj Production Summ'!W26</f>
        <v>5360</v>
      </c>
      <c r="X26" s="4751">
        <v>199.97</v>
      </c>
      <c r="Y26" s="1107">
        <f t="shared" ref="Y26:Z27" si="56">+O26+S26+W26</f>
        <v>6980</v>
      </c>
      <c r="Z26" s="83">
        <f t="shared" si="56"/>
        <v>1199.0800000000002</v>
      </c>
      <c r="AA26" s="788">
        <f t="shared" ref="AA26:AB27" si="57">+M26+Y26</f>
        <v>9410</v>
      </c>
      <c r="AB26" s="788">
        <f t="shared" si="57"/>
        <v>8287.34</v>
      </c>
      <c r="AC26" s="4747">
        <f>+'Maj Production Summ'!AC26</f>
        <v>810</v>
      </c>
      <c r="AD26" s="4751">
        <v>696.92</v>
      </c>
      <c r="AE26" s="713">
        <f t="shared" ref="AE26:AE27" si="58">+AA26+AC26</f>
        <v>10220</v>
      </c>
      <c r="AF26" s="61">
        <f t="shared" ref="AF26:AF27" si="59">+AB26+AD26</f>
        <v>8984.26</v>
      </c>
      <c r="AG26" s="4747">
        <f>+'Maj Production Summ'!AG26</f>
        <v>810</v>
      </c>
      <c r="AH26" s="4751">
        <v>1596.1</v>
      </c>
      <c r="AI26" s="713">
        <f t="shared" ref="AI26:AI27" si="60">+AE26+AG26</f>
        <v>11030</v>
      </c>
      <c r="AJ26" s="61">
        <f t="shared" ref="AJ26:AJ27" si="61">+AF26+AH26</f>
        <v>10580.36</v>
      </c>
      <c r="AK26" s="4747">
        <f>+'Maj Production Summ'!AK26</f>
        <v>810</v>
      </c>
      <c r="AL26" s="4751">
        <v>298.72000000000003</v>
      </c>
      <c r="AM26" s="1107">
        <f t="shared" ref="AM26:AM27" si="62">+AC26+AG26+AK26</f>
        <v>2430</v>
      </c>
      <c r="AN26" s="83">
        <f t="shared" ref="AN26:AN27" si="63">+AD26+AH26+AL26</f>
        <v>2591.7399999999998</v>
      </c>
      <c r="AO26" s="432">
        <f t="shared" ref="AO26:AO27" si="64">AI26+AK26</f>
        <v>11840</v>
      </c>
      <c r="AP26" s="432">
        <f t="shared" ref="AP26:AP28" si="65">AJ26+AL26</f>
        <v>10879.08</v>
      </c>
      <c r="AQ26" s="4747">
        <f>+'Maj Production Summ'!AQ26</f>
        <v>810</v>
      </c>
      <c r="AR26" s="4751">
        <v>99.25</v>
      </c>
      <c r="AS26" s="713">
        <f t="shared" ref="AS26:AS27" si="66">+AO26+AQ26</f>
        <v>12650</v>
      </c>
      <c r="AT26" s="61">
        <f t="shared" ref="AT26:AT27" si="67">+AP26+AR26</f>
        <v>10978.33</v>
      </c>
      <c r="AU26" s="4747">
        <f>+'Maj Production Summ'!AU26</f>
        <v>810</v>
      </c>
      <c r="AV26" s="4751">
        <v>647.95000000000016</v>
      </c>
      <c r="AW26" s="713">
        <f t="shared" ref="AW26:AW27" si="68">+AS26+AU26</f>
        <v>13460</v>
      </c>
      <c r="AX26" s="61">
        <f t="shared" ref="AX26:AX27" si="69">+AT26+AV26</f>
        <v>11626.28</v>
      </c>
      <c r="AY26" s="4747">
        <f>+'Maj Production Summ'!AY26</f>
        <v>810</v>
      </c>
      <c r="AZ26" s="4751">
        <v>99.5</v>
      </c>
      <c r="BA26" s="1107">
        <f t="shared" ref="BA26:BA27" si="70">+AQ26+AU26+AY26</f>
        <v>2430</v>
      </c>
      <c r="BB26" s="83">
        <f t="shared" ref="BB26:BB27" si="71">+AR26+AV26+AZ26</f>
        <v>846.70000000000016</v>
      </c>
      <c r="BC26" s="635">
        <f t="shared" ref="BC26:BD28" si="72">AM26+BA26</f>
        <v>4860</v>
      </c>
      <c r="BD26" s="635">
        <f t="shared" ref="BD26:BD27" si="73">AN26+BB26</f>
        <v>3438.44</v>
      </c>
      <c r="BE26" s="713">
        <f t="shared" ref="BE26:BE27" si="74">+AW26+AY26</f>
        <v>14270</v>
      </c>
      <c r="BF26" s="61">
        <f t="shared" ref="BF26:BF27" si="75">+AX26+AZ26</f>
        <v>11725.78</v>
      </c>
      <c r="BG26" s="1179">
        <v>9365</v>
      </c>
      <c r="BH26" s="1859">
        <v>8679.7900000000009</v>
      </c>
      <c r="BI26" s="1179">
        <v>20742.20366598777</v>
      </c>
      <c r="BJ26" s="1859">
        <v>7537.0999999999985</v>
      </c>
      <c r="BK26" s="1179">
        <v>16929.735234215885</v>
      </c>
      <c r="BL26" s="1859">
        <v>8801.7400000000016</v>
      </c>
      <c r="BM26" s="1889">
        <v>19251.63543788188</v>
      </c>
      <c r="BN26" s="1856">
        <v>20488.86</v>
      </c>
      <c r="BO26" s="1889">
        <v>20754.644854293481</v>
      </c>
      <c r="BP26" s="1856">
        <v>80002.179999999993</v>
      </c>
      <c r="BQ26" s="1889">
        <v>29958.27154308611</v>
      </c>
      <c r="BR26" s="1856">
        <v>124050.80000000006</v>
      </c>
      <c r="BS26" s="2446"/>
      <c r="BT26" s="2446"/>
      <c r="BU26" s="2446"/>
      <c r="BV26" s="2446"/>
      <c r="BW26" s="2445"/>
    </row>
    <row r="27" spans="2:75" ht="15" customHeight="1" thickBot="1" x14ac:dyDescent="0.3">
      <c r="B27" s="4742" t="s">
        <v>1333</v>
      </c>
      <c r="C27" s="4732" t="s">
        <v>354</v>
      </c>
      <c r="D27" s="4733">
        <f>+'Maj Production Summ'!D27</f>
        <v>3541.35</v>
      </c>
      <c r="E27" s="4748">
        <f>+'Maj Production Summ'!E27</f>
        <v>273.99599999999998</v>
      </c>
      <c r="F27" s="4751">
        <v>999.31</v>
      </c>
      <c r="G27" s="4748">
        <f>+'Maj Production Summ'!G27</f>
        <v>279.98</v>
      </c>
      <c r="H27" s="4751">
        <v>0</v>
      </c>
      <c r="I27" s="60">
        <f t="shared" si="50"/>
        <v>553.976</v>
      </c>
      <c r="J27" s="38">
        <f t="shared" si="50"/>
        <v>999.31</v>
      </c>
      <c r="K27" s="4748">
        <f>+'Maj Production Summ'!K27</f>
        <v>273.99599999999998</v>
      </c>
      <c r="L27" s="4751">
        <v>0</v>
      </c>
      <c r="M27" s="67">
        <f t="shared" si="51"/>
        <v>827.97199999999998</v>
      </c>
      <c r="N27" s="67">
        <f t="shared" si="51"/>
        <v>999.31</v>
      </c>
      <c r="O27" s="4748">
        <f>+'Maj Production Summ'!O27</f>
        <v>276.24</v>
      </c>
      <c r="P27" s="4751">
        <v>996.4</v>
      </c>
      <c r="Q27" s="60">
        <f t="shared" si="52"/>
        <v>1104.212</v>
      </c>
      <c r="R27" s="38">
        <f t="shared" si="53"/>
        <v>1995.71</v>
      </c>
      <c r="S27" s="4748">
        <f>+'Maj Production Summ'!S27</f>
        <v>276.24</v>
      </c>
      <c r="T27" s="4751">
        <v>496.32</v>
      </c>
      <c r="U27" s="60">
        <f t="shared" si="54"/>
        <v>1380.452</v>
      </c>
      <c r="V27" s="38">
        <f t="shared" si="55"/>
        <v>2492.0300000000002</v>
      </c>
      <c r="W27" s="4748">
        <f>+'Maj Production Summ'!W27</f>
        <v>498.97</v>
      </c>
      <c r="X27" s="4751">
        <v>335.17</v>
      </c>
      <c r="Y27" s="71">
        <f t="shared" si="56"/>
        <v>1051.45</v>
      </c>
      <c r="Z27" s="68">
        <f t="shared" si="56"/>
        <v>1827.89</v>
      </c>
      <c r="AA27" s="635">
        <f t="shared" si="57"/>
        <v>1879.422</v>
      </c>
      <c r="AB27" s="635">
        <f t="shared" si="57"/>
        <v>2827.2</v>
      </c>
      <c r="AC27" s="4748">
        <f>+'Maj Production Summ'!AC27</f>
        <v>279.98</v>
      </c>
      <c r="AD27" s="4751">
        <v>162.11000000000001</v>
      </c>
      <c r="AE27" s="60">
        <f t="shared" si="58"/>
        <v>2159.402</v>
      </c>
      <c r="AF27" s="38">
        <f t="shared" si="59"/>
        <v>2989.31</v>
      </c>
      <c r="AG27" s="4748">
        <f>+'Maj Production Summ'!AG27</f>
        <v>273.99599999999998</v>
      </c>
      <c r="AH27" s="4751">
        <v>498.65</v>
      </c>
      <c r="AI27" s="60">
        <f t="shared" si="60"/>
        <v>2433.3980000000001</v>
      </c>
      <c r="AJ27" s="38">
        <f t="shared" si="61"/>
        <v>3487.96</v>
      </c>
      <c r="AK27" s="4748">
        <f>+'Maj Production Summ'!AK27</f>
        <v>279.98</v>
      </c>
      <c r="AL27" s="4751">
        <v>1493.55</v>
      </c>
      <c r="AM27" s="71">
        <f t="shared" si="62"/>
        <v>833.95600000000002</v>
      </c>
      <c r="AN27" s="68">
        <f t="shared" si="63"/>
        <v>2154.31</v>
      </c>
      <c r="AO27" s="432">
        <f t="shared" si="64"/>
        <v>2713.3780000000002</v>
      </c>
      <c r="AP27" s="432">
        <f t="shared" si="65"/>
        <v>4981.51</v>
      </c>
      <c r="AQ27" s="4748">
        <f>+'Maj Production Summ'!AQ27</f>
        <v>282.97199999999998</v>
      </c>
      <c r="AR27" s="4751">
        <v>1497.07</v>
      </c>
      <c r="AS27" s="60">
        <f t="shared" si="66"/>
        <v>2996.3500000000004</v>
      </c>
      <c r="AT27" s="38">
        <f t="shared" si="67"/>
        <v>6478.58</v>
      </c>
      <c r="AU27" s="4748">
        <f>+'Maj Production Summ'!AU27</f>
        <v>262.02800000000002</v>
      </c>
      <c r="AV27" s="4751">
        <v>499.07000000000005</v>
      </c>
      <c r="AW27" s="60">
        <f t="shared" si="68"/>
        <v>3258.3780000000006</v>
      </c>
      <c r="AX27" s="38">
        <f t="shared" si="69"/>
        <v>6977.65</v>
      </c>
      <c r="AY27" s="4748">
        <f>+'Maj Production Summ'!AY27</f>
        <v>282.97199999999998</v>
      </c>
      <c r="AZ27" s="4751">
        <v>499.56</v>
      </c>
      <c r="BA27" s="71">
        <f t="shared" si="70"/>
        <v>827.97199999999998</v>
      </c>
      <c r="BB27" s="68">
        <f t="shared" si="71"/>
        <v>2495.6999999999998</v>
      </c>
      <c r="BC27" s="635">
        <f t="shared" si="72"/>
        <v>1661.9279999999999</v>
      </c>
      <c r="BD27" s="635">
        <f t="shared" si="73"/>
        <v>4650.01</v>
      </c>
      <c r="BE27" s="60">
        <f t="shared" si="74"/>
        <v>3541.3500000000004</v>
      </c>
      <c r="BF27" s="38">
        <f t="shared" si="75"/>
        <v>7477.21</v>
      </c>
      <c r="BG27" s="1084">
        <v>2831.4999999999995</v>
      </c>
      <c r="BH27" s="1082">
        <v>5762.5199999999995</v>
      </c>
      <c r="BI27" s="1084">
        <v>2236.7519999999995</v>
      </c>
      <c r="BJ27" s="1082">
        <v>5991.8400000000011</v>
      </c>
      <c r="BK27" s="1084">
        <v>2057.5999999999995</v>
      </c>
      <c r="BL27" s="1082">
        <v>5429.83</v>
      </c>
      <c r="BM27" s="1084">
        <v>2163.56</v>
      </c>
      <c r="BN27" s="1083">
        <v>17862.580000000002</v>
      </c>
      <c r="BO27" s="1084">
        <v>6973.7102305913804</v>
      </c>
      <c r="BP27" s="1083">
        <v>29483.779999999995</v>
      </c>
      <c r="BQ27" s="1084">
        <v>8472.5250501001919</v>
      </c>
      <c r="BR27" s="1083">
        <v>59555.1</v>
      </c>
      <c r="BS27" s="2446"/>
      <c r="BT27" s="2446"/>
      <c r="BU27" s="2446"/>
      <c r="BV27" s="2446"/>
      <c r="BW27" s="2445"/>
    </row>
    <row r="28" spans="2:75" ht="15" customHeight="1" thickBot="1" x14ac:dyDescent="0.3">
      <c r="B28" s="1870" t="s">
        <v>352</v>
      </c>
      <c r="C28" s="15" t="s">
        <v>354</v>
      </c>
      <c r="D28" s="532">
        <f t="shared" ref="D28:AB28" si="76">SUM(D26:D27)</f>
        <v>17811.349999999999</v>
      </c>
      <c r="E28" s="4749">
        <f t="shared" si="76"/>
        <v>1083.9960000000001</v>
      </c>
      <c r="F28" s="768">
        <f t="shared" si="76"/>
        <v>4593.1900000000005</v>
      </c>
      <c r="G28" s="4749">
        <f t="shared" ref="G28:H28" si="77">SUM(G26:G27)</f>
        <v>1089.98</v>
      </c>
      <c r="H28" s="768">
        <f t="shared" si="77"/>
        <v>2497.5899999999997</v>
      </c>
      <c r="I28" s="721">
        <f t="shared" si="76"/>
        <v>2173.9760000000001</v>
      </c>
      <c r="J28" s="40">
        <f t="shared" si="76"/>
        <v>7090.7799999999988</v>
      </c>
      <c r="K28" s="4749">
        <f t="shared" ref="K28:L28" si="78">SUM(K26:K27)</f>
        <v>1083.9960000000001</v>
      </c>
      <c r="L28" s="768">
        <f t="shared" si="78"/>
        <v>996.79</v>
      </c>
      <c r="M28" s="722">
        <f t="shared" si="76"/>
        <v>3257.9719999999998</v>
      </c>
      <c r="N28" s="66">
        <f t="shared" si="76"/>
        <v>8087.57</v>
      </c>
      <c r="O28" s="4749">
        <f t="shared" ref="O28:P28" si="79">SUM(O26:O27)</f>
        <v>1086.24</v>
      </c>
      <c r="P28" s="768">
        <f t="shared" si="79"/>
        <v>1896.69</v>
      </c>
      <c r="Q28" s="721">
        <f t="shared" ref="Q28:T28" si="80">SUM(Q26:Q27)</f>
        <v>4344.2119999999995</v>
      </c>
      <c r="R28" s="40">
        <f t="shared" si="80"/>
        <v>9984.2599999999984</v>
      </c>
      <c r="S28" s="4749">
        <f t="shared" si="80"/>
        <v>1086.24</v>
      </c>
      <c r="T28" s="768">
        <f t="shared" si="80"/>
        <v>595.14</v>
      </c>
      <c r="U28" s="721">
        <f t="shared" ref="U28:X28" si="81">SUM(U26:U27)</f>
        <v>5430.4520000000002</v>
      </c>
      <c r="V28" s="40">
        <f t="shared" si="81"/>
        <v>10579.4</v>
      </c>
      <c r="W28" s="4749">
        <f t="shared" si="81"/>
        <v>5858.97</v>
      </c>
      <c r="X28" s="768">
        <f t="shared" si="81"/>
        <v>535.14</v>
      </c>
      <c r="Y28" s="349">
        <f t="shared" si="76"/>
        <v>8031.45</v>
      </c>
      <c r="Z28" s="66">
        <f t="shared" si="76"/>
        <v>3026.9700000000003</v>
      </c>
      <c r="AA28" s="723">
        <f t="shared" si="76"/>
        <v>11289.422</v>
      </c>
      <c r="AB28" s="455">
        <f t="shared" si="76"/>
        <v>11114.54</v>
      </c>
      <c r="AC28" s="4749">
        <f t="shared" ref="AC28:AD28" si="82">SUM(AC26:AC27)</f>
        <v>1089.98</v>
      </c>
      <c r="AD28" s="768">
        <f t="shared" si="82"/>
        <v>859.03</v>
      </c>
      <c r="AE28" s="721">
        <f t="shared" ref="AE28:AH28" si="83">SUM(AE26:AE27)</f>
        <v>12379.402</v>
      </c>
      <c r="AF28" s="40">
        <f t="shared" si="83"/>
        <v>11973.57</v>
      </c>
      <c r="AG28" s="4749">
        <f t="shared" si="83"/>
        <v>1083.9960000000001</v>
      </c>
      <c r="AH28" s="768">
        <f t="shared" si="83"/>
        <v>2094.75</v>
      </c>
      <c r="AI28" s="721">
        <f t="shared" ref="AI28:AL28" si="84">SUM(AI26:AI27)</f>
        <v>13463.398000000001</v>
      </c>
      <c r="AJ28" s="40">
        <f t="shared" si="84"/>
        <v>14068.32</v>
      </c>
      <c r="AK28" s="4749">
        <f t="shared" si="84"/>
        <v>1089.98</v>
      </c>
      <c r="AL28" s="768">
        <f t="shared" si="84"/>
        <v>1792.27</v>
      </c>
      <c r="AM28" s="349">
        <f t="shared" ref="AM28:AN28" si="85">SUM(AM26:AM27)</f>
        <v>3263.9560000000001</v>
      </c>
      <c r="AN28" s="66">
        <f t="shared" si="85"/>
        <v>4746.0499999999993</v>
      </c>
      <c r="AO28" s="721">
        <f t="shared" ref="AO28" si="86">SUM(AO26:AO27)</f>
        <v>14553.378000000001</v>
      </c>
      <c r="AP28" s="40">
        <f t="shared" si="65"/>
        <v>15860.59</v>
      </c>
      <c r="AQ28" s="4749">
        <f t="shared" ref="AQ28:AR28" si="87">SUM(AQ26:AQ27)</f>
        <v>1092.972</v>
      </c>
      <c r="AR28" s="768">
        <f t="shared" si="87"/>
        <v>1596.32</v>
      </c>
      <c r="AS28" s="721">
        <f t="shared" ref="AS28:AV28" si="88">SUM(AS26:AS27)</f>
        <v>15646.35</v>
      </c>
      <c r="AT28" s="40">
        <f t="shared" si="88"/>
        <v>17456.91</v>
      </c>
      <c r="AU28" s="4749">
        <f t="shared" si="88"/>
        <v>1072.028</v>
      </c>
      <c r="AV28" s="768">
        <f t="shared" si="88"/>
        <v>1147.0200000000002</v>
      </c>
      <c r="AW28" s="721">
        <f t="shared" ref="AW28:AZ28" si="89">SUM(AW26:AW27)</f>
        <v>16718.378000000001</v>
      </c>
      <c r="AX28" s="40">
        <f t="shared" si="89"/>
        <v>18603.93</v>
      </c>
      <c r="AY28" s="4749">
        <f t="shared" si="89"/>
        <v>1092.972</v>
      </c>
      <c r="AZ28" s="768">
        <f t="shared" si="89"/>
        <v>599.05999999999995</v>
      </c>
      <c r="BA28" s="349">
        <f t="shared" ref="BA28:BB28" si="90">SUM(BA26:BA27)</f>
        <v>3257.9719999999998</v>
      </c>
      <c r="BB28" s="66">
        <f t="shared" si="90"/>
        <v>3342.4</v>
      </c>
      <c r="BC28" s="635">
        <f t="shared" si="72"/>
        <v>6521.9279999999999</v>
      </c>
      <c r="BD28" s="635">
        <f t="shared" si="72"/>
        <v>8088.4499999999989</v>
      </c>
      <c r="BE28" s="721">
        <f t="shared" ref="BE28:BF28" si="91">SUM(BE26:BE27)</f>
        <v>17811.349999999999</v>
      </c>
      <c r="BF28" s="40">
        <f t="shared" si="91"/>
        <v>19202.990000000002</v>
      </c>
      <c r="BG28" s="1080">
        <v>12196.5</v>
      </c>
      <c r="BH28" s="2359">
        <v>14442.310000000001</v>
      </c>
      <c r="BI28" s="1080">
        <v>22978.955665987771</v>
      </c>
      <c r="BJ28" s="2359">
        <v>13528.939999999999</v>
      </c>
      <c r="BK28" s="1080">
        <v>18987.335234215883</v>
      </c>
      <c r="BL28" s="2359">
        <v>14231.570000000002</v>
      </c>
      <c r="BM28" s="1080">
        <v>21415.195437881881</v>
      </c>
      <c r="BN28" s="1081">
        <v>38351.440000000002</v>
      </c>
      <c r="BO28" s="1080">
        <v>27728.355084884861</v>
      </c>
      <c r="BP28" s="1081">
        <v>109485.95999999999</v>
      </c>
      <c r="BQ28" s="1080">
        <f>SUM(BQ26:BQ27)</f>
        <v>38430.7965931863</v>
      </c>
      <c r="BR28" s="1081">
        <f>SUM(BR26:BR27)</f>
        <v>183605.90000000005</v>
      </c>
      <c r="BS28" s="2446"/>
      <c r="BT28" s="2446"/>
      <c r="BU28" s="2446"/>
      <c r="BV28" s="2446"/>
      <c r="BW28" s="2445"/>
    </row>
    <row r="29" spans="2:75" ht="15" customHeight="1" x14ac:dyDescent="0.25">
      <c r="B29" s="3563"/>
      <c r="D29" s="3235"/>
      <c r="I29" s="109"/>
      <c r="J29" s="44"/>
      <c r="O29" s="1257"/>
      <c r="BS29" s="2445"/>
      <c r="BT29" s="2445"/>
      <c r="BU29" s="2445"/>
      <c r="BV29" s="2445"/>
    </row>
    <row r="30" spans="2:75" ht="15" customHeight="1" x14ac:dyDescent="0.25">
      <c r="E30" s="3564"/>
      <c r="F30" s="3564"/>
      <c r="G30" s="3564"/>
      <c r="H30" s="3564"/>
      <c r="I30" s="3564"/>
      <c r="J30" s="3564"/>
      <c r="K30" s="3564"/>
      <c r="L30" s="3564"/>
      <c r="M30" s="3564"/>
      <c r="N30" s="3564"/>
      <c r="O30" s="3564"/>
      <c r="P30" s="3564"/>
      <c r="Q30" s="3564"/>
      <c r="R30" s="3564"/>
      <c r="S30" s="3564"/>
      <c r="T30" s="3564"/>
      <c r="U30" s="2445"/>
      <c r="V30" s="3564"/>
      <c r="W30" s="3564"/>
      <c r="X30" s="3564"/>
      <c r="Y30" s="3564"/>
      <c r="Z30" s="3564"/>
      <c r="AA30" s="3564"/>
      <c r="AB30" s="3564"/>
      <c r="AC30" s="3564"/>
      <c r="AD30" s="3564"/>
      <c r="AE30" s="3564"/>
      <c r="AF30" s="3564"/>
      <c r="AG30" s="3564"/>
      <c r="AH30" s="3564"/>
      <c r="AI30" s="3564"/>
      <c r="AJ30" s="3564"/>
      <c r="AK30" s="3564"/>
      <c r="AL30" s="3564"/>
      <c r="AM30" s="3564"/>
      <c r="AN30" s="3564"/>
      <c r="AO30" s="3564"/>
      <c r="AP30" s="3564"/>
      <c r="AQ30" s="3564"/>
      <c r="AR30" s="3564"/>
      <c r="AS30" s="3564"/>
      <c r="AT30" s="3564"/>
      <c r="AU30" s="3564"/>
      <c r="AV30" s="3564"/>
      <c r="BS30" s="2445"/>
      <c r="BT30" s="2445"/>
      <c r="BU30" s="2445"/>
      <c r="BV30" s="2445"/>
    </row>
    <row r="31" spans="2:75" ht="15" customHeight="1" x14ac:dyDescent="0.25">
      <c r="BS31" s="2445"/>
      <c r="BT31" s="2445"/>
      <c r="BU31" s="2445"/>
      <c r="BV31" s="2445"/>
    </row>
    <row r="32" spans="2:75" ht="15" customHeight="1" x14ac:dyDescent="0.25">
      <c r="BF32" s="2445"/>
      <c r="BG32" s="2445"/>
      <c r="BH32" s="2445"/>
      <c r="BI32" s="2445"/>
      <c r="BJ32" s="2445"/>
      <c r="BS32" s="2445"/>
      <c r="BT32" s="2445"/>
      <c r="BU32" s="2445"/>
      <c r="BV32" s="2445"/>
    </row>
    <row r="33" spans="36:36" ht="15" customHeight="1" x14ac:dyDescent="0.25">
      <c r="AJ33" s="2445"/>
    </row>
    <row r="34" spans="36:36" ht="15" customHeight="1" x14ac:dyDescent="0.25"/>
    <row r="35" spans="36:36" ht="15" customHeight="1" x14ac:dyDescent="0.25"/>
    <row r="36" spans="36:36" ht="15" customHeight="1" x14ac:dyDescent="0.25"/>
    <row r="37" spans="36:36" ht="15" customHeight="1" x14ac:dyDescent="0.25"/>
    <row r="38" spans="36:36" ht="15" customHeight="1" x14ac:dyDescent="0.25"/>
    <row r="39" spans="36:36" ht="15" customHeight="1" x14ac:dyDescent="0.25"/>
    <row r="40" spans="36:36" ht="15" customHeight="1" x14ac:dyDescent="0.25"/>
    <row r="41" spans="36:36" ht="15" customHeight="1" x14ac:dyDescent="0.25"/>
    <row r="42" spans="36:36" ht="15" customHeight="1" x14ac:dyDescent="0.25"/>
    <row r="43" spans="36:36" ht="15" customHeight="1" x14ac:dyDescent="0.25"/>
    <row r="44" spans="36:36" ht="15" customHeight="1" x14ac:dyDescent="0.25"/>
    <row r="45" spans="36:36" ht="15" customHeight="1" x14ac:dyDescent="0.25"/>
    <row r="46" spans="36:36" ht="15" customHeight="1" x14ac:dyDescent="0.25"/>
  </sheetData>
  <mergeCells count="104"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</mergeCells>
  <printOptions horizontalCentered="1" verticalCentered="1"/>
  <pageMargins left="0" right="0" top="0" bottom="0" header="0" footer="0"/>
  <pageSetup scale="5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3" tint="0.39997558519241921"/>
    <pageSetUpPr fitToPage="1"/>
  </sheetPr>
  <dimension ref="A1:BS84"/>
  <sheetViews>
    <sheetView zoomScaleNormal="100" workbookViewId="0">
      <pane xSplit="4" topLeftCell="AY1" activePane="topRight" state="frozen"/>
      <selection pane="topRight" activeCell="BC10" sqref="BC10"/>
    </sheetView>
  </sheetViews>
  <sheetFormatPr defaultRowHeight="14.4" x14ac:dyDescent="0.3"/>
  <cols>
    <col min="1" max="1" width="3.88671875" customWidth="1"/>
    <col min="2" max="2" width="39.33203125" bestFit="1" customWidth="1"/>
    <col min="3" max="3" width="32.5546875" bestFit="1" customWidth="1"/>
    <col min="4" max="4" width="11.33203125" customWidth="1"/>
    <col min="5" max="5" width="8.88671875" customWidth="1"/>
    <col min="6" max="6" width="9.33203125" customWidth="1"/>
    <col min="7" max="7" width="8.33203125" customWidth="1"/>
    <col min="8" max="8" width="8.44140625" customWidth="1"/>
    <col min="9" max="10" width="8.33203125" hidden="1" customWidth="1"/>
    <col min="11" max="11" width="8.33203125" customWidth="1"/>
    <col min="12" max="12" width="8.44140625" customWidth="1"/>
    <col min="13" max="15" width="8.33203125" customWidth="1"/>
    <col min="16" max="16" width="8.44140625" customWidth="1"/>
    <col min="17" max="17" width="7.109375" hidden="1" customWidth="1"/>
    <col min="18" max="18" width="8.33203125" hidden="1" customWidth="1"/>
    <col min="19" max="19" width="7.109375" customWidth="1"/>
    <col min="20" max="20" width="8.44140625" customWidth="1"/>
    <col min="21" max="21" width="7.109375" hidden="1" customWidth="1"/>
    <col min="22" max="22" width="8.33203125" hidden="1" customWidth="1"/>
    <col min="23" max="23" width="6.6640625" customWidth="1"/>
    <col min="24" max="24" width="8.44140625" customWidth="1"/>
    <col min="25" max="25" width="8.33203125" customWidth="1"/>
    <col min="26" max="26" width="7.109375" customWidth="1"/>
    <col min="27" max="27" width="8" customWidth="1"/>
    <col min="28" max="29" width="8.33203125" customWidth="1"/>
    <col min="30" max="30" width="8.44140625" customWidth="1"/>
    <col min="31" max="31" width="8.109375" hidden="1" customWidth="1"/>
    <col min="32" max="32" width="8.33203125" hidden="1" customWidth="1"/>
    <col min="33" max="33" width="7.109375" customWidth="1"/>
    <col min="34" max="34" width="8.44140625" bestFit="1" customWidth="1"/>
    <col min="35" max="35" width="8.109375" hidden="1" customWidth="1"/>
    <col min="36" max="36" width="8.33203125" hidden="1" customWidth="1"/>
    <col min="37" max="37" width="8.33203125" customWidth="1"/>
    <col min="38" max="38" width="8.44140625" bestFit="1" customWidth="1"/>
    <col min="39" max="40" width="7.109375" customWidth="1"/>
    <col min="41" max="41" width="8.109375" hidden="1" customWidth="1"/>
    <col min="42" max="42" width="8.33203125" hidden="1" customWidth="1"/>
    <col min="43" max="43" width="8.6640625" customWidth="1"/>
    <col min="44" max="44" width="7.109375" customWidth="1"/>
    <col min="45" max="45" width="8.109375" hidden="1" customWidth="1"/>
    <col min="46" max="46" width="8.33203125" hidden="1" customWidth="1"/>
    <col min="47" max="47" width="7.109375" customWidth="1"/>
    <col min="48" max="48" width="8.44140625" bestFit="1" customWidth="1"/>
    <col min="49" max="50" width="8.33203125" hidden="1" customWidth="1"/>
    <col min="51" max="51" width="7" bestFit="1" customWidth="1"/>
    <col min="52" max="52" width="8.44140625" bestFit="1" customWidth="1"/>
    <col min="53" max="54" width="7.109375" customWidth="1"/>
    <col min="55" max="57" width="8.109375" customWidth="1"/>
    <col min="58" max="58" width="8.33203125" customWidth="1"/>
    <col min="59" max="59" width="8.33203125" hidden="1" customWidth="1"/>
    <col min="60" max="60" width="10.109375" customWidth="1"/>
    <col min="61" max="61" width="8.109375" hidden="1" customWidth="1"/>
    <col min="62" max="62" width="11.33203125" customWidth="1"/>
    <col min="63" max="63" width="8.109375" hidden="1" customWidth="1"/>
    <col min="64" max="64" width="10.88671875" customWidth="1"/>
    <col min="65" max="65" width="12.33203125" hidden="1" customWidth="1"/>
    <col min="66" max="66" width="8.109375" hidden="1" customWidth="1"/>
    <col min="67" max="67" width="8.5546875" hidden="1" customWidth="1"/>
    <col min="68" max="68" width="7.109375" hidden="1" customWidth="1"/>
    <col min="69" max="69" width="6.6640625" hidden="1" customWidth="1"/>
    <col min="70" max="70" width="6.5546875" hidden="1" customWidth="1"/>
    <col min="71" max="71" width="8.5546875" hidden="1" customWidth="1"/>
    <col min="72" max="72" width="0" hidden="1" customWidth="1"/>
  </cols>
  <sheetData>
    <row r="1" spans="1:71" ht="22.8" x14ac:dyDescent="0.3">
      <c r="A1" s="92"/>
      <c r="B1" s="5982" t="s">
        <v>1967</v>
      </c>
      <c r="C1" s="5982"/>
      <c r="D1" s="5982"/>
      <c r="E1" s="5982"/>
      <c r="F1" s="5982"/>
      <c r="G1" s="5982"/>
      <c r="H1" s="5982"/>
      <c r="I1" s="5982"/>
      <c r="J1" s="5982"/>
      <c r="K1" s="5982"/>
      <c r="L1" s="5982"/>
      <c r="M1" s="5982"/>
      <c r="N1" s="5982"/>
      <c r="O1" s="5982"/>
      <c r="P1" s="5982"/>
      <c r="Q1" s="5982"/>
      <c r="R1" s="5982"/>
      <c r="S1" s="5982"/>
      <c r="T1" s="5982"/>
      <c r="U1" s="5982"/>
      <c r="V1" s="5982"/>
      <c r="W1" s="5982"/>
      <c r="X1" s="5982"/>
      <c r="Y1" s="5982"/>
      <c r="Z1" s="5982"/>
      <c r="AA1" s="5982"/>
      <c r="AB1" s="5982"/>
      <c r="AC1" s="5982"/>
      <c r="AD1" s="5982"/>
      <c r="AE1" s="5982"/>
      <c r="AF1" s="5982"/>
      <c r="AG1" s="5982"/>
      <c r="AH1" s="5982"/>
      <c r="AI1" s="5982"/>
      <c r="AJ1" s="5982"/>
      <c r="AK1" s="5982"/>
      <c r="AL1" s="5982"/>
      <c r="AM1" s="5982"/>
      <c r="AN1" s="5982"/>
      <c r="AO1" s="5982"/>
      <c r="AP1" s="5982"/>
      <c r="AQ1" s="5982"/>
      <c r="AR1" s="5982"/>
      <c r="AS1" s="5982"/>
      <c r="AT1" s="5982"/>
      <c r="AU1" s="5982"/>
      <c r="AV1" s="5982"/>
      <c r="AW1" s="5982"/>
      <c r="AX1" s="5982"/>
      <c r="AY1" s="5982"/>
      <c r="AZ1" s="5982"/>
      <c r="BA1" s="5982"/>
      <c r="BB1" s="5982"/>
      <c r="BC1" s="5982"/>
      <c r="BD1" s="5982"/>
      <c r="BE1" s="5982"/>
      <c r="BF1" s="5982"/>
      <c r="BG1" s="5982"/>
      <c r="BH1" s="5982"/>
      <c r="BI1" s="5982"/>
      <c r="BJ1" s="5982"/>
      <c r="BK1" s="5982"/>
      <c r="BL1" s="5982"/>
      <c r="BM1" s="5982"/>
      <c r="BN1" s="5982"/>
      <c r="BO1" s="5982"/>
      <c r="BP1" s="5982"/>
      <c r="BQ1" s="5982"/>
      <c r="BR1" s="5982"/>
      <c r="BS1" s="5982"/>
    </row>
    <row r="2" spans="1:71" ht="18.600000000000001" thickBot="1" x14ac:dyDescent="0.4">
      <c r="A2" s="92"/>
      <c r="B2" s="2160"/>
      <c r="C2" s="2501"/>
      <c r="D2" s="2465">
        <v>365</v>
      </c>
      <c r="E2" s="2465">
        <v>30</v>
      </c>
      <c r="F2" s="2465">
        <v>30</v>
      </c>
      <c r="G2" s="2465">
        <v>31</v>
      </c>
      <c r="H2" s="2465">
        <v>31</v>
      </c>
      <c r="I2" s="2465">
        <f>+E2+G2</f>
        <v>61</v>
      </c>
      <c r="J2" s="2465">
        <f>+F2+H2</f>
        <v>61</v>
      </c>
      <c r="K2" s="2466">
        <v>30</v>
      </c>
      <c r="L2" s="2466">
        <v>30</v>
      </c>
      <c r="M2" s="2467">
        <f>+I2+K2</f>
        <v>91</v>
      </c>
      <c r="N2" s="2467">
        <f>+J2+L2</f>
        <v>91</v>
      </c>
      <c r="O2" s="2466">
        <v>31</v>
      </c>
      <c r="P2" s="2465">
        <v>31</v>
      </c>
      <c r="Q2" s="2468">
        <f>+M2+O2</f>
        <v>122</v>
      </c>
      <c r="R2" s="2468">
        <f>+N2+P2</f>
        <v>122</v>
      </c>
      <c r="S2" s="2468">
        <v>31</v>
      </c>
      <c r="T2" s="2468">
        <v>31</v>
      </c>
      <c r="U2" s="2468">
        <f>+Q2+S2</f>
        <v>153</v>
      </c>
      <c r="V2" s="2468">
        <f>+R2+T2</f>
        <v>153</v>
      </c>
      <c r="W2" s="2468">
        <v>30</v>
      </c>
      <c r="X2" s="2468">
        <v>30</v>
      </c>
      <c r="Y2" s="2468">
        <f>+O2+S2+W2</f>
        <v>92</v>
      </c>
      <c r="Z2" s="2468">
        <f>+P2+T2+X2</f>
        <v>92</v>
      </c>
      <c r="AA2" s="2468">
        <f>+U2+W2</f>
        <v>183</v>
      </c>
      <c r="AB2" s="2468">
        <f>+V2+X2</f>
        <v>183</v>
      </c>
      <c r="AC2" s="2468">
        <v>31</v>
      </c>
      <c r="AD2" s="2468">
        <v>31</v>
      </c>
      <c r="AE2" s="2468">
        <f>+AA2+AC2</f>
        <v>214</v>
      </c>
      <c r="AF2" s="2468">
        <f>+AB2+AD2</f>
        <v>214</v>
      </c>
      <c r="AG2" s="2468">
        <v>30</v>
      </c>
      <c r="AH2" s="2468">
        <v>30</v>
      </c>
      <c r="AI2" s="2468">
        <f>+AE2+AG2</f>
        <v>244</v>
      </c>
      <c r="AJ2" s="2468">
        <f>+AF2+AH2</f>
        <v>244</v>
      </c>
      <c r="AK2" s="2468">
        <v>31</v>
      </c>
      <c r="AL2" s="2468">
        <v>31</v>
      </c>
      <c r="AM2" s="2468">
        <f>+AC2+AG2+AK2</f>
        <v>92</v>
      </c>
      <c r="AN2" s="2468">
        <f>+AD2+AH2+AL2</f>
        <v>92</v>
      </c>
      <c r="AO2" s="2468">
        <f>+AI2+AK2</f>
        <v>275</v>
      </c>
      <c r="AP2" s="2468">
        <f>+AJ2+AL2</f>
        <v>275</v>
      </c>
      <c r="AQ2" s="2468">
        <v>31</v>
      </c>
      <c r="AR2" s="2468">
        <v>31</v>
      </c>
      <c r="AS2" s="2468">
        <f>+AO2+AQ2</f>
        <v>306</v>
      </c>
      <c r="AT2" s="2468">
        <f>+AP2+AR2</f>
        <v>306</v>
      </c>
      <c r="AU2" s="2468">
        <v>28</v>
      </c>
      <c r="AV2" s="2468">
        <v>28</v>
      </c>
      <c r="AW2" s="2468">
        <f>+AS2+AU2</f>
        <v>334</v>
      </c>
      <c r="AX2" s="2468">
        <f>+AT2+AV2</f>
        <v>334</v>
      </c>
      <c r="AY2" s="2468">
        <v>31</v>
      </c>
      <c r="AZ2" s="2468">
        <v>31</v>
      </c>
      <c r="BA2" s="2468">
        <f>+AQ2+AU2+AY2</f>
        <v>90</v>
      </c>
      <c r="BB2" s="2468">
        <f>+AR2+AV2+AZ2</f>
        <v>90</v>
      </c>
      <c r="BC2" s="2468">
        <f>+AM2+BA2</f>
        <v>182</v>
      </c>
      <c r="BD2" s="2468">
        <f>+AN2+BB2</f>
        <v>182</v>
      </c>
      <c r="BE2" s="2468">
        <f>+AW2+AY2</f>
        <v>365</v>
      </c>
      <c r="BF2" s="2468">
        <f>+AX2+AZ2</f>
        <v>365</v>
      </c>
      <c r="BG2" s="2468"/>
      <c r="BH2" s="2468"/>
      <c r="BI2" s="2468"/>
      <c r="BJ2" s="2468"/>
      <c r="BK2" s="2468"/>
      <c r="BL2" s="2468"/>
      <c r="BM2" s="2468"/>
      <c r="BN2" s="2468"/>
      <c r="BO2" s="2468">
        <v>365</v>
      </c>
      <c r="BP2" s="2469">
        <v>365</v>
      </c>
      <c r="BQ2" s="145">
        <v>366</v>
      </c>
      <c r="BR2" s="145">
        <v>366</v>
      </c>
      <c r="BS2" s="145">
        <v>365</v>
      </c>
    </row>
    <row r="3" spans="1:71" ht="18" thickBot="1" x14ac:dyDescent="0.35">
      <c r="A3" s="92"/>
      <c r="B3" s="5981" t="s">
        <v>171</v>
      </c>
      <c r="C3" s="5981" t="s">
        <v>172</v>
      </c>
      <c r="D3" s="5987" t="s">
        <v>1964</v>
      </c>
      <c r="E3" s="5977" t="s">
        <v>1962</v>
      </c>
      <c r="F3" s="5977"/>
      <c r="G3" s="5977" t="s">
        <v>2013</v>
      </c>
      <c r="H3" s="5977"/>
      <c r="I3" s="5976" t="s">
        <v>14</v>
      </c>
      <c r="J3" s="5976"/>
      <c r="K3" s="5983" t="s">
        <v>2043</v>
      </c>
      <c r="L3" s="5983"/>
      <c r="M3" s="5979" t="s">
        <v>637</v>
      </c>
      <c r="N3" s="5979"/>
      <c r="O3" s="5977" t="s">
        <v>2065</v>
      </c>
      <c r="P3" s="5977"/>
      <c r="Q3" s="5976" t="s">
        <v>17</v>
      </c>
      <c r="R3" s="5976"/>
      <c r="S3" s="5977" t="s">
        <v>2068</v>
      </c>
      <c r="T3" s="5977"/>
      <c r="U3" s="5976" t="s">
        <v>18</v>
      </c>
      <c r="V3" s="5976"/>
      <c r="W3" s="5977" t="s">
        <v>2110</v>
      </c>
      <c r="X3" s="5977"/>
      <c r="Y3" s="5979" t="s">
        <v>660</v>
      </c>
      <c r="Z3" s="5979"/>
      <c r="AA3" s="5978" t="s">
        <v>657</v>
      </c>
      <c r="AB3" s="5978"/>
      <c r="AC3" s="5977" t="s">
        <v>2135</v>
      </c>
      <c r="AD3" s="5977"/>
      <c r="AE3" s="5976" t="s">
        <v>24</v>
      </c>
      <c r="AF3" s="5976"/>
      <c r="AG3" s="5977" t="s">
        <v>2238</v>
      </c>
      <c r="AH3" s="5977"/>
      <c r="AI3" s="5976" t="s">
        <v>27</v>
      </c>
      <c r="AJ3" s="5976"/>
      <c r="AK3" s="5977" t="s">
        <v>2262</v>
      </c>
      <c r="AL3" s="5977"/>
      <c r="AM3" s="5979" t="s">
        <v>662</v>
      </c>
      <c r="AN3" s="5979"/>
      <c r="AO3" s="5976" t="s">
        <v>908</v>
      </c>
      <c r="AP3" s="5976"/>
      <c r="AQ3" s="5977" t="s">
        <v>2274</v>
      </c>
      <c r="AR3" s="5977"/>
      <c r="AS3" s="5976" t="s">
        <v>28</v>
      </c>
      <c r="AT3" s="5976"/>
      <c r="AU3" s="5977" t="s">
        <v>2311</v>
      </c>
      <c r="AV3" s="5977"/>
      <c r="AW3" s="5976" t="s">
        <v>30</v>
      </c>
      <c r="AX3" s="5976"/>
      <c r="AY3" s="5977" t="s">
        <v>2329</v>
      </c>
      <c r="AZ3" s="5977"/>
      <c r="BA3" s="5979" t="s">
        <v>663</v>
      </c>
      <c r="BB3" s="5979"/>
      <c r="BC3" s="5978" t="s">
        <v>670</v>
      </c>
      <c r="BD3" s="5978"/>
      <c r="BE3" s="5976" t="s">
        <v>2041</v>
      </c>
      <c r="BF3" s="5976"/>
      <c r="BG3" s="5972" t="s">
        <v>1672</v>
      </c>
      <c r="BH3" s="5972"/>
      <c r="BI3" s="5972" t="s">
        <v>1375</v>
      </c>
      <c r="BJ3" s="5972"/>
      <c r="BK3" s="5972" t="s">
        <v>1242</v>
      </c>
      <c r="BL3" s="5972"/>
      <c r="BM3" s="5986" t="s">
        <v>937</v>
      </c>
      <c r="BN3" s="5985"/>
      <c r="BO3" s="5984" t="s">
        <v>678</v>
      </c>
      <c r="BP3" s="5985"/>
      <c r="BQ3" s="5959" t="s">
        <v>668</v>
      </c>
      <c r="BR3" s="5960"/>
      <c r="BS3" s="1175" t="s">
        <v>628</v>
      </c>
    </row>
    <row r="4" spans="1:71" ht="18" thickBot="1" x14ac:dyDescent="0.35">
      <c r="A4" s="92"/>
      <c r="B4" s="5981"/>
      <c r="C4" s="5981"/>
      <c r="D4" s="5987"/>
      <c r="E4" s="5207" t="s">
        <v>173</v>
      </c>
      <c r="F4" s="5207" t="s">
        <v>174</v>
      </c>
      <c r="G4" s="5207" t="s">
        <v>173</v>
      </c>
      <c r="H4" s="5207" t="s">
        <v>174</v>
      </c>
      <c r="I4" s="5208" t="s">
        <v>173</v>
      </c>
      <c r="J4" s="5208" t="s">
        <v>174</v>
      </c>
      <c r="K4" s="5209" t="s">
        <v>173</v>
      </c>
      <c r="L4" s="5209" t="s">
        <v>174</v>
      </c>
      <c r="M4" s="5210" t="s">
        <v>173</v>
      </c>
      <c r="N4" s="5210" t="s">
        <v>174</v>
      </c>
      <c r="O4" s="5209" t="s">
        <v>173</v>
      </c>
      <c r="P4" s="5207" t="s">
        <v>174</v>
      </c>
      <c r="Q4" s="5208" t="s">
        <v>173</v>
      </c>
      <c r="R4" s="5208" t="s">
        <v>174</v>
      </c>
      <c r="S4" s="5207" t="s">
        <v>173</v>
      </c>
      <c r="T4" s="5207" t="s">
        <v>174</v>
      </c>
      <c r="U4" s="5208" t="s">
        <v>173</v>
      </c>
      <c r="V4" s="5208" t="s">
        <v>174</v>
      </c>
      <c r="W4" s="5207" t="s">
        <v>173</v>
      </c>
      <c r="X4" s="5207" t="s">
        <v>174</v>
      </c>
      <c r="Y4" s="5210" t="s">
        <v>173</v>
      </c>
      <c r="Z4" s="5210" t="s">
        <v>174</v>
      </c>
      <c r="AA4" s="5211" t="s">
        <v>173</v>
      </c>
      <c r="AB4" s="5211" t="s">
        <v>174</v>
      </c>
      <c r="AC4" s="5207" t="s">
        <v>173</v>
      </c>
      <c r="AD4" s="5207" t="s">
        <v>174</v>
      </c>
      <c r="AE4" s="5208" t="s">
        <v>173</v>
      </c>
      <c r="AF4" s="5208" t="s">
        <v>174</v>
      </c>
      <c r="AG4" s="5207" t="s">
        <v>173</v>
      </c>
      <c r="AH4" s="5207" t="s">
        <v>174</v>
      </c>
      <c r="AI4" s="5208" t="s">
        <v>173</v>
      </c>
      <c r="AJ4" s="5208" t="s">
        <v>174</v>
      </c>
      <c r="AK4" s="5207" t="s">
        <v>173</v>
      </c>
      <c r="AL4" s="5207" t="s">
        <v>174</v>
      </c>
      <c r="AM4" s="5210" t="s">
        <v>173</v>
      </c>
      <c r="AN4" s="5210" t="s">
        <v>174</v>
      </c>
      <c r="AO4" s="5208" t="s">
        <v>173</v>
      </c>
      <c r="AP4" s="5208" t="s">
        <v>174</v>
      </c>
      <c r="AQ4" s="5207" t="s">
        <v>173</v>
      </c>
      <c r="AR4" s="5207" t="s">
        <v>174</v>
      </c>
      <c r="AS4" s="5208" t="s">
        <v>173</v>
      </c>
      <c r="AT4" s="5208" t="s">
        <v>174</v>
      </c>
      <c r="AU4" s="5207" t="s">
        <v>173</v>
      </c>
      <c r="AV4" s="5207" t="s">
        <v>174</v>
      </c>
      <c r="AW4" s="5208" t="s">
        <v>173</v>
      </c>
      <c r="AX4" s="5208" t="s">
        <v>174</v>
      </c>
      <c r="AY4" s="5207" t="s">
        <v>173</v>
      </c>
      <c r="AZ4" s="5207" t="s">
        <v>174</v>
      </c>
      <c r="BA4" s="5210" t="s">
        <v>173</v>
      </c>
      <c r="BB4" s="5210" t="s">
        <v>174</v>
      </c>
      <c r="BC4" s="5211" t="s">
        <v>173</v>
      </c>
      <c r="BD4" s="5211" t="s">
        <v>174</v>
      </c>
      <c r="BE4" s="5208" t="s">
        <v>173</v>
      </c>
      <c r="BF4" s="5208" t="s">
        <v>174</v>
      </c>
      <c r="BG4" s="5212" t="s">
        <v>173</v>
      </c>
      <c r="BH4" s="5212" t="s">
        <v>174</v>
      </c>
      <c r="BI4" s="5212" t="s">
        <v>173</v>
      </c>
      <c r="BJ4" s="5212" t="s">
        <v>174</v>
      </c>
      <c r="BK4" s="5212" t="s">
        <v>173</v>
      </c>
      <c r="BL4" s="5212" t="s">
        <v>174</v>
      </c>
      <c r="BM4" s="2471" t="s">
        <v>173</v>
      </c>
      <c r="BN4" s="2470" t="s">
        <v>174</v>
      </c>
      <c r="BO4" s="2471" t="s">
        <v>173</v>
      </c>
      <c r="BP4" s="2470" t="s">
        <v>174</v>
      </c>
      <c r="BQ4" s="1077" t="s">
        <v>173</v>
      </c>
      <c r="BR4" s="1078" t="s">
        <v>174</v>
      </c>
      <c r="BS4" s="1078" t="s">
        <v>174</v>
      </c>
    </row>
    <row r="5" spans="1:71" ht="18" x14ac:dyDescent="0.3">
      <c r="A5" s="92"/>
      <c r="B5" s="5213" t="s">
        <v>361</v>
      </c>
      <c r="C5" s="5214" t="s">
        <v>49</v>
      </c>
      <c r="D5" s="4430">
        <v>70</v>
      </c>
      <c r="E5" s="5215">
        <f>+$D$5</f>
        <v>70</v>
      </c>
      <c r="F5" s="5216">
        <f>('Maj Production Summ'!F14*100)/('Maj Production Summ'!F10*31.55)</f>
        <v>70</v>
      </c>
      <c r="G5" s="5215">
        <f>+$D$5</f>
        <v>70</v>
      </c>
      <c r="H5" s="5216">
        <f>('Maj Production Summ'!H14*100)/('Maj Production Summ'!H10*31.55)</f>
        <v>70</v>
      </c>
      <c r="I5" s="5217">
        <f>+$D$5</f>
        <v>70</v>
      </c>
      <c r="J5" s="5217">
        <f>('Maj Production Summ'!J14*100)/('Maj Production Summ'!J10*31.55)</f>
        <v>70</v>
      </c>
      <c r="K5" s="5215">
        <f>+$D$5</f>
        <v>70</v>
      </c>
      <c r="L5" s="5216">
        <f>('Maj Production Summ'!L14*100)/('Maj Production Summ'!L10*31.55)</f>
        <v>70</v>
      </c>
      <c r="M5" s="5218">
        <f>+$D$5</f>
        <v>70</v>
      </c>
      <c r="N5" s="5218">
        <f>('Maj Production Summ'!N14*100)/('Maj Production Summ'!N10*31.55)</f>
        <v>70</v>
      </c>
      <c r="O5" s="5215">
        <f>+$D$5</f>
        <v>70</v>
      </c>
      <c r="P5" s="5216">
        <f>('Maj Production Summ'!P14*100)/('Maj Production Summ'!P10*31.55)</f>
        <v>69.999999999999986</v>
      </c>
      <c r="Q5" s="5217">
        <f>+$D$5</f>
        <v>70</v>
      </c>
      <c r="R5" s="5217">
        <f>('Maj Production Summ'!R14*100)/('Maj Production Summ'!R10*31.55)</f>
        <v>70</v>
      </c>
      <c r="S5" s="5215">
        <f>+$D$5</f>
        <v>70</v>
      </c>
      <c r="T5" s="5216">
        <f>('Maj Production Summ'!T14*100)/('Maj Production Summ'!T10*31.55)</f>
        <v>70</v>
      </c>
      <c r="U5" s="5217">
        <f>+$D$5</f>
        <v>70</v>
      </c>
      <c r="V5" s="5217">
        <f>('Maj Production Summ'!V14*100)/('Maj Production Summ'!V10*31.55)</f>
        <v>70</v>
      </c>
      <c r="W5" s="5215">
        <f>+$D$5</f>
        <v>70</v>
      </c>
      <c r="X5" s="5216">
        <f>('Maj Production Summ'!X14*100)/('Maj Production Summ'!X10*31.55)</f>
        <v>69.49295404013472</v>
      </c>
      <c r="Y5" s="5218">
        <f>+$D$5</f>
        <v>70</v>
      </c>
      <c r="Z5" s="5218">
        <f>('Maj Production Summ'!Z14*100)/('Maj Production Summ'!Z10*31.55)</f>
        <v>69.834649220880394</v>
      </c>
      <c r="AA5" s="5219">
        <f>+$D$5</f>
        <v>70</v>
      </c>
      <c r="AB5" s="5219">
        <f>('Maj Production Summ'!AB14*100)/('Maj Production Summ'!AB10*31.55)</f>
        <v>69.916418515767404</v>
      </c>
      <c r="AC5" s="5215">
        <f>+$D$5</f>
        <v>70</v>
      </c>
      <c r="AD5" s="5216">
        <f>('Maj Production Summ'!AD14*100)/('Maj Production Summ'!AD10*31.55)</f>
        <v>69.7</v>
      </c>
      <c r="AE5" s="5217">
        <f>+$D$5</f>
        <v>70</v>
      </c>
      <c r="AF5" s="5217">
        <f>('Maj Production Summ'!AF14*100)/('Maj Production Summ'!AF10*31.55)</f>
        <v>69.885349858057893</v>
      </c>
      <c r="AG5" s="5215">
        <f>+$D$5</f>
        <v>70</v>
      </c>
      <c r="AH5" s="5216">
        <f>('Maj Production Summ'!AH14*100)/('Maj Production Summ'!AH10*31.55)</f>
        <v>69.5</v>
      </c>
      <c r="AI5" s="5217">
        <f>+$D$5</f>
        <v>70</v>
      </c>
      <c r="AJ5" s="5217">
        <f>('Maj Production Summ'!AJ14*100)/('Maj Production Summ'!AJ10*31.55)</f>
        <v>69.837720177923799</v>
      </c>
      <c r="AK5" s="5215">
        <f>+$D$5</f>
        <v>70</v>
      </c>
      <c r="AL5" s="5216">
        <f>('Maj Production Summ'!AL14*100)/('Maj Production Summ'!AL10*31.55)</f>
        <v>69.5</v>
      </c>
      <c r="AM5" s="5218">
        <f>+$D$5</f>
        <v>70</v>
      </c>
      <c r="AN5" s="5218">
        <f>('Maj Production Summ'!AN14*100)/('Maj Production Summ'!AN10*31.55)</f>
        <v>69.56670356431259</v>
      </c>
      <c r="AO5" s="5217">
        <f>+$D$5</f>
        <v>70</v>
      </c>
      <c r="AP5" s="5237">
        <f>('Maj Production Summ'!AP14*100)/('Maj Production Summ'!AP10*31.55)</f>
        <v>69.799445474505504</v>
      </c>
      <c r="AQ5" s="5215">
        <f>+$D$5</f>
        <v>70</v>
      </c>
      <c r="AR5" s="5216">
        <f>('Maj Production Summ'!AR14*100)/('Maj Production Summ'!AR10*31.55)</f>
        <v>69.5</v>
      </c>
      <c r="AS5" s="5217">
        <f>+$D$5</f>
        <v>70</v>
      </c>
      <c r="AT5" s="5217">
        <f>('Maj Production Summ'!AT14*100)/('Maj Production Summ'!AT10*31.55)</f>
        <v>69.769204900340156</v>
      </c>
      <c r="AU5" s="5215">
        <f>+$D$5</f>
        <v>70</v>
      </c>
      <c r="AV5" s="5216">
        <f>('Maj Production Summ'!AV14*100)/('Maj Production Summ'!AV10*31.55)</f>
        <v>69.5</v>
      </c>
      <c r="AW5" s="5217">
        <f>+$D$5</f>
        <v>70</v>
      </c>
      <c r="AX5" s="5237">
        <f>('Maj Production Summ'!AX14*100)/('Maj Production Summ'!AX10*31.55)</f>
        <v>69.746667159354615</v>
      </c>
      <c r="AY5" s="5215">
        <f>+$D$5</f>
        <v>70</v>
      </c>
      <c r="AZ5" s="5216">
        <f>('Maj Production Summ'!AZ14*100)/('Maj Production Summ'!AZ10*31.55)</f>
        <v>69.499999999999986</v>
      </c>
      <c r="BA5" s="5218">
        <f>+$D$5</f>
        <v>70</v>
      </c>
      <c r="BB5" s="5218">
        <f>('Maj Production Summ'!BB14*100)/('Maj Production Summ'!BB10*31.55)</f>
        <v>69.5</v>
      </c>
      <c r="BC5" s="5219">
        <f>+$D$5</f>
        <v>70</v>
      </c>
      <c r="BD5" s="5219">
        <f>('Maj Production Summ'!BD14*100)/('Maj Production Summ'!BD10*31.55)</f>
        <v>69.53371754700089</v>
      </c>
      <c r="BE5" s="5217">
        <f>+$D$5</f>
        <v>70</v>
      </c>
      <c r="BF5" s="5217">
        <f>('Maj Production Summ'!BF14*100)/('Maj Production Summ'!BF10*31.55)</f>
        <v>69.72561784308084</v>
      </c>
      <c r="BG5" s="5220">
        <v>70</v>
      </c>
      <c r="BH5" s="5220">
        <v>70.341275484250673</v>
      </c>
      <c r="BI5" s="5220">
        <v>69.500000000000028</v>
      </c>
      <c r="BJ5" s="5220">
        <v>69.398028518298972</v>
      </c>
      <c r="BK5" s="5220">
        <v>69.5</v>
      </c>
      <c r="BL5" s="5220">
        <v>69.459875135267765</v>
      </c>
      <c r="BM5" s="5196">
        <v>70.500002850729032</v>
      </c>
      <c r="BN5" s="1177">
        <v>69.798394297532738</v>
      </c>
      <c r="BO5" s="2472">
        <v>70.99978732308368</v>
      </c>
      <c r="BP5" s="2473">
        <v>72.813877092165015</v>
      </c>
      <c r="BQ5" s="1176">
        <v>66.5</v>
      </c>
      <c r="BR5" s="1177">
        <v>67.485669750420143</v>
      </c>
      <c r="BS5" s="1177">
        <v>67.015011462089603</v>
      </c>
    </row>
    <row r="6" spans="1:71" ht="15" customHeight="1" x14ac:dyDescent="0.3">
      <c r="A6" s="151"/>
      <c r="B6" s="5221" t="s">
        <v>359</v>
      </c>
      <c r="C6" s="5222"/>
      <c r="D6" s="4430"/>
      <c r="E6" s="5223"/>
      <c r="F6" s="5223"/>
      <c r="G6" s="5223"/>
      <c r="H6" s="5223"/>
      <c r="I6" s="5223"/>
      <c r="J6" s="5223"/>
      <c r="K6" s="5223"/>
      <c r="L6" s="5223"/>
      <c r="M6" s="5193"/>
      <c r="N6" s="4405"/>
      <c r="O6" s="5223"/>
      <c r="P6" s="5223"/>
      <c r="Q6" s="5223"/>
      <c r="R6" s="4430"/>
      <c r="S6" s="5223"/>
      <c r="T6" s="5223"/>
      <c r="U6" s="5223"/>
      <c r="V6" s="4430"/>
      <c r="W6" s="5223"/>
      <c r="X6" s="5223"/>
      <c r="Y6" s="5193"/>
      <c r="Z6" s="4405"/>
      <c r="AA6" s="5249"/>
      <c r="AB6" s="5225"/>
      <c r="AC6" s="5223"/>
      <c r="AD6" s="5223"/>
      <c r="AE6" s="5223"/>
      <c r="AF6" s="4430"/>
      <c r="AG6" s="5223"/>
      <c r="AH6" s="5223"/>
      <c r="AI6" s="5194"/>
      <c r="AJ6" s="4403"/>
      <c r="AK6" s="5223"/>
      <c r="AL6" s="5223"/>
      <c r="AM6" s="5223"/>
      <c r="AN6" s="4430"/>
      <c r="AO6" s="5223"/>
      <c r="AP6" s="4430"/>
      <c r="AQ6" s="5223"/>
      <c r="AR6" s="5223"/>
      <c r="AS6" s="5223"/>
      <c r="AT6" s="4430"/>
      <c r="AU6" s="5223"/>
      <c r="AV6" s="5223"/>
      <c r="AW6" s="5223"/>
      <c r="AX6" s="4430"/>
      <c r="AY6" s="5223"/>
      <c r="AZ6" s="5223"/>
      <c r="BA6" s="5223"/>
      <c r="BB6" s="4430"/>
      <c r="BC6" s="5223"/>
      <c r="BD6" s="4430"/>
      <c r="BE6" s="5223"/>
      <c r="BF6" s="5223"/>
      <c r="BG6" s="5223"/>
      <c r="BH6" s="5223"/>
      <c r="BI6" s="5223"/>
      <c r="BJ6" s="5223"/>
      <c r="BK6" s="5223"/>
      <c r="BL6" s="5223"/>
      <c r="BM6" s="3975"/>
      <c r="BN6" s="3975"/>
      <c r="BO6" s="3781"/>
      <c r="BP6" s="3781"/>
      <c r="BQ6" s="3782"/>
      <c r="BR6" s="3782"/>
      <c r="BS6" s="3783"/>
    </row>
    <row r="7" spans="1:71" ht="18" x14ac:dyDescent="0.3">
      <c r="A7" s="92"/>
      <c r="B7" s="5213" t="s">
        <v>349</v>
      </c>
      <c r="C7" s="5214" t="s">
        <v>49</v>
      </c>
      <c r="D7" s="5215">
        <v>92</v>
      </c>
      <c r="E7" s="5215">
        <f>+$D$7</f>
        <v>92</v>
      </c>
      <c r="F7" s="5216">
        <f>'COKE OVENS'!F149</f>
        <v>89.466617312982208</v>
      </c>
      <c r="G7" s="5215">
        <f>+$D$7</f>
        <v>92</v>
      </c>
      <c r="H7" s="5216">
        <f>'COKE OVENS'!H149</f>
        <v>91.22579404282105</v>
      </c>
      <c r="I7" s="5217">
        <f>+$D$7</f>
        <v>92</v>
      </c>
      <c r="J7" s="5217">
        <f>'COKE OVENS'!J149</f>
        <v>90.362489637492544</v>
      </c>
      <c r="K7" s="5215">
        <f>+$D$7</f>
        <v>92</v>
      </c>
      <c r="L7" s="5216">
        <f>'COKE OVENS'!L149</f>
        <v>90.499999999999986</v>
      </c>
      <c r="M7" s="5218">
        <f>+$D$7</f>
        <v>92</v>
      </c>
      <c r="N7" s="5218">
        <f>'COKE OVENS'!N149</f>
        <v>90.407401766585494</v>
      </c>
      <c r="O7" s="5215">
        <f>+$D$7</f>
        <v>92</v>
      </c>
      <c r="P7" s="5216">
        <f>'COKE OVENS'!P149</f>
        <v>91.999999679999988</v>
      </c>
      <c r="Q7" s="5217">
        <f>+$D$7</f>
        <v>92</v>
      </c>
      <c r="R7" s="5217">
        <f>'COKE OVENS'!R149</f>
        <v>90.807240704898419</v>
      </c>
      <c r="S7" s="5215">
        <f>+$D$7</f>
        <v>92</v>
      </c>
      <c r="T7" s="5216">
        <f>'COKE OVENS'!T149</f>
        <v>90</v>
      </c>
      <c r="U7" s="5217">
        <f>+$D$7</f>
        <v>92</v>
      </c>
      <c r="V7" s="5217">
        <f>'COKE OVENS'!V149</f>
        <v>90.64176186512033</v>
      </c>
      <c r="W7" s="5215">
        <f>+$D$7</f>
        <v>92</v>
      </c>
      <c r="X7" s="5216">
        <f>'COKE OVENS'!X149</f>
        <v>89.999962999863101</v>
      </c>
      <c r="Y7" s="5218">
        <f>+$D$7</f>
        <v>92</v>
      </c>
      <c r="Z7" s="5218">
        <f>'COKE OVENS'!Z149</f>
        <v>90.662029690766587</v>
      </c>
      <c r="AA7" s="5219">
        <f>+$D$7</f>
        <v>92</v>
      </c>
      <c r="AB7" s="5219">
        <f>'COKE OVENS'!AB149</f>
        <v>90.535518493018969</v>
      </c>
      <c r="AC7" s="5215">
        <f>+$D$7</f>
        <v>92</v>
      </c>
      <c r="AD7" s="5216">
        <f>'COKE OVENS'!AD149</f>
        <v>89.999967741831426</v>
      </c>
      <c r="AE7" s="5217">
        <f>+$D$7</f>
        <v>92</v>
      </c>
      <c r="AF7" s="5217">
        <f>'COKE OVENS'!AF149</f>
        <v>90.458281495282719</v>
      </c>
      <c r="AG7" s="5215">
        <f>+$D$7</f>
        <v>92</v>
      </c>
      <c r="AH7" s="5216">
        <f>'COKE OVENS'!AH149</f>
        <v>90</v>
      </c>
      <c r="AI7" s="5217">
        <f>+$D$7</f>
        <v>92</v>
      </c>
      <c r="AJ7" s="5217">
        <f>'COKE OVENS'!AJ149</f>
        <v>90.403338211521003</v>
      </c>
      <c r="AK7" s="5215">
        <f>+$D$7</f>
        <v>92</v>
      </c>
      <c r="AL7" s="5216">
        <f>'COKE OVENS'!AL149</f>
        <v>87.290322580645153</v>
      </c>
      <c r="AM7" s="5218">
        <f>+$D$7</f>
        <v>92</v>
      </c>
      <c r="AN7" s="5218">
        <f>'COKE OVENS'!AN149</f>
        <v>89.095314831723186</v>
      </c>
      <c r="AO7" s="5217">
        <f>+$D$7</f>
        <v>92</v>
      </c>
      <c r="AP7" s="5217">
        <f>'COKE OVENS'!AP149</f>
        <v>90.060632552039692</v>
      </c>
      <c r="AQ7" s="5215">
        <f>+$D$7</f>
        <v>92</v>
      </c>
      <c r="AR7" s="5216">
        <f>'COKE OVENS'!AR149</f>
        <v>87</v>
      </c>
      <c r="AS7" s="5217">
        <f>+$D$7</f>
        <v>92</v>
      </c>
      <c r="AT7" s="5237">
        <f>'COKE OVENS'!AT149</f>
        <v>89.75495383483792</v>
      </c>
      <c r="AU7" s="5215">
        <f>+$D$7</f>
        <v>92</v>
      </c>
      <c r="AV7" s="5216">
        <f>'COKE OVENS'!AV149</f>
        <v>89.9</v>
      </c>
      <c r="AW7" s="5217">
        <f>+$D$7</f>
        <v>92</v>
      </c>
      <c r="AX7" s="5217">
        <f>'COKE OVENS'!AX149</f>
        <v>89.766908020938928</v>
      </c>
      <c r="AY7" s="5215">
        <f>+$D$7</f>
        <v>92</v>
      </c>
      <c r="AZ7" s="5216">
        <f>'COKE OVENS'!AZ149</f>
        <v>90.000034832161234</v>
      </c>
      <c r="BA7" s="5218">
        <f>+$D$7</f>
        <v>92</v>
      </c>
      <c r="BB7" s="5218">
        <f>'COKE OVENS'!BB149</f>
        <v>88.946382025064466</v>
      </c>
      <c r="BC7" s="5219">
        <f>+$D$7</f>
        <v>92</v>
      </c>
      <c r="BD7" s="5219">
        <f>'COKE OVENS'!BD149</f>
        <v>89.021341712695019</v>
      </c>
      <c r="BE7" s="5217">
        <f>+$D$7</f>
        <v>92</v>
      </c>
      <c r="BF7" s="5217">
        <f>'COKE OVENS'!BF149</f>
        <v>89.787074869717628</v>
      </c>
      <c r="BG7" s="5224">
        <v>95</v>
      </c>
      <c r="BH7" s="5220">
        <v>92.468483882270078</v>
      </c>
      <c r="BI7" s="5224">
        <v>92</v>
      </c>
      <c r="BJ7" s="5220">
        <v>90.939873157833944</v>
      </c>
      <c r="BK7" s="5224">
        <v>92</v>
      </c>
      <c r="BL7" s="5220">
        <v>89.651305773130588</v>
      </c>
      <c r="BM7" s="5197">
        <v>95</v>
      </c>
      <c r="BN7" s="1178">
        <v>93.865971705137753</v>
      </c>
      <c r="BO7" s="2476">
        <v>94.377234802612818</v>
      </c>
      <c r="BP7" s="2477">
        <v>94.023330283623039</v>
      </c>
      <c r="BQ7" s="1084">
        <v>90</v>
      </c>
      <c r="BR7" s="1178">
        <v>91.425994537590384</v>
      </c>
      <c r="BS7" s="1178">
        <v>91.808305695910761</v>
      </c>
    </row>
    <row r="8" spans="1:71" ht="18.600000000000001" thickBot="1" x14ac:dyDescent="0.35">
      <c r="A8" s="92"/>
      <c r="B8" s="5213" t="s">
        <v>360</v>
      </c>
      <c r="C8" s="5214" t="s">
        <v>49</v>
      </c>
      <c r="D8" s="5215">
        <v>97</v>
      </c>
      <c r="E8" s="5215">
        <f>+$D$8</f>
        <v>97</v>
      </c>
      <c r="F8" s="5216">
        <f>'COKE OVENS'!F174</f>
        <v>94.592173017507719</v>
      </c>
      <c r="G8" s="5215">
        <f>+$D$8</f>
        <v>97</v>
      </c>
      <c r="H8" s="5216">
        <f>'COKE OVENS'!H174</f>
        <v>94.99999761388338</v>
      </c>
      <c r="I8" s="5217">
        <f>+$D$8</f>
        <v>97</v>
      </c>
      <c r="J8" s="5217">
        <f>'COKE OVENS'!J174</f>
        <v>94.799830302761691</v>
      </c>
      <c r="K8" s="5215">
        <f>+$D$8</f>
        <v>97</v>
      </c>
      <c r="L8" s="5216">
        <f>'COKE OVENS'!L174</f>
        <v>94.999999511791174</v>
      </c>
      <c r="M8" s="5218">
        <f>+$D$8</f>
        <v>97</v>
      </c>
      <c r="N8" s="5218">
        <f>'COKE OVENS'!N174</f>
        <v>94.866350705825596</v>
      </c>
      <c r="O8" s="5215">
        <f>+$D$8</f>
        <v>97</v>
      </c>
      <c r="P8" s="5216">
        <f>'COKE OVENS'!P174</f>
        <v>95.000001409744897</v>
      </c>
      <c r="Q8" s="5217">
        <f>+$D$8</f>
        <v>97</v>
      </c>
      <c r="R8" s="5217">
        <f>'COKE OVENS'!R174</f>
        <v>94.900651925974543</v>
      </c>
      <c r="S8" s="5215">
        <f>+$D$8</f>
        <v>97</v>
      </c>
      <c r="T8" s="5216">
        <f>'COKE OVENS'!T174</f>
        <v>95</v>
      </c>
      <c r="U8" s="5217">
        <f>+$D$8</f>
        <v>97</v>
      </c>
      <c r="V8" s="5217">
        <f>'COKE OVENS'!V174</f>
        <v>94.920863024190282</v>
      </c>
      <c r="W8" s="5215">
        <f>+$D$8</f>
        <v>97</v>
      </c>
      <c r="X8" s="5216">
        <f>'COKE OVENS'!X174</f>
        <v>94.999999513274034</v>
      </c>
      <c r="Y8" s="5218">
        <f>+$D$8</f>
        <v>97</v>
      </c>
      <c r="Z8" s="5218">
        <f>'COKE OVENS'!Z174</f>
        <v>95.000000317448595</v>
      </c>
      <c r="AA8" s="5219">
        <f>+$D$8</f>
        <v>97</v>
      </c>
      <c r="AB8" s="5219">
        <f>'COKE OVENS'!AB174</f>
        <v>94.933907887034792</v>
      </c>
      <c r="AC8" s="5215">
        <f>+$D$8</f>
        <v>97</v>
      </c>
      <c r="AD8" s="5216">
        <f>'COKE OVENS'!AD174</f>
        <v>94.999999521351143</v>
      </c>
      <c r="AE8" s="5217">
        <f>+$D$8</f>
        <v>97</v>
      </c>
      <c r="AF8" s="5217">
        <f>'COKE OVENS'!AF174</f>
        <v>94.943395884400999</v>
      </c>
      <c r="AG8" s="5215">
        <f>+$D$8</f>
        <v>97</v>
      </c>
      <c r="AH8" s="5216">
        <f>'COKE OVENS'!AH174</f>
        <v>95</v>
      </c>
      <c r="AI8" s="5217">
        <f>+$D$8</f>
        <v>97</v>
      </c>
      <c r="AJ8" s="5217">
        <f>'COKE OVENS'!AJ174</f>
        <v>94.950392217211117</v>
      </c>
      <c r="AK8" s="5215">
        <f>+$D$8</f>
        <v>97</v>
      </c>
      <c r="AL8" s="5216">
        <f>'COKE OVENS'!AL174</f>
        <v>95</v>
      </c>
      <c r="AM8" s="5218">
        <f>+$D$8</f>
        <v>97</v>
      </c>
      <c r="AN8" s="5218">
        <f>'COKE OVENS'!AN174</f>
        <v>94.999999840362591</v>
      </c>
      <c r="AO8" s="5217">
        <f>+$D$8</f>
        <v>97</v>
      </c>
      <c r="AP8" s="5217">
        <f>'COKE OVENS'!AP174</f>
        <v>94.956014443140901</v>
      </c>
      <c r="AQ8" s="5215">
        <f>+$D$8</f>
        <v>97</v>
      </c>
      <c r="AR8" s="5216">
        <f>'COKE OVENS'!AR174</f>
        <v>95.000000047533575</v>
      </c>
      <c r="AS8" s="5217">
        <f>+$D$8</f>
        <v>97</v>
      </c>
      <c r="AT8" s="5237">
        <f>'COKE OVENS'!AT174</f>
        <v>94.960456482651381</v>
      </c>
      <c r="AU8" s="5215">
        <f>+$D$8</f>
        <v>97</v>
      </c>
      <c r="AV8" s="5216">
        <f>'COKE OVENS'!AV174</f>
        <v>94.999999527157698</v>
      </c>
      <c r="AW8" s="5217">
        <f>+$D$8</f>
        <v>97</v>
      </c>
      <c r="AX8" s="5217">
        <f>'COKE OVENS'!AX174</f>
        <v>94.963767009668928</v>
      </c>
      <c r="AY8" s="5215">
        <f>+$D$8</f>
        <v>97</v>
      </c>
      <c r="AZ8" s="5216">
        <f>'COKE OVENS'!AZ174</f>
        <v>94.999999528548869</v>
      </c>
      <c r="BA8" s="5218">
        <f>+$D$8</f>
        <v>97</v>
      </c>
      <c r="BB8" s="5218">
        <f>'COKE OVENS'!BB174</f>
        <v>94.999999706279226</v>
      </c>
      <c r="BC8" s="5219">
        <f>+$D$8</f>
        <v>97</v>
      </c>
      <c r="BD8" s="5219">
        <f>'COKE OVENS'!BD174</f>
        <v>94.999999774056249</v>
      </c>
      <c r="BE8" s="5217">
        <f>+$D$8</f>
        <v>97</v>
      </c>
      <c r="BF8" s="5217">
        <f>'COKE OVENS'!BF174</f>
        <v>94.966858905317054</v>
      </c>
      <c r="BG8" s="5224">
        <v>100</v>
      </c>
      <c r="BH8" s="5220">
        <v>97.818139447003276</v>
      </c>
      <c r="BI8" s="5224">
        <v>94</v>
      </c>
      <c r="BJ8" s="5220">
        <v>93.889003787888356</v>
      </c>
      <c r="BK8" s="5224">
        <v>94</v>
      </c>
      <c r="BL8" s="5220">
        <v>92.198587038217795</v>
      </c>
      <c r="BM8" s="5188">
        <v>95</v>
      </c>
      <c r="BN8" s="1188">
        <v>94.753433109833978</v>
      </c>
      <c r="BO8" s="2478">
        <v>94.836589147670892</v>
      </c>
      <c r="BP8" s="2479">
        <v>95.080612657941344</v>
      </c>
      <c r="BQ8" s="1651">
        <v>90</v>
      </c>
      <c r="BR8" s="1188">
        <v>96.370934540963361</v>
      </c>
      <c r="BS8" s="1188">
        <v>94.117212910536992</v>
      </c>
    </row>
    <row r="9" spans="1:71" ht="18.600000000000001" thickBot="1" x14ac:dyDescent="0.35">
      <c r="A9" s="92"/>
      <c r="B9" s="5213" t="s">
        <v>358</v>
      </c>
      <c r="C9" s="5214" t="s">
        <v>49</v>
      </c>
      <c r="D9" s="5216">
        <v>95.322290299597682</v>
      </c>
      <c r="E9" s="5216">
        <f>+$D$9</f>
        <v>95.322290299597682</v>
      </c>
      <c r="F9" s="5216">
        <f>'COKE OVENS'!F215</f>
        <v>92.782623883203556</v>
      </c>
      <c r="G9" s="5216">
        <f>+$D$9</f>
        <v>95.322290299597682</v>
      </c>
      <c r="H9" s="5216">
        <f>'COKE OVENS'!H215</f>
        <v>93.667281514284795</v>
      </c>
      <c r="I9" s="5217">
        <f>+$D$9</f>
        <v>95.322290299597682</v>
      </c>
      <c r="J9" s="5217">
        <f>'COKE OVENS'!J215</f>
        <v>93.233099399768022</v>
      </c>
      <c r="K9" s="5216">
        <f>+$D$9</f>
        <v>95.322290299597682</v>
      </c>
      <c r="L9" s="5216">
        <f>'COKE OVENS'!L215</f>
        <v>93.437618856972875</v>
      </c>
      <c r="M9" s="5218">
        <f>+$D$9</f>
        <v>95.322290299597682</v>
      </c>
      <c r="N9" s="5218">
        <f>'COKE OVENS'!N215</f>
        <v>93.300655293176519</v>
      </c>
      <c r="O9" s="5216">
        <f>+$D$9</f>
        <v>95.322290299597682</v>
      </c>
      <c r="P9" s="5216">
        <f>'COKE OVENS'!P215</f>
        <v>93.966668191590372</v>
      </c>
      <c r="Q9" s="5217">
        <f>+$D$9</f>
        <v>95.322290299597682</v>
      </c>
      <c r="R9" s="5217">
        <f>'COKE OVENS'!R215</f>
        <v>93.470286002129185</v>
      </c>
      <c r="S9" s="5216">
        <f>+$D$9</f>
        <v>95.322290299597682</v>
      </c>
      <c r="T9" s="5216">
        <f>'COKE OVENS'!T215</f>
        <v>93.241945303495299</v>
      </c>
      <c r="U9" s="5217">
        <f>+$D$9</f>
        <v>95.322290299597682</v>
      </c>
      <c r="V9" s="5217">
        <f>'COKE OVENS'!V215</f>
        <v>93.423708694745685</v>
      </c>
      <c r="W9" s="5216">
        <f>+$D$9</f>
        <v>95.322290299597682</v>
      </c>
      <c r="X9" s="5216">
        <f>'COKE OVENS'!X215</f>
        <v>93.2448303447526</v>
      </c>
      <c r="Y9" s="5218">
        <f>+$D$9</f>
        <v>95.322290299597682</v>
      </c>
      <c r="Z9" s="5218">
        <f>'COKE OVENS'!Z215</f>
        <v>93.485972730981359</v>
      </c>
      <c r="AA9" s="5219">
        <f>+$D$9</f>
        <v>95.322290299597682</v>
      </c>
      <c r="AB9" s="5219">
        <f>'COKE OVENS'!AB215</f>
        <v>93.394178549317672</v>
      </c>
      <c r="AC9" s="5216">
        <f>+$D$9</f>
        <v>95.322290299597682</v>
      </c>
      <c r="AD9" s="5216">
        <f>'COKE OVENS'!AD215</f>
        <v>93.243541106226871</v>
      </c>
      <c r="AE9" s="5217">
        <f>+$D$9</f>
        <v>95.322290299597682</v>
      </c>
      <c r="AF9" s="5217">
        <f>'COKE OVENS'!AF215</f>
        <v>93.372518403839564</v>
      </c>
      <c r="AG9" s="5216">
        <f>+$D$9</f>
        <v>95.322290299597682</v>
      </c>
      <c r="AH9" s="5216">
        <f>'COKE OVENS'!AH215</f>
        <v>93.288077486246692</v>
      </c>
      <c r="AI9" s="5217">
        <f>+$D$9</f>
        <v>95.322290299597682</v>
      </c>
      <c r="AJ9" s="5217">
        <f>'COKE OVENS'!AJ215</f>
        <v>93.362190871039957</v>
      </c>
      <c r="AK9" s="5216">
        <f>+$D$9</f>
        <v>95.322290299597682</v>
      </c>
      <c r="AL9" s="5216">
        <f>'COKE OVENS'!AL215</f>
        <v>92.364182227254133</v>
      </c>
      <c r="AM9" s="5218">
        <f>+$D$9</f>
        <v>95.322290299597682</v>
      </c>
      <c r="AN9" s="5218">
        <f>'COKE OVENS'!AN215</f>
        <v>92.961622005761853</v>
      </c>
      <c r="AO9" s="5217">
        <f>+$D$9</f>
        <v>95.322290299597682</v>
      </c>
      <c r="AP9" s="5217">
        <f>'COKE OVENS'!AP215</f>
        <v>93.250211676184563</v>
      </c>
      <c r="AQ9" s="5216">
        <f>+$D$9</f>
        <v>95.322290299597682</v>
      </c>
      <c r="AR9" s="5216">
        <f>'COKE OVENS'!AR215</f>
        <v>92.234744794308796</v>
      </c>
      <c r="AS9" s="5217">
        <f>+$D$9</f>
        <v>95.322290299597682</v>
      </c>
      <c r="AT9" s="5237">
        <f>'COKE OVENS'!AT215</f>
        <v>93.148055119724944</v>
      </c>
      <c r="AU9" s="5216">
        <f>+$D$9</f>
        <v>95.322290299597682</v>
      </c>
      <c r="AV9" s="5216">
        <f>'COKE OVENS'!AV215</f>
        <v>93.244082359750223</v>
      </c>
      <c r="AW9" s="5217">
        <f>+$D$9</f>
        <v>95.322290299597682</v>
      </c>
      <c r="AX9" s="5217">
        <f>'COKE OVENS'!AX215</f>
        <v>93.156050950653878</v>
      </c>
      <c r="AY9" s="5216">
        <f>+$D$9</f>
        <v>95.322290299597682</v>
      </c>
      <c r="AZ9" s="5216">
        <f>'COKE OVENS'!AZ215</f>
        <v>93.243821499637903</v>
      </c>
      <c r="BA9" s="5218">
        <f>+$D$9</f>
        <v>95.322290299597682</v>
      </c>
      <c r="BB9" s="5218">
        <f>'COKE OVENS'!BB215</f>
        <v>92.898302403108801</v>
      </c>
      <c r="BC9" s="5219">
        <f>+$D$9</f>
        <v>95.322290299597682</v>
      </c>
      <c r="BD9" s="5219">
        <f>'COKE OVENS'!BD215</f>
        <v>92.930261850652187</v>
      </c>
      <c r="BE9" s="5217">
        <f>+$D$9</f>
        <v>95.322290299597682</v>
      </c>
      <c r="BF9" s="5217">
        <f>'COKE OVENS'!BF215</f>
        <v>93.163576619349655</v>
      </c>
      <c r="BG9" s="5224">
        <v>98.275343312827886</v>
      </c>
      <c r="BH9" s="5220">
        <v>95.930697723131729</v>
      </c>
      <c r="BI9" s="5224">
        <v>93.289715727782763</v>
      </c>
      <c r="BJ9" s="5220">
        <v>92.833390112642292</v>
      </c>
      <c r="BK9" s="5224">
        <v>93.294358974358971</v>
      </c>
      <c r="BL9" s="5220">
        <v>91.262623548364061</v>
      </c>
      <c r="BM9" s="5198">
        <v>95</v>
      </c>
      <c r="BN9" s="3976">
        <v>94.439236826010074</v>
      </c>
      <c r="BO9" s="3784">
        <v>94.673168200952773</v>
      </c>
      <c r="BP9" s="3785">
        <v>94.712020160218685</v>
      </c>
      <c r="BQ9" s="3786">
        <v>90</v>
      </c>
      <c r="BR9" s="3787">
        <v>94.617132782598674</v>
      </c>
      <c r="BS9" s="3787">
        <v>93.297277602628242</v>
      </c>
    </row>
    <row r="10" spans="1:71" ht="18" x14ac:dyDescent="0.3">
      <c r="A10" s="92"/>
      <c r="B10" s="5213" t="s">
        <v>355</v>
      </c>
      <c r="C10" s="5214" t="s">
        <v>363</v>
      </c>
      <c r="D10" s="4402">
        <v>356.24</v>
      </c>
      <c r="E10" s="4402">
        <v>356</v>
      </c>
      <c r="F10" s="4430">
        <f>+('B-FCE'!F23/'Maj Production Summ'!F$17)*1000</f>
        <v>347.96952445897341</v>
      </c>
      <c r="G10" s="4402">
        <v>356</v>
      </c>
      <c r="H10" s="4430">
        <f>+('B-FCE'!H23/'Maj Production Summ'!H$17)*1000</f>
        <v>345.97012054468189</v>
      </c>
      <c r="I10" s="4403">
        <f>+('B-FCE'!I23/'Maj Production Summ'!I$17)*1000</f>
        <v>356</v>
      </c>
      <c r="J10" s="4403">
        <f>+('B-FCE'!J23/'Maj Production Summ'!J$17)*1000</f>
        <v>346.90840073756402</v>
      </c>
      <c r="K10" s="4402">
        <v>356</v>
      </c>
      <c r="L10" s="4430">
        <f>+('B-FCE'!L23/'Maj Production Summ'!L$17)*1000</f>
        <v>348.40698971547278</v>
      </c>
      <c r="M10" s="4405">
        <f>+('B-FCE'!M23/'Maj Production Summ'!M$17)*1000</f>
        <v>356</v>
      </c>
      <c r="N10" s="4405">
        <f>+('B-FCE'!N23/'Maj Production Summ'!N$17)*1000</f>
        <v>347.43556530306734</v>
      </c>
      <c r="O10" s="4402">
        <v>356</v>
      </c>
      <c r="P10" s="4430">
        <f>+('B-FCE'!P23/'Maj Production Summ'!P$17)*1000</f>
        <v>362.56961546164109</v>
      </c>
      <c r="Q10" s="4403">
        <f>+('B-FCE'!Q23/'Maj Production Summ'!Q$17)*1000</f>
        <v>356</v>
      </c>
      <c r="R10" s="4403">
        <f>+('B-FCE'!R23/'Maj Production Summ'!R$17)*1000</f>
        <v>351.44755181150322</v>
      </c>
      <c r="S10" s="4402">
        <v>356</v>
      </c>
      <c r="T10" s="4430">
        <f>+('B-FCE'!T23/'Maj Production Summ'!T$17)*1000</f>
        <v>365.93798366603016</v>
      </c>
      <c r="U10" s="4403">
        <f>+('B-FCE'!U23/'Maj Production Summ'!U$17)*1000</f>
        <v>356</v>
      </c>
      <c r="V10" s="4403">
        <f>+('B-FCE'!V23/'Maj Production Summ'!V$17)*1000</f>
        <v>354.34922586817993</v>
      </c>
      <c r="W10" s="4402">
        <v>383</v>
      </c>
      <c r="X10" s="4430">
        <f>+('B-FCE'!X23/'Maj Production Summ'!X$17)*1000</f>
        <v>390.38903144875366</v>
      </c>
      <c r="Y10" s="4405">
        <f>+('B-FCE'!Y23/'Maj Production Summ'!Y$17)*1000</f>
        <v>361.81538461538457</v>
      </c>
      <c r="Z10" s="4405">
        <f>+('B-FCE'!Z23/'Maj Production Summ'!Z$17)*1000</f>
        <v>372.53619548915242</v>
      </c>
      <c r="AA10" s="5225">
        <f>+('B-FCE'!AA23/'Maj Production Summ'!AA$17)*1000</f>
        <v>358.67326732673268</v>
      </c>
      <c r="AB10" s="5225">
        <f>+('B-FCE'!AB23/'Maj Production Summ'!AB$17)*1000</f>
        <v>360.16361712747266</v>
      </c>
      <c r="AC10" s="4402">
        <v>354</v>
      </c>
      <c r="AD10" s="4430">
        <f>+('B-FCE'!AD23/'Maj Production Summ'!AD$17)*1000</f>
        <v>407.03377172388349</v>
      </c>
      <c r="AE10" s="4403">
        <f>+('B-FCE'!AE23/'Maj Production Summ'!AE$17)*1000</f>
        <v>357.94743130227005</v>
      </c>
      <c r="AF10" s="4403">
        <f>+('B-FCE'!AF23/'Maj Production Summ'!AF$17)*1000</f>
        <v>365.72340637276733</v>
      </c>
      <c r="AG10" s="4402">
        <v>354</v>
      </c>
      <c r="AH10" s="4430">
        <f>+('B-FCE'!AH23/'Maj Production Summ'!AH$17)*1000</f>
        <v>366.29801079835937</v>
      </c>
      <c r="AI10" s="4403">
        <f>+('B-FCE'!AI23/'Maj Production Summ'!AI$17)*1000</f>
        <v>357.43094496365524</v>
      </c>
      <c r="AJ10" s="4403">
        <f>+('B-FCE'!AJ23/'Maj Production Summ'!AJ$17)*1000</f>
        <v>365.79515939360471</v>
      </c>
      <c r="AK10" s="4402">
        <v>354</v>
      </c>
      <c r="AL10" s="4430">
        <f>+('B-FCE'!AL23/'Maj Production Summ'!AL$17)*1000</f>
        <v>379.38954607431214</v>
      </c>
      <c r="AM10" s="4405">
        <f>+('B-FCE'!AM23/'Maj Production Summ'!AM$17)*1000</f>
        <v>354</v>
      </c>
      <c r="AN10" s="4405">
        <f>+('B-FCE'!AN23/'Maj Production Summ'!AN$17)*1000</f>
        <v>382.84532752383001</v>
      </c>
      <c r="AO10" s="4403">
        <f>+('B-FCE'!AO23/'Maj Production Summ'!AO$17)*1000</f>
        <v>357.02287282708147</v>
      </c>
      <c r="AP10" s="5217">
        <f>+('B-FCE'!AP23/'Maj Production Summ'!AP$17)*1000</f>
        <v>367.34488747784621</v>
      </c>
      <c r="AQ10" s="4402">
        <v>354</v>
      </c>
      <c r="AR10" s="4430">
        <f>+('B-FCE'!AR23/'Maj Production Summ'!AR$17)*1000</f>
        <v>385.39816586713408</v>
      </c>
      <c r="AS10" s="4403">
        <f>+('B-FCE'!AS23/'Maj Production Summ'!AS$17)*1000</f>
        <v>356.69714285714286</v>
      </c>
      <c r="AT10" s="5237">
        <f>+('B-FCE'!AT23/'Maj Production Summ'!AT$17)*1000</f>
        <v>369.14796312358561</v>
      </c>
      <c r="AU10" s="4402">
        <v>354</v>
      </c>
      <c r="AV10" s="4430">
        <f>+('B-FCE'!AV23/'Maj Production Summ'!AV$17)*1000</f>
        <v>429.82864200130945</v>
      </c>
      <c r="AW10" s="4403">
        <f>+('B-FCE'!AW23/'Maj Production Summ'!AW$17)*1000</f>
        <v>356.46016381236041</v>
      </c>
      <c r="AX10" s="4403">
        <f>+('B-FCE'!AX23/'Maj Production Summ'!AX$17)*1000</f>
        <v>373.65236544774308</v>
      </c>
      <c r="AY10" s="4402">
        <v>354</v>
      </c>
      <c r="AZ10" s="4430">
        <f>+('B-FCE'!AZ23/'Maj Production Summ'!AZ$17)*1000</f>
        <v>367.13628962682185</v>
      </c>
      <c r="BA10" s="4405">
        <f>+('B-FCE'!BA23/'Maj Production Summ'!BA$17)*1000</f>
        <v>354</v>
      </c>
      <c r="BB10" s="4405">
        <f>+('B-FCE'!BB23/'Maj Production Summ'!BB$17)*1000</f>
        <v>391.36137645781383</v>
      </c>
      <c r="BC10" s="5225">
        <f>+('B-FCE'!BC23/'Maj Production Summ'!BC$17)*1000</f>
        <v>354</v>
      </c>
      <c r="BD10" s="5225">
        <f>+('B-FCE'!BD23/'Maj Production Summ'!BD$17)*1000</f>
        <v>387.08691633158401</v>
      </c>
      <c r="BE10" s="4403">
        <f>+('B-FCE'!BE23/'Maj Production Summ'!BE$17)*1000</f>
        <v>356.24</v>
      </c>
      <c r="BF10" s="4403">
        <f>+('B-FCE'!BF23/'Maj Production Summ'!BF$17)*1000</f>
        <v>373.08643299420697</v>
      </c>
      <c r="BG10" s="5224">
        <v>360.04562264150945</v>
      </c>
      <c r="BH10" s="5224">
        <v>371.74357132695411</v>
      </c>
      <c r="BI10" s="5224">
        <v>380.41999999999996</v>
      </c>
      <c r="BJ10" s="5224">
        <v>390.51223594984998</v>
      </c>
      <c r="BK10" s="5224">
        <v>389.92559291044773</v>
      </c>
      <c r="BL10" s="5224">
        <v>400.04040555458937</v>
      </c>
      <c r="BM10" s="5199">
        <v>377.88521420805364</v>
      </c>
      <c r="BN10" s="3779">
        <v>396.71458967036409</v>
      </c>
      <c r="BO10" s="2480">
        <v>373.8786504081541</v>
      </c>
      <c r="BP10" s="2481">
        <v>423.66105089932233</v>
      </c>
      <c r="BQ10" s="1179">
        <v>370.47898148148147</v>
      </c>
      <c r="BR10" s="3779">
        <v>381.58770716890342</v>
      </c>
      <c r="BS10" s="3779">
        <v>388.39310872643784</v>
      </c>
    </row>
    <row r="11" spans="1:71" ht="18" x14ac:dyDescent="0.3">
      <c r="A11" s="92"/>
      <c r="B11" s="5213" t="s">
        <v>356</v>
      </c>
      <c r="C11" s="5214" t="s">
        <v>363</v>
      </c>
      <c r="D11" s="4402">
        <v>28.952542372881357</v>
      </c>
      <c r="E11" s="4402">
        <v>29</v>
      </c>
      <c r="F11" s="4430">
        <f>+('B-FCE'!F24/'Maj Production Summ'!F$17)*1000</f>
        <v>28.720758728777291</v>
      </c>
      <c r="G11" s="4402">
        <v>29</v>
      </c>
      <c r="H11" s="4430">
        <f>+('B-FCE'!H24/'Maj Production Summ'!H$17)*1000</f>
        <v>29.24639142160763</v>
      </c>
      <c r="I11" s="4403">
        <f>+('B-FCE'!I24/'Maj Production Summ'!I$17)*1000</f>
        <v>29</v>
      </c>
      <c r="J11" s="4403">
        <f>+('B-FCE'!J24/'Maj Production Summ'!J$17)*1000</f>
        <v>28.999722531500559</v>
      </c>
      <c r="K11" s="4402">
        <v>29</v>
      </c>
      <c r="L11" s="4430">
        <f>+('B-FCE'!L24/'Maj Production Summ'!L$17)*1000</f>
        <v>31.876010889904354</v>
      </c>
      <c r="M11" s="4405">
        <f>+('B-FCE'!M24/'Maj Production Summ'!M$17)*1000</f>
        <v>29</v>
      </c>
      <c r="N11" s="4405">
        <f>+('B-FCE'!N24/'Maj Production Summ'!N$17)*1000</f>
        <v>30.01152585120477</v>
      </c>
      <c r="O11" s="4402">
        <v>29</v>
      </c>
      <c r="P11" s="4430">
        <f>+('B-FCE'!P24/'Maj Production Summ'!P$17)*1000</f>
        <v>40.769372829277593</v>
      </c>
      <c r="Q11" s="4403">
        <f>+('B-FCE'!Q24/'Maj Production Summ'!Q$17)*1000</f>
        <v>29</v>
      </c>
      <c r="R11" s="4403">
        <f>+('B-FCE'!R24/'Maj Production Summ'!R$17)*1000</f>
        <v>32.863395409162749</v>
      </c>
      <c r="S11" s="4402">
        <v>29</v>
      </c>
      <c r="T11" s="4430">
        <f>+('B-FCE'!T24/'Maj Production Summ'!T$17)*1000</f>
        <v>37.253344065234799</v>
      </c>
      <c r="U11" s="4403">
        <f>+('B-FCE'!U24/'Maj Production Summ'!U$17)*1000</f>
        <v>29</v>
      </c>
      <c r="V11" s="4403">
        <f>+('B-FCE'!V24/'Maj Production Summ'!V$17)*1000</f>
        <v>33.7424720476887</v>
      </c>
      <c r="W11" s="4402">
        <v>28</v>
      </c>
      <c r="X11" s="4430">
        <f>+('B-FCE'!X24/'Maj Production Summ'!X$17)*1000</f>
        <v>36.733820007940906</v>
      </c>
      <c r="Y11" s="4405">
        <f>+('B-FCE'!Y24/'Maj Production Summ'!Y$17)*1000</f>
        <v>28.784615384615385</v>
      </c>
      <c r="Z11" s="4405">
        <f>+('B-FCE'!Z24/'Maj Production Summ'!Z$17)*1000</f>
        <v>38.320943992264716</v>
      </c>
      <c r="AA11" s="5225">
        <f>+('B-FCE'!AA24/'Maj Production Summ'!AA$17)*1000</f>
        <v>28.900990099009903</v>
      </c>
      <c r="AB11" s="5225">
        <f>+('B-FCE'!AB24/'Maj Production Summ'!AB$17)*1000</f>
        <v>34.225073636498855</v>
      </c>
      <c r="AC11" s="4402">
        <v>29</v>
      </c>
      <c r="AD11" s="4430">
        <f>+('B-FCE'!AD24/'Maj Production Summ'!AD$17)*1000</f>
        <v>30.284127923390631</v>
      </c>
      <c r="AE11" s="4403">
        <f>+('B-FCE'!AE24/'Maj Production Summ'!AE$17)*1000</f>
        <v>28.916367980884107</v>
      </c>
      <c r="AF11" s="4403">
        <f>+('B-FCE'!AF24/'Maj Production Summ'!AF$17)*1000</f>
        <v>33.757594325182332</v>
      </c>
      <c r="AG11" s="4402">
        <v>29</v>
      </c>
      <c r="AH11" s="4430">
        <f>+('B-FCE'!AH24/'Maj Production Summ'!AH$17)*1000</f>
        <v>37.743468925840951</v>
      </c>
      <c r="AI11" s="4403">
        <f>+('B-FCE'!AI24/'Maj Production Summ'!AI$17)*1000</f>
        <v>28.927310488058151</v>
      </c>
      <c r="AJ11" s="4403">
        <f>+('B-FCE'!AJ24/'Maj Production Summ'!AJ$17)*1000</f>
        <v>34.255325513001502</v>
      </c>
      <c r="AK11" s="4402">
        <v>29</v>
      </c>
      <c r="AL11" s="4430">
        <f>+('B-FCE'!AL24/'Maj Production Summ'!AL$17)*1000</f>
        <v>35.629725195876944</v>
      </c>
      <c r="AM11" s="4405">
        <f>+('B-FCE'!AM24/'Maj Production Summ'!AM$17)*1000</f>
        <v>29</v>
      </c>
      <c r="AN11" s="4405">
        <f>+('B-FCE'!AN24/'Maj Production Summ'!AN$17)*1000</f>
        <v>34.815484048078119</v>
      </c>
      <c r="AO11" s="4403">
        <f>+('B-FCE'!AO24/'Maj Production Summ'!AO$17)*1000</f>
        <v>28.935956084172005</v>
      </c>
      <c r="AP11" s="5217">
        <f>+('B-FCE'!AP24/'Maj Production Summ'!AP$17)*1000</f>
        <v>34.412003841899363</v>
      </c>
      <c r="AQ11" s="4402">
        <v>29</v>
      </c>
      <c r="AR11" s="4430">
        <f>+('B-FCE'!AR24/'Maj Production Summ'!AR$17)*1000</f>
        <v>31.827294285431901</v>
      </c>
      <c r="AS11" s="4403">
        <f>+('B-FCE'!AS24/'Maj Production Summ'!AS$17)*1000</f>
        <v>28.942857142857143</v>
      </c>
      <c r="AT11" s="5237">
        <f>+('B-FCE'!AT24/'Maj Production Summ'!AT$17)*1000</f>
        <v>34.153855335457358</v>
      </c>
      <c r="AU11" s="4402">
        <v>29</v>
      </c>
      <c r="AV11" s="4430">
        <f>+('B-FCE'!AV24/'Maj Production Summ'!AV$17)*1000</f>
        <v>29.819621590301526</v>
      </c>
      <c r="AW11" s="4403">
        <f>+('B-FCE'!AW24/'Maj Production Summ'!AW$17)*1000</f>
        <v>28.947877885331348</v>
      </c>
      <c r="AX11" s="4403">
        <f>+('B-FCE'!AX24/'Maj Production Summ'!AX$17)*1000</f>
        <v>33.832119769603494</v>
      </c>
      <c r="AY11" s="4402">
        <v>29</v>
      </c>
      <c r="AZ11" s="4430">
        <f>+('B-FCE'!AZ24/'Maj Production Summ'!AZ$17)*1000</f>
        <v>32.889139192692141</v>
      </c>
      <c r="BA11" s="4405">
        <f>+('B-FCE'!BA24/'Maj Production Summ'!BA$17)*1000</f>
        <v>29</v>
      </c>
      <c r="BB11" s="4405">
        <f>+('B-FCE'!BB24/'Maj Production Summ'!BB$17)*1000</f>
        <v>31.643808818828944</v>
      </c>
      <c r="BC11" s="5225">
        <f>+('B-FCE'!BC24/'Maj Production Summ'!BC$17)*1000</f>
        <v>29</v>
      </c>
      <c r="BD11" s="5225">
        <f>+('B-FCE'!BD24/'Maj Production Summ'!BD$17)*1000</f>
        <v>33.235767649252715</v>
      </c>
      <c r="BE11" s="4403">
        <f>+('B-FCE'!BE24/'Maj Production Summ'!BE$17)*1000</f>
        <v>28.952542372881357</v>
      </c>
      <c r="BF11" s="4403">
        <f>+('B-FCE'!BF24/'Maj Production Summ'!BF$17)*1000</f>
        <v>33.750220275767816</v>
      </c>
      <c r="BG11" s="5224">
        <v>38.916226415094336</v>
      </c>
      <c r="BH11" s="5224">
        <v>40.499375813748237</v>
      </c>
      <c r="BI11" s="5224">
        <v>32.20428571428571</v>
      </c>
      <c r="BJ11" s="5224">
        <v>47.260948860569819</v>
      </c>
      <c r="BK11" s="5224">
        <v>30</v>
      </c>
      <c r="BL11" s="5224">
        <v>36.610035455154154</v>
      </c>
      <c r="BM11" s="5197">
        <v>23.75142504193121</v>
      </c>
      <c r="BN11" s="3779">
        <v>37.043769455668603</v>
      </c>
      <c r="BO11" s="2476">
        <v>34.857516027392144</v>
      </c>
      <c r="BP11" s="2481">
        <v>41.208946109466851</v>
      </c>
      <c r="BQ11" s="1084">
        <v>25</v>
      </c>
      <c r="BR11" s="3779">
        <v>44.993877243288374</v>
      </c>
      <c r="BS11" s="3779">
        <v>29.180384193772984</v>
      </c>
    </row>
    <row r="12" spans="1:71" ht="18.600000000000001" thickBot="1" x14ac:dyDescent="0.35">
      <c r="A12" s="92"/>
      <c r="B12" s="5213" t="s">
        <v>357</v>
      </c>
      <c r="C12" s="5214" t="s">
        <v>363</v>
      </c>
      <c r="D12" s="4402">
        <v>149.6650847457627</v>
      </c>
      <c r="E12" s="4402">
        <v>150</v>
      </c>
      <c r="F12" s="4430">
        <f>+('B-FCE'!F25/'Maj Production Summ'!F$17)*1000</f>
        <v>150.9002222658558</v>
      </c>
      <c r="G12" s="4402">
        <v>150</v>
      </c>
      <c r="H12" s="4430">
        <f>+('B-FCE'!H25/'Maj Production Summ'!H$17)*1000</f>
        <v>155.9320942443795</v>
      </c>
      <c r="I12" s="4403">
        <f>+('B-FCE'!I25/'Maj Production Summ'!I$17)*1000</f>
        <v>150</v>
      </c>
      <c r="J12" s="4403">
        <f>+('B-FCE'!J25/'Maj Production Summ'!J$17)*1000</f>
        <v>153.57073755360776</v>
      </c>
      <c r="K12" s="4402">
        <v>150</v>
      </c>
      <c r="L12" s="4430">
        <f>+('B-FCE'!L25/'Maj Production Summ'!L$17)*1000</f>
        <v>155.24561139837525</v>
      </c>
      <c r="M12" s="4405">
        <f>+('B-FCE'!M25/'Maj Production Summ'!M$17)*1000</f>
        <v>150</v>
      </c>
      <c r="N12" s="4405">
        <f>+('B-FCE'!N25/'Maj Production Summ'!N$17)*1000</f>
        <v>154.15991454320627</v>
      </c>
      <c r="O12" s="4402">
        <v>150</v>
      </c>
      <c r="P12" s="4430">
        <f>+('B-FCE'!P25/'Maj Production Summ'!P$17)*1000</f>
        <v>142.77673720259727</v>
      </c>
      <c r="Q12" s="4403">
        <f>+('B-FCE'!Q25/'Maj Production Summ'!Q$17)*1000</f>
        <v>150</v>
      </c>
      <c r="R12" s="4403">
        <f>+('B-FCE'!R25/'Maj Production Summ'!R$17)*1000</f>
        <v>151.14227197990448</v>
      </c>
      <c r="S12" s="4402">
        <v>150</v>
      </c>
      <c r="T12" s="4430">
        <f>+('B-FCE'!T25/'Maj Production Summ'!T$17)*1000</f>
        <v>141.84996849132682</v>
      </c>
      <c r="U12" s="4403">
        <f>+('B-FCE'!U25/'Maj Production Summ'!U$17)*1000</f>
        <v>150</v>
      </c>
      <c r="V12" s="4403">
        <f>+('B-FCE'!V25/'Maj Production Summ'!V$17)*1000</f>
        <v>149.28151060092952</v>
      </c>
      <c r="W12" s="4402">
        <v>121</v>
      </c>
      <c r="X12" s="4430">
        <f>+('B-FCE'!X25/'Maj Production Summ'!X$17)*1000</f>
        <v>128.55199052682025</v>
      </c>
      <c r="Y12" s="4405">
        <f>+('B-FCE'!Y25/'Maj Production Summ'!Y$17)*1000</f>
        <v>143.75384615384615</v>
      </c>
      <c r="Z12" s="4405">
        <f>+('B-FCE'!Z25/'Maj Production Summ'!Z$17)*1000</f>
        <v>137.94406463264903</v>
      </c>
      <c r="AA12" s="5225">
        <f>+('B-FCE'!AA25/'Maj Production Summ'!AA$17)*1000</f>
        <v>147.12871287128712</v>
      </c>
      <c r="AB12" s="5225">
        <f>+('B-FCE'!AB25/'Maj Production Summ'!AB$17)*1000</f>
        <v>145.93716569155515</v>
      </c>
      <c r="AC12" s="4402">
        <v>152</v>
      </c>
      <c r="AD12" s="4430">
        <f>+('B-FCE'!AD25/'Maj Production Summ'!AD$17)*1000</f>
        <v>125.46642057802912</v>
      </c>
      <c r="AE12" s="4403">
        <f>+('B-FCE'!AE25/'Maj Production Summ'!AE$17)*1000</f>
        <v>147.88530465949819</v>
      </c>
      <c r="AF12" s="4403">
        <f>+('B-FCE'!AF25/'Maj Production Summ'!AF$17)*1000</f>
        <v>143.50890341025118</v>
      </c>
      <c r="AG12" s="4402">
        <v>152</v>
      </c>
      <c r="AH12" s="4430">
        <f>+('B-FCE'!AH25/'Maj Production Summ'!AH$17)*1000</f>
        <v>136.65060811425192</v>
      </c>
      <c r="AI12" s="4403">
        <f>+('B-FCE'!AI25/'Maj Production Summ'!AI$17)*1000</f>
        <v>148.42367601246107</v>
      </c>
      <c r="AJ12" s="4403">
        <f>+('B-FCE'!AJ25/'Maj Production Summ'!AJ$17)*1000</f>
        <v>142.65248222140391</v>
      </c>
      <c r="AK12" s="4402">
        <v>152</v>
      </c>
      <c r="AL12" s="4430">
        <f>+('B-FCE'!AL25/'Maj Production Summ'!AL$17)*1000</f>
        <v>130.86443009846519</v>
      </c>
      <c r="AM12" s="4405">
        <f>+('B-FCE'!AM25/'Maj Production Summ'!AM$17)*1000</f>
        <v>152</v>
      </c>
      <c r="AN12" s="4405">
        <f>+('B-FCE'!AN25/'Maj Production Summ'!AN$17)*1000</f>
        <v>131.31828243123769</v>
      </c>
      <c r="AO12" s="4403">
        <f>+('B-FCE'!AO25/'Maj Production Summ'!AO$17)*1000</f>
        <v>148.8490393412626</v>
      </c>
      <c r="AP12" s="5217">
        <f>+('B-FCE'!AP25/'Maj Production Summ'!AP$17)*1000</f>
        <v>141.30867202514506</v>
      </c>
      <c r="AQ12" s="4402">
        <v>152</v>
      </c>
      <c r="AR12" s="4430">
        <f>+('B-FCE'!AR25/'Maj Production Summ'!AR$17)*1000</f>
        <v>129.82365728764466</v>
      </c>
      <c r="AS12" s="4403">
        <f>+('B-FCE'!AS25/'Maj Production Summ'!AS$17)*1000</f>
        <v>149.18857142857141</v>
      </c>
      <c r="AT12" s="5237">
        <f>+('B-FCE'!AT25/'Maj Production Summ'!AT$17)*1000</f>
        <v>140.16160333669936</v>
      </c>
      <c r="AU12" s="4402">
        <v>152</v>
      </c>
      <c r="AV12" s="4430">
        <f>+('B-FCE'!AV25/'Maj Production Summ'!AV$17)*1000</f>
        <v>89.192169107715984</v>
      </c>
      <c r="AW12" s="4403">
        <f>+('B-FCE'!AW25/'Maj Production Summ'!AW$17)*1000</f>
        <v>149.4355919583023</v>
      </c>
      <c r="AX12" s="4403">
        <f>+('B-FCE'!AX25/'Maj Production Summ'!AX$17)*1000</f>
        <v>136.37807879069589</v>
      </c>
      <c r="AY12" s="4402">
        <v>152</v>
      </c>
      <c r="AZ12" s="4430">
        <f>+('B-FCE'!AZ25/'Maj Production Summ'!AZ$17)*1000</f>
        <v>135.4212517722317</v>
      </c>
      <c r="BA12" s="4405">
        <f>+('B-FCE'!BA25/'Maj Production Summ'!BA$17)*1000</f>
        <v>152</v>
      </c>
      <c r="BB12" s="4405">
        <f>+('B-FCE'!BB25/'Maj Production Summ'!BB$17)*1000</f>
        <v>120.33673024487004</v>
      </c>
      <c r="BC12" s="5225">
        <f>+('B-FCE'!BC25/'Maj Production Summ'!BC$17)*1000</f>
        <v>152</v>
      </c>
      <c r="BD12" s="5225">
        <f>+('B-FCE'!BD25/'Maj Production Summ'!BD$17)*1000</f>
        <v>125.84870032731315</v>
      </c>
      <c r="BE12" s="4403">
        <f>+('B-FCE'!BE25/'Maj Production Summ'!BE$17)*1000</f>
        <v>149.6650847457627</v>
      </c>
      <c r="BF12" s="4403">
        <f>+('B-FCE'!BF25/'Maj Production Summ'!BF$17)*1000</f>
        <v>136.29497670946617</v>
      </c>
      <c r="BG12" s="5224">
        <v>140.90981132075473</v>
      </c>
      <c r="BH12" s="5224">
        <v>134.06433821400003</v>
      </c>
      <c r="BI12" s="5224">
        <v>139.64750000000001</v>
      </c>
      <c r="BJ12" s="5224">
        <v>125.94309352319971</v>
      </c>
      <c r="BK12" s="5224">
        <v>129.6457817164179</v>
      </c>
      <c r="BL12" s="5224">
        <v>122.58808331992087</v>
      </c>
      <c r="BM12" s="5200">
        <v>133.64291547787624</v>
      </c>
      <c r="BN12" s="3778">
        <v>118.07599367903838</v>
      </c>
      <c r="BO12" s="2482">
        <v>128.5773179329438</v>
      </c>
      <c r="BP12" s="2483">
        <v>89.175352805191892</v>
      </c>
      <c r="BQ12" s="1652">
        <v>139.85351851851851</v>
      </c>
      <c r="BR12" s="3778">
        <v>118.98027062075417</v>
      </c>
      <c r="BS12" s="3778">
        <v>123.03826485628637</v>
      </c>
    </row>
    <row r="13" spans="1:71" ht="18.600000000000001" thickBot="1" x14ac:dyDescent="0.35">
      <c r="A13" s="92"/>
      <c r="B13" s="5213" t="s">
        <v>239</v>
      </c>
      <c r="C13" s="5214" t="s">
        <v>363</v>
      </c>
      <c r="D13" s="4402">
        <f t="shared" ref="D13:R13" si="0">SUM(D10:D12)</f>
        <v>534.85762711864402</v>
      </c>
      <c r="E13" s="4402">
        <f t="shared" si="0"/>
        <v>535</v>
      </c>
      <c r="F13" s="4402">
        <f t="shared" si="0"/>
        <v>527.59050545360651</v>
      </c>
      <c r="G13" s="4402">
        <f t="shared" ref="G13:H13" si="1">SUM(G10:G12)</f>
        <v>535</v>
      </c>
      <c r="H13" s="4402">
        <f t="shared" si="1"/>
        <v>531.14860621066907</v>
      </c>
      <c r="I13" s="4403">
        <f t="shared" si="0"/>
        <v>535</v>
      </c>
      <c r="J13" s="4403">
        <f t="shared" si="0"/>
        <v>529.47886082267235</v>
      </c>
      <c r="K13" s="4402">
        <f t="shared" ref="K13:L13" si="2">SUM(K10:K12)</f>
        <v>535</v>
      </c>
      <c r="L13" s="4402">
        <f t="shared" si="2"/>
        <v>535.52861200375241</v>
      </c>
      <c r="M13" s="4405">
        <f t="shared" si="0"/>
        <v>535</v>
      </c>
      <c r="N13" s="4405">
        <f t="shared" si="0"/>
        <v>531.60700569747837</v>
      </c>
      <c r="O13" s="4402">
        <f t="shared" ref="O13:P13" si="3">SUM(O10:O12)</f>
        <v>535</v>
      </c>
      <c r="P13" s="4402">
        <f t="shared" si="3"/>
        <v>546.11572549351592</v>
      </c>
      <c r="Q13" s="4403">
        <f t="shared" si="0"/>
        <v>535</v>
      </c>
      <c r="R13" s="4403">
        <f t="shared" si="0"/>
        <v>535.4532192005704</v>
      </c>
      <c r="S13" s="4402">
        <f t="shared" ref="S13:T13" si="4">SUM(S10:S12)</f>
        <v>535</v>
      </c>
      <c r="T13" s="4402">
        <f t="shared" si="4"/>
        <v>545.04129622259177</v>
      </c>
      <c r="U13" s="4403">
        <f t="shared" ref="U13:X13" si="5">SUM(U10:U12)</f>
        <v>535</v>
      </c>
      <c r="V13" s="4403">
        <f t="shared" si="5"/>
        <v>537.37320851679817</v>
      </c>
      <c r="W13" s="4402">
        <f t="shared" si="5"/>
        <v>532</v>
      </c>
      <c r="X13" s="4402">
        <f t="shared" si="5"/>
        <v>555.67484198351485</v>
      </c>
      <c r="Y13" s="4405">
        <f t="shared" ref="Y13:Z13" si="6">SUM(Y10:Y12)</f>
        <v>534.35384615384612</v>
      </c>
      <c r="Z13" s="4405">
        <f t="shared" si="6"/>
        <v>548.80120411406619</v>
      </c>
      <c r="AA13" s="5225">
        <f t="shared" ref="AA13:AF13" si="7">SUM(AA10:AA12)</f>
        <v>534.70297029702965</v>
      </c>
      <c r="AB13" s="5225">
        <f t="shared" si="7"/>
        <v>540.32585645552672</v>
      </c>
      <c r="AC13" s="4402">
        <f t="shared" si="7"/>
        <v>535</v>
      </c>
      <c r="AD13" s="4402">
        <f t="shared" si="7"/>
        <v>562.7843202253033</v>
      </c>
      <c r="AE13" s="4403">
        <f t="shared" si="7"/>
        <v>534.74910394265237</v>
      </c>
      <c r="AF13" s="4403">
        <f t="shared" si="7"/>
        <v>542.98990410820079</v>
      </c>
      <c r="AG13" s="4402">
        <f t="shared" ref="AG13:AH13" si="8">SUM(AG10:AG12)</f>
        <v>535</v>
      </c>
      <c r="AH13" s="4402">
        <f t="shared" si="8"/>
        <v>540.69208783845227</v>
      </c>
      <c r="AI13" s="4403">
        <f t="shared" ref="AI13:AL13" si="9">SUM(AI10:AI12)</f>
        <v>534.78193146417448</v>
      </c>
      <c r="AJ13" s="4403">
        <f t="shared" si="9"/>
        <v>542.70296712801007</v>
      </c>
      <c r="AK13" s="4402">
        <f t="shared" si="9"/>
        <v>535</v>
      </c>
      <c r="AL13" s="4402">
        <f t="shared" si="9"/>
        <v>545.88370136865422</v>
      </c>
      <c r="AM13" s="4405">
        <f t="shared" ref="AM13:AT13" si="10">SUM(AM10:AM12)</f>
        <v>535</v>
      </c>
      <c r="AN13" s="4405">
        <f t="shared" si="10"/>
        <v>548.97909400314586</v>
      </c>
      <c r="AO13" s="4403">
        <f t="shared" si="10"/>
        <v>534.80786825251607</v>
      </c>
      <c r="AP13" s="5217">
        <f t="shared" si="10"/>
        <v>543.06556334489062</v>
      </c>
      <c r="AQ13" s="4402">
        <f t="shared" si="10"/>
        <v>535</v>
      </c>
      <c r="AR13" s="4402">
        <f t="shared" si="10"/>
        <v>547.04911744021069</v>
      </c>
      <c r="AS13" s="4403">
        <f t="shared" si="10"/>
        <v>534.82857142857142</v>
      </c>
      <c r="AT13" s="5217">
        <f t="shared" si="10"/>
        <v>543.46342179574231</v>
      </c>
      <c r="AU13" s="4402">
        <f t="shared" ref="AU13:AV13" si="11">SUM(AU10:AU12)</f>
        <v>535</v>
      </c>
      <c r="AV13" s="4402">
        <f t="shared" si="11"/>
        <v>548.84043269932704</v>
      </c>
      <c r="AW13" s="4403">
        <f t="shared" ref="AW13:AZ13" si="12">SUM(AW10:AW12)</f>
        <v>534.84363365599404</v>
      </c>
      <c r="AX13" s="4403">
        <f t="shared" si="12"/>
        <v>543.86256400804245</v>
      </c>
      <c r="AY13" s="4402">
        <f t="shared" si="12"/>
        <v>535</v>
      </c>
      <c r="AZ13" s="4402">
        <f t="shared" si="12"/>
        <v>535.44668059174569</v>
      </c>
      <c r="BA13" s="4405">
        <f t="shared" ref="BA13:BD13" si="13">SUM(BA10:BA12)</f>
        <v>535</v>
      </c>
      <c r="BB13" s="4405">
        <f t="shared" si="13"/>
        <v>543.34191552151287</v>
      </c>
      <c r="BC13" s="5225">
        <f t="shared" si="13"/>
        <v>535</v>
      </c>
      <c r="BD13" s="5225">
        <f t="shared" si="13"/>
        <v>546.17138430814987</v>
      </c>
      <c r="BE13" s="4403">
        <f t="shared" ref="BE13:BF13" si="14">SUM(BE10:BE12)</f>
        <v>534.85762711864402</v>
      </c>
      <c r="BF13" s="4403">
        <f t="shared" si="14"/>
        <v>543.13162997944096</v>
      </c>
      <c r="BG13" s="5224">
        <v>539.87166037735847</v>
      </c>
      <c r="BH13" s="5224">
        <v>546.30728535470234</v>
      </c>
      <c r="BI13" s="5224">
        <v>552.27178571428567</v>
      </c>
      <c r="BJ13" s="5224">
        <v>563.71627833361958</v>
      </c>
      <c r="BK13" s="5224">
        <v>549.57137462686569</v>
      </c>
      <c r="BL13" s="5224">
        <v>559.23852432966441</v>
      </c>
      <c r="BM13" s="5198">
        <v>535.27955472786107</v>
      </c>
      <c r="BN13" s="3977">
        <v>551.83435280507103</v>
      </c>
      <c r="BO13" s="3784">
        <v>537.31348436848998</v>
      </c>
      <c r="BP13" s="3788">
        <v>554.04534981398115</v>
      </c>
      <c r="BQ13" s="3786">
        <v>535.33249999999998</v>
      </c>
      <c r="BR13" s="3789">
        <v>545.56185503294591</v>
      </c>
      <c r="BS13" s="3789">
        <v>540.61175777649714</v>
      </c>
    </row>
    <row r="14" spans="1:71" ht="18.600000000000001" thickBot="1" x14ac:dyDescent="0.35">
      <c r="A14" s="92"/>
      <c r="B14" s="5213" t="s">
        <v>1797</v>
      </c>
      <c r="C14" s="5214" t="s">
        <v>370</v>
      </c>
      <c r="D14" s="5226">
        <v>2.4361020820953088</v>
      </c>
      <c r="E14" s="5226">
        <v>2.4471008652249489</v>
      </c>
      <c r="F14" s="5226">
        <v>2.3879780343565189</v>
      </c>
      <c r="G14" s="5226">
        <v>2.4406270534121841</v>
      </c>
      <c r="H14" s="5226">
        <v>2.4173399790859662</v>
      </c>
      <c r="I14" s="5227">
        <f>+('Maj Production Summ'!I17/3551)/('B-FCE'!E50+'B-FCE'!G50)</f>
        <v>2.4438090965065942</v>
      </c>
      <c r="J14" s="5227">
        <f>+('Maj Production Summ'!J17/3551)/('B-FCE'!F50+'B-FCE'!H50)</f>
        <v>2.40347160666763</v>
      </c>
      <c r="K14" s="5226">
        <v>2.4471008652249489</v>
      </c>
      <c r="L14" s="5226">
        <v>2.4868497260238507</v>
      </c>
      <c r="M14" s="5228">
        <f>+('Maj Production Summ'!M17/3551)/('B-FCE'!E50+'B-FCE'!G50+'B-FCE'!K50)</f>
        <v>2.4448938839251428</v>
      </c>
      <c r="N14" s="5228">
        <f>+('Maj Production Summ'!N17/3551)/('B-FCE'!F50+'B-FCE'!H50+'B-FCE'!L50)</f>
        <v>2.4321568011919901</v>
      </c>
      <c r="O14" s="5226">
        <v>2.3936919177696425</v>
      </c>
      <c r="P14" s="5226">
        <v>2.4358635913554569</v>
      </c>
      <c r="Q14" s="5227">
        <f>+('Maj Production Summ'!Q17/3551)/('B-FCE'!M50+'B-FCE'!O50)</f>
        <v>2.4318764349025579</v>
      </c>
      <c r="R14" s="5227">
        <f>+('Maj Production Summ'!R17/3551)/('B-FCE'!N50+'B-FCE'!P50)</f>
        <v>2.4331383595790892</v>
      </c>
      <c r="S14" s="5226">
        <v>2.3936919177696425</v>
      </c>
      <c r="T14" s="5226">
        <v>2.3754677151130301</v>
      </c>
      <c r="U14" s="5227">
        <f>+('Maj Production Summ'!U17/3551)/('B-FCE'!Q50+'B-FCE'!S50)</f>
        <v>2.4241363300783183</v>
      </c>
      <c r="V14" s="5227">
        <f>+('Maj Production Summ'!V17/3551)/('B-FCE'!R50+'B-FCE'!T50)</f>
        <v>2.4213668121745622</v>
      </c>
      <c r="W14" s="5226">
        <v>2.3168490916157101</v>
      </c>
      <c r="X14" s="5226">
        <v>2.3089599228862205</v>
      </c>
      <c r="Y14" s="5228">
        <f>+('Maj Production Summ'!Y17/3551)/('B-FCE'!P50+'B-FCE'!T50+'B-FCE'!X50)</f>
        <v>2.018205442123318</v>
      </c>
      <c r="Z14" s="5228">
        <f>+('Maj Production Summ'!Z17/3551)/('B-FCE'!P50+'B-FCE'!T50+'B-FCE'!X50)</f>
        <v>2.3743513256456312</v>
      </c>
      <c r="AA14" s="5229">
        <f>+('Maj Production Summ'!AA17/3551)/('B-FCE'!M50+'B-FCE'!Y50)</f>
        <v>2.4130726567331631</v>
      </c>
      <c r="AB14" s="5229">
        <f>+('Maj Production Summ'!AB17/3551)/('B-FCE'!N50+'B-FCE'!Z50)</f>
        <v>2.4024972748460312</v>
      </c>
      <c r="AC14" s="5226">
        <v>2.4406270534121841</v>
      </c>
      <c r="AD14" s="5226">
        <v>2.1223595645794298</v>
      </c>
      <c r="AE14" s="5227">
        <f>+('Maj Production Summ'!AE17/3551)/('B-FCE'!AA50+'B-FCE'!AC50)</f>
        <v>2.4173114280307191</v>
      </c>
      <c r="AF14" s="5227">
        <f>+('Maj Production Summ'!AF17/3551)/('B-FCE'!AB50+'B-FCE'!AD50)</f>
        <v>2.3654607440213864</v>
      </c>
      <c r="AG14" s="5226">
        <v>2.4471008652249489</v>
      </c>
      <c r="AH14" s="5226">
        <v>2.3620869272753087</v>
      </c>
      <c r="AI14" s="5227">
        <f>+('Maj Production Summ'!AI17/3551)/('B-FCE'!AE50+'B-FCE'!AG50)</f>
        <v>2.4211678058490045</v>
      </c>
      <c r="AJ14" s="5227">
        <f>+('Maj Production Summ'!AJ17/3551)/('B-FCE'!AF50+'B-FCE'!AH50)</f>
        <v>2.3650389162892789</v>
      </c>
      <c r="AK14" s="5226">
        <v>2.4406270534121841</v>
      </c>
      <c r="AL14" s="5226">
        <v>2.307723312740801</v>
      </c>
      <c r="AM14" s="5228">
        <f>+('Maj Production Summ'!AM17/3551)/('B-FCE'!AC50+'B-FCE'!AG50+'B-FCE'!AK50)</f>
        <v>2.4427364977107255</v>
      </c>
      <c r="AN14" s="5228">
        <f>+('Maj Production Summ'!AN17/3551)/('B-FCE'!AD50+'B-FCE'!AH50+'B-FCE'!AL50)</f>
        <v>2.2684138231452518</v>
      </c>
      <c r="AO14" s="5227">
        <f>+('Maj Production Summ'!AO17/3551)/('B-FCE'!AK50+'B-FCE'!AI50)</f>
        <v>2.4234659895590478</v>
      </c>
      <c r="AP14" s="5217">
        <f>+('Maj Production Summ'!AP17/3551)/('B-FCE'!AL50+'B-FCE'!AJ50)</f>
        <v>2.3583617002108994</v>
      </c>
      <c r="AQ14" s="5226">
        <v>2.478175161926218</v>
      </c>
      <c r="AR14" s="5226">
        <v>2.2672002493376202</v>
      </c>
      <c r="AS14" s="5227">
        <f>+('Maj Production Summ'!AS17/3551)/('B-FCE'!AO50+'B-FCE'!AQ50)</f>
        <v>2.4292447842680946</v>
      </c>
      <c r="AT14" s="5227">
        <f>+('Maj Production Summ'!AT17/3551)/('B-FCE'!AP50+'B-FCE'!AR50)</f>
        <v>2.3489287171729178</v>
      </c>
      <c r="AU14" s="5226">
        <v>2.4614871136977587</v>
      </c>
      <c r="AV14" s="5226">
        <v>2.0074321710463376</v>
      </c>
      <c r="AW14" s="5227">
        <f>+('Maj Production Summ'!AW17/3551)/('B-FCE'!AS50+'B-FCE'!AU50)</f>
        <v>2.4320438057542373</v>
      </c>
      <c r="AX14" s="5227">
        <f>+('Maj Production Summ'!AX17/3551)/('B-FCE'!AT50+'B-FCE'!AV50)</f>
        <v>2.3196365088422413</v>
      </c>
      <c r="AY14" s="5226">
        <v>2.478175161926218</v>
      </c>
      <c r="AZ14" s="5226">
        <v>2.3665177008969525</v>
      </c>
      <c r="BA14" s="5228">
        <f>+('Maj Production Summ'!BA17/3551)/('B-FCE'!AQ50+'B-FCE'!AU50+'B-FCE'!AY50)</f>
        <v>2.4729961124760065</v>
      </c>
      <c r="BB14" s="5228">
        <f>+('Maj Production Summ'!BB17/3551)/('B-FCE'!AR50+'B-FCE'!AV50+'B-FCE'!AZ50)</f>
        <v>2.2196034453298354</v>
      </c>
      <c r="BC14" s="5229">
        <f>+('Maj Production Summ'!BC17/3551)/('B-FCE'!AM50+'B-FCE'!BA50)</f>
        <v>2.4576943754640177</v>
      </c>
      <c r="BD14" s="5229">
        <f>+('Maj Production Summ'!BD17/3551)/('B-FCE'!AN50+'B-FCE'!BB50)</f>
        <v>2.2438374054957788</v>
      </c>
      <c r="BE14" s="5227">
        <f>+('Maj Production Summ'!BE17/3551)/('B-FCE'!AW50+'B-FCE'!AY50)</f>
        <v>2.4361020820953088</v>
      </c>
      <c r="BF14" s="5227">
        <f>+('Maj Production Summ'!BF17/3551)/('B-FCE'!AX50+'B-FCE'!AZ50)</f>
        <v>2.3236344386382966</v>
      </c>
      <c r="BG14" s="5231">
        <v>2.3140113386555594</v>
      </c>
      <c r="BH14" s="5231">
        <v>2.2734567413998459</v>
      </c>
      <c r="BI14" s="5231">
        <v>2.2723639158348869</v>
      </c>
      <c r="BJ14" s="5231">
        <v>2.1810141580001829</v>
      </c>
      <c r="BK14" s="5231">
        <v>2.2132462789796934</v>
      </c>
      <c r="BL14" s="5231">
        <v>2.086254508453981</v>
      </c>
      <c r="BM14" s="5201">
        <v>2.2066158005423167</v>
      </c>
      <c r="BN14" s="3978">
        <v>2.0192262714625757</v>
      </c>
      <c r="BO14" s="2486">
        <v>2.0565754006373806</v>
      </c>
      <c r="BP14" s="3790">
        <v>1.7450412546954082</v>
      </c>
      <c r="BQ14" s="1190">
        <v>2.1585498861864605</v>
      </c>
      <c r="BR14" s="3791">
        <v>2.0057992136444116</v>
      </c>
      <c r="BS14" s="3791">
        <v>1.7419241961288634</v>
      </c>
    </row>
    <row r="15" spans="1:71" ht="18" x14ac:dyDescent="0.3">
      <c r="A15" s="92"/>
      <c r="B15" s="5213" t="s">
        <v>362</v>
      </c>
      <c r="C15" s="5214" t="s">
        <v>363</v>
      </c>
      <c r="D15" s="4402">
        <v>871.29177755633066</v>
      </c>
      <c r="E15" s="4402">
        <v>866.91251568708628</v>
      </c>
      <c r="F15" s="4430">
        <f>+'Coal to Hot Metal'!F20</f>
        <v>846.11004846869969</v>
      </c>
      <c r="G15" s="4402">
        <v>866.91251568708628</v>
      </c>
      <c r="H15" s="4430">
        <f>+'Coal to Hot Metal'!H20</f>
        <v>849.34190363265725</v>
      </c>
      <c r="I15" s="4403">
        <f>+'Coal to Hot Metal'!I20</f>
        <v>866.91251568708617</v>
      </c>
      <c r="J15" s="4403">
        <f>+'Coal to Hot Metal'!J20</f>
        <v>847.82525876418902</v>
      </c>
      <c r="K15" s="4402">
        <v>866.91251568708628</v>
      </c>
      <c r="L15" s="4430">
        <f>+'Coal to Hot Metal'!L20</f>
        <v>861.73356013497948</v>
      </c>
      <c r="M15" s="4405">
        <f>+'Coal to Hot Metal'!M20</f>
        <v>866.91251568708617</v>
      </c>
      <c r="N15" s="4405">
        <f>+'Coal to Hot Metal'!N20</f>
        <v>852.7178368874138</v>
      </c>
      <c r="O15" s="4402">
        <v>866.91251568708628</v>
      </c>
      <c r="P15" s="4430">
        <f>+'Coal to Hot Metal'!P20</f>
        <v>901.89702481912377</v>
      </c>
      <c r="Q15" s="4403">
        <f>+((M15*'Maj Production Summ'!M$17)+('Maj Production Summ'!O$17*O15))/('Maj Production Summ'!Q$17)</f>
        <v>866.91251568708617</v>
      </c>
      <c r="R15" s="4403">
        <f>+'Coal to Hot Metal'!R20</f>
        <v>865.75507651662667</v>
      </c>
      <c r="S15" s="4402">
        <v>866.91251568708628</v>
      </c>
      <c r="T15" s="4430">
        <f>+'Coal to Hot Metal'!T20</f>
        <v>901.57952496561427</v>
      </c>
      <c r="U15" s="4403">
        <f>+((Q15*'Maj Production Summ'!Q$17)+('Maj Production Summ'!S$17*S15))/('Maj Production Summ'!U$17)</f>
        <v>866.91251568708617</v>
      </c>
      <c r="V15" s="4403">
        <f>+'Coal to Hot Metal'!V20</f>
        <v>872.92883598099377</v>
      </c>
      <c r="W15" s="4402">
        <v>973.86831544015627</v>
      </c>
      <c r="X15" s="4430">
        <f>+'Coal to Hot Metal'!X20</f>
        <v>935.33175377395651</v>
      </c>
      <c r="Y15" s="4405">
        <f>+'Coal to Hot Metal'!Y20</f>
        <v>889.9491494800551</v>
      </c>
      <c r="Z15" s="4405">
        <f>+'Coal to Hot Metal'!Z20</f>
        <v>912.42943846048797</v>
      </c>
      <c r="AA15" s="5225">
        <f>+((M15*'Maj Production Summ'!M$17)+('Maj Production Summ'!Y$17*Y15))/('Maj Production Summ'!AA$17)</f>
        <v>877.50219883095463</v>
      </c>
      <c r="AB15" s="5225">
        <f>+'Coal to Hot Metal'!AB20</f>
        <v>882.99645354786935</v>
      </c>
      <c r="AC15" s="4402">
        <v>865.57463192982163</v>
      </c>
      <c r="AD15" s="4430">
        <f>+'Coal to Hot Metal'!AD20</f>
        <v>1004.8011185101312</v>
      </c>
      <c r="AE15" s="4403">
        <f>+((AA15*'Maj Production Summ'!AA$17)+('Maj Production Summ'!AC$17*AC15))/('Maj Production Summ'!AE$17)</f>
        <v>875.64964961094586</v>
      </c>
      <c r="AF15" s="4403">
        <f>+'Coal to Hot Metal'!AF20</f>
        <v>897.4450567606217</v>
      </c>
      <c r="AG15" s="4402">
        <v>865.57463192982152</v>
      </c>
      <c r="AH15" s="4430">
        <f>+'Coal to Hot Metal'!AH20</f>
        <v>893.68459627022753</v>
      </c>
      <c r="AI15" s="4403">
        <f>+((AE15*'Maj Production Summ'!AE$17)+('Maj Production Summ'!AG$17*AG15))/('Maj Production Summ'!AI$17)</f>
        <v>874.33142299846224</v>
      </c>
      <c r="AJ15" s="4403">
        <f>+'Coal to Hot Metal'!AJ20</f>
        <v>896.97547388254475</v>
      </c>
      <c r="AK15" s="4402">
        <v>865.57463192982163</v>
      </c>
      <c r="AL15" s="4430">
        <f>+'Coal to Hot Metal'!AL20</f>
        <v>893.54644300118753</v>
      </c>
      <c r="AM15" s="4405">
        <f>+'Coal to Hot Metal'!AM20</f>
        <v>865.57463192982141</v>
      </c>
      <c r="AN15" s="4405">
        <f>+'Coal to Hot Metal'!AN20</f>
        <v>925.91389883925331</v>
      </c>
      <c r="AO15" s="4403">
        <f>+'Coal to Hot Metal'!AO20</f>
        <v>873.28990164537595</v>
      </c>
      <c r="AP15" s="5217">
        <f>+'Coal to Hot Metal'!AP20</f>
        <v>896.58457243304349</v>
      </c>
      <c r="AQ15" s="4402">
        <v>865.57463192982141</v>
      </c>
      <c r="AR15" s="4430">
        <f>+'Coal to Hot Metal'!AR20</f>
        <v>883.78508121211598</v>
      </c>
      <c r="AS15" s="4403">
        <f>+((AO15*'Maj Production Summ'!AO$17)+('Maj Production Summ'!AQ$17*AQ15))/('Maj Production Summ'!AS$17)</f>
        <v>872.45854196990388</v>
      </c>
      <c r="AT15" s="4403">
        <f>+'Coal to Hot Metal'!AT20</f>
        <v>895.30622008059743</v>
      </c>
      <c r="AU15" s="4402">
        <v>865.57463192982152</v>
      </c>
      <c r="AV15" s="4430">
        <f>+'Coal to Hot Metal'!AV20</f>
        <v>942.64302305551826</v>
      </c>
      <c r="AW15" s="4403">
        <f>+((AS15*'Maj Production Summ'!AS$17)+('Maj Production Summ'!AU$17*AU15))/('Maj Production Summ'!AW$17)</f>
        <v>871.85370102818399</v>
      </c>
      <c r="AX15" s="4403">
        <f>+'Coal to Hot Metal'!AX20</f>
        <v>898.82008988696668</v>
      </c>
      <c r="AY15" s="4402">
        <v>865.57463192982141</v>
      </c>
      <c r="AZ15" s="4430">
        <f>+'Coal to Hot Metal'!AZ20</f>
        <v>872.08449633783346</v>
      </c>
      <c r="BA15" s="4405">
        <f>+'Coal to Hot Metal'!BA20</f>
        <v>865.57463192982152</v>
      </c>
      <c r="BB15" s="4405">
        <f>+'Coal to Hot Metal'!BB20</f>
        <v>896.22268581638082</v>
      </c>
      <c r="BC15" s="5225">
        <f>+'Coal to Hot Metal'!BC20</f>
        <v>865.57463192982129</v>
      </c>
      <c r="BD15" s="5225">
        <f>+'Coal to Hot Metal'!BD20</f>
        <v>911.12559526998984</v>
      </c>
      <c r="BE15" s="4403">
        <f>+'Coal to Hot Metal'!BE20</f>
        <v>871.29177755633066</v>
      </c>
      <c r="BF15" s="4403">
        <f>+'Coal to Hot Metal'!BF20</f>
        <v>896.49805735238124</v>
      </c>
      <c r="BG15" s="5224">
        <v>879.8743565218308</v>
      </c>
      <c r="BH15" s="5224">
        <v>887.52975181303168</v>
      </c>
      <c r="BI15" s="5224">
        <v>900.75553765627933</v>
      </c>
      <c r="BJ15" s="5224">
        <v>932.0378517640504</v>
      </c>
      <c r="BK15" s="5224">
        <v>910.43802076736529</v>
      </c>
      <c r="BL15" s="5224">
        <v>930.8611107215944</v>
      </c>
      <c r="BM15" s="5199">
        <v>908.37669886703623</v>
      </c>
      <c r="BN15" s="3779">
        <v>935.21205199417307</v>
      </c>
      <c r="BO15" s="2480">
        <v>907.5085368428455</v>
      </c>
      <c r="BP15" s="2481">
        <v>991.44637124749988</v>
      </c>
      <c r="BQ15" s="1179">
        <v>886.42711546488033</v>
      </c>
      <c r="BR15" s="3779">
        <v>931.68362998699263</v>
      </c>
      <c r="BS15" s="3779">
        <v>905.60969999999998</v>
      </c>
    </row>
    <row r="16" spans="1:71" ht="18" x14ac:dyDescent="0.3">
      <c r="A16" s="92"/>
      <c r="B16" s="5213" t="s">
        <v>364</v>
      </c>
      <c r="C16" s="5214" t="s">
        <v>271</v>
      </c>
      <c r="D16" s="4402">
        <v>1059</v>
      </c>
      <c r="E16" s="4402">
        <f>+$D$16</f>
        <v>1059</v>
      </c>
      <c r="F16" s="4402">
        <f>+(F56/'Maj Production Summ'!F18)*1000</f>
        <v>1059.7699014587963</v>
      </c>
      <c r="G16" s="4402">
        <f>+$D$16</f>
        <v>1059</v>
      </c>
      <c r="H16" s="4402">
        <f>+(H56/'Maj Production Summ'!H18)*1000</f>
        <v>1067.8204683947631</v>
      </c>
      <c r="I16" s="4403">
        <f>+$D$16</f>
        <v>1059</v>
      </c>
      <c r="J16" s="4403">
        <f>+(J56/'Maj Production Summ'!J18)*1000</f>
        <v>1064.0639073340274</v>
      </c>
      <c r="K16" s="4402">
        <f>+$D$16</f>
        <v>1059</v>
      </c>
      <c r="L16" s="4402">
        <f>+(L56/'Maj Production Summ'!L18)*1000</f>
        <v>1061.9196518424501</v>
      </c>
      <c r="M16" s="4405">
        <f>+$D$16</f>
        <v>1059</v>
      </c>
      <c r="N16" s="4405">
        <f>+(N56/'Maj Production Summ'!N18)*1000</f>
        <v>1063.3041677400013</v>
      </c>
      <c r="O16" s="4402">
        <f>+$D$16</f>
        <v>1059</v>
      </c>
      <c r="P16" s="4402">
        <f>+(P56/'Maj Production Summ'!P18)*1000</f>
        <v>1051.7068973673629</v>
      </c>
      <c r="Q16" s="4403">
        <f>+$D$16</f>
        <v>1059</v>
      </c>
      <c r="R16" s="4403">
        <f>+(R56/'Maj Production Summ'!R18)*1000</f>
        <v>1060.1771787668226</v>
      </c>
      <c r="S16" s="4402">
        <f>+$D$16</f>
        <v>1059</v>
      </c>
      <c r="T16" s="4402">
        <f>+(T56/'Maj Production Summ'!T18)*1000</f>
        <v>1060.1658095630878</v>
      </c>
      <c r="U16" s="4403">
        <f>+$D$16</f>
        <v>1059</v>
      </c>
      <c r="V16" s="4403">
        <f>+(V56/'Maj Production Summ'!V18)*1000</f>
        <v>1060.1748861799313</v>
      </c>
      <c r="W16" s="4402">
        <f>+$D$16</f>
        <v>1059</v>
      </c>
      <c r="X16" s="4402">
        <f>+(X56/'Maj Production Summ'!X18)*1000</f>
        <v>1063.8152587426769</v>
      </c>
      <c r="Y16" s="4405">
        <f>+$D$16</f>
        <v>1059</v>
      </c>
      <c r="Z16" s="4405">
        <f>+(Z56/'Maj Production Summ'!Z18)*1000</f>
        <v>1058.3307154265726</v>
      </c>
      <c r="AA16" s="5225">
        <f>+$D$16</f>
        <v>1059</v>
      </c>
      <c r="AB16" s="5225">
        <f>+(AB56/'Maj Production Summ'!AB18)*1000</f>
        <v>1060.7625483724512</v>
      </c>
      <c r="AC16" s="4402">
        <f>+$D$16</f>
        <v>1059</v>
      </c>
      <c r="AD16" s="4402">
        <f>+(AD56/'Maj Production Summ'!AD18)*1000</f>
        <v>1064.5745280439282</v>
      </c>
      <c r="AE16" s="4403">
        <f>+$D$16</f>
        <v>1059</v>
      </c>
      <c r="AF16" s="4403">
        <f>+(AF56/'Maj Production Summ'!AF18)*1000</f>
        <v>1061.1936844682959</v>
      </c>
      <c r="AG16" s="4402">
        <f>+$D$16</f>
        <v>1059</v>
      </c>
      <c r="AH16" s="4402">
        <f>+(AH56/'Maj Production Summ'!AH18)*1000</f>
        <v>1059.8754259222144</v>
      </c>
      <c r="AI16" s="4403">
        <f>+$D$16</f>
        <v>1059</v>
      </c>
      <c r="AJ16" s="4403">
        <f>+(AJ56/'Maj Production Summ'!AJ18)*1000</f>
        <v>1061.026897177147</v>
      </c>
      <c r="AK16" s="4402">
        <f>+$D$16</f>
        <v>1059</v>
      </c>
      <c r="AL16" s="4402">
        <f>+(AL56/'Maj Production Summ'!AL18)*1000</f>
        <v>1068.1895334200926</v>
      </c>
      <c r="AM16" s="4405">
        <f>+$D$16</f>
        <v>1059</v>
      </c>
      <c r="AN16" s="4405">
        <f>+(AN56/'Maj Production Summ'!AN18)*1000</f>
        <v>1064.2149663799164</v>
      </c>
      <c r="AO16" s="4403">
        <f>+$D$16</f>
        <v>1059</v>
      </c>
      <c r="AP16" s="5217">
        <f>+(AP56/'Maj Production Summ'!AP18)*1000</f>
        <v>1061.8464368186455</v>
      </c>
      <c r="AQ16" s="4402">
        <f>+$D$16</f>
        <v>1059</v>
      </c>
      <c r="AR16" s="4402">
        <f>+(AR56/'Maj Production Summ'!AR18)*1000</f>
        <v>1062.1673163865344</v>
      </c>
      <c r="AS16" s="4403">
        <f>+$D$16</f>
        <v>1059</v>
      </c>
      <c r="AT16" s="4403">
        <f>+(AT56/'Maj Production Summ'!AT18)*1000</f>
        <v>1061.8785827530567</v>
      </c>
      <c r="AU16" s="4402">
        <f>+$D$16</f>
        <v>1059</v>
      </c>
      <c r="AV16" s="4402">
        <f>+(AV56/'Maj Production Summ'!AV18)*1000</f>
        <v>1052.23913066978</v>
      </c>
      <c r="AW16" s="4403">
        <f>+$D$16</f>
        <v>1059</v>
      </c>
      <c r="AX16" s="4403">
        <f>+(AX56/'Maj Production Summ'!AX18)*1000</f>
        <v>1061.1540063208622</v>
      </c>
      <c r="AY16" s="4402">
        <f>+$D$16</f>
        <v>1059</v>
      </c>
      <c r="AZ16" s="4402">
        <f>+(AZ56/'Maj Production Summ'!AZ18)*1000</f>
        <v>1038.4428162825402</v>
      </c>
      <c r="BA16" s="4405">
        <f>+$D$16</f>
        <v>1059</v>
      </c>
      <c r="BB16" s="4405">
        <f>+(BB56/'Maj Production Summ'!BB18)*1000</f>
        <v>1050.6127742040003</v>
      </c>
      <c r="BC16" s="5225">
        <f>+$D$16</f>
        <v>1059</v>
      </c>
      <c r="BD16" s="5225">
        <f>+(BD56/'Maj Production Summ'!BD18)*1000</f>
        <v>1057.3549740205385</v>
      </c>
      <c r="BE16" s="4403">
        <f>+$D$16</f>
        <v>1059</v>
      </c>
      <c r="BF16" s="4403">
        <f>+(BF56/'Maj Production Summ'!BF18)*1000</f>
        <v>1059.1267654673456</v>
      </c>
      <c r="BG16" s="5224">
        <v>1060</v>
      </c>
      <c r="BH16" s="5224">
        <v>1059.5459918693748</v>
      </c>
      <c r="BI16" s="5224">
        <v>1060</v>
      </c>
      <c r="BJ16" s="5224">
        <v>1066.0113803295867</v>
      </c>
      <c r="BK16" s="5224">
        <v>1061.9999999999998</v>
      </c>
      <c r="BL16" s="5224">
        <v>1062.9741019163143</v>
      </c>
      <c r="BM16" s="5197">
        <v>1064.9999163858361</v>
      </c>
      <c r="BN16" s="1180">
        <v>1062.0576596902831</v>
      </c>
      <c r="BO16" s="2476">
        <v>1077.0434194075694</v>
      </c>
      <c r="BP16" s="2487">
        <v>1071.1760588881978</v>
      </c>
      <c r="BQ16" s="1084">
        <v>1065</v>
      </c>
      <c r="BR16" s="1180">
        <v>1093.6626453647993</v>
      </c>
      <c r="BS16" s="1180">
        <v>1078.3300007201833</v>
      </c>
    </row>
    <row r="17" spans="1:71" ht="18.600000000000001" thickBot="1" x14ac:dyDescent="0.35">
      <c r="A17" s="92"/>
      <c r="B17" s="5213" t="s">
        <v>1798</v>
      </c>
      <c r="C17" s="5214" t="s">
        <v>271</v>
      </c>
      <c r="D17" s="4402">
        <v>38</v>
      </c>
      <c r="E17" s="4402">
        <f>+$D$17</f>
        <v>38</v>
      </c>
      <c r="F17" s="4402">
        <f>+(F57/'Maj Production Summ'!F18)*1000</f>
        <v>37.174669114095252</v>
      </c>
      <c r="G17" s="4402">
        <f>+$D$17</f>
        <v>38</v>
      </c>
      <c r="H17" s="4402">
        <f>+(H57/'Maj Production Summ'!H18)*1000</f>
        <v>28.189893423710473</v>
      </c>
      <c r="I17" s="4403">
        <f>+$D$17</f>
        <v>38</v>
      </c>
      <c r="J17" s="4403">
        <f>+(J57/'Maj Production Summ'!J18)*1000</f>
        <v>32.382375613648342</v>
      </c>
      <c r="K17" s="4402">
        <f>+$D$17</f>
        <v>38</v>
      </c>
      <c r="L17" s="4402">
        <f>+(L57/'Maj Production Summ'!L18)*1000</f>
        <v>34.520831536271892</v>
      </c>
      <c r="M17" s="4405">
        <f>+$D$17</f>
        <v>38</v>
      </c>
      <c r="N17" s="4405">
        <f>+(N57/'Maj Production Summ'!N18)*1000</f>
        <v>33.140060339595784</v>
      </c>
      <c r="O17" s="4402">
        <f>+$D$17</f>
        <v>38</v>
      </c>
      <c r="P17" s="4402">
        <f>+(P57/'Maj Production Summ'!P18)*1000</f>
        <v>44.526180507919989</v>
      </c>
      <c r="Q17" s="4403">
        <f>+$D$17</f>
        <v>38</v>
      </c>
      <c r="R17" s="4403">
        <f>+(R57/'Maj Production Summ'!R18)*1000</f>
        <v>36.210116574348966</v>
      </c>
      <c r="S17" s="4402">
        <f>+$D$17</f>
        <v>38</v>
      </c>
      <c r="T17" s="4402">
        <f>+(T57/'Maj Production Summ'!T18)*1000</f>
        <v>36.183939197549044</v>
      </c>
      <c r="U17" s="4403">
        <f>+$D$17</f>
        <v>38</v>
      </c>
      <c r="V17" s="4403">
        <f>+(V57/'Maj Production Summ'!V18)*1000</f>
        <v>36.204837936345619</v>
      </c>
      <c r="W17" s="4402">
        <f>+$D$17</f>
        <v>38</v>
      </c>
      <c r="X17" s="4402">
        <f>+(X57/'Maj Production Summ'!X18)*1000</f>
        <v>34.040564785957052</v>
      </c>
      <c r="Y17" s="4405">
        <f>+$D$17</f>
        <v>38</v>
      </c>
      <c r="Z17" s="4405">
        <f>+(Z57/'Maj Production Summ'!Z18)*1000</f>
        <v>38.453569056342083</v>
      </c>
      <c r="AA17" s="5225">
        <f>+$D$17</f>
        <v>38</v>
      </c>
      <c r="AB17" s="5225">
        <f>+(AB57/'Maj Production Summ'!AB18)*1000</f>
        <v>35.855461194584279</v>
      </c>
      <c r="AC17" s="4402">
        <f>+$D$17</f>
        <v>38</v>
      </c>
      <c r="AD17" s="4402">
        <f>+(AD57/'Maj Production Summ'!AD18)*1000</f>
        <v>30.862550990228854</v>
      </c>
      <c r="AE17" s="4403">
        <f>+$D$17</f>
        <v>38</v>
      </c>
      <c r="AF17" s="4403">
        <f>+(AF57/'Maj Production Summ'!AF18)*1000</f>
        <v>35.29076148526643</v>
      </c>
      <c r="AG17" s="4402">
        <f>+$D$17</f>
        <v>38</v>
      </c>
      <c r="AH17" s="4402">
        <f>+(AH57/'Maj Production Summ'!AH18)*1000</f>
        <v>36.4868280014989</v>
      </c>
      <c r="AI17" s="4403">
        <f>+$D$17</f>
        <v>38</v>
      </c>
      <c r="AJ17" s="4403">
        <f>+(AJ57/'Maj Production Summ'!AJ18)*1000</f>
        <v>35.44208892772383</v>
      </c>
      <c r="AK17" s="4402">
        <f>+$D$17</f>
        <v>38</v>
      </c>
      <c r="AL17" s="4402">
        <f>+(AL57/'Maj Production Summ'!AL18)*1000</f>
        <v>27.934205192754888</v>
      </c>
      <c r="AM17" s="4405">
        <f>+$D$17</f>
        <v>38</v>
      </c>
      <c r="AN17" s="4405">
        <f>+(AN57/'Maj Production Summ'!AN18)*1000</f>
        <v>31.802546542511827</v>
      </c>
      <c r="AO17" s="4403">
        <f>+$D$17</f>
        <v>38</v>
      </c>
      <c r="AP17" s="5217">
        <f>+(AP57/'Maj Production Summ'!AP18)*1000</f>
        <v>34.583046511514375</v>
      </c>
      <c r="AQ17" s="4402">
        <f>+$D$17</f>
        <v>38</v>
      </c>
      <c r="AR17" s="4402">
        <f>+(AR57/'Maj Production Summ'!AR18)*1000</f>
        <v>33.23306160572163</v>
      </c>
      <c r="AS17" s="4403">
        <f>+$D$17</f>
        <v>38</v>
      </c>
      <c r="AT17" s="4403">
        <f>+(AT57/'Maj Production Summ'!AT18)*1000</f>
        <v>34.447804101026328</v>
      </c>
      <c r="AU17" s="4402">
        <f>+$D$17</f>
        <v>38</v>
      </c>
      <c r="AV17" s="4402">
        <f>+(AV57/'Maj Production Summ'!AV18)*1000</f>
        <v>43.482725818307607</v>
      </c>
      <c r="AW17" s="4403">
        <f>+$D$17</f>
        <v>38</v>
      </c>
      <c r="AX17" s="4403">
        <f>+(AX57/'Maj Production Summ'!AX18)*1000</f>
        <v>35.126939313952015</v>
      </c>
      <c r="AY17" s="4402">
        <f>+$D$17</f>
        <v>38</v>
      </c>
      <c r="AZ17" s="4402">
        <f>+(AZ57/'Maj Production Summ'!AZ18)*1000</f>
        <v>54.990465926048749</v>
      </c>
      <c r="BA17" s="4405">
        <f>+(BA57/'Maj Production Summ'!BA18)*1000</f>
        <v>37.999999999999993</v>
      </c>
      <c r="BB17" s="4405">
        <f>+(BB57/'Maj Production Summ'!BB18)*1000</f>
        <v>44.153243986348834</v>
      </c>
      <c r="BC17" s="5225">
        <f>+(BC57/'Maj Production Summ'!BC18)*1000</f>
        <v>37.999999999999993</v>
      </c>
      <c r="BD17" s="5225">
        <f>+(BD57/'Maj Production Summ'!BD18)*1000</f>
        <v>38.031372675973174</v>
      </c>
      <c r="BE17" s="4403">
        <f>+(BE57/'Maj Production Summ'!BE18)*1000</f>
        <v>38</v>
      </c>
      <c r="BF17" s="4403">
        <f>+(BF57/'Maj Production Summ'!BF18)*1000</f>
        <v>36.89999271075807</v>
      </c>
      <c r="BG17" s="5224">
        <v>40</v>
      </c>
      <c r="BH17" s="5224">
        <v>37.680157934540539</v>
      </c>
      <c r="BI17" s="5224">
        <v>40</v>
      </c>
      <c r="BJ17" s="5224">
        <v>34.431040857281253</v>
      </c>
      <c r="BK17" s="5224">
        <v>46</v>
      </c>
      <c r="BL17" s="5224">
        <v>38.506404738512508</v>
      </c>
      <c r="BM17" s="5188">
        <v>49.999999999999993</v>
      </c>
      <c r="BN17" s="1191">
        <v>45.611232627441403</v>
      </c>
      <c r="BO17" s="2478">
        <v>40.465027848474861</v>
      </c>
      <c r="BP17" s="2488">
        <v>41.122433127480129</v>
      </c>
      <c r="BQ17" s="1651">
        <v>50</v>
      </c>
      <c r="BR17" s="1191">
        <v>25.53216575879436</v>
      </c>
      <c r="BS17" s="1191">
        <v>41.130412495604766</v>
      </c>
    </row>
    <row r="18" spans="1:71" ht="18.600000000000001" thickBot="1" x14ac:dyDescent="0.35">
      <c r="A18" s="92"/>
      <c r="B18" s="5213" t="s">
        <v>288</v>
      </c>
      <c r="C18" s="5214" t="s">
        <v>271</v>
      </c>
      <c r="D18" s="4402">
        <f>SUM(D16:D17)</f>
        <v>1097</v>
      </c>
      <c r="E18" s="4402">
        <f>+$D$18</f>
        <v>1097</v>
      </c>
      <c r="F18" s="4402">
        <f>SUM(F16:F17)</f>
        <v>1096.9445705728915</v>
      </c>
      <c r="G18" s="4402">
        <f>+$D$18</f>
        <v>1097</v>
      </c>
      <c r="H18" s="4402">
        <f>SUM(H16:H17)</f>
        <v>1096.0103618184735</v>
      </c>
      <c r="I18" s="4403">
        <f>+$D$18</f>
        <v>1097</v>
      </c>
      <c r="J18" s="4403">
        <f>SUM(J16:J17)</f>
        <v>1096.4462829476756</v>
      </c>
      <c r="K18" s="4402">
        <f>+$D$18</f>
        <v>1097</v>
      </c>
      <c r="L18" s="4402">
        <f>SUM(L16:L17)</f>
        <v>1096.4404833787221</v>
      </c>
      <c r="M18" s="4405">
        <f>+$D$18</f>
        <v>1097</v>
      </c>
      <c r="N18" s="4405">
        <f>SUM(N16:N17)</f>
        <v>1096.444228079597</v>
      </c>
      <c r="O18" s="4402">
        <f>+$D$18</f>
        <v>1097</v>
      </c>
      <c r="P18" s="4402">
        <f>SUM(P16:P17)</f>
        <v>1096.2330778752828</v>
      </c>
      <c r="Q18" s="4403">
        <f>+$D$18</f>
        <v>1097</v>
      </c>
      <c r="R18" s="4403">
        <f>SUM(R16:R17)</f>
        <v>1096.3872953411717</v>
      </c>
      <c r="S18" s="4402">
        <f>+$D$18</f>
        <v>1097</v>
      </c>
      <c r="T18" s="4402">
        <f>SUM(T16:T17)</f>
        <v>1096.3497487606369</v>
      </c>
      <c r="U18" s="4403">
        <f>+$D$18</f>
        <v>1097</v>
      </c>
      <c r="V18" s="4403">
        <f>SUM(V16:V17)</f>
        <v>1096.379724116277</v>
      </c>
      <c r="W18" s="4402">
        <f>+$D$18</f>
        <v>1097</v>
      </c>
      <c r="X18" s="4402">
        <f>SUM(X16:X17)</f>
        <v>1097.8558235286339</v>
      </c>
      <c r="Y18" s="4405">
        <f>+$D$18</f>
        <v>1097</v>
      </c>
      <c r="Z18" s="4405">
        <f>SUM(Z16:Z17)</f>
        <v>1096.7842844829147</v>
      </c>
      <c r="AA18" s="5225">
        <f>+$D$18</f>
        <v>1097</v>
      </c>
      <c r="AB18" s="5225">
        <f>SUM(AB16:AB17)</f>
        <v>1096.6180095670354</v>
      </c>
      <c r="AC18" s="4402">
        <f>+$D$18</f>
        <v>1097</v>
      </c>
      <c r="AD18" s="4402">
        <f>SUM(AD16:AD17)</f>
        <v>1095.437079034157</v>
      </c>
      <c r="AE18" s="4403">
        <f>+$D$18</f>
        <v>1097</v>
      </c>
      <c r="AF18" s="4403">
        <f>SUM(AF16:AF17)</f>
        <v>1096.4844459535623</v>
      </c>
      <c r="AG18" s="4402">
        <f>+$D$18</f>
        <v>1097</v>
      </c>
      <c r="AH18" s="4402">
        <f>SUM(AH16:AH17)</f>
        <v>1096.3622539237133</v>
      </c>
      <c r="AI18" s="4403">
        <f>+$D$18</f>
        <v>1097</v>
      </c>
      <c r="AJ18" s="4403">
        <f>SUM(AJ16:AJ17)</f>
        <v>1096.468986104871</v>
      </c>
      <c r="AK18" s="4402">
        <f>+$D$18</f>
        <v>1097</v>
      </c>
      <c r="AL18" s="4402">
        <f>SUM(AL16:AL17)</f>
        <v>1096.1237386128475</v>
      </c>
      <c r="AM18" s="4405">
        <f>+$D$18</f>
        <v>1097</v>
      </c>
      <c r="AN18" s="4405">
        <f>SUM(AN16:AN17)</f>
        <v>1096.0175129224283</v>
      </c>
      <c r="AO18" s="4403">
        <f>+$D$18</f>
        <v>1097</v>
      </c>
      <c r="AP18" s="5217">
        <f>SUM(AP16:AP17)</f>
        <v>1096.4294833301599</v>
      </c>
      <c r="AQ18" s="4402">
        <f>+$D$18</f>
        <v>1097</v>
      </c>
      <c r="AR18" s="4402">
        <f>SUM(AR16:AR17)</f>
        <v>1095.4003779922559</v>
      </c>
      <c r="AS18" s="4403">
        <f>+$D$18</f>
        <v>1097</v>
      </c>
      <c r="AT18" s="4403">
        <f>SUM(AT16:AT17)</f>
        <v>1096.326386854083</v>
      </c>
      <c r="AU18" s="4402">
        <f>+$D$18</f>
        <v>1097</v>
      </c>
      <c r="AV18" s="4402">
        <f>SUM(AV16:AV17)</f>
        <v>1095.7218564880877</v>
      </c>
      <c r="AW18" s="4403">
        <f>+$D$18</f>
        <v>1097</v>
      </c>
      <c r="AX18" s="4403">
        <f>SUM(AX16:AX17)</f>
        <v>1096.2809456348143</v>
      </c>
      <c r="AY18" s="4402">
        <f>+$D$18</f>
        <v>1097</v>
      </c>
      <c r="AZ18" s="4402">
        <f>SUM(AZ16:AZ17)</f>
        <v>1093.4332822085889</v>
      </c>
      <c r="BA18" s="4405">
        <f>+$D$18</f>
        <v>1097</v>
      </c>
      <c r="BB18" s="4405">
        <f>SUM(BB16:BB17)</f>
        <v>1094.7660181903491</v>
      </c>
      <c r="BC18" s="5225">
        <f>+$D$18</f>
        <v>1097</v>
      </c>
      <c r="BD18" s="5225">
        <f>SUM(BD16:BD17)</f>
        <v>1095.3863466965117</v>
      </c>
      <c r="BE18" s="4403">
        <f>+$D$18</f>
        <v>1097</v>
      </c>
      <c r="BF18" s="4403">
        <f t="shared" ref="BF18" si="15">SUM(BF16:BF17)</f>
        <v>1096.0267581781038</v>
      </c>
      <c r="BG18" s="5224">
        <v>1100</v>
      </c>
      <c r="BH18" s="5224">
        <v>1097.2261498039154</v>
      </c>
      <c r="BI18" s="5224">
        <v>1100</v>
      </c>
      <c r="BJ18" s="5224">
        <v>1100.4424211868679</v>
      </c>
      <c r="BK18" s="5224">
        <v>1107.9999999999998</v>
      </c>
      <c r="BL18" s="5224">
        <v>1101.4805066548267</v>
      </c>
      <c r="BM18" s="5198">
        <v>1114.9999163858361</v>
      </c>
      <c r="BN18" s="3979">
        <v>1107.6688923177246</v>
      </c>
      <c r="BO18" s="3784">
        <v>1117.5084472560443</v>
      </c>
      <c r="BP18" s="3792">
        <v>1112.298492015678</v>
      </c>
      <c r="BQ18" s="3793">
        <v>1115</v>
      </c>
      <c r="BR18" s="3794">
        <v>1119.1948111235938</v>
      </c>
      <c r="BS18" s="3794">
        <v>1119.4604132157881</v>
      </c>
    </row>
    <row r="19" spans="1:71" ht="18.600000000000001" thickBot="1" x14ac:dyDescent="0.35">
      <c r="A19" s="151"/>
      <c r="B19" s="5221" t="s">
        <v>1799</v>
      </c>
      <c r="C19" s="5222" t="s">
        <v>271</v>
      </c>
      <c r="D19" s="4430">
        <f>+D68+D69+D72</f>
        <v>22.017291674197072</v>
      </c>
      <c r="E19" s="5215">
        <f>+$D$19</f>
        <v>22.017291674197072</v>
      </c>
      <c r="F19" s="5215">
        <f>F68+F71+F72</f>
        <v>20.62119601970824</v>
      </c>
      <c r="G19" s="5215">
        <f>+$D$19</f>
        <v>22.017291674197072</v>
      </c>
      <c r="H19" s="5215">
        <f>H68+H71+H72</f>
        <v>19.422070842383725</v>
      </c>
      <c r="I19" s="5217">
        <f>+$D$19</f>
        <v>22.017291674197072</v>
      </c>
      <c r="J19" s="5217">
        <f>J68+J71+J72</f>
        <v>19.981607454390545</v>
      </c>
      <c r="K19" s="5215">
        <f>+$D$19</f>
        <v>22.017291674197072</v>
      </c>
      <c r="L19" s="5215">
        <f>L68+L71+L72</f>
        <v>19.733624149219764</v>
      </c>
      <c r="M19" s="5218">
        <f>+$D$19</f>
        <v>22.017291674197072</v>
      </c>
      <c r="N19" s="5218">
        <f>N68+N71+N72</f>
        <v>19.893743514512209</v>
      </c>
      <c r="O19" s="5215">
        <f>+$D$19</f>
        <v>22.017291674197072</v>
      </c>
      <c r="P19" s="5215">
        <f>P68+P71+P72</f>
        <v>20.120845849989355</v>
      </c>
      <c r="Q19" s="5217">
        <f>+$D$19</f>
        <v>22.017291674197072</v>
      </c>
      <c r="R19" s="5217">
        <f>R68+R71+R72</f>
        <v>19.95497744939534</v>
      </c>
      <c r="S19" s="5215">
        <f>+$D$19</f>
        <v>22.017291674197072</v>
      </c>
      <c r="T19" s="5215">
        <f>T68+T71+T72</f>
        <v>19.080809016000202</v>
      </c>
      <c r="U19" s="4403">
        <f>+$D$19</f>
        <v>22.017291674197072</v>
      </c>
      <c r="V19" s="5217">
        <f>V68+V71+V72</f>
        <v>19.778702387569531</v>
      </c>
      <c r="W19" s="5215">
        <f>+$D$19</f>
        <v>22.017291674197072</v>
      </c>
      <c r="X19" s="5215">
        <f>X68+X71+X72</f>
        <v>17.254404951354879</v>
      </c>
      <c r="Y19" s="4405">
        <f>+$D$19</f>
        <v>22.017291674197072</v>
      </c>
      <c r="Z19" s="4405">
        <f>Z68+Z71+Z72</f>
        <v>18.871242154982866</v>
      </c>
      <c r="AA19" s="5219">
        <f>+$D$19</f>
        <v>22.017291674197072</v>
      </c>
      <c r="AB19" s="5219">
        <f>AB68+AB71+AB72</f>
        <v>19.371207236902968</v>
      </c>
      <c r="AC19" s="5215">
        <f>+$D$19</f>
        <v>22.017291674197072</v>
      </c>
      <c r="AD19" s="5215">
        <f>AD68+AD71+AD72</f>
        <v>17.868203860469528</v>
      </c>
      <c r="AE19" s="5217">
        <f>+$D$19</f>
        <v>22.017291674197072</v>
      </c>
      <c r="AF19" s="5217">
        <f>AF68+AF71+AF72</f>
        <v>19.201217083858491</v>
      </c>
      <c r="AG19" s="5215">
        <f>+$D$19</f>
        <v>22.017291674197072</v>
      </c>
      <c r="AH19" s="5215">
        <f>AH68+AH71+AH72</f>
        <v>16.204651811313191</v>
      </c>
      <c r="AI19" s="5217">
        <f>+$D$19</f>
        <v>22.017291674197072</v>
      </c>
      <c r="AJ19" s="5217">
        <f>AJ68+AJ71+AJ72</f>
        <v>18.822088872595366</v>
      </c>
      <c r="AK19" s="5215">
        <f>+$D$19</f>
        <v>22.017291674197072</v>
      </c>
      <c r="AL19" s="5215">
        <f>AL68+AL71+AL72</f>
        <v>17.49634117722356</v>
      </c>
      <c r="AM19" s="4405">
        <f>+$D$19</f>
        <v>22.017291674197072</v>
      </c>
      <c r="AN19" s="4405">
        <f>AN68+AN71+AN72</f>
        <v>17.138980636573425</v>
      </c>
      <c r="AO19" s="4403">
        <f>+$D$19</f>
        <v>22.017291674197072</v>
      </c>
      <c r="AP19" s="5217">
        <f>AP68+AP71+AP72</f>
        <v>18.670398523660968</v>
      </c>
      <c r="AQ19" s="5215">
        <f>+$D$19</f>
        <v>22.017291674197072</v>
      </c>
      <c r="AR19" s="5215">
        <f>AR68+AR71+AR72</f>
        <v>17.201717189877527</v>
      </c>
      <c r="AS19" s="4403">
        <f>+$D$19</f>
        <v>22.017291674197072</v>
      </c>
      <c r="AT19" s="5237">
        <f>AT68+AT71+AT72</f>
        <v>18.523265023895636</v>
      </c>
      <c r="AU19" s="5215">
        <f>+$D$19</f>
        <v>22.017291674197072</v>
      </c>
      <c r="AV19" s="5215">
        <f>AV68+AV71+AV72</f>
        <v>16.786191464521988</v>
      </c>
      <c r="AW19" s="4403">
        <f>+$D$19</f>
        <v>22.017291674197072</v>
      </c>
      <c r="AX19" s="5217">
        <f>AX68+AX71+AX72</f>
        <v>18.392693021334026</v>
      </c>
      <c r="AY19" s="5215">
        <f>+$D$19</f>
        <v>22.017291674197072</v>
      </c>
      <c r="AZ19" s="5215">
        <f>AZ68+AZ71+AZ72</f>
        <v>17.903332780633395</v>
      </c>
      <c r="BA19" s="4405">
        <f>+$D$19</f>
        <v>22.017291674197072</v>
      </c>
      <c r="BB19" s="4405">
        <f>BB68+BB71+BB72</f>
        <v>17.342903822846601</v>
      </c>
      <c r="BC19" s="5225">
        <f>+$D$19</f>
        <v>22.017291674197072</v>
      </c>
      <c r="BD19" s="5225">
        <f>BD68+BD71+BD72</f>
        <v>17.241825198805891</v>
      </c>
      <c r="BE19" s="5217">
        <f>+$D$19</f>
        <v>22.017291674197072</v>
      </c>
      <c r="BF19" s="5217">
        <f>BF68+BF71+BF72</f>
        <v>18.349011863703755</v>
      </c>
      <c r="BG19" s="5224">
        <v>22.999999999999996</v>
      </c>
      <c r="BH19" s="5224">
        <v>20.403234933373927</v>
      </c>
      <c r="BI19" s="5224">
        <v>21.173676902697167</v>
      </c>
      <c r="BJ19" s="5224">
        <v>22.701786332137168</v>
      </c>
      <c r="BK19" s="5224">
        <v>20.999999999999996</v>
      </c>
      <c r="BL19" s="5224">
        <v>22.930617482833931</v>
      </c>
      <c r="BM19" s="5202">
        <v>21.957789999999999</v>
      </c>
      <c r="BN19" s="3980">
        <v>20.936321602680948</v>
      </c>
      <c r="BO19" s="3795">
        <v>20.938577554449214</v>
      </c>
      <c r="BP19" s="3796">
        <v>20.212673477197818</v>
      </c>
      <c r="BQ19" s="3797">
        <v>21</v>
      </c>
      <c r="BR19" s="3798">
        <v>21.832464031742681</v>
      </c>
      <c r="BS19" s="3798">
        <v>23.120676252165847</v>
      </c>
    </row>
    <row r="20" spans="1:71" ht="18.600000000000001" thickBot="1" x14ac:dyDescent="0.35">
      <c r="A20" s="146"/>
      <c r="B20" s="5232" t="s">
        <v>366</v>
      </c>
      <c r="C20" s="5233"/>
      <c r="D20" s="5234"/>
      <c r="E20" s="5235"/>
      <c r="F20" s="5235"/>
      <c r="G20" s="5235"/>
      <c r="H20" s="5235"/>
      <c r="I20" s="5235"/>
      <c r="J20" s="5235"/>
      <c r="K20" s="5235"/>
      <c r="L20" s="5235"/>
      <c r="M20" s="5245"/>
      <c r="N20" s="5245"/>
      <c r="O20" s="5235"/>
      <c r="P20" s="5235"/>
      <c r="Q20" s="5235"/>
      <c r="R20" s="5235"/>
      <c r="S20" s="5235"/>
      <c r="T20" s="5235"/>
      <c r="U20" s="5235"/>
      <c r="V20" s="5235"/>
      <c r="W20" s="5235"/>
      <c r="X20" s="5235"/>
      <c r="Y20" s="5245"/>
      <c r="Z20" s="5245"/>
      <c r="AA20" s="5250"/>
      <c r="AB20" s="5250"/>
      <c r="AC20" s="5235"/>
      <c r="AD20" s="5235"/>
      <c r="AE20" s="5235"/>
      <c r="AF20" s="5235"/>
      <c r="AG20" s="5235"/>
      <c r="AH20" s="5235"/>
      <c r="AI20" s="5252"/>
      <c r="AJ20" s="5252"/>
      <c r="AK20" s="5235"/>
      <c r="AL20" s="5235"/>
      <c r="AM20" s="5235"/>
      <c r="AN20" s="5235"/>
      <c r="AO20" s="5235"/>
      <c r="AP20" s="5235"/>
      <c r="AQ20" s="5235"/>
      <c r="AR20" s="5235"/>
      <c r="AS20" s="5235"/>
      <c r="AT20" s="5235"/>
      <c r="AU20" s="5235"/>
      <c r="AV20" s="5235"/>
      <c r="AW20" s="5235"/>
      <c r="AX20" s="5235"/>
      <c r="AY20" s="5235"/>
      <c r="AZ20" s="5235"/>
      <c r="BA20" s="5235"/>
      <c r="BB20" s="5235"/>
      <c r="BC20" s="5235"/>
      <c r="BD20" s="5235"/>
      <c r="BE20" s="5235"/>
      <c r="BF20" s="5235"/>
      <c r="BG20" s="5235"/>
      <c r="BH20" s="5235"/>
      <c r="BI20" s="5235"/>
      <c r="BJ20" s="5235"/>
      <c r="BK20" s="5235"/>
      <c r="BL20" s="5235"/>
      <c r="BM20" s="3982"/>
      <c r="BN20" s="3981"/>
      <c r="BO20" s="2504"/>
      <c r="BP20" s="2504"/>
      <c r="BQ20" s="3799"/>
      <c r="BR20" s="3800"/>
      <c r="BS20" s="3800"/>
    </row>
    <row r="21" spans="1:71" ht="18" x14ac:dyDescent="0.3">
      <c r="A21" s="92"/>
      <c r="B21" s="5213" t="s">
        <v>16</v>
      </c>
      <c r="C21" s="5214" t="s">
        <v>49</v>
      </c>
      <c r="D21" s="5236">
        <v>96</v>
      </c>
      <c r="E21" s="5236">
        <f>+$D$21</f>
        <v>96</v>
      </c>
      <c r="F21" s="5236">
        <f>+WRM!F161</f>
        <v>95.807194531097892</v>
      </c>
      <c r="G21" s="5236">
        <f>+$D$21</f>
        <v>96</v>
      </c>
      <c r="H21" s="5236">
        <f>+WRM!H161</f>
        <v>95.612744452503435</v>
      </c>
      <c r="I21" s="5217">
        <f>+$D$21</f>
        <v>96</v>
      </c>
      <c r="J21" s="5237">
        <f>+WRM!J161</f>
        <v>95.706536477953421</v>
      </c>
      <c r="K21" s="5236">
        <f>+$D$21</f>
        <v>96</v>
      </c>
      <c r="L21" s="5236">
        <f>+WRM!L161</f>
        <v>95.257540790258943</v>
      </c>
      <c r="M21" s="5238">
        <f>+$D$21</f>
        <v>96</v>
      </c>
      <c r="N21" s="5238">
        <f>+WRM!N161</f>
        <v>95.555761171680388</v>
      </c>
      <c r="O21" s="5236">
        <f>+$D$21</f>
        <v>96</v>
      </c>
      <c r="P21" s="5236">
        <f>+WRM!P161</f>
        <v>95.75055357177952</v>
      </c>
      <c r="Q21" s="5237">
        <f>+$D$21</f>
        <v>96</v>
      </c>
      <c r="R21" s="5237">
        <f>+WRM!R161</f>
        <v>95.612463029709218</v>
      </c>
      <c r="S21" s="5236">
        <f>+$D$21</f>
        <v>96</v>
      </c>
      <c r="T21" s="5236">
        <f>+WRM!T161</f>
        <v>95.876083003897975</v>
      </c>
      <c r="U21" s="5237">
        <f>+$D$21</f>
        <v>96</v>
      </c>
      <c r="V21" s="5237">
        <f>+WRM!V161</f>
        <v>95.663341821510642</v>
      </c>
      <c r="W21" s="5236">
        <f>+$D$21</f>
        <v>96</v>
      </c>
      <c r="X21" s="5236">
        <f>+WRM!X161</f>
        <v>95.610321120425965</v>
      </c>
      <c r="Y21" s="5218">
        <f>+$D$21</f>
        <v>96</v>
      </c>
      <c r="Z21" s="5238">
        <f>+WRM!Z161</f>
        <v>95.743417030300961</v>
      </c>
      <c r="AA21" s="5219">
        <f>+$D$21</f>
        <v>96</v>
      </c>
      <c r="AB21" s="5239">
        <f>+WRM!AB161</f>
        <v>95.654322697135811</v>
      </c>
      <c r="AC21" s="5236">
        <f>+$D$21</f>
        <v>96</v>
      </c>
      <c r="AD21" s="5236">
        <f>+WRM!AD161</f>
        <v>95.954340193087916</v>
      </c>
      <c r="AE21" s="5237">
        <f>+$D$21</f>
        <v>96</v>
      </c>
      <c r="AF21" s="5237">
        <f>+WRM!AF161</f>
        <v>95.687455275101897</v>
      </c>
      <c r="AG21" s="5236">
        <f>+$D$21</f>
        <v>96</v>
      </c>
      <c r="AH21" s="5236">
        <f>+WRM!AH161</f>
        <v>95.766381296125843</v>
      </c>
      <c r="AI21" s="5237">
        <f>+$D$21</f>
        <v>96</v>
      </c>
      <c r="AJ21" s="5237">
        <f>+WRM!AJ161</f>
        <v>95.69638191817792</v>
      </c>
      <c r="AK21" s="5236">
        <f>+$D$21</f>
        <v>96</v>
      </c>
      <c r="AL21" s="5236">
        <f>+WRM!AL161</f>
        <v>95.336201881591947</v>
      </c>
      <c r="AM21" s="5218">
        <f>+$D$21</f>
        <v>96</v>
      </c>
      <c r="AN21" s="5238">
        <f>+WRM!AN161</f>
        <v>95.643377799808036</v>
      </c>
      <c r="AO21" s="5237">
        <f>+$D$21</f>
        <v>96</v>
      </c>
      <c r="AP21" s="5237">
        <f>+WRM!AP161</f>
        <v>95.650922974983658</v>
      </c>
      <c r="AQ21" s="5236">
        <f>+$D$21</f>
        <v>96</v>
      </c>
      <c r="AR21" s="5236">
        <f>+WRM!AR161</f>
        <v>95.804245221551284</v>
      </c>
      <c r="AS21" s="5237">
        <f>+$D$21</f>
        <v>96</v>
      </c>
      <c r="AT21" s="5237">
        <f>+WRM!AT161</f>
        <v>95.668231617572204</v>
      </c>
      <c r="AU21" s="5236">
        <f>+$D$21</f>
        <v>96</v>
      </c>
      <c r="AV21" s="5236">
        <f>+WRM!AV161</f>
        <v>95.614821440744819</v>
      </c>
      <c r="AW21" s="5237">
        <f>+$D$21</f>
        <v>96</v>
      </c>
      <c r="AX21" s="5237">
        <f>+WRM!AX161</f>
        <v>95.663601047271698</v>
      </c>
      <c r="AY21" s="5236">
        <f>+$D$21</f>
        <v>96</v>
      </c>
      <c r="AZ21" s="5236">
        <f>+WRM!AZ161</f>
        <v>95.474822787338823</v>
      </c>
      <c r="BA21" s="5218">
        <f>+$D$21</f>
        <v>96</v>
      </c>
      <c r="BB21" s="5218">
        <f>+WRM!BB161</f>
        <v>95.629455026212497</v>
      </c>
      <c r="BC21" s="5219">
        <f>+$D$21</f>
        <v>96</v>
      </c>
      <c r="BD21" s="5219">
        <f>+WRM!BD161</f>
        <v>95.635827963269534</v>
      </c>
      <c r="BE21" s="5217">
        <f>+$D$21</f>
        <v>96</v>
      </c>
      <c r="BF21" s="5237">
        <f>+WRM!BF161</f>
        <v>95.645148147796974</v>
      </c>
      <c r="BG21" s="5220">
        <v>96</v>
      </c>
      <c r="BH21" s="5220">
        <v>95.818830917541447</v>
      </c>
      <c r="BI21" s="5220">
        <v>96</v>
      </c>
      <c r="BJ21" s="5220">
        <v>95.88178499213079</v>
      </c>
      <c r="BK21" s="5220">
        <v>96</v>
      </c>
      <c r="BL21" s="5220">
        <v>95.450038252944893</v>
      </c>
      <c r="BM21" s="5203">
        <v>95.999999938560009</v>
      </c>
      <c r="BN21" s="3983">
        <v>95.505335593423183</v>
      </c>
      <c r="BO21" s="3125">
        <v>96.222984019632065</v>
      </c>
      <c r="BP21" s="2489">
        <v>94.958654249153824</v>
      </c>
      <c r="BQ21" s="1193">
        <v>96.5</v>
      </c>
      <c r="BR21" s="1181">
        <v>96.195270984402612</v>
      </c>
      <c r="BS21" s="1181">
        <v>96.032658515622913</v>
      </c>
    </row>
    <row r="22" spans="1:71" ht="18" x14ac:dyDescent="0.3">
      <c r="A22" s="92"/>
      <c r="B22" s="5213" t="s">
        <v>91</v>
      </c>
      <c r="C22" s="5214" t="s">
        <v>49</v>
      </c>
      <c r="D22" s="5236">
        <v>96.5</v>
      </c>
      <c r="E22" s="5236">
        <f>+$D$22</f>
        <v>96.5</v>
      </c>
      <c r="F22" s="5236">
        <f>+BM!F58</f>
        <v>96.340554248429044</v>
      </c>
      <c r="G22" s="5236">
        <f>+$D$22</f>
        <v>96.5</v>
      </c>
      <c r="H22" s="5236">
        <f>+BM!H58</f>
        <v>96.517503903684087</v>
      </c>
      <c r="I22" s="5217">
        <f>+$D$22</f>
        <v>96.5</v>
      </c>
      <c r="J22" s="5237">
        <f>+BM!J58</f>
        <v>96.434687077655013</v>
      </c>
      <c r="K22" s="5236">
        <f>+$D$22</f>
        <v>96.5</v>
      </c>
      <c r="L22" s="5236">
        <f>+BM!L58</f>
        <v>96.419419676816304</v>
      </c>
      <c r="M22" s="5238">
        <f>+$D$22</f>
        <v>96.5</v>
      </c>
      <c r="N22" s="5238">
        <f>+BM!N58</f>
        <v>96.429498375073877</v>
      </c>
      <c r="O22" s="5236">
        <f>+$D$22</f>
        <v>96.5</v>
      </c>
      <c r="P22" s="5236">
        <f>+BM!P58</f>
        <v>96.454667703108399</v>
      </c>
      <c r="Q22" s="5237">
        <f>+$D$22</f>
        <v>96.5</v>
      </c>
      <c r="R22" s="5237">
        <f>+BM!R58</f>
        <v>96.436769103209457</v>
      </c>
      <c r="S22" s="5236">
        <f>+$D$22</f>
        <v>96.5</v>
      </c>
      <c r="T22" s="5236">
        <f>+BM!T58</f>
        <v>96.329019569725332</v>
      </c>
      <c r="U22" s="5237">
        <f>+$D$22</f>
        <v>96.5</v>
      </c>
      <c r="V22" s="5237">
        <f>+BM!V58</f>
        <v>96.415276787524633</v>
      </c>
      <c r="W22" s="5236">
        <f>+$D$22</f>
        <v>96.5</v>
      </c>
      <c r="X22" s="5236">
        <f>+BM!X58</f>
        <v>96.394637106483472</v>
      </c>
      <c r="Y22" s="5218">
        <f>+$D$22</f>
        <v>96.5</v>
      </c>
      <c r="Z22" s="5238">
        <f>+BM!Z58</f>
        <v>96.395894549603327</v>
      </c>
      <c r="AA22" s="5219">
        <f>+$D$22</f>
        <v>96.5</v>
      </c>
      <c r="AB22" s="5239">
        <f>+BM!AB58</f>
        <v>96.411828924430893</v>
      </c>
      <c r="AC22" s="5236">
        <f>+$D$22</f>
        <v>96.5</v>
      </c>
      <c r="AD22" s="5236">
        <f>+BM!AD58</f>
        <v>96.409969459870908</v>
      </c>
      <c r="AE22" s="5237">
        <f>+$D$22</f>
        <v>96.5</v>
      </c>
      <c r="AF22" s="5237">
        <f>+BM!AF58</f>
        <v>96.411642385974588</v>
      </c>
      <c r="AG22" s="5236">
        <f>+$D$22</f>
        <v>96.5</v>
      </c>
      <c r="AH22" s="5236">
        <f>+BM!AH58</f>
        <v>96.083717767346542</v>
      </c>
      <c r="AI22" s="5237">
        <f>+$D$22</f>
        <v>96.5</v>
      </c>
      <c r="AJ22" s="5237">
        <f>+BM!AJ58</f>
        <v>96.371941679161182</v>
      </c>
      <c r="AK22" s="5236">
        <f>+$D$22</f>
        <v>96.5</v>
      </c>
      <c r="AL22" s="5236">
        <f>+BM!AL58</f>
        <v>95.865818289064322</v>
      </c>
      <c r="AM22" s="5218">
        <f>+$D$22</f>
        <v>96.5</v>
      </c>
      <c r="AN22" s="5238">
        <f>+BM!AN58</f>
        <v>96.077497770373839</v>
      </c>
      <c r="AO22" s="5237">
        <f>+$D$22</f>
        <v>96.5</v>
      </c>
      <c r="AP22" s="5237">
        <f>+BM!AP58</f>
        <v>96.308990992984391</v>
      </c>
      <c r="AQ22" s="5236">
        <f>+$D$22</f>
        <v>96.5</v>
      </c>
      <c r="AR22" s="5236">
        <f>+BM!AR58</f>
        <v>95.990775355915758</v>
      </c>
      <c r="AS22" s="5237">
        <f>+$D$22</f>
        <v>96.5</v>
      </c>
      <c r="AT22" s="5237">
        <f>+BM!AT58</f>
        <v>96.272235186215454</v>
      </c>
      <c r="AU22" s="5236">
        <f>+$D$22</f>
        <v>96.5</v>
      </c>
      <c r="AV22" s="5236">
        <f>+BM!AV58</f>
        <v>95.9606442036267</v>
      </c>
      <c r="AW22" s="5237">
        <f>+$D$22</f>
        <v>96.5</v>
      </c>
      <c r="AX22" s="5237">
        <f>+BM!AX58</f>
        <v>96.24397956547142</v>
      </c>
      <c r="AY22" s="5236">
        <f>+$D$22</f>
        <v>96.5</v>
      </c>
      <c r="AZ22" s="5236">
        <f>+BM!AZ58</f>
        <v>93.352457710962938</v>
      </c>
      <c r="BA22" s="5218">
        <f>+$D$22</f>
        <v>96.5</v>
      </c>
      <c r="BB22" s="5218">
        <f>+BM!BB58</f>
        <v>95.076496488136257</v>
      </c>
      <c r="BC22" s="5219">
        <f>+$D$22</f>
        <v>96.5</v>
      </c>
      <c r="BD22" s="5219">
        <f>+BM!BD58</f>
        <v>95.530624031950111</v>
      </c>
      <c r="BE22" s="5217">
        <f>+$D$22</f>
        <v>96.5</v>
      </c>
      <c r="BF22" s="5237">
        <f>+BM!BF58</f>
        <v>95.97585667837896</v>
      </c>
      <c r="BG22" s="5220">
        <v>96.5</v>
      </c>
      <c r="BH22" s="5220">
        <v>96.28695091898561</v>
      </c>
      <c r="BI22" s="5220">
        <v>96.5</v>
      </c>
      <c r="BJ22" s="5220">
        <v>96.088707842896071</v>
      </c>
      <c r="BK22" s="5220">
        <v>96.5</v>
      </c>
      <c r="BL22" s="5220">
        <v>95.450022221864671</v>
      </c>
      <c r="BM22" s="5204">
        <v>96.499981924910045</v>
      </c>
      <c r="BN22" s="1181">
        <v>95.423965808878961</v>
      </c>
      <c r="BO22" s="3125">
        <v>96.209843463927712</v>
      </c>
      <c r="BP22" s="2489">
        <v>95.175924318366739</v>
      </c>
      <c r="BQ22" s="1193">
        <v>96.5</v>
      </c>
      <c r="BR22" s="1181">
        <v>96.065592581466589</v>
      </c>
      <c r="BS22" s="1181">
        <v>96.054939695674079</v>
      </c>
    </row>
    <row r="23" spans="1:71" ht="18" x14ac:dyDescent="0.3">
      <c r="A23" s="92"/>
      <c r="B23" s="5213" t="s">
        <v>109</v>
      </c>
      <c r="C23" s="5214" t="s">
        <v>49</v>
      </c>
      <c r="D23" s="5236">
        <v>94.75</v>
      </c>
      <c r="E23" s="5236">
        <f>+$D$23</f>
        <v>94.75</v>
      </c>
      <c r="F23" s="5236">
        <f>+USM!G123</f>
        <v>93.760477464473936</v>
      </c>
      <c r="G23" s="5236">
        <f>+$D$23</f>
        <v>94.75</v>
      </c>
      <c r="H23" s="5236">
        <f>+USM!I123</f>
        <v>93.848373432627127</v>
      </c>
      <c r="I23" s="5217">
        <f>+$D$23</f>
        <v>94.75</v>
      </c>
      <c r="J23" s="5237">
        <f>+USM!K123</f>
        <v>93.80756445928256</v>
      </c>
      <c r="K23" s="5236">
        <f>+$D$23</f>
        <v>94.75</v>
      </c>
      <c r="L23" s="5236">
        <f>+USM!M123</f>
        <v>94.300657609568276</v>
      </c>
      <c r="M23" s="5238">
        <f>+$D$23</f>
        <v>94.75</v>
      </c>
      <c r="N23" s="5238">
        <f>+USM!O123</f>
        <v>93.981855291627923</v>
      </c>
      <c r="O23" s="5236">
        <f>+$D$23</f>
        <v>94.75</v>
      </c>
      <c r="P23" s="5236">
        <f>+USM!Q123</f>
        <v>94.039736544191683</v>
      </c>
      <c r="Q23" s="5237">
        <f>+$D$23</f>
        <v>94.75</v>
      </c>
      <c r="R23" s="5237">
        <f>+USM!S123</f>
        <v>93.996743918003119</v>
      </c>
      <c r="S23" s="5236">
        <f>+$D$23</f>
        <v>94.75</v>
      </c>
      <c r="T23" s="5236">
        <f>+USM!U123</f>
        <v>93.446166495534285</v>
      </c>
      <c r="U23" s="5237">
        <f>+$D$23</f>
        <v>94.75</v>
      </c>
      <c r="V23" s="5237">
        <f>+USM!W123</f>
        <v>93.904783814889868</v>
      </c>
      <c r="W23" s="5236">
        <f>+$D$23</f>
        <v>94.75</v>
      </c>
      <c r="X23" s="5236">
        <f>+USM!Y123</f>
        <v>93.972449866117088</v>
      </c>
      <c r="Y23" s="5218">
        <f>+$D$23</f>
        <v>94.75</v>
      </c>
      <c r="Z23" s="5238">
        <f>+USM!AA123</f>
        <v>93.843139792150197</v>
      </c>
      <c r="AA23" s="5219">
        <f>+$D$23</f>
        <v>94.75</v>
      </c>
      <c r="AB23" s="5239">
        <f>+USM!AC123</f>
        <v>93.915443870820638</v>
      </c>
      <c r="AC23" s="5236">
        <f>+$D$23</f>
        <v>94.75</v>
      </c>
      <c r="AD23" s="5236">
        <f>+USM!AE123</f>
        <v>93.165855556550625</v>
      </c>
      <c r="AE23" s="5237">
        <f>+$D$23</f>
        <v>94.75</v>
      </c>
      <c r="AF23" s="5237">
        <f>+USM!AG123</f>
        <v>93.850869525734822</v>
      </c>
      <c r="AG23" s="5236">
        <f>+$D$23</f>
        <v>94.75</v>
      </c>
      <c r="AH23" s="5236">
        <f>+USM!AI123</f>
        <v>93.342593762703558</v>
      </c>
      <c r="AI23" s="5237">
        <f>+$D$23</f>
        <v>94.75</v>
      </c>
      <c r="AJ23" s="5237">
        <f>+USM!AK123</f>
        <v>93.787581639771929</v>
      </c>
      <c r="AK23" s="5236">
        <f>+$D$23</f>
        <v>94.75</v>
      </c>
      <c r="AL23" s="5236">
        <f>+USM!AM123</f>
        <v>93.351849425160552</v>
      </c>
      <c r="AM23" s="5218">
        <f>+$D$23</f>
        <v>94.75</v>
      </c>
      <c r="AN23" s="5238">
        <f>+USM!AO123</f>
        <v>93.306454828873257</v>
      </c>
      <c r="AO23" s="5237">
        <f>+$D$23</f>
        <v>94.75</v>
      </c>
      <c r="AP23" s="5237">
        <f>+USM!AQ123</f>
        <v>93.735934274016728</v>
      </c>
      <c r="AQ23" s="5236">
        <f>+$D$23</f>
        <v>94.75</v>
      </c>
      <c r="AR23" s="5236">
        <f>+USM!AS123</f>
        <v>93.24126088594636</v>
      </c>
      <c r="AS23" s="5237">
        <f>+$D$23</f>
        <v>94.75</v>
      </c>
      <c r="AT23" s="5237">
        <f>+USM!AU123</f>
        <v>93.68065854485144</v>
      </c>
      <c r="AU23" s="5236">
        <f>+$D$23</f>
        <v>94.75</v>
      </c>
      <c r="AV23" s="5236">
        <f>+USM!AW123</f>
        <v>94.33991758409546</v>
      </c>
      <c r="AW23" s="5237">
        <f>+$D$23</f>
        <v>94.75</v>
      </c>
      <c r="AX23" s="5237">
        <f>+USM!AY123</f>
        <v>93.744232082190848</v>
      </c>
      <c r="AY23" s="5236">
        <f>+$D$23</f>
        <v>94.75</v>
      </c>
      <c r="AZ23" s="5236">
        <f>+USM!BA123</f>
        <v>94.146464563073792</v>
      </c>
      <c r="BA23" s="5218">
        <f>+$D$23</f>
        <v>94.75</v>
      </c>
      <c r="BB23" s="5218">
        <f>+USM!BC123</f>
        <v>93.91164228167537</v>
      </c>
      <c r="BC23" s="5219">
        <f>+$D$23</f>
        <v>94.75</v>
      </c>
      <c r="BD23" s="5219">
        <f>+USM!BE123</f>
        <v>93.649582875146166</v>
      </c>
      <c r="BE23" s="5217">
        <f>+$D$23</f>
        <v>94.75</v>
      </c>
      <c r="BF23" s="5237">
        <f>+USM!BG123</f>
        <v>93.784864547510878</v>
      </c>
      <c r="BG23" s="5220">
        <v>94.75</v>
      </c>
      <c r="BH23" s="5220">
        <v>93.736035078776908</v>
      </c>
      <c r="BI23" s="5220">
        <v>94.5</v>
      </c>
      <c r="BJ23" s="5220">
        <v>94.168642194921944</v>
      </c>
      <c r="BK23" s="5220">
        <v>94.5</v>
      </c>
      <c r="BL23" s="5220">
        <v>93.371871065542948</v>
      </c>
      <c r="BM23" s="5204">
        <v>95.700065288711201</v>
      </c>
      <c r="BN23" s="1181">
        <v>93.445480895587224</v>
      </c>
      <c r="BO23" s="3125">
        <v>95.699819475340547</v>
      </c>
      <c r="BP23" s="2489">
        <v>95.266762287385887</v>
      </c>
      <c r="BQ23" s="1193">
        <v>95.7</v>
      </c>
      <c r="BR23" s="1181">
        <v>95.476013180662989</v>
      </c>
      <c r="BS23" s="1181">
        <v>95.486332877569964</v>
      </c>
    </row>
    <row r="24" spans="1:71" ht="18" x14ac:dyDescent="0.3">
      <c r="A24" s="92"/>
      <c r="B24" s="5213" t="s">
        <v>1679</v>
      </c>
      <c r="C24" s="5214" t="s">
        <v>324</v>
      </c>
      <c r="D24" s="5230">
        <v>5.9499750782715646</v>
      </c>
      <c r="E24" s="5226">
        <v>5.9579646181196697</v>
      </c>
      <c r="F24" s="5226">
        <f>EMD!E130</f>
        <v>6.0854187595724332</v>
      </c>
      <c r="G24" s="5226">
        <v>5.8950819349699</v>
      </c>
      <c r="H24" s="5226">
        <f>EMD!G130</f>
        <v>5.9794798966160601</v>
      </c>
      <c r="I24" s="5227">
        <f>EMD!H130</f>
        <v>5.9260302723648577</v>
      </c>
      <c r="J24" s="5227">
        <f>EMD!I130</f>
        <v>6.0300558618251694</v>
      </c>
      <c r="K24" s="5226">
        <v>5.8881874827843568</v>
      </c>
      <c r="L24" s="5226">
        <f>EMD!K130</f>
        <v>5.9512037427105673</v>
      </c>
      <c r="M24" s="5228">
        <f>EMD!L130</f>
        <v>5.9135485641504033</v>
      </c>
      <c r="N24" s="5228">
        <f>EMD!M130</f>
        <v>6.0018291327647386</v>
      </c>
      <c r="O24" s="5226">
        <v>5.9044904422712001</v>
      </c>
      <c r="P24" s="5226">
        <f>EMD!O130</f>
        <v>5.9231712422301168</v>
      </c>
      <c r="Q24" s="5227">
        <f>+EMD!P130</f>
        <v>5.9112818034949903</v>
      </c>
      <c r="R24" s="5227">
        <f>+EMD!Q130</f>
        <v>5.9807714639072804</v>
      </c>
      <c r="S24" s="5226">
        <v>5.9110636073860041</v>
      </c>
      <c r="T24" s="5226">
        <f>EMD!S130</f>
        <v>6.0281743753484225</v>
      </c>
      <c r="U24" s="5227">
        <f>+EMD!T130</f>
        <v>5.9112381298980665</v>
      </c>
      <c r="V24" s="5227">
        <f>+EMD!U130</f>
        <v>5.990273829903412</v>
      </c>
      <c r="W24" s="5226">
        <v>6.4404862064644854</v>
      </c>
      <c r="X24" s="5226">
        <f>EMD!W130</f>
        <v>6.2161012795046009</v>
      </c>
      <c r="Y24" s="5228">
        <f>+EMD!X130</f>
        <v>6.0185038105368784</v>
      </c>
      <c r="Z24" s="5228">
        <f>+EMD!Y130</f>
        <v>6.0504489425821761</v>
      </c>
      <c r="AA24" s="5229">
        <f>+EMD!Z130</f>
        <v>5.9615465955288425</v>
      </c>
      <c r="AB24" s="5229">
        <f>+EMD!AA130</f>
        <v>6.0267096597919014</v>
      </c>
      <c r="AC24" s="5226">
        <v>5.8977730271407953</v>
      </c>
      <c r="AD24" s="5226">
        <f>EMD!AC130</f>
        <v>6.5564087810380496</v>
      </c>
      <c r="AE24" s="5227">
        <f>+EMD!AD130</f>
        <v>5.9515643417563009</v>
      </c>
      <c r="AF24" s="5227">
        <f>+EMD!AE130</f>
        <v>6.0869783861382887</v>
      </c>
      <c r="AG24" s="5226">
        <v>5.9674105355612586</v>
      </c>
      <c r="AH24" s="5226">
        <f>EMD!AG130</f>
        <v>6.0353479588368266</v>
      </c>
      <c r="AI24" s="5227">
        <f>+EMD!AH130</f>
        <v>5.9533717467066625</v>
      </c>
      <c r="AJ24" s="5227">
        <f>+EMD!AI130</f>
        <v>6.080153206462656</v>
      </c>
      <c r="AK24" s="5226">
        <v>5.9619079993755575</v>
      </c>
      <c r="AL24" s="5226">
        <f>EMD!AK130</f>
        <v>6.1355221971831684</v>
      </c>
      <c r="AM24" s="5228">
        <f>+EMD!AL130</f>
        <v>5.9413395829166165</v>
      </c>
      <c r="AN24" s="5228">
        <f>+EMD!AM130</f>
        <v>6.2170580668958841</v>
      </c>
      <c r="AO24" s="5227">
        <f>+EMD!AN130</f>
        <v>5.9543899742998363</v>
      </c>
      <c r="AP24" s="5227">
        <f>+EMD!AO130</f>
        <v>6.0864884552825176</v>
      </c>
      <c r="AQ24" s="5226">
        <v>5.9566700099316927</v>
      </c>
      <c r="AR24" s="5226">
        <v>6.1463268879699946</v>
      </c>
      <c r="AS24" s="5227">
        <f>+EMD!AR130</f>
        <v>5.9546363052205811</v>
      </c>
      <c r="AT24" s="5227">
        <f>+EMD!AS130</f>
        <v>6.0924834275313096</v>
      </c>
      <c r="AU24" s="5226">
        <v>5.9639133095730053</v>
      </c>
      <c r="AV24" s="5226">
        <v>6.180550765571363</v>
      </c>
      <c r="AW24" s="5227">
        <f>+EMD!AV130</f>
        <v>5.9554530609729186</v>
      </c>
      <c r="AX24" s="5227">
        <f>+EMD!AW130</f>
        <v>6.1055601219291349</v>
      </c>
      <c r="AY24" s="5226">
        <v>5.8906678130989905</v>
      </c>
      <c r="AZ24" s="5226">
        <v>5.9116955600412062</v>
      </c>
      <c r="BA24" s="5228">
        <f>+EMD!AZ130</f>
        <v>5.9360969398660011</v>
      </c>
      <c r="BB24" s="5228">
        <f>+EMD!BA130</f>
        <v>6.0937878871522386</v>
      </c>
      <c r="BC24" s="5229">
        <f>+EMD!BB130</f>
        <v>5.9387319622747556</v>
      </c>
      <c r="BD24" s="5229">
        <f>+EMD!BC130</f>
        <v>6.1548892282084093</v>
      </c>
      <c r="BE24" s="5227">
        <f>+EMD!BD130</f>
        <v>5.9496424970581971</v>
      </c>
      <c r="BF24" s="5227">
        <f>+EMD!BE130</f>
        <v>6.0875484215516149</v>
      </c>
      <c r="BG24" s="5231">
        <v>5.9500019581826908</v>
      </c>
      <c r="BH24" s="5231">
        <v>6.1600133062678522</v>
      </c>
      <c r="BI24" s="5231">
        <v>5.9498028934774796</v>
      </c>
      <c r="BJ24" s="5231">
        <v>6.1924446176470314</v>
      </c>
      <c r="BK24" s="5231">
        <v>5.989203092506215</v>
      </c>
      <c r="BL24" s="5231">
        <v>6.2012037687729737</v>
      </c>
      <c r="BM24" s="5205">
        <v>5.9854778159958535</v>
      </c>
      <c r="BN24" s="1182">
        <v>6.3006370372485003</v>
      </c>
      <c r="BO24" s="3126">
        <v>6.1969869203763626</v>
      </c>
      <c r="BP24" s="2490">
        <v>6.4827565550935358</v>
      </c>
      <c r="BQ24" s="1194">
        <v>5.95</v>
      </c>
      <c r="BR24" s="1182">
        <v>6.1800190917369466</v>
      </c>
      <c r="BS24" s="1182">
        <v>6.3116941199196104</v>
      </c>
    </row>
    <row r="25" spans="1:71" ht="18" x14ac:dyDescent="0.3">
      <c r="A25" s="92"/>
      <c r="B25" s="5980" t="s">
        <v>308</v>
      </c>
      <c r="C25" s="5214" t="s">
        <v>367</v>
      </c>
      <c r="D25" s="4402">
        <v>467.95995482299668</v>
      </c>
      <c r="E25" s="4402">
        <v>461.33365080836813</v>
      </c>
      <c r="F25" s="4402">
        <f>+'POWER DISTRIBUTION'!J18/('Maj Production Summ'!F37+0.25*'Maj Production Summ'!F26)</f>
        <v>479.82720707795932</v>
      </c>
      <c r="G25" s="4402">
        <v>461.80049178666684</v>
      </c>
      <c r="H25" s="4402">
        <f>+'POWER DISTRIBUTION'!L18/('Maj Production Summ'!H37+0.25*'Maj Production Summ'!H26)</f>
        <v>454.11622509213748</v>
      </c>
      <c r="I25" s="4403">
        <f>+'POWER DISTRIBUTION'!M18/('Maj Production Summ'!I37+0.25*'Maj Production Summ'!I26)</f>
        <v>461.57082871638227</v>
      </c>
      <c r="J25" s="4403">
        <f>+'POWER DISTRIBUTION'!N18/('Maj Production Summ'!J37+0.25*'Maj Production Summ'!J26)</f>
        <v>466.10040440781603</v>
      </c>
      <c r="K25" s="4402">
        <v>461.30940171262648</v>
      </c>
      <c r="L25" s="4402">
        <f>+'POWER DISTRIBUTION'!P18/('Maj Production Summ'!L37+0.25*'Maj Production Summ'!L26)</f>
        <v>452.70788686245868</v>
      </c>
      <c r="M25" s="4405">
        <f>+'POWER DISTRIBUTION'!Q18/('Maj Production Summ'!M37+0.25*'Maj Production Summ'!M26)</f>
        <v>461.48462651792335</v>
      </c>
      <c r="N25" s="4405">
        <f>+'POWER DISTRIBUTION'!R18/('Maj Production Summ'!N37+0.25*'Maj Production Summ'!N26)</f>
        <v>461.45077998637379</v>
      </c>
      <c r="O25" s="4402">
        <v>467.7439435313612</v>
      </c>
      <c r="P25" s="4402">
        <f>+'POWER DISTRIBUTION'!T18/('Maj Production Summ'!P37+0.25*'Maj Production Summ'!P26)</f>
        <v>442.75384913193756</v>
      </c>
      <c r="Q25" s="4403">
        <f>+'POWER DISTRIBUTION'!U18/('Maj Production Summ'!Q37+0.25*'Maj Production Summ'!Q26)</f>
        <v>463.0494573265438</v>
      </c>
      <c r="R25" s="4403">
        <f>+'POWER DISTRIBUTION'!V18/('Maj Production Summ'!R37+0.25*'Maj Production Summ'!R26)</f>
        <v>456.40023769149235</v>
      </c>
      <c r="S25" s="4402">
        <v>467.7439435313612</v>
      </c>
      <c r="T25" s="4402">
        <f>+'POWER DISTRIBUTION'!X18/('Maj Production Summ'!T37+0.25*'Maj Production Summ'!T26)</f>
        <v>478.64470311607982</v>
      </c>
      <c r="U25" s="4403">
        <f>+'POWER DISTRIBUTION'!Y18/('Maj Production Summ'!U37+0.25*'Maj Production Summ'!U26)</f>
        <v>463.98835531403216</v>
      </c>
      <c r="V25" s="4403">
        <f>+'POWER DISTRIBUTION'!Z18/('Maj Production Summ'!V37+0.25*'Maj Production Summ'!V26)</f>
        <v>460.75334243184642</v>
      </c>
      <c r="W25" s="4402">
        <v>583.45256429103893</v>
      </c>
      <c r="X25" s="4402">
        <f>+'POWER DISTRIBUTION'!AB18/('Maj Production Summ'!X37+0.25*'Maj Production Summ'!X26)</f>
        <v>460.52954687490472</v>
      </c>
      <c r="Y25" s="4405">
        <f>+'POWER DISTRIBUTION'!AC18/('Maj Production Summ'!Y37+0.25*'Maj Production Summ'!Y26)</f>
        <v>491.95795398331109</v>
      </c>
      <c r="Z25" s="4405">
        <f>+'POWER DISTRIBUTION'!AD18/('Maj Production Summ'!Z37+0.25*'Maj Production Summ'!Z26)</f>
        <v>460.01161602494744</v>
      </c>
      <c r="AA25" s="5225">
        <f>+'POWER DISTRIBUTION'!AE18/('Maj Production Summ'!AA37+0.25*'Maj Production Summ'!AA26)</f>
        <v>475.42422624698077</v>
      </c>
      <c r="AB25" s="5225">
        <f>+'POWER DISTRIBUTION'!AF18/('Maj Production Summ'!AB37+0.25*'Maj Production Summ'!AB26)</f>
        <v>460.71618238606635</v>
      </c>
      <c r="AC25" s="4402">
        <v>460.88039496676566</v>
      </c>
      <c r="AD25" s="4402">
        <f>+'POWER DISTRIBUTION'!AH18/('Maj Production Summ'!AD37+0.25*'Maj Production Summ'!AD26)</f>
        <v>521.99079603557163</v>
      </c>
      <c r="AE25" s="4403">
        <f>+'POWER DISTRIBUTION'!AI18/('Maj Production Summ'!AE37+0.25*'Maj Production Summ'!AE26)</f>
        <v>473.15618622728442</v>
      </c>
      <c r="AF25" s="4403">
        <f>+'POWER DISTRIBUTION'!AJ18/('Maj Production Summ'!AF37+0.25*'Maj Production Summ'!AF26)</f>
        <v>467.91559265644059</v>
      </c>
      <c r="AG25" s="4402">
        <v>462.80371337713393</v>
      </c>
      <c r="AH25" s="4402">
        <f>+'POWER DISTRIBUTION'!AL18/('Maj Production Summ'!AH37+0.25*'Maj Production Summ'!AH26)</f>
        <v>473.49810583154363</v>
      </c>
      <c r="AI25" s="4403">
        <f>+'POWER DISTRIBUTION'!AM18/('Maj Production Summ'!AI37+0.25*'Maj Production Summ'!AI26)</f>
        <v>471.79801119937656</v>
      </c>
      <c r="AJ25" s="4403">
        <f>+'POWER DISTRIBUTION'!AN18/('Maj Production Summ'!AJ37+0.25*'Maj Production Summ'!AJ26)</f>
        <v>468.60559138543357</v>
      </c>
      <c r="AK25" s="4402">
        <v>463.03105379435601</v>
      </c>
      <c r="AL25" s="4402">
        <f>+'POWER DISTRIBUTION'!AP18/('Maj Production Summ'!AL37+0.25*'Maj Production Summ'!AL26)</f>
        <v>443.87203984592827</v>
      </c>
      <c r="AM25" s="4405">
        <f>+'POWER DISTRIBUTION'!AQ18/('Maj Production Summ'!AM37+0.25*'Maj Production Summ'!AM26)</f>
        <v>462.23235342889933</v>
      </c>
      <c r="AN25" s="4405">
        <f>+'POWER DISTRIBUTION'!AR18/('Maj Production Summ'!AN37+0.25*'Maj Production Summ'!AN26)</f>
        <v>476.38290609386956</v>
      </c>
      <c r="AO25" s="4403">
        <f>+'POWER DISTRIBUTION'!AS18/('Maj Production Summ'!AO37+0.25*'Maj Production Summ'!AO26)</f>
        <v>470.75193592471652</v>
      </c>
      <c r="AP25" s="4403">
        <f>+'POWER DISTRIBUTION'!AT18/('Maj Production Summ'!AP37+0.25*'Maj Production Summ'!AP26)</f>
        <v>465.69280821738187</v>
      </c>
      <c r="AQ25" s="4402">
        <v>459.24603448350217</v>
      </c>
      <c r="AR25" s="4402">
        <f>+'POWER DISTRIBUTION'!AV18/('Maj Production Summ'!AR37+0.25*'Maj Production Summ'!AR26)</f>
        <v>461.48646553886596</v>
      </c>
      <c r="AS25" s="4403">
        <f>+'POWER DISTRIBUTION'!AW18/('Maj Production Summ'!AS37+0.25*'Maj Production Summ'!AS26)</f>
        <v>469.50922426573226</v>
      </c>
      <c r="AT25" s="4403">
        <f>+'POWER DISTRIBUTION'!AX18/('Maj Production Summ'!AT37+0.25*'Maj Production Summ'!AT26)</f>
        <v>465.26117088539831</v>
      </c>
      <c r="AU25" s="4402">
        <v>463.10735494009629</v>
      </c>
      <c r="AV25" s="5216">
        <f>+'POWER DISTRIBUTION'!AZ18/('Maj Production Summ'!AV37+0.25*'Maj Production Summ'!AV26)</f>
        <v>502.65661012599321</v>
      </c>
      <c r="AW25" s="4403">
        <f>+'POWER DISTRIBUTION'!BA18/('Maj Production Summ'!AW37+0.25*'Maj Production Summ'!AW26)</f>
        <v>468.94679422415788</v>
      </c>
      <c r="AX25" s="4403">
        <f>+'POWER DISTRIBUTION'!BB18/('Maj Production Summ'!AX37+0.25*'Maj Production Summ'!AX26)</f>
        <v>468.16315412357602</v>
      </c>
      <c r="AY25" s="4402">
        <v>459.76937063497422</v>
      </c>
      <c r="AZ25" s="5216">
        <f>+'POWER DISTRIBUTION'!BD18/('Maj Production Summ'!AZ37+0.25*'Maj Production Summ'!AZ26)</f>
        <v>450.86502099777755</v>
      </c>
      <c r="BA25" s="4405">
        <f>+'POWER DISTRIBUTION'!BE18/('Maj Production Summ'!BA37+0.25*'Maj Production Summ'!BA26)</f>
        <v>460.61776153124572</v>
      </c>
      <c r="BB25" s="4405">
        <f>+'POWER DISTRIBUTION'!BF18/('Maj Production Summ'!BB37+0.25*'Maj Production Summ'!BB26)</f>
        <v>469.44151805270195</v>
      </c>
      <c r="BC25" s="5225">
        <f>+'POWER DISTRIBUTION'!BG18/('Maj Production Summ'!BC37+0.25*'Maj Production Summ'!BC26)</f>
        <v>461.4296796870504</v>
      </c>
      <c r="BD25" s="5225">
        <f>+'POWER DISTRIBUTION'!BH18/('Maj Production Summ'!BD37+0.25*'Maj Production Summ'!BD26)</f>
        <v>472.86316103011313</v>
      </c>
      <c r="BE25" s="4403">
        <f>+'POWER DISTRIBUTION'!BI18/('Maj Production Summ'!BE37+0.25*'Maj Production Summ'!BE26)</f>
        <v>468.12374114413348</v>
      </c>
      <c r="BF25" s="4403">
        <f>+'POWER DISTRIBUTION'!BJ18/('Maj Production Summ'!BF37+0.25*'Maj Production Summ'!BF26)</f>
        <v>466.61606325348458</v>
      </c>
      <c r="BG25" s="5224">
        <v>498.86963107144817</v>
      </c>
      <c r="BH25" s="5224">
        <v>491.52958024478414</v>
      </c>
      <c r="BI25" s="5224">
        <v>491.86597886404491</v>
      </c>
      <c r="BJ25" s="5224">
        <v>499.12040640635269</v>
      </c>
      <c r="BK25" s="5224">
        <v>499.14522665560133</v>
      </c>
      <c r="BL25" s="5224">
        <v>516.74946439793155</v>
      </c>
      <c r="BM25" s="5197">
        <v>501.08847615207304</v>
      </c>
      <c r="BN25" s="1083">
        <v>528.34198170405227</v>
      </c>
      <c r="BO25" s="3127">
        <v>500.04339220311806</v>
      </c>
      <c r="BP25" s="2489">
        <v>579.80533013641912</v>
      </c>
      <c r="BQ25" s="1195">
        <v>483.42299975438647</v>
      </c>
      <c r="BR25" s="1181">
        <v>525.26172798809614</v>
      </c>
      <c r="BS25" s="1083">
        <v>552.0369062994705</v>
      </c>
    </row>
    <row r="26" spans="1:71" ht="18" x14ac:dyDescent="0.3">
      <c r="A26" s="92"/>
      <c r="B26" s="5980"/>
      <c r="C26" s="5214" t="s">
        <v>274</v>
      </c>
      <c r="D26" s="4402">
        <v>452.47632158543593</v>
      </c>
      <c r="E26" s="4402">
        <v>445.94713913647837</v>
      </c>
      <c r="F26" s="4402">
        <f>+'POWER DISTRIBUTION'!J18/'Maj Production Summ'!F18</f>
        <v>463.47150499243207</v>
      </c>
      <c r="G26" s="4402">
        <v>446.77103204676359</v>
      </c>
      <c r="H26" s="4402">
        <f>+'POWER DISTRIBUTION'!L18/'Maj Production Summ'!H18</f>
        <v>439.53564177111588</v>
      </c>
      <c r="I26" s="4403">
        <f>+'POWER DISTRIBUTION'!M18/'Maj Production Summ'!I18</f>
        <v>446.36554496371298</v>
      </c>
      <c r="J26" s="4403">
        <f>+'POWER DISTRIBUTION'!N18/'Maj Production Summ'!J18</f>
        <v>450.70461067075678</v>
      </c>
      <c r="K26" s="4402">
        <v>445.92427373959413</v>
      </c>
      <c r="L26" s="4402">
        <f>+'POWER DISTRIBUTION'!P18/'Maj Production Summ'!L18</f>
        <v>424.25451464279837</v>
      </c>
      <c r="M26" s="4405">
        <f>+'POWER DISTRIBUTION'!Q18/'Maj Production Summ'!M18</f>
        <v>446.22000023183836</v>
      </c>
      <c r="N26" s="4405">
        <f>+'POWER DISTRIBUTION'!R18/'Maj Production Summ'!N18</f>
        <v>441.33297315033496</v>
      </c>
      <c r="O26" s="4402">
        <v>451.67957543733371</v>
      </c>
      <c r="P26" s="4402">
        <f>+'POWER DISTRIBUTION'!T18/'Maj Production Summ'!P18</f>
        <v>424.51701842872308</v>
      </c>
      <c r="Q26" s="4403">
        <f>+'POWER DISTRIBUTION'!U18/'Maj Production Summ'!Q18</f>
        <v>447.58623822643796</v>
      </c>
      <c r="R26" s="4403">
        <f>+'POWER DISTRIBUTION'!V18/'Maj Production Summ'!R18</f>
        <v>436.79886268309843</v>
      </c>
      <c r="S26" s="4402">
        <v>451.67957543733371</v>
      </c>
      <c r="T26" s="4402">
        <f>+'POWER DISTRIBUTION'!X18/'Maj Production Summ'!T18</f>
        <v>441.2684100265684</v>
      </c>
      <c r="U26" s="4403">
        <f>+'POWER DISTRIBUTION'!Y18/'Maj Production Summ'!U18</f>
        <v>448.4055505425377</v>
      </c>
      <c r="V26" s="4403">
        <f>+'POWER DISTRIBUTION'!Z18/'Maj Production Summ'!V18</f>
        <v>437.70014177784174</v>
      </c>
      <c r="W26" s="4402">
        <v>568.25162605249295</v>
      </c>
      <c r="X26" s="4402">
        <f>+'POWER DISTRIBUTION'!AB18/'Maj Production Summ'!X18</f>
        <v>452.48637104156836</v>
      </c>
      <c r="Y26" s="4405">
        <f>+'POWER DISTRIBUTION'!AC18/'Maj Production Summ'!Y18</f>
        <v>475.90977253737464</v>
      </c>
      <c r="Z26" s="4405">
        <f>+'POWER DISTRIBUTION'!AD18/'Maj Production Summ'!Z18</f>
        <v>438.89498415702241</v>
      </c>
      <c r="AA26" s="5225">
        <f>+'POWER DISTRIBUTION'!AE18/'Maj Production Summ'!AA18</f>
        <v>459.79769807737904</v>
      </c>
      <c r="AB26" s="5225">
        <f>+'POWER DISTRIBUTION'!AF18/'Maj Production Summ'!AB18</f>
        <v>440.08706997226562</v>
      </c>
      <c r="AC26" s="4402">
        <v>445.88078871917207</v>
      </c>
      <c r="AD26" s="4402">
        <f>+'POWER DISTRIBUTION'!AH18/'Maj Production Summ'!AD18</f>
        <v>520.56796880411787</v>
      </c>
      <c r="AE26" s="4403">
        <f>+'POWER DISTRIBUTION'!AI18/'Maj Production Summ'!AE18</f>
        <v>457.62803520261667</v>
      </c>
      <c r="AF26" s="4403">
        <f>+'POWER DISTRIBUTION'!AJ18/'Maj Production Summ'!AF18</f>
        <v>449.18948485974772</v>
      </c>
      <c r="AG26" s="4402">
        <v>447.36772892271716</v>
      </c>
      <c r="AH26" s="4402">
        <f>+'POWER DISTRIBUTION'!AL18/'Maj Production Summ'!AH18</f>
        <v>442.57474643939258</v>
      </c>
      <c r="AI26" s="4403">
        <f>+'POWER DISTRIBUTION'!AM18/'Maj Production Summ'!AI18</f>
        <v>456.28130463787318</v>
      </c>
      <c r="AJ26" s="4403">
        <f>+'POWER DISTRIBUTION'!AN18/'Maj Production Summ'!AJ18</f>
        <v>448.35258203361548</v>
      </c>
      <c r="AK26" s="4402">
        <v>447.96244879212134</v>
      </c>
      <c r="AL26" s="4402">
        <f>+'POWER DISTRIBUTION'!AP18/'Maj Production Summ'!AL18</f>
        <v>438.77257537174847</v>
      </c>
      <c r="AM26" s="4405">
        <f>+'POWER DISTRIBUTION'!AQ18/'Maj Production Summ'!AM18</f>
        <v>447.06722939252654</v>
      </c>
      <c r="AN26" s="4405">
        <f>+'POWER DISTRIBUTION'!AR18/'Maj Production Summ'!AN18</f>
        <v>462.92308847897897</v>
      </c>
      <c r="AO26" s="4403">
        <f>+'POWER DISTRIBUTION'!AS18/'Maj Production Summ'!AO18</f>
        <v>455.28900873306264</v>
      </c>
      <c r="AP26" s="4403">
        <f>+'POWER DISTRIBUTION'!AT18/'Maj Production Summ'!AP18</f>
        <v>447.25644997288816</v>
      </c>
      <c r="AQ26" s="4402">
        <v>444.01479744397955</v>
      </c>
      <c r="AR26" s="4402">
        <f>+'POWER DISTRIBUTION'!AV18/'Maj Production Summ'!AR18</f>
        <v>455.22207583085952</v>
      </c>
      <c r="AS26" s="4403">
        <f>+'POWER DISTRIBUTION'!AW18/'Maj Production Summ'!AS18</f>
        <v>454.07096336188602</v>
      </c>
      <c r="AT26" s="4403">
        <f>+'POWER DISTRIBUTION'!AX18/'Maj Production Summ'!AT18</f>
        <v>448.05445181532008</v>
      </c>
      <c r="AU26" s="4402">
        <v>446.83745108445066</v>
      </c>
      <c r="AV26" s="4402">
        <f>+'POWER DISTRIBUTION'!AZ18/'Maj Production Summ'!AV18</f>
        <v>501.06568467591995</v>
      </c>
      <c r="AW26" s="4403">
        <f>+'POWER DISTRIBUTION'!BA18/'Maj Production Summ'!AW18</f>
        <v>453.4341184777229</v>
      </c>
      <c r="AX26" s="4403">
        <f>+'POWER DISTRIBUTION'!BB18/'Maj Production Summ'!AX18</f>
        <v>452.03918970711334</v>
      </c>
      <c r="AY26" s="4402">
        <v>444.52082503410134</v>
      </c>
      <c r="AZ26" s="4402">
        <f>+'POWER DISTRIBUTION'!BD18/'Maj Production Summ'!AZ18</f>
        <v>436.27471117282931</v>
      </c>
      <c r="BA26" s="4405">
        <f>+'POWER DISTRIBUTION'!BE18/'Maj Production Summ'!BA18</f>
        <v>445.06135166680338</v>
      </c>
      <c r="BB26" s="4405">
        <f>+'POWER DISTRIBUTION'!BF18/'Maj Production Summ'!BB18</f>
        <v>461.19933542461723</v>
      </c>
      <c r="BC26" s="5225">
        <f>+'POWER DISTRIBUTION'!BG18/'Maj Production Summ'!BC18</f>
        <v>446.06953259872472</v>
      </c>
      <c r="BD26" s="5225">
        <f>+'POWER DISTRIBUTION'!BH18/'Maj Production Summ'!BD18</f>
        <v>462.05374825576757</v>
      </c>
      <c r="BE26" s="4403">
        <f>+'POWER DISTRIBUTION'!BI18/'Maj Production Summ'!BE18</f>
        <v>452.63468862379085</v>
      </c>
      <c r="BF26" s="4403">
        <f>+'POWER DISTRIBUTION'!BJ18/'Maj Production Summ'!BF18</f>
        <v>450.63202456670632</v>
      </c>
      <c r="BG26" s="5224">
        <v>483.40224419045359</v>
      </c>
      <c r="BH26" s="5224">
        <v>471.6278698390359</v>
      </c>
      <c r="BI26" s="5224">
        <v>475.02938820908332</v>
      </c>
      <c r="BJ26" s="5224">
        <v>476.2494644347301</v>
      </c>
      <c r="BK26" s="5224">
        <v>482.32052805467174</v>
      </c>
      <c r="BL26" s="5224">
        <v>494.76973868424994</v>
      </c>
      <c r="BM26" s="5197">
        <v>486.14726114397098</v>
      </c>
      <c r="BN26" s="1083">
        <v>514.38475747997404</v>
      </c>
      <c r="BO26" s="3127">
        <v>487.7465843305942</v>
      </c>
      <c r="BP26" s="2489">
        <v>580.20285834899937</v>
      </c>
      <c r="BQ26" s="1195">
        <v>448.29125296551734</v>
      </c>
      <c r="BR26" s="1181">
        <v>538.52023832812074</v>
      </c>
      <c r="BS26" s="1083">
        <v>565.51993685574621</v>
      </c>
    </row>
    <row r="27" spans="1:71" ht="18" x14ac:dyDescent="0.3">
      <c r="A27" s="92"/>
      <c r="B27" s="5213" t="s">
        <v>1377</v>
      </c>
      <c r="C27" s="5214" t="s">
        <v>29</v>
      </c>
      <c r="D27" s="5240">
        <v>2.850000000000001</v>
      </c>
      <c r="E27" s="5240">
        <f>+$D$27</f>
        <v>2.850000000000001</v>
      </c>
      <c r="F27" s="5240">
        <v>2.98</v>
      </c>
      <c r="G27" s="5240">
        <f>+$D$27</f>
        <v>2.850000000000001</v>
      </c>
      <c r="H27" s="5240">
        <v>2.97</v>
      </c>
      <c r="I27" s="5237">
        <f>+$D$27</f>
        <v>2.850000000000001</v>
      </c>
      <c r="J27" s="5237">
        <f>+((F27*F33)+(H27*H33))/J33</f>
        <v>2.9746662068530263</v>
      </c>
      <c r="K27" s="5240">
        <f>+$D$27</f>
        <v>2.850000000000001</v>
      </c>
      <c r="L27" s="5240">
        <v>2.96</v>
      </c>
      <c r="M27" s="5238">
        <f>+$D$27</f>
        <v>2.850000000000001</v>
      </c>
      <c r="N27" s="5238">
        <f>+((F33*F27)+(H33*H27)+(L33*L27))/N33</f>
        <v>2.9694697654381894</v>
      </c>
      <c r="O27" s="5240">
        <f>+$D$27</f>
        <v>2.850000000000001</v>
      </c>
      <c r="P27" s="5240">
        <v>2.9</v>
      </c>
      <c r="Q27" s="5237">
        <f>+$D$27</f>
        <v>2.850000000000001</v>
      </c>
      <c r="R27" s="5237">
        <f>+(((N27*N33)+(P27*P33))/R33)</f>
        <v>2.9507385309739966</v>
      </c>
      <c r="S27" s="5240">
        <f>+$D$27</f>
        <v>2.850000000000001</v>
      </c>
      <c r="T27" s="5240">
        <v>2.9</v>
      </c>
      <c r="U27" s="5237">
        <f>+$D$27</f>
        <v>2.850000000000001</v>
      </c>
      <c r="V27" s="5237">
        <f>+(((R27*R33)+(T27*T33))/V33)</f>
        <v>2.9405071644058229</v>
      </c>
      <c r="W27" s="5240">
        <f>+$D$27</f>
        <v>2.850000000000001</v>
      </c>
      <c r="X27" s="5240">
        <v>2.9049999999999998</v>
      </c>
      <c r="Y27" s="5238">
        <f>+$D$27</f>
        <v>2.850000000000001</v>
      </c>
      <c r="Z27" s="5238">
        <f>+((P33*P27)+(T33*T27)+(X33*X27))/Z33</f>
        <v>2.9015794263163683</v>
      </c>
      <c r="AA27" s="5239">
        <f>+$D$27</f>
        <v>2.850000000000001</v>
      </c>
      <c r="AB27" s="5239">
        <f>+((N27*N33)+(Z27*Z33))/AB33</f>
        <v>2.9347752735827703</v>
      </c>
      <c r="AC27" s="5240">
        <f>+$D$27</f>
        <v>2.850000000000001</v>
      </c>
      <c r="AD27" s="5236">
        <v>2.94</v>
      </c>
      <c r="AE27" s="5237">
        <f>+$D$27</f>
        <v>2.850000000000001</v>
      </c>
      <c r="AF27" s="5237">
        <f>+(((AB27*AB33)+(AD27*AD33))/AF33)</f>
        <v>2.9353661917784351</v>
      </c>
      <c r="AG27" s="5240">
        <f>+$D$27</f>
        <v>2.850000000000001</v>
      </c>
      <c r="AH27" s="5236">
        <v>2.86</v>
      </c>
      <c r="AI27" s="5237">
        <f>+$D$27</f>
        <v>2.850000000000001</v>
      </c>
      <c r="AJ27" s="5237">
        <f>+(((AF27*AF33)+(AH27*AH33))/AJ33)</f>
        <v>2.92583079145178</v>
      </c>
      <c r="AK27" s="5240">
        <f>+$D$27</f>
        <v>2.850000000000001</v>
      </c>
      <c r="AL27" s="5236">
        <v>2.87</v>
      </c>
      <c r="AM27" s="5218">
        <f>+$D$27</f>
        <v>2.850000000000001</v>
      </c>
      <c r="AN27" s="5238">
        <f>+((AD33*AD27)+(AH33*AH27)+(AL33*AL27))/AN33</f>
        <v>2.8859377390882455</v>
      </c>
      <c r="AO27" s="5237">
        <f>+$D$27</f>
        <v>2.850000000000001</v>
      </c>
      <c r="AP27" s="5237">
        <f>+(((AL27*AL33)+(AJ27*AJ33))/AP33)</f>
        <v>2.919442703985236</v>
      </c>
      <c r="AQ27" s="5240">
        <v>2.85</v>
      </c>
      <c r="AR27" s="5236">
        <v>2.88</v>
      </c>
      <c r="AS27" s="5237">
        <f>+$D$27</f>
        <v>2.850000000000001</v>
      </c>
      <c r="AT27" s="5237">
        <f>+(((AP27*AP33)+(AR27*AR33))/AT33)</f>
        <v>2.9154913069435064</v>
      </c>
      <c r="AU27" s="5240">
        <v>2.85</v>
      </c>
      <c r="AV27" s="5236">
        <v>2.86</v>
      </c>
      <c r="AW27" s="5237">
        <f>+$D$27</f>
        <v>2.850000000000001</v>
      </c>
      <c r="AX27" s="5237">
        <f>+(((AT27*AT33)+(AV27*AV33))/AX33)</f>
        <v>2.9113201473324035</v>
      </c>
      <c r="AY27" s="5240">
        <v>2.85</v>
      </c>
      <c r="AZ27" s="5236">
        <v>2.87</v>
      </c>
      <c r="BA27" s="5238">
        <f>+$D$27</f>
        <v>2.850000000000001</v>
      </c>
      <c r="BB27" s="5238">
        <f>+((AR27*AR33)+(AV27*AV33)+(AZ27*AZ33))/BB33</f>
        <v>2.8706576616643975</v>
      </c>
      <c r="BC27" s="5239">
        <f>+$D$27</f>
        <v>2.850000000000001</v>
      </c>
      <c r="BD27" s="5239">
        <f>+((AN27*AN33)+(BB27*BB33))/BD33</f>
        <v>2.8782315390123565</v>
      </c>
      <c r="BE27" s="5237">
        <f>+$D$27</f>
        <v>2.850000000000001</v>
      </c>
      <c r="BF27" s="5237">
        <f>+((AX27*AX33)+(AZ27*AZ33))/BF33</f>
        <v>2.9076318381507082</v>
      </c>
      <c r="BG27" s="5241">
        <v>2.85</v>
      </c>
      <c r="BH27" s="5241">
        <v>2.991974559276541</v>
      </c>
      <c r="BI27" s="5241">
        <v>2.85</v>
      </c>
      <c r="BJ27" s="5241">
        <v>3.0828892276362487</v>
      </c>
      <c r="BK27" s="5241">
        <v>3.3</v>
      </c>
      <c r="BL27" s="5241">
        <v>3.0186531588909742</v>
      </c>
      <c r="BM27" s="5206">
        <v>4.2999999999999989</v>
      </c>
      <c r="BN27" s="1182">
        <v>3.3197103856374044</v>
      </c>
      <c r="BO27" s="3127">
        <v>4.3000000000000007</v>
      </c>
      <c r="BP27" s="2490">
        <v>5.0407393881131286</v>
      </c>
      <c r="BQ27" s="1195">
        <v>4.5999999999999988</v>
      </c>
      <c r="BR27" s="1182">
        <v>5.0056729201905341</v>
      </c>
      <c r="BS27" s="1182">
        <v>5.0192042238753487</v>
      </c>
    </row>
    <row r="28" spans="1:71" ht="18" x14ac:dyDescent="0.3">
      <c r="A28" s="92"/>
      <c r="B28" s="5213" t="s">
        <v>368</v>
      </c>
      <c r="C28" s="5214" t="s">
        <v>1155</v>
      </c>
      <c r="D28" s="5240">
        <v>2.2695881506742244</v>
      </c>
      <c r="E28" s="5240">
        <f>+$D$28</f>
        <v>2.2695881506742244</v>
      </c>
      <c r="F28" s="5240">
        <v>2.33</v>
      </c>
      <c r="G28" s="5240">
        <f>+$D$28</f>
        <v>2.2695881506742244</v>
      </c>
      <c r="H28" s="5240">
        <v>2.3199999999999998</v>
      </c>
      <c r="I28" s="5237">
        <f>+$D$28</f>
        <v>2.2695881506742244</v>
      </c>
      <c r="J28" s="5237">
        <f>+((F28*F33)+(H28*H33))/J33</f>
        <v>2.3246662068530264</v>
      </c>
      <c r="K28" s="5240">
        <f>+$D$28</f>
        <v>2.2695881506742244</v>
      </c>
      <c r="L28" s="5240">
        <v>2.34</v>
      </c>
      <c r="M28" s="5238">
        <f>+$D$28</f>
        <v>2.2695881506742244</v>
      </c>
      <c r="N28" s="5238">
        <f>+((F33*F28)+(H33*H28)+(L33*L28))/N33</f>
        <v>2.3300991833924942</v>
      </c>
      <c r="O28" s="5240">
        <f>+$D$28</f>
        <v>2.2695881506742244</v>
      </c>
      <c r="P28" s="5240">
        <v>2.35</v>
      </c>
      <c r="Q28" s="5237">
        <f>+$D$28</f>
        <v>2.2695881506742244</v>
      </c>
      <c r="R28" s="5237">
        <f>+((N28*N33)+(P28*P33))/R33</f>
        <v>2.3354650696820594</v>
      </c>
      <c r="S28" s="5240">
        <f>+$D$28</f>
        <v>2.2695881506742244</v>
      </c>
      <c r="T28" s="5240">
        <v>2.4</v>
      </c>
      <c r="U28" s="5237">
        <f>+$D$28</f>
        <v>2.2695881506742244</v>
      </c>
      <c r="V28" s="5237">
        <f>+((R28*R33)+(T28*T33))/V33</f>
        <v>2.3484784643519361</v>
      </c>
      <c r="W28" s="5240">
        <f>+$D$28</f>
        <v>2.2695881506742244</v>
      </c>
      <c r="X28" s="5240">
        <v>2.4500000000000002</v>
      </c>
      <c r="Y28" s="5238">
        <f>+$D$28</f>
        <v>2.2695881506742244</v>
      </c>
      <c r="Z28" s="5238">
        <f>+((P33*P28)+(T33*T28)+(X33*X28))/Z33</f>
        <v>2.3981330008034742</v>
      </c>
      <c r="AA28" s="5239">
        <f>+$D$28</f>
        <v>2.2695881506742244</v>
      </c>
      <c r="AB28" s="5239">
        <f>+((N28*N33)+(Z28*Z33))/AB33+0.01</f>
        <v>2.3748669979974975</v>
      </c>
      <c r="AC28" s="5240">
        <f>+$D$28</f>
        <v>2.2695881506742244</v>
      </c>
      <c r="AD28" s="5236">
        <v>2.78</v>
      </c>
      <c r="AE28" s="5237">
        <f>+$D$28</f>
        <v>2.2695881506742244</v>
      </c>
      <c r="AF28" s="5237">
        <f>+((AB28*AB33)+(AD28*AD33))/AF33</f>
        <v>2.4206876675273259</v>
      </c>
      <c r="AG28" s="5240">
        <f>+$D$28</f>
        <v>2.2695881506742244</v>
      </c>
      <c r="AH28" s="5236">
        <v>2.41</v>
      </c>
      <c r="AI28" s="5237">
        <f>+$D$28</f>
        <v>2.2695881506742244</v>
      </c>
      <c r="AJ28" s="5237">
        <f>+(((AF28*AF33)+(AH28*AH33))/AJ33)-0.01</f>
        <v>2.409335453941547</v>
      </c>
      <c r="AK28" s="5240">
        <f>+$D$28</f>
        <v>2.2695881506742244</v>
      </c>
      <c r="AL28" s="5236">
        <v>2.4</v>
      </c>
      <c r="AM28" s="5238">
        <f>+$D$28</f>
        <v>2.2695881506742244</v>
      </c>
      <c r="AN28" s="5238">
        <f>+((AD33*AD28)+(AH33*AH28)+(AL33*AL28))/AN33</f>
        <v>2.5094618298531417</v>
      </c>
      <c r="AO28" s="5237">
        <f>+$D$28</f>
        <v>2.2695881506742244</v>
      </c>
      <c r="AP28" s="5237">
        <f>+((AL28*AL33)+(AJ28*AJ33))/AP33</f>
        <v>2.4082673032890525</v>
      </c>
      <c r="AQ28" s="5240">
        <f>+$D$28</f>
        <v>2.2695881506742244</v>
      </c>
      <c r="AR28" s="5236">
        <v>2.4</v>
      </c>
      <c r="AS28" s="5237">
        <f>+$D$28</f>
        <v>2.2695881506742244</v>
      </c>
      <c r="AT28" s="5237">
        <f>+((AP28*AP33)+(AR28*AR33))/AT33</f>
        <v>2.4074390791953979</v>
      </c>
      <c r="AU28" s="5240">
        <f>+$D$28</f>
        <v>2.2695881506742244</v>
      </c>
      <c r="AV28" s="5236">
        <v>2.48</v>
      </c>
      <c r="AW28" s="5237">
        <f>+$D$28</f>
        <v>2.2695881506742244</v>
      </c>
      <c r="AX28" s="5237">
        <f>+((AT28*AT33)+(AV28*AV33))/AX33</f>
        <v>2.4128933241731332</v>
      </c>
      <c r="AY28" s="5240">
        <f>+$D$28</f>
        <v>2.2695881506742244</v>
      </c>
      <c r="AZ28" s="5236">
        <v>2.37</v>
      </c>
      <c r="BA28" s="5238">
        <f>+$D$28</f>
        <v>2.2695881506742244</v>
      </c>
      <c r="BB28" s="5238">
        <f>+((AR28*AR33)+(AV28*AV33)+(AZ28*AZ33))/BB33</f>
        <v>2.4115605155409652</v>
      </c>
      <c r="BC28" s="5239">
        <f>+$D$28</f>
        <v>2.2695881506742244</v>
      </c>
      <c r="BD28" s="5239">
        <f>+((AN28*AN33)+(BB28*BB33))/BD33</f>
        <v>2.4600872687920416</v>
      </c>
      <c r="BE28" s="5237">
        <f>+$D$28</f>
        <v>2.2695881506742244</v>
      </c>
      <c r="BF28" s="5237">
        <f>+((AX28*AX33)+(AZ28*AZ33))/BF33</f>
        <v>2.4090645904537564</v>
      </c>
      <c r="BG28" s="5241">
        <v>2.3199999999999998</v>
      </c>
      <c r="BH28" s="5241">
        <v>2.3695074279050243</v>
      </c>
      <c r="BI28" s="5241">
        <v>2.375</v>
      </c>
      <c r="BJ28" s="5241">
        <v>2.4275691559637163</v>
      </c>
      <c r="BK28" s="5231">
        <v>2.35</v>
      </c>
      <c r="BL28" s="5231">
        <v>2.4470555125122435</v>
      </c>
      <c r="BM28" s="5205">
        <v>2.4499999999999997</v>
      </c>
      <c r="BN28" s="3985">
        <v>2.4734991631008487</v>
      </c>
      <c r="BO28" s="3126">
        <v>2.4499999999999997</v>
      </c>
      <c r="BP28" s="2491">
        <v>2.6211067789738518</v>
      </c>
      <c r="BQ28" s="1194">
        <v>2.456658</v>
      </c>
      <c r="BR28" s="1182">
        <v>2.4355941599645199</v>
      </c>
      <c r="BS28" s="1182">
        <v>2.6099530027409332</v>
      </c>
    </row>
    <row r="29" spans="1:71" ht="18" x14ac:dyDescent="0.3">
      <c r="A29" s="92"/>
      <c r="B29" s="5213" t="s">
        <v>369</v>
      </c>
      <c r="C29" s="5214" t="s">
        <v>425</v>
      </c>
      <c r="D29" s="5240">
        <v>0.5</v>
      </c>
      <c r="E29" s="5240">
        <f>+$D$29</f>
        <v>0.5</v>
      </c>
      <c r="F29" s="5240">
        <v>0.5</v>
      </c>
      <c r="G29" s="5240">
        <f>+$D$29</f>
        <v>0.5</v>
      </c>
      <c r="H29" s="5240">
        <v>0.49199999999999999</v>
      </c>
      <c r="I29" s="5237">
        <f>+$D$29</f>
        <v>0.5</v>
      </c>
      <c r="J29" s="5237">
        <f>+((F29*F33)+(H29*H33))/J33</f>
        <v>0.49573296548242118</v>
      </c>
      <c r="K29" s="5240">
        <f>+$D$29</f>
        <v>0.5</v>
      </c>
      <c r="L29" s="5240">
        <v>0.5</v>
      </c>
      <c r="M29" s="5238">
        <f>+$D$29</f>
        <v>0.5</v>
      </c>
      <c r="N29" s="5238">
        <f>+((F33*F29)+(H33*H29)+(L33*L29))/N33</f>
        <v>0.49724483525951413</v>
      </c>
      <c r="O29" s="5240">
        <f>+$D$29</f>
        <v>0.5</v>
      </c>
      <c r="P29" s="5240">
        <v>0.5</v>
      </c>
      <c r="Q29" s="5237">
        <f>+$D$29</f>
        <v>0.5</v>
      </c>
      <c r="R29" s="5237">
        <f>+((N29*N33)+(P29*P33))/R33</f>
        <v>0.49798771435829897</v>
      </c>
      <c r="S29" s="5240">
        <f>+$D$29</f>
        <v>0.5</v>
      </c>
      <c r="T29" s="5240">
        <v>0.5</v>
      </c>
      <c r="U29" s="5237">
        <f>+$D$29</f>
        <v>0.5</v>
      </c>
      <c r="V29" s="5237">
        <f>+((R29*R33)+(T29*T33))/V33</f>
        <v>0.49839348944963274</v>
      </c>
      <c r="W29" s="5240">
        <f>+$D$29</f>
        <v>0.5</v>
      </c>
      <c r="X29" s="5240">
        <v>0.5</v>
      </c>
      <c r="Y29" s="5238">
        <f>+$D$29</f>
        <v>0.5</v>
      </c>
      <c r="Z29" s="5238">
        <f>+((P33*P29)+(T33*T29)+(X33*X29))/Z33</f>
        <v>0.5</v>
      </c>
      <c r="AA29" s="5239">
        <f>+$D$29</f>
        <v>0.5</v>
      </c>
      <c r="AB29" s="5239">
        <f>+((N29*N33)+(Z29*Z33))/AB33</f>
        <v>0.49865282705754593</v>
      </c>
      <c r="AC29" s="5240">
        <f>+$D$29</f>
        <v>0.5</v>
      </c>
      <c r="AD29" s="5236">
        <v>0.5</v>
      </c>
      <c r="AE29" s="5237">
        <f>+$D$29</f>
        <v>0.5</v>
      </c>
      <c r="AF29" s="5237">
        <f>+((AB29*AB33)+(AD29*AD33))/AF33</f>
        <v>0.49880519273965673</v>
      </c>
      <c r="AG29" s="5240">
        <f>+$D$29</f>
        <v>0.5</v>
      </c>
      <c r="AH29" s="5236">
        <v>0.46</v>
      </c>
      <c r="AI29" s="5237">
        <f>+$D$29</f>
        <v>0.5</v>
      </c>
      <c r="AJ29" s="5237">
        <f>+((AF29*AF33)+(AH29*AH33))/AJ33</f>
        <v>0.49389552384443852</v>
      </c>
      <c r="AK29" s="5240">
        <f>+$D$29</f>
        <v>0.5</v>
      </c>
      <c r="AL29" s="5236">
        <v>0.49</v>
      </c>
      <c r="AM29" s="5238">
        <f>+$D$29</f>
        <v>0.5</v>
      </c>
      <c r="AN29" s="5238">
        <f>+((AD33*AD29)+(AH33*AH29)+(AL33*AL29))/AN33</f>
        <v>0.48208007551300947</v>
      </c>
      <c r="AO29" s="5237">
        <f>+$D$29</f>
        <v>0.5</v>
      </c>
      <c r="AP29" s="5237">
        <f>+((AL29*AL33)+(AJ29*AJ33))/AP33</f>
        <v>0.49344980300833369</v>
      </c>
      <c r="AQ29" s="5240">
        <f>+$D$29</f>
        <v>0.5</v>
      </c>
      <c r="AR29" s="5236">
        <v>0.5</v>
      </c>
      <c r="AS29" s="5237">
        <f>+$D$29</f>
        <v>0.5</v>
      </c>
      <c r="AT29" s="5237">
        <f>+((AP29*AP33)+(AR29*AR33))/AT33</f>
        <v>0.49410600621958684</v>
      </c>
      <c r="AU29" s="5240">
        <f>+$D$29</f>
        <v>0.5</v>
      </c>
      <c r="AV29" s="5236">
        <v>0.52</v>
      </c>
      <c r="AW29" s="5237">
        <f>+$D$29</f>
        <v>0.5</v>
      </c>
      <c r="AX29" s="5237">
        <f>+((AT29*AT33)+(AV29*AV33))/AX33</f>
        <v>0.49605240083481861</v>
      </c>
      <c r="AY29" s="5240">
        <f>+$D$29</f>
        <v>0.5</v>
      </c>
      <c r="AZ29" s="5236">
        <v>0.5</v>
      </c>
      <c r="BA29" s="5238">
        <f>+$D$29</f>
        <v>0.5</v>
      </c>
      <c r="BB29" s="5238">
        <f>+((AR29*AR33)+(AV29*AV33)+(AZ29*AZ33))/BB33</f>
        <v>0.50565536150682489</v>
      </c>
      <c r="BC29" s="5239">
        <f>+$D$29</f>
        <v>0.5</v>
      </c>
      <c r="BD29" s="5239">
        <f>+((AN29*AN33)+(BB29*BB33))/BD33</f>
        <v>0.49396979738255292</v>
      </c>
      <c r="BE29" s="5237">
        <f>+$D$29</f>
        <v>0.5</v>
      </c>
      <c r="BF29" s="5237">
        <f>+((AX29*AX33)+(AZ29*AZ33))/BF33</f>
        <v>0.49640477049433274</v>
      </c>
      <c r="BG29" s="5241">
        <v>0.5</v>
      </c>
      <c r="BH29" s="5241">
        <v>0.49588308625627264</v>
      </c>
      <c r="BI29" s="5241">
        <v>0.53</v>
      </c>
      <c r="BJ29" s="5241">
        <v>0.53450494973160534</v>
      </c>
      <c r="BK29" s="5241">
        <v>0.53</v>
      </c>
      <c r="BL29" s="5241">
        <v>0.52806819520607939</v>
      </c>
      <c r="BM29" s="5206">
        <v>0.55000000000000004</v>
      </c>
      <c r="BN29" s="1182">
        <v>0.5391608296186442</v>
      </c>
      <c r="BO29" s="3128">
        <v>0.55000000000000004</v>
      </c>
      <c r="BP29" s="2490">
        <v>0.6232821487978184</v>
      </c>
      <c r="BQ29" s="1196">
        <v>0.55112399999999995</v>
      </c>
      <c r="BR29" s="1182">
        <v>0.57147495070586141</v>
      </c>
      <c r="BS29" s="1182">
        <v>0.55061804440565798</v>
      </c>
    </row>
    <row r="30" spans="1:71" ht="18" x14ac:dyDescent="0.3">
      <c r="A30" s="92"/>
      <c r="B30" s="5213" t="s">
        <v>2256</v>
      </c>
      <c r="C30" s="5214" t="s">
        <v>547</v>
      </c>
      <c r="D30" s="4402">
        <v>789.97408213376912</v>
      </c>
      <c r="E30" s="4402">
        <f t="shared" ref="E30:AF30" si="16">+E38</f>
        <v>812.64670771500494</v>
      </c>
      <c r="F30" s="4430">
        <f t="shared" si="16"/>
        <v>724.01994644622903</v>
      </c>
      <c r="G30" s="4402">
        <f t="shared" ref="G30:H30" si="17">+G38</f>
        <v>814.8825190968206</v>
      </c>
      <c r="H30" s="4430">
        <f t="shared" si="17"/>
        <v>799.42672946489506</v>
      </c>
      <c r="I30" s="4403">
        <f t="shared" si="16"/>
        <v>813.75238109297538</v>
      </c>
      <c r="J30" s="4403">
        <f t="shared" si="16"/>
        <v>762.26283598469161</v>
      </c>
      <c r="K30" s="4402">
        <f t="shared" si="16"/>
        <v>817.70562892885039</v>
      </c>
      <c r="L30" s="4430">
        <f t="shared" si="16"/>
        <v>850.75383150272273</v>
      </c>
      <c r="M30" s="4405">
        <f t="shared" si="16"/>
        <v>815.06429122951818</v>
      </c>
      <c r="N30" s="4405">
        <f t="shared" si="16"/>
        <v>791.32400474477765</v>
      </c>
      <c r="O30" s="4402">
        <f t="shared" ref="O30:P30" si="18">+O38</f>
        <v>802.355516552626</v>
      </c>
      <c r="P30" s="4430">
        <f t="shared" si="18"/>
        <v>858.73073141775944</v>
      </c>
      <c r="Q30" s="4403">
        <f t="shared" si="16"/>
        <v>811.83068756855312</v>
      </c>
      <c r="R30" s="4403">
        <f t="shared" si="16"/>
        <v>808.32928989530308</v>
      </c>
      <c r="S30" s="4402">
        <f t="shared" si="16"/>
        <v>803.0385660843109</v>
      </c>
      <c r="T30" s="4430">
        <f t="shared" si="16"/>
        <v>807.72736148331228</v>
      </c>
      <c r="U30" s="4403">
        <f t="shared" ref="U30:X30" si="19">+U38</f>
        <v>810.04622105357214</v>
      </c>
      <c r="V30" s="4403">
        <f t="shared" si="19"/>
        <v>808.18827844831412</v>
      </c>
      <c r="W30" s="4402">
        <f t="shared" si="19"/>
        <v>444.87961481035342</v>
      </c>
      <c r="X30" s="4430">
        <f t="shared" si="19"/>
        <v>800.50814464028986</v>
      </c>
      <c r="Y30" s="4405">
        <f t="shared" si="16"/>
        <v>685.40836522048141</v>
      </c>
      <c r="Z30" s="4405">
        <f t="shared" si="16"/>
        <v>822.67304970318651</v>
      </c>
      <c r="AA30" s="5225">
        <f t="shared" si="16"/>
        <v>750.46891161293547</v>
      </c>
      <c r="AB30" s="5225">
        <f t="shared" si="16"/>
        <v>806.9679414653026</v>
      </c>
      <c r="AC30" s="4402">
        <f t="shared" si="16"/>
        <v>821.61133260872475</v>
      </c>
      <c r="AD30" s="4430">
        <f t="shared" si="16"/>
        <v>627.19218779449864</v>
      </c>
      <c r="AE30" s="4403">
        <f t="shared" si="16"/>
        <v>760.71261269174067</v>
      </c>
      <c r="AF30" s="4403">
        <f t="shared" si="16"/>
        <v>781.13691770772482</v>
      </c>
      <c r="AG30" s="4402">
        <f t="shared" ref="AG30:AJ30" si="20">+AG38</f>
        <v>825.17752502414544</v>
      </c>
      <c r="AH30" s="4430">
        <f t="shared" si="20"/>
        <v>812.21648212896196</v>
      </c>
      <c r="AI30" s="4403">
        <f t="shared" si="20"/>
        <v>768.59572203946641</v>
      </c>
      <c r="AJ30" s="4403">
        <f t="shared" si="20"/>
        <v>784.93789475121423</v>
      </c>
      <c r="AK30" s="4402">
        <f t="shared" ref="AK30:AL30" si="21">+AK38</f>
        <v>824.42828574909777</v>
      </c>
      <c r="AL30" s="4430">
        <f t="shared" si="21"/>
        <v>805.04627302386416</v>
      </c>
      <c r="AM30" s="4405">
        <f t="shared" ref="AM30:BF30" si="22">+AM38</f>
        <v>823.72805861312543</v>
      </c>
      <c r="AN30" s="4405">
        <f t="shared" si="22"/>
        <v>747.27457978871462</v>
      </c>
      <c r="AO30" s="4403">
        <f t="shared" si="22"/>
        <v>774.83791615178154</v>
      </c>
      <c r="AP30" s="4403">
        <f t="shared" si="22"/>
        <v>787.1607652226935</v>
      </c>
      <c r="AQ30" s="4402">
        <f t="shared" si="22"/>
        <v>838.81244623945884</v>
      </c>
      <c r="AR30" s="4430">
        <f t="shared" si="22"/>
        <v>789.63550917454529</v>
      </c>
      <c r="AS30" s="4403">
        <f t="shared" si="22"/>
        <v>781.25936444458023</v>
      </c>
      <c r="AT30" s="4403">
        <f t="shared" si="22"/>
        <v>787.39074658951756</v>
      </c>
      <c r="AU30" s="4402">
        <f t="shared" ref="AU30:AV30" si="23">+AU38</f>
        <v>830.48772690547321</v>
      </c>
      <c r="AV30" s="4430">
        <f t="shared" si="23"/>
        <v>707.99769922610335</v>
      </c>
      <c r="AW30" s="4403">
        <f t="shared" si="22"/>
        <v>785.40124510832266</v>
      </c>
      <c r="AX30" s="4403">
        <f t="shared" si="22"/>
        <v>780.89800576265588</v>
      </c>
      <c r="AY30" s="4402">
        <f t="shared" si="22"/>
        <v>839.77411141141556</v>
      </c>
      <c r="AZ30" s="4430">
        <f t="shared" si="22"/>
        <v>837.34047478274499</v>
      </c>
      <c r="BA30" s="5218">
        <f t="shared" si="22"/>
        <v>836.55358401556646</v>
      </c>
      <c r="BB30" s="4405">
        <f t="shared" si="22"/>
        <v>780.49294118867783</v>
      </c>
      <c r="BC30" s="5225">
        <f t="shared" si="22"/>
        <v>830.07564496772477</v>
      </c>
      <c r="BD30" s="5225">
        <f t="shared" si="22"/>
        <v>763.66364360461557</v>
      </c>
      <c r="BE30" s="4403">
        <f t="shared" si="22"/>
        <v>789.974082133769</v>
      </c>
      <c r="BF30" s="4403">
        <f t="shared" si="22"/>
        <v>785.5870465334782</v>
      </c>
      <c r="BG30" s="5224">
        <v>712.17383164731029</v>
      </c>
      <c r="BH30" s="5224">
        <v>691.16367009719045</v>
      </c>
      <c r="BI30" s="5224">
        <v>729.20663969961981</v>
      </c>
      <c r="BJ30" s="5224">
        <v>695.16314963675404</v>
      </c>
      <c r="BK30" s="5224">
        <v>656.40621199671705</v>
      </c>
      <c r="BL30" s="5224">
        <v>639.11266207165545</v>
      </c>
      <c r="BM30" s="5197">
        <v>615.77607331821741</v>
      </c>
      <c r="BN30" s="1083">
        <v>561.88093987319337</v>
      </c>
      <c r="BO30" s="3129">
        <v>549.90657676580804</v>
      </c>
      <c r="BP30" s="2492">
        <v>459.24950351799106</v>
      </c>
      <c r="BQ30" s="1721">
        <v>562.64319308862753</v>
      </c>
      <c r="BR30" s="1083">
        <v>490.34382042747291</v>
      </c>
      <c r="BS30" s="1083">
        <v>421.02863329539394</v>
      </c>
    </row>
    <row r="31" spans="1:71" ht="18" x14ac:dyDescent="0.3">
      <c r="A31" s="92"/>
      <c r="B31" s="5221" t="s">
        <v>2255</v>
      </c>
      <c r="C31" s="5222" t="s">
        <v>547</v>
      </c>
      <c r="D31" s="4430"/>
      <c r="E31" s="4430"/>
      <c r="F31" s="4430"/>
      <c r="G31" s="4430"/>
      <c r="H31" s="4430"/>
      <c r="I31" s="4430"/>
      <c r="J31" s="4430"/>
      <c r="K31" s="4430"/>
      <c r="L31" s="4430"/>
      <c r="M31" s="4405"/>
      <c r="N31" s="4405"/>
      <c r="O31" s="4430"/>
      <c r="P31" s="4430"/>
      <c r="Q31" s="4430"/>
      <c r="R31" s="4430"/>
      <c r="S31" s="4430"/>
      <c r="T31" s="4430"/>
      <c r="U31" s="4430"/>
      <c r="V31" s="4430"/>
      <c r="W31" s="4430"/>
      <c r="X31" s="4430"/>
      <c r="Y31" s="4405"/>
      <c r="Z31" s="4405"/>
      <c r="AA31" s="5225"/>
      <c r="AB31" s="5225"/>
      <c r="AC31" s="4430"/>
      <c r="AD31" s="4430">
        <f>+AD43</f>
        <v>210.92733663322568</v>
      </c>
      <c r="AE31" s="4430"/>
      <c r="AF31" s="4430"/>
      <c r="AG31" s="4430"/>
      <c r="AH31" s="4430">
        <f>+AH43</f>
        <v>268.17838859292317</v>
      </c>
      <c r="AI31" s="4403"/>
      <c r="AJ31" s="4403"/>
      <c r="AK31" s="4430"/>
      <c r="AL31" s="4430">
        <f>+AL43</f>
        <v>268.16346452427814</v>
      </c>
      <c r="AM31" s="4430"/>
      <c r="AN31" s="4430"/>
      <c r="AO31" s="4430"/>
      <c r="AP31" s="4430"/>
      <c r="AQ31" s="4430"/>
      <c r="AR31" s="4430">
        <f>+AR43</f>
        <v>274.37361194337399</v>
      </c>
      <c r="AS31" s="4430"/>
      <c r="AT31" s="4430"/>
      <c r="AU31" s="4430"/>
      <c r="AV31" s="4430">
        <f>+AV43</f>
        <v>256.6506322986628</v>
      </c>
      <c r="AW31" s="4430"/>
      <c r="AX31" s="4430"/>
      <c r="AY31" s="4430"/>
      <c r="AZ31" s="4430">
        <f>+AZ43</f>
        <v>308.14852942293248</v>
      </c>
      <c r="BA31" s="5215"/>
      <c r="BB31" s="4430"/>
      <c r="BC31" s="4430"/>
      <c r="BD31" s="4430"/>
      <c r="BE31" s="4430"/>
      <c r="BF31" s="4430"/>
      <c r="BG31" s="4430"/>
      <c r="BH31" s="4430"/>
      <c r="BI31" s="4430"/>
      <c r="BJ31" s="4430"/>
      <c r="BK31" s="4430"/>
      <c r="BL31" s="4430"/>
      <c r="BM31" s="5188"/>
      <c r="BN31" s="5190"/>
      <c r="BO31" s="5191"/>
      <c r="BP31" s="5192"/>
      <c r="BQ31" s="5189"/>
      <c r="BR31" s="5190"/>
      <c r="BS31" s="5190"/>
    </row>
    <row r="32" spans="1:71" ht="15" thickBot="1" x14ac:dyDescent="0.35"/>
    <row r="33" spans="1:71" ht="15" customHeight="1" x14ac:dyDescent="0.3">
      <c r="A33" s="151"/>
      <c r="B33" s="5973" t="s">
        <v>2257</v>
      </c>
      <c r="C33" s="5260" t="s">
        <v>588</v>
      </c>
      <c r="D33" s="270">
        <f>'Maj Production Summ'!D18</f>
        <v>2769999.8857412599</v>
      </c>
      <c r="E33" s="270">
        <f>'Maj Production Summ'!E18</f>
        <v>237110.48158640199</v>
      </c>
      <c r="F33" s="270">
        <f>'Maj Production Summ'!F18</f>
        <v>207020</v>
      </c>
      <c r="G33" s="270">
        <f>'Maj Production Summ'!G18</f>
        <v>244664.77809253999</v>
      </c>
      <c r="H33" s="270">
        <f>'Maj Production Summ'!H18</f>
        <v>236638</v>
      </c>
      <c r="I33" s="368">
        <f t="shared" ref="I33:J36" si="24">+E33+G33</f>
        <v>481775.25967894198</v>
      </c>
      <c r="J33" s="368">
        <f t="shared" si="24"/>
        <v>443658</v>
      </c>
      <c r="K33" s="270">
        <f>'Maj Production Summ'!K18</f>
        <v>237110.48158640199</v>
      </c>
      <c r="L33" s="270">
        <f>'Maj Production Summ'!L18</f>
        <v>243453</v>
      </c>
      <c r="M33" s="613">
        <f t="shared" ref="M33:N36" si="25">+E33+G33+K33</f>
        <v>718885.74126534397</v>
      </c>
      <c r="N33" s="613">
        <f t="shared" si="25"/>
        <v>687111</v>
      </c>
      <c r="O33" s="270">
        <f>'Maj Production Summ'!O18</f>
        <v>239943.34277620399</v>
      </c>
      <c r="P33" s="270">
        <f>'Maj Production Summ'!P18</f>
        <v>253662</v>
      </c>
      <c r="Q33" s="270">
        <f t="shared" ref="Q33:R36" si="26">+M33+O33</f>
        <v>958829.08404154796</v>
      </c>
      <c r="R33" s="270">
        <f t="shared" si="26"/>
        <v>940773</v>
      </c>
      <c r="S33" s="270">
        <f>'Maj Production Summ'!S18</f>
        <v>239943.34277620399</v>
      </c>
      <c r="T33" s="270">
        <f>'Maj Production Summ'!T18</f>
        <v>237622</v>
      </c>
      <c r="U33" s="270">
        <f t="shared" ref="U33:U36" si="27">+Q33+S33</f>
        <v>1198772.426817752</v>
      </c>
      <c r="V33" s="270">
        <f t="shared" ref="V33:V36" si="28">+R33+T33</f>
        <v>1178395</v>
      </c>
      <c r="W33" s="270">
        <f>'Maj Production Summ'!W18</f>
        <v>125920.679886686</v>
      </c>
      <c r="X33" s="270">
        <f>'Maj Production Summ'!X18</f>
        <v>226847</v>
      </c>
      <c r="Y33" s="613">
        <f t="shared" ref="Y33:Z36" si="29">+O33+S33+W33</f>
        <v>605807.36543909402</v>
      </c>
      <c r="Z33" s="613">
        <f t="shared" si="29"/>
        <v>718131</v>
      </c>
      <c r="AA33" s="1039">
        <f>+M33+Y33</f>
        <v>1324693.1067044381</v>
      </c>
      <c r="AB33" s="1039">
        <f>+N33+Z33</f>
        <v>1405242</v>
      </c>
      <c r="AC33" s="270">
        <f>'Maj Production Summ'!AC18</f>
        <v>244664.77809253999</v>
      </c>
      <c r="AD33" s="270">
        <f>'Maj Production Summ'!AD18</f>
        <v>179201</v>
      </c>
      <c r="AE33" s="270">
        <f t="shared" ref="AE33:AE36" si="30">+AA33+AC33</f>
        <v>1569357.884796978</v>
      </c>
      <c r="AF33" s="270">
        <f t="shared" ref="AF33:AF36" si="31">+AB33+AD33</f>
        <v>1584443</v>
      </c>
      <c r="AG33" s="270">
        <f>'Maj Production Summ'!AG18</f>
        <v>237110.48158640199</v>
      </c>
      <c r="AH33" s="270">
        <f>'Maj Production Summ'!AH18</f>
        <v>229502</v>
      </c>
      <c r="AI33" s="368">
        <f t="shared" ref="AI33:AI36" si="32">+AE33+AG33</f>
        <v>1806468.36638338</v>
      </c>
      <c r="AJ33" s="368">
        <f t="shared" ref="AJ33:AJ36" si="33">+AF33+AH33</f>
        <v>1813945</v>
      </c>
      <c r="AK33" s="270">
        <f>'Maj Production Summ'!AK18</f>
        <v>244664.77809253999</v>
      </c>
      <c r="AL33" s="270">
        <f>'Maj Production Summ'!AL18</f>
        <v>234365</v>
      </c>
      <c r="AM33" s="270">
        <f t="shared" ref="AM33:AM36" si="34">+AC33+AG33+AK33</f>
        <v>726440.03777148202</v>
      </c>
      <c r="AN33" s="270">
        <f t="shared" ref="AN33:AN36" si="35">+AD33+AH33+AL33</f>
        <v>643068</v>
      </c>
      <c r="AO33" s="270">
        <f>AI33+AK33</f>
        <v>2051133.1444759201</v>
      </c>
      <c r="AP33" s="270">
        <f>AJ33+AL33</f>
        <v>2048310</v>
      </c>
      <c r="AQ33" s="270">
        <f>'Maj Production Summ'!AQ18</f>
        <v>248441.92634560907</v>
      </c>
      <c r="AR33" s="270">
        <f>'Maj Production Summ'!AR18</f>
        <v>228047</v>
      </c>
      <c r="AS33" s="270">
        <f t="shared" ref="AS33:AS36" si="36">+AO33+AQ33</f>
        <v>2299575.0708215293</v>
      </c>
      <c r="AT33" s="270">
        <f t="shared" ref="AT33:AT36" si="37">+AP33+AR33</f>
        <v>2276357</v>
      </c>
      <c r="AU33" s="270">
        <f>'Maj Production Summ'!AU18</f>
        <v>222001.88857412653</v>
      </c>
      <c r="AV33" s="270">
        <f>'Maj Production Summ'!AV18</f>
        <v>185016</v>
      </c>
      <c r="AW33" s="270">
        <f t="shared" ref="AW33:AW36" si="38">+AS33+AU33</f>
        <v>2521576.9593956559</v>
      </c>
      <c r="AX33" s="270">
        <f t="shared" ref="AX33:AX36" si="39">+AT33+AV33</f>
        <v>2461373</v>
      </c>
      <c r="AY33" s="270">
        <f>'Maj Production Summ'!AY18</f>
        <v>248441.92634560907</v>
      </c>
      <c r="AZ33" s="270">
        <f>'Maj Production Summ'!AZ18</f>
        <v>241240</v>
      </c>
      <c r="BA33" s="270">
        <f t="shared" ref="BA33:BA36" si="40">+AQ33+AU33+AY33</f>
        <v>718885.74126534467</v>
      </c>
      <c r="BB33" s="270">
        <f t="shared" ref="BB33:BB36" si="41">+AR33+AV33+AZ33</f>
        <v>654303</v>
      </c>
      <c r="BC33" s="270">
        <f>+AM33+BA33</f>
        <v>1445325.7790368267</v>
      </c>
      <c r="BD33" s="270">
        <f>+AN33+BB33</f>
        <v>1297371</v>
      </c>
      <c r="BE33" s="270">
        <f t="shared" ref="BE33:BF36" si="42">+AW33+AY33</f>
        <v>2770018.885741265</v>
      </c>
      <c r="BF33" s="270">
        <f t="shared" si="42"/>
        <v>2702613</v>
      </c>
      <c r="BG33" s="270">
        <v>2489528.3018867923</v>
      </c>
      <c r="BH33" s="270">
        <v>2436959</v>
      </c>
      <c r="BI33" s="270">
        <v>2620075.4716981109</v>
      </c>
      <c r="BJ33" s="270">
        <v>2528925</v>
      </c>
      <c r="BK33" s="270">
        <v>2499999.9999999981</v>
      </c>
      <c r="BL33" s="272">
        <v>2422324.3024999998</v>
      </c>
      <c r="BM33" s="5256">
        <v>2573000.7983342619</v>
      </c>
      <c r="BN33" s="3986">
        <v>2322716</v>
      </c>
      <c r="BO33" s="3130"/>
      <c r="BP33" s="2505"/>
      <c r="BQ33" s="151"/>
      <c r="BR33" s="151"/>
      <c r="BS33" s="146"/>
    </row>
    <row r="34" spans="1:71" ht="15" customHeight="1" x14ac:dyDescent="0.3">
      <c r="A34" s="151"/>
      <c r="B34" s="5974"/>
      <c r="C34" s="5221" t="s">
        <v>591</v>
      </c>
      <c r="D34" s="4430">
        <f>'Maj Production Summ'!D26</f>
        <v>14270</v>
      </c>
      <c r="E34" s="4430">
        <f>'Maj Production Summ'!E26</f>
        <v>810</v>
      </c>
      <c r="F34" s="4430">
        <f>'Maj Production Summ'!F26</f>
        <v>4661.7268380000005</v>
      </c>
      <c r="G34" s="4430">
        <f>'Maj Production Summ'!G26</f>
        <v>810</v>
      </c>
      <c r="H34" s="4430">
        <f>'Maj Production Summ'!H26</f>
        <v>2950.1684780000001</v>
      </c>
      <c r="I34" s="4403">
        <f t="shared" si="24"/>
        <v>1620</v>
      </c>
      <c r="J34" s="4403">
        <f t="shared" si="24"/>
        <v>7611.8953160000001</v>
      </c>
      <c r="K34" s="4430">
        <f>'Maj Production Summ'!K26</f>
        <v>810</v>
      </c>
      <c r="L34" s="4430">
        <f>'Maj Production Summ'!L26</f>
        <v>1030.457772</v>
      </c>
      <c r="M34" s="4405">
        <f t="shared" si="25"/>
        <v>2430</v>
      </c>
      <c r="N34" s="4405">
        <f t="shared" si="25"/>
        <v>8642.3530879999998</v>
      </c>
      <c r="O34" s="4430">
        <f>'Maj Production Summ'!O26</f>
        <v>810</v>
      </c>
      <c r="P34" s="4430">
        <f>'Maj Production Summ'!P26</f>
        <v>0</v>
      </c>
      <c r="Q34" s="4430">
        <f t="shared" si="26"/>
        <v>3240</v>
      </c>
      <c r="R34" s="4430">
        <f t="shared" si="26"/>
        <v>8642.3530879999998</v>
      </c>
      <c r="S34" s="4430">
        <f>'Maj Production Summ'!S26</f>
        <v>810</v>
      </c>
      <c r="T34" s="4430">
        <f>'Maj Production Summ'!T26</f>
        <v>164.40840400000002</v>
      </c>
      <c r="U34" s="4430">
        <f t="shared" si="27"/>
        <v>4050</v>
      </c>
      <c r="V34" s="4430">
        <f t="shared" si="28"/>
        <v>8806.7614919999996</v>
      </c>
      <c r="W34" s="4430">
        <f>'Maj Production Summ'!W26</f>
        <v>5360</v>
      </c>
      <c r="X34" s="4430">
        <f>'Maj Production Summ'!X26</f>
        <v>292.81079599999998</v>
      </c>
      <c r="Y34" s="4405">
        <f t="shared" si="29"/>
        <v>6980</v>
      </c>
      <c r="Z34" s="4405">
        <f t="shared" si="29"/>
        <v>457.2192</v>
      </c>
      <c r="AA34" s="5225">
        <f t="shared" ref="AA34:AB36" si="43">+M34+Y34</f>
        <v>9410</v>
      </c>
      <c r="AB34" s="5225">
        <f t="shared" si="43"/>
        <v>9099.5722879999994</v>
      </c>
      <c r="AC34" s="4430">
        <f>'Maj Production Summ'!AC26</f>
        <v>810</v>
      </c>
      <c r="AD34" s="4430">
        <f>'Maj Production Summ'!AD26</f>
        <v>9043.2686400000002</v>
      </c>
      <c r="AE34" s="4430">
        <f t="shared" si="30"/>
        <v>10220</v>
      </c>
      <c r="AF34" s="4430">
        <f t="shared" si="31"/>
        <v>18142.840927999998</v>
      </c>
      <c r="AG34" s="4430">
        <f>'Maj Production Summ'!AG26</f>
        <v>810</v>
      </c>
      <c r="AH34" s="4430">
        <f>'Maj Production Summ'!AH26</f>
        <v>154.21622600000001</v>
      </c>
      <c r="AI34" s="4403">
        <f t="shared" si="32"/>
        <v>11030</v>
      </c>
      <c r="AJ34" s="4403">
        <f t="shared" si="33"/>
        <v>18297.057153999998</v>
      </c>
      <c r="AK34" s="4430">
        <f>'Maj Production Summ'!AK26</f>
        <v>810</v>
      </c>
      <c r="AL34" s="4430">
        <f>'Maj Production Summ'!AL26</f>
        <v>40.725159999999995</v>
      </c>
      <c r="AM34" s="4430">
        <f t="shared" si="34"/>
        <v>2430</v>
      </c>
      <c r="AN34" s="4430">
        <f t="shared" si="35"/>
        <v>9238.2100260000007</v>
      </c>
      <c r="AO34" s="4430">
        <f t="shared" ref="AO34:AO36" si="44">AI34+AK34</f>
        <v>11840</v>
      </c>
      <c r="AP34" s="4430">
        <f t="shared" ref="AP34:AP36" si="45">AJ34+AL34</f>
        <v>18337.782314</v>
      </c>
      <c r="AQ34" s="4430">
        <f>'Maj Production Summ'!AQ26</f>
        <v>810</v>
      </c>
      <c r="AR34" s="4430">
        <f>'Maj Production Summ'!AR26</f>
        <v>1557.1072680000002</v>
      </c>
      <c r="AS34" s="4430">
        <f t="shared" si="36"/>
        <v>12650</v>
      </c>
      <c r="AT34" s="4430">
        <f t="shared" si="37"/>
        <v>19894.889582</v>
      </c>
      <c r="AU34" s="4430">
        <f>'Maj Production Summ'!AU26</f>
        <v>810</v>
      </c>
      <c r="AV34" s="4430">
        <f>'Maj Production Summ'!AV26</f>
        <v>920</v>
      </c>
      <c r="AW34" s="4430">
        <f t="shared" si="38"/>
        <v>13460</v>
      </c>
      <c r="AX34" s="4430">
        <f t="shared" si="39"/>
        <v>20814.889582</v>
      </c>
      <c r="AY34" s="4430">
        <f>'Maj Production Summ'!AY26</f>
        <v>810</v>
      </c>
      <c r="AZ34" s="4430">
        <f>'Maj Production Summ'!AZ26</f>
        <v>401.63434799999999</v>
      </c>
      <c r="BA34" s="4430">
        <f t="shared" si="40"/>
        <v>2430</v>
      </c>
      <c r="BB34" s="4430">
        <f t="shared" si="41"/>
        <v>2878.7416160000002</v>
      </c>
      <c r="BC34" s="4430">
        <f t="shared" ref="BC34:BC36" si="46">+AM34+BA34</f>
        <v>4860</v>
      </c>
      <c r="BD34" s="4430">
        <f t="shared" ref="BD34:BD36" si="47">+AN34+BB34</f>
        <v>12116.951642</v>
      </c>
      <c r="BE34" s="4430">
        <f t="shared" si="42"/>
        <v>14270</v>
      </c>
      <c r="BF34" s="4430">
        <f t="shared" si="42"/>
        <v>21216.523929999999</v>
      </c>
      <c r="BG34" s="4430">
        <v>9365</v>
      </c>
      <c r="BH34" s="4430">
        <v>25856.451263999999</v>
      </c>
      <c r="BI34" s="4430">
        <v>21561.099796334001</v>
      </c>
      <c r="BJ34" s="4430">
        <v>13596.897649999999</v>
      </c>
      <c r="BK34" s="4430">
        <v>22929.735234215885</v>
      </c>
      <c r="BL34" s="5261">
        <v>16335.783939999999</v>
      </c>
      <c r="BM34" s="5257">
        <v>34051.635437881865</v>
      </c>
      <c r="BN34" s="3988">
        <v>32547.079289999998</v>
      </c>
      <c r="BO34" s="3131"/>
      <c r="BP34" s="2506"/>
      <c r="BQ34" s="151"/>
      <c r="BR34" s="151"/>
      <c r="BS34" s="146"/>
    </row>
    <row r="35" spans="1:71" ht="15" customHeight="1" x14ac:dyDescent="0.3">
      <c r="A35" s="151"/>
      <c r="B35" s="5974"/>
      <c r="C35" s="5221" t="s">
        <v>589</v>
      </c>
      <c r="D35" s="4430">
        <f>+D34/2</f>
        <v>7135</v>
      </c>
      <c r="E35" s="4430">
        <f>+E34/2</f>
        <v>405</v>
      </c>
      <c r="F35" s="4430">
        <f>+F34/2</f>
        <v>2330.8634190000002</v>
      </c>
      <c r="G35" s="4430">
        <f>+G34/2</f>
        <v>405</v>
      </c>
      <c r="H35" s="4430">
        <f>+H34/2</f>
        <v>1475.084239</v>
      </c>
      <c r="I35" s="4403">
        <f t="shared" si="24"/>
        <v>810</v>
      </c>
      <c r="J35" s="4403">
        <f t="shared" si="24"/>
        <v>3805.947658</v>
      </c>
      <c r="K35" s="4430">
        <f>+K34/2</f>
        <v>405</v>
      </c>
      <c r="L35" s="4430">
        <f>+L34/2</f>
        <v>515.22888599999999</v>
      </c>
      <c r="M35" s="4405">
        <f t="shared" si="25"/>
        <v>1215</v>
      </c>
      <c r="N35" s="4405">
        <f t="shared" si="25"/>
        <v>4321.1765439999999</v>
      </c>
      <c r="O35" s="4430">
        <f>+O34/2</f>
        <v>405</v>
      </c>
      <c r="P35" s="4430">
        <f>+P34/2</f>
        <v>0</v>
      </c>
      <c r="Q35" s="4430">
        <f t="shared" si="26"/>
        <v>1620</v>
      </c>
      <c r="R35" s="4430">
        <f t="shared" si="26"/>
        <v>4321.1765439999999</v>
      </c>
      <c r="S35" s="4430">
        <f>+S34/2</f>
        <v>405</v>
      </c>
      <c r="T35" s="4430">
        <f>+T34/2</f>
        <v>82.204202000000009</v>
      </c>
      <c r="U35" s="4430">
        <f t="shared" si="27"/>
        <v>2025</v>
      </c>
      <c r="V35" s="4430">
        <f t="shared" si="28"/>
        <v>4403.3807459999998</v>
      </c>
      <c r="W35" s="4430">
        <f>+W34/2</f>
        <v>2680</v>
      </c>
      <c r="X35" s="4430">
        <f>+X34/2</f>
        <v>146.40539799999999</v>
      </c>
      <c r="Y35" s="4405">
        <f t="shared" si="29"/>
        <v>3490</v>
      </c>
      <c r="Z35" s="4405">
        <f t="shared" si="29"/>
        <v>228.6096</v>
      </c>
      <c r="AA35" s="5225">
        <f t="shared" si="43"/>
        <v>4705</v>
      </c>
      <c r="AB35" s="5225">
        <f t="shared" si="43"/>
        <v>4549.7861439999997</v>
      </c>
      <c r="AC35" s="4430">
        <f>+AC34/2</f>
        <v>405</v>
      </c>
      <c r="AD35" s="4430">
        <f>+AD34/2</f>
        <v>4521.6343200000001</v>
      </c>
      <c r="AE35" s="4430">
        <f t="shared" si="30"/>
        <v>5110</v>
      </c>
      <c r="AF35" s="4430">
        <f t="shared" si="31"/>
        <v>9071.4204639999989</v>
      </c>
      <c r="AG35" s="4430">
        <f>+AG34/2</f>
        <v>405</v>
      </c>
      <c r="AH35" s="4430">
        <f>+AH34/2</f>
        <v>77.108113000000003</v>
      </c>
      <c r="AI35" s="4403">
        <f t="shared" si="32"/>
        <v>5515</v>
      </c>
      <c r="AJ35" s="4403">
        <f t="shared" si="33"/>
        <v>9148.5285769999991</v>
      </c>
      <c r="AK35" s="4430">
        <f>+AK34/2</f>
        <v>405</v>
      </c>
      <c r="AL35" s="4430">
        <f>+AL34/2</f>
        <v>20.362579999999998</v>
      </c>
      <c r="AM35" s="4430">
        <f t="shared" si="34"/>
        <v>1215</v>
      </c>
      <c r="AN35" s="4430">
        <f t="shared" si="35"/>
        <v>4619.1050130000003</v>
      </c>
      <c r="AO35" s="4430">
        <f t="shared" si="44"/>
        <v>5920</v>
      </c>
      <c r="AP35" s="4430">
        <f t="shared" si="45"/>
        <v>9168.891157</v>
      </c>
      <c r="AQ35" s="4430">
        <f>+AQ34/2</f>
        <v>405</v>
      </c>
      <c r="AR35" s="4430">
        <f>+AR34/2</f>
        <v>778.5536340000001</v>
      </c>
      <c r="AS35" s="4430">
        <f t="shared" si="36"/>
        <v>6325</v>
      </c>
      <c r="AT35" s="4430">
        <f t="shared" si="37"/>
        <v>9947.4447909999999</v>
      </c>
      <c r="AU35" s="4430">
        <f>+AU34/2</f>
        <v>405</v>
      </c>
      <c r="AV35" s="4430">
        <f>+AV34/2</f>
        <v>460</v>
      </c>
      <c r="AW35" s="4430">
        <f t="shared" si="38"/>
        <v>6730</v>
      </c>
      <c r="AX35" s="4430">
        <f t="shared" si="39"/>
        <v>10407.444791</v>
      </c>
      <c r="AY35" s="4430">
        <f>+AY34/2</f>
        <v>405</v>
      </c>
      <c r="AZ35" s="4430">
        <f>+AZ34/2</f>
        <v>200.81717399999999</v>
      </c>
      <c r="BA35" s="4430">
        <f t="shared" si="40"/>
        <v>1215</v>
      </c>
      <c r="BB35" s="4430">
        <f t="shared" si="41"/>
        <v>1439.3708080000001</v>
      </c>
      <c r="BC35" s="4430">
        <f t="shared" si="46"/>
        <v>2430</v>
      </c>
      <c r="BD35" s="4430">
        <f t="shared" si="47"/>
        <v>6058.475821</v>
      </c>
      <c r="BE35" s="4430">
        <f t="shared" si="42"/>
        <v>7135</v>
      </c>
      <c r="BF35" s="4430">
        <f t="shared" si="42"/>
        <v>10608.261965</v>
      </c>
      <c r="BG35" s="4430">
        <v>4682.5</v>
      </c>
      <c r="BH35" s="4430">
        <v>12928.225632</v>
      </c>
      <c r="BI35" s="4430">
        <v>10780.549898167001</v>
      </c>
      <c r="BJ35" s="4430">
        <v>6798.4488249999995</v>
      </c>
      <c r="BK35" s="4430">
        <v>11464.867617107942</v>
      </c>
      <c r="BL35" s="5261">
        <v>8167.8919699999997</v>
      </c>
      <c r="BM35" s="5257">
        <v>17025.817718940933</v>
      </c>
      <c r="BN35" s="3988">
        <v>16273.539644999999</v>
      </c>
      <c r="BO35" s="3131"/>
      <c r="BP35" s="2506"/>
      <c r="BQ35" s="151"/>
      <c r="BR35" s="151"/>
      <c r="BS35" s="146"/>
    </row>
    <row r="36" spans="1:71" ht="15" customHeight="1" x14ac:dyDescent="0.3">
      <c r="A36" s="151"/>
      <c r="B36" s="5974"/>
      <c r="C36" s="5221" t="s">
        <v>590</v>
      </c>
      <c r="D36" s="4430">
        <f>+D33+D35</f>
        <v>2777134.8857412599</v>
      </c>
      <c r="E36" s="4430">
        <f>+E33+E35</f>
        <v>237515.48158640199</v>
      </c>
      <c r="F36" s="4430">
        <f>+F33+F35</f>
        <v>209350.863419</v>
      </c>
      <c r="G36" s="4430">
        <f>+G33+G35</f>
        <v>245069.77809253999</v>
      </c>
      <c r="H36" s="4430">
        <f>+H33+H35</f>
        <v>238113.08423899999</v>
      </c>
      <c r="I36" s="4403">
        <f t="shared" si="24"/>
        <v>482585.25967894198</v>
      </c>
      <c r="J36" s="4403">
        <f t="shared" si="24"/>
        <v>447463.94765799999</v>
      </c>
      <c r="K36" s="4430">
        <f>+K33+K35</f>
        <v>237515.48158640199</v>
      </c>
      <c r="L36" s="4430">
        <f>+L33+L35</f>
        <v>243968.228886</v>
      </c>
      <c r="M36" s="4405">
        <f t="shared" si="25"/>
        <v>720100.74126534397</v>
      </c>
      <c r="N36" s="4405">
        <f t="shared" si="25"/>
        <v>691432.17654399993</v>
      </c>
      <c r="O36" s="4430">
        <f>+O33+O35</f>
        <v>240348.34277620399</v>
      </c>
      <c r="P36" s="4430">
        <f>+P33+P35</f>
        <v>253662</v>
      </c>
      <c r="Q36" s="4430">
        <f t="shared" si="26"/>
        <v>960449.08404154796</v>
      </c>
      <c r="R36" s="4430">
        <f t="shared" si="26"/>
        <v>945094.17654399993</v>
      </c>
      <c r="S36" s="4430">
        <f>+S33+S35</f>
        <v>240348.34277620399</v>
      </c>
      <c r="T36" s="4430">
        <f>+T33+T35</f>
        <v>237704.20420199999</v>
      </c>
      <c r="U36" s="4430">
        <f t="shared" si="27"/>
        <v>1200797.426817752</v>
      </c>
      <c r="V36" s="4430">
        <f t="shared" si="28"/>
        <v>1182798.380746</v>
      </c>
      <c r="W36" s="4430">
        <f>+W33+W35</f>
        <v>128600.679886686</v>
      </c>
      <c r="X36" s="4430">
        <f>+X33+X35</f>
        <v>226993.405398</v>
      </c>
      <c r="Y36" s="4405">
        <f t="shared" si="29"/>
        <v>609297.36543909402</v>
      </c>
      <c r="Z36" s="4405">
        <f t="shared" si="29"/>
        <v>718359.60959999997</v>
      </c>
      <c r="AA36" s="5225">
        <f t="shared" si="43"/>
        <v>1329398.1067044381</v>
      </c>
      <c r="AB36" s="5225">
        <f t="shared" si="43"/>
        <v>1409791.786144</v>
      </c>
      <c r="AC36" s="4430">
        <f>+AC33+AC35</f>
        <v>245069.77809253999</v>
      </c>
      <c r="AD36" s="4430">
        <f>+AD33+AD35</f>
        <v>183722.63432000001</v>
      </c>
      <c r="AE36" s="4430">
        <f t="shared" si="30"/>
        <v>1574467.884796978</v>
      </c>
      <c r="AF36" s="4430">
        <f t="shared" si="31"/>
        <v>1593514.420464</v>
      </c>
      <c r="AG36" s="4430">
        <f>+AG33+AG35</f>
        <v>237515.48158640199</v>
      </c>
      <c r="AH36" s="4430">
        <f>+AH33+AH35</f>
        <v>229579.10811299999</v>
      </c>
      <c r="AI36" s="4403">
        <f t="shared" si="32"/>
        <v>1811983.36638338</v>
      </c>
      <c r="AJ36" s="4403">
        <f t="shared" si="33"/>
        <v>1823093.5285769999</v>
      </c>
      <c r="AK36" s="4430">
        <f>+AK33+AK35</f>
        <v>245069.77809253999</v>
      </c>
      <c r="AL36" s="4430">
        <f>+AL33+AL35</f>
        <v>234385.36257999999</v>
      </c>
      <c r="AM36" s="4430">
        <f t="shared" si="34"/>
        <v>727655.03777148202</v>
      </c>
      <c r="AN36" s="4430">
        <f t="shared" si="35"/>
        <v>647687.10501299996</v>
      </c>
      <c r="AO36" s="4430">
        <f t="shared" si="44"/>
        <v>2057053.1444759201</v>
      </c>
      <c r="AP36" s="4430">
        <f t="shared" si="45"/>
        <v>2057478.8911569999</v>
      </c>
      <c r="AQ36" s="4430">
        <f>+AQ33+AQ35</f>
        <v>248846.92634560907</v>
      </c>
      <c r="AR36" s="4430">
        <f>+AR33+AR35</f>
        <v>228825.55363400001</v>
      </c>
      <c r="AS36" s="4430">
        <f t="shared" si="36"/>
        <v>2305900.0708215293</v>
      </c>
      <c r="AT36" s="4430">
        <f t="shared" si="37"/>
        <v>2286304.4447909999</v>
      </c>
      <c r="AU36" s="4430">
        <f>+AU33+AU35</f>
        <v>222406.88857412653</v>
      </c>
      <c r="AV36" s="4430">
        <f>+AV33+AV35</f>
        <v>185476</v>
      </c>
      <c r="AW36" s="4430">
        <f t="shared" si="38"/>
        <v>2528306.9593956559</v>
      </c>
      <c r="AX36" s="4430">
        <f t="shared" si="39"/>
        <v>2471780.4447909999</v>
      </c>
      <c r="AY36" s="4430">
        <f>+AY33+AY35</f>
        <v>248846.92634560907</v>
      </c>
      <c r="AZ36" s="4430">
        <f>+AZ33+AZ35</f>
        <v>241440.817174</v>
      </c>
      <c r="BA36" s="4430">
        <f t="shared" si="40"/>
        <v>720100.74126534467</v>
      </c>
      <c r="BB36" s="4430">
        <f t="shared" si="41"/>
        <v>655742.37080799998</v>
      </c>
      <c r="BC36" s="4430">
        <f t="shared" si="46"/>
        <v>1447755.7790368267</v>
      </c>
      <c r="BD36" s="4430">
        <f t="shared" si="47"/>
        <v>1303429.4758210001</v>
      </c>
      <c r="BE36" s="4430">
        <f t="shared" si="42"/>
        <v>2777153.885741265</v>
      </c>
      <c r="BF36" s="4430">
        <f t="shared" si="42"/>
        <v>2713221.2619650001</v>
      </c>
      <c r="BG36" s="4430">
        <v>2494210.8018867923</v>
      </c>
      <c r="BH36" s="4430">
        <v>2449887.2256319998</v>
      </c>
      <c r="BI36" s="4430">
        <v>2630856.0215962785</v>
      </c>
      <c r="BJ36" s="4430">
        <v>2535723.4488249999</v>
      </c>
      <c r="BK36" s="4430">
        <v>2511464.8676171061</v>
      </c>
      <c r="BL36" s="5261">
        <v>2430492.1944699995</v>
      </c>
      <c r="BM36" s="5257">
        <v>2590026.6160532027</v>
      </c>
      <c r="BN36" s="3988">
        <v>2338989.5396449999</v>
      </c>
      <c r="BO36" s="3131"/>
      <c r="BP36" s="2506"/>
      <c r="BQ36" s="151"/>
      <c r="BR36" s="151"/>
      <c r="BS36" s="146"/>
    </row>
    <row r="37" spans="1:71" ht="15" customHeight="1" x14ac:dyDescent="0.3">
      <c r="A37" s="151"/>
      <c r="B37" s="5974"/>
      <c r="C37" s="5221" t="s">
        <v>554</v>
      </c>
      <c r="D37" s="4430">
        <v>3515.5</v>
      </c>
      <c r="E37" s="4430">
        <v>3556</v>
      </c>
      <c r="F37" s="4430">
        <v>3518</v>
      </c>
      <c r="G37" s="4430">
        <v>3541</v>
      </c>
      <c r="H37" s="4430">
        <v>3507</v>
      </c>
      <c r="I37" s="4403">
        <f>+AVERAGE(E37,G37)</f>
        <v>3548.5</v>
      </c>
      <c r="J37" s="4403">
        <f>+AVERAGE(F37,H37)</f>
        <v>3512.5</v>
      </c>
      <c r="K37" s="4430">
        <v>3534</v>
      </c>
      <c r="L37" s="4430">
        <v>3489</v>
      </c>
      <c r="M37" s="4405">
        <f>+AVERAGE(E37,G37,K37)</f>
        <v>3543.6666666666665</v>
      </c>
      <c r="N37" s="4405">
        <f>+AVERAGE(F37,H37,L37)</f>
        <v>3504.6666666666665</v>
      </c>
      <c r="O37" s="4430">
        <v>3527</v>
      </c>
      <c r="P37" s="4430">
        <v>3478</v>
      </c>
      <c r="Q37" s="4403">
        <f>+AVERAGE(E37,G37,K37,O37)</f>
        <v>3539.5</v>
      </c>
      <c r="R37" s="4403">
        <f>+AVERAGE(F37,H37,L37,P37)</f>
        <v>3498</v>
      </c>
      <c r="S37" s="4430">
        <v>3524</v>
      </c>
      <c r="T37" s="4430">
        <v>3465</v>
      </c>
      <c r="U37" s="4403">
        <f>+AVERAGE(E37,G37,K37,O37,S37)</f>
        <v>3536.4</v>
      </c>
      <c r="V37" s="4403">
        <f>+AVERAGE(F37,H37,L37,P37,T37)</f>
        <v>3491.4</v>
      </c>
      <c r="W37" s="4430">
        <v>3517</v>
      </c>
      <c r="X37" s="4430">
        <v>3450</v>
      </c>
      <c r="Y37" s="4405">
        <f>+AVERAGE(Q37,S37,W37)</f>
        <v>3526.8333333333335</v>
      </c>
      <c r="Z37" s="4405">
        <f>+AVERAGE(P37,T37,X37)</f>
        <v>3464.3333333333335</v>
      </c>
      <c r="AA37" s="5225">
        <f>+AVERAGE(E37,G37,K37,O37,S37,W37)</f>
        <v>3533.1666666666665</v>
      </c>
      <c r="AB37" s="5225">
        <f>+AVERAGE(X37,P37,L37,H37,T37,F37)</f>
        <v>3484.5</v>
      </c>
      <c r="AC37" s="4430">
        <v>3512</v>
      </c>
      <c r="AD37" s="4430">
        <v>3449</v>
      </c>
      <c r="AE37" s="4403">
        <f>+AVERAGE(E37,G37,K37,O37,S37,W37,AC37)</f>
        <v>3530.1428571428573</v>
      </c>
      <c r="AF37" s="4403">
        <f>+AVERAGE(F37,H37,L37,P37,T37,X37,AD37)</f>
        <v>3479.4285714285716</v>
      </c>
      <c r="AG37" s="4430">
        <v>3502</v>
      </c>
      <c r="AH37" s="4430">
        <v>3439</v>
      </c>
      <c r="AI37" s="4403">
        <f>AVERAGE(E37,G37,K37,O37,S37,W37,AC37,AG37)</f>
        <v>3526.625</v>
      </c>
      <c r="AJ37" s="4403">
        <f>AVERAGE(AH37,AD37,X37,T37,L37,P37,H37,F37)</f>
        <v>3474.375</v>
      </c>
      <c r="AK37" s="4430">
        <v>3500</v>
      </c>
      <c r="AL37" s="4430">
        <v>3428</v>
      </c>
      <c r="AM37" s="4430">
        <f>+AVERAGE(AC37,AG37,AK37)</f>
        <v>3504.6666666666665</v>
      </c>
      <c r="AN37" s="4430">
        <f>+AVERAGE(AD37,AH37,AL37)</f>
        <v>3438.6666666666665</v>
      </c>
      <c r="AO37" s="4430">
        <f>+AVERAGE(E37,G37,K37,O37,S37,W37,AC37,AG37,AK37)</f>
        <v>3523.6666666666665</v>
      </c>
      <c r="AP37" s="4430">
        <f>+AVERAGE(F37,H37,L37,P37,T37,X37,AD37,AH37,AL37)</f>
        <v>3469.2222222222222</v>
      </c>
      <c r="AQ37" s="4430">
        <v>3493</v>
      </c>
      <c r="AR37" s="4430">
        <v>3412</v>
      </c>
      <c r="AS37" s="4430">
        <f>+AVERAGE(E37,G37,K37,O37,S37,W37,AC37,AG37,AK37,AQ37)</f>
        <v>3520.6</v>
      </c>
      <c r="AT37" s="4430">
        <f>+AVERAGE(F37,H37,L37,P37,T37,X37,AD37,AH37,AL37,AR37)</f>
        <v>3463.5</v>
      </c>
      <c r="AU37" s="4430">
        <v>3491</v>
      </c>
      <c r="AV37" s="4430">
        <v>3415</v>
      </c>
      <c r="AW37" s="4430">
        <f>+AVERAGE(E37,G37,K37,O37,S37,W37,AC37,AG37,AK37,AQ37,AU37)</f>
        <v>3517.909090909091</v>
      </c>
      <c r="AX37" s="4430">
        <f>+AVERAGE(F37,H37,L37,P37,T37,X37,AD37,AH37,AL37,AR37,AV37)</f>
        <v>3459.090909090909</v>
      </c>
      <c r="AY37" s="4430">
        <v>3489</v>
      </c>
      <c r="AZ37" s="4430">
        <v>3395</v>
      </c>
      <c r="BA37" s="4430">
        <f>+AVERAGE(AQ37,AU37,AY37)</f>
        <v>3491</v>
      </c>
      <c r="BB37" s="4430">
        <f>+AVERAGE(AR37,AV37,AZ37)</f>
        <v>3407.3333333333335</v>
      </c>
      <c r="BC37" s="4430">
        <f>+AVERAGE(AC37,AG37,AK37,AQ37,AU37,AY37)</f>
        <v>3497.8333333333335</v>
      </c>
      <c r="BD37" s="4430">
        <f>+AVERAGE(AD37,AH37,AL37,AR37,AV37,AZ37)</f>
        <v>3423</v>
      </c>
      <c r="BE37" s="4430">
        <f>+AVERAGE(E37,G37,K37,O37,S37,W37,AC37,AG37,AK37,AQ37,AU37,AY37)</f>
        <v>3515.5</v>
      </c>
      <c r="BF37" s="4430">
        <f>+AVERAGE(F37,H37,L37,P37,T37,X37,AD37,AH37,AL37,AR37,AV37,AZ37)</f>
        <v>3453.75</v>
      </c>
      <c r="BG37" s="4430">
        <v>3502.25</v>
      </c>
      <c r="BH37" s="4430">
        <v>3544.5833333333335</v>
      </c>
      <c r="BI37" s="4430">
        <v>3607.8333333333335</v>
      </c>
      <c r="BJ37" s="4430">
        <v>3647.6666666666665</v>
      </c>
      <c r="BK37" s="4430">
        <v>3826.0833333333335</v>
      </c>
      <c r="BL37" s="5261">
        <v>3802.9166666666665</v>
      </c>
      <c r="BM37" s="5258"/>
      <c r="BN37" s="5242"/>
      <c r="BO37" s="5243"/>
      <c r="BP37" s="5244"/>
      <c r="BQ37" s="151"/>
      <c r="BR37" s="151"/>
      <c r="BS37" s="146"/>
    </row>
    <row r="38" spans="1:71" ht="15" customHeight="1" thickBot="1" x14ac:dyDescent="0.35">
      <c r="A38" s="151"/>
      <c r="B38" s="5975"/>
      <c r="C38" s="5262" t="s">
        <v>2259</v>
      </c>
      <c r="D38" s="4458">
        <f>+D36/(D37/365*D2)</f>
        <v>789.9686774971583</v>
      </c>
      <c r="E38" s="4458">
        <f t="shared" ref="E38:AJ38" si="48">+E36/(E37/365*E2)</f>
        <v>812.64670771500494</v>
      </c>
      <c r="F38" s="4458">
        <f t="shared" si="48"/>
        <v>724.01994644622903</v>
      </c>
      <c r="G38" s="4458">
        <f t="shared" si="48"/>
        <v>814.8825190968206</v>
      </c>
      <c r="H38" s="4458">
        <f>+H36/(H37/365*H2)</f>
        <v>799.42672946489506</v>
      </c>
      <c r="I38" s="4520">
        <f t="shared" si="48"/>
        <v>813.75238109297538</v>
      </c>
      <c r="J38" s="4520">
        <f t="shared" si="48"/>
        <v>762.26283598469161</v>
      </c>
      <c r="K38" s="4458">
        <f t="shared" si="48"/>
        <v>817.70562892885039</v>
      </c>
      <c r="L38" s="4458">
        <f t="shared" si="48"/>
        <v>850.75383150272273</v>
      </c>
      <c r="M38" s="4522">
        <f t="shared" si="48"/>
        <v>815.06429122951818</v>
      </c>
      <c r="N38" s="4522">
        <f t="shared" si="48"/>
        <v>791.32400474477765</v>
      </c>
      <c r="O38" s="4458">
        <f t="shared" si="48"/>
        <v>802.355516552626</v>
      </c>
      <c r="P38" s="4458">
        <f t="shared" si="48"/>
        <v>858.73073141775944</v>
      </c>
      <c r="Q38" s="4458">
        <f t="shared" si="48"/>
        <v>811.83068756855312</v>
      </c>
      <c r="R38" s="4458">
        <f t="shared" si="48"/>
        <v>808.32928989530308</v>
      </c>
      <c r="S38" s="4458">
        <f t="shared" si="48"/>
        <v>803.0385660843109</v>
      </c>
      <c r="T38" s="4458">
        <f t="shared" si="48"/>
        <v>807.72736148331228</v>
      </c>
      <c r="U38" s="4458">
        <f t="shared" si="48"/>
        <v>810.04622105357214</v>
      </c>
      <c r="V38" s="4458">
        <f t="shared" si="48"/>
        <v>808.18827844831412</v>
      </c>
      <c r="W38" s="4458">
        <f t="shared" si="48"/>
        <v>444.87961481035342</v>
      </c>
      <c r="X38" s="4458">
        <f t="shared" si="48"/>
        <v>800.50814464028986</v>
      </c>
      <c r="Y38" s="4522">
        <f t="shared" si="48"/>
        <v>685.40836522048141</v>
      </c>
      <c r="Z38" s="4522">
        <f t="shared" si="48"/>
        <v>822.67304970318651</v>
      </c>
      <c r="AA38" s="4632">
        <f t="shared" si="48"/>
        <v>750.46891161293547</v>
      </c>
      <c r="AB38" s="4632">
        <f t="shared" si="48"/>
        <v>806.9679414653026</v>
      </c>
      <c r="AC38" s="4458">
        <f t="shared" si="48"/>
        <v>821.61133260872475</v>
      </c>
      <c r="AD38" s="4458">
        <f t="shared" si="48"/>
        <v>627.19218779449864</v>
      </c>
      <c r="AE38" s="4458">
        <f t="shared" si="48"/>
        <v>760.71261269174067</v>
      </c>
      <c r="AF38" s="4458">
        <f t="shared" si="48"/>
        <v>781.13691770772482</v>
      </c>
      <c r="AG38" s="4458">
        <f t="shared" si="48"/>
        <v>825.17752502414544</v>
      </c>
      <c r="AH38" s="4458">
        <f t="shared" si="48"/>
        <v>812.21648212896196</v>
      </c>
      <c r="AI38" s="4520">
        <f t="shared" si="48"/>
        <v>768.59572203946641</v>
      </c>
      <c r="AJ38" s="4520">
        <f t="shared" si="48"/>
        <v>784.93789475121423</v>
      </c>
      <c r="AK38" s="4458">
        <f t="shared" ref="AK38:AL38" si="49">+AK36/(AK37/365*AK2)</f>
        <v>824.42828574909777</v>
      </c>
      <c r="AL38" s="4458">
        <f t="shared" si="49"/>
        <v>805.04627302386416</v>
      </c>
      <c r="AM38" s="4458">
        <f t="shared" ref="AM38:BF38" si="50">+AM36/(AM37/365*AM2)</f>
        <v>823.72805861312543</v>
      </c>
      <c r="AN38" s="4458">
        <f t="shared" si="50"/>
        <v>747.27457978871462</v>
      </c>
      <c r="AO38" s="4458">
        <f t="shared" si="50"/>
        <v>774.83791615178154</v>
      </c>
      <c r="AP38" s="4458">
        <f t="shared" si="50"/>
        <v>787.1607652226935</v>
      </c>
      <c r="AQ38" s="4458">
        <f t="shared" si="50"/>
        <v>838.81244623945884</v>
      </c>
      <c r="AR38" s="4458">
        <f t="shared" si="50"/>
        <v>789.63550917454529</v>
      </c>
      <c r="AS38" s="4458">
        <f t="shared" si="50"/>
        <v>781.25936444458023</v>
      </c>
      <c r="AT38" s="4458">
        <f t="shared" si="50"/>
        <v>787.39074658951756</v>
      </c>
      <c r="AU38" s="4458">
        <f t="shared" ref="AU38:AV38" si="51">+AU36/(AU37/365*AU2)</f>
        <v>830.48772690547321</v>
      </c>
      <c r="AV38" s="4458">
        <f t="shared" si="51"/>
        <v>707.99769922610335</v>
      </c>
      <c r="AW38" s="4458">
        <f t="shared" si="50"/>
        <v>785.40124510832266</v>
      </c>
      <c r="AX38" s="4458">
        <f t="shared" si="50"/>
        <v>780.89800576265588</v>
      </c>
      <c r="AY38" s="4458">
        <f t="shared" si="50"/>
        <v>839.77411141141556</v>
      </c>
      <c r="AZ38" s="4458">
        <f t="shared" si="50"/>
        <v>837.34047478274499</v>
      </c>
      <c r="BA38" s="4458">
        <f t="shared" si="50"/>
        <v>836.55358401556646</v>
      </c>
      <c r="BB38" s="4458">
        <f t="shared" si="50"/>
        <v>780.49294118867783</v>
      </c>
      <c r="BC38" s="4458">
        <f t="shared" si="50"/>
        <v>830.07564496772477</v>
      </c>
      <c r="BD38" s="4458">
        <f t="shared" si="50"/>
        <v>763.66364360461557</v>
      </c>
      <c r="BE38" s="4458">
        <f t="shared" si="50"/>
        <v>789.974082133769</v>
      </c>
      <c r="BF38" s="4458">
        <f t="shared" si="50"/>
        <v>785.5870465334782</v>
      </c>
      <c r="BG38" s="4458">
        <v>712.17383164731029</v>
      </c>
      <c r="BH38" s="4458">
        <v>691.16367009719045</v>
      </c>
      <c r="BI38" s="4458">
        <v>729.20663969961981</v>
      </c>
      <c r="BJ38" s="4458">
        <v>695.16314963675404</v>
      </c>
      <c r="BK38" s="4458">
        <v>656.40621199671705</v>
      </c>
      <c r="BL38" s="5263">
        <v>639.11266207165545</v>
      </c>
      <c r="BM38" s="5259">
        <v>645.95904380418642</v>
      </c>
      <c r="BN38" s="3989">
        <v>585.39375718480824</v>
      </c>
      <c r="BO38" s="3132"/>
      <c r="BP38" s="2507"/>
      <c r="BQ38" s="151"/>
      <c r="BR38" s="151"/>
      <c r="BS38" s="146"/>
    </row>
    <row r="39" spans="1:71" s="146" customFormat="1" ht="15" customHeight="1" thickBot="1" x14ac:dyDescent="0.35">
      <c r="B39" s="1257"/>
      <c r="C39" s="1257"/>
      <c r="D39" s="1257"/>
      <c r="E39" s="1257"/>
      <c r="F39" s="1257"/>
      <c r="G39" s="1257"/>
      <c r="H39" s="1257"/>
      <c r="I39" s="1257"/>
      <c r="J39" s="1257"/>
      <c r="K39" s="1257"/>
      <c r="L39" s="1257"/>
      <c r="M39" s="1257"/>
      <c r="N39" s="1257"/>
      <c r="O39" s="1257"/>
      <c r="P39" s="1257"/>
      <c r="Q39" s="1257"/>
      <c r="R39" s="1257"/>
      <c r="S39" s="1257"/>
      <c r="T39" s="1257"/>
      <c r="U39" s="1257"/>
      <c r="V39" s="1257"/>
      <c r="W39" s="1257"/>
      <c r="X39" s="1257"/>
      <c r="Y39" s="1257"/>
      <c r="Z39" s="1257"/>
      <c r="AA39" s="1257"/>
      <c r="AB39" s="1257"/>
      <c r="AC39" s="1257"/>
      <c r="AD39" s="1257"/>
      <c r="AE39" s="1257"/>
      <c r="AF39" s="1257"/>
      <c r="AG39" s="1257"/>
      <c r="AH39" s="1257"/>
      <c r="AI39" s="1257"/>
      <c r="AJ39" s="1257"/>
      <c r="AK39" s="1257"/>
      <c r="AL39" s="1257"/>
      <c r="AM39" s="1257"/>
      <c r="AN39" s="1257"/>
      <c r="AO39" s="1257"/>
      <c r="AP39" s="1257"/>
      <c r="AQ39" s="1257"/>
      <c r="AR39" s="1257"/>
      <c r="AS39" s="1257"/>
      <c r="AT39" s="1257"/>
      <c r="AU39" s="1257"/>
      <c r="AV39" s="1257"/>
      <c r="AW39" s="1257"/>
      <c r="AX39" s="1257"/>
      <c r="AY39" s="1257"/>
      <c r="AZ39" s="1257"/>
      <c r="BA39" s="5264"/>
      <c r="BB39" s="5264"/>
      <c r="BC39" s="5264"/>
      <c r="BD39" s="5264"/>
      <c r="BE39" s="5264"/>
      <c r="BF39" s="5264"/>
      <c r="BG39" s="1257"/>
      <c r="BH39" s="1257"/>
      <c r="BI39" s="1257"/>
      <c r="BJ39" s="1257"/>
      <c r="BK39" s="1257"/>
      <c r="BL39" s="1257"/>
    </row>
    <row r="40" spans="1:71" ht="15" customHeight="1" x14ac:dyDescent="0.3">
      <c r="B40" s="5973" t="s">
        <v>2258</v>
      </c>
      <c r="C40" s="5260" t="s">
        <v>588</v>
      </c>
      <c r="D40" s="270"/>
      <c r="E40" s="270"/>
      <c r="F40" s="270">
        <f>+F33</f>
        <v>207020</v>
      </c>
      <c r="G40" s="270"/>
      <c r="H40" s="270">
        <f>+H33</f>
        <v>236638</v>
      </c>
      <c r="I40" s="368"/>
      <c r="J40" s="270">
        <f>+J33</f>
        <v>443658</v>
      </c>
      <c r="K40" s="270"/>
      <c r="L40" s="270">
        <f>+L33</f>
        <v>243453</v>
      </c>
      <c r="M40" s="613"/>
      <c r="N40" s="613">
        <f>+N33</f>
        <v>687111</v>
      </c>
      <c r="O40" s="270"/>
      <c r="P40" s="270">
        <f>+P33</f>
        <v>253662</v>
      </c>
      <c r="Q40" s="270"/>
      <c r="R40" s="270">
        <f>+R33</f>
        <v>940773</v>
      </c>
      <c r="S40" s="270"/>
      <c r="T40" s="270">
        <f>+T33</f>
        <v>237622</v>
      </c>
      <c r="U40" s="270"/>
      <c r="V40" s="270">
        <f>+V33</f>
        <v>1178395</v>
      </c>
      <c r="W40" s="270"/>
      <c r="X40" s="270">
        <f>+X33</f>
        <v>226847</v>
      </c>
      <c r="Y40" s="613"/>
      <c r="Z40" s="613">
        <f>+Z33</f>
        <v>718131</v>
      </c>
      <c r="AA40" s="1039"/>
      <c r="AB40" s="1039">
        <f>+AB33</f>
        <v>1405242</v>
      </c>
      <c r="AC40" s="270"/>
      <c r="AD40" s="270">
        <f>+AD33</f>
        <v>179201</v>
      </c>
      <c r="AE40" s="270"/>
      <c r="AF40" s="270">
        <f>+AF33</f>
        <v>1584443</v>
      </c>
      <c r="AG40" s="270"/>
      <c r="AH40" s="270">
        <f>+AH33</f>
        <v>229502</v>
      </c>
      <c r="AI40" s="368"/>
      <c r="AJ40" s="368">
        <f>+AJ33</f>
        <v>1813945</v>
      </c>
      <c r="AK40" s="270"/>
      <c r="AL40" s="270">
        <f>+AL33</f>
        <v>234365</v>
      </c>
      <c r="AM40" s="270"/>
      <c r="AN40" s="270">
        <f>+AN33</f>
        <v>643068</v>
      </c>
      <c r="AO40" s="270"/>
      <c r="AP40" s="270"/>
      <c r="AQ40" s="270"/>
      <c r="AR40" s="270">
        <f>+AR33</f>
        <v>228047</v>
      </c>
      <c r="AS40" s="270"/>
      <c r="AT40" s="270"/>
      <c r="AU40" s="270"/>
      <c r="AV40" s="270">
        <f>+AV33</f>
        <v>185016</v>
      </c>
      <c r="AW40" s="270"/>
      <c r="AX40" s="270"/>
      <c r="AY40" s="270"/>
      <c r="AZ40" s="270">
        <f>+AZ33</f>
        <v>241240</v>
      </c>
      <c r="BA40" s="270"/>
      <c r="BB40" s="270">
        <f>+BB33</f>
        <v>654303</v>
      </c>
      <c r="BC40" s="270"/>
      <c r="BD40" s="270">
        <f>+BD33</f>
        <v>1297371</v>
      </c>
      <c r="BE40" s="270"/>
      <c r="BF40" s="270"/>
      <c r="BG40" s="270"/>
      <c r="BH40" s="270"/>
      <c r="BI40" s="270"/>
      <c r="BJ40" s="270"/>
      <c r="BK40" s="270"/>
      <c r="BL40" s="272"/>
    </row>
    <row r="41" spans="1:71" ht="15" customHeight="1" x14ac:dyDescent="0.3">
      <c r="B41" s="5974"/>
      <c r="C41" s="5221" t="s">
        <v>591</v>
      </c>
      <c r="D41" s="4430"/>
      <c r="E41" s="4430"/>
      <c r="F41" s="4430">
        <f>+F34</f>
        <v>4661.7268380000005</v>
      </c>
      <c r="G41" s="4430"/>
      <c r="H41" s="4430">
        <f>+H34</f>
        <v>2950.1684780000001</v>
      </c>
      <c r="I41" s="4403"/>
      <c r="J41" s="4430">
        <f>+J34</f>
        <v>7611.8953160000001</v>
      </c>
      <c r="K41" s="4430"/>
      <c r="L41" s="4430">
        <f>+L34</f>
        <v>1030.457772</v>
      </c>
      <c r="M41" s="4405"/>
      <c r="N41" s="4405">
        <f>+N34</f>
        <v>8642.3530879999998</v>
      </c>
      <c r="O41" s="4430"/>
      <c r="P41" s="4430">
        <f>+P34</f>
        <v>0</v>
      </c>
      <c r="Q41" s="4430"/>
      <c r="R41" s="4430">
        <f>+R34</f>
        <v>8642.3530879999998</v>
      </c>
      <c r="S41" s="4430"/>
      <c r="T41" s="4430">
        <f>+T34</f>
        <v>164.40840400000002</v>
      </c>
      <c r="U41" s="4430"/>
      <c r="V41" s="4430">
        <f>+V34</f>
        <v>8806.7614919999996</v>
      </c>
      <c r="W41" s="4430"/>
      <c r="X41" s="4430">
        <f>+X34</f>
        <v>292.81079599999998</v>
      </c>
      <c r="Y41" s="4405"/>
      <c r="Z41" s="4405">
        <f>+Z34</f>
        <v>457.2192</v>
      </c>
      <c r="AA41" s="5225"/>
      <c r="AB41" s="5225">
        <f>+AB34</f>
        <v>9099.5722879999994</v>
      </c>
      <c r="AC41" s="4430"/>
      <c r="AD41" s="4430">
        <f>+AD34</f>
        <v>9043.2686400000002</v>
      </c>
      <c r="AE41" s="4430"/>
      <c r="AF41" s="4430">
        <f>+AF34</f>
        <v>18142.840927999998</v>
      </c>
      <c r="AG41" s="4430"/>
      <c r="AH41" s="4430">
        <f>+AH34</f>
        <v>154.21622600000001</v>
      </c>
      <c r="AI41" s="4403"/>
      <c r="AJ41" s="4403">
        <f>+AJ34</f>
        <v>18297.057153999998</v>
      </c>
      <c r="AK41" s="4430"/>
      <c r="AL41" s="4430">
        <f>+AL34</f>
        <v>40.725159999999995</v>
      </c>
      <c r="AM41" s="4430"/>
      <c r="AN41" s="4430">
        <f>+AN34</f>
        <v>9238.2100260000007</v>
      </c>
      <c r="AO41" s="4430"/>
      <c r="AP41" s="4430"/>
      <c r="AQ41" s="4430"/>
      <c r="AR41" s="4430">
        <f>+AR34</f>
        <v>1557.1072680000002</v>
      </c>
      <c r="AS41" s="4430"/>
      <c r="AT41" s="4430"/>
      <c r="AU41" s="4430"/>
      <c r="AV41" s="4430">
        <f>+AV34</f>
        <v>920</v>
      </c>
      <c r="AW41" s="4430"/>
      <c r="AX41" s="4430"/>
      <c r="AY41" s="4430"/>
      <c r="AZ41" s="4430">
        <f>+AZ34</f>
        <v>401.63434799999999</v>
      </c>
      <c r="BA41" s="4430"/>
      <c r="BB41" s="4430">
        <f>+BB34</f>
        <v>2878.7416160000002</v>
      </c>
      <c r="BC41" s="4430"/>
      <c r="BD41" s="4430">
        <f>+BD34</f>
        <v>12116.951642</v>
      </c>
      <c r="BE41" s="4430"/>
      <c r="BF41" s="4430"/>
      <c r="BG41" s="4430"/>
      <c r="BH41" s="4430"/>
      <c r="BI41" s="4430"/>
      <c r="BJ41" s="4430"/>
      <c r="BK41" s="4430"/>
      <c r="BL41" s="5261"/>
    </row>
    <row r="42" spans="1:71" ht="108" x14ac:dyDescent="0.3">
      <c r="B42" s="5974"/>
      <c r="C42" s="5265" t="s">
        <v>2260</v>
      </c>
      <c r="D42" s="4430"/>
      <c r="E42" s="4430"/>
      <c r="F42" s="4430"/>
      <c r="G42" s="4430"/>
      <c r="H42" s="4430"/>
      <c r="I42" s="4430"/>
      <c r="J42" s="4430"/>
      <c r="K42" s="4430"/>
      <c r="L42" s="4430"/>
      <c r="M42" s="4405"/>
      <c r="N42" s="4405"/>
      <c r="O42" s="4430"/>
      <c r="P42" s="4430"/>
      <c r="Q42" s="4430"/>
      <c r="R42" s="4430"/>
      <c r="S42" s="4430"/>
      <c r="T42" s="4430"/>
      <c r="U42" s="4430"/>
      <c r="V42" s="4430"/>
      <c r="W42" s="4430"/>
      <c r="X42" s="4430"/>
      <c r="Y42" s="4405"/>
      <c r="Z42" s="4405"/>
      <c r="AA42" s="5225"/>
      <c r="AB42" s="5225"/>
      <c r="AC42" s="4430"/>
      <c r="AD42" s="4430">
        <v>10508</v>
      </c>
      <c r="AE42" s="4430"/>
      <c r="AF42" s="4430"/>
      <c r="AG42" s="4430"/>
      <c r="AH42" s="4430">
        <v>10419</v>
      </c>
      <c r="AI42" s="4403"/>
      <c r="AJ42" s="4403"/>
      <c r="AK42" s="4430"/>
      <c r="AL42" s="4430">
        <v>10292</v>
      </c>
      <c r="AM42" s="4430"/>
      <c r="AN42" s="4430">
        <f>+AVERAGE(AD42,AH42,AL42)</f>
        <v>10406.333333333334</v>
      </c>
      <c r="AO42" s="4430"/>
      <c r="AP42" s="4430"/>
      <c r="AQ42" s="4430"/>
      <c r="AR42" s="4430">
        <v>9853</v>
      </c>
      <c r="AS42" s="4430"/>
      <c r="AT42" s="4430"/>
      <c r="AU42" s="4430"/>
      <c r="AV42" s="4430">
        <v>9444</v>
      </c>
      <c r="AW42" s="4430"/>
      <c r="AX42" s="4430"/>
      <c r="AY42" s="4430"/>
      <c r="AZ42" s="4430">
        <v>9233</v>
      </c>
      <c r="BA42" s="4430"/>
      <c r="BB42" s="4430">
        <f>+AVERAGE(AR42,AV42,AZ42)</f>
        <v>9510</v>
      </c>
      <c r="BC42" s="4430"/>
      <c r="BD42" s="4430">
        <f>+AVERAGE(AN42,BB42)</f>
        <v>9958.1666666666679</v>
      </c>
      <c r="BE42" s="4430"/>
      <c r="BF42" s="4430"/>
      <c r="BG42" s="4430"/>
      <c r="BH42" s="4430"/>
      <c r="BI42" s="4430"/>
      <c r="BJ42" s="4430"/>
      <c r="BK42" s="4430"/>
      <c r="BL42" s="5261"/>
    </row>
    <row r="43" spans="1:71" ht="23.25" customHeight="1" thickBot="1" x14ac:dyDescent="0.35">
      <c r="B43" s="5975"/>
      <c r="C43" s="5262" t="s">
        <v>2259</v>
      </c>
      <c r="D43" s="4458"/>
      <c r="E43" s="4458"/>
      <c r="F43" s="4458"/>
      <c r="G43" s="4458"/>
      <c r="H43" s="4458"/>
      <c r="I43" s="4458"/>
      <c r="J43" s="4458"/>
      <c r="K43" s="4458"/>
      <c r="L43" s="4458"/>
      <c r="M43" s="4522"/>
      <c r="N43" s="4522"/>
      <c r="O43" s="4458"/>
      <c r="P43" s="4458"/>
      <c r="Q43" s="4458"/>
      <c r="R43" s="4458"/>
      <c r="S43" s="4458"/>
      <c r="T43" s="4458"/>
      <c r="U43" s="4458"/>
      <c r="V43" s="4458"/>
      <c r="W43" s="4458"/>
      <c r="X43" s="4458"/>
      <c r="Y43" s="4522"/>
      <c r="Z43" s="4522"/>
      <c r="AA43" s="4632"/>
      <c r="AB43" s="4632"/>
      <c r="AC43" s="4458"/>
      <c r="AD43" s="4458">
        <f>+(AD41+AD40)/(AD42/365*AD2)</f>
        <v>210.92733663322568</v>
      </c>
      <c r="AE43" s="4458"/>
      <c r="AF43" s="4458"/>
      <c r="AG43" s="4458"/>
      <c r="AH43" s="4458">
        <f>+(AH41+AH40)/(AH42/365*AH2)</f>
        <v>268.17838859292317</v>
      </c>
      <c r="AI43" s="4520"/>
      <c r="AJ43" s="4520"/>
      <c r="AK43" s="4458"/>
      <c r="AL43" s="4458">
        <f>+(AL41+AL40)/(AL42/365*AL2)</f>
        <v>268.16346452427814</v>
      </c>
      <c r="AM43" s="4458"/>
      <c r="AN43" s="4458">
        <f>+(AN41+AN40)/(AN42/365*AN2)</f>
        <v>248.69028336230238</v>
      </c>
      <c r="AO43" s="4458"/>
      <c r="AP43" s="4458"/>
      <c r="AQ43" s="4458"/>
      <c r="AR43" s="4458">
        <f>+(AR41+AR40)/(AR42/365*AR2)</f>
        <v>274.37361194337399</v>
      </c>
      <c r="AS43" s="4458"/>
      <c r="AT43" s="4458"/>
      <c r="AU43" s="4458"/>
      <c r="AV43" s="4458">
        <f>+(AV41+AV40)/(AV42/365*AV2)</f>
        <v>256.6506322986628</v>
      </c>
      <c r="AW43" s="4458"/>
      <c r="AX43" s="4458"/>
      <c r="AY43" s="4458"/>
      <c r="AZ43" s="4458">
        <f>+(AZ41+AZ40)/(AZ42/365*AZ2)</f>
        <v>308.14852942293248</v>
      </c>
      <c r="BA43" s="4458"/>
      <c r="BB43" s="4458">
        <f>+(BB41+BB40)/(BB42/365*BB2)</f>
        <v>280.25626321981537</v>
      </c>
      <c r="BC43" s="4458"/>
      <c r="BD43" s="4458">
        <f>+(BD41+BD40)/(BD42/365*BD2)</f>
        <v>263.72031920493589</v>
      </c>
      <c r="BE43" s="4458"/>
      <c r="BF43" s="4458"/>
      <c r="BG43" s="4458"/>
      <c r="BH43" s="4458"/>
      <c r="BI43" s="4458"/>
      <c r="BJ43" s="4458"/>
      <c r="BK43" s="4458"/>
      <c r="BL43" s="5263"/>
    </row>
    <row r="44" spans="1:71" s="146" customFormat="1" ht="15" customHeight="1" x14ac:dyDescent="0.3">
      <c r="BA44" s="5255"/>
      <c r="BB44" s="5255"/>
      <c r="BC44" s="5255"/>
      <c r="BD44" s="5255"/>
      <c r="BE44" s="5255"/>
      <c r="BF44" s="5255"/>
    </row>
    <row r="45" spans="1:71" s="146" customFormat="1" ht="15" hidden="1" customHeight="1" x14ac:dyDescent="0.3">
      <c r="BA45" s="5255"/>
      <c r="BB45" s="5255"/>
      <c r="BC45" s="5255"/>
      <c r="BD45" s="5255"/>
      <c r="BE45" s="5255"/>
      <c r="BF45" s="5255"/>
    </row>
    <row r="46" spans="1:71" s="146" customFormat="1" ht="15" hidden="1" customHeight="1" x14ac:dyDescent="0.3">
      <c r="BA46" s="5255"/>
      <c r="BB46" s="5255"/>
      <c r="BC46" s="5255"/>
      <c r="BD46" s="5255"/>
      <c r="BE46" s="5255"/>
      <c r="BF46" s="5255"/>
    </row>
    <row r="47" spans="1:71" s="146" customFormat="1" ht="15" hidden="1" customHeight="1" x14ac:dyDescent="0.3">
      <c r="BA47" s="5255"/>
      <c r="BB47" s="5255"/>
      <c r="BC47" s="5255"/>
      <c r="BD47" s="5255"/>
      <c r="BE47" s="5255"/>
      <c r="BF47" s="5255"/>
    </row>
    <row r="48" spans="1:71" s="146" customFormat="1" ht="15" hidden="1" customHeight="1" x14ac:dyDescent="0.3">
      <c r="BA48" s="5255"/>
      <c r="BB48" s="5255"/>
      <c r="BC48" s="5255"/>
      <c r="BD48" s="5255"/>
      <c r="BE48" s="5255"/>
      <c r="BF48" s="5255"/>
    </row>
    <row r="49" spans="1:71" s="146" customFormat="1" ht="15" hidden="1" customHeight="1" x14ac:dyDescent="0.3">
      <c r="BA49" s="5255"/>
      <c r="BB49" s="5255"/>
      <c r="BC49" s="5255"/>
      <c r="BD49" s="5255"/>
      <c r="BE49" s="5255"/>
      <c r="BF49" s="5255"/>
    </row>
    <row r="50" spans="1:71" s="146" customFormat="1" ht="15" hidden="1" customHeight="1" x14ac:dyDescent="0.3">
      <c r="BA50" s="5255"/>
      <c r="BB50" s="5255"/>
      <c r="BC50" s="5255"/>
      <c r="BD50" s="5255"/>
      <c r="BE50" s="5255"/>
      <c r="BF50" s="5255"/>
    </row>
    <row r="51" spans="1:71" s="146" customFormat="1" ht="15" hidden="1" customHeight="1" x14ac:dyDescent="0.3">
      <c r="BA51" s="5255"/>
      <c r="BB51" s="5255"/>
      <c r="BC51" s="5255"/>
      <c r="BD51" s="5255"/>
      <c r="BE51" s="5255"/>
      <c r="BF51" s="5255"/>
    </row>
    <row r="52" spans="1:71" s="146" customFormat="1" ht="15" hidden="1" customHeight="1" x14ac:dyDescent="0.3">
      <c r="BA52" s="5255"/>
      <c r="BB52" s="5255"/>
      <c r="BC52" s="5255"/>
      <c r="BD52" s="5255"/>
      <c r="BE52" s="5255"/>
      <c r="BF52" s="5255"/>
    </row>
    <row r="53" spans="1:71" s="146" customFormat="1" ht="15" hidden="1" customHeight="1" x14ac:dyDescent="0.3">
      <c r="BA53" s="5255"/>
      <c r="BB53" s="5255"/>
      <c r="BC53" s="5255"/>
      <c r="BD53" s="5255"/>
      <c r="BE53" s="5255"/>
      <c r="BF53" s="5255"/>
    </row>
    <row r="54" spans="1:71" s="146" customFormat="1" ht="15" customHeight="1" x14ac:dyDescent="0.3">
      <c r="BA54" s="5255"/>
      <c r="BB54" s="5255"/>
      <c r="BC54" s="5255"/>
      <c r="BD54" s="5255"/>
      <c r="BE54" s="5255"/>
      <c r="BF54" s="5255"/>
    </row>
    <row r="55" spans="1:71" s="146" customFormat="1" ht="15" customHeight="1" thickBot="1" x14ac:dyDescent="0.35">
      <c r="BA55" s="5255"/>
      <c r="BB55" s="5255"/>
      <c r="BC55" s="5255"/>
      <c r="BD55" s="5255"/>
      <c r="BE55" s="5255"/>
      <c r="BF55" s="5255"/>
    </row>
    <row r="56" spans="1:71" ht="19.5" customHeight="1" thickBot="1" x14ac:dyDescent="0.35">
      <c r="A56" s="92"/>
      <c r="B56" s="2509" t="s">
        <v>710</v>
      </c>
      <c r="C56" s="2502" t="s">
        <v>354</v>
      </c>
      <c r="D56" s="152">
        <f>+(D16*D33)/1000</f>
        <v>2933429.8789999941</v>
      </c>
      <c r="E56" s="152">
        <f>+(E16*E33)/1000</f>
        <v>251099.99999999971</v>
      </c>
      <c r="F56" s="87">
        <f>+SMS!F15</f>
        <v>219393.565</v>
      </c>
      <c r="G56" s="152">
        <f>+(G16*G33)/1000</f>
        <v>259099.99999999985</v>
      </c>
      <c r="H56" s="87">
        <f>+SMS!H15</f>
        <v>252686.9</v>
      </c>
      <c r="I56" s="60">
        <f>+(I16*I33)/1000</f>
        <v>510199.99999999959</v>
      </c>
      <c r="J56" s="42">
        <f>+SMS!J15</f>
        <v>472080.46499999997</v>
      </c>
      <c r="K56" s="152">
        <f>+(K16*K33)/1000</f>
        <v>251099.99999999971</v>
      </c>
      <c r="L56" s="87">
        <f>+SMS!L15</f>
        <v>258527.52499999999</v>
      </c>
      <c r="M56" s="71">
        <f>+(M16*M33)/1000</f>
        <v>761299.9999999993</v>
      </c>
      <c r="N56" s="72">
        <f>+SMS!N15</f>
        <v>730607.99</v>
      </c>
      <c r="O56" s="152">
        <f>+(O16*O33)/1000</f>
        <v>254100.00000000003</v>
      </c>
      <c r="P56" s="87">
        <f>+SMS!P15</f>
        <v>266778.07500000001</v>
      </c>
      <c r="Q56" s="60">
        <f>+(Q16*Q33)/1000</f>
        <v>1015399.9999999993</v>
      </c>
      <c r="R56" s="42">
        <f>+SMS!R15</f>
        <v>997386.06499999994</v>
      </c>
      <c r="S56" s="152">
        <f>+(S16*S33)/1000</f>
        <v>254100.00000000003</v>
      </c>
      <c r="T56" s="87">
        <f>+SMS!T15</f>
        <v>251918.72</v>
      </c>
      <c r="U56" s="60">
        <f>+(U16*U33)/1000</f>
        <v>1269499.9999999993</v>
      </c>
      <c r="V56" s="42">
        <f>+SMS!V15</f>
        <v>1249304.7849999999</v>
      </c>
      <c r="W56" s="152">
        <f>+(W16*W33)/1000</f>
        <v>133350.00000000047</v>
      </c>
      <c r="X56" s="87">
        <f>+SMS!X15</f>
        <v>241323.3</v>
      </c>
      <c r="Y56" s="613">
        <f>+O56+S56+W56</f>
        <v>641550.00000000047</v>
      </c>
      <c r="Z56" s="613">
        <f>+P56+T56+X56</f>
        <v>760020.09499999997</v>
      </c>
      <c r="AA56" s="1039">
        <f>+M56+Y56</f>
        <v>1402849.9999999998</v>
      </c>
      <c r="AB56" s="1039">
        <f>+N56+Z56</f>
        <v>1490628.085</v>
      </c>
      <c r="AC56" s="152">
        <f>+(AC16*AC33)/1000</f>
        <v>259099.99999999985</v>
      </c>
      <c r="AD56" s="87">
        <f>+SMS!AD15</f>
        <v>190772.82</v>
      </c>
      <c r="AE56" s="60">
        <f>+(AE16*AE33)/1000</f>
        <v>1661949.9999999998</v>
      </c>
      <c r="AF56" s="42">
        <f>+SMS!AF15</f>
        <v>1681400.905</v>
      </c>
      <c r="AG56" s="152">
        <f>+(AG16*AG33)/1000</f>
        <v>251099.99999999971</v>
      </c>
      <c r="AH56" s="87">
        <f>+SMS!AH15</f>
        <v>243243.53</v>
      </c>
      <c r="AI56" s="60">
        <f>+(AI16*AI33)/1000</f>
        <v>1913049.9999999995</v>
      </c>
      <c r="AJ56" s="42">
        <f>+SMS!AJ15</f>
        <v>1924644.4350000001</v>
      </c>
      <c r="AK56" s="152">
        <f>+(AK16*AK33)/1000</f>
        <v>259099.99999999985</v>
      </c>
      <c r="AL56" s="87">
        <f>+SMS!AL15</f>
        <v>250346.23999999999</v>
      </c>
      <c r="AM56" s="613">
        <f>+AC56+AG56+AK56</f>
        <v>769299.99999999942</v>
      </c>
      <c r="AN56" s="613">
        <f>+AD56+AH56+AL56</f>
        <v>684362.59</v>
      </c>
      <c r="AO56" s="60">
        <f>+(AO16*AO33)/1000</f>
        <v>2172149.9999999995</v>
      </c>
      <c r="AP56" s="42">
        <f>+SMS!AP15</f>
        <v>2174990.6749999998</v>
      </c>
      <c r="AQ56" s="152">
        <f>+(AQ16*AQ33)/1000</f>
        <v>263100</v>
      </c>
      <c r="AR56" s="87">
        <f>+SMS!AR15</f>
        <v>242224.07</v>
      </c>
      <c r="AS56" s="60">
        <f>+(AS16*AS33)/1000</f>
        <v>2435249.9999999995</v>
      </c>
      <c r="AT56" s="42">
        <f>+SMS!AT15</f>
        <v>2417214.7449999996</v>
      </c>
      <c r="AU56" s="152">
        <f>+(AU16*AU33)/1000</f>
        <v>235100</v>
      </c>
      <c r="AV56" s="87">
        <f>+SMS!AV15</f>
        <v>194681.07500000001</v>
      </c>
      <c r="AW56" s="60">
        <f>+(AW16*AW33)/1000</f>
        <v>2670349.9999999995</v>
      </c>
      <c r="AX56" s="42">
        <f>+SMS!AX15</f>
        <v>2611895.8199999998</v>
      </c>
      <c r="AY56" s="152">
        <f>+(AY16*AY33)/1000</f>
        <v>263100</v>
      </c>
      <c r="AZ56" s="87">
        <f>+SMS!AZ15</f>
        <v>250513.94500000001</v>
      </c>
      <c r="BA56" s="613">
        <f t="shared" ref="BA56:BA59" si="52">+AQ56+AU56+AY56</f>
        <v>761300</v>
      </c>
      <c r="BB56" s="613">
        <f t="shared" ref="BB56:BB59" si="53">+AR56+AV56+AZ56</f>
        <v>687419.09000000008</v>
      </c>
      <c r="BC56" s="1039">
        <f>+AM56+BA56</f>
        <v>1530599.9999999995</v>
      </c>
      <c r="BD56" s="1039">
        <f>+AN56+BB56</f>
        <v>1371781.6800000002</v>
      </c>
      <c r="BE56" s="368">
        <f t="shared" ref="BE56:BF59" si="54">+AW56+AY56</f>
        <v>2933449.9999999995</v>
      </c>
      <c r="BF56" s="368">
        <f t="shared" si="54"/>
        <v>2862409.7649999997</v>
      </c>
      <c r="BG56" s="1722">
        <v>2638900</v>
      </c>
      <c r="BH56" s="1722">
        <v>2582070.1407999997</v>
      </c>
      <c r="BI56" s="1722">
        <v>2777279.9999999977</v>
      </c>
      <c r="BJ56" s="1722">
        <v>2695862.83</v>
      </c>
      <c r="BK56" s="1722">
        <v>2655000</v>
      </c>
      <c r="BL56" s="1722">
        <v>2574868</v>
      </c>
      <c r="BM56" s="1722">
        <v>2611100.4700000002</v>
      </c>
      <c r="BN56" s="1722">
        <v>2366123.2121212119</v>
      </c>
      <c r="BO56" s="2495"/>
      <c r="BP56" s="2496"/>
      <c r="BQ56" s="2405"/>
      <c r="BR56" s="1722"/>
      <c r="BS56" s="1722"/>
    </row>
    <row r="57" spans="1:71" ht="19.5" customHeight="1" thickBot="1" x14ac:dyDescent="0.35">
      <c r="A57" s="92"/>
      <c r="B57" s="4117" t="s">
        <v>281</v>
      </c>
      <c r="C57" s="4118" t="s">
        <v>354</v>
      </c>
      <c r="D57" s="1293">
        <f>+(D17*D33)/1000</f>
        <v>105259.99565816787</v>
      </c>
      <c r="E57" s="1293">
        <f>+(E17*E33)/1000</f>
        <v>9010.1983002832749</v>
      </c>
      <c r="F57" s="4119">
        <f>+SMS!F19</f>
        <v>7695.9</v>
      </c>
      <c r="G57" s="1293">
        <f>+(G17*G33)/1000</f>
        <v>9297.261567516518</v>
      </c>
      <c r="H57" s="4119">
        <f>+SMS!H19</f>
        <v>6670.7999999999993</v>
      </c>
      <c r="I57" s="1108">
        <f>+(I17*I33)/1000</f>
        <v>18307.459867799796</v>
      </c>
      <c r="J57" s="3924">
        <f>+SMS!J19</f>
        <v>14366.699999999999</v>
      </c>
      <c r="K57" s="1293">
        <f>+(K17*K33)/1000</f>
        <v>9010.1983002832749</v>
      </c>
      <c r="L57" s="4119">
        <f>+SMS!L19</f>
        <v>8404.2000000000007</v>
      </c>
      <c r="M57" s="1538">
        <f>+(M17*M33)/1000</f>
        <v>27317.658168083071</v>
      </c>
      <c r="N57" s="4120">
        <f>+SMS!N19</f>
        <v>22770.9</v>
      </c>
      <c r="O57" s="1293">
        <f>+(O17*O33)/1000</f>
        <v>9117.847025495752</v>
      </c>
      <c r="P57" s="4119">
        <f>+SMS!P19</f>
        <v>11294.6</v>
      </c>
      <c r="Q57" s="1108">
        <f>+(Q17*Q33)/1000</f>
        <v>36435.505193578821</v>
      </c>
      <c r="R57" s="3924">
        <f>+SMS!R19</f>
        <v>34065.5</v>
      </c>
      <c r="S57" s="1293">
        <f>+(S17*S33)/1000</f>
        <v>9117.847025495752</v>
      </c>
      <c r="T57" s="4119">
        <f>+SMS!T19</f>
        <v>8598.0999999999985</v>
      </c>
      <c r="U57" s="1108">
        <f>+(U17*U33)/1000</f>
        <v>45553.352219074579</v>
      </c>
      <c r="V57" s="3924">
        <f>+SMS!V19</f>
        <v>42663.6</v>
      </c>
      <c r="W57" s="1293">
        <f>+(W17*W33)/1000</f>
        <v>4784.9858356940686</v>
      </c>
      <c r="X57" s="4119">
        <f>+SMS!X19</f>
        <v>7722</v>
      </c>
      <c r="Y57" s="4037">
        <f t="shared" ref="Y57:Y64" si="55">+O57+S57+W57</f>
        <v>23020.679886685572</v>
      </c>
      <c r="Z57" s="4037">
        <f t="shared" ref="Z57:Z64" si="56">+P57+T57+X57</f>
        <v>27614.699999999997</v>
      </c>
      <c r="AA57" s="4121">
        <f t="shared" ref="AA57:AB64" si="57">+M57+Y57</f>
        <v>50338.338054768639</v>
      </c>
      <c r="AB57" s="4121">
        <f t="shared" si="57"/>
        <v>50385.599999999999</v>
      </c>
      <c r="AC57" s="1293">
        <f>+(AC17*AC33)/1000</f>
        <v>9297.261567516518</v>
      </c>
      <c r="AD57" s="4119">
        <f>+SMS!AD19</f>
        <v>5530.6</v>
      </c>
      <c r="AE57" s="1108">
        <f>+(AE17*AE33)/1000</f>
        <v>59635.599622285168</v>
      </c>
      <c r="AF57" s="3924">
        <f>+SMS!AF19</f>
        <v>55916.2</v>
      </c>
      <c r="AG57" s="1293">
        <f>+(AG17*AG33)/1000</f>
        <v>9010.1983002832749</v>
      </c>
      <c r="AH57" s="4119">
        <f>+SMS!AH19</f>
        <v>8373.7999999999993</v>
      </c>
      <c r="AI57" s="1108">
        <f>+(AI17*AI33)/1000</f>
        <v>68645.797922568439</v>
      </c>
      <c r="AJ57" s="3924">
        <f>+SMS!AJ19</f>
        <v>64290</v>
      </c>
      <c r="AK57" s="1293">
        <f>+(AK17*AK33)/1000</f>
        <v>9297.261567516518</v>
      </c>
      <c r="AL57" s="4119">
        <f>+SMS!AL19</f>
        <v>6546.7999999999993</v>
      </c>
      <c r="AM57" s="4037">
        <f t="shared" ref="AM57:AM59" si="58">+AC57+AG57+AK57</f>
        <v>27604.721435316311</v>
      </c>
      <c r="AN57" s="4037">
        <f t="shared" ref="AN57:AN59" si="59">+AD57+AH57+AL57</f>
        <v>20451.199999999997</v>
      </c>
      <c r="AO57" s="1108">
        <f>+(AO17*AO33)/1000</f>
        <v>77943.059490084968</v>
      </c>
      <c r="AP57" s="3924">
        <f>+SMS!AP19</f>
        <v>70836.800000000003</v>
      </c>
      <c r="AQ57" s="1293">
        <f>+(AQ17*AQ33)/1000</f>
        <v>9440.793201133145</v>
      </c>
      <c r="AR57" s="4119">
        <f>+SMS!AR19</f>
        <v>7578.7</v>
      </c>
      <c r="AS57" s="1108">
        <f>+(AS17*AS33)/1000</f>
        <v>87383.852691218111</v>
      </c>
      <c r="AT57" s="3924">
        <f>+SMS!AT19</f>
        <v>78415.5</v>
      </c>
      <c r="AU57" s="1293">
        <f>+(AU17*AU33)/1000</f>
        <v>8436.0717658168069</v>
      </c>
      <c r="AV57" s="4119">
        <f>+SMS!AV19</f>
        <v>8045</v>
      </c>
      <c r="AW57" s="1108">
        <f>+(AW17*AW33)/1000</f>
        <v>95819.924457034926</v>
      </c>
      <c r="AX57" s="3924">
        <f>+SMS!AX19</f>
        <v>86460.5</v>
      </c>
      <c r="AY57" s="1293">
        <f>+(AY17*AY33)/1000</f>
        <v>9440.793201133145</v>
      </c>
      <c r="AZ57" s="4119">
        <f>+SMS!AZ19</f>
        <v>13265.9</v>
      </c>
      <c r="BA57" s="4037">
        <f t="shared" si="52"/>
        <v>27317.658168083093</v>
      </c>
      <c r="BB57" s="4037">
        <f t="shared" si="53"/>
        <v>28889.599999999999</v>
      </c>
      <c r="BC57" s="4122">
        <f t="shared" ref="BC57:BC64" si="60">+AM57+BA57</f>
        <v>54922.3796033994</v>
      </c>
      <c r="BD57" s="4122">
        <f t="shared" ref="BD57:BD64" si="61">+AN57+BB57</f>
        <v>49340.799999999996</v>
      </c>
      <c r="BE57" s="4038">
        <f t="shared" si="54"/>
        <v>105260.71765816807</v>
      </c>
      <c r="BF57" s="4038">
        <f t="shared" si="54"/>
        <v>99726.399999999994</v>
      </c>
      <c r="BG57" s="4123">
        <v>99581.132075471687</v>
      </c>
      <c r="BH57" s="4123">
        <v>91824.999999999985</v>
      </c>
      <c r="BI57" s="4123">
        <v>104803.01886792443</v>
      </c>
      <c r="BJ57" s="4123">
        <v>87073.52</v>
      </c>
      <c r="BK57" s="4123">
        <v>121081.638418079</v>
      </c>
      <c r="BL57" s="4123">
        <v>93275</v>
      </c>
      <c r="BM57" s="4123">
        <v>128650.03991671308</v>
      </c>
      <c r="BN57" s="4123">
        <v>101615.76000000001</v>
      </c>
      <c r="BO57" s="2492"/>
      <c r="BP57" s="2497"/>
      <c r="BQ57" s="1082"/>
      <c r="BR57" s="1721"/>
      <c r="BS57" s="1721"/>
    </row>
    <row r="58" spans="1:71" ht="19.5" customHeight="1" thickBot="1" x14ac:dyDescent="0.35">
      <c r="A58" s="92"/>
      <c r="B58" s="2509" t="s">
        <v>83</v>
      </c>
      <c r="C58" s="2502" t="s">
        <v>354</v>
      </c>
      <c r="D58" s="1109">
        <f>+(D66*'Maj Production Summ'!D$18)/1000</f>
        <v>4535.1330768625012</v>
      </c>
      <c r="E58" s="1109">
        <f>+(E66*'Maj Production Summ'!E$18)/1000</f>
        <v>388.20492139678475</v>
      </c>
      <c r="F58" s="272">
        <f>+SMS!F55</f>
        <v>365</v>
      </c>
      <c r="G58" s="1109">
        <f>+(G66*'Maj Production Summ'!G$18)/1000</f>
        <v>400.57305907569491</v>
      </c>
      <c r="H58" s="272">
        <f>+SMS!H55</f>
        <v>297</v>
      </c>
      <c r="I58" s="707">
        <f>+(I66*'Maj Production Summ'!I$18)/1000</f>
        <v>788.77798047247973</v>
      </c>
      <c r="J58" s="42">
        <f>+SMS!J55</f>
        <v>662</v>
      </c>
      <c r="K58" s="1109">
        <f>+(K66*'Maj Production Summ'!K$18)/1000</f>
        <v>388.20492139678475</v>
      </c>
      <c r="L58" s="272">
        <f>+SMS!L55</f>
        <v>405</v>
      </c>
      <c r="M58" s="708">
        <f>+(M66*'Maj Production Summ'!M$18)/1000</f>
        <v>1176.9829018692644</v>
      </c>
      <c r="N58" s="72">
        <f>+SMS!N55</f>
        <v>1067</v>
      </c>
      <c r="O58" s="1109">
        <f>+(O66*'Maj Production Summ'!O$18)/1000</f>
        <v>392.84297302637651</v>
      </c>
      <c r="P58" s="272">
        <f>+SMS!P55</f>
        <v>383</v>
      </c>
      <c r="Q58" s="707">
        <f>+(Q66*'Maj Production Summ'!Q$18)/1000</f>
        <v>1569.8258748956412</v>
      </c>
      <c r="R58" s="42">
        <f>+SMS!R55</f>
        <v>1450</v>
      </c>
      <c r="S58" s="1109">
        <f>+(S66*'Maj Production Summ'!S$18)/1000</f>
        <v>392.84297302637651</v>
      </c>
      <c r="T58" s="272">
        <f>+SMS!T55</f>
        <v>300</v>
      </c>
      <c r="U58" s="707">
        <f>+(U66*'Maj Production Summ'!U$18)/1000</f>
        <v>1962.6688479220177</v>
      </c>
      <c r="V58" s="42">
        <f>+SMS!V55</f>
        <v>1750</v>
      </c>
      <c r="W58" s="1109">
        <f>+(W66*'Maj Production Summ'!W$18)/1000</f>
        <v>206.16139493533055</v>
      </c>
      <c r="X58" s="272">
        <f>+SMS!X55</f>
        <v>293</v>
      </c>
      <c r="Y58" s="613">
        <f t="shared" si="55"/>
        <v>991.8473409880836</v>
      </c>
      <c r="Z58" s="613">
        <f t="shared" si="56"/>
        <v>976</v>
      </c>
      <c r="AA58" s="1039">
        <f t="shared" si="57"/>
        <v>2168.8302428573479</v>
      </c>
      <c r="AB58" s="1039">
        <f t="shared" si="57"/>
        <v>2043</v>
      </c>
      <c r="AC58" s="1109">
        <f>+(AC66*'Maj Production Summ'!AC$18)/1000</f>
        <v>400.57305907569491</v>
      </c>
      <c r="AD58" s="272">
        <f>+SMS!AD55</f>
        <v>251</v>
      </c>
      <c r="AE58" s="707">
        <f>+(AE66*'Maj Production Summ'!AE$18)/1000</f>
        <v>2569.4033019330432</v>
      </c>
      <c r="AF58" s="42">
        <f>+SMS!AF55</f>
        <v>2294</v>
      </c>
      <c r="AG58" s="1109">
        <f>+(AG66*'Maj Production Summ'!AG$18)/1000</f>
        <v>388.20492139678475</v>
      </c>
      <c r="AH58" s="272">
        <f>+SMS!AH55</f>
        <v>290</v>
      </c>
      <c r="AI58" s="707">
        <f>+(AI66*'Maj Production Summ'!AI$18)/1000</f>
        <v>2957.608223329828</v>
      </c>
      <c r="AJ58" s="42">
        <f>+SMS!AJ55</f>
        <v>2584</v>
      </c>
      <c r="AK58" s="1109">
        <f>+(AK66*'Maj Production Summ'!AK$18)/1000</f>
        <v>400.57305907569491</v>
      </c>
      <c r="AL58" s="272">
        <f>+SMS!AL55</f>
        <v>401.53</v>
      </c>
      <c r="AM58" s="613">
        <f t="shared" si="58"/>
        <v>1189.3510395481744</v>
      </c>
      <c r="AN58" s="613">
        <f t="shared" si="59"/>
        <v>942.53</v>
      </c>
      <c r="AO58" s="707">
        <f>+(AO66*'Maj Production Summ'!AO$18)/1000</f>
        <v>3358.1812824055232</v>
      </c>
      <c r="AP58" s="42">
        <f>+SMS!AP55</f>
        <v>2985.5299999999997</v>
      </c>
      <c r="AQ58" s="1109">
        <f>+(AQ66*'Maj Production Summ'!AQ$18)/1000</f>
        <v>406.75712791515014</v>
      </c>
      <c r="AR58" s="272">
        <f>+SMS!AR55</f>
        <v>267.8</v>
      </c>
      <c r="AS58" s="707">
        <f>+(AS66*'Maj Production Summ'!AS$18)/1000</f>
        <v>3764.938410320673</v>
      </c>
      <c r="AT58" s="42">
        <f>+SMS!AT55</f>
        <v>3253.33</v>
      </c>
      <c r="AU58" s="1109">
        <f>+(AU66*'Maj Production Summ'!AU$18)/1000</f>
        <v>363.4686460389654</v>
      </c>
      <c r="AV58" s="272">
        <f>+SMS!AV55</f>
        <v>135</v>
      </c>
      <c r="AW58" s="707">
        <f>+(AW66*'Maj Production Summ'!AW$18)/1000</f>
        <v>4128.4070563596388</v>
      </c>
      <c r="AX58" s="42">
        <f>+SMS!AX55</f>
        <v>3388.33</v>
      </c>
      <c r="AY58" s="1109">
        <f>+(AY66*'Maj Production Summ'!AY$18)/1000</f>
        <v>406.75712791515014</v>
      </c>
      <c r="AZ58" s="272">
        <f>+SMS!AZ55</f>
        <v>421</v>
      </c>
      <c r="BA58" s="613">
        <f t="shared" si="52"/>
        <v>1176.9829018692658</v>
      </c>
      <c r="BB58" s="613">
        <f t="shared" si="53"/>
        <v>823.8</v>
      </c>
      <c r="BC58" s="1039">
        <f t="shared" si="60"/>
        <v>2366.3339414174402</v>
      </c>
      <c r="BD58" s="1039">
        <f t="shared" si="61"/>
        <v>1766.33</v>
      </c>
      <c r="BE58" s="368">
        <f t="shared" si="54"/>
        <v>4535.1641842747886</v>
      </c>
      <c r="BF58" s="368">
        <f t="shared" si="54"/>
        <v>3809.33</v>
      </c>
      <c r="BG58" s="1722">
        <v>4107.721698113206</v>
      </c>
      <c r="BH58" s="1722">
        <v>3222</v>
      </c>
      <c r="BI58" s="1722">
        <v>3385.0942571672449</v>
      </c>
      <c r="BJ58" s="1722">
        <v>4727</v>
      </c>
      <c r="BK58" s="1722">
        <v>4499.9999999999973</v>
      </c>
      <c r="BL58" s="1722">
        <v>4569.84</v>
      </c>
      <c r="BM58" s="1722">
        <v>6693.3528167707818</v>
      </c>
      <c r="BN58" s="4124">
        <v>4136</v>
      </c>
      <c r="BO58" s="4110"/>
      <c r="BP58" s="2497"/>
      <c r="BQ58" s="1082"/>
      <c r="BR58" s="1721"/>
      <c r="BS58" s="1721"/>
    </row>
    <row r="59" spans="1:71" ht="18.75" customHeight="1" x14ac:dyDescent="0.3">
      <c r="A59" s="92"/>
      <c r="B59" s="2510" t="s">
        <v>832</v>
      </c>
      <c r="C59" s="4125" t="s">
        <v>354</v>
      </c>
      <c r="D59" s="1110">
        <f>+(D67*'Maj Production Summ'!D$18)/1000</f>
        <v>2327.1482664991559</v>
      </c>
      <c r="E59" s="1110">
        <f>+(E67*'Maj Production Summ'!E$18)/1000</f>
        <v>199.20262417083617</v>
      </c>
      <c r="F59" s="178">
        <f>+SMS!F56</f>
        <v>105</v>
      </c>
      <c r="G59" s="1110">
        <f>+(G67*'Maj Production Summ'!G$18)/1000</f>
        <v>205.54918328420422</v>
      </c>
      <c r="H59" s="178">
        <f>+SMS!H56</f>
        <v>178</v>
      </c>
      <c r="I59" s="60">
        <v>0</v>
      </c>
      <c r="J59" s="38">
        <f>+SMS!J56</f>
        <v>283</v>
      </c>
      <c r="K59" s="1110">
        <f>+(K67*'Maj Production Summ'!K$18)/1000</f>
        <v>199.20262417083617</v>
      </c>
      <c r="L59" s="178">
        <f>+SMS!L56</f>
        <v>105</v>
      </c>
      <c r="M59" s="71">
        <v>0</v>
      </c>
      <c r="N59" s="68">
        <f>+SMS!N56</f>
        <v>388</v>
      </c>
      <c r="O59" s="1110">
        <f>+(O67*'Maj Production Summ'!O$18)/1000</f>
        <v>201.58258383834942</v>
      </c>
      <c r="P59" s="178">
        <f>+SMS!P56</f>
        <v>137</v>
      </c>
      <c r="Q59" s="60">
        <v>0</v>
      </c>
      <c r="R59" s="38">
        <f>+SMS!R56</f>
        <v>525</v>
      </c>
      <c r="S59" s="1110">
        <f>+(S67*'Maj Production Summ'!S$18)/1000</f>
        <v>201.58258383834942</v>
      </c>
      <c r="T59" s="178">
        <f>+SMS!T56</f>
        <v>131</v>
      </c>
      <c r="U59" s="60">
        <v>0</v>
      </c>
      <c r="V59" s="38">
        <f>+SMS!V56</f>
        <v>656</v>
      </c>
      <c r="W59" s="1110">
        <f>+(W67*'Maj Production Summ'!W$18)/1000</f>
        <v>105.78920722095233</v>
      </c>
      <c r="X59" s="178">
        <f>+SMS!X56</f>
        <v>129</v>
      </c>
      <c r="Y59" s="4096">
        <f t="shared" si="55"/>
        <v>508.95437489765118</v>
      </c>
      <c r="Z59" s="4096">
        <f t="shared" si="56"/>
        <v>397</v>
      </c>
      <c r="AA59" s="4126">
        <f t="shared" si="57"/>
        <v>508.95437489765118</v>
      </c>
      <c r="AB59" s="4126">
        <f t="shared" si="57"/>
        <v>785</v>
      </c>
      <c r="AC59" s="1110">
        <f>+(AC67*'Maj Production Summ'!AC$18)/1000</f>
        <v>205.54918328420422</v>
      </c>
      <c r="AD59" s="178">
        <f>+SMS!AD56</f>
        <v>94</v>
      </c>
      <c r="AE59" s="60">
        <v>0</v>
      </c>
      <c r="AF59" s="38">
        <f>+SMS!AF56</f>
        <v>879</v>
      </c>
      <c r="AG59" s="1110">
        <f>+(AG67*'Maj Production Summ'!AG$18)/1000</f>
        <v>199.20262417083617</v>
      </c>
      <c r="AH59" s="178">
        <f>+SMS!AH56</f>
        <v>112</v>
      </c>
      <c r="AI59" s="60">
        <v>0</v>
      </c>
      <c r="AJ59" s="38">
        <f>+SMS!AJ56</f>
        <v>991</v>
      </c>
      <c r="AK59" s="1110">
        <f>+(AK67*'Maj Production Summ'!AK$18)/1000</f>
        <v>205.54918328420422</v>
      </c>
      <c r="AL59" s="178">
        <f>+SMS!AL56</f>
        <v>70</v>
      </c>
      <c r="AM59" s="4096">
        <f t="shared" si="58"/>
        <v>610.30099073924464</v>
      </c>
      <c r="AN59" s="4096">
        <f t="shared" si="59"/>
        <v>276</v>
      </c>
      <c r="AO59" s="60">
        <v>0</v>
      </c>
      <c r="AP59" s="38">
        <f>+SMS!AP56</f>
        <v>1061</v>
      </c>
      <c r="AQ59" s="1110">
        <f>+(AQ67*'Maj Production Summ'!AQ$18)/1000</f>
        <v>208.72246284088834</v>
      </c>
      <c r="AR59" s="178">
        <f>+SMS!AR56</f>
        <v>88</v>
      </c>
      <c r="AS59" s="60">
        <v>0</v>
      </c>
      <c r="AT59" s="38">
        <f>+SMS!AT56</f>
        <v>1149</v>
      </c>
      <c r="AU59" s="1110">
        <f>+(AU67*'Maj Production Summ'!AU$18)/1000</f>
        <v>186.50950594410051</v>
      </c>
      <c r="AV59" s="178">
        <f>+SMS!AV56</f>
        <v>143.714</v>
      </c>
      <c r="AW59" s="60">
        <v>0</v>
      </c>
      <c r="AX59" s="38">
        <f>+SMS!AX56</f>
        <v>1292.7139999999999</v>
      </c>
      <c r="AY59" s="1110">
        <f>+(AY67*'Maj Production Summ'!AY$18)/1000</f>
        <v>208.72246284088834</v>
      </c>
      <c r="AZ59" s="178">
        <f>+SMS!AZ56</f>
        <v>122</v>
      </c>
      <c r="BA59" s="4096">
        <f t="shared" si="52"/>
        <v>603.95443162587719</v>
      </c>
      <c r="BB59" s="4096">
        <f t="shared" si="53"/>
        <v>353.714</v>
      </c>
      <c r="BC59" s="1039">
        <f t="shared" si="60"/>
        <v>1214.2554223651218</v>
      </c>
      <c r="BD59" s="1039">
        <f t="shared" si="61"/>
        <v>629.71399999999994</v>
      </c>
      <c r="BE59" s="4094">
        <f t="shared" si="54"/>
        <v>208.72246284088834</v>
      </c>
      <c r="BF59" s="4094">
        <f t="shared" si="54"/>
        <v>1414.7139999999999</v>
      </c>
      <c r="BG59" s="4127">
        <v>0</v>
      </c>
      <c r="BH59" s="4127">
        <v>1433</v>
      </c>
      <c r="BI59" s="4127">
        <v>0</v>
      </c>
      <c r="BJ59" s="4127">
        <v>1668.3050000000001</v>
      </c>
      <c r="BK59" s="4127">
        <v>0</v>
      </c>
      <c r="BL59" s="4127">
        <v>1122.0419999999999</v>
      </c>
      <c r="BM59" s="4127">
        <v>0</v>
      </c>
      <c r="BN59" s="1083">
        <v>968.33999999999992</v>
      </c>
      <c r="BO59" s="4110"/>
      <c r="BP59" s="2497"/>
      <c r="BQ59" s="1082"/>
      <c r="BR59" s="1721"/>
      <c r="BS59" s="1721"/>
    </row>
    <row r="60" spans="1:71" ht="19.5" customHeight="1" thickBot="1" x14ac:dyDescent="0.35">
      <c r="A60" s="833"/>
      <c r="B60" s="2511" t="s">
        <v>874</v>
      </c>
      <c r="C60" s="4128" t="s">
        <v>354</v>
      </c>
      <c r="D60" s="1319">
        <f>SUM(D58:D59)</f>
        <v>6862.2813433616575</v>
      </c>
      <c r="E60" s="1319">
        <f>SUM(E58:E59)</f>
        <v>587.4075455676209</v>
      </c>
      <c r="F60" s="1125">
        <f t="shared" ref="F60:H60" si="62">SUM(F58:F59)</f>
        <v>470</v>
      </c>
      <c r="G60" s="1319">
        <f>SUM(G58:G59)</f>
        <v>606.12224235989913</v>
      </c>
      <c r="H60" s="1125">
        <f t="shared" si="62"/>
        <v>475</v>
      </c>
      <c r="I60" s="1985">
        <f t="shared" ref="I60:R60" si="63">SUM(I58:I59)</f>
        <v>788.77798047247973</v>
      </c>
      <c r="J60" s="1986">
        <f t="shared" si="63"/>
        <v>945</v>
      </c>
      <c r="K60" s="1319">
        <f>SUM(K58:K59)</f>
        <v>587.4075455676209</v>
      </c>
      <c r="L60" s="1125">
        <f t="shared" ref="L60" si="64">SUM(L58:L59)</f>
        <v>510</v>
      </c>
      <c r="M60" s="1977">
        <f t="shared" si="63"/>
        <v>1176.9829018692644</v>
      </c>
      <c r="N60" s="1978">
        <f t="shared" si="63"/>
        <v>1455</v>
      </c>
      <c r="O60" s="1319">
        <f>SUM(O58:O59)</f>
        <v>594.42555686472588</v>
      </c>
      <c r="P60" s="1125">
        <f t="shared" ref="P60" si="65">SUM(P58:P59)</f>
        <v>520</v>
      </c>
      <c r="Q60" s="1985">
        <f t="shared" si="63"/>
        <v>1569.8258748956412</v>
      </c>
      <c r="R60" s="1986">
        <f t="shared" si="63"/>
        <v>1975</v>
      </c>
      <c r="S60" s="1319">
        <f>SUM(S58:S59)</f>
        <v>594.42555686472588</v>
      </c>
      <c r="T60" s="1125">
        <f t="shared" ref="T60" si="66">SUM(T58:T59)</f>
        <v>431</v>
      </c>
      <c r="U60" s="1985">
        <f t="shared" ref="U60:V60" si="67">SUM(U58:U59)</f>
        <v>1962.6688479220177</v>
      </c>
      <c r="V60" s="1986">
        <f t="shared" si="67"/>
        <v>2406</v>
      </c>
      <c r="W60" s="1319">
        <f>SUM(W58:W59)</f>
        <v>311.95060215628291</v>
      </c>
      <c r="X60" s="1125">
        <f t="shared" ref="X60" si="68">SUM(X58:X59)</f>
        <v>422</v>
      </c>
      <c r="Y60" s="4129">
        <f t="shared" ref="Y60:AF60" si="69">SUM(Y58:Y59)</f>
        <v>1500.8017158857347</v>
      </c>
      <c r="Z60" s="4129">
        <f t="shared" si="69"/>
        <v>1373</v>
      </c>
      <c r="AA60" s="4130">
        <f t="shared" si="69"/>
        <v>2677.7846177549991</v>
      </c>
      <c r="AB60" s="4130">
        <f t="shared" si="69"/>
        <v>2828</v>
      </c>
      <c r="AC60" s="1319">
        <f>SUM(AC58:AC59)</f>
        <v>606.12224235989913</v>
      </c>
      <c r="AD60" s="1125">
        <f t="shared" ref="AD60" si="70">SUM(AD58:AD59)</f>
        <v>345</v>
      </c>
      <c r="AE60" s="1985">
        <f t="shared" si="69"/>
        <v>2569.4033019330432</v>
      </c>
      <c r="AF60" s="1986">
        <f t="shared" si="69"/>
        <v>3173</v>
      </c>
      <c r="AG60" s="1319">
        <f>SUM(AG58:AG59)</f>
        <v>587.4075455676209</v>
      </c>
      <c r="AH60" s="1125">
        <f t="shared" ref="AH60:AJ60" si="71">SUM(AH58:AH59)</f>
        <v>402</v>
      </c>
      <c r="AI60" s="1985">
        <f t="shared" si="71"/>
        <v>2957.608223329828</v>
      </c>
      <c r="AJ60" s="1986">
        <f t="shared" si="71"/>
        <v>3575</v>
      </c>
      <c r="AK60" s="1319">
        <f>SUM(AK58:AK59)</f>
        <v>606.12224235989913</v>
      </c>
      <c r="AL60" s="1125">
        <f t="shared" ref="AL60" si="72">SUM(AL58:AL59)</f>
        <v>471.53</v>
      </c>
      <c r="AM60" s="4129">
        <f t="shared" ref="AM60:AN60" si="73">SUM(AM58:AM59)</f>
        <v>1799.6520302874192</v>
      </c>
      <c r="AN60" s="4129">
        <f t="shared" si="73"/>
        <v>1218.53</v>
      </c>
      <c r="AO60" s="1985">
        <f t="shared" ref="AO60:AT60" si="74">SUM(AO58:AO59)</f>
        <v>3358.1812824055232</v>
      </c>
      <c r="AP60" s="1986">
        <f t="shared" si="74"/>
        <v>4046.5299999999997</v>
      </c>
      <c r="AQ60" s="1319">
        <f>SUM(AQ58:AQ59)</f>
        <v>615.47959075603853</v>
      </c>
      <c r="AR60" s="1125">
        <f t="shared" ref="AR60" si="75">SUM(AR58:AR59)</f>
        <v>355.8</v>
      </c>
      <c r="AS60" s="1985">
        <f t="shared" si="74"/>
        <v>3764.938410320673</v>
      </c>
      <c r="AT60" s="1986">
        <f t="shared" si="74"/>
        <v>4402.33</v>
      </c>
      <c r="AU60" s="1319">
        <f>SUM(AU58:AU59)</f>
        <v>549.97815198306591</v>
      </c>
      <c r="AV60" s="1125">
        <f t="shared" ref="AV60" si="76">SUM(AV58:AV59)</f>
        <v>278.714</v>
      </c>
      <c r="AW60" s="1985">
        <f t="shared" ref="AW60:AX60" si="77">SUM(AW58:AW59)</f>
        <v>4128.4070563596388</v>
      </c>
      <c r="AX60" s="1986">
        <f t="shared" si="77"/>
        <v>4681.0439999999999</v>
      </c>
      <c r="AY60" s="1319">
        <f>SUM(AY58:AY59)</f>
        <v>615.47959075603853</v>
      </c>
      <c r="AZ60" s="1125">
        <f t="shared" ref="AZ60" si="78">SUM(AZ58:AZ59)</f>
        <v>543</v>
      </c>
      <c r="BA60" s="4129">
        <f t="shared" ref="BA60:BD60" si="79">SUM(BA58:BA59)</f>
        <v>1780.9373334951429</v>
      </c>
      <c r="BB60" s="4129">
        <f t="shared" si="79"/>
        <v>1177.5139999999999</v>
      </c>
      <c r="BC60" s="4130">
        <f t="shared" si="79"/>
        <v>3580.589363782562</v>
      </c>
      <c r="BD60" s="4130">
        <f t="shared" si="79"/>
        <v>2396.0439999999999</v>
      </c>
      <c r="BE60" s="4131">
        <f t="shared" ref="BE60:BF60" si="80">SUM(BE58:BE59)</f>
        <v>4743.8866471156771</v>
      </c>
      <c r="BF60" s="4131">
        <f t="shared" si="80"/>
        <v>5224.0439999999999</v>
      </c>
      <c r="BG60" s="4132">
        <v>4107.721698113206</v>
      </c>
      <c r="BH60" s="4132">
        <v>4655</v>
      </c>
      <c r="BI60" s="4132">
        <v>3385.0942571672449</v>
      </c>
      <c r="BJ60" s="4132">
        <v>6395.3050000000003</v>
      </c>
      <c r="BK60" s="4132">
        <v>4499.9999999999973</v>
      </c>
      <c r="BL60" s="4132">
        <v>5691.8819999999996</v>
      </c>
      <c r="BM60" s="4132">
        <v>6693.3528167707818</v>
      </c>
      <c r="BN60" s="1958">
        <v>5104.34</v>
      </c>
      <c r="BO60" s="4111"/>
      <c r="BP60" s="1957"/>
      <c r="BQ60" s="2406"/>
      <c r="BR60" s="1471"/>
      <c r="BS60" s="1471"/>
    </row>
    <row r="61" spans="1:71" ht="19.5" customHeight="1" thickBot="1" x14ac:dyDescent="0.35">
      <c r="A61" s="92"/>
      <c r="B61" s="2510" t="s">
        <v>84</v>
      </c>
      <c r="C61" s="4125" t="s">
        <v>354</v>
      </c>
      <c r="D61" s="1110">
        <f>+(D69*'Maj Production Summ'!D$18)/1000</f>
        <v>48123.1193885826</v>
      </c>
      <c r="E61" s="1110">
        <f>+(E69*'Maj Production Summ'!E$18)/1000</f>
        <v>4119.3128102289647</v>
      </c>
      <c r="F61" s="178">
        <f>+SMS!F58</f>
        <v>3332</v>
      </c>
      <c r="G61" s="1110">
        <f>+(G69*'Maj Production Summ'!G$18)/1000</f>
        <v>4250.5533617296896</v>
      </c>
      <c r="H61" s="178">
        <f>+SMS!H58</f>
        <v>3570</v>
      </c>
      <c r="I61" s="60">
        <f>+(I69*'Maj Production Summ'!I$18)/1000</f>
        <v>8369.8661719586544</v>
      </c>
      <c r="J61" s="38">
        <f>+SMS!J58</f>
        <v>6902</v>
      </c>
      <c r="K61" s="1110">
        <f>+(K69*'Maj Production Summ'!K$18)/1000</f>
        <v>4119.3128102289647</v>
      </c>
      <c r="L61" s="178">
        <f>+SMS!L58</f>
        <v>3768</v>
      </c>
      <c r="M61" s="71">
        <f>+(M69*'Maj Production Summ'!M$18)/1000</f>
        <v>12489.178982187617</v>
      </c>
      <c r="N61" s="68">
        <f>+SMS!N58</f>
        <v>10670</v>
      </c>
      <c r="O61" s="1110">
        <f>+(O69*'Maj Production Summ'!O$18)/1000</f>
        <v>4168.5280170417409</v>
      </c>
      <c r="P61" s="178">
        <f>+SMS!P58</f>
        <v>4098</v>
      </c>
      <c r="Q61" s="60">
        <f>+(Q69*'Maj Production Summ'!Q$18)/1000</f>
        <v>16657.706999229358</v>
      </c>
      <c r="R61" s="38">
        <f>+SMS!R58</f>
        <v>14768</v>
      </c>
      <c r="S61" s="1110">
        <f>+(S69*'Maj Production Summ'!S$18)/1000</f>
        <v>4168.5280170417409</v>
      </c>
      <c r="T61" s="178">
        <f>+SMS!T58</f>
        <v>3587.02</v>
      </c>
      <c r="U61" s="60">
        <f>+(U69*'Maj Production Summ'!U$18)/1000</f>
        <v>20826.235016271101</v>
      </c>
      <c r="V61" s="38">
        <f>+SMS!V58</f>
        <v>18355.02</v>
      </c>
      <c r="W61" s="1110">
        <f>+(W69*'Maj Production Summ'!W$18)/1000</f>
        <v>2187.6159428276978</v>
      </c>
      <c r="X61" s="178">
        <f>+SMS!X58</f>
        <v>3011.1099999999997</v>
      </c>
      <c r="Y61" s="4096">
        <f t="shared" si="55"/>
        <v>10524.671976911181</v>
      </c>
      <c r="Z61" s="4096">
        <f t="shared" si="56"/>
        <v>10696.130000000001</v>
      </c>
      <c r="AA61" s="4126">
        <f t="shared" si="57"/>
        <v>23013.850959098796</v>
      </c>
      <c r="AB61" s="4126">
        <f t="shared" si="57"/>
        <v>21366.13</v>
      </c>
      <c r="AC61" s="1110">
        <f>+(AC69*'Maj Production Summ'!AC$18)/1000</f>
        <v>4250.5533617296896</v>
      </c>
      <c r="AD61" s="178">
        <f>+SMS!AD58</f>
        <v>2470</v>
      </c>
      <c r="AE61" s="60">
        <f>+(AE69*'Maj Production Summ'!AE$18)/1000</f>
        <v>27264.404320828489</v>
      </c>
      <c r="AF61" s="38">
        <f>+SMS!AF58</f>
        <v>23836.129999999997</v>
      </c>
      <c r="AG61" s="1110">
        <f>+(AG69*'Maj Production Summ'!AG$18)/1000</f>
        <v>4119.3128102289647</v>
      </c>
      <c r="AH61" s="178">
        <f>+SMS!AH58</f>
        <v>2814</v>
      </c>
      <c r="AI61" s="60">
        <f>+(AI69*'Maj Production Summ'!AI$18)/1000</f>
        <v>31383.717131057452</v>
      </c>
      <c r="AJ61" s="38">
        <f>+SMS!AJ58</f>
        <v>26650.129999999997</v>
      </c>
      <c r="AK61" s="1110">
        <f>+(AK69*'Maj Production Summ'!AK$18)/1000</f>
        <v>4250.5533617296896</v>
      </c>
      <c r="AL61" s="178">
        <f>+SMS!AL58</f>
        <v>3092</v>
      </c>
      <c r="AM61" s="4096">
        <f t="shared" ref="AM61" si="81">+AC61+AG61+AK61</f>
        <v>12620.419533688344</v>
      </c>
      <c r="AN61" s="4096">
        <f t="shared" ref="AN61" si="82">+AD61+AH61+AL61</f>
        <v>8376</v>
      </c>
      <c r="AO61" s="60">
        <f>+(AO69*'Maj Production Summ'!AO$18)/1000</f>
        <v>35634.270492787145</v>
      </c>
      <c r="AP61" s="38">
        <f>+SMS!AP58</f>
        <v>29742.129999999997</v>
      </c>
      <c r="AQ61" s="1110">
        <f>+(AQ69*'Maj Production Summ'!AQ$18)/1000</f>
        <v>4316.1736374800548</v>
      </c>
      <c r="AR61" s="178">
        <f>+SMS!AR58</f>
        <v>3008</v>
      </c>
      <c r="AS61" s="60">
        <f>+(AS69*'Maj Production Summ'!AS$18)/1000</f>
        <v>39950.444130267206</v>
      </c>
      <c r="AT61" s="38">
        <f>+SMS!AT58</f>
        <v>32750.129999999997</v>
      </c>
      <c r="AU61" s="1110">
        <f>+(AU69*'Maj Production Summ'!AU$18)/1000</f>
        <v>3856.8317072275213</v>
      </c>
      <c r="AV61" s="178">
        <f>+SMS!AV58</f>
        <v>2409</v>
      </c>
      <c r="AW61" s="60">
        <f>+(AW69*'Maj Production Summ'!AW$18)/1000</f>
        <v>43807.275837494723</v>
      </c>
      <c r="AX61" s="38">
        <f>+SMS!AX58</f>
        <v>35159.129999999997</v>
      </c>
      <c r="AY61" s="1110">
        <f>+(AY69*'Maj Production Summ'!AY$18)/1000</f>
        <v>4316.1736374800548</v>
      </c>
      <c r="AZ61" s="178">
        <f>+SMS!AZ58</f>
        <v>3289</v>
      </c>
      <c r="BA61" s="4096">
        <f>+AQ61+AU61+AY61</f>
        <v>12489.17898218763</v>
      </c>
      <c r="BB61" s="4096">
        <f>+AR61+AV61+AZ61</f>
        <v>8706</v>
      </c>
      <c r="BC61" s="1039">
        <f t="shared" si="60"/>
        <v>25109.598515875972</v>
      </c>
      <c r="BD61" s="1039">
        <f t="shared" si="61"/>
        <v>17082</v>
      </c>
      <c r="BE61" s="4094">
        <f>+AW61+AY61</f>
        <v>48123.449474974776</v>
      </c>
      <c r="BF61" s="4094">
        <f>+AX61+AZ61</f>
        <v>38448.129999999997</v>
      </c>
      <c r="BG61" s="4127">
        <v>45682.844339622636</v>
      </c>
      <c r="BH61" s="4127">
        <v>39439.440000000002</v>
      </c>
      <c r="BI61" s="4127">
        <v>44076.080225204008</v>
      </c>
      <c r="BJ61" s="4127">
        <v>45680</v>
      </c>
      <c r="BK61" s="4127">
        <v>39999.999999999971</v>
      </c>
      <c r="BL61" s="4127">
        <v>44647.62</v>
      </c>
      <c r="BM61" s="4127">
        <v>42007.865963932476</v>
      </c>
      <c r="BN61" s="1083">
        <v>36347</v>
      </c>
      <c r="BO61" s="4110"/>
      <c r="BP61" s="2497"/>
      <c r="BQ61" s="1082"/>
      <c r="BR61" s="1721"/>
      <c r="BS61" s="1721"/>
    </row>
    <row r="62" spans="1:71" ht="18.75" customHeight="1" x14ac:dyDescent="0.3">
      <c r="A62" s="92"/>
      <c r="B62" s="2510" t="s">
        <v>1527</v>
      </c>
      <c r="C62" s="4125" t="s">
        <v>354</v>
      </c>
      <c r="D62" s="1110"/>
      <c r="E62" s="1110"/>
      <c r="F62" s="178">
        <f>+SMS!F59</f>
        <v>0</v>
      </c>
      <c r="G62" s="1110"/>
      <c r="H62" s="178">
        <f>+SMS!H59</f>
        <v>0</v>
      </c>
      <c r="I62" s="60"/>
      <c r="J62" s="38">
        <f>+SMS!J59</f>
        <v>0</v>
      </c>
      <c r="K62" s="1110"/>
      <c r="L62" s="178">
        <f>+SMS!L59</f>
        <v>0</v>
      </c>
      <c r="M62" s="71"/>
      <c r="N62" s="68">
        <f>+SMS!N59</f>
        <v>0</v>
      </c>
      <c r="O62" s="1110"/>
      <c r="P62" s="178">
        <f>+SMS!P59</f>
        <v>0</v>
      </c>
      <c r="Q62" s="60"/>
      <c r="R62" s="38">
        <f>+SMS!R59</f>
        <v>0</v>
      </c>
      <c r="S62" s="1110"/>
      <c r="T62" s="178">
        <f>+SMS!T59</f>
        <v>0</v>
      </c>
      <c r="U62" s="60"/>
      <c r="V62" s="38">
        <f>+SMS!V59</f>
        <v>0</v>
      </c>
      <c r="W62" s="1110"/>
      <c r="X62" s="178">
        <f>+SMS!X59</f>
        <v>0</v>
      </c>
      <c r="Y62" s="4096"/>
      <c r="Z62" s="4096">
        <f>P62+T62+X62</f>
        <v>0</v>
      </c>
      <c r="AA62" s="4126"/>
      <c r="AB62" s="4126">
        <f t="shared" si="57"/>
        <v>0</v>
      </c>
      <c r="AC62" s="1110"/>
      <c r="AD62" s="178">
        <f>+SMS!AD59</f>
        <v>0</v>
      </c>
      <c r="AE62" s="60"/>
      <c r="AF62" s="38">
        <f>+SMS!AF59</f>
        <v>0</v>
      </c>
      <c r="AG62" s="1110"/>
      <c r="AH62" s="178">
        <f>+SMS!AH59</f>
        <v>0</v>
      </c>
      <c r="AI62" s="60"/>
      <c r="AJ62" s="38">
        <f>+SMS!AJ59</f>
        <v>0</v>
      </c>
      <c r="AK62" s="1110"/>
      <c r="AL62" s="178">
        <f>+SMS!AL59</f>
        <v>0</v>
      </c>
      <c r="AM62" s="4096"/>
      <c r="AN62" s="4096">
        <f>AD62+AH62+AL62</f>
        <v>0</v>
      </c>
      <c r="AO62" s="60"/>
      <c r="AP62" s="38">
        <f>+SMS!AP59</f>
        <v>0</v>
      </c>
      <c r="AQ62" s="1110"/>
      <c r="AR62" s="178">
        <f>+SMS!AR59</f>
        <v>0</v>
      </c>
      <c r="AS62" s="60"/>
      <c r="AT62" s="38">
        <f>+SMS!AT59</f>
        <v>0</v>
      </c>
      <c r="AU62" s="1110"/>
      <c r="AV62" s="178">
        <f>+SMS!AV59</f>
        <v>0</v>
      </c>
      <c r="AW62" s="60"/>
      <c r="AX62" s="38">
        <f>+SMS!AX59</f>
        <v>0</v>
      </c>
      <c r="AY62" s="1110"/>
      <c r="AZ62" s="178">
        <f>+SMS!AZ59</f>
        <v>0</v>
      </c>
      <c r="BA62" s="4096"/>
      <c r="BB62" s="4096">
        <f>+SMS!BB59</f>
        <v>0</v>
      </c>
      <c r="BC62" s="1039"/>
      <c r="BD62" s="1039">
        <f>+SMS!BD59</f>
        <v>0</v>
      </c>
      <c r="BE62" s="4094"/>
      <c r="BF62" s="4094">
        <f>+SMS!BF59</f>
        <v>0</v>
      </c>
      <c r="BG62" s="4127"/>
      <c r="BH62" s="4127">
        <v>0</v>
      </c>
      <c r="BI62" s="4127"/>
      <c r="BJ62" s="4127">
        <v>25.81</v>
      </c>
      <c r="BK62" s="4127"/>
      <c r="BL62" s="4127"/>
      <c r="BM62" s="4127"/>
      <c r="BN62" s="1083"/>
      <c r="BO62" s="4110"/>
      <c r="BP62" s="2497"/>
      <c r="BQ62" s="1082"/>
      <c r="BR62" s="1721"/>
      <c r="BS62" s="1721"/>
    </row>
    <row r="63" spans="1:71" ht="18.75" customHeight="1" x14ac:dyDescent="0.3">
      <c r="A63" s="833"/>
      <c r="B63" s="2511" t="s">
        <v>1528</v>
      </c>
      <c r="C63" s="4125" t="s">
        <v>354</v>
      </c>
      <c r="D63" s="3271">
        <f>SUM(D61:D62)</f>
        <v>48123.1193885826</v>
      </c>
      <c r="E63" s="3271">
        <f>SUM(E61:E62)</f>
        <v>4119.3128102289647</v>
      </c>
      <c r="F63" s="1125">
        <f>SUM(F61:F62)</f>
        <v>3332</v>
      </c>
      <c r="G63" s="3271">
        <f>SUM(G61:G62)</f>
        <v>4250.5533617296896</v>
      </c>
      <c r="H63" s="1125">
        <f>SUM(H61:H62)</f>
        <v>3570</v>
      </c>
      <c r="I63" s="1985">
        <f t="shared" ref="I63:R63" si="83">SUM(I61:I62)</f>
        <v>8369.8661719586544</v>
      </c>
      <c r="J63" s="1986">
        <f t="shared" si="83"/>
        <v>6902</v>
      </c>
      <c r="K63" s="3271">
        <f>SUM(K61:K62)</f>
        <v>4119.3128102289647</v>
      </c>
      <c r="L63" s="1125">
        <f>SUM(L61:L62)</f>
        <v>3768</v>
      </c>
      <c r="M63" s="1977">
        <f t="shared" si="83"/>
        <v>12489.178982187617</v>
      </c>
      <c r="N63" s="1978">
        <f t="shared" si="83"/>
        <v>10670</v>
      </c>
      <c r="O63" s="3271">
        <f>SUM(O61:O62)</f>
        <v>4168.5280170417409</v>
      </c>
      <c r="P63" s="1125">
        <f>SUM(P61:P62)</f>
        <v>4098</v>
      </c>
      <c r="Q63" s="1985">
        <f t="shared" si="83"/>
        <v>16657.706999229358</v>
      </c>
      <c r="R63" s="1986">
        <f t="shared" si="83"/>
        <v>14768</v>
      </c>
      <c r="S63" s="3271">
        <f>SUM(S61:S62)</f>
        <v>4168.5280170417409</v>
      </c>
      <c r="T63" s="1125">
        <f>SUM(T61:T62)</f>
        <v>3587.02</v>
      </c>
      <c r="U63" s="1985">
        <f t="shared" ref="U63:V63" si="84">SUM(U61:U62)</f>
        <v>20826.235016271101</v>
      </c>
      <c r="V63" s="1986">
        <f t="shared" si="84"/>
        <v>18355.02</v>
      </c>
      <c r="W63" s="3271">
        <f>SUM(W61:W62)</f>
        <v>2187.6159428276978</v>
      </c>
      <c r="X63" s="1125">
        <f>SUM(X61:X62)</f>
        <v>3011.1099999999997</v>
      </c>
      <c r="Y63" s="4129">
        <f t="shared" ref="Y63:AB63" si="85">SUM(Y61:Y62)</f>
        <v>10524.671976911181</v>
      </c>
      <c r="Z63" s="4129">
        <f t="shared" si="85"/>
        <v>10696.130000000001</v>
      </c>
      <c r="AA63" s="4130">
        <f t="shared" si="85"/>
        <v>23013.850959098796</v>
      </c>
      <c r="AB63" s="4130">
        <f t="shared" si="85"/>
        <v>21366.13</v>
      </c>
      <c r="AC63" s="3271">
        <f>SUM(AC61:AC62)</f>
        <v>4250.5533617296896</v>
      </c>
      <c r="AD63" s="1125">
        <f>SUM(AD61:AD62)</f>
        <v>2470</v>
      </c>
      <c r="AE63" s="1985">
        <f t="shared" ref="AE63:AF63" si="86">SUM(AE61:AE62)</f>
        <v>27264.404320828489</v>
      </c>
      <c r="AF63" s="1986">
        <f t="shared" si="86"/>
        <v>23836.129999999997</v>
      </c>
      <c r="AG63" s="3271">
        <f>SUM(AG61:AG62)</f>
        <v>4119.3128102289647</v>
      </c>
      <c r="AH63" s="1125">
        <f>SUM(AH61:AH62)</f>
        <v>2814</v>
      </c>
      <c r="AI63" s="1985">
        <f t="shared" ref="AI63:AJ63" si="87">SUM(AI61:AI62)</f>
        <v>31383.717131057452</v>
      </c>
      <c r="AJ63" s="1986">
        <f t="shared" si="87"/>
        <v>26650.129999999997</v>
      </c>
      <c r="AK63" s="3271">
        <f>SUM(AK61:AK62)</f>
        <v>4250.5533617296896</v>
      </c>
      <c r="AL63" s="1125">
        <f>SUM(AL61:AL62)</f>
        <v>3092</v>
      </c>
      <c r="AM63" s="4129">
        <f>SUM(AM61:AM62)</f>
        <v>12620.419533688344</v>
      </c>
      <c r="AN63" s="4129">
        <f>SUM(AN61:AN62)</f>
        <v>8376</v>
      </c>
      <c r="AO63" s="1985">
        <f t="shared" ref="AO63:AT63" si="88">SUM(AO61:AO62)</f>
        <v>35634.270492787145</v>
      </c>
      <c r="AP63" s="1986">
        <f t="shared" si="88"/>
        <v>29742.129999999997</v>
      </c>
      <c r="AQ63" s="3271">
        <f>SUM(AQ61:AQ62)</f>
        <v>4316.1736374800548</v>
      </c>
      <c r="AR63" s="1125">
        <f>SUM(AR61:AR62)</f>
        <v>3008</v>
      </c>
      <c r="AS63" s="1985">
        <f t="shared" si="88"/>
        <v>39950.444130267206</v>
      </c>
      <c r="AT63" s="1986">
        <f t="shared" si="88"/>
        <v>32750.129999999997</v>
      </c>
      <c r="AU63" s="3271">
        <f>SUM(AU61:AU62)</f>
        <v>3856.8317072275213</v>
      </c>
      <c r="AV63" s="1125">
        <f>SUM(AV61:AV62)</f>
        <v>2409</v>
      </c>
      <c r="AW63" s="1985">
        <f t="shared" ref="AW63:AX63" si="89">SUM(AW61:AW62)</f>
        <v>43807.275837494723</v>
      </c>
      <c r="AX63" s="1986">
        <f t="shared" si="89"/>
        <v>35159.129999999997</v>
      </c>
      <c r="AY63" s="3271">
        <f>SUM(AY61:AY62)</f>
        <v>4316.1736374800548</v>
      </c>
      <c r="AZ63" s="1125">
        <f>SUM(AZ61:AZ62)</f>
        <v>3289</v>
      </c>
      <c r="BA63" s="4129">
        <f t="shared" ref="BA63:BF63" si="90">SUM(BA61:BA62)</f>
        <v>12489.17898218763</v>
      </c>
      <c r="BB63" s="4129">
        <f t="shared" si="90"/>
        <v>8706</v>
      </c>
      <c r="BC63" s="4130">
        <f t="shared" si="90"/>
        <v>25109.598515875972</v>
      </c>
      <c r="BD63" s="4130">
        <f t="shared" si="90"/>
        <v>17082</v>
      </c>
      <c r="BE63" s="4131">
        <f t="shared" si="90"/>
        <v>48123.449474974776</v>
      </c>
      <c r="BF63" s="4131">
        <f t="shared" si="90"/>
        <v>38448.129999999997</v>
      </c>
      <c r="BG63" s="4132">
        <v>45682.844339622636</v>
      </c>
      <c r="BH63" s="4132">
        <v>39439.440000000002</v>
      </c>
      <c r="BI63" s="4132">
        <v>44076.080225204008</v>
      </c>
      <c r="BJ63" s="4132">
        <v>45705.81</v>
      </c>
      <c r="BK63" s="4132"/>
      <c r="BL63" s="4132"/>
      <c r="BM63" s="4132"/>
      <c r="BN63" s="1958"/>
      <c r="BO63" s="4111"/>
      <c r="BP63" s="1957"/>
      <c r="BQ63" s="2406"/>
      <c r="BR63" s="1471"/>
      <c r="BS63" s="1471"/>
    </row>
    <row r="64" spans="1:71" ht="18.75" customHeight="1" x14ac:dyDescent="0.3">
      <c r="A64" s="92"/>
      <c r="B64" s="2511" t="s">
        <v>85</v>
      </c>
      <c r="C64" s="4128" t="s">
        <v>354</v>
      </c>
      <c r="D64" s="3271">
        <f>+(D72*'Maj Production Summ'!D$18)/1000</f>
        <v>6002.4946899136239</v>
      </c>
      <c r="E64" s="3271">
        <f>+(E72*'Maj Production Summ'!E$18)/1000</f>
        <v>513.81027630056133</v>
      </c>
      <c r="F64" s="1125">
        <f>+SMS!F61</f>
        <v>467</v>
      </c>
      <c r="G64" s="3271">
        <f>+(G72*'Maj Production Summ'!G$18)/1000</f>
        <v>530.18017757656514</v>
      </c>
      <c r="H64" s="1125">
        <f>+SMS!H61</f>
        <v>551</v>
      </c>
      <c r="I64" s="1985">
        <f>+(I72*'Maj Production Summ'!I$18)/1000</f>
        <v>1043.9904538771264</v>
      </c>
      <c r="J64" s="1986">
        <f>+SMS!J61</f>
        <v>1018</v>
      </c>
      <c r="K64" s="3271">
        <f>+(K72*'Maj Production Summ'!K$18)/1000</f>
        <v>513.81027630056133</v>
      </c>
      <c r="L64" s="1125">
        <f>+SMS!L61</f>
        <v>526.21</v>
      </c>
      <c r="M64" s="1977">
        <f>+(M72*'Maj Production Summ'!M$18)/1000</f>
        <v>1557.8007301776877</v>
      </c>
      <c r="N64" s="1978">
        <f>+SMS!N61</f>
        <v>1544.21</v>
      </c>
      <c r="O64" s="3271">
        <f>+(O72*'Maj Production Summ'!O$18)/1000</f>
        <v>519.94898927906331</v>
      </c>
      <c r="P64" s="1125">
        <f>+SMS!P61</f>
        <v>485.89400000000001</v>
      </c>
      <c r="Q64" s="1985">
        <f>+(Q72*'Maj Production Summ'!Q$18)/1000</f>
        <v>2077.7497194567513</v>
      </c>
      <c r="R64" s="1986">
        <f>+SMS!R61</f>
        <v>2030.104</v>
      </c>
      <c r="S64" s="3271">
        <f>+(S72*'Maj Production Summ'!S$18)/1000</f>
        <v>519.94898927906331</v>
      </c>
      <c r="T64" s="1125">
        <f>+SMS!T61</f>
        <v>516</v>
      </c>
      <c r="U64" s="1985">
        <f>+(U72*'Maj Production Summ'!U$18)/1000</f>
        <v>2597.6987087358143</v>
      </c>
      <c r="V64" s="1986">
        <f>+SMS!V61</f>
        <v>2546.1040000000003</v>
      </c>
      <c r="W64" s="3271">
        <f>+(W72*'Maj Production Summ'!W$18)/1000</f>
        <v>272.86579189438544</v>
      </c>
      <c r="X64" s="1125">
        <f>+SMS!X61</f>
        <v>481</v>
      </c>
      <c r="Y64" s="4129">
        <f t="shared" si="55"/>
        <v>1312.7637704525121</v>
      </c>
      <c r="Z64" s="4129">
        <f t="shared" si="56"/>
        <v>1482.894</v>
      </c>
      <c r="AA64" s="4130">
        <f t="shared" si="57"/>
        <v>2870.5645006301997</v>
      </c>
      <c r="AB64" s="4130">
        <f t="shared" si="57"/>
        <v>3027.1040000000003</v>
      </c>
      <c r="AC64" s="3271">
        <f>+(AC72*'Maj Production Summ'!AC$18)/1000</f>
        <v>530.18017757656514</v>
      </c>
      <c r="AD64" s="1125">
        <f>+SMS!AD61</f>
        <v>387</v>
      </c>
      <c r="AE64" s="1985">
        <f>+(AE72*'Maj Production Summ'!AE$18)/1000</f>
        <v>3400.744678206765</v>
      </c>
      <c r="AF64" s="1986">
        <f>+SMS!AF61</f>
        <v>3414.1040000000003</v>
      </c>
      <c r="AG64" s="3271">
        <f>+(AG72*'Maj Production Summ'!AG$18)/1000</f>
        <v>513.81027630056133</v>
      </c>
      <c r="AH64" s="1125">
        <f>+SMS!AH61</f>
        <v>503</v>
      </c>
      <c r="AI64" s="1985">
        <f>+(AI72*'Maj Production Summ'!AI$18)/1000</f>
        <v>3914.5549545073263</v>
      </c>
      <c r="AJ64" s="1986">
        <f>+SMS!AJ61</f>
        <v>3917.1040000000003</v>
      </c>
      <c r="AK64" s="3271">
        <f>+(AK72*'Maj Production Summ'!AK$18)/1000</f>
        <v>530.18017757656514</v>
      </c>
      <c r="AL64" s="1125">
        <f>+SMS!AL61</f>
        <v>537</v>
      </c>
      <c r="AM64" s="4129">
        <f t="shared" ref="AM64" si="91">+AC64+AG64+AK64</f>
        <v>1574.1706314536918</v>
      </c>
      <c r="AN64" s="4129">
        <f t="shared" ref="AN64" si="92">+AD64+AH64+AL64</f>
        <v>1427</v>
      </c>
      <c r="AO64" s="1985">
        <f>+(AO72*'Maj Production Summ'!AO$18)/1000</f>
        <v>4444.7351320838916</v>
      </c>
      <c r="AP64" s="1986">
        <f>+SMS!AP61</f>
        <v>4454.1040000000003</v>
      </c>
      <c r="AQ64" s="3271">
        <f>+(AQ72*'Maj Production Summ'!AQ$18)/1000</f>
        <v>538.36512821456722</v>
      </c>
      <c r="AR64" s="1125">
        <f>+SMS!AR61</f>
        <v>559</v>
      </c>
      <c r="AS64" s="1985">
        <f>+(AS72*'Maj Production Summ'!AS$18)/1000</f>
        <v>4983.100260298459</v>
      </c>
      <c r="AT64" s="1986">
        <f>+SMS!AT61</f>
        <v>5013.1040000000003</v>
      </c>
      <c r="AU64" s="3271">
        <f>+(AU72*'Maj Production Summ'!AU$18)/1000</f>
        <v>481.07047374855478</v>
      </c>
      <c r="AV64" s="1125">
        <f>+SMS!AV61</f>
        <v>418</v>
      </c>
      <c r="AW64" s="1985">
        <f>+(AW72*'Maj Production Summ'!AW$18)/1000</f>
        <v>5464.1707340470139</v>
      </c>
      <c r="AX64" s="1986">
        <f>+SMS!AX61</f>
        <v>5431.1040000000003</v>
      </c>
      <c r="AY64" s="3271">
        <f>+(AY72*'Maj Production Summ'!AY$18)/1000</f>
        <v>538.36512821456722</v>
      </c>
      <c r="AZ64" s="1125">
        <f>+SMS!AZ61</f>
        <v>487</v>
      </c>
      <c r="BA64" s="4129">
        <f>+AQ64+AU64+AY64</f>
        <v>1557.8007301776893</v>
      </c>
      <c r="BB64" s="4129">
        <f>+AR64+AV64+AZ64</f>
        <v>1464</v>
      </c>
      <c r="BC64" s="4130">
        <f t="shared" si="60"/>
        <v>3131.9713616313811</v>
      </c>
      <c r="BD64" s="4130">
        <f t="shared" si="61"/>
        <v>2891</v>
      </c>
      <c r="BE64" s="4131">
        <f>+AW64+AY64</f>
        <v>6002.5358622615813</v>
      </c>
      <c r="BF64" s="4131">
        <f>+AX64+AZ64</f>
        <v>5918.1040000000003</v>
      </c>
      <c r="BG64" s="4127">
        <v>5352.4858490566021</v>
      </c>
      <c r="BH64" s="4127">
        <v>5627.4070000000002</v>
      </c>
      <c r="BI64" s="4127">
        <v>7386.6389028388803</v>
      </c>
      <c r="BJ64" s="4127">
        <v>5310</v>
      </c>
      <c r="BK64" s="4127">
        <v>7999.9999999999945</v>
      </c>
      <c r="BL64" s="4127">
        <v>5205.8899999999994</v>
      </c>
      <c r="BM64" s="4127">
        <v>7796.1924189528136</v>
      </c>
      <c r="BN64" s="1083">
        <v>5192</v>
      </c>
      <c r="BO64" s="4110"/>
      <c r="BP64" s="2497"/>
      <c r="BQ64" s="1082"/>
      <c r="BR64" s="1721"/>
      <c r="BS64" s="1721"/>
    </row>
    <row r="65" spans="1:71" ht="18.600000000000001" thickBot="1" x14ac:dyDescent="0.35">
      <c r="A65" s="151"/>
      <c r="B65" s="2512" t="s">
        <v>1646</v>
      </c>
      <c r="C65" s="4133"/>
      <c r="D65" s="4134"/>
      <c r="E65" s="1320"/>
      <c r="F65" s="3990"/>
      <c r="G65" s="1320"/>
      <c r="H65" s="3990"/>
      <c r="I65" s="1320"/>
      <c r="J65" s="3990"/>
      <c r="K65" s="1320"/>
      <c r="L65" s="3990"/>
      <c r="M65" s="5246"/>
      <c r="N65" s="5247"/>
      <c r="O65" s="1320"/>
      <c r="P65" s="3990"/>
      <c r="Q65" s="1320"/>
      <c r="R65" s="3990"/>
      <c r="S65" s="1320"/>
      <c r="T65" s="3990"/>
      <c r="U65" s="1320"/>
      <c r="V65" s="3990"/>
      <c r="W65" s="1320"/>
      <c r="X65" s="3990"/>
      <c r="Y65" s="5248"/>
      <c r="Z65" s="5248"/>
      <c r="AA65" s="5251"/>
      <c r="AB65" s="5251"/>
      <c r="AC65" s="1320"/>
      <c r="AD65" s="3990"/>
      <c r="AE65" s="1320"/>
      <c r="AF65" s="3990"/>
      <c r="AG65" s="1320"/>
      <c r="AH65" s="3990"/>
      <c r="AI65" s="5253"/>
      <c r="AJ65" s="5254"/>
      <c r="AK65" s="1320"/>
      <c r="AL65" s="3990"/>
      <c r="AM65" s="4135"/>
      <c r="AN65" s="4135"/>
      <c r="AO65" s="1320"/>
      <c r="AP65" s="3990"/>
      <c r="AQ65" s="1320"/>
      <c r="AR65" s="3990"/>
      <c r="AS65" s="1320"/>
      <c r="AT65" s="3990"/>
      <c r="AU65" s="1320"/>
      <c r="AV65" s="3990"/>
      <c r="AW65" s="1320"/>
      <c r="AX65" s="3990"/>
      <c r="AY65" s="1320"/>
      <c r="AZ65" s="3990"/>
      <c r="BA65" s="4135"/>
      <c r="BB65" s="4135"/>
      <c r="BC65" s="4135"/>
      <c r="BD65" s="4135"/>
      <c r="BE65" s="4135"/>
      <c r="BF65" s="4135"/>
      <c r="BG65" s="4135"/>
      <c r="BH65" s="4135"/>
      <c r="BI65" s="4135"/>
      <c r="BJ65" s="4135"/>
      <c r="BK65" s="4135"/>
      <c r="BL65" s="4135"/>
      <c r="BM65" s="4136"/>
      <c r="BN65" s="4137"/>
      <c r="BO65" s="4112"/>
      <c r="BP65" s="2508"/>
      <c r="BQ65" s="2407"/>
      <c r="BR65" s="1723"/>
      <c r="BS65" s="1723"/>
    </row>
    <row r="66" spans="1:71" ht="18.600000000000001" thickBot="1" x14ac:dyDescent="0.35">
      <c r="A66" s="92"/>
      <c r="B66" s="2510" t="s">
        <v>83</v>
      </c>
      <c r="C66" s="4125" t="s">
        <v>532</v>
      </c>
      <c r="D66" s="4138">
        <v>1.6372322252457012</v>
      </c>
      <c r="E66" s="762">
        <f>+$D$66</f>
        <v>1.6372322252457012</v>
      </c>
      <c r="F66" s="81">
        <f>+(F58/'Maj Production Summ'!F$18)*1000</f>
        <v>1.7631146749106366</v>
      </c>
      <c r="G66" s="762">
        <f>+$D$66</f>
        <v>1.6372322252457012</v>
      </c>
      <c r="H66" s="81">
        <f>+(H58/'Maj Production Summ'!H$18)*1000</f>
        <v>1.255081601433413</v>
      </c>
      <c r="I66" s="52">
        <f t="shared" ref="I66" si="93">+$D$66</f>
        <v>1.6372322252457012</v>
      </c>
      <c r="J66" s="2806">
        <f>+(J58/'Maj Production Summ'!J$18)*1000</f>
        <v>1.4921403423357631</v>
      </c>
      <c r="K66" s="762">
        <f>+$D$66</f>
        <v>1.6372322252457012</v>
      </c>
      <c r="L66" s="81">
        <f>+(L58/'Maj Production Summ'!L$18)*1000</f>
        <v>1.6635654520585081</v>
      </c>
      <c r="M66" s="76">
        <f t="shared" ref="M66" si="94">+$D$66</f>
        <v>1.6372322252457012</v>
      </c>
      <c r="N66" s="111">
        <f>+(N58/'Maj Production Summ'!N$18)*1000</f>
        <v>1.5528786469726144</v>
      </c>
      <c r="O66" s="762">
        <f>+$D$66</f>
        <v>1.6372322252457012</v>
      </c>
      <c r="P66" s="81">
        <f>+(P58/'Maj Production Summ'!P$18)*1000</f>
        <v>1.5098832304405074</v>
      </c>
      <c r="Q66" s="52">
        <f t="shared" ref="Q66" si="95">+$D$66</f>
        <v>1.6372322252457012</v>
      </c>
      <c r="R66" s="105">
        <f>+(R58/'Maj Production Summ'!R$18)*1000</f>
        <v>1.5412857299263478</v>
      </c>
      <c r="S66" s="762">
        <f>+$D$66</f>
        <v>1.6372322252457012</v>
      </c>
      <c r="T66" s="81">
        <f>+(T58/'Maj Production Summ'!T$18)*1000</f>
        <v>1.2625093636111133</v>
      </c>
      <c r="U66" s="52">
        <f t="shared" ref="U66" si="96">+$D$66</f>
        <v>1.6372322252457012</v>
      </c>
      <c r="V66" s="105">
        <f>+(V58/'Maj Production Summ'!V$18)*1000</f>
        <v>1.4850707954463485</v>
      </c>
      <c r="W66" s="762">
        <f>+$D$66</f>
        <v>1.6372322252457012</v>
      </c>
      <c r="X66" s="81">
        <f>+(X58/'Maj Production Summ'!X$18)*1000</f>
        <v>1.2916194615754231</v>
      </c>
      <c r="Y66" s="4139">
        <f>+$D$66</f>
        <v>1.6372322252457012</v>
      </c>
      <c r="Z66" s="4139">
        <f>+(Z58/'Maj Production Summ'!Z$18)*1000</f>
        <v>1.3590835098331639</v>
      </c>
      <c r="AA66" s="4140">
        <f>+$D$66</f>
        <v>1.6372322252457012</v>
      </c>
      <c r="AB66" s="4140">
        <f>+(AB58/'Maj Production Summ'!AB$18)*1000</f>
        <v>1.4538421140273348</v>
      </c>
      <c r="AC66" s="762">
        <f>+$D$66</f>
        <v>1.6372322252457012</v>
      </c>
      <c r="AD66" s="81">
        <f>+(AD58/'Maj Production Summ'!AD$18)*1000</f>
        <v>1.4006618266639137</v>
      </c>
      <c r="AE66" s="52">
        <f t="shared" ref="AE66" si="97">+$D$66</f>
        <v>1.6372322252457012</v>
      </c>
      <c r="AF66" s="105">
        <f>+(AF58/'Maj Production Summ'!AF$18)*1000</f>
        <v>1.4478274068552797</v>
      </c>
      <c r="AG66" s="762">
        <f>+$D$66</f>
        <v>1.6372322252457012</v>
      </c>
      <c r="AH66" s="81">
        <f>+(AH58/'Maj Production Summ'!AH$18)*1000</f>
        <v>1.2636055459211684</v>
      </c>
      <c r="AI66" s="52">
        <f t="shared" ref="AI66" si="98">+$D$66</f>
        <v>1.6372322252457012</v>
      </c>
      <c r="AJ66" s="105">
        <f>+(AJ58/'Maj Production Summ'!AJ$18)*1000</f>
        <v>1.4245194865334947</v>
      </c>
      <c r="AK66" s="762">
        <f>+$D$66</f>
        <v>1.6372322252457012</v>
      </c>
      <c r="AL66" s="81">
        <f>+(AL58/'Maj Production Summ'!AL$18)*1000</f>
        <v>1.7132677660913531</v>
      </c>
      <c r="AM66" s="4139">
        <f>+$D$66</f>
        <v>1.6372322252457012</v>
      </c>
      <c r="AN66" s="4139">
        <f>+(AN58/'Maj Production Summ'!AN$18)*1000</f>
        <v>1.4656770357100648</v>
      </c>
      <c r="AO66" s="52">
        <f t="shared" ref="AO66" si="99">+$D$66</f>
        <v>1.6372322252457012</v>
      </c>
      <c r="AP66" s="105">
        <f>+(AP58/'Maj Production Summ'!AP$18)*1000</f>
        <v>1.4575576939037547</v>
      </c>
      <c r="AQ66" s="762">
        <f>+$D$66</f>
        <v>1.6372322252457012</v>
      </c>
      <c r="AR66" s="81">
        <f>+(AR58/'Maj Production Summ'!AR$18)*1000</f>
        <v>1.1743193289102687</v>
      </c>
      <c r="AS66" s="52">
        <f t="shared" ref="AS66" si="100">+$D$66</f>
        <v>1.6372322252457012</v>
      </c>
      <c r="AT66" s="105">
        <f>+(AT58/'Maj Production Summ'!AT$18)*1000</f>
        <v>1.4291826809239501</v>
      </c>
      <c r="AU66" s="762">
        <f>+$D$66</f>
        <v>1.6372322252457012</v>
      </c>
      <c r="AV66" s="81">
        <f>+(AV58/'Maj Production Summ'!AV$18)*1000</f>
        <v>0.72966662342716315</v>
      </c>
      <c r="AW66" s="52">
        <f t="shared" ref="AW66" si="101">+$D$66</f>
        <v>1.6372322252457012</v>
      </c>
      <c r="AX66" s="105">
        <f>+(AX58/'Maj Production Summ'!AX$18)*1000</f>
        <v>1.3766015959385269</v>
      </c>
      <c r="AY66" s="762">
        <f>+$D$66</f>
        <v>1.6372322252457012</v>
      </c>
      <c r="AZ66" s="81">
        <f>+(AZ58/'Maj Production Summ'!AZ$18)*1000</f>
        <v>1.7451500580334935</v>
      </c>
      <c r="BA66" s="1508">
        <f>+$D$66</f>
        <v>1.6372322252457012</v>
      </c>
      <c r="BB66" s="1508">
        <f>+(BB58/'Maj Production Summ'!BB$18)*1000</f>
        <v>1.2590497063287192</v>
      </c>
      <c r="BC66" s="2253">
        <f>+$D$66</f>
        <v>1.6372322252457012</v>
      </c>
      <c r="BD66" s="2253">
        <f>+(BD58/'Maj Production Summ'!BD$18)*1000</f>
        <v>1.3614686932265325</v>
      </c>
      <c r="BE66" s="1430">
        <f>+$D$66</f>
        <v>1.6372322252457012</v>
      </c>
      <c r="BF66" s="1430">
        <f>+(BF58/'Maj Production Summ'!BF$18)*1000</f>
        <v>1.4094988812678693</v>
      </c>
      <c r="BG66" s="4141">
        <v>1.6499999999999997</v>
      </c>
      <c r="BH66" s="4141">
        <v>1.3221396010355528</v>
      </c>
      <c r="BI66" s="4141">
        <v>1.2919834919767839</v>
      </c>
      <c r="BJ66" s="4141">
        <v>1.8691736607451781</v>
      </c>
      <c r="BK66" s="4141">
        <v>1.8</v>
      </c>
      <c r="BL66" s="4141">
        <v>1.8865516872714447</v>
      </c>
      <c r="BM66" s="4141">
        <v>2.6013799999999998</v>
      </c>
      <c r="BN66" s="1181">
        <v>1.7806740040538749</v>
      </c>
      <c r="BO66" s="4113"/>
      <c r="BP66" s="2494"/>
      <c r="BQ66" s="2408"/>
      <c r="BR66" s="1193"/>
      <c r="BS66" s="1193"/>
    </row>
    <row r="67" spans="1:71" ht="18" x14ac:dyDescent="0.3">
      <c r="A67" s="92"/>
      <c r="B67" s="2510" t="s">
        <v>832</v>
      </c>
      <c r="C67" s="4125" t="s">
        <v>532</v>
      </c>
      <c r="D67" s="3984">
        <v>0.84012576263208183</v>
      </c>
      <c r="E67" s="762">
        <f>+$D$67</f>
        <v>0.84012576263208183</v>
      </c>
      <c r="F67" s="81">
        <f>+(F59/'Maj Production Summ'!F$18)*1000</f>
        <v>0.50719737223456662</v>
      </c>
      <c r="G67" s="762">
        <f>+$D$67</f>
        <v>0.84012576263208183</v>
      </c>
      <c r="H67" s="81">
        <f>+(H59/'Maj Production Summ'!H$18)*1000</f>
        <v>0.75220378806446986</v>
      </c>
      <c r="I67" s="52">
        <f t="shared" ref="I67" si="102">+$D$67</f>
        <v>0.84012576263208183</v>
      </c>
      <c r="J67" s="2806">
        <f>+(J59/'Maj Production Summ'!J$18)*1000</f>
        <v>0.63787872640637611</v>
      </c>
      <c r="K67" s="762">
        <f>+$D$67</f>
        <v>0.84012576263208183</v>
      </c>
      <c r="L67" s="81">
        <f>+(L59/'Maj Production Summ'!L$18)*1000</f>
        <v>0.43129474682998364</v>
      </c>
      <c r="M67" s="76">
        <f t="shared" ref="M67" si="103">+$D$67</f>
        <v>0.84012576263208183</v>
      </c>
      <c r="N67" s="111">
        <f>+(N59/'Maj Production Summ'!N$18)*1000</f>
        <v>0.56468314435367795</v>
      </c>
      <c r="O67" s="762">
        <f>+$D$67</f>
        <v>0.84012576263208183</v>
      </c>
      <c r="P67" s="81">
        <f>+(P59/'Maj Production Summ'!P$18)*1000</f>
        <v>0.54008877955704837</v>
      </c>
      <c r="Q67" s="52">
        <f t="shared" ref="Q67" si="104">+$D$67</f>
        <v>0.84012576263208183</v>
      </c>
      <c r="R67" s="105">
        <f>+(R59/'Maj Production Summ'!R$18)*1000</f>
        <v>0.55805172980091911</v>
      </c>
      <c r="S67" s="762">
        <f>+$D$67</f>
        <v>0.84012576263208183</v>
      </c>
      <c r="T67" s="81">
        <f>+(T59/'Maj Production Summ'!T$18)*1000</f>
        <v>0.5512957554435195</v>
      </c>
      <c r="U67" s="52">
        <f t="shared" ref="U67" si="105">+$D$67</f>
        <v>0.84012576263208183</v>
      </c>
      <c r="V67" s="105">
        <f>+(V59/'Maj Production Summ'!V$18)*1000</f>
        <v>0.55668939532160266</v>
      </c>
      <c r="W67" s="762">
        <f>+$D$67</f>
        <v>0.84012576263208183</v>
      </c>
      <c r="X67" s="81">
        <f>+(X59/'Maj Production Summ'!X$18)*1000</f>
        <v>0.56866522369702932</v>
      </c>
      <c r="Y67" s="4139">
        <f>+$D$67</f>
        <v>0.84012576263208183</v>
      </c>
      <c r="Z67" s="4139">
        <f>+(Z59/'Maj Production Summ'!Z$18)*1000</f>
        <v>0.5528239276677932</v>
      </c>
      <c r="AA67" s="4140">
        <f>+$D$67</f>
        <v>0.84012576263208183</v>
      </c>
      <c r="AB67" s="4140">
        <f>+(AB59/'Maj Production Summ'!AB$18)*1000</f>
        <v>0.55862264293267638</v>
      </c>
      <c r="AC67" s="762">
        <f>+$D$67</f>
        <v>0.84012576263208183</v>
      </c>
      <c r="AD67" s="81">
        <f>+(AD59/'Maj Production Summ'!AD$18)*1000</f>
        <v>0.52455064424863695</v>
      </c>
      <c r="AE67" s="52">
        <f t="shared" ref="AE67" si="106">+$D$67</f>
        <v>0.84012576263208183</v>
      </c>
      <c r="AF67" s="105">
        <f>+(AF59/'Maj Production Summ'!AF$18)*1000</f>
        <v>0.554769089200432</v>
      </c>
      <c r="AG67" s="762">
        <f>+$D$67</f>
        <v>0.84012576263208183</v>
      </c>
      <c r="AH67" s="81">
        <f>+(AH59/'Maj Production Summ'!AH$18)*1000</f>
        <v>0.48801317635576164</v>
      </c>
      <c r="AI67" s="52">
        <f t="shared" ref="AI67" si="107">+$D$67</f>
        <v>0.84012576263208183</v>
      </c>
      <c r="AJ67" s="105">
        <f>+(AJ59/'Maj Production Summ'!AJ$18)*1000</f>
        <v>0.54632306933231167</v>
      </c>
      <c r="AK67" s="762">
        <f>+$D$67</f>
        <v>0.84012576263208183</v>
      </c>
      <c r="AL67" s="81">
        <f>+(AL59/'Maj Production Summ'!AL$18)*1000</f>
        <v>0.29867941032150708</v>
      </c>
      <c r="AM67" s="4139">
        <f>+$D$67</f>
        <v>0.84012576263208183</v>
      </c>
      <c r="AN67" s="4139">
        <f>+(AN59/'Maj Production Summ'!AN$18)*1000</f>
        <v>0.42919255817425217</v>
      </c>
      <c r="AO67" s="52">
        <f t="shared" ref="AO67" si="108">+$D$67</f>
        <v>0.84012576263208183</v>
      </c>
      <c r="AP67" s="105">
        <f>+(AP59/'Maj Production Summ'!AP$18)*1000</f>
        <v>0.51798799986330202</v>
      </c>
      <c r="AQ67" s="762">
        <f>+$D$67</f>
        <v>0.84012576263208183</v>
      </c>
      <c r="AR67" s="81">
        <f>+(AR59/'Maj Production Summ'!AR$18)*1000</f>
        <v>0.38588536573601057</v>
      </c>
      <c r="AS67" s="52">
        <f t="shared" ref="AS67" si="109">+$D$67</f>
        <v>0.84012576263208183</v>
      </c>
      <c r="AT67" s="105">
        <f>+(AT59/'Maj Production Summ'!AT$18)*1000</f>
        <v>0.50475386769298491</v>
      </c>
      <c r="AU67" s="762">
        <f>+$D$67</f>
        <v>0.84012576263208183</v>
      </c>
      <c r="AV67" s="81">
        <f>+(AV59/'Maj Production Summ'!AV$18)*1000</f>
        <v>0.7767652527348986</v>
      </c>
      <c r="AW67" s="52">
        <f t="shared" ref="AW67" si="110">+$D$67</f>
        <v>0.84012576263208183</v>
      </c>
      <c r="AX67" s="105">
        <f>+(AX59/'Maj Production Summ'!AX$18)*1000</f>
        <v>0.5252003658120894</v>
      </c>
      <c r="AY67" s="762">
        <f>+$D$67</f>
        <v>0.84012576263208183</v>
      </c>
      <c r="AZ67" s="81">
        <f>+(AZ59/'Maj Production Summ'!AZ$18)*1000</f>
        <v>0.50572044437075114</v>
      </c>
      <c r="BA67" s="4139">
        <f>+$D$67</f>
        <v>0.84012576263208183</v>
      </c>
      <c r="BB67" s="4139">
        <f>+(BB59/'Maj Production Summ'!BB$18)*1000</f>
        <v>0.54059663489239695</v>
      </c>
      <c r="BC67" s="2253">
        <f>+$D$67</f>
        <v>0.84012576263208183</v>
      </c>
      <c r="BD67" s="2253">
        <f>+(BD59/'Maj Production Summ'!BD$18)*1000</f>
        <v>0.48537696618777504</v>
      </c>
      <c r="BE67" s="4142">
        <f>+$D$67</f>
        <v>0.84012576263208183</v>
      </c>
      <c r="BF67" s="4142">
        <f>+(BF59/'Maj Production Summ'!BF$18)*1000</f>
        <v>0.52346155368896685</v>
      </c>
      <c r="BG67" s="4141">
        <v>0.84999999999999987</v>
      </c>
      <c r="BH67" s="4141">
        <v>0.58802794794660063</v>
      </c>
      <c r="BI67" s="4141">
        <v>0.24</v>
      </c>
      <c r="BJ67" s="4141">
        <v>0.6596893937147208</v>
      </c>
      <c r="BK67" s="4141">
        <v>0</v>
      </c>
      <c r="BL67" s="4141">
        <v>0.46320882750587022</v>
      </c>
      <c r="BM67" s="4141">
        <v>0</v>
      </c>
      <c r="BN67" s="1181">
        <v>0.4168998706686482</v>
      </c>
      <c r="BO67" s="4113"/>
      <c r="BP67" s="2494"/>
      <c r="BQ67" s="2408"/>
      <c r="BR67" s="1193"/>
      <c r="BS67" s="1193"/>
    </row>
    <row r="68" spans="1:71" ht="18.600000000000001" thickBot="1" x14ac:dyDescent="0.35">
      <c r="A68" s="833"/>
      <c r="B68" s="2511" t="s">
        <v>874</v>
      </c>
      <c r="C68" s="4128" t="s">
        <v>532</v>
      </c>
      <c r="D68" s="4143">
        <f>SUM(D66:D67)</f>
        <v>2.4773579878777832</v>
      </c>
      <c r="E68" s="1348">
        <f>SUM(E66:E67)</f>
        <v>2.4773579878777832</v>
      </c>
      <c r="F68" s="3991">
        <f>SUM(F66:F67)</f>
        <v>2.270312047145203</v>
      </c>
      <c r="G68" s="1348">
        <f>SUM(G66:G67)</f>
        <v>2.4773579878777832</v>
      </c>
      <c r="H68" s="3991">
        <f>SUM(H66:H67)</f>
        <v>2.0072853894978828</v>
      </c>
      <c r="I68" s="1349">
        <f t="shared" ref="I68:R68" si="111">SUM(I66:I67)</f>
        <v>2.4773579878777832</v>
      </c>
      <c r="J68" s="3316">
        <f t="shared" si="111"/>
        <v>2.130019068742139</v>
      </c>
      <c r="K68" s="1348">
        <f>SUM(K66:K67)</f>
        <v>2.4773579878777832</v>
      </c>
      <c r="L68" s="3991">
        <f>SUM(L66:L67)</f>
        <v>2.0948601988884916</v>
      </c>
      <c r="M68" s="1350">
        <f t="shared" si="111"/>
        <v>2.4773579878777832</v>
      </c>
      <c r="N68" s="3774">
        <f t="shared" si="111"/>
        <v>2.1175617913262923</v>
      </c>
      <c r="O68" s="1348">
        <f>SUM(O66:O67)</f>
        <v>2.4773579878777832</v>
      </c>
      <c r="P68" s="3991">
        <f>SUM(P66:P67)</f>
        <v>2.049972009997556</v>
      </c>
      <c r="Q68" s="1349">
        <f t="shared" si="111"/>
        <v>2.4773579878777832</v>
      </c>
      <c r="R68" s="3321">
        <f t="shared" si="111"/>
        <v>2.0993374597272672</v>
      </c>
      <c r="S68" s="1348">
        <f>SUM(S66:S67)</f>
        <v>2.4773579878777832</v>
      </c>
      <c r="T68" s="3991">
        <f>SUM(T66:T67)</f>
        <v>1.8138051190546327</v>
      </c>
      <c r="U68" s="1349">
        <f t="shared" ref="U68:V68" si="112">SUM(U66:U67)</f>
        <v>2.4773579878777832</v>
      </c>
      <c r="V68" s="3321">
        <f t="shared" si="112"/>
        <v>2.0417601907679512</v>
      </c>
      <c r="W68" s="1348">
        <f>SUM(W66:W67)</f>
        <v>2.4773579878777832</v>
      </c>
      <c r="X68" s="3991">
        <f>SUM(X66:X67)</f>
        <v>1.8602846852724524</v>
      </c>
      <c r="Y68" s="4144">
        <f>SUM(Y66:Y67)</f>
        <v>2.4773579878777832</v>
      </c>
      <c r="Z68" s="4144">
        <f t="shared" ref="Z68:AF68" si="113">SUM(Z66:Z67)</f>
        <v>1.911907437500957</v>
      </c>
      <c r="AA68" s="4145">
        <f>SUM(AA66:AA67)</f>
        <v>2.4773579878777832</v>
      </c>
      <c r="AB68" s="4145">
        <f t="shared" si="113"/>
        <v>2.0124647569600111</v>
      </c>
      <c r="AC68" s="1348">
        <f>SUM(AC66:AC67)</f>
        <v>2.4773579878777832</v>
      </c>
      <c r="AD68" s="3991">
        <f>SUM(AD66:AD67)</f>
        <v>1.9252124709125507</v>
      </c>
      <c r="AE68" s="1349">
        <f t="shared" si="113"/>
        <v>2.4773579878777832</v>
      </c>
      <c r="AF68" s="3321">
        <f t="shared" si="113"/>
        <v>2.0025964960557117</v>
      </c>
      <c r="AG68" s="1348">
        <f>SUM(AG66:AG67)</f>
        <v>2.4773579878777832</v>
      </c>
      <c r="AH68" s="3991">
        <f>SUM(AH66:AH67)</f>
        <v>1.7516187222769299</v>
      </c>
      <c r="AI68" s="1349">
        <f t="shared" ref="AI68:AJ68" si="114">SUM(AI66:AI67)</f>
        <v>2.4773579878777832</v>
      </c>
      <c r="AJ68" s="3321">
        <f t="shared" si="114"/>
        <v>1.9708425558658065</v>
      </c>
      <c r="AK68" s="1348">
        <f>SUM(AK66:AK67)</f>
        <v>2.4773579878777832</v>
      </c>
      <c r="AL68" s="3991">
        <f>SUM(AL66:AL67)</f>
        <v>2.01194717641286</v>
      </c>
      <c r="AM68" s="4144">
        <f>SUM(AM66:AM67)</f>
        <v>2.4773579878777832</v>
      </c>
      <c r="AN68" s="4144">
        <f t="shared" ref="AN68:AT68" si="115">SUM(AN66:AN67)</f>
        <v>1.894869593884317</v>
      </c>
      <c r="AO68" s="1349">
        <f t="shared" si="115"/>
        <v>2.4773579878777832</v>
      </c>
      <c r="AP68" s="3321">
        <f t="shared" si="115"/>
        <v>1.9755456937670566</v>
      </c>
      <c r="AQ68" s="1348">
        <f>SUM(AQ66:AQ67)</f>
        <v>2.4773579878777832</v>
      </c>
      <c r="AR68" s="3991">
        <f>SUM(AR66:AR67)</f>
        <v>1.5602046946462793</v>
      </c>
      <c r="AS68" s="1349">
        <f t="shared" si="115"/>
        <v>2.4773579878777832</v>
      </c>
      <c r="AT68" s="3321">
        <f t="shared" si="115"/>
        <v>1.9339365486169351</v>
      </c>
      <c r="AU68" s="1348">
        <f>SUM(AU66:AU67)</f>
        <v>2.4773579878777832</v>
      </c>
      <c r="AV68" s="3991">
        <f>SUM(AV66:AV67)</f>
        <v>1.5064318761620616</v>
      </c>
      <c r="AW68" s="1349">
        <f t="shared" ref="AW68:AX68" si="116">SUM(AW66:AW67)</f>
        <v>2.4773579878777832</v>
      </c>
      <c r="AX68" s="3321">
        <f t="shared" si="116"/>
        <v>1.9018019617506163</v>
      </c>
      <c r="AY68" s="1348">
        <f>SUM(AY66:AY67)</f>
        <v>2.4773579878777832</v>
      </c>
      <c r="AZ68" s="3991">
        <f>SUM(AZ66:AZ67)</f>
        <v>2.2508705024042448</v>
      </c>
      <c r="BA68" s="4144">
        <f t="shared" ref="BA68:BB68" si="117">SUM(BA66:BA67)</f>
        <v>2.4773579878777832</v>
      </c>
      <c r="BB68" s="4144">
        <f t="shared" si="117"/>
        <v>1.7996463412211161</v>
      </c>
      <c r="BC68" s="4145">
        <f>SUM(BC66:BC67)</f>
        <v>2.4773579878777832</v>
      </c>
      <c r="BD68" s="4145">
        <f t="shared" ref="BD68" si="118">SUM(BD66:BD67)</f>
        <v>1.8468456594143077</v>
      </c>
      <c r="BE68" s="4146">
        <f>SUM(BE66:BE67)</f>
        <v>2.4773579878777832</v>
      </c>
      <c r="BF68" s="4146">
        <f t="shared" ref="BF68" si="119">SUM(BF66:BF67)</f>
        <v>1.9329604349568361</v>
      </c>
      <c r="BG68" s="4147">
        <v>2.4999999999999996</v>
      </c>
      <c r="BH68" s="4147">
        <v>1.9101675489821535</v>
      </c>
      <c r="BI68" s="4147">
        <v>1.5319834919767839</v>
      </c>
      <c r="BJ68" s="4147">
        <v>2.5288630544598991</v>
      </c>
      <c r="BK68" s="4147">
        <v>1.8</v>
      </c>
      <c r="BL68" s="4147">
        <v>2.3497605147773148</v>
      </c>
      <c r="BM68" s="4147">
        <v>2.6013799999999998</v>
      </c>
      <c r="BN68" s="4148">
        <v>2.1975738747225231</v>
      </c>
      <c r="BO68" s="4114"/>
      <c r="BP68" s="2498"/>
      <c r="BQ68" s="2409"/>
      <c r="BR68" s="1724"/>
      <c r="BS68" s="1724"/>
    </row>
    <row r="69" spans="1:71" ht="18.600000000000001" thickBot="1" x14ac:dyDescent="0.35">
      <c r="A69" s="92"/>
      <c r="B69" s="2510" t="s">
        <v>84</v>
      </c>
      <c r="C69" s="4125" t="s">
        <v>532</v>
      </c>
      <c r="D69" s="4138">
        <v>17.372968004908316</v>
      </c>
      <c r="E69" s="762">
        <f>+$D$69</f>
        <v>17.372968004908316</v>
      </c>
      <c r="F69" s="2052">
        <f>+(F61/'Maj Production Summ'!F$18)*1000</f>
        <v>16.095063278910249</v>
      </c>
      <c r="G69" s="762">
        <f>+$D$69</f>
        <v>17.372968004908316</v>
      </c>
      <c r="H69" s="2052">
        <f>+(H61/'Maj Production Summ'!H$18)*1000</f>
        <v>15.086334401068298</v>
      </c>
      <c r="I69" s="52">
        <f t="shared" ref="I69" si="120">+$D$69</f>
        <v>17.372968004908316</v>
      </c>
      <c r="J69" s="2806">
        <f>+(J61/'Maj Production Summ'!J$18)*1000</f>
        <v>15.557028161331477</v>
      </c>
      <c r="K69" s="762">
        <f>+$D$69</f>
        <v>17.372968004908316</v>
      </c>
      <c r="L69" s="2052">
        <f>+(L61/'Maj Production Summ'!L$18)*1000</f>
        <v>15.477320057670269</v>
      </c>
      <c r="M69" s="76">
        <f t="shared" ref="M69" si="121">+$D$69</f>
        <v>17.372968004908316</v>
      </c>
      <c r="N69" s="111">
        <f>+(N61/'Maj Production Summ'!N$18)*1000</f>
        <v>15.528786469726143</v>
      </c>
      <c r="O69" s="762">
        <f>+$D$69</f>
        <v>17.372968004908316</v>
      </c>
      <c r="P69" s="2052">
        <f>+(P61/'Maj Production Summ'!P$18)*1000</f>
        <v>16.15535634032689</v>
      </c>
      <c r="Q69" s="52">
        <f t="shared" ref="Q69" si="122">+$D$69</f>
        <v>17.372968004908316</v>
      </c>
      <c r="R69" s="105">
        <f>+(R61/'Maj Production Summ'!R$18)*1000</f>
        <v>15.697729420380901</v>
      </c>
      <c r="S69" s="762">
        <f>+$D$69</f>
        <v>17.372968004908316</v>
      </c>
      <c r="T69" s="2052">
        <f>+(T61/'Maj Production Summ'!T$18)*1000</f>
        <v>15.095487791534454</v>
      </c>
      <c r="U69" s="52">
        <f t="shared" ref="U69" si="123">+$D$69</f>
        <v>17.372968004908316</v>
      </c>
      <c r="V69" s="105">
        <f>+(V61/'Maj Production Summ'!V$18)*1000</f>
        <v>15.576288086762078</v>
      </c>
      <c r="W69" s="762">
        <f>+$D$69</f>
        <v>17.372968004908316</v>
      </c>
      <c r="X69" s="2052">
        <f>+(X61/'Maj Production Summ'!X$18)*1000</f>
        <v>13.273748385475672</v>
      </c>
      <c r="Y69" s="4139">
        <f>+$D$69</f>
        <v>17.372968004908316</v>
      </c>
      <c r="Z69" s="4139">
        <f>+(Z61/'Maj Production Summ'!Z$18)*1000</f>
        <v>14.894399489786684</v>
      </c>
      <c r="AA69" s="4140">
        <f>+$D$69</f>
        <v>17.372968004908316</v>
      </c>
      <c r="AB69" s="4140">
        <f>+(AB61/'Maj Production Summ'!AB$18)*1000</f>
        <v>15.204591095341586</v>
      </c>
      <c r="AC69" s="762">
        <f>+$D$69</f>
        <v>17.372968004908316</v>
      </c>
      <c r="AD69" s="2052">
        <f>+(AD61/'Maj Production Summ'!AD$18)*1000</f>
        <v>13.783405226533334</v>
      </c>
      <c r="AE69" s="52">
        <f t="shared" ref="AE69" si="124">+$D$69</f>
        <v>17.372968004908316</v>
      </c>
      <c r="AF69" s="105">
        <f>+(AF61/'Maj Production Summ'!AF$18)*1000</f>
        <v>15.043854528058123</v>
      </c>
      <c r="AG69" s="762">
        <f>+$D$69</f>
        <v>17.372968004908316</v>
      </c>
      <c r="AH69" s="2052">
        <f>+(AH61/'Maj Production Summ'!AH$18)*1000</f>
        <v>12.261331055938511</v>
      </c>
      <c r="AI69" s="52">
        <f t="shared" ref="AI69" si="125">+$D$69</f>
        <v>17.372968004908316</v>
      </c>
      <c r="AJ69" s="105">
        <f>+(AJ61/'Maj Production Summ'!AJ$18)*1000</f>
        <v>14.691807083456222</v>
      </c>
      <c r="AK69" s="762">
        <f>+$D$69</f>
        <v>17.372968004908316</v>
      </c>
      <c r="AL69" s="2052">
        <f>+(AL61/'Maj Production Summ'!AL$18)*1000</f>
        <v>13.193096238772853</v>
      </c>
      <c r="AM69" s="4139">
        <f>+$D$69</f>
        <v>17.372968004908316</v>
      </c>
      <c r="AN69" s="4139">
        <f>+(AN61/'Maj Production Summ'!AN$18)*1000</f>
        <v>13.025061113288174</v>
      </c>
      <c r="AO69" s="52">
        <f t="shared" ref="AO69" si="126">+$D$69</f>
        <v>17.372968004908316</v>
      </c>
      <c r="AP69" s="105">
        <f>+(AP61/'Maj Production Summ'!AP$18)*1000</f>
        <v>14.520326513076633</v>
      </c>
      <c r="AQ69" s="762">
        <f>+$D$69</f>
        <v>17.372968004908316</v>
      </c>
      <c r="AR69" s="2052">
        <f>+(AR61/'Maj Production Summ'!AR$18)*1000</f>
        <v>13.190263410612726</v>
      </c>
      <c r="AS69" s="52">
        <f t="shared" ref="AS69" si="127">+$D$69</f>
        <v>17.372968004908316</v>
      </c>
      <c r="AT69" s="105">
        <f>+(AT61/'Maj Production Summ'!AT$18)*1000</f>
        <v>14.387079882461318</v>
      </c>
      <c r="AU69" s="762">
        <f>+$D$69</f>
        <v>17.372968004908316</v>
      </c>
      <c r="AV69" s="2052">
        <f>+(AV61/'Maj Production Summ'!AV$18)*1000</f>
        <v>13.020495524711377</v>
      </c>
      <c r="AW69" s="52">
        <f t="shared" ref="AW69" si="128">+$D$69</f>
        <v>17.372968004908316</v>
      </c>
      <c r="AX69" s="105">
        <f>+(AX61/'Maj Production Summ'!AX$18)*1000</f>
        <v>14.284356739104554</v>
      </c>
      <c r="AY69" s="762">
        <f>+$D$69</f>
        <v>17.372968004908316</v>
      </c>
      <c r="AZ69" s="2052">
        <f>+(AZ61/'Maj Production Summ'!AZ$18)*1000</f>
        <v>13.633725750290168</v>
      </c>
      <c r="BA69" s="4139">
        <f>+$D$69</f>
        <v>17.372968004908316</v>
      </c>
      <c r="BB69" s="4139">
        <f>+(BB61/'Maj Production Summ'!BB$18)*1000</f>
        <v>13.305762009344296</v>
      </c>
      <c r="BC69" s="2253">
        <f>+$D$69</f>
        <v>17.372968004908316</v>
      </c>
      <c r="BD69" s="2253">
        <f>+(BD61/'Maj Production Summ'!BD$18)*1000</f>
        <v>13.16662697100521</v>
      </c>
      <c r="BE69" s="4142">
        <f>+$D$69</f>
        <v>17.372968004908316</v>
      </c>
      <c r="BF69" s="4142">
        <f>+(BF61/'Maj Production Summ'!BF$18)*1000</f>
        <v>14.226280270242167</v>
      </c>
      <c r="BG69" s="4141">
        <v>18.349999999999998</v>
      </c>
      <c r="BH69" s="4141">
        <v>16.183875067245694</v>
      </c>
      <c r="BI69" s="4141">
        <v>16.822446796403778</v>
      </c>
      <c r="BJ69" s="4141">
        <v>18.06301096315628</v>
      </c>
      <c r="BK69" s="4141">
        <v>16</v>
      </c>
      <c r="BL69" s="4141">
        <v>18.431726897146138</v>
      </c>
      <c r="BM69" s="4141">
        <v>16.326409999999999</v>
      </c>
      <c r="BN69" s="1181">
        <v>15.648490818507298</v>
      </c>
      <c r="BO69" s="4113"/>
      <c r="BP69" s="2494"/>
      <c r="BQ69" s="2408"/>
      <c r="BR69" s="1193"/>
      <c r="BS69" s="1193"/>
    </row>
    <row r="70" spans="1:71" ht="18.75" customHeight="1" x14ac:dyDescent="0.3">
      <c r="A70" s="92"/>
      <c r="B70" s="2510" t="s">
        <v>1527</v>
      </c>
      <c r="C70" s="4125" t="s">
        <v>532</v>
      </c>
      <c r="D70" s="4149">
        <v>0</v>
      </c>
      <c r="E70" s="762">
        <f>D70</f>
        <v>0</v>
      </c>
      <c r="F70" s="131">
        <f>+(F62/'Maj Production Summ'!F$18)*1000</f>
        <v>0</v>
      </c>
      <c r="G70" s="762">
        <f>F70</f>
        <v>0</v>
      </c>
      <c r="H70" s="131">
        <f>+(H62/'Maj Production Summ'!H$18)*1000</f>
        <v>0</v>
      </c>
      <c r="I70" s="52"/>
      <c r="J70" s="105">
        <f>+(J62/'Maj Production Summ'!J$18)*1000</f>
        <v>0</v>
      </c>
      <c r="K70" s="762">
        <f>J70</f>
        <v>0</v>
      </c>
      <c r="L70" s="131">
        <f>+(L62/'Maj Production Summ'!L$18)*1000</f>
        <v>0</v>
      </c>
      <c r="M70" s="76">
        <f>D70</f>
        <v>0</v>
      </c>
      <c r="N70" s="111">
        <f>+(N62/'Maj Production Summ'!N$18)*1000</f>
        <v>0</v>
      </c>
      <c r="O70" s="762">
        <f>N70</f>
        <v>0</v>
      </c>
      <c r="P70" s="131">
        <f>+(P62/'Maj Production Summ'!P$18)*1000</f>
        <v>0</v>
      </c>
      <c r="Q70" s="52"/>
      <c r="R70" s="105">
        <f>+(R62/'Maj Production Summ'!R$18)*1000</f>
        <v>0</v>
      </c>
      <c r="S70" s="762">
        <f>R70</f>
        <v>0</v>
      </c>
      <c r="T70" s="131">
        <f>+(T62/'Maj Production Summ'!T$18)*1000</f>
        <v>0</v>
      </c>
      <c r="U70" s="52"/>
      <c r="V70" s="105">
        <f>+(V62/'Maj Production Summ'!V$18)*1000</f>
        <v>0</v>
      </c>
      <c r="W70" s="762">
        <f>V70</f>
        <v>0</v>
      </c>
      <c r="X70" s="131">
        <f>+(X62/'Maj Production Summ'!X$18)*1000</f>
        <v>0</v>
      </c>
      <c r="Y70" s="4150">
        <f>D70</f>
        <v>0</v>
      </c>
      <c r="Z70" s="4139">
        <f>+(Z62/'Maj Production Summ'!Z$18)*1000</f>
        <v>0</v>
      </c>
      <c r="AA70" s="4151">
        <f>D70</f>
        <v>0</v>
      </c>
      <c r="AB70" s="4151">
        <f>+(AB62/'Maj Production Summ'!AB$18)*1000</f>
        <v>0</v>
      </c>
      <c r="AC70" s="762">
        <f>AB70</f>
        <v>0</v>
      </c>
      <c r="AD70" s="131">
        <f>+(AD62/'Maj Production Summ'!AD$18)*1000</f>
        <v>0</v>
      </c>
      <c r="AE70" s="52"/>
      <c r="AF70" s="105">
        <f>+(AF62/'Maj Production Summ'!AF$18)*1000</f>
        <v>0</v>
      </c>
      <c r="AG70" s="762">
        <f>AF70</f>
        <v>0</v>
      </c>
      <c r="AH70" s="131">
        <f>+(AH62/'Maj Production Summ'!AH$18)*1000</f>
        <v>0</v>
      </c>
      <c r="AI70" s="52"/>
      <c r="AJ70" s="105">
        <f>+(AJ62/'Maj Production Summ'!AJ$18)*1000</f>
        <v>0</v>
      </c>
      <c r="AK70" s="762">
        <f>AJ70</f>
        <v>0</v>
      </c>
      <c r="AL70" s="131">
        <f>+(AL62/'Maj Production Summ'!AL$18)*1000</f>
        <v>0</v>
      </c>
      <c r="AM70" s="4150">
        <v>0</v>
      </c>
      <c r="AN70" s="4139">
        <f>+(AN62/'Maj Production Summ'!AN$18)*1000</f>
        <v>0</v>
      </c>
      <c r="AO70" s="52">
        <f>D70</f>
        <v>0</v>
      </c>
      <c r="AP70" s="105">
        <f>+(AP62/'Maj Production Summ'!AP$18)*1000</f>
        <v>0</v>
      </c>
      <c r="AQ70" s="762">
        <f>AP70</f>
        <v>0</v>
      </c>
      <c r="AR70" s="131">
        <f>+(AR62/'Maj Production Summ'!AR$18)*1000</f>
        <v>0</v>
      </c>
      <c r="AS70" s="52">
        <f>D70</f>
        <v>0</v>
      </c>
      <c r="AT70" s="105">
        <f>+(AT62/'Maj Production Summ'!AT$18)*1000</f>
        <v>0</v>
      </c>
      <c r="AU70" s="762">
        <f>AT70</f>
        <v>0</v>
      </c>
      <c r="AV70" s="131">
        <f>+(AV62/'Maj Production Summ'!AV$18)*1000</f>
        <v>0</v>
      </c>
      <c r="AW70" s="52">
        <f>H70</f>
        <v>0</v>
      </c>
      <c r="AX70" s="105">
        <f>+(AX62/'Maj Production Summ'!AX$18)*1000</f>
        <v>0</v>
      </c>
      <c r="AY70" s="762">
        <f>AX70</f>
        <v>0</v>
      </c>
      <c r="AZ70" s="131">
        <f>+(AZ62/'Maj Production Summ'!AZ$18)*1000</f>
        <v>0</v>
      </c>
      <c r="BA70" s="1508">
        <f>L70</f>
        <v>0</v>
      </c>
      <c r="BB70" s="1508">
        <f>+(BB62/'Maj Production Summ'!BB$18)*1000</f>
        <v>0</v>
      </c>
      <c r="BC70" s="2253">
        <f>N70</f>
        <v>0</v>
      </c>
      <c r="BD70" s="2253">
        <f>+(BD62/'Maj Production Summ'!BD$18)*1000</f>
        <v>0</v>
      </c>
      <c r="BE70" s="1430">
        <f>P70</f>
        <v>0</v>
      </c>
      <c r="BF70" s="1430">
        <f>+(BF62/'Maj Production Summ'!BF$18)*1000</f>
        <v>0</v>
      </c>
      <c r="BG70" s="4152">
        <v>0</v>
      </c>
      <c r="BH70" s="4152">
        <v>0</v>
      </c>
      <c r="BI70" s="4152">
        <v>0</v>
      </c>
      <c r="BJ70" s="4152">
        <v>1.0205917534130115E-2</v>
      </c>
      <c r="BK70" s="4152"/>
      <c r="BL70" s="4152"/>
      <c r="BM70" s="4152"/>
      <c r="BN70" s="4153"/>
      <c r="BO70" s="4115"/>
      <c r="BP70" s="2479"/>
      <c r="BQ70" s="2410"/>
      <c r="BR70" s="1725"/>
      <c r="BS70" s="1725"/>
    </row>
    <row r="71" spans="1:71" ht="18" x14ac:dyDescent="0.3">
      <c r="A71" s="92"/>
      <c r="B71" s="2511" t="s">
        <v>1528</v>
      </c>
      <c r="C71" s="4128" t="s">
        <v>532</v>
      </c>
      <c r="D71" s="4154">
        <f>SUM(D69:D70)</f>
        <v>17.372968004908316</v>
      </c>
      <c r="E71" s="1348">
        <f t="shared" ref="E71:W71" si="129">+$D$69</f>
        <v>17.372968004908316</v>
      </c>
      <c r="F71" s="676">
        <f>SUM(F69:F70)</f>
        <v>16.095063278910249</v>
      </c>
      <c r="G71" s="1348">
        <f t="shared" si="129"/>
        <v>17.372968004908316</v>
      </c>
      <c r="H71" s="676">
        <f>SUM(H69:H70)</f>
        <v>15.086334401068298</v>
      </c>
      <c r="I71" s="1349">
        <f t="shared" si="129"/>
        <v>17.372968004908316</v>
      </c>
      <c r="J71" s="3316">
        <f t="shared" ref="J71" si="130">SUM(J69:J70)</f>
        <v>15.557028161331477</v>
      </c>
      <c r="K71" s="1348">
        <f t="shared" si="129"/>
        <v>17.372968004908316</v>
      </c>
      <c r="L71" s="676">
        <f>SUM(L69:L70)</f>
        <v>15.477320057670269</v>
      </c>
      <c r="M71" s="1350">
        <f t="shared" si="129"/>
        <v>17.372968004908316</v>
      </c>
      <c r="N71" s="3774">
        <f t="shared" ref="N71" si="131">SUM(N69:N70)</f>
        <v>15.528786469726143</v>
      </c>
      <c r="O71" s="1348">
        <f t="shared" si="129"/>
        <v>17.372968004908316</v>
      </c>
      <c r="P71" s="676">
        <f>SUM(P69:P70)</f>
        <v>16.15535634032689</v>
      </c>
      <c r="Q71" s="1349">
        <f t="shared" si="129"/>
        <v>17.372968004908316</v>
      </c>
      <c r="R71" s="3321">
        <f t="shared" ref="R71" si="132">SUM(R69:R70)</f>
        <v>15.697729420380901</v>
      </c>
      <c r="S71" s="1348">
        <f t="shared" si="129"/>
        <v>17.372968004908316</v>
      </c>
      <c r="T71" s="676">
        <f>SUM(T69:T70)</f>
        <v>15.095487791534454</v>
      </c>
      <c r="U71" s="1349">
        <f t="shared" si="129"/>
        <v>17.372968004908316</v>
      </c>
      <c r="V71" s="3321">
        <f t="shared" ref="V71" si="133">SUM(V69:V70)</f>
        <v>15.576288086762078</v>
      </c>
      <c r="W71" s="1348">
        <f t="shared" si="129"/>
        <v>17.372968004908316</v>
      </c>
      <c r="X71" s="676">
        <f>SUM(X69:X70)</f>
        <v>13.273748385475672</v>
      </c>
      <c r="Y71" s="4150">
        <f>SUM(Y69:Y70)</f>
        <v>17.372968004908316</v>
      </c>
      <c r="Z71" s="4150">
        <f>SUM(Z69:Z70)</f>
        <v>14.894399489786684</v>
      </c>
      <c r="AA71" s="4151">
        <f>SUM(AA69:AA70)</f>
        <v>17.372968004908316</v>
      </c>
      <c r="AB71" s="4151">
        <f>SUM(AB69:AB70)</f>
        <v>15.204591095341586</v>
      </c>
      <c r="AC71" s="1348">
        <f t="shared" ref="AC71" si="134">+$D$69</f>
        <v>17.372968004908316</v>
      </c>
      <c r="AD71" s="676">
        <f>SUM(AD69:AD70)</f>
        <v>13.783405226533334</v>
      </c>
      <c r="AE71" s="1349">
        <f t="shared" ref="AE71" si="135">+$D$69</f>
        <v>17.372968004908316</v>
      </c>
      <c r="AF71" s="3321">
        <f t="shared" ref="AF71" si="136">SUM(AF69:AF70)</f>
        <v>15.043854528058123</v>
      </c>
      <c r="AG71" s="1348">
        <f t="shared" ref="AG71" si="137">+$D$69</f>
        <v>17.372968004908316</v>
      </c>
      <c r="AH71" s="676">
        <f>SUM(AH69:AH70)</f>
        <v>12.261331055938511</v>
      </c>
      <c r="AI71" s="1349">
        <f t="shared" ref="AI71" si="138">+$D$69</f>
        <v>17.372968004908316</v>
      </c>
      <c r="AJ71" s="3321">
        <f t="shared" ref="AJ71" si="139">SUM(AJ69:AJ70)</f>
        <v>14.691807083456222</v>
      </c>
      <c r="AK71" s="1348">
        <f t="shared" ref="AK71" si="140">+$D$69</f>
        <v>17.372968004908316</v>
      </c>
      <c r="AL71" s="676">
        <f>SUM(AL69:AL70)</f>
        <v>13.193096238772853</v>
      </c>
      <c r="AM71" s="4150">
        <f>SUM(AM69:AM70)</f>
        <v>17.372968004908316</v>
      </c>
      <c r="AN71" s="4150">
        <f>SUM(AN69:AN70)</f>
        <v>13.025061113288174</v>
      </c>
      <c r="AO71" s="1349">
        <f t="shared" ref="AO71" si="141">+$D$69</f>
        <v>17.372968004908316</v>
      </c>
      <c r="AP71" s="3321">
        <f t="shared" ref="AP71" si="142">SUM(AP69:AP70)</f>
        <v>14.520326513076633</v>
      </c>
      <c r="AQ71" s="1348">
        <f t="shared" ref="AQ71" si="143">+$D$69</f>
        <v>17.372968004908316</v>
      </c>
      <c r="AR71" s="676">
        <f>SUM(AR69:AR70)</f>
        <v>13.190263410612726</v>
      </c>
      <c r="AS71" s="1349">
        <f t="shared" ref="AS71" si="144">+$D$69</f>
        <v>17.372968004908316</v>
      </c>
      <c r="AT71" s="3321">
        <f t="shared" ref="AT71" si="145">SUM(AT69:AT70)</f>
        <v>14.387079882461318</v>
      </c>
      <c r="AU71" s="1348">
        <f t="shared" ref="AU71" si="146">+$D$69</f>
        <v>17.372968004908316</v>
      </c>
      <c r="AV71" s="676">
        <f>SUM(AV69:AV70)</f>
        <v>13.020495524711377</v>
      </c>
      <c r="AW71" s="1349">
        <f t="shared" ref="AW71" si="147">+$D$69</f>
        <v>17.372968004908316</v>
      </c>
      <c r="AX71" s="3321">
        <f t="shared" ref="AX71" si="148">SUM(AX69:AX70)</f>
        <v>14.284356739104554</v>
      </c>
      <c r="AY71" s="1348">
        <f t="shared" ref="AY71" si="149">+$D$69</f>
        <v>17.372968004908316</v>
      </c>
      <c r="AZ71" s="676">
        <f>SUM(AZ69:AZ70)</f>
        <v>13.633725750290168</v>
      </c>
      <c r="BA71" s="4144">
        <f t="shared" ref="BA71" si="150">+$D$69</f>
        <v>17.372968004908316</v>
      </c>
      <c r="BB71" s="4144">
        <f t="shared" ref="BB71" si="151">SUM(BB69:BB70)</f>
        <v>13.305762009344296</v>
      </c>
      <c r="BC71" s="4145">
        <f t="shared" ref="BC71" si="152">+$D$69</f>
        <v>17.372968004908316</v>
      </c>
      <c r="BD71" s="4145">
        <f t="shared" ref="BD71" si="153">SUM(BD69:BD70)</f>
        <v>13.16662697100521</v>
      </c>
      <c r="BE71" s="4146">
        <f t="shared" ref="BE71" si="154">+$D$69</f>
        <v>17.372968004908316</v>
      </c>
      <c r="BF71" s="4146">
        <f t="shared" ref="BF71" si="155">SUM(BF69:BF70)</f>
        <v>14.226280270242167</v>
      </c>
      <c r="BG71" s="4147">
        <v>18.349999999999998</v>
      </c>
      <c r="BH71" s="4147">
        <v>16.183875067245694</v>
      </c>
      <c r="BI71" s="4147">
        <v>16.822446796403778</v>
      </c>
      <c r="BJ71" s="4147">
        <v>18.07321688069041</v>
      </c>
      <c r="BK71" s="4147">
        <f t="shared" ref="BK71:BL71" si="156">SUM(BK69:BK70)</f>
        <v>16</v>
      </c>
      <c r="BL71" s="4147">
        <f t="shared" si="156"/>
        <v>18.431726897146138</v>
      </c>
      <c r="BM71" s="4147"/>
      <c r="BN71" s="4148">
        <f t="shared" ref="BN71" si="157">SUM(BN69:BN70)</f>
        <v>15.648490818507298</v>
      </c>
      <c r="BO71" s="4115"/>
      <c r="BP71" s="2479"/>
      <c r="BQ71" s="2410"/>
      <c r="BR71" s="1725"/>
      <c r="BS71" s="1725"/>
    </row>
    <row r="72" spans="1:71" ht="18.600000000000001" thickBot="1" x14ac:dyDescent="0.35">
      <c r="A72" s="92"/>
      <c r="B72" s="2513" t="s">
        <v>85</v>
      </c>
      <c r="C72" s="2503" t="s">
        <v>532</v>
      </c>
      <c r="D72" s="3992">
        <v>2.1669656814109719</v>
      </c>
      <c r="E72" s="3993">
        <f>+$D$72</f>
        <v>2.1669656814109719</v>
      </c>
      <c r="F72" s="3994">
        <f>+(F64/'Maj Production Summ'!F$18)*1000</f>
        <v>2.2558206936527871</v>
      </c>
      <c r="G72" s="3993">
        <f>+$D$72</f>
        <v>2.1669656814109719</v>
      </c>
      <c r="H72" s="3994">
        <f>+(H64/'Maj Production Summ'!H$18)*1000</f>
        <v>2.3284510518175443</v>
      </c>
      <c r="I72" s="3995">
        <f t="shared" ref="I72" si="158">+$D$72</f>
        <v>2.1669656814109719</v>
      </c>
      <c r="J72" s="3351">
        <f>+(J64/'Maj Production Summ'!J$18)*1000</f>
        <v>2.2945602243169287</v>
      </c>
      <c r="K72" s="3993">
        <f>+$D$72</f>
        <v>2.1669656814109719</v>
      </c>
      <c r="L72" s="3994">
        <f>+(L64/'Maj Production Summ'!L$18)*1000</f>
        <v>2.1614438926610067</v>
      </c>
      <c r="M72" s="3996">
        <f t="shared" ref="M72" si="159">+$D$72</f>
        <v>2.1669656814109719</v>
      </c>
      <c r="N72" s="3997">
        <f>+(N64/'Maj Production Summ'!N$18)*1000</f>
        <v>2.2473952534597759</v>
      </c>
      <c r="O72" s="3993">
        <f>+$D$72</f>
        <v>2.1669656814109719</v>
      </c>
      <c r="P72" s="3994">
        <f>+(P64/'Maj Production Summ'!P$18)*1000</f>
        <v>1.9155174996649085</v>
      </c>
      <c r="Q72" s="3995">
        <f t="shared" ref="Q72" si="160">+$D$72</f>
        <v>2.1669656814109719</v>
      </c>
      <c r="R72" s="3998">
        <f>+(R64/'Maj Production Summ'!R$18)*1000</f>
        <v>2.1579105692871714</v>
      </c>
      <c r="S72" s="3993">
        <f>+$D$72</f>
        <v>2.1669656814109719</v>
      </c>
      <c r="T72" s="3994">
        <f>+(T64/'Maj Production Summ'!T$18)*1000</f>
        <v>2.1715161054111154</v>
      </c>
      <c r="U72" s="3995">
        <f t="shared" ref="U72" si="161">+$D$72</f>
        <v>2.1669656814109719</v>
      </c>
      <c r="V72" s="3998">
        <f>+(V64/'Maj Production Summ'!V$18)*1000</f>
        <v>2.1606541100395034</v>
      </c>
      <c r="W72" s="3993">
        <f>+$D$72</f>
        <v>2.1669656814109719</v>
      </c>
      <c r="X72" s="3994">
        <f>+(X64/'Maj Production Summ'!X$18)*1000</f>
        <v>2.1203718806067529</v>
      </c>
      <c r="Y72" s="589">
        <f>+$D$72</f>
        <v>2.1669656814109719</v>
      </c>
      <c r="Z72" s="589">
        <f>+(Z64/'Maj Production Summ'!Z$18)*1000</f>
        <v>2.0649352276952255</v>
      </c>
      <c r="AA72" s="614">
        <f>+$D$72</f>
        <v>2.1669656814109719</v>
      </c>
      <c r="AB72" s="614">
        <f>+(AB64/'Maj Production Summ'!AB$18)*1000</f>
        <v>2.1541513846013713</v>
      </c>
      <c r="AC72" s="3993">
        <f>+$D$72</f>
        <v>2.1669656814109719</v>
      </c>
      <c r="AD72" s="3994">
        <f>+(AD64/'Maj Production Summ'!AD$18)*1000</f>
        <v>2.1595861630236439</v>
      </c>
      <c r="AE72" s="1989">
        <f t="shared" ref="AE72" si="162">+$D$72</f>
        <v>2.1669656814109719</v>
      </c>
      <c r="AF72" s="128">
        <f>+(AF64/'Maj Production Summ'!AF$18)*1000</f>
        <v>2.154766059744655</v>
      </c>
      <c r="AG72" s="3993">
        <f>+$D$72</f>
        <v>2.1669656814109719</v>
      </c>
      <c r="AH72" s="3994">
        <f>+(AH64/'Maj Production Summ'!AH$18)*1000</f>
        <v>2.191702033097751</v>
      </c>
      <c r="AI72" s="1989">
        <f t="shared" ref="AI72" si="163">+$D$72</f>
        <v>2.1669656814109719</v>
      </c>
      <c r="AJ72" s="128">
        <f>+(AJ64/'Maj Production Summ'!AJ$18)*1000</f>
        <v>2.1594392332733356</v>
      </c>
      <c r="AK72" s="3993">
        <f>+$D$72</f>
        <v>2.1669656814109719</v>
      </c>
      <c r="AL72" s="3994">
        <f>+(AL64/'Maj Production Summ'!AL$18)*1000</f>
        <v>2.2912977620378467</v>
      </c>
      <c r="AM72" s="589">
        <f>+$D$72</f>
        <v>2.1669656814109719</v>
      </c>
      <c r="AN72" s="589">
        <f>+(AN64/'Maj Production Summ'!AN$18)*1000</f>
        <v>2.219049929400934</v>
      </c>
      <c r="AO72" s="3995">
        <f t="shared" ref="AO72" si="164">+$D$72</f>
        <v>2.1669656814109719</v>
      </c>
      <c r="AP72" s="3998">
        <f>+(AP64/'Maj Production Summ'!AP$18)*1000</f>
        <v>2.1745263168172784</v>
      </c>
      <c r="AQ72" s="3993">
        <f>+$D$72</f>
        <v>2.1669656814109719</v>
      </c>
      <c r="AR72" s="3994">
        <f>+(AR64/'Maj Production Summ'!AR$18)*1000</f>
        <v>2.4512490846185218</v>
      </c>
      <c r="AS72" s="3995">
        <f t="shared" ref="AS72" si="165">+$D$72</f>
        <v>2.1669656814109719</v>
      </c>
      <c r="AT72" s="3998">
        <f>+(AT64/'Maj Production Summ'!AT$18)*1000</f>
        <v>2.2022485928173832</v>
      </c>
      <c r="AU72" s="3993">
        <f>+$D$72</f>
        <v>2.1669656814109719</v>
      </c>
      <c r="AV72" s="3994">
        <f>+(AV64/'Maj Production Summ'!AV$18)*1000</f>
        <v>2.2592640636485495</v>
      </c>
      <c r="AW72" s="3995">
        <f t="shared" ref="AW72" si="166">+$D$72</f>
        <v>2.1669656814109719</v>
      </c>
      <c r="AX72" s="3998">
        <f>+(AX64/'Maj Production Summ'!AX$18)*1000</f>
        <v>2.206534320478855</v>
      </c>
      <c r="AY72" s="3993">
        <f>+$D$72</f>
        <v>2.1669656814109719</v>
      </c>
      <c r="AZ72" s="3994">
        <f>+(AZ64/'Maj Production Summ'!AZ$18)*1000</f>
        <v>2.018736527938982</v>
      </c>
      <c r="BA72" s="4155">
        <f t="shared" ref="BA72" si="167">+$D$72</f>
        <v>2.1669656814109719</v>
      </c>
      <c r="BB72" s="4155">
        <f>+(BB64/'Maj Production Summ'!BB$18)*1000</f>
        <v>2.2374954722811906</v>
      </c>
      <c r="BC72" s="4156">
        <f t="shared" ref="BC72" si="168">+$D$72</f>
        <v>2.1669656814109719</v>
      </c>
      <c r="BD72" s="4156">
        <f>+(BD64/'Maj Production Summ'!BD$18)*1000</f>
        <v>2.228352568386375</v>
      </c>
      <c r="BE72" s="4157">
        <f t="shared" ref="BE72" si="169">+$D$72</f>
        <v>2.1669656814109719</v>
      </c>
      <c r="BF72" s="4157">
        <f>+(BF64/'Maj Production Summ'!BF$18)*1000</f>
        <v>2.189771158504751</v>
      </c>
      <c r="BG72" s="1726">
        <v>2.1499999999999995</v>
      </c>
      <c r="BH72" s="1726">
        <v>2.3091923171460826</v>
      </c>
      <c r="BI72" s="1726">
        <v>2.8192466143166044</v>
      </c>
      <c r="BJ72" s="1726">
        <v>2.0997063969868619</v>
      </c>
      <c r="BK72" s="4158">
        <v>3.2</v>
      </c>
      <c r="BL72" s="1726">
        <v>2.1491300709104784</v>
      </c>
      <c r="BM72" s="1726">
        <v>3.0300000000000002</v>
      </c>
      <c r="BN72" s="4159">
        <v>2.235314175301673</v>
      </c>
      <c r="BO72" s="4116"/>
      <c r="BP72" s="2500"/>
      <c r="BQ72" s="2411"/>
      <c r="BR72" s="1726"/>
      <c r="BS72" s="1726"/>
    </row>
    <row r="73" spans="1:71" ht="15" customHeight="1" x14ac:dyDescent="0.3"/>
    <row r="74" spans="1:71" ht="15" customHeight="1" x14ac:dyDescent="0.3"/>
    <row r="75" spans="1:71" ht="15" customHeight="1" x14ac:dyDescent="0.3"/>
    <row r="76" spans="1:71" ht="15" customHeight="1" x14ac:dyDescent="0.3"/>
    <row r="77" spans="1:71" ht="15" customHeight="1" x14ac:dyDescent="0.3"/>
    <row r="78" spans="1:71" ht="15" customHeight="1" x14ac:dyDescent="0.3"/>
    <row r="79" spans="1:71" ht="15" customHeight="1" x14ac:dyDescent="0.3"/>
    <row r="80" spans="1:71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</sheetData>
  <mergeCells count="40">
    <mergeCell ref="AS3:AT3"/>
    <mergeCell ref="AU3:AV3"/>
    <mergeCell ref="I3:J3"/>
    <mergeCell ref="D3:D4"/>
    <mergeCell ref="B33:B38"/>
    <mergeCell ref="C3:C4"/>
    <mergeCell ref="E3:F3"/>
    <mergeCell ref="G3:H3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BO3:BP3"/>
    <mergeCell ref="BA3:BB3"/>
    <mergeCell ref="BM3:BN3"/>
    <mergeCell ref="BK3:BL3"/>
    <mergeCell ref="BI3:BJ3"/>
    <mergeCell ref="BG3:BH3"/>
    <mergeCell ref="B40:B43"/>
    <mergeCell ref="AW3:AX3"/>
    <mergeCell ref="AY3:AZ3"/>
    <mergeCell ref="BE3:BF3"/>
    <mergeCell ref="BC3:BD3"/>
    <mergeCell ref="AO3:AP3"/>
    <mergeCell ref="AM3:AN3"/>
    <mergeCell ref="AK3:AL3"/>
    <mergeCell ref="B25:B26"/>
    <mergeCell ref="M3:N3"/>
    <mergeCell ref="O3:P3"/>
    <mergeCell ref="Q3:R3"/>
    <mergeCell ref="B3:B4"/>
  </mergeCells>
  <printOptions horizontalCentered="1" verticalCentered="1"/>
  <pageMargins left="0" right="0" top="0" bottom="0" header="0" footer="0"/>
  <pageSetup scale="6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  <pageSetUpPr fitToPage="1"/>
  </sheetPr>
  <dimension ref="C3:BJ81"/>
  <sheetViews>
    <sheetView zoomScale="115" zoomScaleNormal="115" workbookViewId="0">
      <pane xSplit="7" topLeftCell="AT1" activePane="topRight" state="frozen"/>
      <selection pane="topRight" activeCell="BH42" sqref="BH42:BI43"/>
    </sheetView>
  </sheetViews>
  <sheetFormatPr defaultColWidth="9.109375" defaultRowHeight="13.8" x14ac:dyDescent="0.25"/>
  <cols>
    <col min="1" max="1" width="2.33203125" style="4" customWidth="1"/>
    <col min="2" max="2" width="1.6640625" style="4" customWidth="1"/>
    <col min="3" max="3" width="22.5546875" style="4" hidden="1" customWidth="1"/>
    <col min="4" max="4" width="32.44140625" style="4" customWidth="1"/>
    <col min="5" max="5" width="15.109375" style="4" bestFit="1" customWidth="1"/>
    <col min="6" max="6" width="15.44140625" style="4" hidden="1" customWidth="1"/>
    <col min="7" max="7" width="15.109375" style="4" customWidth="1"/>
    <col min="8" max="8" width="9.109375" style="4" customWidth="1"/>
    <col min="9" max="9" width="10.5546875" style="4" bestFit="1" customWidth="1"/>
    <col min="10" max="10" width="9.109375" style="4" customWidth="1"/>
    <col min="11" max="11" width="10.5546875" style="4" customWidth="1"/>
    <col min="12" max="12" width="9.5546875" style="4" hidden="1" customWidth="1"/>
    <col min="13" max="13" width="6.109375" style="4" hidden="1" customWidth="1"/>
    <col min="14" max="14" width="9.5546875" style="4" customWidth="1"/>
    <col min="15" max="15" width="8.33203125" style="4" bestFit="1" customWidth="1"/>
    <col min="16" max="16" width="9.5546875" style="4" customWidth="1"/>
    <col min="17" max="17" width="8.33203125" style="4" bestFit="1" customWidth="1"/>
    <col min="18" max="18" width="9.109375" style="1257" customWidth="1"/>
    <col min="19" max="19" width="10.5546875" style="4" customWidth="1"/>
    <col min="20" max="21" width="10.5546875" style="4" hidden="1" customWidth="1"/>
    <col min="22" max="22" width="9.109375" style="4" customWidth="1"/>
    <col min="23" max="23" width="10.5546875" style="4" customWidth="1"/>
    <col min="24" max="24" width="9.109375" style="4" hidden="1" customWidth="1"/>
    <col min="25" max="25" width="8.44140625" style="4" hidden="1" customWidth="1"/>
    <col min="26" max="26" width="12.5546875" style="4" customWidth="1"/>
    <col min="27" max="33" width="9.109375" style="4" customWidth="1"/>
    <col min="34" max="35" width="9.109375" style="4" hidden="1" customWidth="1"/>
    <col min="36" max="37" width="9.109375" style="4" customWidth="1"/>
    <col min="38" max="39" width="9.109375" style="4" hidden="1" customWidth="1"/>
    <col min="40" max="43" width="9.109375" style="4" customWidth="1"/>
    <col min="44" max="45" width="9.109375" style="4" hidden="1" customWidth="1"/>
    <col min="46" max="46" width="9.5546875" style="4" bestFit="1" customWidth="1"/>
    <col min="47" max="47" width="9.5546875" style="4" customWidth="1"/>
    <col min="48" max="49" width="9.109375" style="4" hidden="1" customWidth="1"/>
    <col min="50" max="50" width="9.5546875" style="4" bestFit="1" customWidth="1"/>
    <col min="51" max="51" width="9.109375" style="4" customWidth="1"/>
    <col min="52" max="53" width="9.109375" style="4" hidden="1" customWidth="1"/>
    <col min="54" max="54" width="9.5546875" style="4" bestFit="1" customWidth="1"/>
    <col min="55" max="55" width="8.33203125" style="4" bestFit="1" customWidth="1"/>
    <col min="56" max="63" width="9.109375" style="4" customWidth="1"/>
    <col min="64" max="16384" width="9.109375" style="4"/>
  </cols>
  <sheetData>
    <row r="3" spans="3:62" ht="18" thickBot="1" x14ac:dyDescent="0.3">
      <c r="C3" s="5988" t="s">
        <v>1966</v>
      </c>
      <c r="D3" s="5989"/>
      <c r="E3" s="5989"/>
      <c r="F3" s="5989"/>
      <c r="G3" s="5989"/>
      <c r="H3" s="5989"/>
      <c r="I3" s="5989"/>
      <c r="J3" s="5989"/>
      <c r="K3" s="5989"/>
      <c r="L3" s="5989"/>
      <c r="M3" s="5989"/>
      <c r="N3" s="5989"/>
      <c r="O3" s="5989"/>
      <c r="P3" s="5989"/>
      <c r="Q3" s="5989"/>
      <c r="R3" s="5989"/>
      <c r="S3" s="5989"/>
      <c r="T3" s="5989"/>
      <c r="U3" s="5989"/>
      <c r="V3" s="5989"/>
      <c r="W3" s="5989"/>
      <c r="X3" s="5989"/>
      <c r="Y3" s="5989"/>
      <c r="Z3" s="5989"/>
      <c r="AA3" s="5989"/>
      <c r="AB3" s="5989"/>
      <c r="AC3" s="5989"/>
      <c r="AD3" s="5989"/>
      <c r="AE3" s="5989"/>
      <c r="AF3" s="5989"/>
      <c r="AG3" s="5989"/>
      <c r="AH3" s="5989"/>
      <c r="AI3" s="5989"/>
      <c r="AJ3" s="5989"/>
      <c r="AK3" s="5989"/>
      <c r="AL3" s="5989"/>
      <c r="AM3" s="5989"/>
      <c r="AN3" s="5989"/>
      <c r="AO3" s="5989"/>
      <c r="AP3" s="5989"/>
      <c r="AQ3" s="5989"/>
      <c r="AR3" s="5989"/>
      <c r="AS3" s="5989"/>
      <c r="AT3" s="5989"/>
      <c r="AU3" s="5989"/>
      <c r="AV3" s="5989"/>
      <c r="AW3" s="5989"/>
      <c r="AX3" s="5989"/>
      <c r="AY3" s="5989"/>
      <c r="AZ3" s="5989"/>
      <c r="BA3" s="5989"/>
      <c r="BB3" s="5989"/>
      <c r="BC3" s="5989"/>
      <c r="BD3" s="5989"/>
      <c r="BE3" s="5989"/>
      <c r="BF3" s="5989"/>
      <c r="BG3" s="5989"/>
      <c r="BH3" s="5989"/>
      <c r="BI3" s="5989"/>
    </row>
    <row r="4" spans="3:62" ht="14.4" thickBot="1" x14ac:dyDescent="0.3">
      <c r="C4" s="5994" t="s">
        <v>1060</v>
      </c>
      <c r="D4" s="3565" t="s">
        <v>171</v>
      </c>
      <c r="E4" s="3566" t="s">
        <v>172</v>
      </c>
      <c r="F4" s="3566" t="s">
        <v>1414</v>
      </c>
      <c r="G4" s="3567" t="s">
        <v>1965</v>
      </c>
      <c r="H4" s="5876" t="s">
        <v>1962</v>
      </c>
      <c r="I4" s="5877"/>
      <c r="J4" s="5876" t="s">
        <v>2013</v>
      </c>
      <c r="K4" s="5877"/>
      <c r="L4" s="5878" t="s">
        <v>14</v>
      </c>
      <c r="M4" s="5895"/>
      <c r="N4" s="5866" t="s">
        <v>2043</v>
      </c>
      <c r="O4" s="5954"/>
      <c r="P4" s="5869" t="s">
        <v>637</v>
      </c>
      <c r="Q4" s="5870"/>
      <c r="R4" s="5957" t="s">
        <v>2065</v>
      </c>
      <c r="S4" s="5954"/>
      <c r="T4" s="5867" t="s">
        <v>17</v>
      </c>
      <c r="U4" s="5868"/>
      <c r="V4" s="5957" t="s">
        <v>2068</v>
      </c>
      <c r="W4" s="5954"/>
      <c r="X4" s="5867" t="s">
        <v>18</v>
      </c>
      <c r="Y4" s="5868"/>
      <c r="Z4" s="5866" t="s">
        <v>2110</v>
      </c>
      <c r="AA4" s="5954"/>
      <c r="AB4" s="5869" t="s">
        <v>660</v>
      </c>
      <c r="AC4" s="5870"/>
      <c r="AD4" s="5990" t="s">
        <v>657</v>
      </c>
      <c r="AE4" s="5872"/>
      <c r="AF4" s="5876" t="s">
        <v>2135</v>
      </c>
      <c r="AG4" s="5877"/>
      <c r="AH4" s="5878" t="s">
        <v>24</v>
      </c>
      <c r="AI4" s="5895"/>
      <c r="AJ4" s="5876" t="s">
        <v>2238</v>
      </c>
      <c r="AK4" s="5877"/>
      <c r="AL4" s="5878" t="s">
        <v>27</v>
      </c>
      <c r="AM4" s="5895"/>
      <c r="AN4" s="5866" t="s">
        <v>2262</v>
      </c>
      <c r="AO4" s="5954"/>
      <c r="AP4" s="5869" t="s">
        <v>662</v>
      </c>
      <c r="AQ4" s="5870"/>
      <c r="AR4" s="5878" t="s">
        <v>1613</v>
      </c>
      <c r="AS4" s="5895"/>
      <c r="AT4" s="5876" t="s">
        <v>2274</v>
      </c>
      <c r="AU4" s="5877"/>
      <c r="AV4" s="5878" t="s">
        <v>28</v>
      </c>
      <c r="AW4" s="5895"/>
      <c r="AX4" s="5876" t="s">
        <v>2311</v>
      </c>
      <c r="AY4" s="5877"/>
      <c r="AZ4" s="5878" t="s">
        <v>30</v>
      </c>
      <c r="BA4" s="5895"/>
      <c r="BB4" s="5876" t="s">
        <v>2329</v>
      </c>
      <c r="BC4" s="5877"/>
      <c r="BD4" s="5869" t="s">
        <v>663</v>
      </c>
      <c r="BE4" s="5870"/>
      <c r="BF4" s="5990" t="s">
        <v>670</v>
      </c>
      <c r="BG4" s="5872"/>
      <c r="BH4" s="5878" t="s">
        <v>2041</v>
      </c>
      <c r="BI4" s="5895"/>
    </row>
    <row r="5" spans="3:62" ht="14.4" thickBot="1" x14ac:dyDescent="0.3">
      <c r="C5" s="5995"/>
      <c r="D5" s="3568"/>
      <c r="E5" s="3569"/>
      <c r="F5" s="3569"/>
      <c r="G5" s="3570"/>
      <c r="H5" s="1131" t="s">
        <v>173</v>
      </c>
      <c r="I5" s="1132" t="s">
        <v>174</v>
      </c>
      <c r="J5" s="1131" t="s">
        <v>173</v>
      </c>
      <c r="K5" s="1132" t="s">
        <v>174</v>
      </c>
      <c r="L5" s="1339" t="s">
        <v>173</v>
      </c>
      <c r="M5" s="1340" t="s">
        <v>174</v>
      </c>
      <c r="N5" s="541" t="s">
        <v>173</v>
      </c>
      <c r="O5" s="175" t="s">
        <v>174</v>
      </c>
      <c r="P5" s="698" t="s">
        <v>173</v>
      </c>
      <c r="Q5" s="167" t="s">
        <v>174</v>
      </c>
      <c r="R5" s="1030" t="s">
        <v>173</v>
      </c>
      <c r="S5" s="175" t="s">
        <v>174</v>
      </c>
      <c r="T5" s="542" t="s">
        <v>173</v>
      </c>
      <c r="U5" s="160" t="s">
        <v>174</v>
      </c>
      <c r="V5" s="1030" t="s">
        <v>173</v>
      </c>
      <c r="W5" s="175" t="s">
        <v>174</v>
      </c>
      <c r="X5" s="542" t="s">
        <v>173</v>
      </c>
      <c r="Y5" s="160" t="s">
        <v>174</v>
      </c>
      <c r="Z5" s="541" t="s">
        <v>173</v>
      </c>
      <c r="AA5" s="175" t="s">
        <v>174</v>
      </c>
      <c r="AB5" s="698" t="s">
        <v>173</v>
      </c>
      <c r="AC5" s="167" t="s">
        <v>174</v>
      </c>
      <c r="AD5" s="700" t="s">
        <v>173</v>
      </c>
      <c r="AE5" s="462" t="s">
        <v>174</v>
      </c>
      <c r="AF5" s="1131" t="s">
        <v>173</v>
      </c>
      <c r="AG5" s="1132" t="s">
        <v>174</v>
      </c>
      <c r="AH5" s="1339" t="s">
        <v>173</v>
      </c>
      <c r="AI5" s="1340" t="s">
        <v>174</v>
      </c>
      <c r="AJ5" s="1131" t="s">
        <v>173</v>
      </c>
      <c r="AK5" s="1132" t="s">
        <v>174</v>
      </c>
      <c r="AL5" s="1339" t="s">
        <v>173</v>
      </c>
      <c r="AM5" s="1340" t="s">
        <v>174</v>
      </c>
      <c r="AN5" s="541" t="s">
        <v>173</v>
      </c>
      <c r="AO5" s="175" t="s">
        <v>174</v>
      </c>
      <c r="AP5" s="698" t="s">
        <v>173</v>
      </c>
      <c r="AQ5" s="167" t="s">
        <v>174</v>
      </c>
      <c r="AR5" s="1339" t="s">
        <v>173</v>
      </c>
      <c r="AS5" s="1340" t="s">
        <v>174</v>
      </c>
      <c r="AT5" s="1131" t="s">
        <v>173</v>
      </c>
      <c r="AU5" s="1132" t="s">
        <v>174</v>
      </c>
      <c r="AV5" s="1339" t="s">
        <v>173</v>
      </c>
      <c r="AW5" s="1340" t="s">
        <v>174</v>
      </c>
      <c r="AX5" s="1131" t="s">
        <v>173</v>
      </c>
      <c r="AY5" s="1132" t="s">
        <v>174</v>
      </c>
      <c r="AZ5" s="1339" t="s">
        <v>173</v>
      </c>
      <c r="BA5" s="1340" t="s">
        <v>174</v>
      </c>
      <c r="BB5" s="1131" t="s">
        <v>173</v>
      </c>
      <c r="BC5" s="1132" t="s">
        <v>174</v>
      </c>
      <c r="BD5" s="698" t="s">
        <v>173</v>
      </c>
      <c r="BE5" s="167" t="s">
        <v>174</v>
      </c>
      <c r="BF5" s="700" t="s">
        <v>173</v>
      </c>
      <c r="BG5" s="462" t="s">
        <v>174</v>
      </c>
      <c r="BH5" s="1339" t="s">
        <v>173</v>
      </c>
      <c r="BI5" s="1340" t="s">
        <v>174</v>
      </c>
    </row>
    <row r="6" spans="3:62" x14ac:dyDescent="0.25">
      <c r="C6" s="5997" t="s">
        <v>4</v>
      </c>
      <c r="D6" s="3571" t="s">
        <v>361</v>
      </c>
      <c r="E6" s="3566" t="s">
        <v>49</v>
      </c>
      <c r="F6" s="3572">
        <v>69.459875135267765</v>
      </c>
      <c r="G6" s="3567">
        <v>70</v>
      </c>
      <c r="H6" s="3573">
        <f>+'Maj Techno Summ'!E5</f>
        <v>70</v>
      </c>
      <c r="I6" s="3574">
        <f>+'Maj Techno Summ'!F5</f>
        <v>70</v>
      </c>
      <c r="J6" s="3573">
        <f>+'Maj Techno Summ'!G5</f>
        <v>70</v>
      </c>
      <c r="K6" s="3574">
        <f>+'Maj Techno Summ'!H5</f>
        <v>70</v>
      </c>
      <c r="L6" s="3575">
        <f>+'Maj Techno Summ'!I5</f>
        <v>70</v>
      </c>
      <c r="M6" s="3576">
        <f>+'Maj Techno Summ'!J5</f>
        <v>70</v>
      </c>
      <c r="N6" s="3573">
        <f>+'Maj Techno Summ'!K5</f>
        <v>70</v>
      </c>
      <c r="O6" s="3574">
        <f>+'Maj Techno Summ'!L5</f>
        <v>70</v>
      </c>
      <c r="P6" s="3577">
        <f>+'Maj Techno Summ'!M5</f>
        <v>70</v>
      </c>
      <c r="Q6" s="3578">
        <f>+'Maj Techno Summ'!N5</f>
        <v>70</v>
      </c>
      <c r="R6" s="3573">
        <f>+'Maj Techno Summ'!O5</f>
        <v>70</v>
      </c>
      <c r="S6" s="3574">
        <f>+'Maj Techno Summ'!P5</f>
        <v>69.999999999999986</v>
      </c>
      <c r="T6" s="3575">
        <f>+'Maj Techno Summ'!Q5</f>
        <v>70</v>
      </c>
      <c r="U6" s="3576">
        <f>+'Maj Techno Summ'!R5</f>
        <v>70</v>
      </c>
      <c r="V6" s="3573">
        <f>+'Maj Techno Summ'!S5</f>
        <v>70</v>
      </c>
      <c r="W6" s="3574">
        <f>+'Maj Techno Summ'!T5</f>
        <v>70</v>
      </c>
      <c r="X6" s="3575">
        <f>+'Maj Techno Summ'!U5</f>
        <v>70</v>
      </c>
      <c r="Y6" s="3576">
        <f>+'Maj Techno Summ'!V5</f>
        <v>70</v>
      </c>
      <c r="Z6" s="3573">
        <f>+'Maj Techno Summ'!W5</f>
        <v>70</v>
      </c>
      <c r="AA6" s="3574">
        <f>+'Maj Techno Summ'!X5</f>
        <v>69.49295404013472</v>
      </c>
      <c r="AB6" s="3579">
        <f>+'Maj Techno Summ'!Y5</f>
        <v>70</v>
      </c>
      <c r="AC6" s="3579">
        <f>+'Maj Techno Summ'!Z5</f>
        <v>69.834649220880394</v>
      </c>
      <c r="AD6" s="3580">
        <f>+'Maj Techno Summ'!AA5</f>
        <v>70</v>
      </c>
      <c r="AE6" s="3581">
        <f>+'Maj Techno Summ'!AB5</f>
        <v>69.916418515767404</v>
      </c>
      <c r="AF6" s="3573">
        <f>+'Maj Techno Summ'!AC5</f>
        <v>70</v>
      </c>
      <c r="AG6" s="3574">
        <f>+'Maj Techno Summ'!AD5</f>
        <v>69.7</v>
      </c>
      <c r="AH6" s="3575">
        <f>+'Maj Techno Summ'!AE5</f>
        <v>70</v>
      </c>
      <c r="AI6" s="3576">
        <f>+'Maj Techno Summ'!AF5</f>
        <v>69.885349858057893</v>
      </c>
      <c r="AJ6" s="3573">
        <f>+'Maj Techno Summ'!AG5</f>
        <v>70</v>
      </c>
      <c r="AK6" s="3574">
        <f>+'Maj Techno Summ'!AH5</f>
        <v>69.5</v>
      </c>
      <c r="AL6" s="3575">
        <f>+'Maj Techno Summ'!AI5</f>
        <v>70</v>
      </c>
      <c r="AM6" s="3576">
        <f>+'Maj Techno Summ'!AJ5</f>
        <v>69.837720177923799</v>
      </c>
      <c r="AN6" s="3573">
        <f>+'Maj Techno Summ'!AK5</f>
        <v>70</v>
      </c>
      <c r="AO6" s="3574">
        <f>+'Maj Techno Summ'!AL5</f>
        <v>69.5</v>
      </c>
      <c r="AP6" s="3579">
        <f>+'Maj Techno Summ'!AM5</f>
        <v>70</v>
      </c>
      <c r="AQ6" s="3579">
        <f>+'Maj Techno Summ'!AN5</f>
        <v>69.56670356431259</v>
      </c>
      <c r="AR6" s="3575">
        <f>+'Maj Techno Summ'!AO5</f>
        <v>70</v>
      </c>
      <c r="AS6" s="3576">
        <f>+'Maj Techno Summ'!AP5</f>
        <v>69.799445474505504</v>
      </c>
      <c r="AT6" s="3573">
        <f>+'Maj Techno Summ'!AQ5</f>
        <v>70</v>
      </c>
      <c r="AU6" s="3574">
        <f>+'Maj Techno Summ'!AR5</f>
        <v>69.5</v>
      </c>
      <c r="AV6" s="3575">
        <f>+'Maj Techno Summ'!AS5</f>
        <v>70</v>
      </c>
      <c r="AW6" s="3576">
        <f>+'Maj Techno Summ'!AT5</f>
        <v>69.769204900340156</v>
      </c>
      <c r="AX6" s="3573">
        <f>+'Maj Techno Summ'!AU5</f>
        <v>70</v>
      </c>
      <c r="AY6" s="3574">
        <f>+'Maj Techno Summ'!AV5</f>
        <v>69.5</v>
      </c>
      <c r="AZ6" s="3575">
        <f>+'Maj Techno Summ'!AW5</f>
        <v>70</v>
      </c>
      <c r="BA6" s="3576">
        <f>+'Maj Techno Summ'!AX5</f>
        <v>69.746667159354615</v>
      </c>
      <c r="BB6" s="3573">
        <f>+'Maj Techno Summ'!AY5</f>
        <v>70</v>
      </c>
      <c r="BC6" s="3574">
        <f>+'Maj Techno Summ'!AZ5</f>
        <v>69.499999999999986</v>
      </c>
      <c r="BD6" s="3579">
        <f>+'Maj Techno Summ'!BA5</f>
        <v>70</v>
      </c>
      <c r="BE6" s="3579">
        <f>+'Maj Techno Summ'!BB5</f>
        <v>69.5</v>
      </c>
      <c r="BF6" s="3580">
        <f>+'Maj Techno Summ'!BC5</f>
        <v>70</v>
      </c>
      <c r="BG6" s="3581">
        <f>+'Maj Techno Summ'!BD5</f>
        <v>69.53371754700089</v>
      </c>
      <c r="BH6" s="3575">
        <f>+'Maj Techno Summ'!BE5</f>
        <v>70</v>
      </c>
      <c r="BI6" s="3576">
        <f>+'Maj Techno Summ'!BF5</f>
        <v>69.72561784308084</v>
      </c>
    </row>
    <row r="7" spans="3:62" x14ac:dyDescent="0.25">
      <c r="C7" s="5998"/>
      <c r="D7" s="3582" t="s">
        <v>359</v>
      </c>
      <c r="E7" s="3583"/>
      <c r="F7" s="3583"/>
      <c r="G7" s="3584"/>
      <c r="H7" s="3585"/>
      <c r="I7" s="3161"/>
      <c r="J7" s="3585"/>
      <c r="K7" s="3161"/>
      <c r="L7" s="3586"/>
      <c r="M7" s="3141"/>
      <c r="N7" s="3585"/>
      <c r="O7" s="3161"/>
      <c r="P7" s="3585"/>
      <c r="Q7" s="3161"/>
      <c r="R7" s="3585"/>
      <c r="S7" s="3161"/>
      <c r="T7" s="3585"/>
      <c r="U7" s="3161"/>
      <c r="V7" s="3585"/>
      <c r="W7" s="3161"/>
      <c r="X7" s="3585"/>
      <c r="Y7" s="3161"/>
      <c r="Z7" s="3585"/>
      <c r="AA7" s="3161"/>
      <c r="AB7" s="3587"/>
      <c r="AC7" s="3587"/>
      <c r="AD7" s="3585"/>
      <c r="AE7" s="3587"/>
      <c r="AF7" s="3585"/>
      <c r="AG7" s="3161"/>
      <c r="AH7" s="3585"/>
      <c r="AI7" s="3161"/>
      <c r="AJ7" s="3585"/>
      <c r="AK7" s="3161"/>
      <c r="AL7" s="3585"/>
      <c r="AM7" s="3161"/>
      <c r="AN7" s="3585"/>
      <c r="AO7" s="3161"/>
      <c r="AP7" s="3587"/>
      <c r="AQ7" s="3587"/>
      <c r="AR7" s="3585"/>
      <c r="AS7" s="3161"/>
      <c r="AT7" s="3585"/>
      <c r="AU7" s="3161"/>
      <c r="AV7" s="3585"/>
      <c r="AW7" s="3161"/>
      <c r="AX7" s="3585"/>
      <c r="AY7" s="3161"/>
      <c r="AZ7" s="3585"/>
      <c r="BA7" s="3161"/>
      <c r="BB7" s="3585"/>
      <c r="BC7" s="3161"/>
      <c r="BD7" s="3587"/>
      <c r="BE7" s="3587"/>
      <c r="BF7" s="3585"/>
      <c r="BG7" s="3587"/>
      <c r="BH7" s="3585"/>
      <c r="BI7" s="3161"/>
    </row>
    <row r="8" spans="3:62" x14ac:dyDescent="0.25">
      <c r="C8" s="5998"/>
      <c r="D8" s="3588" t="s">
        <v>349</v>
      </c>
      <c r="E8" s="3589" t="s">
        <v>49</v>
      </c>
      <c r="F8" s="3590">
        <v>89.651305773130588</v>
      </c>
      <c r="G8" s="3591">
        <v>92</v>
      </c>
      <c r="H8" s="3592">
        <f>+'Maj Techno Summ'!E7</f>
        <v>92</v>
      </c>
      <c r="I8" s="3593">
        <f>+'Maj Techno Summ'!F7</f>
        <v>89.466617312982208</v>
      </c>
      <c r="J8" s="3592">
        <f>+'Maj Techno Summ'!G7</f>
        <v>92</v>
      </c>
      <c r="K8" s="3593">
        <f>+'Maj Techno Summ'!H7</f>
        <v>91.22579404282105</v>
      </c>
      <c r="L8" s="3586">
        <f>+'Maj Techno Summ'!I7</f>
        <v>92</v>
      </c>
      <c r="M8" s="3141">
        <f>+'Maj Techno Summ'!J7</f>
        <v>90.362489637492544</v>
      </c>
      <c r="N8" s="3592">
        <f>+'Maj Techno Summ'!K7</f>
        <v>92</v>
      </c>
      <c r="O8" s="3593">
        <f>+'Maj Techno Summ'!L7</f>
        <v>90.499999999999986</v>
      </c>
      <c r="P8" s="3594">
        <f>+'Maj Techno Summ'!M7</f>
        <v>92</v>
      </c>
      <c r="Q8" s="3595">
        <f>+'Maj Techno Summ'!N7</f>
        <v>90.407401766585494</v>
      </c>
      <c r="R8" s="3592">
        <f>+'Maj Techno Summ'!O7</f>
        <v>92</v>
      </c>
      <c r="S8" s="3593">
        <f>+'Maj Techno Summ'!P7</f>
        <v>91.999999679999988</v>
      </c>
      <c r="T8" s="3586">
        <f>+'Maj Techno Summ'!Q7</f>
        <v>92</v>
      </c>
      <c r="U8" s="3141">
        <f>+'Maj Techno Summ'!R7</f>
        <v>90.807240704898419</v>
      </c>
      <c r="V8" s="3592">
        <f>+'Maj Techno Summ'!S7</f>
        <v>92</v>
      </c>
      <c r="W8" s="3593">
        <f>+'Maj Techno Summ'!T7</f>
        <v>90</v>
      </c>
      <c r="X8" s="3586">
        <f>+'Maj Techno Summ'!U7</f>
        <v>92</v>
      </c>
      <c r="Y8" s="3141">
        <f>+'Maj Techno Summ'!V7</f>
        <v>90.64176186512033</v>
      </c>
      <c r="Z8" s="3592">
        <f>+'Maj Techno Summ'!W7</f>
        <v>92</v>
      </c>
      <c r="AA8" s="3593">
        <f>+'Maj Techno Summ'!X7</f>
        <v>89.999962999863101</v>
      </c>
      <c r="AB8" s="3596">
        <f>+'Maj Techno Summ'!Y7</f>
        <v>92</v>
      </c>
      <c r="AC8" s="3596">
        <f>+'Maj Techno Summ'!Z7</f>
        <v>90.662029690766587</v>
      </c>
      <c r="AD8" s="3597">
        <f>+'Maj Techno Summ'!AA7</f>
        <v>92</v>
      </c>
      <c r="AE8" s="3598">
        <f>+'Maj Techno Summ'!AB7</f>
        <v>90.535518493018969</v>
      </c>
      <c r="AF8" s="3592">
        <f>+'Maj Techno Summ'!AC7</f>
        <v>92</v>
      </c>
      <c r="AG8" s="3593">
        <f>+'Maj Techno Summ'!AD7</f>
        <v>89.999967741831426</v>
      </c>
      <c r="AH8" s="3586">
        <f>+'Maj Techno Summ'!AE7</f>
        <v>92</v>
      </c>
      <c r="AI8" s="3141">
        <f>+'Maj Techno Summ'!AF7</f>
        <v>90.458281495282719</v>
      </c>
      <c r="AJ8" s="3592">
        <f>+'Maj Techno Summ'!AG7</f>
        <v>92</v>
      </c>
      <c r="AK8" s="3593">
        <f>+'Maj Techno Summ'!AH7</f>
        <v>90</v>
      </c>
      <c r="AL8" s="3586">
        <f>+'Maj Techno Summ'!AI7</f>
        <v>92</v>
      </c>
      <c r="AM8" s="3141">
        <f>+'Maj Techno Summ'!AJ7</f>
        <v>90.403338211521003</v>
      </c>
      <c r="AN8" s="3592">
        <f>+'Maj Techno Summ'!AK7</f>
        <v>92</v>
      </c>
      <c r="AO8" s="3593">
        <f>+'Maj Techno Summ'!AL7</f>
        <v>87.290322580645153</v>
      </c>
      <c r="AP8" s="3596">
        <f>+'Maj Techno Summ'!AM7</f>
        <v>92</v>
      </c>
      <c r="AQ8" s="3596">
        <f>+'Maj Techno Summ'!AN7</f>
        <v>89.095314831723186</v>
      </c>
      <c r="AR8" s="3586">
        <f>+'Maj Techno Summ'!AO7</f>
        <v>92</v>
      </c>
      <c r="AS8" s="3141">
        <f>+'Maj Techno Summ'!AP7</f>
        <v>90.060632552039692</v>
      </c>
      <c r="AT8" s="3592">
        <f>+'Maj Techno Summ'!AQ7</f>
        <v>92</v>
      </c>
      <c r="AU8" s="3593">
        <f>+'Maj Techno Summ'!AR7</f>
        <v>87</v>
      </c>
      <c r="AV8" s="3586">
        <f>+'Maj Techno Summ'!AS7</f>
        <v>92</v>
      </c>
      <c r="AW8" s="3141">
        <f>+'Maj Techno Summ'!AT7</f>
        <v>89.75495383483792</v>
      </c>
      <c r="AX8" s="3592">
        <f>+'Maj Techno Summ'!AU7</f>
        <v>92</v>
      </c>
      <c r="AY8" s="3593">
        <f>+'Maj Techno Summ'!AV7</f>
        <v>89.9</v>
      </c>
      <c r="AZ8" s="3586">
        <f>+'Maj Techno Summ'!AW7</f>
        <v>92</v>
      </c>
      <c r="BA8" s="3141">
        <f>+'Maj Techno Summ'!AX7</f>
        <v>89.766908020938928</v>
      </c>
      <c r="BB8" s="3592">
        <f>+'Maj Techno Summ'!AY7</f>
        <v>92</v>
      </c>
      <c r="BC8" s="3593">
        <f>+'Maj Techno Summ'!AZ7</f>
        <v>90.000034832161234</v>
      </c>
      <c r="BD8" s="3596">
        <f>+'Maj Techno Summ'!BA7</f>
        <v>92</v>
      </c>
      <c r="BE8" s="3596">
        <f>+'Maj Techno Summ'!BB7</f>
        <v>88.946382025064466</v>
      </c>
      <c r="BF8" s="3597">
        <f>+'Maj Techno Summ'!BC7</f>
        <v>92</v>
      </c>
      <c r="BG8" s="3598">
        <f>+'Maj Techno Summ'!BD7</f>
        <v>89.021341712695019</v>
      </c>
      <c r="BH8" s="3586">
        <f>+'Maj Techno Summ'!BE7</f>
        <v>92</v>
      </c>
      <c r="BI8" s="3141">
        <f>+'Maj Techno Summ'!BF7</f>
        <v>89.787074869717628</v>
      </c>
    </row>
    <row r="9" spans="3:62" x14ac:dyDescent="0.25">
      <c r="C9" s="5998"/>
      <c r="D9" s="3588" t="s">
        <v>360</v>
      </c>
      <c r="E9" s="3589" t="s">
        <v>49</v>
      </c>
      <c r="F9" s="3590">
        <v>92.198587038217795</v>
      </c>
      <c r="G9" s="3591">
        <v>97</v>
      </c>
      <c r="H9" s="3592">
        <f>+'Maj Techno Summ'!E8</f>
        <v>97</v>
      </c>
      <c r="I9" s="3593">
        <f>+'Maj Techno Summ'!F8</f>
        <v>94.592173017507719</v>
      </c>
      <c r="J9" s="3592">
        <f>+'Maj Techno Summ'!G8</f>
        <v>97</v>
      </c>
      <c r="K9" s="3593">
        <f>+'Maj Techno Summ'!H8</f>
        <v>94.99999761388338</v>
      </c>
      <c r="L9" s="3586">
        <f>+'Maj Techno Summ'!I8</f>
        <v>97</v>
      </c>
      <c r="M9" s="3141">
        <f>+'Maj Techno Summ'!J8</f>
        <v>94.799830302761691</v>
      </c>
      <c r="N9" s="3592">
        <f>+'Maj Techno Summ'!K8</f>
        <v>97</v>
      </c>
      <c r="O9" s="3593">
        <f>+'Maj Techno Summ'!L8</f>
        <v>94.999999511791174</v>
      </c>
      <c r="P9" s="3594">
        <f>+'Maj Techno Summ'!M8</f>
        <v>97</v>
      </c>
      <c r="Q9" s="3595">
        <f>+'Maj Techno Summ'!N8</f>
        <v>94.866350705825596</v>
      </c>
      <c r="R9" s="3592">
        <f>+'Maj Techno Summ'!O8</f>
        <v>97</v>
      </c>
      <c r="S9" s="3593">
        <f>+'Maj Techno Summ'!P8</f>
        <v>95.000001409744897</v>
      </c>
      <c r="T9" s="3586">
        <f>+'Maj Techno Summ'!Q8</f>
        <v>97</v>
      </c>
      <c r="U9" s="3141">
        <f>+'Maj Techno Summ'!R8</f>
        <v>94.900651925974543</v>
      </c>
      <c r="V9" s="3592">
        <f>+'Maj Techno Summ'!S8</f>
        <v>97</v>
      </c>
      <c r="W9" s="3593">
        <f>+'Maj Techno Summ'!T8</f>
        <v>95</v>
      </c>
      <c r="X9" s="3586">
        <f>+'Maj Techno Summ'!U8</f>
        <v>97</v>
      </c>
      <c r="Y9" s="3141">
        <f>+'Maj Techno Summ'!V8</f>
        <v>94.920863024190282</v>
      </c>
      <c r="Z9" s="3592">
        <f>+'Maj Techno Summ'!W8</f>
        <v>97</v>
      </c>
      <c r="AA9" s="3593">
        <f>+'Maj Techno Summ'!X8</f>
        <v>94.999999513274034</v>
      </c>
      <c r="AB9" s="3596">
        <f>+'Maj Techno Summ'!Y8</f>
        <v>97</v>
      </c>
      <c r="AC9" s="3596">
        <f>+'Maj Techno Summ'!Z8</f>
        <v>95.000000317448595</v>
      </c>
      <c r="AD9" s="3597">
        <f>+'Maj Techno Summ'!AA8</f>
        <v>97</v>
      </c>
      <c r="AE9" s="3598">
        <f>+'Maj Techno Summ'!AB8</f>
        <v>94.933907887034792</v>
      </c>
      <c r="AF9" s="3592">
        <f>+'Maj Techno Summ'!AC8</f>
        <v>97</v>
      </c>
      <c r="AG9" s="3593">
        <f>+'Maj Techno Summ'!AD8</f>
        <v>94.999999521351143</v>
      </c>
      <c r="AH9" s="3586">
        <f>+'Maj Techno Summ'!AE8</f>
        <v>97</v>
      </c>
      <c r="AI9" s="3141">
        <f>+'Maj Techno Summ'!AF8</f>
        <v>94.943395884400999</v>
      </c>
      <c r="AJ9" s="3592">
        <f>+'Maj Techno Summ'!AG8</f>
        <v>97</v>
      </c>
      <c r="AK9" s="3593">
        <f>+'Maj Techno Summ'!AH8</f>
        <v>95</v>
      </c>
      <c r="AL9" s="3586">
        <f>+'Maj Techno Summ'!AI8</f>
        <v>97</v>
      </c>
      <c r="AM9" s="3141">
        <f>+'Maj Techno Summ'!AJ8</f>
        <v>94.950392217211117</v>
      </c>
      <c r="AN9" s="3592">
        <f>+'Maj Techno Summ'!AK8</f>
        <v>97</v>
      </c>
      <c r="AO9" s="3593">
        <f>+'Maj Techno Summ'!AL8</f>
        <v>95</v>
      </c>
      <c r="AP9" s="3596">
        <f>+'Maj Techno Summ'!AM8</f>
        <v>97</v>
      </c>
      <c r="AQ9" s="3596">
        <f>+'Maj Techno Summ'!AN8</f>
        <v>94.999999840362591</v>
      </c>
      <c r="AR9" s="3586">
        <f>+'Maj Techno Summ'!AO8</f>
        <v>97</v>
      </c>
      <c r="AS9" s="3141">
        <f>+'Maj Techno Summ'!AP8</f>
        <v>94.956014443140901</v>
      </c>
      <c r="AT9" s="3592">
        <f>+'Maj Techno Summ'!AQ8</f>
        <v>97</v>
      </c>
      <c r="AU9" s="3593">
        <f>+'Maj Techno Summ'!AR8</f>
        <v>95.000000047533575</v>
      </c>
      <c r="AV9" s="3586">
        <f>+'Maj Techno Summ'!AS8</f>
        <v>97</v>
      </c>
      <c r="AW9" s="3141">
        <f>+'Maj Techno Summ'!AT8</f>
        <v>94.960456482651381</v>
      </c>
      <c r="AX9" s="3592">
        <f>+'Maj Techno Summ'!AU8</f>
        <v>97</v>
      </c>
      <c r="AY9" s="3593">
        <f>+'Maj Techno Summ'!AV8</f>
        <v>94.999999527157698</v>
      </c>
      <c r="AZ9" s="3586">
        <f>+'Maj Techno Summ'!AW8</f>
        <v>97</v>
      </c>
      <c r="BA9" s="3141">
        <f>+'Maj Techno Summ'!AX8</f>
        <v>94.963767009668928</v>
      </c>
      <c r="BB9" s="3592">
        <f>+'Maj Techno Summ'!AY8</f>
        <v>97</v>
      </c>
      <c r="BC9" s="3593">
        <f>+'Maj Techno Summ'!AZ8</f>
        <v>94.999999528548869</v>
      </c>
      <c r="BD9" s="3596">
        <f>+'Maj Techno Summ'!BA8</f>
        <v>97</v>
      </c>
      <c r="BE9" s="3596">
        <f>+'Maj Techno Summ'!BB8</f>
        <v>94.999999706279226</v>
      </c>
      <c r="BF9" s="3597">
        <f>+'Maj Techno Summ'!BC8</f>
        <v>97</v>
      </c>
      <c r="BG9" s="3598">
        <f>+'Maj Techno Summ'!BD8</f>
        <v>94.999999774056249</v>
      </c>
      <c r="BH9" s="3586">
        <f>+'Maj Techno Summ'!BE8</f>
        <v>97</v>
      </c>
      <c r="BI9" s="3141">
        <f>+'Maj Techno Summ'!BF8</f>
        <v>94.966858905317054</v>
      </c>
    </row>
    <row r="10" spans="3:62" x14ac:dyDescent="0.25">
      <c r="C10" s="5998"/>
      <c r="D10" s="3599" t="s">
        <v>358</v>
      </c>
      <c r="E10" s="3589" t="s">
        <v>49</v>
      </c>
      <c r="F10" s="3590">
        <v>91.262623548364061</v>
      </c>
      <c r="G10" s="3591">
        <v>95.322290299597682</v>
      </c>
      <c r="H10" s="3592">
        <f>+'Maj Techno Summ'!E9</f>
        <v>95.322290299597682</v>
      </c>
      <c r="I10" s="3593">
        <f>+'Maj Techno Summ'!F9</f>
        <v>92.782623883203556</v>
      </c>
      <c r="J10" s="3592">
        <f>+'Maj Techno Summ'!G9</f>
        <v>95.322290299597682</v>
      </c>
      <c r="K10" s="3593">
        <f>+'Maj Techno Summ'!H9</f>
        <v>93.667281514284795</v>
      </c>
      <c r="L10" s="3586">
        <f>+'Maj Techno Summ'!I9</f>
        <v>95.322290299597682</v>
      </c>
      <c r="M10" s="3141">
        <f>+'Maj Techno Summ'!J9</f>
        <v>93.233099399768022</v>
      </c>
      <c r="N10" s="3592">
        <f>+'Maj Techno Summ'!K9</f>
        <v>95.322290299597682</v>
      </c>
      <c r="O10" s="3593">
        <f>+'Maj Techno Summ'!L9</f>
        <v>93.437618856972875</v>
      </c>
      <c r="P10" s="3594">
        <f>+'Maj Techno Summ'!M9</f>
        <v>95.322290299597682</v>
      </c>
      <c r="Q10" s="3595">
        <f>+'Maj Techno Summ'!N9</f>
        <v>93.300655293176519</v>
      </c>
      <c r="R10" s="3592">
        <f>+'Maj Techno Summ'!O9</f>
        <v>95.322290299597682</v>
      </c>
      <c r="S10" s="3593">
        <f>+'Maj Techno Summ'!P9</f>
        <v>93.966668191590372</v>
      </c>
      <c r="T10" s="3586">
        <f>+'Maj Techno Summ'!Q9</f>
        <v>95.322290299597682</v>
      </c>
      <c r="U10" s="3141">
        <f>+'Maj Techno Summ'!R9</f>
        <v>93.470286002129185</v>
      </c>
      <c r="V10" s="3592">
        <f>+'Maj Techno Summ'!S9</f>
        <v>95.322290299597682</v>
      </c>
      <c r="W10" s="3593">
        <f>+'Maj Techno Summ'!T9</f>
        <v>93.241945303495299</v>
      </c>
      <c r="X10" s="3586">
        <f>+'Maj Techno Summ'!U9</f>
        <v>95.322290299597682</v>
      </c>
      <c r="Y10" s="3141">
        <f>+'Maj Techno Summ'!V9</f>
        <v>93.423708694745685</v>
      </c>
      <c r="Z10" s="3592">
        <f>+'Maj Techno Summ'!W9</f>
        <v>95.322290299597682</v>
      </c>
      <c r="AA10" s="3593">
        <f>+'Maj Techno Summ'!X9</f>
        <v>93.2448303447526</v>
      </c>
      <c r="AB10" s="3596">
        <f>+'Maj Techno Summ'!Y9</f>
        <v>95.322290299597682</v>
      </c>
      <c r="AC10" s="3596">
        <f>+'Maj Techno Summ'!Z9</f>
        <v>93.485972730981359</v>
      </c>
      <c r="AD10" s="3597">
        <f>+'Maj Techno Summ'!AA9</f>
        <v>95.322290299597682</v>
      </c>
      <c r="AE10" s="3598">
        <f>+'Maj Techno Summ'!AB9</f>
        <v>93.394178549317672</v>
      </c>
      <c r="AF10" s="3592">
        <f>+'Maj Techno Summ'!AC9</f>
        <v>95.322290299597682</v>
      </c>
      <c r="AG10" s="3593">
        <f>+'Maj Techno Summ'!AD9</f>
        <v>93.243541106226871</v>
      </c>
      <c r="AH10" s="3586">
        <f>+'Maj Techno Summ'!AE9</f>
        <v>95.322290299597682</v>
      </c>
      <c r="AI10" s="3141">
        <f>+'Maj Techno Summ'!AF9</f>
        <v>93.372518403839564</v>
      </c>
      <c r="AJ10" s="3592">
        <f>+'Maj Techno Summ'!AG9</f>
        <v>95.322290299597682</v>
      </c>
      <c r="AK10" s="3593">
        <f>+'Maj Techno Summ'!AH9</f>
        <v>93.288077486246692</v>
      </c>
      <c r="AL10" s="3586">
        <f>+'Maj Techno Summ'!AI9</f>
        <v>95.322290299597682</v>
      </c>
      <c r="AM10" s="3141">
        <f>+'Maj Techno Summ'!AJ9</f>
        <v>93.362190871039957</v>
      </c>
      <c r="AN10" s="3592">
        <f>+'Maj Techno Summ'!AK9</f>
        <v>95.322290299597682</v>
      </c>
      <c r="AO10" s="3593">
        <f>+'Maj Techno Summ'!AL9</f>
        <v>92.364182227254133</v>
      </c>
      <c r="AP10" s="3596">
        <f>+'Maj Techno Summ'!AM9</f>
        <v>95.322290299597682</v>
      </c>
      <c r="AQ10" s="3596">
        <f>+'Maj Techno Summ'!AN9</f>
        <v>92.961622005761853</v>
      </c>
      <c r="AR10" s="3586">
        <f>+'Maj Techno Summ'!AO9</f>
        <v>95.322290299597682</v>
      </c>
      <c r="AS10" s="3141">
        <f>+'Maj Techno Summ'!AP9</f>
        <v>93.250211676184563</v>
      </c>
      <c r="AT10" s="3592">
        <f>+'Maj Techno Summ'!AQ9</f>
        <v>95.322290299597682</v>
      </c>
      <c r="AU10" s="3593">
        <f>+'Maj Techno Summ'!AR9</f>
        <v>92.234744794308796</v>
      </c>
      <c r="AV10" s="3586">
        <f>+'Maj Techno Summ'!AS9</f>
        <v>95.322290299597682</v>
      </c>
      <c r="AW10" s="3141">
        <f>+'Maj Techno Summ'!AT9</f>
        <v>93.148055119724944</v>
      </c>
      <c r="AX10" s="3592">
        <f>+'Maj Techno Summ'!AU9</f>
        <v>95.322290299597682</v>
      </c>
      <c r="AY10" s="3593">
        <f>+'Maj Techno Summ'!AV9</f>
        <v>93.244082359750223</v>
      </c>
      <c r="AZ10" s="3586">
        <f>+'Maj Techno Summ'!AW9</f>
        <v>95.322290299597682</v>
      </c>
      <c r="BA10" s="3141">
        <f>+'Maj Techno Summ'!AX9</f>
        <v>93.156050950653878</v>
      </c>
      <c r="BB10" s="3592">
        <f>+'Maj Techno Summ'!AY9</f>
        <v>95.322290299597682</v>
      </c>
      <c r="BC10" s="3593">
        <f>+'Maj Techno Summ'!AZ9</f>
        <v>93.243821499637903</v>
      </c>
      <c r="BD10" s="3596">
        <f>+'Maj Techno Summ'!BA9</f>
        <v>95.322290299597682</v>
      </c>
      <c r="BE10" s="3596">
        <f>+'Maj Techno Summ'!BB9</f>
        <v>92.898302403108801</v>
      </c>
      <c r="BF10" s="3597">
        <f>+'Maj Techno Summ'!BC9</f>
        <v>95.322290299597682</v>
      </c>
      <c r="BG10" s="3598">
        <f>+'Maj Techno Summ'!BD9</f>
        <v>92.930261850652187</v>
      </c>
      <c r="BH10" s="3586">
        <f>+'Maj Techno Summ'!BE9</f>
        <v>95.322290299597682</v>
      </c>
      <c r="BI10" s="3141">
        <f>+'Maj Techno Summ'!BF9</f>
        <v>93.163576619349655</v>
      </c>
    </row>
    <row r="11" spans="3:62" x14ac:dyDescent="0.25">
      <c r="C11" s="5998"/>
      <c r="D11" s="3599" t="s">
        <v>1415</v>
      </c>
      <c r="E11" s="3589" t="s">
        <v>49</v>
      </c>
      <c r="F11" s="3590">
        <v>23.372863219313984</v>
      </c>
      <c r="G11" s="3591">
        <v>25</v>
      </c>
      <c r="H11" s="3592">
        <f>+$G$11</f>
        <v>25</v>
      </c>
      <c r="I11" s="3593">
        <f>+'COKE OVENS'!F214</f>
        <v>24.618124940785474</v>
      </c>
      <c r="J11" s="3592">
        <f>+$G$11</f>
        <v>25</v>
      </c>
      <c r="K11" s="3593">
        <f>+'COKE OVENS'!H214</f>
        <v>24.706229924196233</v>
      </c>
      <c r="L11" s="3586">
        <f>+$G$11</f>
        <v>25</v>
      </c>
      <c r="M11" s="3141">
        <f>+'COKE OVENS'!J214</f>
        <v>24.662988780218317</v>
      </c>
      <c r="N11" s="3592">
        <f>+$G$11</f>
        <v>25</v>
      </c>
      <c r="O11" s="3593">
        <f>+'COKE OVENS'!L214</f>
        <v>24.694394282078864</v>
      </c>
      <c r="P11" s="3594">
        <f>+$G$11</f>
        <v>25</v>
      </c>
      <c r="Q11" s="3595">
        <f>+'COKE OVENS'!N214</f>
        <v>24.673362496074631</v>
      </c>
      <c r="R11" s="3592">
        <f>+$G$11</f>
        <v>25</v>
      </c>
      <c r="S11" s="3593">
        <f>+'COKE OVENS'!P214</f>
        <v>24.688884191570757</v>
      </c>
      <c r="T11" s="3586">
        <f>+$G$11</f>
        <v>25</v>
      </c>
      <c r="U11" s="3141">
        <f>+'COKE OVENS'!R214</f>
        <v>24.677315807215336</v>
      </c>
      <c r="V11" s="3592">
        <f>+$G$11</f>
        <v>25</v>
      </c>
      <c r="W11" s="3593">
        <f>+'COKE OVENS'!T214</f>
        <v>24.351610816827247</v>
      </c>
      <c r="X11" s="3586">
        <f>+$G$11</f>
        <v>25</v>
      </c>
      <c r="Y11" s="3141">
        <f>+'COKE OVENS'!V214</f>
        <v>24.610877973117386</v>
      </c>
      <c r="Z11" s="3592">
        <f>+$G$11</f>
        <v>25</v>
      </c>
      <c r="AA11" s="3593">
        <f>+'COKE OVENS'!X214</f>
        <v>24.350933606000623</v>
      </c>
      <c r="AB11" s="3596">
        <f>+$G$11</f>
        <v>25</v>
      </c>
      <c r="AC11" s="3596">
        <f>+'COKE OVENS'!Z214</f>
        <v>24.464516187443401</v>
      </c>
      <c r="AD11" s="3597">
        <f>+$G$11</f>
        <v>25</v>
      </c>
      <c r="AE11" s="3598">
        <f>+'COKE OVENS'!AB214</f>
        <v>24.567965038352245</v>
      </c>
      <c r="AF11" s="3592">
        <f>+$G$11</f>
        <v>25</v>
      </c>
      <c r="AG11" s="3593">
        <f>+'COKE OVENS'!AD214</f>
        <v>24.77050823217045</v>
      </c>
      <c r="AH11" s="3586">
        <f>+$G$11</f>
        <v>25</v>
      </c>
      <c r="AI11" s="3586">
        <f>+'COKE OVENS'!AF214</f>
        <v>24.597088707432743</v>
      </c>
      <c r="AJ11" s="3592">
        <f>+$G$11</f>
        <v>25</v>
      </c>
      <c r="AK11" s="3593">
        <f>+'COKE OVENS'!AH214</f>
        <v>24.684769005501316</v>
      </c>
      <c r="AL11" s="3586">
        <f>+$G$11</f>
        <v>25</v>
      </c>
      <c r="AM11" s="3586">
        <f>+'COKE OVENS'!AJ214</f>
        <v>24.607812432138658</v>
      </c>
      <c r="AN11" s="3592">
        <f>+$G$11</f>
        <v>25</v>
      </c>
      <c r="AO11" s="3593">
        <f>+'COKE OVENS'!AL214</f>
        <v>24.683768627239509</v>
      </c>
      <c r="AP11" s="3596">
        <f>+$G$11</f>
        <v>25</v>
      </c>
      <c r="AQ11" s="3596">
        <f>+'COKE OVENS'!AN214</f>
        <v>24.713295051226808</v>
      </c>
      <c r="AR11" s="3586">
        <f>+$G$11</f>
        <v>25</v>
      </c>
      <c r="AS11" s="3586">
        <f>+'COKE OVENS'!AP214</f>
        <v>24.616334917013553</v>
      </c>
      <c r="AT11" s="3592">
        <f>+$G$11</f>
        <v>25</v>
      </c>
      <c r="AU11" s="3593">
        <f>+'COKE OVENS'!AR214</f>
        <v>25.345656749082941</v>
      </c>
      <c r="AV11" s="3586">
        <f>+$G$11</f>
        <v>25</v>
      </c>
      <c r="AW11" s="3586">
        <f>+'COKE OVENS'!AT214</f>
        <v>24.689705115731794</v>
      </c>
      <c r="AX11" s="3592">
        <f>+$G$11</f>
        <v>25</v>
      </c>
      <c r="AY11" s="3593">
        <f>+'COKE OVENS'!AV214</f>
        <v>25.344297687973246</v>
      </c>
      <c r="AZ11" s="3586">
        <f>+$G$11</f>
        <v>25</v>
      </c>
      <c r="BA11" s="3586">
        <f>+'COKE OVENS'!AX214</f>
        <v>24.744210603274603</v>
      </c>
      <c r="BB11" s="3592">
        <f>+$G$11</f>
        <v>25</v>
      </c>
      <c r="BC11" s="3593">
        <f>+'COKE OVENS'!AZ214</f>
        <v>25.351279376814858</v>
      </c>
      <c r="BD11" s="3596">
        <f>+'COKE OVENS'!BA214</f>
        <v>25.012965022530114</v>
      </c>
      <c r="BE11" s="3596">
        <f>+'COKE OVENS'!BB214</f>
        <v>25.347194763682673</v>
      </c>
      <c r="BF11" s="3597">
        <f>+'COKE OVENS'!BC214</f>
        <v>25.012965022530111</v>
      </c>
      <c r="BG11" s="3598">
        <f>+'COKE OVENS'!BD214</f>
        <v>25.027245115245996</v>
      </c>
      <c r="BH11" s="3586">
        <f>+'COKE OVENS'!BE214</f>
        <v>25.012993638056674</v>
      </c>
      <c r="BI11" s="3141">
        <f>+'COKE OVENS'!BF214</f>
        <v>24.796262214186243</v>
      </c>
    </row>
    <row r="12" spans="3:62" ht="14.4" hidden="1" thickBot="1" x14ac:dyDescent="0.3">
      <c r="C12" s="5998"/>
      <c r="D12" s="3599" t="s">
        <v>1416</v>
      </c>
      <c r="E12" s="3589" t="s">
        <v>221</v>
      </c>
      <c r="F12" s="3590"/>
      <c r="G12" s="3600">
        <v>18.469687305965394</v>
      </c>
      <c r="H12" s="3601">
        <f>+'COKE OVENS'!E62</f>
        <v>0</v>
      </c>
      <c r="I12" s="3601">
        <f>+'COKE OVENS'!F62</f>
        <v>0</v>
      </c>
      <c r="J12" s="3601">
        <f>+'COKE OVENS'!G62</f>
        <v>0</v>
      </c>
      <c r="K12" s="3601">
        <f>+'COKE OVENS'!H62</f>
        <v>0</v>
      </c>
      <c r="L12" s="3602">
        <f>+'COKE OVENS'!I62</f>
        <v>0</v>
      </c>
      <c r="M12" s="3602">
        <f>+'COKE OVENS'!J62</f>
        <v>0</v>
      </c>
      <c r="N12" s="3601">
        <f>+'COKE OVENS'!K62</f>
        <v>0</v>
      </c>
      <c r="O12" s="3601">
        <f>+'COKE OVENS'!L62</f>
        <v>0</v>
      </c>
      <c r="P12" s="3603">
        <f>+'COKE OVENS'!M62</f>
        <v>0</v>
      </c>
      <c r="Q12" s="3603">
        <f>+'COKE OVENS'!N62</f>
        <v>0</v>
      </c>
      <c r="R12" s="3601">
        <f>+'COKE OVENS'!O62</f>
        <v>0</v>
      </c>
      <c r="S12" s="3601">
        <f>+'COKE OVENS'!P62</f>
        <v>0</v>
      </c>
      <c r="T12" s="3602">
        <f>+'COKE OVENS'!Q62</f>
        <v>0</v>
      </c>
      <c r="U12" s="3602">
        <f>+'COKE OVENS'!R62</f>
        <v>0</v>
      </c>
      <c r="V12" s="3601">
        <f>+'COKE OVENS'!S62</f>
        <v>0</v>
      </c>
      <c r="W12" s="3601">
        <f>+'COKE OVENS'!T62</f>
        <v>0</v>
      </c>
      <c r="X12" s="3602">
        <f>+'COKE OVENS'!U62</f>
        <v>0</v>
      </c>
      <c r="Y12" s="3602">
        <f>+'COKE OVENS'!V62</f>
        <v>0</v>
      </c>
      <c r="Z12" s="3601">
        <f>+'COKE OVENS'!W62</f>
        <v>0</v>
      </c>
      <c r="AA12" s="3601">
        <f>+'COKE OVENS'!X62</f>
        <v>0</v>
      </c>
      <c r="AB12" s="3604">
        <f>+'COKE OVENS'!Y62</f>
        <v>0</v>
      </c>
      <c r="AC12" s="3604">
        <f>+'COKE OVENS'!Z62</f>
        <v>0</v>
      </c>
      <c r="AD12" s="3597">
        <f>+'COKE OVENS'!AA62</f>
        <v>0</v>
      </c>
      <c r="AE12" s="3598">
        <f>+'COKE OVENS'!AB62</f>
        <v>0</v>
      </c>
      <c r="AF12" s="3601">
        <f>+'COKE OVENS'!AC62</f>
        <v>0</v>
      </c>
      <c r="AG12" s="3601">
        <f>+'COKE OVENS'!AD62</f>
        <v>0</v>
      </c>
      <c r="AH12" s="3602">
        <f>+'COKE OVENS'!AE62</f>
        <v>0</v>
      </c>
      <c r="AI12" s="3602">
        <f>+'COKE OVENS'!AF62</f>
        <v>0</v>
      </c>
      <c r="AJ12" s="3601">
        <f>+'COKE OVENS'!AG62</f>
        <v>0</v>
      </c>
      <c r="AK12" s="3601">
        <f>+'COKE OVENS'!AH62</f>
        <v>0</v>
      </c>
      <c r="AL12" s="3602">
        <f>+'COKE OVENS'!AI62</f>
        <v>0</v>
      </c>
      <c r="AM12" s="3602">
        <f>+'COKE OVENS'!AJ62</f>
        <v>0</v>
      </c>
      <c r="AN12" s="3601">
        <f>+'COKE OVENS'!AK62</f>
        <v>0</v>
      </c>
      <c r="AO12" s="3601">
        <f>+'COKE OVENS'!AL62</f>
        <v>0</v>
      </c>
      <c r="AP12" s="3604">
        <f>+'COKE OVENS'!AM62</f>
        <v>0</v>
      </c>
      <c r="AQ12" s="3604">
        <f>+'COKE OVENS'!AN62</f>
        <v>0</v>
      </c>
      <c r="AR12" s="3602">
        <f>+'COKE OVENS'!AO62</f>
        <v>0</v>
      </c>
      <c r="AS12" s="3602">
        <f>+'COKE OVENS'!AP62</f>
        <v>0</v>
      </c>
      <c r="AT12" s="3601">
        <f>+'COKE OVENS'!AQ62</f>
        <v>0</v>
      </c>
      <c r="AU12" s="3601">
        <f>+'COKE OVENS'!AR62</f>
        <v>0</v>
      </c>
      <c r="AV12" s="3602">
        <f>+'COKE OVENS'!AS62</f>
        <v>0</v>
      </c>
      <c r="AW12" s="3602">
        <f>+'COKE OVENS'!AT62</f>
        <v>0</v>
      </c>
      <c r="AX12" s="3601">
        <f>+'COKE OVENS'!AU62</f>
        <v>0</v>
      </c>
      <c r="AY12" s="3601">
        <f>+'COKE OVENS'!AV62</f>
        <v>0</v>
      </c>
      <c r="AZ12" s="3602">
        <f>+'COKE OVENS'!AW62</f>
        <v>0</v>
      </c>
      <c r="BA12" s="3602">
        <f>+'COKE OVENS'!AX62</f>
        <v>0</v>
      </c>
      <c r="BB12" s="3601">
        <f>+'COKE OVENS'!AY62</f>
        <v>0</v>
      </c>
      <c r="BC12" s="3601">
        <f>+'COKE OVENS'!AZ62</f>
        <v>0</v>
      </c>
      <c r="BD12" s="3605">
        <f>+'COKE OVENS'!BA62</f>
        <v>0</v>
      </c>
      <c r="BE12" s="3605">
        <f>+'COKE OVENS'!BB62</f>
        <v>0</v>
      </c>
      <c r="BF12" s="3606">
        <f>+'COKE OVENS'!BC62</f>
        <v>0</v>
      </c>
      <c r="BG12" s="3607">
        <f>+'COKE OVENS'!BD62</f>
        <v>0</v>
      </c>
      <c r="BH12" s="3602">
        <f>+'COKE OVENS'!BE62</f>
        <v>0</v>
      </c>
      <c r="BI12" s="3142">
        <f>+'COKE OVENS'!BF62</f>
        <v>0</v>
      </c>
    </row>
    <row r="13" spans="3:62" x14ac:dyDescent="0.25">
      <c r="C13" s="5998"/>
      <c r="D13" s="3608"/>
      <c r="L13" s="3609"/>
      <c r="M13" s="3609"/>
      <c r="R13" s="4"/>
      <c r="AE13" s="3610"/>
      <c r="BG13" s="3610"/>
      <c r="BI13" s="3610"/>
    </row>
    <row r="14" spans="3:62" x14ac:dyDescent="0.25">
      <c r="C14" s="5998"/>
      <c r="D14" s="3611" t="s">
        <v>1042</v>
      </c>
      <c r="L14" s="3609"/>
      <c r="M14" s="3609"/>
      <c r="R14" s="4"/>
      <c r="AE14" s="3610"/>
      <c r="BG14" s="3610"/>
      <c r="BI14" s="3610"/>
    </row>
    <row r="15" spans="3:62" x14ac:dyDescent="0.25">
      <c r="C15" s="5998"/>
      <c r="D15" s="3612" t="s">
        <v>1415</v>
      </c>
      <c r="E15" s="3589" t="s">
        <v>49</v>
      </c>
      <c r="F15" s="3613">
        <v>23.078854449800236</v>
      </c>
      <c r="G15" s="3614">
        <v>25</v>
      </c>
      <c r="H15" s="3585">
        <f>+$G$15</f>
        <v>25</v>
      </c>
      <c r="I15" s="3161">
        <f>+'COKE OVENS'!F148</f>
        <v>25.999956452631356</v>
      </c>
      <c r="J15" s="3585">
        <f>+$G$15</f>
        <v>25</v>
      </c>
      <c r="K15" s="3161">
        <f>+'COKE OVENS'!H148</f>
        <v>26.000017485115794</v>
      </c>
      <c r="L15" s="3586">
        <f>+$G$15</f>
        <v>25</v>
      </c>
      <c r="M15" s="3141">
        <f>+'COKE OVENS'!J148</f>
        <v>25.999987533825632</v>
      </c>
      <c r="N15" s="3585">
        <f>+$G$15</f>
        <v>25</v>
      </c>
      <c r="O15" s="3161">
        <f>+'COKE OVENS'!L148</f>
        <v>26</v>
      </c>
      <c r="P15" s="3594">
        <f>+$G$15</f>
        <v>25</v>
      </c>
      <c r="Q15" s="3595">
        <f>+'COKE OVENS'!N148</f>
        <v>25.99999160539102</v>
      </c>
      <c r="R15" s="3585">
        <f>+$G$15</f>
        <v>25</v>
      </c>
      <c r="S15" s="3161">
        <f>+'COKE OVENS'!P148</f>
        <v>25.999997039999883</v>
      </c>
      <c r="T15" s="3586">
        <f>+$G$15</f>
        <v>25</v>
      </c>
      <c r="U15" s="3141">
        <f>+'COKE OVENS'!R148</f>
        <v>25.999992969808378</v>
      </c>
      <c r="V15" s="3585">
        <f>+$G$15</f>
        <v>25</v>
      </c>
      <c r="W15" s="3161">
        <f>+'COKE OVENS'!T148</f>
        <v>24.999999999999996</v>
      </c>
      <c r="X15" s="3586">
        <f>+$G$15</f>
        <v>25</v>
      </c>
      <c r="Y15" s="3141">
        <f>+'COKE OVENS'!V148</f>
        <v>25.795001230137661</v>
      </c>
      <c r="Z15" s="3585">
        <f>+$G$15</f>
        <v>25</v>
      </c>
      <c r="AA15" s="3161">
        <f>+'COKE OVENS'!X148</f>
        <v>24.999722498973249</v>
      </c>
      <c r="AB15" s="3594">
        <f>+$G$15</f>
        <v>25</v>
      </c>
      <c r="AC15" s="3594">
        <f>+'COKE OVENS'!Z148</f>
        <v>25.330928705796545</v>
      </c>
      <c r="AD15" s="3597">
        <f>+$G$15</f>
        <v>25</v>
      </c>
      <c r="AE15" s="3598">
        <f>+'COKE OVENS'!AB148</f>
        <v>25.663350803916462</v>
      </c>
      <c r="AF15" s="3585">
        <f>+$G$15</f>
        <v>25</v>
      </c>
      <c r="AG15" s="3161">
        <f>+'COKE OVENS'!AD148</f>
        <v>25.967825702663553</v>
      </c>
      <c r="AH15" s="3586">
        <f>+$G$15</f>
        <v>25</v>
      </c>
      <c r="AI15" s="3586">
        <f>+'COKE OVENS'!AF148</f>
        <v>25.707262098995638</v>
      </c>
      <c r="AJ15" s="3585">
        <f>+$G$15</f>
        <v>25</v>
      </c>
      <c r="AK15" s="3161">
        <f>+'COKE OVENS'!AH148</f>
        <v>26</v>
      </c>
      <c r="AL15" s="3586">
        <f>+$G$15</f>
        <v>25</v>
      </c>
      <c r="AM15" s="3586">
        <f>+'COKE OVENS'!AJ148</f>
        <v>25.742358391838039</v>
      </c>
      <c r="AN15" s="3585">
        <f>+$G$15</f>
        <v>25</v>
      </c>
      <c r="AO15" s="3161">
        <f>+'COKE OVENS'!AL148</f>
        <v>26</v>
      </c>
      <c r="AP15" s="3594">
        <f>+$G$15</f>
        <v>25</v>
      </c>
      <c r="AQ15" s="3594">
        <f>+'COKE OVENS'!AN148</f>
        <v>25.988978199873642</v>
      </c>
      <c r="AR15" s="3586">
        <f>+$G$15</f>
        <v>25</v>
      </c>
      <c r="AS15" s="3586">
        <f>+'COKE OVENS'!AP148</f>
        <v>25.770721640759515</v>
      </c>
      <c r="AT15" s="3585">
        <f>+$G$15</f>
        <v>25</v>
      </c>
      <c r="AU15" s="3161">
        <f>+'COKE OVENS'!AR148</f>
        <v>25.999999999999996</v>
      </c>
      <c r="AV15" s="3586">
        <f>+$G$15</f>
        <v>25</v>
      </c>
      <c r="AW15" s="3586">
        <f>+'COKE OVENS'!AT148</f>
        <v>25.793620670140893</v>
      </c>
      <c r="AX15" s="3585">
        <f>+$G$15</f>
        <v>25</v>
      </c>
      <c r="AY15" s="3161">
        <f>+'COKE OVENS'!AV148</f>
        <v>26.000000000000007</v>
      </c>
      <c r="AZ15" s="3586">
        <f>+$G$15</f>
        <v>25</v>
      </c>
      <c r="BA15" s="3586">
        <f>+'COKE OVENS'!AX148</f>
        <v>25.810629716286865</v>
      </c>
      <c r="BB15" s="3585">
        <f>+$G$15</f>
        <v>25</v>
      </c>
      <c r="BC15" s="3161">
        <f>+'COKE OVENS'!AZ148</f>
        <v>26.000118429348184</v>
      </c>
      <c r="BD15" s="3596">
        <f>+'COKE OVENS'!BA148</f>
        <v>25.021997360316767</v>
      </c>
      <c r="BE15" s="3596">
        <f>+'COKE OVENS'!BB148</f>
        <v>26.000041729106915</v>
      </c>
      <c r="BF15" s="3597">
        <f>+'COKE OVENS'!BC148</f>
        <v>25.02199736031676</v>
      </c>
      <c r="BG15" s="3598">
        <f>+'COKE OVENS'!BD148</f>
        <v>25.994473320681504</v>
      </c>
      <c r="BH15" s="3586">
        <f>+'COKE OVENS'!BE148</f>
        <v>25.02199736031676</v>
      </c>
      <c r="BI15" s="3141">
        <f>+'COKE OVENS'!BF148</f>
        <v>25.827021611331208</v>
      </c>
    </row>
    <row r="16" spans="3:62" x14ac:dyDescent="0.25">
      <c r="C16" s="5998"/>
      <c r="D16" s="3612" t="s">
        <v>1416</v>
      </c>
      <c r="E16" s="3589" t="s">
        <v>221</v>
      </c>
      <c r="F16" s="3291"/>
      <c r="G16" s="3600">
        <v>18.960953126358817</v>
      </c>
      <c r="H16" s="3601">
        <f>+'COKE OVENS'!E60</f>
        <v>19.102040816326529</v>
      </c>
      <c r="I16" s="3601">
        <f>+'COKE OVENS'!F60</f>
        <v>19.066666666666666</v>
      </c>
      <c r="J16" s="3601">
        <f>+'COKE OVENS'!G60</f>
        <v>19.102040816326529</v>
      </c>
      <c r="K16" s="3601">
        <f>+'COKE OVENS'!H60</f>
        <v>19.016666666666666</v>
      </c>
      <c r="L16" s="3602">
        <f>+'COKE OVENS'!I60</f>
        <v>19.102040816326532</v>
      </c>
      <c r="M16" s="3602">
        <f>+'COKE OVENS'!J60</f>
        <v>19.04120385953102</v>
      </c>
      <c r="N16" s="3601">
        <f>+'COKE OVENS'!K60</f>
        <v>18.893617021276597</v>
      </c>
      <c r="O16" s="3601">
        <f>+'COKE OVENS'!L60</f>
        <v>18.866666666666667</v>
      </c>
      <c r="P16" s="3603">
        <f>+'COKE OVENS'!M60</f>
        <v>19.035235280745624</v>
      </c>
      <c r="Q16" s="3603">
        <f>+'COKE OVENS'!N60</f>
        <v>18.984198398307644</v>
      </c>
      <c r="R16" s="3601">
        <f>+'COKE OVENS'!O60</f>
        <v>18.893617021276597</v>
      </c>
      <c r="S16" s="3601">
        <f>+'COKE OVENS'!P60</f>
        <v>18.616666666666667</v>
      </c>
      <c r="T16" s="3602">
        <f>+'COKE OVENS'!Q60</f>
        <v>19</v>
      </c>
      <c r="U16" s="3602">
        <f>+'COKE OVENS'!R60</f>
        <v>18.891925536128557</v>
      </c>
      <c r="V16" s="3601">
        <f>+'COKE OVENS'!S60</f>
        <v>18.893617021276597</v>
      </c>
      <c r="W16" s="3601">
        <f>+'COKE OVENS'!T60</f>
        <v>18.883333333333333</v>
      </c>
      <c r="X16" s="3602">
        <f>+'COKE OVENS'!U60</f>
        <v>18.978804868043209</v>
      </c>
      <c r="Y16" s="3602">
        <f>+'COKE OVENS'!V60</f>
        <v>18.890164192532609</v>
      </c>
      <c r="Z16" s="3601">
        <f>+'COKE OVENS'!W60</f>
        <v>19.283387622149839</v>
      </c>
      <c r="AA16" s="3601">
        <f>+'COKE OVENS'!X60</f>
        <v>19</v>
      </c>
      <c r="AB16" s="3594">
        <f>+'COKE OVENS'!Y60</f>
        <v>19.018973344197416</v>
      </c>
      <c r="AC16" s="3594">
        <f>+'COKE OVENS'!Z60</f>
        <v>18.833445240226801</v>
      </c>
      <c r="AD16" s="3597">
        <f>+'COKE OVENS'!AA60</f>
        <v>19.0272011041463</v>
      </c>
      <c r="AE16" s="3598">
        <f>+'COKE OVENS'!AB60</f>
        <v>18.908346471471475</v>
      </c>
      <c r="AF16" s="3601">
        <f>+'COKE OVENS'!AC60</f>
        <v>18.893617021276597</v>
      </c>
      <c r="AG16" s="3592">
        <f>+'COKE OVENS'!AD60</f>
        <v>19.3</v>
      </c>
      <c r="AH16" s="3586">
        <f>+'COKE OVENS'!AE60</f>
        <v>19.008028370191596</v>
      </c>
      <c r="AI16" s="3586">
        <f>+'COKE OVENS'!AF60</f>
        <v>18.964830787516668</v>
      </c>
      <c r="AJ16" s="3601">
        <f>+'COKE OVENS'!AG60</f>
        <v>18.893617021276597</v>
      </c>
      <c r="AK16" s="3592">
        <f>+'COKE OVENS'!AH60</f>
        <v>18.7</v>
      </c>
      <c r="AL16" s="3586">
        <f>+'COKE OVENS'!AI60</f>
        <v>18.99407516325736</v>
      </c>
      <c r="AM16" s="3586">
        <f>+'COKE OVENS'!AJ60</f>
        <v>18.933080294034497</v>
      </c>
      <c r="AN16" s="3601">
        <f>+'COKE OVENS'!AK60</f>
        <v>18.893617021276597</v>
      </c>
      <c r="AO16" s="3592">
        <f>+'COKE OVENS'!AL60</f>
        <v>19.05</v>
      </c>
      <c r="AP16" s="3594">
        <f>+'COKE OVENS'!AM60</f>
        <v>18.893617021276601</v>
      </c>
      <c r="AQ16" s="3594">
        <f>+'COKE OVENS'!AN60</f>
        <v>19.022393270001142</v>
      </c>
      <c r="AR16" s="3586">
        <f>+'COKE OVENS'!AO60</f>
        <v>18.98283212351653</v>
      </c>
      <c r="AS16" s="3586">
        <f>+'COKE OVENS'!AP60</f>
        <v>18.945951742964617</v>
      </c>
      <c r="AT16" s="3601">
        <f>+'COKE OVENS'!AQ60</f>
        <v>18.893617021276597</v>
      </c>
      <c r="AU16" s="3592">
        <f>+'COKE OVENS'!AR60</f>
        <v>19.05</v>
      </c>
      <c r="AV16" s="3586">
        <f>+'COKE OVENS'!AS60</f>
        <v>18.973852371247968</v>
      </c>
      <c r="AW16" s="3586">
        <f>+'COKE OVENS'!AT60</f>
        <v>18.956343490618391</v>
      </c>
      <c r="AX16" s="3601">
        <f>+'COKE OVENS'!AU60</f>
        <v>18.893617021276597</v>
      </c>
      <c r="AY16" s="3592">
        <f>+'COKE OVENS'!AV60</f>
        <v>18.916666666666668</v>
      </c>
      <c r="AZ16" s="3586">
        <f>+'COKE OVENS'!AW60</f>
        <v>18.967165880378683</v>
      </c>
      <c r="BA16" s="3586">
        <f>+'COKE OVENS'!AX60</f>
        <v>18.953073470278365</v>
      </c>
      <c r="BB16" s="3601">
        <f>+'COKE OVENS'!AY60</f>
        <v>18.893617021276597</v>
      </c>
      <c r="BC16" s="3592">
        <f>+'COKE OVENS'!AZ60</f>
        <v>19.05</v>
      </c>
      <c r="BD16" s="3596">
        <f>+'COKE OVENS'!BA60</f>
        <v>18.893617021276601</v>
      </c>
      <c r="BE16" s="3596">
        <f>+'COKE OVENS'!BB60</f>
        <v>19.009112348256402</v>
      </c>
      <c r="BF16" s="3597">
        <f>+'COKE OVENS'!BC60</f>
        <v>18.893617021276601</v>
      </c>
      <c r="BG16" s="3598">
        <f>+'COKE OVENS'!BD60</f>
        <v>19.015796800890989</v>
      </c>
      <c r="BH16" s="3586">
        <f>+'COKE OVENS'!BE60</f>
        <v>18.960953126358813</v>
      </c>
      <c r="BI16" s="3141">
        <f>+'COKE OVENS'!BF60</f>
        <v>18.961458185028054</v>
      </c>
      <c r="BJ16" s="4920"/>
    </row>
    <row r="17" spans="3:62" x14ac:dyDescent="0.25">
      <c r="C17" s="5998"/>
      <c r="D17" s="3612" t="s">
        <v>1043</v>
      </c>
      <c r="E17" s="3589" t="s">
        <v>49</v>
      </c>
      <c r="F17" s="3590">
        <v>84.340172124348669</v>
      </c>
      <c r="G17" s="3600" t="str">
        <f>+[1]CO!O159</f>
        <v>85.0-86.5</v>
      </c>
      <c r="H17" s="3592" t="s">
        <v>1976</v>
      </c>
      <c r="I17" s="3593">
        <f>+'COKE OVENS'!F158</f>
        <v>86.12</v>
      </c>
      <c r="J17" s="3592" t="s">
        <v>1976</v>
      </c>
      <c r="K17" s="3593">
        <f>+'COKE OVENS'!H158</f>
        <v>86.48</v>
      </c>
      <c r="L17" s="3586" t="s">
        <v>1976</v>
      </c>
      <c r="M17" s="3141">
        <f>+'COKE OVENS'!J158</f>
        <v>86.303332211376642</v>
      </c>
      <c r="N17" s="3592" t="s">
        <v>1976</v>
      </c>
      <c r="O17" s="3593">
        <f>+'COKE OVENS'!L158</f>
        <v>86.8</v>
      </c>
      <c r="P17" s="3594" t="str">
        <f>+'COKE OVENS'!M158</f>
        <v>85.0-86.5</v>
      </c>
      <c r="Q17" s="3595">
        <f>+'COKE OVENS'!N158</f>
        <v>86.465548504079777</v>
      </c>
      <c r="R17" s="3592" t="s">
        <v>1976</v>
      </c>
      <c r="S17" s="3593">
        <f>+'COKE OVENS'!P158</f>
        <v>86.6</v>
      </c>
      <c r="T17" s="3586" t="str">
        <f>+'COKE OVENS'!Q158</f>
        <v>85.0-86.5</v>
      </c>
      <c r="U17" s="3141">
        <f>+'COKE OVENS'!R158</f>
        <v>86.499304023086054</v>
      </c>
      <c r="V17" s="3592" t="s">
        <v>1976</v>
      </c>
      <c r="W17" s="3593">
        <f>+'COKE OVENS'!T158</f>
        <v>86.4</v>
      </c>
      <c r="X17" s="3586" t="str">
        <f>+'COKE OVENS'!U158</f>
        <v>85.0-86.5</v>
      </c>
      <c r="Y17" s="3141">
        <f>+'COKE OVENS'!V158</f>
        <v>86.478947368421046</v>
      </c>
      <c r="Z17" s="3592" t="s">
        <v>1976</v>
      </c>
      <c r="AA17" s="3593">
        <f>+'COKE OVENS'!X158</f>
        <v>86.2</v>
      </c>
      <c r="AB17" s="3594" t="str">
        <f>+'COKE OVENS'!Y158</f>
        <v>85.0-86.5</v>
      </c>
      <c r="AC17" s="3594">
        <f>+'COKE OVENS'!Z158</f>
        <v>86.400402864816485</v>
      </c>
      <c r="AD17" s="3597" t="str">
        <f>+'COKE OVENS'!AA158</f>
        <v>85.0-86.5</v>
      </c>
      <c r="AE17" s="3598">
        <f>+'COKE OVENS'!AB158</f>
        <v>86.432770270270268</v>
      </c>
      <c r="AF17" s="3592" t="s">
        <v>1976</v>
      </c>
      <c r="AG17" s="3593">
        <f>+'COKE OVENS'!AD158</f>
        <v>86.2</v>
      </c>
      <c r="AH17" s="3586" t="str">
        <f>+'COKE OVENS'!AE158</f>
        <v>85.0-86.5</v>
      </c>
      <c r="AI17" s="3141">
        <f>+'COKE OVENS'!AF158</f>
        <v>86.399323314635552</v>
      </c>
      <c r="AJ17" s="3592" t="s">
        <v>1976</v>
      </c>
      <c r="AK17" s="3593">
        <f>+'COKE OVENS'!AH158</f>
        <v>86.3</v>
      </c>
      <c r="AL17" s="3586" t="str">
        <f>+'COKE OVENS'!AI158</f>
        <v>85.0-86.5</v>
      </c>
      <c r="AM17" s="3141">
        <f>+'COKE OVENS'!AJ158</f>
        <v>86.387483945469256</v>
      </c>
      <c r="AN17" s="3592" t="s">
        <v>1976</v>
      </c>
      <c r="AO17" s="3593">
        <f>+'COKE OVENS'!AL158</f>
        <v>86.3</v>
      </c>
      <c r="AP17" s="3594" t="str">
        <f>+'COKE OVENS'!AM158</f>
        <v>85.0-86.5</v>
      </c>
      <c r="AQ17" s="3594">
        <f>+'COKE OVENS'!AN158</f>
        <v>86.265678644059307</v>
      </c>
      <c r="AR17" s="3586" t="str">
        <f>+'COKE OVENS'!AO158</f>
        <v>85.0-86.5</v>
      </c>
      <c r="AS17" s="3141">
        <f>+'COKE OVENS'!AP158</f>
        <v>86.377902336122659</v>
      </c>
      <c r="AT17" s="3592" t="s">
        <v>1976</v>
      </c>
      <c r="AU17" s="3593">
        <f>+'COKE OVENS'!AR158</f>
        <v>86.5</v>
      </c>
      <c r="AV17" s="3586" t="str">
        <f>+'COKE OVENS'!AS158</f>
        <v>85.0-86.5</v>
      </c>
      <c r="AW17" s="3141">
        <f>+'COKE OVENS'!AT158</f>
        <v>86.39004051913102</v>
      </c>
      <c r="AX17" s="3592" t="s">
        <v>1976</v>
      </c>
      <c r="AY17" s="3593">
        <f>+'COKE OVENS'!AV158</f>
        <v>86.5</v>
      </c>
      <c r="AZ17" s="3586" t="str">
        <f>+'COKE OVENS'!AW158</f>
        <v>85.0-86.5</v>
      </c>
      <c r="BA17" s="3141">
        <f>+'COKE OVENS'!AX158</f>
        <v>86.399064618630959</v>
      </c>
      <c r="BB17" s="3592" t="s">
        <v>1976</v>
      </c>
      <c r="BC17" s="3593">
        <f>+'COKE OVENS'!AZ158</f>
        <v>86.9</v>
      </c>
      <c r="BD17" s="3596" t="str">
        <f>+'COKE OVENS'!BA158</f>
        <v>85.0-86.5</v>
      </c>
      <c r="BE17" s="3596">
        <f>+'COKE OVENS'!BB158</f>
        <v>86.640941776849914</v>
      </c>
      <c r="BF17" s="3597" t="str">
        <f>+'COKE OVENS'!BC158</f>
        <v>85.0-86.5</v>
      </c>
      <c r="BG17" s="3598">
        <f>+'COKE OVENS'!BD158</f>
        <v>86.451974753968159</v>
      </c>
      <c r="BH17" s="3586" t="str">
        <f>+'COKE OVENS'!BE158</f>
        <v>85.0-86.5</v>
      </c>
      <c r="BI17" s="3141">
        <f>+'COKE OVENS'!BF158</f>
        <v>86.442230840937768</v>
      </c>
    </row>
    <row r="18" spans="3:62" x14ac:dyDescent="0.25">
      <c r="C18" s="5998"/>
      <c r="D18" s="3612" t="s">
        <v>205</v>
      </c>
      <c r="E18" s="3589" t="s">
        <v>49</v>
      </c>
      <c r="F18" s="3590">
        <v>7.9983421553617724</v>
      </c>
      <c r="G18" s="3591" t="s">
        <v>1977</v>
      </c>
      <c r="H18" s="3592" t="s">
        <v>1977</v>
      </c>
      <c r="I18" s="3593">
        <f>+'COKE OVENS'!F159</f>
        <v>7.74</v>
      </c>
      <c r="J18" s="3592" t="s">
        <v>1977</v>
      </c>
      <c r="K18" s="3593">
        <f>+'COKE OVENS'!H159</f>
        <v>7.64</v>
      </c>
      <c r="L18" s="3586" t="s">
        <v>1977</v>
      </c>
      <c r="M18" s="3141">
        <f>+'COKE OVENS'!J159</f>
        <v>7.68907438572871</v>
      </c>
      <c r="N18" s="3592" t="s">
        <v>1977</v>
      </c>
      <c r="O18" s="3593">
        <f>+'COKE OVENS'!L159</f>
        <v>7.7</v>
      </c>
      <c r="P18" s="3594" t="str">
        <f>+'COKE OVENS'!M159</f>
        <v>7.5-8.0</v>
      </c>
      <c r="Q18" s="3595">
        <f>+'COKE OVENS'!N159</f>
        <v>7.6926427923844054</v>
      </c>
      <c r="R18" s="3592" t="s">
        <v>1977</v>
      </c>
      <c r="S18" s="3593">
        <f>+'COKE OVENS'!P159</f>
        <v>7.8</v>
      </c>
      <c r="T18" s="3586" t="str">
        <f>+'COKE OVENS'!Q159</f>
        <v>7.5-8.0</v>
      </c>
      <c r="U18" s="3141">
        <f>+'COKE OVENS'!R159</f>
        <v>7.7195959938889835</v>
      </c>
      <c r="V18" s="3592" t="s">
        <v>1977</v>
      </c>
      <c r="W18" s="3593">
        <f>+'COKE OVENS'!T159</f>
        <v>7.9</v>
      </c>
      <c r="X18" s="3586" t="str">
        <f>+'COKE OVENS'!U159</f>
        <v>7.5-8.0</v>
      </c>
      <c r="Y18" s="3141">
        <f>+'COKE OVENS'!V159</f>
        <v>7.7565775978407565</v>
      </c>
      <c r="Z18" s="3592" t="s">
        <v>1977</v>
      </c>
      <c r="AA18" s="3593">
        <f>+'COKE OVENS'!X159</f>
        <v>7.9</v>
      </c>
      <c r="AB18" s="3594" t="str">
        <f>+'COKE OVENS'!Y159</f>
        <v>7.5-8.0</v>
      </c>
      <c r="AC18" s="3594">
        <f>+'COKE OVENS'!Z159</f>
        <v>7.8668979409131605</v>
      </c>
      <c r="AD18" s="3597" t="str">
        <f>+'COKE OVENS'!AA159</f>
        <v>7.5-8.0</v>
      </c>
      <c r="AE18" s="3598">
        <f>+'COKE OVENS'!AB159</f>
        <v>7.7803198198198196</v>
      </c>
      <c r="AF18" s="3592" t="s">
        <v>1977</v>
      </c>
      <c r="AG18" s="3593">
        <f>+'COKE OVENS'!AD159</f>
        <v>7.8</v>
      </c>
      <c r="AH18" s="3586" t="str">
        <f>+'COKE OVENS'!AE159</f>
        <v>7.5-8.0</v>
      </c>
      <c r="AI18" s="3141">
        <f>+'COKE OVENS'!AF159</f>
        <v>7.7831476814389404</v>
      </c>
      <c r="AJ18" s="3592" t="s">
        <v>1977</v>
      </c>
      <c r="AK18" s="3593">
        <f>+'COKE OVENS'!AH159</f>
        <v>7.8</v>
      </c>
      <c r="AL18" s="3586" t="str">
        <f>+'COKE OVENS'!AI159</f>
        <v>7.5-8.0</v>
      </c>
      <c r="AM18" s="3141">
        <f>+'COKE OVENS'!AJ159</f>
        <v>7.7851564829120337</v>
      </c>
      <c r="AN18" s="3592" t="s">
        <v>1977</v>
      </c>
      <c r="AO18" s="3593">
        <f>+'COKE OVENS'!AL159</f>
        <v>7.7</v>
      </c>
      <c r="AP18" s="3594" t="str">
        <f>+'COKE OVENS'!AM159</f>
        <v>7.5-8.0</v>
      </c>
      <c r="AQ18" s="3594">
        <f>+'COKE OVENS'!AN159</f>
        <v>7.766646134275585</v>
      </c>
      <c r="AR18" s="3586" t="str">
        <f>+'COKE OVENS'!AO159</f>
        <v>7.5-8.0</v>
      </c>
      <c r="AS18" s="3141">
        <f>+'COKE OVENS'!AP159</f>
        <v>7.7758297870455335</v>
      </c>
      <c r="AT18" s="3592" t="s">
        <v>1977</v>
      </c>
      <c r="AU18" s="3593">
        <f>+'COKE OVENS'!AR159</f>
        <v>7.7</v>
      </c>
      <c r="AV18" s="3586" t="str">
        <f>+'COKE OVENS'!AS159</f>
        <v>7.5-8.0</v>
      </c>
      <c r="AW18" s="3141">
        <f>+'COKE OVENS'!AT159</f>
        <v>7.7682912658043026</v>
      </c>
      <c r="AX18" s="3592" t="s">
        <v>1977</v>
      </c>
      <c r="AY18" s="3593">
        <f>+'COKE OVENS'!AV159</f>
        <v>7.6</v>
      </c>
      <c r="AZ18" s="3586" t="str">
        <f>+'COKE OVENS'!AW159</f>
        <v>7.5-8.0</v>
      </c>
      <c r="BA18" s="3141">
        <f>+'COKE OVENS'!AX159</f>
        <v>7.7544800226483037</v>
      </c>
      <c r="BB18" s="3592" t="s">
        <v>1977</v>
      </c>
      <c r="BC18" s="3593">
        <f>+'COKE OVENS'!AZ159</f>
        <v>7.5</v>
      </c>
      <c r="BD18" s="3596" t="str">
        <f>+'COKE OVENS'!BA159</f>
        <v>7.5-8.0</v>
      </c>
      <c r="BE18" s="3596">
        <f>+'COKE OVENS'!BB159</f>
        <v>7.5988633727673385</v>
      </c>
      <c r="BF18" s="3597" t="str">
        <f>+'COKE OVENS'!BC159</f>
        <v>7.5-8.0</v>
      </c>
      <c r="BG18" s="3598">
        <f>+'COKE OVENS'!BD159</f>
        <v>7.6833518454220293</v>
      </c>
      <c r="BH18" s="3586" t="str">
        <f>+'COKE OVENS'!BE159</f>
        <v>7.5-8.0</v>
      </c>
      <c r="BI18" s="3141">
        <f>+'COKE OVENS'!BF159</f>
        <v>7.7325511638796245</v>
      </c>
    </row>
    <row r="19" spans="3:62" x14ac:dyDescent="0.25">
      <c r="C19" s="5998"/>
      <c r="D19" s="3612" t="s">
        <v>1044</v>
      </c>
      <c r="E19" s="3589" t="s">
        <v>49</v>
      </c>
      <c r="F19" s="3590">
        <v>64.448248492385474</v>
      </c>
      <c r="G19" s="3591" t="s">
        <v>1978</v>
      </c>
      <c r="H19" s="3592" t="s">
        <v>1978</v>
      </c>
      <c r="I19" s="3593">
        <f>+'COKE OVENS'!F160</f>
        <v>65.14</v>
      </c>
      <c r="J19" s="3592" t="s">
        <v>1978</v>
      </c>
      <c r="K19" s="3593">
        <f>+'COKE OVENS'!H160</f>
        <v>65.19</v>
      </c>
      <c r="L19" s="3586" t="s">
        <v>1978</v>
      </c>
      <c r="M19" s="3141">
        <f>+'COKE OVENS'!J160</f>
        <v>65.165462807135626</v>
      </c>
      <c r="N19" s="3592" t="s">
        <v>1978</v>
      </c>
      <c r="O19" s="3593">
        <f>+'COKE OVENS'!L160</f>
        <v>65.099999999999994</v>
      </c>
      <c r="P19" s="3594" t="str">
        <f>+'COKE OVENS'!M160</f>
        <v>64.0-65.5</v>
      </c>
      <c r="Q19" s="3595">
        <f>+'COKE OVENS'!N160</f>
        <v>65.144082048957372</v>
      </c>
      <c r="R19" s="3592" t="s">
        <v>1978</v>
      </c>
      <c r="S19" s="3593">
        <f>+'COKE OVENS'!P160</f>
        <v>65.7</v>
      </c>
      <c r="T19" s="3586" t="str">
        <f>+'COKE OVENS'!Q160</f>
        <v>64.0-65.5</v>
      </c>
      <c r="U19" s="3141">
        <f>+'COKE OVENS'!R160</f>
        <v>65.283651332541154</v>
      </c>
      <c r="V19" s="3592" t="s">
        <v>1978</v>
      </c>
      <c r="W19" s="3593">
        <f>+'COKE OVENS'!T160</f>
        <v>65.5</v>
      </c>
      <c r="X19" s="3586" t="str">
        <f>+'COKE OVENS'!U160</f>
        <v>64.0-65.5</v>
      </c>
      <c r="Y19" s="3141">
        <f>+'COKE OVENS'!V160</f>
        <v>65.328001349527653</v>
      </c>
      <c r="Z19" s="3592" t="s">
        <v>1978</v>
      </c>
      <c r="AA19" s="3593">
        <f>+'COKE OVENS'!X160</f>
        <v>65.7</v>
      </c>
      <c r="AB19" s="3594" t="str">
        <f>+'COKE OVENS'!Y160</f>
        <v>64.0-65.5</v>
      </c>
      <c r="AC19" s="3594">
        <f>+'COKE OVENS'!Z160</f>
        <v>65.63200537153088</v>
      </c>
      <c r="AD19" s="3597" t="str">
        <f>+'COKE OVENS'!AA160</f>
        <v>64.0-65.5</v>
      </c>
      <c r="AE19" s="3598">
        <f>+'COKE OVENS'!AB160</f>
        <v>65.389582207207198</v>
      </c>
      <c r="AF19" s="3592" t="s">
        <v>1978</v>
      </c>
      <c r="AG19" s="3593">
        <f>+'COKE OVENS'!AD160</f>
        <v>66</v>
      </c>
      <c r="AH19" s="3586" t="str">
        <f>+'COKE OVENS'!AE160</f>
        <v>64.0-65.5</v>
      </c>
      <c r="AI19" s="3141">
        <f>+'COKE OVENS'!AF160</f>
        <v>65.47729365253258</v>
      </c>
      <c r="AJ19" s="3592" t="s">
        <v>1978</v>
      </c>
      <c r="AK19" s="3593">
        <f>+'COKE OVENS'!AH160</f>
        <v>65.599999999999994</v>
      </c>
      <c r="AL19" s="3586" t="str">
        <f>+'COKE OVENS'!AI160</f>
        <v>64.0-65.5</v>
      </c>
      <c r="AM19" s="3141">
        <f>+'COKE OVENS'!AJ160</f>
        <v>65.491920286289684</v>
      </c>
      <c r="AN19" s="3592" t="s">
        <v>1978</v>
      </c>
      <c r="AO19" s="3593">
        <f>+'COKE OVENS'!AL160</f>
        <v>65</v>
      </c>
      <c r="AP19" s="3594" t="str">
        <f>+'COKE OVENS'!AM160</f>
        <v>64.0-65.5</v>
      </c>
      <c r="AQ19" s="3594">
        <f>+'COKE OVENS'!AN160</f>
        <v>65.537162229416225</v>
      </c>
      <c r="AR19" s="3586" t="str">
        <f>+'COKE OVENS'!AO160</f>
        <v>64.0-65.5</v>
      </c>
      <c r="AS19" s="3141">
        <f>+'COKE OVENS'!AP160</f>
        <v>65.438043109310399</v>
      </c>
      <c r="AT19" s="3592" t="s">
        <v>1978</v>
      </c>
      <c r="AU19" s="3593">
        <f>+'COKE OVENS'!AR160</f>
        <v>65.400000000000006</v>
      </c>
      <c r="AV19" s="3586" t="str">
        <f>+'COKE OVENS'!AS160</f>
        <v>64.0-65.5</v>
      </c>
      <c r="AW19" s="3141">
        <f>+'COKE OVENS'!AT160</f>
        <v>65.434261102281326</v>
      </c>
      <c r="AX19" s="3592" t="s">
        <v>1978</v>
      </c>
      <c r="AY19" s="3593">
        <f>+'COKE OVENS'!AV160</f>
        <v>65.400000000000006</v>
      </c>
      <c r="AZ19" s="3586" t="str">
        <f>+'COKE OVENS'!AW160</f>
        <v>64.0-65.5</v>
      </c>
      <c r="BA19" s="3141">
        <f>+'COKE OVENS'!AX160</f>
        <v>65.431449379331013</v>
      </c>
      <c r="BB19" s="3592" t="s">
        <v>1978</v>
      </c>
      <c r="BC19" s="3593">
        <f>+'COKE OVENS'!AZ160</f>
        <v>65.599999999999994</v>
      </c>
      <c r="BD19" s="3596" t="str">
        <f>+'COKE OVENS'!BA160</f>
        <v>64.0-65.5</v>
      </c>
      <c r="BE19" s="3596">
        <f>+'COKE OVENS'!BB160</f>
        <v>65.47047088842497</v>
      </c>
      <c r="BF19" s="3597" t="str">
        <f>+'COKE OVENS'!BC160</f>
        <v>64.0-65.5</v>
      </c>
      <c r="BG19" s="3598">
        <f>+'COKE OVENS'!BD160</f>
        <v>65.504053894742142</v>
      </c>
      <c r="BH19" s="3586" t="str">
        <f>+'COKE OVENS'!BE160</f>
        <v>64.0-65.5</v>
      </c>
      <c r="BI19" s="3141">
        <f>+'COKE OVENS'!BF160</f>
        <v>65.445973595092866</v>
      </c>
    </row>
    <row r="20" spans="3:62" x14ac:dyDescent="0.25">
      <c r="C20" s="5998"/>
      <c r="D20" s="3612" t="s">
        <v>1045</v>
      </c>
      <c r="E20" s="3589" t="s">
        <v>49</v>
      </c>
      <c r="F20" s="3590">
        <v>22.958247683476721</v>
      </c>
      <c r="G20" s="3591" t="s">
        <v>1979</v>
      </c>
      <c r="H20" s="3592" t="s">
        <v>1979</v>
      </c>
      <c r="I20" s="3593">
        <f>+'COKE OVENS'!F161</f>
        <v>23.41</v>
      </c>
      <c r="J20" s="3592" t="s">
        <v>1979</v>
      </c>
      <c r="K20" s="3593">
        <f>+'COKE OVENS'!H161</f>
        <v>23.19</v>
      </c>
      <c r="L20" s="3586" t="s">
        <v>1979</v>
      </c>
      <c r="M20" s="3141">
        <f>+'COKE OVENS'!J161</f>
        <v>23.297963648603162</v>
      </c>
      <c r="N20" s="3592" t="s">
        <v>1979</v>
      </c>
      <c r="O20" s="3593">
        <f>+'COKE OVENS'!L161</f>
        <v>23.8</v>
      </c>
      <c r="P20" s="3594" t="str">
        <f>+'COKE OVENS'!M161</f>
        <v>22.5-24.0</v>
      </c>
      <c r="Q20" s="3595">
        <f>+'COKE OVENS'!N161</f>
        <v>23.461933363553943</v>
      </c>
      <c r="R20" s="3592" t="s">
        <v>1979</v>
      </c>
      <c r="S20" s="3593">
        <f>+'COKE OVENS'!P161</f>
        <v>23.2</v>
      </c>
      <c r="T20" s="3586" t="str">
        <f>+'COKE OVENS'!Q161</f>
        <v>22.5-24.0</v>
      </c>
      <c r="U20" s="3141">
        <f>+'COKE OVENS'!R161</f>
        <v>23.396172126973347</v>
      </c>
      <c r="V20" s="3592" t="s">
        <v>1979</v>
      </c>
      <c r="W20" s="3593">
        <f>+'COKE OVENS'!T161</f>
        <v>22.8</v>
      </c>
      <c r="X20" s="3586" t="str">
        <f>+'COKE OVENS'!U161</f>
        <v>22.5-24.0</v>
      </c>
      <c r="Y20" s="3141">
        <f>+'COKE OVENS'!V161</f>
        <v>23.273960863697706</v>
      </c>
      <c r="Z20" s="3592" t="s">
        <v>1979</v>
      </c>
      <c r="AA20" s="3593">
        <f>+'COKE OVENS'!X161</f>
        <v>23.5</v>
      </c>
      <c r="AB20" s="3594" t="str">
        <f>+'COKE OVENS'!Y161</f>
        <v>22.5-24.0</v>
      </c>
      <c r="AC20" s="3594">
        <f>+'COKE OVENS'!Z161</f>
        <v>23.16271262309758</v>
      </c>
      <c r="AD20" s="3597" t="str">
        <f>+'COKE OVENS'!AA161</f>
        <v>22.5-24.0</v>
      </c>
      <c r="AE20" s="3598">
        <f>+'COKE OVENS'!AB161</f>
        <v>23.311379504504501</v>
      </c>
      <c r="AF20" s="3592" t="s">
        <v>1979</v>
      </c>
      <c r="AG20" s="3593">
        <f>+'COKE OVENS'!AD161</f>
        <v>23.3</v>
      </c>
      <c r="AH20" s="3586" t="str">
        <f>+'COKE OVENS'!AE161</f>
        <v>22.5-24.0</v>
      </c>
      <c r="AI20" s="3141">
        <f>+'COKE OVENS'!AF161</f>
        <v>23.30974437394481</v>
      </c>
      <c r="AJ20" s="3592" t="s">
        <v>1979</v>
      </c>
      <c r="AK20" s="3593">
        <f>+'COKE OVENS'!AH161</f>
        <v>23.6</v>
      </c>
      <c r="AL20" s="3586" t="str">
        <f>+'COKE OVENS'!AI161</f>
        <v>22.5-24.0</v>
      </c>
      <c r="AM20" s="3141">
        <f>+'COKE OVENS'!AJ161</f>
        <v>23.34434293242094</v>
      </c>
      <c r="AN20" s="3592" t="s">
        <v>1979</v>
      </c>
      <c r="AO20" s="3593">
        <f>+'COKE OVENS'!AL161</f>
        <v>23.5</v>
      </c>
      <c r="AP20" s="3594" t="str">
        <f>+'COKE OVENS'!AM161</f>
        <v>22.5-24.0</v>
      </c>
      <c r="AQ20" s="3594">
        <f>+'COKE OVENS'!AN161</f>
        <v>23.463682066453543</v>
      </c>
      <c r="AR20" s="3586" t="str">
        <f>+'COKE OVENS'!AO161</f>
        <v>22.5-24.0</v>
      </c>
      <c r="AS20" s="3141">
        <f>+'COKE OVENS'!AP161</f>
        <v>23.361391148588829</v>
      </c>
      <c r="AT20" s="3592" t="s">
        <v>1979</v>
      </c>
      <c r="AU20" s="3593">
        <f>+'COKE OVENS'!AR161</f>
        <v>23.5</v>
      </c>
      <c r="AV20" s="3586" t="str">
        <f>+'COKE OVENS'!AS161</f>
        <v>22.5-24.0</v>
      </c>
      <c r="AW20" s="3141">
        <f>+'COKE OVENS'!AT161</f>
        <v>23.375170770176823</v>
      </c>
      <c r="AX20" s="3592" t="s">
        <v>1979</v>
      </c>
      <c r="AY20" s="3593">
        <f>+'COKE OVENS'!AV161</f>
        <v>23.2</v>
      </c>
      <c r="AZ20" s="3586" t="str">
        <f>+'COKE OVENS'!AW161</f>
        <v>22.5-24.0</v>
      </c>
      <c r="BA20" s="3141">
        <f>+'COKE OVENS'!AX161</f>
        <v>23.360794943308012</v>
      </c>
      <c r="BB20" s="3592" t="s">
        <v>1979</v>
      </c>
      <c r="BC20" s="3593">
        <f>+'COKE OVENS'!AZ161</f>
        <v>23.1</v>
      </c>
      <c r="BD20" s="3596" t="str">
        <f>+'COKE OVENS'!BA161</f>
        <v>22.5-24.0</v>
      </c>
      <c r="BE20" s="3596">
        <f>+'COKE OVENS'!BB161</f>
        <v>23.26706100672698</v>
      </c>
      <c r="BF20" s="3597" t="str">
        <f>+'COKE OVENS'!BC161</f>
        <v>22.5-24.0</v>
      </c>
      <c r="BG20" s="3598">
        <f>+'COKE OVENS'!BD161</f>
        <v>23.366071255924886</v>
      </c>
      <c r="BH20" s="3586" t="str">
        <f>+'COKE OVENS'!BE161</f>
        <v>22.5-24.0</v>
      </c>
      <c r="BI20" s="3141">
        <f>+'COKE OVENS'!BF161</f>
        <v>23.338321920003978</v>
      </c>
    </row>
    <row r="21" spans="3:62" x14ac:dyDescent="0.25">
      <c r="C21" s="5998"/>
      <c r="D21" s="3611" t="s">
        <v>1046</v>
      </c>
      <c r="E21" s="3583"/>
      <c r="F21" s="3613"/>
      <c r="G21" s="3615"/>
      <c r="H21" s="3585"/>
      <c r="I21" s="3161"/>
      <c r="J21" s="3585"/>
      <c r="K21" s="3161"/>
      <c r="L21" s="3586"/>
      <c r="M21" s="3141"/>
      <c r="N21" s="3585"/>
      <c r="O21" s="3161"/>
      <c r="P21" s="3585"/>
      <c r="Q21" s="3161"/>
      <c r="R21" s="3585"/>
      <c r="S21" s="3161"/>
      <c r="T21" s="3585"/>
      <c r="U21" s="3161"/>
      <c r="V21" s="3585"/>
      <c r="W21" s="3161"/>
      <c r="X21" s="3585"/>
      <c r="Y21" s="3161"/>
      <c r="Z21" s="3585"/>
      <c r="AA21" s="3161"/>
      <c r="AB21" s="3585"/>
      <c r="AC21" s="3585"/>
      <c r="AD21" s="3585"/>
      <c r="AE21" s="3587"/>
      <c r="AF21" s="3585"/>
      <c r="AG21" s="3161"/>
      <c r="AH21" s="3585"/>
      <c r="AI21" s="3161"/>
      <c r="AJ21" s="3585"/>
      <c r="AK21" s="3161"/>
      <c r="AL21" s="3585"/>
      <c r="AM21" s="3161"/>
      <c r="AN21" s="3585"/>
      <c r="AO21" s="3161"/>
      <c r="AP21" s="3585"/>
      <c r="AQ21" s="3585"/>
      <c r="AR21" s="3585"/>
      <c r="AS21" s="3161"/>
      <c r="AT21" s="3585"/>
      <c r="AU21" s="3161"/>
      <c r="AV21" s="3585"/>
      <c r="AW21" s="3161"/>
      <c r="AX21" s="3585"/>
      <c r="AY21" s="3161"/>
      <c r="AZ21" s="3585"/>
      <c r="BA21" s="3161"/>
      <c r="BB21" s="3585"/>
      <c r="BC21" s="3161"/>
      <c r="BD21" s="3585"/>
      <c r="BE21" s="3585"/>
      <c r="BF21" s="3585"/>
      <c r="BG21" s="3587"/>
      <c r="BH21" s="3585"/>
      <c r="BI21" s="3161"/>
    </row>
    <row r="22" spans="3:62" x14ac:dyDescent="0.25">
      <c r="C22" s="5998"/>
      <c r="D22" s="3612" t="s">
        <v>1415</v>
      </c>
      <c r="E22" s="3589" t="s">
        <v>49</v>
      </c>
      <c r="F22" s="3613">
        <v>23.543643606765379</v>
      </c>
      <c r="G22" s="3615">
        <v>25</v>
      </c>
      <c r="H22" s="3585">
        <f>+$G$22</f>
        <v>25</v>
      </c>
      <c r="I22" s="3161">
        <f>+'COKE OVENS'!F173</f>
        <v>23.864057672502575</v>
      </c>
      <c r="J22" s="3585">
        <f>+$G$22</f>
        <v>25</v>
      </c>
      <c r="K22" s="3161">
        <f>+'COKE OVENS'!H173</f>
        <v>23.999999999999996</v>
      </c>
      <c r="L22" s="3586">
        <f>+$G$22</f>
        <v>25</v>
      </c>
      <c r="M22" s="3141">
        <f>+'COKE OVENS'!J173</f>
        <v>23.933277172577107</v>
      </c>
      <c r="N22" s="3585">
        <f>+$G$22</f>
        <v>25</v>
      </c>
      <c r="O22" s="3161">
        <f>+'COKE OVENS'!L173</f>
        <v>24.000004296237698</v>
      </c>
      <c r="P22" s="3594">
        <f>+$G$22</f>
        <v>25</v>
      </c>
      <c r="Q22" s="3595">
        <f>+'COKE OVENS'!N173</f>
        <v>23.955451987488544</v>
      </c>
      <c r="R22" s="3585">
        <f>+$G$22</f>
        <v>25</v>
      </c>
      <c r="S22" s="3161">
        <f>+'COKE OVENS'!P173</f>
        <v>23.999995112884385</v>
      </c>
      <c r="T22" s="3586">
        <f>+$G$22</f>
        <v>25</v>
      </c>
      <c r="U22" s="3141">
        <f>+'COKE OVENS'!R173</f>
        <v>23.966883902963129</v>
      </c>
      <c r="V22" s="3585">
        <f>+$G$22</f>
        <v>25</v>
      </c>
      <c r="W22" s="3161">
        <f>+'COKE OVENS'!T173</f>
        <v>23.999999811110804</v>
      </c>
      <c r="X22" s="3586">
        <f>+$G$22</f>
        <v>25</v>
      </c>
      <c r="Y22" s="3141">
        <f>+'COKE OVENS'!V173</f>
        <v>23.973620911995685</v>
      </c>
      <c r="Z22" s="3585">
        <f>+$G$22</f>
        <v>25</v>
      </c>
      <c r="AA22" s="3161">
        <f>+'COKE OVENS'!X173</f>
        <v>23.999999610619231</v>
      </c>
      <c r="AB22" s="3594">
        <f>+$G$22</f>
        <v>25</v>
      </c>
      <c r="AC22" s="3594">
        <f>+'COKE OVENS'!Z173</f>
        <v>23.999998158798082</v>
      </c>
      <c r="AD22" s="3597">
        <f>+$G$22</f>
        <v>25</v>
      </c>
      <c r="AE22" s="3598">
        <f>+'COKE OVENS'!AB173</f>
        <v>23.977969178004763</v>
      </c>
      <c r="AF22" s="3585">
        <f>+$G$22</f>
        <v>25</v>
      </c>
      <c r="AG22" s="3161">
        <f>+'COKE OVENS'!AD173</f>
        <v>24.122137404580158</v>
      </c>
      <c r="AH22" s="3586">
        <f>+$G$22</f>
        <v>25</v>
      </c>
      <c r="AI22" s="3586">
        <f>+'COKE OVENS'!AF173</f>
        <v>23.998665711963813</v>
      </c>
      <c r="AJ22" s="3585">
        <f>+$G$22</f>
        <v>25</v>
      </c>
      <c r="AK22" s="3161">
        <f>+'COKE OVENS'!AH173</f>
        <v>24</v>
      </c>
      <c r="AL22" s="3586">
        <f>+$G$22</f>
        <v>25</v>
      </c>
      <c r="AM22" s="3586">
        <f>+'COKE OVENS'!AJ173</f>
        <v>23.998830631476583</v>
      </c>
      <c r="AN22" s="3585">
        <f>+$G$22</f>
        <v>25</v>
      </c>
      <c r="AO22" s="3161">
        <f>+'COKE OVENS'!AL173</f>
        <v>24</v>
      </c>
      <c r="AP22" s="3594">
        <f>+$G$22</f>
        <v>25</v>
      </c>
      <c r="AQ22" s="3594">
        <f>+'COKE OVENS'!AN173</f>
        <v>24.040734869864096</v>
      </c>
      <c r="AR22" s="3586">
        <f>+$G$22</f>
        <v>25</v>
      </c>
      <c r="AS22" s="3586">
        <f>+'COKE OVENS'!AP173</f>
        <v>23.998963160157857</v>
      </c>
      <c r="AT22" s="3585">
        <f>+$G$22</f>
        <v>25</v>
      </c>
      <c r="AU22" s="3161">
        <f>+'COKE OVENS'!AR173</f>
        <v>24.999999762332067</v>
      </c>
      <c r="AV22" s="3586">
        <f>+$G$22</f>
        <v>25</v>
      </c>
      <c r="AW22" s="3586">
        <f>+'COKE OVENS'!AT173</f>
        <v>24.100056329154715</v>
      </c>
      <c r="AX22" s="3585">
        <f>+$G$22</f>
        <v>25</v>
      </c>
      <c r="AY22" s="3161">
        <f>+'COKE OVENS'!AV173</f>
        <v>25.000000262690165</v>
      </c>
      <c r="AZ22" s="3586">
        <f>+$G$22</f>
        <v>25</v>
      </c>
      <c r="BA22" s="3586">
        <f>+'COKE OVENS'!AX173</f>
        <v>24.175399255918691</v>
      </c>
      <c r="BB22" s="3585">
        <f>+$G$22</f>
        <v>25</v>
      </c>
      <c r="BC22" s="3161">
        <f>+'COKE OVENS'!AZ173</f>
        <v>24.999999528548862</v>
      </c>
      <c r="BD22" s="3596">
        <f>+'COKE OVENS'!BA173</f>
        <v>25.008244476200947</v>
      </c>
      <c r="BE22" s="3596">
        <f>+'COKE OVENS'!BB173</f>
        <v>24.999999836821786</v>
      </c>
      <c r="BF22" s="3597">
        <f>+'COKE OVENS'!BC173</f>
        <v>25.008244476200947</v>
      </c>
      <c r="BG22" s="3598">
        <f>+'COKE OVENS'!BD173</f>
        <v>24.515106512582648</v>
      </c>
      <c r="BH22" s="3586">
        <f>+'COKE OVENS'!BE173</f>
        <v>25.008244476200947</v>
      </c>
      <c r="BI22" s="3141">
        <f>+'COKE OVENS'!BF173</f>
        <v>24.245766375654974</v>
      </c>
    </row>
    <row r="23" spans="3:62" x14ac:dyDescent="0.25">
      <c r="C23" s="5998"/>
      <c r="D23" s="3612" t="s">
        <v>1416</v>
      </c>
      <c r="E23" s="3589" t="s">
        <v>221</v>
      </c>
      <c r="F23" s="3613"/>
      <c r="G23" s="3600">
        <v>18.019026238248909</v>
      </c>
      <c r="H23" s="3601">
        <f>+'COKE OVENS'!E61</f>
        <v>17.951020408163266</v>
      </c>
      <c r="I23" s="3601">
        <f>+'COKE OVENS'!F61</f>
        <v>17.95</v>
      </c>
      <c r="J23" s="3601">
        <f>+'COKE OVENS'!G61</f>
        <v>17.951020408163266</v>
      </c>
      <c r="K23" s="3601">
        <f>+'COKE OVENS'!H61</f>
        <v>17.916666666666668</v>
      </c>
      <c r="L23" s="3602">
        <f>+'COKE OVENS'!I61</f>
        <v>17.951020408163266</v>
      </c>
      <c r="M23" s="3602">
        <f>+'COKE OVENS'!J61</f>
        <v>17.933024795242904</v>
      </c>
      <c r="N23" s="3601">
        <f>+'COKE OVENS'!K61</f>
        <v>17.951020408163266</v>
      </c>
      <c r="O23" s="3601">
        <f>+'COKE OVENS'!L61</f>
        <v>17.7</v>
      </c>
      <c r="P23" s="3603">
        <f>+'COKE OVENS'!M61</f>
        <v>17.951020408163266</v>
      </c>
      <c r="Q23" s="3603">
        <f>+'COKE OVENS'!N61</f>
        <v>17.856916742218193</v>
      </c>
      <c r="R23" s="3601">
        <f>+'COKE OVENS'!O61</f>
        <v>17.951020408163266</v>
      </c>
      <c r="S23" s="3601">
        <f>+'COKE OVENS'!P61</f>
        <v>17.566666666666666</v>
      </c>
      <c r="T23" s="3602">
        <f>+'COKE OVENS'!Q61</f>
        <v>17.951020408163266</v>
      </c>
      <c r="U23" s="3602">
        <f>+'COKE OVENS'!R61</f>
        <v>17.78404628529395</v>
      </c>
      <c r="V23" s="3601">
        <f>+'COKE OVENS'!S61</f>
        <v>17.951020408163266</v>
      </c>
      <c r="W23" s="3601">
        <f>+'COKE OVENS'!T61</f>
        <v>17.683333333333334</v>
      </c>
      <c r="X23" s="3602">
        <f>+'COKE OVENS'!U61</f>
        <v>17.951020408163266</v>
      </c>
      <c r="Y23" s="3602">
        <f>+'COKE OVENS'!V61</f>
        <v>17.763400809716597</v>
      </c>
      <c r="Z23" s="3601">
        <f>+'COKE OVENS'!W61</f>
        <v>18.814973262032083</v>
      </c>
      <c r="AA23" s="3601">
        <f>+'COKE OVENS'!X61</f>
        <v>17.633333333333333</v>
      </c>
      <c r="AB23" s="3594">
        <f>+'COKE OVENS'!Y61</f>
        <v>18.228881161886878</v>
      </c>
      <c r="AC23" s="3594">
        <f>+'COKE OVENS'!Z61</f>
        <v>17.628263951059388</v>
      </c>
      <c r="AD23" s="3597">
        <f>+'COKE OVENS'!AA61</f>
        <v>18.088296947080948</v>
      </c>
      <c r="AE23" s="3598">
        <f>+'COKE OVENS'!AB61</f>
        <v>17.741869369369372</v>
      </c>
      <c r="AF23" s="3592">
        <f>+'COKE OVENS'!AC61</f>
        <v>17.951020408163266</v>
      </c>
      <c r="AG23" s="3592">
        <f>+'COKE OVENS'!AD61</f>
        <v>17.933333333333334</v>
      </c>
      <c r="AH23" s="3586">
        <f>+'COKE OVENS'!AE61</f>
        <v>18.068594251203191</v>
      </c>
      <c r="AI23" s="3586">
        <f>+'COKE OVENS'!AF61</f>
        <v>17.76948232384073</v>
      </c>
      <c r="AJ23" s="3592">
        <f>+'COKE OVENS'!AG61</f>
        <v>17.951020408163266</v>
      </c>
      <c r="AK23" s="3592">
        <f>+'COKE OVENS'!AH61</f>
        <v>17.649999999999999</v>
      </c>
      <c r="AL23" s="3586">
        <f>+'COKE OVENS'!AI61</f>
        <v>18.054255357574657</v>
      </c>
      <c r="AM23" s="3586">
        <f>+'COKE OVENS'!AJ61</f>
        <v>17.755157619451513</v>
      </c>
      <c r="AN23" s="3592">
        <f>+'COKE OVENS'!AK61</f>
        <v>17.951020408163266</v>
      </c>
      <c r="AO23" s="3592">
        <f>+'COKE OVENS'!AL61</f>
        <v>17.583333333333332</v>
      </c>
      <c r="AP23" s="3594">
        <f>+'COKE OVENS'!AM61</f>
        <v>17.951020408163266</v>
      </c>
      <c r="AQ23" s="3594">
        <f>+'COKE OVENS'!AN61</f>
        <v>17.724802563809085</v>
      </c>
      <c r="AR23" s="3586">
        <f>+'COKE OVENS'!AO61</f>
        <v>18.042701544056019</v>
      </c>
      <c r="AS23" s="3586">
        <f>+'COKE OVENS'!AP61</f>
        <v>17.736241838698721</v>
      </c>
      <c r="AT23" s="3592">
        <f>+'COKE OVENS'!AQ61</f>
        <v>17.951020408163266</v>
      </c>
      <c r="AU23" s="3592">
        <f>+'COKE OVENS'!AR61</f>
        <v>17.82</v>
      </c>
      <c r="AV23" s="3586">
        <f>+'COKE OVENS'!AS61</f>
        <v>18.033473578528351</v>
      </c>
      <c r="AW23" s="3586">
        <f>+'COKE OVENS'!AT61</f>
        <v>17.744607127084961</v>
      </c>
      <c r="AX23" s="3592">
        <f>+'COKE OVENS'!AU61</f>
        <v>17.951020408163266</v>
      </c>
      <c r="AY23" s="3592">
        <f>+'COKE OVENS'!AV61</f>
        <v>17.8</v>
      </c>
      <c r="AZ23" s="3586">
        <f>+'COKE OVENS'!AW61</f>
        <v>18.026602263441092</v>
      </c>
      <c r="BA23" s="3586">
        <f>+'COKE OVENS'!AX61</f>
        <v>17.749172407343913</v>
      </c>
      <c r="BB23" s="3592">
        <f>+'COKE OVENS'!AY61</f>
        <v>17.951020408163266</v>
      </c>
      <c r="BC23" s="3592">
        <f>+'COKE OVENS'!AZ61</f>
        <v>17.670000000000002</v>
      </c>
      <c r="BD23" s="3596">
        <f>+'COKE OVENS'!BA61</f>
        <v>17.951020408163266</v>
      </c>
      <c r="BE23" s="3596">
        <f>+'COKE OVENS'!BB61</f>
        <v>17.761013685919739</v>
      </c>
      <c r="BF23" s="3597">
        <f>+'COKE OVENS'!BC61</f>
        <v>17.951020408163266</v>
      </c>
      <c r="BG23" s="3598">
        <f>+'COKE OVENS'!BD61</f>
        <v>17.742788179042567</v>
      </c>
      <c r="BH23" s="3586">
        <f>+'COKE OVENS'!BE61</f>
        <v>18.020217779970658</v>
      </c>
      <c r="BI23" s="3141">
        <f>+'COKE OVENS'!BF61</f>
        <v>17.742323528574275</v>
      </c>
      <c r="BJ23" s="4920"/>
    </row>
    <row r="24" spans="3:62" x14ac:dyDescent="0.25">
      <c r="C24" s="5998"/>
      <c r="D24" s="3612" t="s">
        <v>1047</v>
      </c>
      <c r="E24" s="3589" t="s">
        <v>49</v>
      </c>
      <c r="F24" s="3590">
        <v>88.599749618194579</v>
      </c>
      <c r="G24" s="3591" t="s">
        <v>1983</v>
      </c>
      <c r="H24" s="3592" t="s">
        <v>1983</v>
      </c>
      <c r="I24" s="3593">
        <f>+'COKE OVENS'!F183</f>
        <v>89.6</v>
      </c>
      <c r="J24" s="3592" t="s">
        <v>1983</v>
      </c>
      <c r="K24" s="3593">
        <f>+'COKE OVENS'!H183</f>
        <v>89.66</v>
      </c>
      <c r="L24" s="3586" t="s">
        <v>1983</v>
      </c>
      <c r="M24" s="3141">
        <f>+'COKE OVENS'!J183</f>
        <v>89.630550968828985</v>
      </c>
      <c r="N24" s="3592" t="s">
        <v>1983</v>
      </c>
      <c r="O24" s="3593">
        <f>+'COKE OVENS'!L183</f>
        <v>89.6</v>
      </c>
      <c r="P24" s="3594" t="str">
        <f>+'COKE OVENS'!M183</f>
        <v>89.0-90.5</v>
      </c>
      <c r="Q24" s="3595">
        <f>+'COKE OVENS'!N183</f>
        <v>89.620398245021931</v>
      </c>
      <c r="R24" s="3592" t="s">
        <v>1983</v>
      </c>
      <c r="S24" s="3593">
        <f>+'COKE OVENS'!P183</f>
        <v>89.5</v>
      </c>
      <c r="T24" s="3586" t="str">
        <f>+'COKE OVENS'!Q183</f>
        <v>89.0-90.5</v>
      </c>
      <c r="U24" s="3141">
        <f>+'COKE OVENS'!R183</f>
        <v>89.589498243853484</v>
      </c>
      <c r="V24" s="3592" t="s">
        <v>1983</v>
      </c>
      <c r="W24" s="3593">
        <f>+'COKE OVENS'!T183</f>
        <v>89.3</v>
      </c>
      <c r="X24" s="3586" t="str">
        <f>+'COKE OVENS'!U183</f>
        <v>89.0-90.5</v>
      </c>
      <c r="Y24" s="3141">
        <f>+'COKE OVENS'!V183</f>
        <v>89.530603517186236</v>
      </c>
      <c r="Z24" s="3592" t="s">
        <v>1983</v>
      </c>
      <c r="AA24" s="3593">
        <f>+'COKE OVENS'!X183</f>
        <v>89.5</v>
      </c>
      <c r="AB24" s="3594" t="str">
        <f>+'COKE OVENS'!Y183</f>
        <v>89.0-90.5</v>
      </c>
      <c r="AC24" s="3594">
        <f>+'COKE OVENS'!Z183</f>
        <v>89.432616528742074</v>
      </c>
      <c r="AD24" s="3597" t="str">
        <f>+'COKE OVENS'!AA183</f>
        <v>89.0-90.5</v>
      </c>
      <c r="AE24" s="3598">
        <f>+'COKE OVENS'!AB183</f>
        <v>89.52558938598014</v>
      </c>
      <c r="AF24" s="3592" t="s">
        <v>1983</v>
      </c>
      <c r="AG24" s="3593">
        <f>+'COKE OVENS'!AD183</f>
        <v>89.4</v>
      </c>
      <c r="AH24" s="3586" t="str">
        <f>+'COKE OVENS'!AE183</f>
        <v>89.0-90.5</v>
      </c>
      <c r="AI24" s="3141">
        <f>+'COKE OVENS'!AF183</f>
        <v>89.507607814336083</v>
      </c>
      <c r="AJ24" s="3592" t="s">
        <v>1983</v>
      </c>
      <c r="AK24" s="3593">
        <f>+'COKE OVENS'!AH183</f>
        <v>89.4</v>
      </c>
      <c r="AL24" s="3586" t="str">
        <f>+'COKE OVENS'!AI183</f>
        <v>89.0-90.5</v>
      </c>
      <c r="AM24" s="3141">
        <f>+'COKE OVENS'!AJ183</f>
        <v>89.494371684366953</v>
      </c>
      <c r="AN24" s="3592" t="s">
        <v>1983</v>
      </c>
      <c r="AO24" s="3593">
        <f>+'COKE OVENS'!AL183</f>
        <v>89.6</v>
      </c>
      <c r="AP24" s="3594" t="str">
        <f>+'COKE OVENS'!AM183</f>
        <v>89.0-90.5</v>
      </c>
      <c r="AQ24" s="3594">
        <f>+'COKE OVENS'!AN183</f>
        <v>89.467701239335952</v>
      </c>
      <c r="AR24" s="3586" t="str">
        <f>+'COKE OVENS'!AO183</f>
        <v>89.0-90.5</v>
      </c>
      <c r="AS24" s="3141">
        <f>+'COKE OVENS'!AP183</f>
        <v>89.506291458099497</v>
      </c>
      <c r="AT24" s="3592" t="s">
        <v>1983</v>
      </c>
      <c r="AU24" s="3593">
        <f>+'COKE OVENS'!AR183</f>
        <v>86.7</v>
      </c>
      <c r="AV24" s="3586" t="str">
        <f>+'COKE OVENS'!AS183</f>
        <v>89.0-90.5</v>
      </c>
      <c r="AW24" s="3141">
        <f>+'COKE OVENS'!AT183</f>
        <v>89.223981573904126</v>
      </c>
      <c r="AX24" s="3592" t="s">
        <v>1983</v>
      </c>
      <c r="AY24" s="3593">
        <f>+'COKE OVENS'!AV183</f>
        <v>89.7</v>
      </c>
      <c r="AZ24" s="3586" t="str">
        <f>+'COKE OVENS'!AW183</f>
        <v>89.0-90.5</v>
      </c>
      <c r="BA24" s="3141">
        <f>+'COKE OVENS'!AX183</f>
        <v>89.263692730056462</v>
      </c>
      <c r="BB24" s="3592" t="s">
        <v>1983</v>
      </c>
      <c r="BC24" s="3593">
        <f>+'COKE OVENS'!AZ183</f>
        <v>89.7</v>
      </c>
      <c r="BD24" s="3596" t="str">
        <f>+'COKE OVENS'!BA183</f>
        <v>89.0-90.5</v>
      </c>
      <c r="BE24" s="3596">
        <f>+'COKE OVENS'!BB183</f>
        <v>88.670128988458927</v>
      </c>
      <c r="BF24" s="3597" t="str">
        <f>+'COKE OVENS'!BC183</f>
        <v>89.0-90.5</v>
      </c>
      <c r="BG24" s="3598">
        <f>+'COKE OVENS'!BD183</f>
        <v>89.073479806094213</v>
      </c>
      <c r="BH24" s="3586" t="str">
        <f>+'COKE OVENS'!BE183</f>
        <v>89.0-90.5</v>
      </c>
      <c r="BI24" s="3141">
        <f>+'COKE OVENS'!BF183</f>
        <v>89.30080448945445</v>
      </c>
    </row>
    <row r="25" spans="3:62" x14ac:dyDescent="0.25">
      <c r="C25" s="5998"/>
      <c r="D25" s="3612" t="s">
        <v>205</v>
      </c>
      <c r="E25" s="3589" t="s">
        <v>49</v>
      </c>
      <c r="F25" s="3590">
        <v>5.948071105661457</v>
      </c>
      <c r="G25" s="3591" t="s">
        <v>1984</v>
      </c>
      <c r="H25" s="3592" t="s">
        <v>1984</v>
      </c>
      <c r="I25" s="3593">
        <f>+'COKE OVENS'!F184</f>
        <v>5.7</v>
      </c>
      <c r="J25" s="3592" t="s">
        <v>1984</v>
      </c>
      <c r="K25" s="3593">
        <f>+'COKE OVENS'!H184</f>
        <v>5.62</v>
      </c>
      <c r="L25" s="3586" t="s">
        <v>1984</v>
      </c>
      <c r="M25" s="3141">
        <f>+'COKE OVENS'!J184</f>
        <v>5.6592653748946926</v>
      </c>
      <c r="N25" s="3592" t="s">
        <v>1984</v>
      </c>
      <c r="O25" s="3593">
        <f>+'COKE OVENS'!L184</f>
        <v>5.7</v>
      </c>
      <c r="P25" s="3594" t="str">
        <f>+'COKE OVENS'!M184</f>
        <v>5.5-5.9</v>
      </c>
      <c r="Q25" s="3595">
        <f>+'COKE OVENS'!N184</f>
        <v>5.672802339970751</v>
      </c>
      <c r="R25" s="3592" t="s">
        <v>1984</v>
      </c>
      <c r="S25" s="3593">
        <f>+'COKE OVENS'!P184</f>
        <v>5.7</v>
      </c>
      <c r="T25" s="3586" t="str">
        <f>+'COKE OVENS'!Q184</f>
        <v>5.5-5.9</v>
      </c>
      <c r="U25" s="3141">
        <f>+'COKE OVENS'!R184</f>
        <v>5.679782572336511</v>
      </c>
      <c r="V25" s="3592" t="s">
        <v>1984</v>
      </c>
      <c r="W25" s="3593">
        <f>+'COKE OVENS'!T184</f>
        <v>5.8</v>
      </c>
      <c r="X25" s="3586" t="str">
        <f>+'COKE OVENS'!U184</f>
        <v>5.5-5.9</v>
      </c>
      <c r="Y25" s="3141">
        <f>+'COKE OVENS'!V184</f>
        <v>5.7042392752464686</v>
      </c>
      <c r="Z25" s="3592" t="s">
        <v>1984</v>
      </c>
      <c r="AA25" s="3593">
        <f>+'COKE OVENS'!X184</f>
        <v>5.7</v>
      </c>
      <c r="AB25" s="3594" t="str">
        <f>+'COKE OVENS'!Y184</f>
        <v>5.5-5.9</v>
      </c>
      <c r="AC25" s="3594">
        <f>+'COKE OVENS'!Z184</f>
        <v>5.7336917356289616</v>
      </c>
      <c r="AD25" s="3597" t="str">
        <f>+'COKE OVENS'!AA184</f>
        <v>5.5-5.9</v>
      </c>
      <c r="AE25" s="3598">
        <f>+'COKE OVENS'!AB184</f>
        <v>5.703544705332324</v>
      </c>
      <c r="AF25" s="3592" t="s">
        <v>1984</v>
      </c>
      <c r="AG25" s="3593">
        <f>+'COKE OVENS'!AD184</f>
        <v>5.7</v>
      </c>
      <c r="AH25" s="3586" t="str">
        <f>+'COKE OVENS'!AE184</f>
        <v>5.5-5.9</v>
      </c>
      <c r="AI25" s="3141">
        <f>+'COKE OVENS'!AF184</f>
        <v>5.7030371833598839</v>
      </c>
      <c r="AJ25" s="3592" t="s">
        <v>1984</v>
      </c>
      <c r="AK25" s="3593">
        <f>+'COKE OVENS'!AH184</f>
        <v>5.7</v>
      </c>
      <c r="AL25" s="3586" t="str">
        <f>+'COKE OVENS'!AI184</f>
        <v>5.5-5.9</v>
      </c>
      <c r="AM25" s="3141">
        <f>+'COKE OVENS'!AJ184</f>
        <v>5.7026635993972352</v>
      </c>
      <c r="AN25" s="3592" t="s">
        <v>1984</v>
      </c>
      <c r="AO25" s="3593">
        <f>+'COKE OVENS'!AL184</f>
        <v>5.7</v>
      </c>
      <c r="AP25" s="3594" t="str">
        <f>+'COKE OVENS'!AM184</f>
        <v>5.5-5.9</v>
      </c>
      <c r="AQ25" s="3594">
        <f>+'COKE OVENS'!AN184</f>
        <v>5.700000000000002</v>
      </c>
      <c r="AR25" s="3586" t="str">
        <f>+'COKE OVENS'!AO184</f>
        <v>5.5-5.9</v>
      </c>
      <c r="AS25" s="3141">
        <f>+'COKE OVENS'!AP184</f>
        <v>5.7023630218301422</v>
      </c>
      <c r="AT25" s="3592" t="s">
        <v>1984</v>
      </c>
      <c r="AU25" s="3593">
        <f>+'COKE OVENS'!AR184</f>
        <v>5.7</v>
      </c>
      <c r="AV25" s="3586" t="str">
        <f>+'COKE OVENS'!AS184</f>
        <v>5.5-5.9</v>
      </c>
      <c r="AW25" s="3141">
        <f>+'COKE OVENS'!AT184</f>
        <v>5.702125304390889</v>
      </c>
      <c r="AX25" s="3592" t="s">
        <v>1984</v>
      </c>
      <c r="AY25" s="3593">
        <f>+'COKE OVENS'!AV184</f>
        <v>5.7</v>
      </c>
      <c r="AZ25" s="3586" t="str">
        <f>+'COKE OVENS'!AW184</f>
        <v>5.5-5.9</v>
      </c>
      <c r="BA25" s="3141">
        <f>+'COKE OVENS'!AX184</f>
        <v>5.7019480039127748</v>
      </c>
      <c r="BB25" s="3592" t="s">
        <v>1984</v>
      </c>
      <c r="BC25" s="3593">
        <f>+'COKE OVENS'!AZ184</f>
        <v>5.7</v>
      </c>
      <c r="BD25" s="3596" t="str">
        <f>+'COKE OVENS'!BA184</f>
        <v>5.5-5.9</v>
      </c>
      <c r="BE25" s="3596">
        <f>+'COKE OVENS'!BB184</f>
        <v>5.6999999999999993</v>
      </c>
      <c r="BF25" s="3597" t="str">
        <f>+'COKE OVENS'!BC184</f>
        <v>5.5-5.9</v>
      </c>
      <c r="BG25" s="3598">
        <f>+'COKE OVENS'!BD184</f>
        <v>5.7000000000000011</v>
      </c>
      <c r="BH25" s="3586" t="str">
        <f>+'COKE OVENS'!BE184</f>
        <v>5.5-5.9</v>
      </c>
      <c r="BI25" s="3141">
        <f>+'COKE OVENS'!BF184</f>
        <v>5.7017823090974531</v>
      </c>
    </row>
    <row r="26" spans="3:62" x14ac:dyDescent="0.25">
      <c r="C26" s="5998"/>
      <c r="D26" s="3612" t="s">
        <v>1044</v>
      </c>
      <c r="E26" s="3589" t="s">
        <v>49</v>
      </c>
      <c r="F26" s="3590">
        <v>66.654886908615453</v>
      </c>
      <c r="G26" s="3591" t="s">
        <v>1985</v>
      </c>
      <c r="H26" s="3592" t="s">
        <v>1985</v>
      </c>
      <c r="I26" s="3593">
        <f>+'COKE OVENS'!F185</f>
        <v>67.97</v>
      </c>
      <c r="J26" s="3592" t="s">
        <v>1985</v>
      </c>
      <c r="K26" s="3593">
        <f>+'COKE OVENS'!H185</f>
        <v>68.13</v>
      </c>
      <c r="L26" s="3586" t="s">
        <v>1985</v>
      </c>
      <c r="M26" s="3141">
        <f>+'COKE OVENS'!J185</f>
        <v>68.051469250210616</v>
      </c>
      <c r="N26" s="3592" t="s">
        <v>1985</v>
      </c>
      <c r="O26" s="3593">
        <f>+'COKE OVENS'!L185</f>
        <v>68.3</v>
      </c>
      <c r="P26" s="3594" t="str">
        <f>+'COKE OVENS'!M185</f>
        <v>67.0-68.4</v>
      </c>
      <c r="Q26" s="3595">
        <f>+'COKE OVENS'!N185</f>
        <v>68.134061199235006</v>
      </c>
      <c r="R26" s="3592" t="s">
        <v>1985</v>
      </c>
      <c r="S26" s="3593">
        <f>+'COKE OVENS'!P185</f>
        <v>68.5</v>
      </c>
      <c r="T26" s="3586" t="str">
        <f>+'COKE OVENS'!Q185</f>
        <v>67.0-68.4</v>
      </c>
      <c r="U26" s="3141">
        <f>+'COKE OVENS'!R185</f>
        <v>68.227978758989792</v>
      </c>
      <c r="V26" s="3592" t="s">
        <v>1985</v>
      </c>
      <c r="W26" s="3593">
        <f>+'COKE OVENS'!T185</f>
        <v>68.599999999999994</v>
      </c>
      <c r="X26" s="3586" t="str">
        <f>+'COKE OVENS'!U185</f>
        <v>67.0-68.4</v>
      </c>
      <c r="Y26" s="3141">
        <f>+'COKE OVENS'!V185</f>
        <v>68.303661737276826</v>
      </c>
      <c r="Z26" s="3592" t="s">
        <v>1985</v>
      </c>
      <c r="AA26" s="3593">
        <f>+'COKE OVENS'!X185</f>
        <v>68.5</v>
      </c>
      <c r="AB26" s="3594" t="str">
        <f>+'COKE OVENS'!Y185</f>
        <v>67.0-68.4</v>
      </c>
      <c r="AC26" s="3594">
        <f>+'COKE OVENS'!Z185</f>
        <v>68.533691735628963</v>
      </c>
      <c r="AD26" s="3597" t="str">
        <f>+'COKE OVENS'!AA185</f>
        <v>67.0-68.4</v>
      </c>
      <c r="AE26" s="3598">
        <f>+'COKE OVENS'!AB185</f>
        <v>68.335830125115422</v>
      </c>
      <c r="AF26" s="3592" t="s">
        <v>1985</v>
      </c>
      <c r="AG26" s="3593">
        <f>+'COKE OVENS'!AD185</f>
        <v>68.7</v>
      </c>
      <c r="AH26" s="3586" t="str">
        <f>+'COKE OVENS'!AE185</f>
        <v>67.0-68.4</v>
      </c>
      <c r="AI26" s="3141">
        <f>+'COKE OVENS'!AF185</f>
        <v>68.387971049642886</v>
      </c>
      <c r="AJ26" s="3592" t="s">
        <v>1985</v>
      </c>
      <c r="AK26" s="3593">
        <f>+'COKE OVENS'!AH185</f>
        <v>68.3</v>
      </c>
      <c r="AL26" s="3586" t="str">
        <f>+'COKE OVENS'!AI185</f>
        <v>67.0-68.4</v>
      </c>
      <c r="AM26" s="3141">
        <f>+'COKE OVENS'!AJ185</f>
        <v>68.377150309032373</v>
      </c>
      <c r="AN26" s="3592" t="s">
        <v>1985</v>
      </c>
      <c r="AO26" s="3593">
        <f>+'COKE OVENS'!AL185</f>
        <v>68.099999999999994</v>
      </c>
      <c r="AP26" s="3594" t="str">
        <f>+'COKE OVENS'!AM185</f>
        <v>67.0-68.4</v>
      </c>
      <c r="AQ26" s="3594">
        <f>+'COKE OVENS'!AN185</f>
        <v>68.365961510065162</v>
      </c>
      <c r="AR26" s="3586" t="str">
        <f>+'COKE OVENS'!AO185</f>
        <v>67.0-68.4</v>
      </c>
      <c r="AS26" s="3141">
        <f>+'COKE OVENS'!AP185</f>
        <v>68.345874898137382</v>
      </c>
      <c r="AT26" s="3592" t="s">
        <v>1985</v>
      </c>
      <c r="AU26" s="3593">
        <f>+'COKE OVENS'!AR185</f>
        <v>68.400000000000006</v>
      </c>
      <c r="AV26" s="3586" t="str">
        <f>+'COKE OVENS'!AS185</f>
        <v>67.0-68.4</v>
      </c>
      <c r="AW26" s="3141">
        <f>+'COKE OVENS'!AT185</f>
        <v>68.351319824819811</v>
      </c>
      <c r="AX26" s="3592" t="s">
        <v>1985</v>
      </c>
      <c r="AY26" s="3593">
        <f>+'COKE OVENS'!AV185</f>
        <v>68.7</v>
      </c>
      <c r="AZ26" s="3586" t="str">
        <f>+'COKE OVENS'!AW185</f>
        <v>67.0-68.4</v>
      </c>
      <c r="BA26" s="3141">
        <f>+'COKE OVENS'!AX185</f>
        <v>68.380407969573724</v>
      </c>
      <c r="BB26" s="3592" t="s">
        <v>1985</v>
      </c>
      <c r="BC26" s="3593">
        <f>+'COKE OVENS'!AZ185</f>
        <v>69.099999999999994</v>
      </c>
      <c r="BD26" s="3596" t="str">
        <f>+'COKE OVENS'!BA185</f>
        <v>67.0-68.4</v>
      </c>
      <c r="BE26" s="3596">
        <f>+'COKE OVENS'!BB185</f>
        <v>68.735460511427917</v>
      </c>
      <c r="BF26" s="3597" t="str">
        <f>+'COKE OVENS'!BC185</f>
        <v>67.0-68.4</v>
      </c>
      <c r="BG26" s="3598">
        <f>+'COKE OVENS'!BD185</f>
        <v>68.548596281696746</v>
      </c>
      <c r="BH26" s="3586" t="str">
        <f>+'COKE OVENS'!BE185</f>
        <v>67.0-68.4</v>
      </c>
      <c r="BI26" s="3141">
        <f>+'COKE OVENS'!BF185</f>
        <v>68.441615582046808</v>
      </c>
    </row>
    <row r="27" spans="3:62" ht="14.4" thickBot="1" x14ac:dyDescent="0.3">
      <c r="C27" s="5999"/>
      <c r="D27" s="3616" t="s">
        <v>1045</v>
      </c>
      <c r="E27" s="3569" t="s">
        <v>49</v>
      </c>
      <c r="F27" s="3617">
        <v>20.559439644635848</v>
      </c>
      <c r="G27" s="3618" t="s">
        <v>1986</v>
      </c>
      <c r="H27" s="3619" t="s">
        <v>1986</v>
      </c>
      <c r="I27" s="3620">
        <f>+'COKE OVENS'!F186</f>
        <v>21.56</v>
      </c>
      <c r="J27" s="3619" t="s">
        <v>1986</v>
      </c>
      <c r="K27" s="3620">
        <f>+'COKE OVENS'!H186</f>
        <v>22.14</v>
      </c>
      <c r="L27" s="3621" t="s">
        <v>1986</v>
      </c>
      <c r="M27" s="3158">
        <f>+'COKE OVENS'!J186</f>
        <v>21.855326032013476</v>
      </c>
      <c r="N27" s="3619" t="s">
        <v>1986</v>
      </c>
      <c r="O27" s="3620">
        <f>+'COKE OVENS'!L186</f>
        <v>21.5</v>
      </c>
      <c r="P27" s="3622" t="str">
        <f>+'COKE OVENS'!M186</f>
        <v>21.0-22.5</v>
      </c>
      <c r="Q27" s="3623">
        <f>+'COKE OVENS'!N186</f>
        <v>21.737243784452691</v>
      </c>
      <c r="R27" s="3619" t="s">
        <v>1986</v>
      </c>
      <c r="S27" s="3620">
        <f>+'COKE OVENS'!P186</f>
        <v>21.3</v>
      </c>
      <c r="T27" s="3621" t="str">
        <f>+'COKE OVENS'!Q186</f>
        <v>21.0-22.5</v>
      </c>
      <c r="U27" s="3158">
        <f>+'COKE OVENS'!R186</f>
        <v>21.625025924067568</v>
      </c>
      <c r="V27" s="3619" t="s">
        <v>1986</v>
      </c>
      <c r="W27" s="3620">
        <f>+'COKE OVENS'!T186</f>
        <v>21.2</v>
      </c>
      <c r="X27" s="3621" t="str">
        <f>+'COKE OVENS'!U186</f>
        <v>21.0-22.5</v>
      </c>
      <c r="Y27" s="3158">
        <f>+'COKE OVENS'!V186</f>
        <v>21.538559818811613</v>
      </c>
      <c r="Z27" s="3619" t="s">
        <v>1986</v>
      </c>
      <c r="AA27" s="3620">
        <f>+'COKE OVENS'!X186</f>
        <v>21.4</v>
      </c>
      <c r="AB27" s="3622" t="str">
        <f>+'COKE OVENS'!Y186</f>
        <v>21.0-22.5</v>
      </c>
      <c r="AC27" s="3622">
        <f>+'COKE OVENS'!Z186</f>
        <v>21.298759313075639</v>
      </c>
      <c r="AD27" s="3624" t="str">
        <f>+'COKE OVENS'!AA186</f>
        <v>21.0-22.5</v>
      </c>
      <c r="AE27" s="3625">
        <f>+'COKE OVENS'!AB186</f>
        <v>21.51585794741602</v>
      </c>
      <c r="AF27" s="3619" t="s">
        <v>1986</v>
      </c>
      <c r="AG27" s="3620">
        <f>+'COKE OVENS'!AD186</f>
        <v>21.2</v>
      </c>
      <c r="AH27" s="3621" t="str">
        <f>+'COKE OVENS'!AE186</f>
        <v>21.0-22.5</v>
      </c>
      <c r="AI27" s="3158">
        <f>+'COKE OVENS'!AF186</f>
        <v>21.470634202857685</v>
      </c>
      <c r="AJ27" s="3619" t="s">
        <v>1986</v>
      </c>
      <c r="AK27" s="3620">
        <f>+'COKE OVENS'!AH186</f>
        <v>21.8</v>
      </c>
      <c r="AL27" s="3621" t="str">
        <f>+'COKE OVENS'!AI186</f>
        <v>21.0-22.5</v>
      </c>
      <c r="AM27" s="3158">
        <f>+'COKE OVENS'!AJ186</f>
        <v>21.511147324746275</v>
      </c>
      <c r="AN27" s="3619" t="s">
        <v>1986</v>
      </c>
      <c r="AO27" s="3620">
        <f>+'COKE OVENS'!AL186</f>
        <v>21.9</v>
      </c>
      <c r="AP27" s="3622" t="str">
        <f>+'COKE OVENS'!AM186</f>
        <v>21.0-22.5</v>
      </c>
      <c r="AQ27" s="3622">
        <f>+'COKE OVENS'!AN186</f>
        <v>21.633356495566346</v>
      </c>
      <c r="AR27" s="3621" t="str">
        <f>+'COKE OVENS'!AO186</f>
        <v>21.0-22.5</v>
      </c>
      <c r="AS27" s="3158">
        <f>+'COKE OVENS'!AP186</f>
        <v>21.55502794403419</v>
      </c>
      <c r="AT27" s="3619" t="s">
        <v>1986</v>
      </c>
      <c r="AU27" s="3620">
        <f>+'COKE OVENS'!AR186</f>
        <v>21.3</v>
      </c>
      <c r="AV27" s="3621" t="str">
        <f>+'COKE OVENS'!AS186</f>
        <v>21.0-22.5</v>
      </c>
      <c r="AW27" s="3158">
        <f>+'COKE OVENS'!AT186</f>
        <v>21.529372408812044</v>
      </c>
      <c r="AX27" s="3619" t="s">
        <v>1986</v>
      </c>
      <c r="AY27" s="3620">
        <f>+'COKE OVENS'!AV186</f>
        <v>21.1</v>
      </c>
      <c r="AZ27" s="3621" t="str">
        <f>+'COKE OVENS'!AW186</f>
        <v>21.0-22.5</v>
      </c>
      <c r="BA27" s="3158">
        <f>+'COKE OVENS'!AX186</f>
        <v>21.493552629914642</v>
      </c>
      <c r="BB27" s="3619" t="s">
        <v>1986</v>
      </c>
      <c r="BC27" s="3620">
        <f>+'COKE OVENS'!AZ186</f>
        <v>20.7</v>
      </c>
      <c r="BD27" s="3604" t="str">
        <f>+'COKE OVENS'!BA186</f>
        <v>21.0-22.5</v>
      </c>
      <c r="BE27" s="3604">
        <f>+'COKE OVENS'!BB186</f>
        <v>21.030210454854036</v>
      </c>
      <c r="BF27" s="3624" t="str">
        <f>+'COKE OVENS'!BC186</f>
        <v>21.0-22.5</v>
      </c>
      <c r="BG27" s="3625">
        <f>+'COKE OVENS'!BD186</f>
        <v>21.335235420814534</v>
      </c>
      <c r="BH27" s="3621" t="str">
        <f>+'COKE OVENS'!BE186</f>
        <v>21.0-22.5</v>
      </c>
      <c r="BI27" s="3158">
        <f>+'COKE OVENS'!BF186</f>
        <v>21.426054019875789</v>
      </c>
    </row>
    <row r="28" spans="3:62" x14ac:dyDescent="0.25">
      <c r="C28" s="5997" t="s">
        <v>111</v>
      </c>
      <c r="D28" s="3626" t="s">
        <v>1040</v>
      </c>
      <c r="E28" s="3566" t="s">
        <v>228</v>
      </c>
      <c r="F28" s="3627">
        <v>1.3306230266546284</v>
      </c>
      <c r="G28" s="3628">
        <v>1.3471054974217826</v>
      </c>
      <c r="H28" s="3630">
        <f>+SINTER!E81</f>
        <v>1.3490593273127522</v>
      </c>
      <c r="I28" s="3630">
        <f>+SINTER!F81</f>
        <v>1.3518869877422415</v>
      </c>
      <c r="J28" s="3630">
        <f>+SINTER!G81</f>
        <v>1.3428765020223761</v>
      </c>
      <c r="K28" s="3630">
        <f>+SINTER!H81</f>
        <v>1.3467485876245864</v>
      </c>
      <c r="L28" s="3632">
        <f>+SINTER!I81</f>
        <v>1.3459150700069626</v>
      </c>
      <c r="M28" s="3632">
        <f>+SINTER!J81</f>
        <v>1.3491858929880494</v>
      </c>
      <c r="N28" s="3630">
        <f>+SINTER!K81</f>
        <v>1.3490593273127522</v>
      </c>
      <c r="O28" s="3630">
        <f>+SINTER!L81</f>
        <v>1.3513666877843524</v>
      </c>
      <c r="P28" s="3633">
        <f>+SINTER!M81</f>
        <v>1.34695114333122</v>
      </c>
      <c r="Q28" s="3634">
        <f>+SINTER!N81</f>
        <v>1.3499640559783539</v>
      </c>
      <c r="R28" s="3630">
        <f>+SINTER!O81</f>
        <v>1.3183991853222903</v>
      </c>
      <c r="S28" s="3630">
        <f>+SINTER!P81</f>
        <v>1.366822898549291</v>
      </c>
      <c r="T28" s="3631">
        <f>+SINTER!Q81</f>
        <v>1.3396911369144195</v>
      </c>
      <c r="U28" s="3632">
        <f>+SINTER!R81</f>
        <v>1.3545451613235597</v>
      </c>
      <c r="V28" s="3630">
        <f>+SINTER!S81</f>
        <v>1.3183991853222903</v>
      </c>
      <c r="W28" s="3630">
        <f>+SINTER!T81</f>
        <v>1.3502080533753245</v>
      </c>
      <c r="X28" s="3631">
        <f>+SINTER!U81</f>
        <v>1.335374710612097</v>
      </c>
      <c r="Y28" s="3632">
        <f>+SINTER!V81</f>
        <v>1.353636976729429</v>
      </c>
      <c r="Z28" s="3630">
        <f>+SINTER!W81</f>
        <v>1.3316987699231551</v>
      </c>
      <c r="AA28" s="3630">
        <f>+SINTER!X81</f>
        <v>1.3402221116050741</v>
      </c>
      <c r="AB28" s="3633">
        <f>+SINTER!Y81</f>
        <v>1.321252231523796</v>
      </c>
      <c r="AC28" s="3633">
        <f>+SINTER!Z81</f>
        <v>1.3526010378370645</v>
      </c>
      <c r="AD28" s="3635">
        <f>+SINTER!AA81</f>
        <v>1.3350082441323712</v>
      </c>
      <c r="AE28" s="3636">
        <f>+SINTER!AB81</f>
        <v>1.3513424410728567</v>
      </c>
      <c r="AF28" s="3630">
        <f>+SINTER!AC81</f>
        <v>1.3428765020223761</v>
      </c>
      <c r="AG28" s="3630">
        <f>+SINTER!AD81</f>
        <v>1.353242128383644</v>
      </c>
      <c r="AH28" s="3631">
        <f>+SINTER!AE81</f>
        <v>1.3362226704474303</v>
      </c>
      <c r="AI28" s="3632">
        <f>+SINTER!AF81</f>
        <v>1.3515702384952768</v>
      </c>
      <c r="AJ28" s="3630">
        <f>+SINTER!AG81</f>
        <v>1.3635578803571582</v>
      </c>
      <c r="AK28" s="3630">
        <f>+SINTER!AH81</f>
        <v>1.3990113713081909</v>
      </c>
      <c r="AL28" s="3631">
        <f>+SINTER!AI81</f>
        <v>1.3397706943070449</v>
      </c>
      <c r="AM28" s="3632">
        <f>+SINTER!AJ81</f>
        <v>1.3574294426030755</v>
      </c>
      <c r="AN28" s="3630">
        <f>+SINTER!AK81</f>
        <v>1.3568877087459619</v>
      </c>
      <c r="AO28" s="3630">
        <f>+SINTER!AL81</f>
        <v>1.3982073511348525</v>
      </c>
      <c r="AP28" s="3633">
        <f>+SINTER!AM81</f>
        <v>1.3543373861827348</v>
      </c>
      <c r="AQ28" s="3633">
        <f>+SINTER!AN81</f>
        <v>1.3850006884821779</v>
      </c>
      <c r="AR28" s="3631">
        <f>+SINTER!AO81</f>
        <v>1.341797485071454</v>
      </c>
      <c r="AS28" s="3632">
        <f>+SINTER!AP81</f>
        <v>1.361854401431656</v>
      </c>
      <c r="AT28" s="3630">
        <f>+SINTER!AQ81</f>
        <v>1.3624583553824443</v>
      </c>
      <c r="AU28" s="3630">
        <f>+SINTER!AR81</f>
        <v>1.3093182829950494</v>
      </c>
      <c r="AV28" s="3631">
        <f>+SINTER!AS81</f>
        <v>1.3439848903801797</v>
      </c>
      <c r="AW28" s="3632">
        <f>+SINTER!AT81</f>
        <v>1.3563193082146858</v>
      </c>
      <c r="AX28" s="3630">
        <f>+SINTER!AU81</f>
        <v>1.3628117798277934</v>
      </c>
      <c r="AY28" s="3630">
        <f>+SINTER!AV81</f>
        <v>1.3163906663977405</v>
      </c>
      <c r="AZ28" s="3631">
        <f>+SINTER!AW81</f>
        <v>1.3456213462460567</v>
      </c>
      <c r="BA28" s="3632">
        <f>+SINTER!AX81</f>
        <v>1.3530223482967891</v>
      </c>
      <c r="BB28" s="3630">
        <f>+SINTER!AY81</f>
        <v>1.3624583553824443</v>
      </c>
      <c r="BC28" s="3630">
        <f>+SINTER!AZ81</f>
        <v>1.3822583227797429</v>
      </c>
      <c r="BD28" s="3637">
        <f>+SINTER!BA81</f>
        <v>1.3625679681814367</v>
      </c>
      <c r="BE28" s="3637">
        <f>+SINTER!BB81</f>
        <v>1.3366938919169955</v>
      </c>
      <c r="BF28" s="3635">
        <f>+SINTER!BC81</f>
        <v>1.3584055105230672</v>
      </c>
      <c r="BG28" s="3636">
        <f>+SINTER!BD81</f>
        <v>1.3600386899001846</v>
      </c>
      <c r="BH28" s="3631">
        <f>+SINTER!BE81</f>
        <v>1.3471054974217829</v>
      </c>
      <c r="BI28" s="3632">
        <f>+SINTER!BF81</f>
        <v>1.3555555505104004</v>
      </c>
    </row>
    <row r="29" spans="3:62" x14ac:dyDescent="0.25">
      <c r="C29" s="5998"/>
      <c r="D29" s="3608" t="s">
        <v>784</v>
      </c>
      <c r="E29" s="3589" t="s">
        <v>219</v>
      </c>
      <c r="F29" s="3638">
        <v>783.62841572321815</v>
      </c>
      <c r="G29" s="3614">
        <v>783.91225705888951</v>
      </c>
      <c r="H29" s="3639">
        <f>+SINTER!E87</f>
        <v>783.9122570588894</v>
      </c>
      <c r="I29" s="3639">
        <f>+SINTER!F87</f>
        <v>785.44262498834792</v>
      </c>
      <c r="J29" s="3639">
        <f>+SINTER!G87</f>
        <v>783.91225705888951</v>
      </c>
      <c r="K29" s="3639">
        <f>+SINTER!H87</f>
        <v>786.06609514052673</v>
      </c>
      <c r="L29" s="3155">
        <f>+SINTER!I87</f>
        <v>783.9122570588894</v>
      </c>
      <c r="M29" s="3155">
        <f>+SINTER!J87</f>
        <v>785.76977150823473</v>
      </c>
      <c r="N29" s="3639">
        <f>+SINTER!K87</f>
        <v>783.9122570588894</v>
      </c>
      <c r="O29" s="3639">
        <f>+SINTER!L87</f>
        <v>783.21117058313894</v>
      </c>
      <c r="P29" s="3641">
        <f>+SINTER!M87</f>
        <v>783.91225705888928</v>
      </c>
      <c r="Q29" s="3642">
        <f>+SINTER!N87</f>
        <v>784.85584909959084</v>
      </c>
      <c r="R29" s="3639">
        <f>+SINTER!O87</f>
        <v>783.9122570588894</v>
      </c>
      <c r="S29" s="3639">
        <f>+SINTER!P87</f>
        <v>783.52095688008853</v>
      </c>
      <c r="T29" s="3640">
        <f>+SINTER!Q87</f>
        <v>783.91225705888928</v>
      </c>
      <c r="U29" s="3155">
        <f>+SINTER!R87</f>
        <v>784.48982685324893</v>
      </c>
      <c r="V29" s="3639">
        <f>+SINTER!S87</f>
        <v>783.9122570588894</v>
      </c>
      <c r="W29" s="3639">
        <f>+SINTER!T87</f>
        <v>782.91607838634161</v>
      </c>
      <c r="X29" s="3640">
        <f>+SINTER!U87</f>
        <v>783.91225705888928</v>
      </c>
      <c r="Y29" s="3155">
        <f>+SINTER!V87</f>
        <v>784.16112079862671</v>
      </c>
      <c r="Z29" s="3639">
        <f>+SINTER!W87</f>
        <v>783.9122570588894</v>
      </c>
      <c r="AA29" s="3639">
        <f>+SINTER!X87</f>
        <v>782.30127219945359</v>
      </c>
      <c r="AB29" s="3641">
        <f>+SINTER!Y87</f>
        <v>783.91225705888928</v>
      </c>
      <c r="AC29" s="3641">
        <f>+SINTER!Z87</f>
        <v>782.92498721800678</v>
      </c>
      <c r="AD29" s="3643">
        <f>+SINTER!AA87</f>
        <v>783.91225705888928</v>
      </c>
      <c r="AE29" s="3644">
        <f>+SINTER!AB87</f>
        <v>783.84562218551935</v>
      </c>
      <c r="AF29" s="3639">
        <f>+SINTER!AC87</f>
        <v>783.91225705888951</v>
      </c>
      <c r="AG29" s="3639">
        <f>+SINTER!AD87</f>
        <v>782.94763939385905</v>
      </c>
      <c r="AH29" s="3640">
        <f>+SINTER!AE87</f>
        <v>783.91225705888928</v>
      </c>
      <c r="AI29" s="3155">
        <f>+SINTER!AF87</f>
        <v>783.73780907215723</v>
      </c>
      <c r="AJ29" s="3639">
        <f>+SINTER!AG87</f>
        <v>783.9122570588894</v>
      </c>
      <c r="AK29" s="3639">
        <f>+SINTER!AH87</f>
        <v>781.00031130019715</v>
      </c>
      <c r="AL29" s="3640">
        <f>+SINTER!AI87</f>
        <v>783.91225705888928</v>
      </c>
      <c r="AM29" s="3155">
        <f>+SINTER!AJ87</f>
        <v>783.38935838083376</v>
      </c>
      <c r="AN29" s="3639">
        <f>+SINTER!AK87</f>
        <v>783.9122570588894</v>
      </c>
      <c r="AO29" s="3639">
        <f>+SINTER!AL87</f>
        <v>779.99961187980466</v>
      </c>
      <c r="AP29" s="3641">
        <f>+SINTER!AM87</f>
        <v>783.91225705888928</v>
      </c>
      <c r="AQ29" s="3641">
        <f>+SINTER!AN87</f>
        <v>781.22012861167264</v>
      </c>
      <c r="AR29" s="3640">
        <f>+SINTER!AO87</f>
        <v>783.91225705888928</v>
      </c>
      <c r="AS29" s="3155">
        <f>+SINTER!AP87</f>
        <v>783.01170584056581</v>
      </c>
      <c r="AT29" s="3639">
        <f>+SINTER!AQ87</f>
        <v>783.9122570588894</v>
      </c>
      <c r="AU29" s="3639">
        <f>+SINTER!AR87</f>
        <v>780.00709258552024</v>
      </c>
      <c r="AV29" s="3640">
        <f>+SINTER!AS87</f>
        <v>783.91225705888928</v>
      </c>
      <c r="AW29" s="3155">
        <f>+SINTER!AT87</f>
        <v>782.7061160620151</v>
      </c>
      <c r="AX29" s="3639">
        <f>+SINTER!AU87</f>
        <v>783.9122570588894</v>
      </c>
      <c r="AY29" s="3639">
        <f>+SINTER!AV87</f>
        <v>780</v>
      </c>
      <c r="AZ29" s="3640">
        <f>+SINTER!AW87</f>
        <v>783.91225705888928</v>
      </c>
      <c r="BA29" s="3155">
        <f>+SINTER!AX87</f>
        <v>782.48871814787265</v>
      </c>
      <c r="BB29" s="3639">
        <f>+SINTER!AY87</f>
        <v>783.9122570588894</v>
      </c>
      <c r="BC29" s="3639">
        <f>+SINTER!AZ87</f>
        <v>779.06578767231485</v>
      </c>
      <c r="BD29" s="3645">
        <f>+SINTER!BA87</f>
        <v>783.91225705888928</v>
      </c>
      <c r="BE29" s="3645">
        <f>+SINTER!BB87</f>
        <v>779.66809076809125</v>
      </c>
      <c r="BF29" s="3643">
        <f>+SINTER!BC87</f>
        <v>783.91225705888928</v>
      </c>
      <c r="BG29" s="3644">
        <f>+SINTER!BD87</f>
        <v>780.4318965018058</v>
      </c>
      <c r="BH29" s="3640">
        <f>+SINTER!BE87</f>
        <v>783.91225705888928</v>
      </c>
      <c r="BI29" s="3155">
        <f>+SINTER!BF87</f>
        <v>782.18628996728035</v>
      </c>
    </row>
    <row r="30" spans="3:62" x14ac:dyDescent="0.25">
      <c r="C30" s="5998"/>
      <c r="D30" s="3608" t="s">
        <v>786</v>
      </c>
      <c r="E30" s="3589" t="s">
        <v>219</v>
      </c>
      <c r="F30" s="3638">
        <v>102.61678267110892</v>
      </c>
      <c r="G30" s="3614">
        <v>64.938026921102136</v>
      </c>
      <c r="H30" s="3639">
        <f>+SINTER!E88</f>
        <v>64.938026921102121</v>
      </c>
      <c r="I30" s="3639">
        <f>+SINTER!F88</f>
        <v>64.409781561694061</v>
      </c>
      <c r="J30" s="3639">
        <f>+SINTER!G88</f>
        <v>64.938026921102107</v>
      </c>
      <c r="K30" s="3639">
        <f>+SINTER!H88</f>
        <v>59.441720657686616</v>
      </c>
      <c r="L30" s="3155">
        <f>+SINTER!I88</f>
        <v>64.938026921102107</v>
      </c>
      <c r="M30" s="3155">
        <f>+SINTER!J88</f>
        <v>61.802946527728551</v>
      </c>
      <c r="N30" s="3639">
        <f>+SINTER!K88</f>
        <v>64.938026921102121</v>
      </c>
      <c r="O30" s="3639">
        <f>+SINTER!L88</f>
        <v>52.001998543614491</v>
      </c>
      <c r="P30" s="3641">
        <f>+SINTER!M88</f>
        <v>64.938026921102121</v>
      </c>
      <c r="Q30" s="3642">
        <f>+SINTER!N88</f>
        <v>58.302085607693115</v>
      </c>
      <c r="R30" s="3639">
        <f>+SINTER!O88</f>
        <v>64.938026921102107</v>
      </c>
      <c r="S30" s="3639">
        <f>+SINTER!P88</f>
        <v>75.698562669615029</v>
      </c>
      <c r="T30" s="3640">
        <f>+SINTER!Q88</f>
        <v>64.938026921102121</v>
      </c>
      <c r="U30" s="3155">
        <f>+SINTER!R88</f>
        <v>63.072131847840311</v>
      </c>
      <c r="V30" s="3639">
        <f>+SINTER!S88</f>
        <v>64.938026921102107</v>
      </c>
      <c r="W30" s="3639">
        <f>+SINTER!T88</f>
        <v>62.727863478948478</v>
      </c>
      <c r="X30" s="3640">
        <f>+SINTER!U88</f>
        <v>64.938026921102121</v>
      </c>
      <c r="Y30" s="3155">
        <f>+SINTER!V88</f>
        <v>63.000225123449958</v>
      </c>
      <c r="Z30" s="3639">
        <f>+SINTER!W88</f>
        <v>64.938026921102121</v>
      </c>
      <c r="AA30" s="3639">
        <f>+SINTER!X88</f>
        <v>73.207500853825138</v>
      </c>
      <c r="AB30" s="3641">
        <f>+SINTER!Y88</f>
        <v>64.938026921102121</v>
      </c>
      <c r="AC30" s="3641">
        <f>+SINTER!Z88</f>
        <v>70.591207199787533</v>
      </c>
      <c r="AD30" s="3643">
        <f>+SINTER!AA88</f>
        <v>64.938026921102121</v>
      </c>
      <c r="AE30" s="3644">
        <f>+SINTER!AB88</f>
        <v>64.731753882280302</v>
      </c>
      <c r="AF30" s="3639">
        <f>+SINTER!AC88</f>
        <v>64.938026921102107</v>
      </c>
      <c r="AG30" s="3639">
        <f>+SINTER!AD88</f>
        <v>99.625806109179692</v>
      </c>
      <c r="AH30" s="3640">
        <f>+SINTER!AE88</f>
        <v>64.938026921102121</v>
      </c>
      <c r="AI30" s="3155">
        <f>+SINTER!AF88</f>
        <v>68.921184284889847</v>
      </c>
      <c r="AJ30" s="3639">
        <f>+SINTER!AG88</f>
        <v>64.938026921102107</v>
      </c>
      <c r="AK30" s="3639">
        <f>+SINTER!AH88</f>
        <v>67.715984992053649</v>
      </c>
      <c r="AL30" s="3640">
        <f>+SINTER!AI88</f>
        <v>64.938026921102121</v>
      </c>
      <c r="AM30" s="3155">
        <f>+SINTER!AJ88</f>
        <v>68.767776844316643</v>
      </c>
      <c r="AN30" s="3639">
        <f>+SINTER!AK88</f>
        <v>64.938026921102121</v>
      </c>
      <c r="AO30" s="3639">
        <f>+SINTER!AL88</f>
        <v>61.999428908855513</v>
      </c>
      <c r="AP30" s="3641">
        <f>+SINTER!AM88</f>
        <v>64.938026921102121</v>
      </c>
      <c r="AQ30" s="3641">
        <f>+SINTER!AN88</f>
        <v>75.064641319684512</v>
      </c>
      <c r="AR30" s="3640">
        <f>+SINTER!AO88</f>
        <v>64.938026921102121</v>
      </c>
      <c r="AS30" s="3155">
        <f>+SINTER!AP88</f>
        <v>68.01371343855206</v>
      </c>
      <c r="AT30" s="3639">
        <f>+SINTER!AQ88</f>
        <v>64.938026921102107</v>
      </c>
      <c r="AU30" s="3639">
        <f>+SINTER!AR88</f>
        <v>60.0278247585793</v>
      </c>
      <c r="AV30" s="3640">
        <f>+SINTER!AS88</f>
        <v>64.938026921102121</v>
      </c>
      <c r="AW30" s="3155">
        <f>+SINTER!AT88</f>
        <v>67.201493779617564</v>
      </c>
      <c r="AX30" s="3639">
        <f>+SINTER!AU88</f>
        <v>64.938026921102121</v>
      </c>
      <c r="AY30" s="3639">
        <f>+SINTER!AV88</f>
        <v>57.002471049338411</v>
      </c>
      <c r="AZ30" s="3640">
        <f>+SINTER!AW88</f>
        <v>64.938026921102121</v>
      </c>
      <c r="BA30" s="3155">
        <f>+SINTER!AX88</f>
        <v>66.382147448181044</v>
      </c>
      <c r="BB30" s="3639">
        <f>+SINTER!AY88</f>
        <v>64.938026921102107</v>
      </c>
      <c r="BC30" s="3639">
        <f>+SINTER!AZ88</f>
        <v>44.191054898533025</v>
      </c>
      <c r="BD30" s="3645">
        <f>+SINTER!BA88</f>
        <v>64.938026921102121</v>
      </c>
      <c r="BE30" s="3645">
        <f>+SINTER!BB88</f>
        <v>53.462224877362068</v>
      </c>
      <c r="BF30" s="3643">
        <f>+SINTER!BC88</f>
        <v>64.938026921102121</v>
      </c>
      <c r="BG30" s="3644">
        <f>+SINTER!BD88</f>
        <v>64.093440867985151</v>
      </c>
      <c r="BH30" s="3640">
        <f>+SINTER!BE88</f>
        <v>64.938026921102121</v>
      </c>
      <c r="BI30" s="3155">
        <f>+SINTER!BF88</f>
        <v>64.421484854222683</v>
      </c>
    </row>
    <row r="31" spans="3:62" x14ac:dyDescent="0.25">
      <c r="C31" s="5998"/>
      <c r="D31" s="3608" t="s">
        <v>785</v>
      </c>
      <c r="E31" s="3589" t="s">
        <v>219</v>
      </c>
      <c r="F31" s="3638">
        <v>101.93133462172391</v>
      </c>
      <c r="G31" s="3614">
        <v>99.857531963581579</v>
      </c>
      <c r="H31" s="3639">
        <f>+SINTER!E89</f>
        <v>99.85753196358155</v>
      </c>
      <c r="I31" s="3639">
        <f>+SINTER!F89</f>
        <v>99.453127427523839</v>
      </c>
      <c r="J31" s="3639">
        <f>+SINTER!G89</f>
        <v>99.85753196358155</v>
      </c>
      <c r="K31" s="3639">
        <f>+SINTER!H89</f>
        <v>96.927718642522223</v>
      </c>
      <c r="L31" s="3155">
        <f>+SINTER!I89</f>
        <v>99.85753196358155</v>
      </c>
      <c r="M31" s="3155">
        <f>+SINTER!J89</f>
        <v>98.127997920654053</v>
      </c>
      <c r="N31" s="3639">
        <f>+SINTER!K89</f>
        <v>99.85753196358155</v>
      </c>
      <c r="O31" s="3639">
        <f>+SINTER!L89</f>
        <v>90.357027060067935</v>
      </c>
      <c r="P31" s="3641">
        <f>+SINTER!M89</f>
        <v>99.857531963581536</v>
      </c>
      <c r="Q31" s="3642">
        <f>+SINTER!N89</f>
        <v>95.35223702072318</v>
      </c>
      <c r="R31" s="3639">
        <f>+SINTER!O89</f>
        <v>99.857531963581565</v>
      </c>
      <c r="S31" s="3639">
        <f>+SINTER!P89</f>
        <v>94.408985827721381</v>
      </c>
      <c r="T31" s="3640">
        <f>+SINTER!Q89</f>
        <v>99.857531963581536</v>
      </c>
      <c r="U31" s="3155">
        <f>+SINTER!R89</f>
        <v>95.093601218159392</v>
      </c>
      <c r="V31" s="3639">
        <f>+SINTER!S89</f>
        <v>99.857531963581565</v>
      </c>
      <c r="W31" s="3639">
        <f>+SINTER!T89</f>
        <v>98.653631853520153</v>
      </c>
      <c r="X31" s="3640">
        <f>+SINTER!U89</f>
        <v>99.857531963581536</v>
      </c>
      <c r="Y31" s="3155">
        <f>+SINTER!V89</f>
        <v>95.837178510903783</v>
      </c>
      <c r="Z31" s="3639">
        <f>+SINTER!W89</f>
        <v>99.857531963581565</v>
      </c>
      <c r="AA31" s="3639">
        <f>+SINTER!X89</f>
        <v>96.111360143442624</v>
      </c>
      <c r="AB31" s="3641">
        <f>+SINTER!Y89</f>
        <v>99.857531963581536</v>
      </c>
      <c r="AC31" s="3641">
        <f>+SINTER!Z89</f>
        <v>96.368010671991129</v>
      </c>
      <c r="AD31" s="3643">
        <f>+SINTER!AA89</f>
        <v>99.857531963581536</v>
      </c>
      <c r="AE31" s="3644">
        <f>+SINTER!AB89</f>
        <v>95.883689783296589</v>
      </c>
      <c r="AF31" s="3639">
        <f>+SINTER!AC89</f>
        <v>99.85753196358155</v>
      </c>
      <c r="AG31" s="3639">
        <f>+SINTER!AD89</f>
        <v>103.91842042408641</v>
      </c>
      <c r="AH31" s="3640">
        <f>+SINTER!AE89</f>
        <v>99.857531963581536</v>
      </c>
      <c r="AI31" s="3155">
        <f>+SINTER!AF89</f>
        <v>96.848351170412712</v>
      </c>
      <c r="AJ31" s="3639">
        <f>+SINTER!AG89</f>
        <v>99.857531963581565</v>
      </c>
      <c r="AK31" s="3639">
        <f>+SINTER!AH89</f>
        <v>101.59582311595113</v>
      </c>
      <c r="AL31" s="3640">
        <f>+SINTER!AI89</f>
        <v>99.857531963581536</v>
      </c>
      <c r="AM31" s="3155">
        <f>+SINTER!AJ89</f>
        <v>97.45264750935614</v>
      </c>
      <c r="AN31" s="3639">
        <f>+SINTER!AK89</f>
        <v>99.85753196358155</v>
      </c>
      <c r="AO31" s="3639">
        <f>+SINTER!AL89</f>
        <v>102.0007596066679</v>
      </c>
      <c r="AP31" s="3641">
        <f>+SINTER!AM89</f>
        <v>99.857531963581536</v>
      </c>
      <c r="AQ31" s="3641">
        <f>+SINTER!AN89</f>
        <v>102.41868904778158</v>
      </c>
      <c r="AR31" s="3640">
        <f>+SINTER!AO89</f>
        <v>99.857531963581536</v>
      </c>
      <c r="AS31" s="3155">
        <f>+SINTER!AP89</f>
        <v>97.959353862309669</v>
      </c>
      <c r="AT31" s="3639">
        <f>+SINTER!AQ89</f>
        <v>99.857531963581536</v>
      </c>
      <c r="AU31" s="3639">
        <f>+SINTER!AR89</f>
        <v>109.95417098586938</v>
      </c>
      <c r="AV31" s="3640">
        <f>+SINTER!AS89</f>
        <v>99.857531963581536</v>
      </c>
      <c r="AW31" s="3155">
        <f>+SINTER!AT89</f>
        <v>99.179309043692484</v>
      </c>
      <c r="AX31" s="3639">
        <f>+SINTER!AU89</f>
        <v>99.857531963581565</v>
      </c>
      <c r="AY31" s="3639">
        <f>+SINTER!AV89</f>
        <v>114.19551145639457</v>
      </c>
      <c r="AZ31" s="3640">
        <f>+SINTER!AW89</f>
        <v>99.857531963581536</v>
      </c>
      <c r="BA31" s="3155">
        <f>+SINTER!AX89</f>
        <v>100.38564720807649</v>
      </c>
      <c r="BB31" s="3639">
        <f>+SINTER!AY89</f>
        <v>99.857531963581536</v>
      </c>
      <c r="BC31" s="3639">
        <f>+SINTER!AZ89</f>
        <v>112.94322693429658</v>
      </c>
      <c r="BD31" s="3645">
        <f>+SINTER!BA89</f>
        <v>99.857531963581536</v>
      </c>
      <c r="BE31" s="3645">
        <f>+SINTER!BB89</f>
        <v>112.28226230478283</v>
      </c>
      <c r="BF31" s="3643">
        <f>+SINTER!BC89</f>
        <v>99.857531963581536</v>
      </c>
      <c r="BG31" s="3644">
        <f>+SINTER!BD89</f>
        <v>107.42809341981153</v>
      </c>
      <c r="BH31" s="3640">
        <f>+SINTER!BE89</f>
        <v>99.857531963581536</v>
      </c>
      <c r="BI31" s="3155">
        <f>+SINTER!BF89</f>
        <v>101.49515440267564</v>
      </c>
    </row>
    <row r="32" spans="3:62" x14ac:dyDescent="0.25">
      <c r="C32" s="5998"/>
      <c r="D32" s="3608" t="s">
        <v>26</v>
      </c>
      <c r="E32" s="3589" t="s">
        <v>219</v>
      </c>
      <c r="F32" s="3590">
        <v>74.095728405144612</v>
      </c>
      <c r="G32" s="3615">
        <v>63.500000000000007</v>
      </c>
      <c r="H32" s="3593">
        <f>+SINTER!E101</f>
        <v>63.5</v>
      </c>
      <c r="I32" s="3593">
        <f>+SINTER!F101</f>
        <v>61.774850076127152</v>
      </c>
      <c r="J32" s="3593">
        <f>+SINTER!G101</f>
        <v>63.499999999999993</v>
      </c>
      <c r="K32" s="3593">
        <f>+SINTER!H101</f>
        <v>64.26010255948394</v>
      </c>
      <c r="L32" s="3141">
        <f>+SINTER!I101</f>
        <v>63.499999999999986</v>
      </c>
      <c r="M32" s="3141">
        <f>+SINTER!J101</f>
        <v>63.07890881595425</v>
      </c>
      <c r="N32" s="3593">
        <f>+SINTER!K101</f>
        <v>63.5</v>
      </c>
      <c r="O32" s="3593">
        <f>+SINTER!L101</f>
        <v>63.945422750442496</v>
      </c>
      <c r="P32" s="3594">
        <f>+SINTER!M101</f>
        <v>63.5</v>
      </c>
      <c r="Q32" s="3595">
        <f>+SINTER!N101</f>
        <v>63.388424260259541</v>
      </c>
      <c r="R32" s="3593">
        <f>+SINTER!O101</f>
        <v>63.5</v>
      </c>
      <c r="S32" s="3593">
        <f>+SINTER!P101</f>
        <v>64.843200321640367</v>
      </c>
      <c r="T32" s="3586">
        <f>+SINTER!Q101</f>
        <v>63.5</v>
      </c>
      <c r="U32" s="3141">
        <f>+SINTER!R101</f>
        <v>63.787318189021406</v>
      </c>
      <c r="V32" s="3593">
        <f>+SINTER!S101</f>
        <v>63.5</v>
      </c>
      <c r="W32" s="3593">
        <f>+SINTER!T101</f>
        <v>63.479470430268883</v>
      </c>
      <c r="X32" s="3586">
        <f>+SINTER!U101</f>
        <v>63.5</v>
      </c>
      <c r="Y32" s="3141">
        <f>+SINTER!V101</f>
        <v>63.723018572957173</v>
      </c>
      <c r="Z32" s="3593">
        <f>+SINTER!W101</f>
        <v>63.5</v>
      </c>
      <c r="AA32" s="3593">
        <f>+SINTER!X101</f>
        <v>64.519830088797818</v>
      </c>
      <c r="AB32" s="3641">
        <f>+SINTER!Y101</f>
        <v>63.5</v>
      </c>
      <c r="AC32" s="3641">
        <f>+SINTER!Z101</f>
        <v>64.286288965614489</v>
      </c>
      <c r="AD32" s="3643">
        <f>+SINTER!AA101</f>
        <v>63.5</v>
      </c>
      <c r="AE32" s="3644">
        <f>+SINTER!AB101</f>
        <v>63.858187063697514</v>
      </c>
      <c r="AF32" s="3593">
        <f>+SINTER!AC101</f>
        <v>63.499999999999993</v>
      </c>
      <c r="AG32" s="3593">
        <f>+SINTER!AD101</f>
        <v>67.374804278018104</v>
      </c>
      <c r="AH32" s="3586">
        <f>+SINTER!AE101</f>
        <v>63.5</v>
      </c>
      <c r="AI32" s="3141">
        <f>+SINTER!AF101</f>
        <v>64.280397215049817</v>
      </c>
      <c r="AJ32" s="3593">
        <f>+SINTER!AG101</f>
        <v>63.5</v>
      </c>
      <c r="AK32" s="3593">
        <f>+SINTER!AH101</f>
        <v>66.274173552590611</v>
      </c>
      <c r="AL32" s="3586">
        <f>+SINTER!AI101</f>
        <v>63.5</v>
      </c>
      <c r="AM32" s="3141">
        <f>+SINTER!AJ101</f>
        <v>64.534181072072968</v>
      </c>
      <c r="AN32" s="3593">
        <f>+SINTER!AK101</f>
        <v>63.499999999999993</v>
      </c>
      <c r="AO32" s="3593">
        <f>+SINTER!AL101</f>
        <v>61.999428908855521</v>
      </c>
      <c r="AP32" s="3641">
        <f>+SINTER!AM101</f>
        <v>63.5</v>
      </c>
      <c r="AQ32" s="3641">
        <f>+SINTER!AN101</f>
        <v>65.097382549226097</v>
      </c>
      <c r="AR32" s="3586">
        <f>+SINTER!AO101</f>
        <v>63.5</v>
      </c>
      <c r="AS32" s="3141">
        <f>+SINTER!AP101</f>
        <v>64.251783673595455</v>
      </c>
      <c r="AT32" s="3593">
        <f>+SINTER!AQ101</f>
        <v>63.5</v>
      </c>
      <c r="AU32" s="3593">
        <f>+SINTER!AR101</f>
        <v>61.375416007419943</v>
      </c>
      <c r="AV32" s="3586">
        <f>+SINTER!AS101</f>
        <v>63.5</v>
      </c>
      <c r="AW32" s="3141">
        <f>+SINTER!AT101</f>
        <v>63.959237351149184</v>
      </c>
      <c r="AX32" s="3593">
        <f>+SINTER!AU101</f>
        <v>63.499999999999993</v>
      </c>
      <c r="AY32" s="3593">
        <f>+SINTER!AV101</f>
        <v>60.308849405741213</v>
      </c>
      <c r="AZ32" s="3586">
        <f>+SINTER!AW101</f>
        <v>63.5</v>
      </c>
      <c r="BA32" s="3141">
        <f>+SINTER!AX101</f>
        <v>63.665980629354607</v>
      </c>
      <c r="BB32" s="3593">
        <f>+SINTER!AY101</f>
        <v>63.5</v>
      </c>
      <c r="BC32" s="3593">
        <f>+SINTER!AZ101</f>
        <v>60.735385490274552</v>
      </c>
      <c r="BD32" s="3596">
        <f>+SINTER!BA101</f>
        <v>63.5</v>
      </c>
      <c r="BE32" s="3596">
        <f>+SINTER!BB101</f>
        <v>60.829923844810011</v>
      </c>
      <c r="BF32" s="3597">
        <f>+SINTER!BC101</f>
        <v>63.5</v>
      </c>
      <c r="BG32" s="3598">
        <f>+SINTER!BD101</f>
        <v>62.930072008273271</v>
      </c>
      <c r="BH32" s="3586">
        <f>+SINTER!BE101</f>
        <v>63.5</v>
      </c>
      <c r="BI32" s="3141">
        <f>+SINTER!BF101</f>
        <v>63.407052041031378</v>
      </c>
    </row>
    <row r="33" spans="3:61" x14ac:dyDescent="0.25">
      <c r="C33" s="6000"/>
      <c r="D33" s="3647" t="s">
        <v>41</v>
      </c>
      <c r="E33" s="3648" t="s">
        <v>219</v>
      </c>
      <c r="F33" s="3649">
        <v>6.4308813342236046</v>
      </c>
      <c r="G33" s="3650">
        <v>10.414589223195625</v>
      </c>
      <c r="H33" s="3593">
        <f>+SINTER!E93</f>
        <v>10.414589223195621</v>
      </c>
      <c r="I33" s="3593">
        <f>+SINTER!F93</f>
        <v>0</v>
      </c>
      <c r="J33" s="3593">
        <f>+SINTER!G93</f>
        <v>10.414589223195623</v>
      </c>
      <c r="K33" s="3593">
        <f>+SINTER!H93</f>
        <v>0</v>
      </c>
      <c r="L33" s="3141">
        <f>+SINTER!I93</f>
        <v>10.414589223195621</v>
      </c>
      <c r="M33" s="3141">
        <f>+SINTER!J93</f>
        <v>0</v>
      </c>
      <c r="N33" s="3593">
        <f>+SINTER!K93</f>
        <v>10.414589223195621</v>
      </c>
      <c r="O33" s="3593">
        <f>+SINTER!L93</f>
        <v>4.6668119508655925</v>
      </c>
      <c r="P33" s="3594">
        <f>+SINTER!M93</f>
        <v>10.41458922319562</v>
      </c>
      <c r="Q33" s="3595">
        <f>+SINTER!N93</f>
        <v>1.6669672776981421</v>
      </c>
      <c r="R33" s="3593">
        <f>+SINTER!O93</f>
        <v>10.414589223195621</v>
      </c>
      <c r="S33" s="3593">
        <f>+SINTER!P93</f>
        <v>5.9227057995778472</v>
      </c>
      <c r="T33" s="3586">
        <f>+SINTER!Q93</f>
        <v>10.41458922319562</v>
      </c>
      <c r="U33" s="3141">
        <f>+SINTER!R93</f>
        <v>2.8338742016164038</v>
      </c>
      <c r="V33" s="3593">
        <f>+SINTER!S93</f>
        <v>10.414589223195621</v>
      </c>
      <c r="W33" s="3593">
        <f>+SINTER!T93</f>
        <v>9.9196459096140455</v>
      </c>
      <c r="X33" s="3586">
        <f>+SINTER!U93</f>
        <v>10.41458922319562</v>
      </c>
      <c r="Y33" s="3141">
        <f>+SINTER!V93</f>
        <v>4.3138667868778642</v>
      </c>
      <c r="Z33" s="3593">
        <f>+SINTER!W93</f>
        <v>10.414589223195623</v>
      </c>
      <c r="AA33" s="3593">
        <f>+SINTER!X93</f>
        <v>8.7010117827868854</v>
      </c>
      <c r="AB33" s="3641">
        <f>+SINTER!Y93</f>
        <v>10.41458922319562</v>
      </c>
      <c r="AC33" s="3594">
        <f>+SINTER!Z93</f>
        <v>8.1484666366185294</v>
      </c>
      <c r="AD33" s="3643">
        <f>+SINTER!AA93</f>
        <v>10.41458922319562</v>
      </c>
      <c r="AE33" s="3598">
        <f>+SINTER!AB93</f>
        <v>5.0580876671828099</v>
      </c>
      <c r="AF33" s="3593">
        <f>+SINTER!AC93</f>
        <v>10.414589223195623</v>
      </c>
      <c r="AG33" s="3593">
        <f>+SINTER!AD93</f>
        <v>12.552745415461372</v>
      </c>
      <c r="AH33" s="3586">
        <f>+SINTER!AE93</f>
        <v>10.41458922319562</v>
      </c>
      <c r="AI33" s="3141">
        <f>+SINTER!AF93</f>
        <v>5.9579071213299768</v>
      </c>
      <c r="AJ33" s="3593">
        <f>+SINTER!AG93</f>
        <v>10.414589223195623</v>
      </c>
      <c r="AK33" s="3593">
        <f>+SINTER!AH93</f>
        <v>9.729496512891652</v>
      </c>
      <c r="AL33" s="3586">
        <f>+SINTER!AI93</f>
        <v>10.41458922319562</v>
      </c>
      <c r="AM33" s="3141">
        <f>+SINTER!AJ93</f>
        <v>6.4379852950326155</v>
      </c>
      <c r="AN33" s="3593">
        <f>+SINTER!AK93</f>
        <v>10.414589223195623</v>
      </c>
      <c r="AO33" s="3593">
        <f>+SINTER!AL93</f>
        <v>10.978256952202997</v>
      </c>
      <c r="AP33" s="3641">
        <f>+SINTER!AM93</f>
        <v>10.41458922319562</v>
      </c>
      <c r="AQ33" s="3594">
        <f>+SINTER!AN93</f>
        <v>10.995101943177874</v>
      </c>
      <c r="AR33" s="3586">
        <f>+SINTER!AO93</f>
        <v>10.41458922319562</v>
      </c>
      <c r="AS33" s="3141">
        <f>+SINTER!AP93</f>
        <v>6.9438181425085705</v>
      </c>
      <c r="AT33" s="3593">
        <f>+SINTER!AQ93</f>
        <v>10.414589223195621</v>
      </c>
      <c r="AU33" s="3593">
        <f>+SINTER!AR93</f>
        <v>9.8859730481750248</v>
      </c>
      <c r="AV33" s="3586">
        <f>+SINTER!AS93</f>
        <v>10.41458922319562</v>
      </c>
      <c r="AW33" s="3141">
        <f>+SINTER!AT93</f>
        <v>7.2430554784866876</v>
      </c>
      <c r="AX33" s="3593">
        <f>+SINTER!AU93</f>
        <v>10.414589223195623</v>
      </c>
      <c r="AY33" s="3593">
        <f>+SINTER!AV93</f>
        <v>13.851216150117835</v>
      </c>
      <c r="AZ33" s="3586">
        <f>+SINTER!AW93</f>
        <v>10.41458922319562</v>
      </c>
      <c r="BA33" s="3141">
        <f>+SINTER!AX93</f>
        <v>7.7739271460014292</v>
      </c>
      <c r="BB33" s="3593">
        <f>+SINTER!AY93</f>
        <v>10.414589223195621</v>
      </c>
      <c r="BC33" s="3593">
        <f>+SINTER!AZ93</f>
        <v>8.8671714565540185</v>
      </c>
      <c r="BD33" s="3596">
        <f>+SINTER!BA93</f>
        <v>10.41458922319562</v>
      </c>
      <c r="BE33" s="3596">
        <f>+SINTER!BB93</f>
        <v>10.697721751814363</v>
      </c>
      <c r="BF33" s="3597">
        <f>+SINTER!BC93</f>
        <v>10.41458922319562</v>
      </c>
      <c r="BG33" s="3598">
        <f>+SINTER!BD93</f>
        <v>10.844071724011197</v>
      </c>
      <c r="BH33" s="3586">
        <f>+SINTER!BE93</f>
        <v>10.41458922319562</v>
      </c>
      <c r="BI33" s="3141">
        <f>+SINTER!BF93</f>
        <v>7.8705192007171974</v>
      </c>
    </row>
    <row r="34" spans="3:61" x14ac:dyDescent="0.25">
      <c r="C34" s="6000"/>
      <c r="D34" s="3647" t="s">
        <v>1510</v>
      </c>
      <c r="E34" s="3648" t="s">
        <v>219</v>
      </c>
      <c r="F34" s="3649"/>
      <c r="G34" s="3650">
        <v>0</v>
      </c>
      <c r="H34" s="3593">
        <f>+SINTER!E94</f>
        <v>0</v>
      </c>
      <c r="I34" s="3593">
        <f>+SINTER!F94</f>
        <v>2.0725227604635985</v>
      </c>
      <c r="J34" s="3593">
        <f>+SINTER!G94</f>
        <v>0</v>
      </c>
      <c r="K34" s="3593">
        <f>+SINTER!H94</f>
        <v>1.9645038361299836</v>
      </c>
      <c r="L34" s="3141">
        <f>+SINTER!I94</f>
        <v>0</v>
      </c>
      <c r="M34" s="3141">
        <f>+SINTER!J94</f>
        <v>2.0158431984121359</v>
      </c>
      <c r="N34" s="3593">
        <f>+SINTER!K94</f>
        <v>0</v>
      </c>
      <c r="O34" s="3593">
        <f>+SINTER!L94</f>
        <v>0</v>
      </c>
      <c r="P34" s="3594">
        <f>+SINTER!M94</f>
        <v>0</v>
      </c>
      <c r="Q34" s="3595">
        <f>+SINTER!N94</f>
        <v>1.295791761992007</v>
      </c>
      <c r="R34" s="3593">
        <f>+SINTER!O94</f>
        <v>0</v>
      </c>
      <c r="S34" s="3593">
        <f>+SINTER!P94</f>
        <v>2.6258920494522062</v>
      </c>
      <c r="T34" s="3586">
        <f>+SINTER!Q94</f>
        <v>0</v>
      </c>
      <c r="U34" s="3141">
        <f>+SINTER!R94</f>
        <v>1.6605000792354809</v>
      </c>
      <c r="V34" s="3593">
        <f>+SINTER!S94</f>
        <v>0</v>
      </c>
      <c r="W34" s="3593">
        <f>+SINTER!T94</f>
        <v>1.6023842642733552</v>
      </c>
      <c r="X34" s="3586">
        <f>+SINTER!U94</f>
        <v>0</v>
      </c>
      <c r="Y34" s="3141">
        <f>+SINTER!V94</f>
        <v>1.6483615319078424</v>
      </c>
      <c r="Z34" s="3593">
        <f>+SINTER!W94</f>
        <v>0</v>
      </c>
      <c r="AA34" s="3593">
        <f>+SINTER!X94</f>
        <v>1.4995303961748634</v>
      </c>
      <c r="AB34" s="3641">
        <f>+SINTER!Y94</f>
        <v>0</v>
      </c>
      <c r="AC34" s="3594">
        <f>+SINTER!Z94</f>
        <v>1.9214082598927438</v>
      </c>
      <c r="AD34" s="3643">
        <f>+SINTER!AA94</f>
        <v>0</v>
      </c>
      <c r="AE34" s="3598">
        <f>+SINTER!AB94</f>
        <v>1.6231143064445241</v>
      </c>
      <c r="AF34" s="3593">
        <f>+SINTER!AC94</f>
        <v>0</v>
      </c>
      <c r="AG34" s="3593">
        <f>+SINTER!AD94</f>
        <v>1.9638544624611876</v>
      </c>
      <c r="AH34" s="3586">
        <f>+SINTER!AE94</f>
        <v>0</v>
      </c>
      <c r="AI34" s="3141">
        <f>+SINTER!AF94</f>
        <v>1.6640240626323044</v>
      </c>
      <c r="AJ34" s="3593">
        <f>+SINTER!AG94</f>
        <v>0</v>
      </c>
      <c r="AK34" s="3593">
        <f>+SINTER!AH94</f>
        <v>1.201509532885862</v>
      </c>
      <c r="AL34" s="3586">
        <f>+SINTER!AI94</f>
        <v>0</v>
      </c>
      <c r="AM34" s="3141">
        <f>+SINTER!AJ94</f>
        <v>1.6051515005107773</v>
      </c>
      <c r="AN34" s="3593">
        <f>+SINTER!AK94</f>
        <v>0</v>
      </c>
      <c r="AO34" s="3593">
        <f>+SINTER!AL94</f>
        <v>1.7160457205590041</v>
      </c>
      <c r="AP34" s="3641">
        <f>+SINTER!AM94</f>
        <v>0</v>
      </c>
      <c r="AQ34" s="3594">
        <f>+SINTER!AN94</f>
        <v>1.6054579736611541</v>
      </c>
      <c r="AR34" s="3586">
        <f>+SINTER!AO94</f>
        <v>0</v>
      </c>
      <c r="AS34" s="3141">
        <f>+SINTER!AP94</f>
        <v>1.6175062544398802</v>
      </c>
      <c r="AT34" s="3593">
        <f>+SINTER!AQ94</f>
        <v>0</v>
      </c>
      <c r="AU34" s="3593">
        <f>+SINTER!AR94</f>
        <v>0</v>
      </c>
      <c r="AV34" s="3586">
        <f>+SINTER!AS94</f>
        <v>0</v>
      </c>
      <c r="AW34" s="3141">
        <f>+SINTER!AT94</f>
        <v>1.4529947728811301</v>
      </c>
      <c r="AX34" s="3593">
        <f>+SINTER!AU94</f>
        <v>0</v>
      </c>
      <c r="AY34" s="3593">
        <f>+SINTER!AV94</f>
        <v>1.9279266689111501</v>
      </c>
      <c r="AZ34" s="3586">
        <f>+SINTER!AW94</f>
        <v>0</v>
      </c>
      <c r="BA34" s="3141">
        <f>+SINTER!AX94</f>
        <v>1.4911487918479784</v>
      </c>
      <c r="BB34" s="3593">
        <f>+SINTER!AY94</f>
        <v>0</v>
      </c>
      <c r="BC34" s="3593">
        <f>+SINTER!AZ94</f>
        <v>1.7191992164874628</v>
      </c>
      <c r="BD34" s="3596">
        <f>+SINTER!BA94</f>
        <v>0</v>
      </c>
      <c r="BE34" s="3596">
        <f>+SINTER!BB94</f>
        <v>1.1872746769387914</v>
      </c>
      <c r="BF34" s="3597">
        <f>+SINTER!BC94</f>
        <v>0</v>
      </c>
      <c r="BG34" s="3598">
        <f>+SINTER!BD94</f>
        <v>1.3930755864340949</v>
      </c>
      <c r="BH34" s="3586">
        <f>+SINTER!BE94</f>
        <v>0</v>
      </c>
      <c r="BI34" s="3141">
        <f>+SINTER!BF94</f>
        <v>1.511297864550307</v>
      </c>
    </row>
    <row r="35" spans="3:61" x14ac:dyDescent="0.25">
      <c r="C35" s="6000"/>
      <c r="D35" s="3647" t="s">
        <v>42</v>
      </c>
      <c r="E35" s="3648" t="s">
        <v>219</v>
      </c>
      <c r="F35" s="3649">
        <v>12.079400955259329</v>
      </c>
      <c r="G35" s="3650">
        <v>0</v>
      </c>
      <c r="H35" s="3593">
        <f>+SINTER!E95</f>
        <v>0</v>
      </c>
      <c r="I35" s="3593">
        <f>+SINTER!F95</f>
        <v>0</v>
      </c>
      <c r="J35" s="3593">
        <f>+SINTER!G95</f>
        <v>0</v>
      </c>
      <c r="K35" s="3593">
        <f>+SINTER!H95</f>
        <v>0</v>
      </c>
      <c r="L35" s="3141">
        <f>+SINTER!I95</f>
        <v>0</v>
      </c>
      <c r="M35" s="3141">
        <f>+SINTER!J95</f>
        <v>0</v>
      </c>
      <c r="N35" s="3593">
        <f>+SINTER!K95</f>
        <v>0</v>
      </c>
      <c r="O35" s="3593">
        <f>+SINTER!L95</f>
        <v>0</v>
      </c>
      <c r="P35" s="3594">
        <f>+SINTER!M95</f>
        <v>0</v>
      </c>
      <c r="Q35" s="3595">
        <f>+SINTER!N95</f>
        <v>0</v>
      </c>
      <c r="R35" s="3593">
        <f>+SINTER!O95</f>
        <v>0</v>
      </c>
      <c r="S35" s="3593">
        <f>+SINTER!P95</f>
        <v>0</v>
      </c>
      <c r="T35" s="3586">
        <f>+SINTER!Q95</f>
        <v>0</v>
      </c>
      <c r="U35" s="3141">
        <f>+SINTER!R95</f>
        <v>0</v>
      </c>
      <c r="V35" s="3593">
        <f>+SINTER!S95</f>
        <v>0</v>
      </c>
      <c r="W35" s="3593">
        <f>+SINTER!T95</f>
        <v>0</v>
      </c>
      <c r="X35" s="3586">
        <f>+SINTER!U95</f>
        <v>0</v>
      </c>
      <c r="Y35" s="3141">
        <f>+SINTER!V95</f>
        <v>0</v>
      </c>
      <c r="Z35" s="3593">
        <f>+SINTER!W95</f>
        <v>0</v>
      </c>
      <c r="AA35" s="3593">
        <f>+SINTER!X95</f>
        <v>0</v>
      </c>
      <c r="AB35" s="3641">
        <f>+SINTER!Y95</f>
        <v>0</v>
      </c>
      <c r="AC35" s="3594">
        <f>+SINTER!Z95</f>
        <v>0</v>
      </c>
      <c r="AD35" s="3643">
        <f>+SINTER!AA95</f>
        <v>0</v>
      </c>
      <c r="AE35" s="3598">
        <f>+SINTER!AB95</f>
        <v>0</v>
      </c>
      <c r="AF35" s="3593">
        <f>+SINTER!AC95</f>
        <v>0</v>
      </c>
      <c r="AG35" s="3593">
        <f>+SINTER!AD95</f>
        <v>0</v>
      </c>
      <c r="AH35" s="3586">
        <f>+SINTER!AE95</f>
        <v>0</v>
      </c>
      <c r="AI35" s="3141">
        <f>+SINTER!AF95</f>
        <v>0</v>
      </c>
      <c r="AJ35" s="3593">
        <f>+SINTER!AG95</f>
        <v>0</v>
      </c>
      <c r="AK35" s="3593">
        <f>+SINTER!AH95</f>
        <v>1.7176124913300164</v>
      </c>
      <c r="AL35" s="3586">
        <f>+SINTER!AI95</f>
        <v>0</v>
      </c>
      <c r="AM35" s="3141">
        <f>+SINTER!AJ95</f>
        <v>0.21863150580798593</v>
      </c>
      <c r="AN35" s="3593">
        <f>+SINTER!AK95</f>
        <v>0</v>
      </c>
      <c r="AO35" s="3593">
        <f>+SINTER!AL95</f>
        <v>5.73308974170601</v>
      </c>
      <c r="AP35" s="3641">
        <f>+SINTER!AM95</f>
        <v>0</v>
      </c>
      <c r="AQ35" s="3594">
        <f>+SINTER!AN95</f>
        <v>2.6226045759928116</v>
      </c>
      <c r="AR35" s="3586">
        <f>+SINTER!AO95</f>
        <v>0</v>
      </c>
      <c r="AS35" s="3141">
        <f>+SINTER!AP95</f>
        <v>0.8329987336689626</v>
      </c>
      <c r="AT35" s="3593">
        <f>+SINTER!AQ95</f>
        <v>0</v>
      </c>
      <c r="AU35" s="3593">
        <f>+SINTER!AR95</f>
        <v>1.8849909978722243</v>
      </c>
      <c r="AV35" s="3586">
        <f>+SINTER!AS95</f>
        <v>0</v>
      </c>
      <c r="AW35" s="3141">
        <f>+SINTER!AT95</f>
        <v>0.93999356320818583</v>
      </c>
      <c r="AX35" s="3593">
        <f>+SINTER!AU95</f>
        <v>0</v>
      </c>
      <c r="AY35" s="3593">
        <f>+SINTER!AV95</f>
        <v>0</v>
      </c>
      <c r="AZ35" s="3586">
        <f>+SINTER!AW95</f>
        <v>0</v>
      </c>
      <c r="BA35" s="3141">
        <f>+SINTER!AX95</f>
        <v>0.86447845769694565</v>
      </c>
      <c r="BB35" s="3593">
        <f>+SINTER!AY95</f>
        <v>0</v>
      </c>
      <c r="BC35" s="3593">
        <f>+SINTER!AZ95</f>
        <v>0</v>
      </c>
      <c r="BD35" s="3596">
        <f>+SINTER!BA95</f>
        <v>0</v>
      </c>
      <c r="BE35" s="3596">
        <f>+SINTER!BB95</f>
        <v>0.65111650933706733</v>
      </c>
      <c r="BF35" s="3597">
        <f>+SINTER!BC95</f>
        <v>0</v>
      </c>
      <c r="BG35" s="3598">
        <f>+SINTER!BD95</f>
        <v>1.6213466461142954</v>
      </c>
      <c r="BH35" s="3586">
        <f>+SINTER!BE95</f>
        <v>0</v>
      </c>
      <c r="BI35" s="3141">
        <f>+SINTER!BF95</f>
        <v>0.7880986863316054</v>
      </c>
    </row>
    <row r="36" spans="3:61" ht="14.4" thickBot="1" x14ac:dyDescent="0.3">
      <c r="C36" s="5999"/>
      <c r="D36" s="3651" t="s">
        <v>1041</v>
      </c>
      <c r="E36" s="3569" t="s">
        <v>229</v>
      </c>
      <c r="F36" s="3617">
        <v>32.711238390550697</v>
      </c>
      <c r="G36" s="3652">
        <v>30.92429424402145</v>
      </c>
      <c r="H36" s="3620">
        <f>+SINTER!E83</f>
        <v>30.937619988311706</v>
      </c>
      <c r="I36" s="3620">
        <f>+SINTER!F83</f>
        <v>30.090265046763761</v>
      </c>
      <c r="J36" s="3620">
        <f>+SINTER!G83</f>
        <v>30.937619988311706</v>
      </c>
      <c r="K36" s="3620">
        <f>+SINTER!H83</f>
        <v>31.337579438568429</v>
      </c>
      <c r="L36" s="3158">
        <f>+SINTER!I83</f>
        <v>30.937619988311702</v>
      </c>
      <c r="M36" s="3158">
        <f>+SINTER!J83</f>
        <v>30.744754377259483</v>
      </c>
      <c r="N36" s="3620">
        <f>+SINTER!K83</f>
        <v>30.937619988311706</v>
      </c>
      <c r="O36" s="3620">
        <f>+SINTER!L83</f>
        <v>31.192641532500247</v>
      </c>
      <c r="P36" s="3622">
        <f>+SINTER!M83</f>
        <v>30.937619988311702</v>
      </c>
      <c r="Q36" s="3623">
        <f>+SINTER!N83</f>
        <v>30.904737946288694</v>
      </c>
      <c r="R36" s="3620">
        <f>+SINTER!O83</f>
        <v>30.93761998831171</v>
      </c>
      <c r="S36" s="3620">
        <f>+SINTER!P83</f>
        <v>31.291888632023316</v>
      </c>
      <c r="T36" s="3621">
        <f>+SINTER!Q83</f>
        <v>30.937619988311706</v>
      </c>
      <c r="U36" s="3158">
        <f>+SINTER!R83</f>
        <v>31.010893156121437</v>
      </c>
      <c r="V36" s="3620">
        <f>+SINTER!S83</f>
        <v>30.93761998831171</v>
      </c>
      <c r="W36" s="3620">
        <f>+SINTER!T83</f>
        <v>32.42672484661216</v>
      </c>
      <c r="X36" s="3621">
        <f>+SINTER!U83</f>
        <v>30.937619988311706</v>
      </c>
      <c r="Y36" s="3158">
        <f>+SINTER!V83</f>
        <v>31.306615413379511</v>
      </c>
      <c r="Z36" s="3620">
        <f>+SINTER!W83</f>
        <v>30.93761998831171</v>
      </c>
      <c r="AA36" s="3620">
        <f>+SINTER!X83</f>
        <v>32.829122908128404</v>
      </c>
      <c r="AB36" s="3622">
        <f>+SINTER!Y83</f>
        <v>30.937619988311706</v>
      </c>
      <c r="AC36" s="3622">
        <f>+SINTER!Z83</f>
        <v>32.166493788946148</v>
      </c>
      <c r="AD36" s="3624">
        <f>+SINTER!AA83</f>
        <v>30.937619988311699</v>
      </c>
      <c r="AE36" s="3625">
        <f>+SINTER!AB83</f>
        <v>31.564888588546847</v>
      </c>
      <c r="AF36" s="3620">
        <f>+SINTER!AC83</f>
        <v>30.937619988311706</v>
      </c>
      <c r="AG36" s="3620">
        <f>+SINTER!AD83</f>
        <v>34.24520978742602</v>
      </c>
      <c r="AH36" s="3621">
        <f>+SINTER!AE83</f>
        <v>30.937619988311706</v>
      </c>
      <c r="AI36" s="3158">
        <f>+SINTER!AF83</f>
        <v>31.886691830151641</v>
      </c>
      <c r="AJ36" s="3620">
        <f>+SINTER!AG83</f>
        <v>30.93761998831171</v>
      </c>
      <c r="AK36" s="3620">
        <f>+SINTER!AH83</f>
        <v>32.108649230214716</v>
      </c>
      <c r="AL36" s="3621">
        <f>+SINTER!AI83</f>
        <v>30.93761998831171</v>
      </c>
      <c r="AM36" s="3158">
        <f>+SINTER!AJ83</f>
        <v>31.914944349765914</v>
      </c>
      <c r="AN36" s="3620">
        <f>+SINTER!AK83</f>
        <v>30.937619988311706</v>
      </c>
      <c r="AO36" s="3620">
        <f>+SINTER!AL83</f>
        <v>29.352476899917644</v>
      </c>
      <c r="AP36" s="3622">
        <f>+SINTER!AM83</f>
        <v>30.937619988311706</v>
      </c>
      <c r="AQ36" s="3622">
        <f>+SINTER!AN83</f>
        <v>31.768181981724425</v>
      </c>
      <c r="AR36" s="3621">
        <f>+SINTER!AO83</f>
        <v>30.937619988311706</v>
      </c>
      <c r="AS36" s="3158">
        <f>+SINTER!AP83</f>
        <v>31.629459183988626</v>
      </c>
      <c r="AT36" s="3620">
        <f>+SINTER!AQ83</f>
        <v>30.937619988311702</v>
      </c>
      <c r="AU36" s="3620">
        <f>+SINTER!AR83</f>
        <v>32.277674723116391</v>
      </c>
      <c r="AV36" s="3621">
        <f>+SINTER!AS83</f>
        <v>30.93761998831171</v>
      </c>
      <c r="AW36" s="3158">
        <f>+SINTER!AT83</f>
        <v>31.695387150831781</v>
      </c>
      <c r="AX36" s="3620">
        <f>+SINTER!AU83</f>
        <v>30.937619988311702</v>
      </c>
      <c r="AY36" s="3620">
        <f>+SINTER!AV83</f>
        <v>33.020174942670387</v>
      </c>
      <c r="AZ36" s="3621">
        <f>+SINTER!AW83</f>
        <v>30.93761998831171</v>
      </c>
      <c r="BA36" s="3158">
        <f>+SINTER!AX83</f>
        <v>31.801814996506867</v>
      </c>
      <c r="BB36" s="3620">
        <f>+SINTER!AY83</f>
        <v>30.937619988311702</v>
      </c>
      <c r="BC36" s="3620">
        <f>+SINTER!AZ83</f>
        <v>32.089050833535168</v>
      </c>
      <c r="BD36" s="3604">
        <f>+SINTER!BA83</f>
        <v>30.93761998831171</v>
      </c>
      <c r="BE36" s="3604">
        <f>+SINTER!BB83</f>
        <v>32.430445491842669</v>
      </c>
      <c r="BF36" s="3624">
        <f>+SINTER!BC83</f>
        <v>30.93761998831171</v>
      </c>
      <c r="BG36" s="3625">
        <f>+SINTER!BD83</f>
        <v>32.104525174660857</v>
      </c>
      <c r="BH36" s="3621">
        <f>+SINTER!BE83</f>
        <v>30.937619988311706</v>
      </c>
      <c r="BI36" s="3158">
        <f>+SINTER!BF83</f>
        <v>31.827193312605804</v>
      </c>
    </row>
    <row r="37" spans="3:61" x14ac:dyDescent="0.25">
      <c r="C37" s="5991" t="s">
        <v>1054</v>
      </c>
      <c r="D37" s="3653" t="s">
        <v>355</v>
      </c>
      <c r="E37" s="3654" t="s">
        <v>363</v>
      </c>
      <c r="F37" s="3655">
        <v>400.04040555458937</v>
      </c>
      <c r="G37" s="3656">
        <f>+'Maj Techno Summ'!D10</f>
        <v>356.24</v>
      </c>
      <c r="H37" s="3657">
        <f>+'Maj Techno Summ'!E10</f>
        <v>356</v>
      </c>
      <c r="I37" s="3657">
        <f>+'Maj Techno Summ'!F10</f>
        <v>347.96952445897341</v>
      </c>
      <c r="J37" s="3657">
        <f>+'Maj Techno Summ'!G10</f>
        <v>356</v>
      </c>
      <c r="K37" s="3657">
        <f>+'Maj Techno Summ'!H10</f>
        <v>345.97012054468189</v>
      </c>
      <c r="L37" s="3658">
        <f>+'Maj Techno Summ'!I10</f>
        <v>356</v>
      </c>
      <c r="M37" s="3658">
        <f>+'Maj Techno Summ'!J10</f>
        <v>346.90840073756402</v>
      </c>
      <c r="N37" s="3657">
        <f>+'Maj Techno Summ'!K10</f>
        <v>356</v>
      </c>
      <c r="O37" s="3657">
        <f>+'Maj Techno Summ'!L10</f>
        <v>348.40698971547278</v>
      </c>
      <c r="P37" s="3659">
        <f>+'Maj Techno Summ'!M10</f>
        <v>356</v>
      </c>
      <c r="Q37" s="3660">
        <f>+'Maj Techno Summ'!N10</f>
        <v>347.43556530306734</v>
      </c>
      <c r="R37" s="3657">
        <f>+'Maj Techno Summ'!O10</f>
        <v>356</v>
      </c>
      <c r="S37" s="3657">
        <f>+'Maj Techno Summ'!P10</f>
        <v>362.56961546164109</v>
      </c>
      <c r="T37" s="3661">
        <f>+'Maj Techno Summ'!Q10</f>
        <v>356</v>
      </c>
      <c r="U37" s="3658">
        <f>+'Maj Techno Summ'!R10</f>
        <v>351.44755181150322</v>
      </c>
      <c r="V37" s="3657">
        <f>+'Maj Techno Summ'!S10</f>
        <v>356</v>
      </c>
      <c r="W37" s="3657">
        <f>+'Maj Techno Summ'!T10</f>
        <v>365.93798366603016</v>
      </c>
      <c r="X37" s="3661">
        <f>+'Maj Techno Summ'!U10</f>
        <v>356</v>
      </c>
      <c r="Y37" s="3658">
        <f>+'Maj Techno Summ'!V10</f>
        <v>354.34922586817993</v>
      </c>
      <c r="Z37" s="3657">
        <f>+'Maj Techno Summ'!W10</f>
        <v>383</v>
      </c>
      <c r="AA37" s="3657">
        <f>+'Maj Techno Summ'!X10</f>
        <v>390.38903144875366</v>
      </c>
      <c r="AB37" s="3659">
        <f>+'Maj Techno Summ'!Y10</f>
        <v>361.81538461538457</v>
      </c>
      <c r="AC37" s="3659">
        <f>+'Maj Techno Summ'!Z10</f>
        <v>372.53619548915242</v>
      </c>
      <c r="AD37" s="3662">
        <f>+'Maj Techno Summ'!AA10</f>
        <v>358.67326732673268</v>
      </c>
      <c r="AE37" s="3663">
        <f>+'Maj Techno Summ'!AB10</f>
        <v>360.16361712747266</v>
      </c>
      <c r="AF37" s="3657">
        <f>+'Maj Techno Summ'!AC10</f>
        <v>354</v>
      </c>
      <c r="AG37" s="3657">
        <f>+'Maj Techno Summ'!AD10</f>
        <v>407.03377172388349</v>
      </c>
      <c r="AH37" s="3661">
        <f>+'Maj Techno Summ'!AE10</f>
        <v>357.94743130227005</v>
      </c>
      <c r="AI37" s="3658">
        <f>+'Maj Techno Summ'!AF10</f>
        <v>365.72340637276733</v>
      </c>
      <c r="AJ37" s="3657">
        <f>+'Maj Techno Summ'!AG10</f>
        <v>354</v>
      </c>
      <c r="AK37" s="3657">
        <f>+'Maj Techno Summ'!AH10</f>
        <v>366.29801079835937</v>
      </c>
      <c r="AL37" s="3661">
        <f>+'Maj Techno Summ'!AI10</f>
        <v>357.43094496365524</v>
      </c>
      <c r="AM37" s="3658">
        <f>+'Maj Techno Summ'!AJ10</f>
        <v>365.79515939360471</v>
      </c>
      <c r="AN37" s="3657">
        <f>+'Maj Techno Summ'!AK10</f>
        <v>354</v>
      </c>
      <c r="AO37" s="3657">
        <f>+'Maj Techno Summ'!AL10</f>
        <v>379.38954607431214</v>
      </c>
      <c r="AP37" s="3659">
        <f>+'Maj Techno Summ'!AM10</f>
        <v>354</v>
      </c>
      <c r="AQ37" s="3659">
        <f>+'Maj Techno Summ'!AN10</f>
        <v>382.84532752383001</v>
      </c>
      <c r="AR37" s="3661">
        <f>+'Maj Techno Summ'!AO10</f>
        <v>357.02287282708147</v>
      </c>
      <c r="AS37" s="3658">
        <f>+'Maj Techno Summ'!AP10</f>
        <v>367.34488747784621</v>
      </c>
      <c r="AT37" s="3657">
        <f>+'Maj Techno Summ'!AQ10</f>
        <v>354</v>
      </c>
      <c r="AU37" s="3657">
        <f>+'Maj Techno Summ'!AR10</f>
        <v>385.39816586713408</v>
      </c>
      <c r="AV37" s="3661">
        <f>+'Maj Techno Summ'!AS10</f>
        <v>356.69714285714286</v>
      </c>
      <c r="AW37" s="3658">
        <f>+'Maj Techno Summ'!AT10</f>
        <v>369.14796312358561</v>
      </c>
      <c r="AX37" s="3657">
        <f>+'Maj Techno Summ'!AU10</f>
        <v>354</v>
      </c>
      <c r="AY37" s="3657">
        <f>+'Maj Techno Summ'!AV10</f>
        <v>429.82864200130945</v>
      </c>
      <c r="AZ37" s="3661">
        <f>+'Maj Techno Summ'!AW10</f>
        <v>356.46016381236041</v>
      </c>
      <c r="BA37" s="3658">
        <f>+'Maj Techno Summ'!AX10</f>
        <v>373.65236544774308</v>
      </c>
      <c r="BB37" s="3657">
        <f>+'Maj Techno Summ'!AY10</f>
        <v>354</v>
      </c>
      <c r="BC37" s="3657">
        <f>+'Maj Techno Summ'!AZ10</f>
        <v>367.13628962682185</v>
      </c>
      <c r="BD37" s="3664">
        <f>+'Maj Techno Summ'!BA10</f>
        <v>354</v>
      </c>
      <c r="BE37" s="3664">
        <f>+'Maj Techno Summ'!BB10</f>
        <v>391.36137645781383</v>
      </c>
      <c r="BF37" s="3662">
        <f>+'Maj Techno Summ'!BC10</f>
        <v>354</v>
      </c>
      <c r="BG37" s="3663">
        <f>+'Maj Techno Summ'!BD10</f>
        <v>387.08691633158401</v>
      </c>
      <c r="BH37" s="3661">
        <f>+'Maj Techno Summ'!BE10</f>
        <v>356.24</v>
      </c>
      <c r="BI37" s="3658">
        <f>+'Maj Techno Summ'!BF10</f>
        <v>373.08643299420697</v>
      </c>
    </row>
    <row r="38" spans="3:61" x14ac:dyDescent="0.25">
      <c r="C38" s="5992"/>
      <c r="D38" s="3665" t="s">
        <v>356</v>
      </c>
      <c r="E38" s="543" t="s">
        <v>363</v>
      </c>
      <c r="F38" s="3666">
        <v>36.610035455154154</v>
      </c>
      <c r="G38" s="3667">
        <f>+'Maj Techno Summ'!D11</f>
        <v>28.952542372881357</v>
      </c>
      <c r="H38" s="3639">
        <f>+'Maj Techno Summ'!E11</f>
        <v>29</v>
      </c>
      <c r="I38" s="3639">
        <f>+'Maj Techno Summ'!F11</f>
        <v>28.720758728777291</v>
      </c>
      <c r="J38" s="3639">
        <f>+'Maj Techno Summ'!G11</f>
        <v>29</v>
      </c>
      <c r="K38" s="3639">
        <f>+'Maj Techno Summ'!H11</f>
        <v>29.24639142160763</v>
      </c>
      <c r="L38" s="3155">
        <f>+'Maj Techno Summ'!I11</f>
        <v>29</v>
      </c>
      <c r="M38" s="3155">
        <f>+'Maj Techno Summ'!J11</f>
        <v>28.999722531500559</v>
      </c>
      <c r="N38" s="3639">
        <f>+'Maj Techno Summ'!K11</f>
        <v>29</v>
      </c>
      <c r="O38" s="3639">
        <f>+'Maj Techno Summ'!L11</f>
        <v>31.876010889904354</v>
      </c>
      <c r="P38" s="3641">
        <f>+'Maj Techno Summ'!M11</f>
        <v>29</v>
      </c>
      <c r="Q38" s="3642">
        <f>+'Maj Techno Summ'!N11</f>
        <v>30.01152585120477</v>
      </c>
      <c r="R38" s="3639">
        <f>+'Maj Techno Summ'!O11</f>
        <v>29</v>
      </c>
      <c r="S38" s="3639">
        <f>+'Maj Techno Summ'!P11</f>
        <v>40.769372829277593</v>
      </c>
      <c r="T38" s="3640">
        <f>+'Maj Techno Summ'!Q11</f>
        <v>29</v>
      </c>
      <c r="U38" s="3155">
        <f>+'Maj Techno Summ'!R11</f>
        <v>32.863395409162749</v>
      </c>
      <c r="V38" s="3639">
        <f>+'Maj Techno Summ'!S11</f>
        <v>29</v>
      </c>
      <c r="W38" s="3639">
        <f>+'Maj Techno Summ'!T11</f>
        <v>37.253344065234799</v>
      </c>
      <c r="X38" s="3640">
        <f>+'Maj Techno Summ'!U11</f>
        <v>29</v>
      </c>
      <c r="Y38" s="3155">
        <f>+'Maj Techno Summ'!V11</f>
        <v>33.7424720476887</v>
      </c>
      <c r="Z38" s="3639">
        <f>+'Maj Techno Summ'!W11</f>
        <v>28</v>
      </c>
      <c r="AA38" s="3639">
        <f>+'Maj Techno Summ'!X11</f>
        <v>36.733820007940906</v>
      </c>
      <c r="AB38" s="3641">
        <f>+'Maj Techno Summ'!Y11</f>
        <v>28.784615384615385</v>
      </c>
      <c r="AC38" s="3641">
        <f>+'Maj Techno Summ'!Z11</f>
        <v>38.320943992264716</v>
      </c>
      <c r="AD38" s="3643">
        <f>+'Maj Techno Summ'!AA11</f>
        <v>28.900990099009903</v>
      </c>
      <c r="AE38" s="3644">
        <f>+'Maj Techno Summ'!AB11</f>
        <v>34.225073636498855</v>
      </c>
      <c r="AF38" s="3639">
        <f>+'Maj Techno Summ'!AC11</f>
        <v>29</v>
      </c>
      <c r="AG38" s="3639">
        <f>+'Maj Techno Summ'!AD11</f>
        <v>30.284127923390631</v>
      </c>
      <c r="AH38" s="3640">
        <f>+'Maj Techno Summ'!AE11</f>
        <v>28.916367980884107</v>
      </c>
      <c r="AI38" s="3155">
        <f>+'Maj Techno Summ'!AF11</f>
        <v>33.757594325182332</v>
      </c>
      <c r="AJ38" s="3639">
        <f>+'Maj Techno Summ'!AG11</f>
        <v>29</v>
      </c>
      <c r="AK38" s="3639">
        <f>+'Maj Techno Summ'!AH11</f>
        <v>37.743468925840951</v>
      </c>
      <c r="AL38" s="3640">
        <f>+'Maj Techno Summ'!AI11</f>
        <v>28.927310488058151</v>
      </c>
      <c r="AM38" s="3155">
        <f>+'Maj Techno Summ'!AJ11</f>
        <v>34.255325513001502</v>
      </c>
      <c r="AN38" s="3639">
        <f>+'Maj Techno Summ'!AK11</f>
        <v>29</v>
      </c>
      <c r="AO38" s="3639">
        <f>+'Maj Techno Summ'!AL11</f>
        <v>35.629725195876944</v>
      </c>
      <c r="AP38" s="3641">
        <f>+'Maj Techno Summ'!AM11</f>
        <v>29</v>
      </c>
      <c r="AQ38" s="3641">
        <f>+'Maj Techno Summ'!AN11</f>
        <v>34.815484048078119</v>
      </c>
      <c r="AR38" s="3640">
        <f>+'Maj Techno Summ'!AO11</f>
        <v>28.935956084172005</v>
      </c>
      <c r="AS38" s="3155">
        <f>+'Maj Techno Summ'!AP11</f>
        <v>34.412003841899363</v>
      </c>
      <c r="AT38" s="3639">
        <f>+'Maj Techno Summ'!AQ11</f>
        <v>29</v>
      </c>
      <c r="AU38" s="3639">
        <f>+'Maj Techno Summ'!AR11</f>
        <v>31.827294285431901</v>
      </c>
      <c r="AV38" s="3640">
        <f>+'Maj Techno Summ'!AS11</f>
        <v>28.942857142857143</v>
      </c>
      <c r="AW38" s="3155">
        <f>+'Maj Techno Summ'!AT11</f>
        <v>34.153855335457358</v>
      </c>
      <c r="AX38" s="3639">
        <f>+'Maj Techno Summ'!AU11</f>
        <v>29</v>
      </c>
      <c r="AY38" s="3639">
        <f>+'Maj Techno Summ'!AV11</f>
        <v>29.819621590301526</v>
      </c>
      <c r="AZ38" s="3640">
        <f>+'Maj Techno Summ'!AW11</f>
        <v>28.947877885331348</v>
      </c>
      <c r="BA38" s="3155">
        <f>+'Maj Techno Summ'!AX11</f>
        <v>33.832119769603494</v>
      </c>
      <c r="BB38" s="3639">
        <f>+'Maj Techno Summ'!AY11</f>
        <v>29</v>
      </c>
      <c r="BC38" s="3639">
        <f>+'Maj Techno Summ'!AZ11</f>
        <v>32.889139192692141</v>
      </c>
      <c r="BD38" s="3645">
        <f>+'Maj Techno Summ'!BA11</f>
        <v>29</v>
      </c>
      <c r="BE38" s="3645">
        <f>+'Maj Techno Summ'!BB11</f>
        <v>31.643808818828944</v>
      </c>
      <c r="BF38" s="3643">
        <f>+'Maj Techno Summ'!BC11</f>
        <v>29</v>
      </c>
      <c r="BG38" s="3644">
        <f>+'Maj Techno Summ'!BD11</f>
        <v>33.235767649252715</v>
      </c>
      <c r="BH38" s="3640">
        <f>+'Maj Techno Summ'!BE11</f>
        <v>28.952542372881357</v>
      </c>
      <c r="BI38" s="3155">
        <f>+'Maj Techno Summ'!BF11</f>
        <v>33.750220275767816</v>
      </c>
    </row>
    <row r="39" spans="3:61" x14ac:dyDescent="0.25">
      <c r="C39" s="5992"/>
      <c r="D39" s="3665" t="s">
        <v>357</v>
      </c>
      <c r="E39" s="543" t="s">
        <v>363</v>
      </c>
      <c r="F39" s="3666">
        <v>122.58808331992087</v>
      </c>
      <c r="G39" s="3667">
        <f>+'Maj Techno Summ'!D12</f>
        <v>149.6650847457627</v>
      </c>
      <c r="H39" s="3639">
        <f>+'Maj Techno Summ'!E12</f>
        <v>150</v>
      </c>
      <c r="I39" s="3639">
        <f>+'Maj Techno Summ'!F12</f>
        <v>150.9002222658558</v>
      </c>
      <c r="J39" s="3639">
        <f>+'Maj Techno Summ'!G12</f>
        <v>150</v>
      </c>
      <c r="K39" s="3639">
        <f>+'Maj Techno Summ'!H12</f>
        <v>155.9320942443795</v>
      </c>
      <c r="L39" s="3155">
        <f>+'Maj Techno Summ'!I12</f>
        <v>150</v>
      </c>
      <c r="M39" s="3155">
        <f>+'Maj Techno Summ'!J12</f>
        <v>153.57073755360776</v>
      </c>
      <c r="N39" s="3639">
        <f>+'Maj Techno Summ'!K12</f>
        <v>150</v>
      </c>
      <c r="O39" s="3639">
        <f>+'Maj Techno Summ'!L12</f>
        <v>155.24561139837525</v>
      </c>
      <c r="P39" s="3641">
        <f>+'Maj Techno Summ'!M12</f>
        <v>150</v>
      </c>
      <c r="Q39" s="3642">
        <f>+'Maj Techno Summ'!N12</f>
        <v>154.15991454320627</v>
      </c>
      <c r="R39" s="3639">
        <f>+'Maj Techno Summ'!O12</f>
        <v>150</v>
      </c>
      <c r="S39" s="3639">
        <f>+'Maj Techno Summ'!P12</f>
        <v>142.77673720259727</v>
      </c>
      <c r="T39" s="3640">
        <f>+'Maj Techno Summ'!Q12</f>
        <v>150</v>
      </c>
      <c r="U39" s="3155">
        <f>+'Maj Techno Summ'!R12</f>
        <v>151.14227197990448</v>
      </c>
      <c r="V39" s="3639">
        <f>+'Maj Techno Summ'!S12</f>
        <v>150</v>
      </c>
      <c r="W39" s="3639">
        <f>+'Maj Techno Summ'!T12</f>
        <v>141.84996849132682</v>
      </c>
      <c r="X39" s="3640">
        <f>+'Maj Techno Summ'!U12</f>
        <v>150</v>
      </c>
      <c r="Y39" s="3155">
        <f>+'Maj Techno Summ'!V12</f>
        <v>149.28151060092952</v>
      </c>
      <c r="Z39" s="3639">
        <f>+'Maj Techno Summ'!W12</f>
        <v>121</v>
      </c>
      <c r="AA39" s="3639">
        <f>+'Maj Techno Summ'!X12</f>
        <v>128.55199052682025</v>
      </c>
      <c r="AB39" s="3641">
        <f>+'Maj Techno Summ'!Y12</f>
        <v>143.75384615384615</v>
      </c>
      <c r="AC39" s="3641">
        <f>+'Maj Techno Summ'!Z12</f>
        <v>137.94406463264903</v>
      </c>
      <c r="AD39" s="3643">
        <f>+'Maj Techno Summ'!AA12</f>
        <v>147.12871287128712</v>
      </c>
      <c r="AE39" s="3644">
        <f>+'Maj Techno Summ'!AB12</f>
        <v>145.93716569155515</v>
      </c>
      <c r="AF39" s="3639">
        <f>+'Maj Techno Summ'!AC12</f>
        <v>152</v>
      </c>
      <c r="AG39" s="3639">
        <f>+'Maj Techno Summ'!AD12</f>
        <v>125.46642057802912</v>
      </c>
      <c r="AH39" s="3640">
        <f>+'Maj Techno Summ'!AE12</f>
        <v>147.88530465949819</v>
      </c>
      <c r="AI39" s="3155">
        <f>+'Maj Techno Summ'!AF12</f>
        <v>143.50890341025118</v>
      </c>
      <c r="AJ39" s="3639">
        <f>+'Maj Techno Summ'!AG12</f>
        <v>152</v>
      </c>
      <c r="AK39" s="3639">
        <f>+'Maj Techno Summ'!AH12</f>
        <v>136.65060811425192</v>
      </c>
      <c r="AL39" s="3640">
        <f>+'Maj Techno Summ'!AI12</f>
        <v>148.42367601246107</v>
      </c>
      <c r="AM39" s="3155">
        <f>+'Maj Techno Summ'!AJ12</f>
        <v>142.65248222140391</v>
      </c>
      <c r="AN39" s="3639">
        <f>+'Maj Techno Summ'!AK12</f>
        <v>152</v>
      </c>
      <c r="AO39" s="3639">
        <f>+'Maj Techno Summ'!AL12</f>
        <v>130.86443009846519</v>
      </c>
      <c r="AP39" s="3641">
        <f>+'Maj Techno Summ'!AM12</f>
        <v>152</v>
      </c>
      <c r="AQ39" s="3641">
        <f>+'Maj Techno Summ'!AN12</f>
        <v>131.31828243123769</v>
      </c>
      <c r="AR39" s="3640">
        <f>+'Maj Techno Summ'!AO12</f>
        <v>148.8490393412626</v>
      </c>
      <c r="AS39" s="3155">
        <f>+'Maj Techno Summ'!AP12</f>
        <v>141.30867202514506</v>
      </c>
      <c r="AT39" s="3639">
        <f>+'Maj Techno Summ'!AQ12</f>
        <v>152</v>
      </c>
      <c r="AU39" s="3639">
        <f>+'Maj Techno Summ'!AR12</f>
        <v>129.82365728764466</v>
      </c>
      <c r="AV39" s="3640">
        <f>+'Maj Techno Summ'!AS12</f>
        <v>149.18857142857141</v>
      </c>
      <c r="AW39" s="3155">
        <f>+'Maj Techno Summ'!AT12</f>
        <v>140.16160333669936</v>
      </c>
      <c r="AX39" s="3639">
        <f>+'Maj Techno Summ'!AU12</f>
        <v>152</v>
      </c>
      <c r="AY39" s="3639">
        <f>+'Maj Techno Summ'!AV12</f>
        <v>89.192169107715984</v>
      </c>
      <c r="AZ39" s="3640">
        <f>+'Maj Techno Summ'!AW12</f>
        <v>149.4355919583023</v>
      </c>
      <c r="BA39" s="3155">
        <f>+'Maj Techno Summ'!AX12</f>
        <v>136.37807879069589</v>
      </c>
      <c r="BB39" s="3639">
        <f>+'Maj Techno Summ'!AY12</f>
        <v>152</v>
      </c>
      <c r="BC39" s="3639">
        <f>+'Maj Techno Summ'!AZ12</f>
        <v>135.4212517722317</v>
      </c>
      <c r="BD39" s="3645">
        <f>+'Maj Techno Summ'!BA12</f>
        <v>152</v>
      </c>
      <c r="BE39" s="3645">
        <f>+'Maj Techno Summ'!BB12</f>
        <v>120.33673024487004</v>
      </c>
      <c r="BF39" s="3643">
        <f>+'Maj Techno Summ'!BC12</f>
        <v>152</v>
      </c>
      <c r="BG39" s="3644">
        <f>+'Maj Techno Summ'!BD12</f>
        <v>125.84870032731315</v>
      </c>
      <c r="BH39" s="3640">
        <f>+'Maj Techno Summ'!BE12</f>
        <v>149.6650847457627</v>
      </c>
      <c r="BI39" s="3155">
        <f>+'Maj Techno Summ'!BF12</f>
        <v>136.29497670946617</v>
      </c>
    </row>
    <row r="40" spans="3:61" x14ac:dyDescent="0.25">
      <c r="C40" s="5992"/>
      <c r="D40" s="3665" t="s">
        <v>239</v>
      </c>
      <c r="E40" s="543" t="s">
        <v>363</v>
      </c>
      <c r="F40" s="3666">
        <v>559.23852432966441</v>
      </c>
      <c r="G40" s="3667">
        <f>+'Maj Techno Summ'!D13</f>
        <v>534.85762711864402</v>
      </c>
      <c r="H40" s="3639">
        <f>+'Maj Techno Summ'!E13</f>
        <v>535</v>
      </c>
      <c r="I40" s="3639">
        <f>+'Maj Techno Summ'!F13</f>
        <v>527.59050545360651</v>
      </c>
      <c r="J40" s="3639">
        <f>+'Maj Techno Summ'!G13</f>
        <v>535</v>
      </c>
      <c r="K40" s="3639">
        <f>+'Maj Techno Summ'!H13</f>
        <v>531.14860621066907</v>
      </c>
      <c r="L40" s="3155">
        <f>+'Maj Techno Summ'!I13</f>
        <v>535</v>
      </c>
      <c r="M40" s="3155">
        <f>+'Maj Techno Summ'!J13</f>
        <v>529.47886082267235</v>
      </c>
      <c r="N40" s="3639">
        <f>+'Maj Techno Summ'!K13</f>
        <v>535</v>
      </c>
      <c r="O40" s="3639">
        <f>+'Maj Techno Summ'!L13</f>
        <v>535.52861200375241</v>
      </c>
      <c r="P40" s="3641">
        <f>+'Maj Techno Summ'!M13</f>
        <v>535</v>
      </c>
      <c r="Q40" s="3642">
        <f>+'Maj Techno Summ'!N13</f>
        <v>531.60700569747837</v>
      </c>
      <c r="R40" s="3639">
        <f>+'Maj Techno Summ'!O13</f>
        <v>535</v>
      </c>
      <c r="S40" s="3639">
        <f>+'Maj Techno Summ'!P13</f>
        <v>546.11572549351592</v>
      </c>
      <c r="T40" s="3640">
        <f>+'Maj Techno Summ'!Q13</f>
        <v>535</v>
      </c>
      <c r="U40" s="3155">
        <f>+'Maj Techno Summ'!R13</f>
        <v>535.4532192005704</v>
      </c>
      <c r="V40" s="3639">
        <f>+'Maj Techno Summ'!S13</f>
        <v>535</v>
      </c>
      <c r="W40" s="3639">
        <f>+'Maj Techno Summ'!T13</f>
        <v>545.04129622259177</v>
      </c>
      <c r="X40" s="3640">
        <f>+'Maj Techno Summ'!U13</f>
        <v>535</v>
      </c>
      <c r="Y40" s="3155">
        <f>+'Maj Techno Summ'!V13</f>
        <v>537.37320851679817</v>
      </c>
      <c r="Z40" s="3639">
        <f>+'Maj Techno Summ'!W13</f>
        <v>532</v>
      </c>
      <c r="AA40" s="3639">
        <f>+'Maj Techno Summ'!X13</f>
        <v>555.67484198351485</v>
      </c>
      <c r="AB40" s="3641">
        <f>+'Maj Techno Summ'!Y13</f>
        <v>534.35384615384612</v>
      </c>
      <c r="AC40" s="3641">
        <f>+'Maj Techno Summ'!Z13</f>
        <v>548.80120411406619</v>
      </c>
      <c r="AD40" s="3643">
        <f>+'Maj Techno Summ'!AA13</f>
        <v>534.70297029702965</v>
      </c>
      <c r="AE40" s="3644">
        <f>+'Maj Techno Summ'!AB13</f>
        <v>540.32585645552672</v>
      </c>
      <c r="AF40" s="3639">
        <f>+'Maj Techno Summ'!AC13</f>
        <v>535</v>
      </c>
      <c r="AG40" s="3639">
        <f>+'Maj Techno Summ'!AD13</f>
        <v>562.7843202253033</v>
      </c>
      <c r="AH40" s="3640">
        <f>+'Maj Techno Summ'!AE13</f>
        <v>534.74910394265237</v>
      </c>
      <c r="AI40" s="3155">
        <f>+'Maj Techno Summ'!AF13</f>
        <v>542.98990410820079</v>
      </c>
      <c r="AJ40" s="3639">
        <f>+'Maj Techno Summ'!AG13</f>
        <v>535</v>
      </c>
      <c r="AK40" s="3639">
        <f>+'Maj Techno Summ'!AH13</f>
        <v>540.69208783845227</v>
      </c>
      <c r="AL40" s="3640">
        <f>+'Maj Techno Summ'!AI13</f>
        <v>534.78193146417448</v>
      </c>
      <c r="AM40" s="3155">
        <f>+'Maj Techno Summ'!AJ13</f>
        <v>542.70296712801007</v>
      </c>
      <c r="AN40" s="3639">
        <f>+'Maj Techno Summ'!AK13</f>
        <v>535</v>
      </c>
      <c r="AO40" s="3639">
        <f>+'Maj Techno Summ'!AL13</f>
        <v>545.88370136865422</v>
      </c>
      <c r="AP40" s="3641">
        <f>+'Maj Techno Summ'!AM13</f>
        <v>535</v>
      </c>
      <c r="AQ40" s="3641">
        <f>+'Maj Techno Summ'!AN13</f>
        <v>548.97909400314586</v>
      </c>
      <c r="AR40" s="3640">
        <f>+'Maj Techno Summ'!AO13</f>
        <v>534.80786825251607</v>
      </c>
      <c r="AS40" s="3155">
        <f>+'Maj Techno Summ'!AP13</f>
        <v>543.06556334489062</v>
      </c>
      <c r="AT40" s="3639">
        <f>+'Maj Techno Summ'!AQ13</f>
        <v>535</v>
      </c>
      <c r="AU40" s="3639">
        <f>+'Maj Techno Summ'!AR13</f>
        <v>547.04911744021069</v>
      </c>
      <c r="AV40" s="3640">
        <f>+'Maj Techno Summ'!AS13</f>
        <v>534.82857142857142</v>
      </c>
      <c r="AW40" s="3155">
        <f>+'Maj Techno Summ'!AT13</f>
        <v>543.46342179574231</v>
      </c>
      <c r="AX40" s="3639">
        <f>+'Maj Techno Summ'!AU13</f>
        <v>535</v>
      </c>
      <c r="AY40" s="3639">
        <f>+'Maj Techno Summ'!AV13</f>
        <v>548.84043269932704</v>
      </c>
      <c r="AZ40" s="3640">
        <f>+'Maj Techno Summ'!AW13</f>
        <v>534.84363365599404</v>
      </c>
      <c r="BA40" s="3155">
        <f>+'Maj Techno Summ'!AX13</f>
        <v>543.86256400804245</v>
      </c>
      <c r="BB40" s="3639">
        <f>+'Maj Techno Summ'!AY13</f>
        <v>535</v>
      </c>
      <c r="BC40" s="3639">
        <f>+'Maj Techno Summ'!AZ13</f>
        <v>535.44668059174569</v>
      </c>
      <c r="BD40" s="3645">
        <f>+'Maj Techno Summ'!BA13</f>
        <v>535</v>
      </c>
      <c r="BE40" s="3645">
        <f>+'Maj Techno Summ'!BB13</f>
        <v>543.34191552151287</v>
      </c>
      <c r="BF40" s="3643">
        <f>+'Maj Techno Summ'!BC13</f>
        <v>535</v>
      </c>
      <c r="BG40" s="3644">
        <f>+'Maj Techno Summ'!BD13</f>
        <v>546.17138430814987</v>
      </c>
      <c r="BH40" s="3640">
        <f>+'Maj Techno Summ'!BE13</f>
        <v>534.85762711864402</v>
      </c>
      <c r="BI40" s="3155">
        <f>+'Maj Techno Summ'!BF13</f>
        <v>543.13162997944096</v>
      </c>
    </row>
    <row r="41" spans="3:61" x14ac:dyDescent="0.25">
      <c r="C41" s="5992"/>
      <c r="D41" s="3665" t="s">
        <v>1797</v>
      </c>
      <c r="E41" s="543" t="s">
        <v>370</v>
      </c>
      <c r="F41" s="3668">
        <v>2.086254508453981</v>
      </c>
      <c r="G41" s="3669">
        <f>+'Maj Techno Summ'!D14</f>
        <v>2.4361020820953088</v>
      </c>
      <c r="H41" s="3670">
        <f>+'Maj Techno Summ'!E14</f>
        <v>2.4471008652249489</v>
      </c>
      <c r="I41" s="3670">
        <f>+'Maj Techno Summ'!F14</f>
        <v>2.3879780343565189</v>
      </c>
      <c r="J41" s="3670">
        <f>+'Maj Techno Summ'!G14</f>
        <v>2.4406270534121841</v>
      </c>
      <c r="K41" s="3670">
        <f>+'Maj Techno Summ'!H14</f>
        <v>2.4173399790859662</v>
      </c>
      <c r="L41" s="3671">
        <f>+'Maj Techno Summ'!I14</f>
        <v>2.4438090965065942</v>
      </c>
      <c r="M41" s="3671">
        <f>+'Maj Techno Summ'!J14</f>
        <v>2.40347160666763</v>
      </c>
      <c r="N41" s="3670">
        <f>+'Maj Techno Summ'!K14</f>
        <v>2.4471008652249489</v>
      </c>
      <c r="O41" s="3670">
        <f>+'Maj Techno Summ'!L14</f>
        <v>2.4868497260238507</v>
      </c>
      <c r="P41" s="3672">
        <f>+'Maj Techno Summ'!M14</f>
        <v>2.4448938839251428</v>
      </c>
      <c r="Q41" s="3673">
        <f>+'Maj Techno Summ'!N14</f>
        <v>2.4321568011919901</v>
      </c>
      <c r="R41" s="3670">
        <f>+'Maj Techno Summ'!O14</f>
        <v>2.3936919177696425</v>
      </c>
      <c r="S41" s="3670">
        <f>+'Maj Techno Summ'!P14</f>
        <v>2.4358635913554569</v>
      </c>
      <c r="T41" s="3674">
        <f>+'Maj Techno Summ'!Q14</f>
        <v>2.4318764349025579</v>
      </c>
      <c r="U41" s="3671">
        <f>+'Maj Techno Summ'!R14</f>
        <v>2.4331383595790892</v>
      </c>
      <c r="V41" s="3670">
        <f>+'Maj Techno Summ'!S14</f>
        <v>2.3936919177696425</v>
      </c>
      <c r="W41" s="3670">
        <f>+'Maj Techno Summ'!T14</f>
        <v>2.3754677151130301</v>
      </c>
      <c r="X41" s="3674">
        <f>+'Maj Techno Summ'!U14</f>
        <v>2.4241363300783183</v>
      </c>
      <c r="Y41" s="3671">
        <f>+'Maj Techno Summ'!V14</f>
        <v>2.4213668121745622</v>
      </c>
      <c r="Z41" s="3670">
        <f>+'Maj Techno Summ'!W14</f>
        <v>2.3168490916157101</v>
      </c>
      <c r="AA41" s="3670">
        <f>+'Maj Techno Summ'!X14</f>
        <v>2.3089599228862205</v>
      </c>
      <c r="AB41" s="3672">
        <f>+'Maj Techno Summ'!Y14</f>
        <v>2.018205442123318</v>
      </c>
      <c r="AC41" s="3672">
        <f>+'Maj Techno Summ'!Z14</f>
        <v>2.3743513256456312</v>
      </c>
      <c r="AD41" s="3675">
        <f>+'Maj Techno Summ'!AA14</f>
        <v>2.4130726567331631</v>
      </c>
      <c r="AE41" s="3676">
        <f>+'Maj Techno Summ'!AB14</f>
        <v>2.4024972748460312</v>
      </c>
      <c r="AF41" s="3670">
        <f>+'Maj Techno Summ'!AC14</f>
        <v>2.4406270534121841</v>
      </c>
      <c r="AG41" s="3670">
        <f>+'Maj Techno Summ'!AD14</f>
        <v>2.1223595645794298</v>
      </c>
      <c r="AH41" s="3674">
        <f>+'Maj Techno Summ'!AE14</f>
        <v>2.4173114280307191</v>
      </c>
      <c r="AI41" s="3671">
        <f>+'Maj Techno Summ'!AF14</f>
        <v>2.3654607440213864</v>
      </c>
      <c r="AJ41" s="3670">
        <f>+'Maj Techno Summ'!AG14</f>
        <v>2.4471008652249489</v>
      </c>
      <c r="AK41" s="3670">
        <f>+'Maj Techno Summ'!AH14</f>
        <v>2.3620869272753087</v>
      </c>
      <c r="AL41" s="3674">
        <f>+'Maj Techno Summ'!AI14</f>
        <v>2.4211678058490045</v>
      </c>
      <c r="AM41" s="3671">
        <f>+'Maj Techno Summ'!AJ14</f>
        <v>2.3650389162892789</v>
      </c>
      <c r="AN41" s="3670">
        <f>+'Maj Techno Summ'!AK14</f>
        <v>2.4406270534121841</v>
      </c>
      <c r="AO41" s="3670">
        <f>+'Maj Techno Summ'!AL14</f>
        <v>2.307723312740801</v>
      </c>
      <c r="AP41" s="3672">
        <f>+'Maj Techno Summ'!AM14</f>
        <v>2.4427364977107255</v>
      </c>
      <c r="AQ41" s="3672">
        <f>+'Maj Techno Summ'!AN14</f>
        <v>2.2684138231452518</v>
      </c>
      <c r="AR41" s="3674">
        <f>+'Maj Techno Summ'!AO14</f>
        <v>2.4234659895590478</v>
      </c>
      <c r="AS41" s="3671">
        <f>+'Maj Techno Summ'!AP14</f>
        <v>2.3583617002108994</v>
      </c>
      <c r="AT41" s="3670">
        <f>+'Maj Techno Summ'!AQ14</f>
        <v>2.478175161926218</v>
      </c>
      <c r="AU41" s="3670">
        <f>+'Maj Techno Summ'!AR14</f>
        <v>2.2672002493376202</v>
      </c>
      <c r="AV41" s="3674">
        <f>+'Maj Techno Summ'!AS14</f>
        <v>2.4292447842680946</v>
      </c>
      <c r="AW41" s="3671">
        <f>+'Maj Techno Summ'!AT14</f>
        <v>2.3489287171729178</v>
      </c>
      <c r="AX41" s="3670">
        <f>+'Maj Techno Summ'!AU14</f>
        <v>2.4614871136977587</v>
      </c>
      <c r="AY41" s="3670">
        <f>+'Maj Techno Summ'!AV14</f>
        <v>2.0074321710463376</v>
      </c>
      <c r="AZ41" s="3674">
        <f>+'Maj Techno Summ'!AW14</f>
        <v>2.4320438057542373</v>
      </c>
      <c r="BA41" s="3671">
        <f>+'Maj Techno Summ'!AX14</f>
        <v>2.3196365088422413</v>
      </c>
      <c r="BB41" s="3670">
        <f>+'Maj Techno Summ'!AY14</f>
        <v>2.478175161926218</v>
      </c>
      <c r="BC41" s="3670">
        <f>+'Maj Techno Summ'!AZ14</f>
        <v>2.3665177008969525</v>
      </c>
      <c r="BD41" s="3677">
        <f>+'Maj Techno Summ'!BA14</f>
        <v>2.4729961124760065</v>
      </c>
      <c r="BE41" s="3677">
        <f>+'Maj Techno Summ'!BB14</f>
        <v>2.2196034453298354</v>
      </c>
      <c r="BF41" s="3675">
        <f>+'Maj Techno Summ'!BC14</f>
        <v>2.4576943754640177</v>
      </c>
      <c r="BG41" s="3676">
        <f>+'Maj Techno Summ'!BD14</f>
        <v>2.2438374054957788</v>
      </c>
      <c r="BH41" s="3674">
        <f>+'Maj Techno Summ'!BE14</f>
        <v>2.4361020820953088</v>
      </c>
      <c r="BI41" s="3671">
        <f>+'Maj Techno Summ'!BF14</f>
        <v>2.3236344386382966</v>
      </c>
    </row>
    <row r="42" spans="3:61" x14ac:dyDescent="0.25">
      <c r="C42" s="5992"/>
      <c r="D42" s="3753" t="s">
        <v>1783</v>
      </c>
      <c r="E42" s="3589" t="s">
        <v>49</v>
      </c>
      <c r="F42" s="3754"/>
      <c r="G42" s="3585">
        <f>'B-FCE'!D52</f>
        <v>70</v>
      </c>
      <c r="H42" s="3585">
        <f>'B-FCE'!E52</f>
        <v>70</v>
      </c>
      <c r="I42" s="3593">
        <f>'B-FCE'!F52</f>
        <v>67.239080067070262</v>
      </c>
      <c r="J42" s="3585">
        <f>'B-FCE'!G52</f>
        <v>70</v>
      </c>
      <c r="K42" s="3593">
        <f>'B-FCE'!H52</f>
        <v>68.028877042636068</v>
      </c>
      <c r="L42" s="3586">
        <f>'B-FCE'!I52</f>
        <v>70</v>
      </c>
      <c r="M42" s="3141">
        <f>'B-FCE'!J52</f>
        <v>67.65826096832869</v>
      </c>
      <c r="N42" s="3585">
        <f>'B-FCE'!K52</f>
        <v>70</v>
      </c>
      <c r="O42" s="3593">
        <f>'B-FCE'!L52</f>
        <v>70.603076765400957</v>
      </c>
      <c r="P42" s="3594">
        <f>'B-FCE'!M52</f>
        <v>70</v>
      </c>
      <c r="Q42" s="3595">
        <f>'B-FCE'!N52</f>
        <v>68.692747687263221</v>
      </c>
      <c r="R42" s="3585">
        <f>'B-FCE'!O52</f>
        <v>70</v>
      </c>
      <c r="S42" s="3593">
        <f>'B-FCE'!P52</f>
        <v>70.948413654028116</v>
      </c>
      <c r="T42" s="3586">
        <f>'B-FCE'!Q52</f>
        <v>70</v>
      </c>
      <c r="U42" s="3141">
        <f>'B-FCE'!R52</f>
        <v>69.289486464931372</v>
      </c>
      <c r="V42" s="3585">
        <f>'B-FCE'!S52</f>
        <v>70</v>
      </c>
      <c r="W42" s="3593">
        <f>'B-FCE'!T52</f>
        <v>71.412130955035664</v>
      </c>
      <c r="X42" s="3586">
        <f>'B-FCE'!U52</f>
        <v>70</v>
      </c>
      <c r="Y42" s="3141">
        <f>'B-FCE'!V52</f>
        <v>69.713628770618854</v>
      </c>
      <c r="Z42" s="3585">
        <f>'B-FCE'!W52</f>
        <v>70</v>
      </c>
      <c r="AA42" s="3593">
        <f>'B-FCE'!X52</f>
        <v>71.775411644618927</v>
      </c>
      <c r="AB42" s="3641">
        <f>'B-FCE'!Y52</f>
        <v>70</v>
      </c>
      <c r="AC42" s="3594">
        <f>'B-FCE'!Z52</f>
        <v>71.365148800778968</v>
      </c>
      <c r="AD42" s="3643">
        <f>'B-FCE'!AA52</f>
        <v>70</v>
      </c>
      <c r="AE42" s="3598">
        <f>'B-FCE'!AB52</f>
        <v>70.045939905885675</v>
      </c>
      <c r="AF42" s="3585">
        <f>'B-FCE'!AC52</f>
        <v>70</v>
      </c>
      <c r="AG42" s="3593">
        <f>'B-FCE'!AD52</f>
        <v>70.192964767058328</v>
      </c>
      <c r="AH42" s="3586">
        <f>'B-FCE'!AE52</f>
        <v>70</v>
      </c>
      <c r="AI42" s="3141">
        <f>'B-FCE'!AF52</f>
        <v>70.063531172270629</v>
      </c>
      <c r="AJ42" s="3585">
        <f>'B-FCE'!AG52</f>
        <v>70</v>
      </c>
      <c r="AK42" s="3593">
        <f>'B-FCE'!AH52</f>
        <v>71.299475739148974</v>
      </c>
      <c r="AL42" s="3586">
        <f>'B-FCE'!AI52</f>
        <v>70</v>
      </c>
      <c r="AM42" s="3141">
        <f>'B-FCE'!AJ52</f>
        <v>70.219017942530968</v>
      </c>
      <c r="AN42" s="3585">
        <f>'B-FCE'!AK52</f>
        <v>70</v>
      </c>
      <c r="AO42" s="3593">
        <f>'B-FCE'!AL52</f>
        <v>67.962178746849304</v>
      </c>
      <c r="AP42" s="3641">
        <f>'B-FCE'!AM52</f>
        <v>70</v>
      </c>
      <c r="AQ42" s="3594">
        <f>'B-FCE'!AN52</f>
        <v>69.768783385287577</v>
      </c>
      <c r="AR42" s="3586">
        <f>'B-FCE'!AO52</f>
        <v>70</v>
      </c>
      <c r="AS42" s="3141">
        <f>'B-FCE'!AP52</f>
        <v>69.957352354064028</v>
      </c>
      <c r="AT42" s="3585">
        <f>'B-FCE'!AQ52</f>
        <v>70</v>
      </c>
      <c r="AU42" s="3593">
        <f>'B-FCE'!AR52</f>
        <v>68.691563814948694</v>
      </c>
      <c r="AV42" s="3586">
        <f>'B-FCE'!AS52</f>
        <v>70</v>
      </c>
      <c r="AW42" s="3142">
        <f>'B-FCE'!AT52</f>
        <v>69.83009985816615</v>
      </c>
      <c r="AX42" s="3585">
        <f>'B-FCE'!AU52</f>
        <v>70</v>
      </c>
      <c r="AY42" s="3593">
        <f>'B-FCE'!AV52</f>
        <v>72.190192142263896</v>
      </c>
      <c r="AZ42" s="3586">
        <f>'B-FCE'!AW52</f>
        <v>70</v>
      </c>
      <c r="BA42" s="3141">
        <f>'B-FCE'!AX52</f>
        <v>70.003590265200174</v>
      </c>
      <c r="BB42" s="3585">
        <f>'B-FCE'!AY52</f>
        <v>70</v>
      </c>
      <c r="BC42" s="3593">
        <f>'B-FCE'!AZ52</f>
        <v>72.275284582999859</v>
      </c>
      <c r="BD42" s="3596">
        <f>'B-FCE'!BA52</f>
        <v>70</v>
      </c>
      <c r="BE42" s="3596">
        <f>'B-FCE'!BB52</f>
        <v>70.969266257123536</v>
      </c>
      <c r="BF42" s="3597">
        <f>'B-FCE'!BC52</f>
        <v>70</v>
      </c>
      <c r="BG42" s="3598">
        <f>'B-FCE'!BD52</f>
        <v>70.362197475061009</v>
      </c>
      <c r="BH42" s="3586">
        <f>'B-FCE'!BE52</f>
        <v>70</v>
      </c>
      <c r="BI42" s="3141">
        <f>'B-FCE'!BF52</f>
        <v>70.19824937960361</v>
      </c>
    </row>
    <row r="43" spans="3:61" x14ac:dyDescent="0.25">
      <c r="C43" s="5992"/>
      <c r="D43" s="3753" t="s">
        <v>1784</v>
      </c>
      <c r="E43" s="3589" t="s">
        <v>49</v>
      </c>
      <c r="F43" s="3754"/>
      <c r="G43" s="3585">
        <f>'B-FCE'!D53</f>
        <v>17</v>
      </c>
      <c r="H43" s="3585">
        <f>'B-FCE'!E53</f>
        <v>17</v>
      </c>
      <c r="I43" s="3593">
        <f>'B-FCE'!F53</f>
        <v>18.342558750662512</v>
      </c>
      <c r="J43" s="3585">
        <f>'B-FCE'!G53</f>
        <v>17</v>
      </c>
      <c r="K43" s="3593">
        <f>'B-FCE'!H53</f>
        <v>16.666216811948523</v>
      </c>
      <c r="L43" s="3586">
        <f>'B-FCE'!I53</f>
        <v>17.000000000000004</v>
      </c>
      <c r="M43" s="3141">
        <f>'B-FCE'!J53</f>
        <v>17.452848424557452</v>
      </c>
      <c r="N43" s="3585">
        <f>'B-FCE'!K53</f>
        <v>17</v>
      </c>
      <c r="O43" s="3593">
        <f>'B-FCE'!L53</f>
        <v>15.047416471674611</v>
      </c>
      <c r="P43" s="3594">
        <f>'B-FCE'!M53</f>
        <v>17.000000000000004</v>
      </c>
      <c r="Q43" s="3595">
        <f>'B-FCE'!N53</f>
        <v>16.607842291735153</v>
      </c>
      <c r="R43" s="3585">
        <f>'B-FCE'!O53</f>
        <v>17</v>
      </c>
      <c r="S43" s="3593">
        <f>'B-FCE'!P53</f>
        <v>12.547111298604772</v>
      </c>
      <c r="T43" s="3586">
        <f>'B-FCE'!Q53</f>
        <v>16.999999999999986</v>
      </c>
      <c r="U43" s="3141">
        <f>'B-FCE'!R53</f>
        <v>15.533571683860011</v>
      </c>
      <c r="V43" s="3585">
        <f>'B-FCE'!S53</f>
        <v>17</v>
      </c>
      <c r="W43" s="3593">
        <f>'B-FCE'!T53</f>
        <v>16.742641892683451</v>
      </c>
      <c r="X43" s="3586">
        <f>'B-FCE'!U53</f>
        <v>17</v>
      </c>
      <c r="Y43" s="3141">
        <f>'B-FCE'!V53</f>
        <v>15.775165520462975</v>
      </c>
      <c r="Z43" s="3585">
        <f>'B-FCE'!W53</f>
        <v>17</v>
      </c>
      <c r="AA43" s="3593">
        <f>'B-FCE'!X53</f>
        <v>17.088308088955316</v>
      </c>
      <c r="AB43" s="3641">
        <f>'B-FCE'!Y53</f>
        <v>17.000000000000007</v>
      </c>
      <c r="AC43" s="3594">
        <f>'B-FCE'!Z53</f>
        <v>15.381380613189572</v>
      </c>
      <c r="AD43" s="3643">
        <f>'B-FCE'!AA53</f>
        <v>17.000000000000007</v>
      </c>
      <c r="AE43" s="3598">
        <f>'B-FCE'!AB53</f>
        <v>15.986813363310887</v>
      </c>
      <c r="AF43" s="3585">
        <f>'B-FCE'!AC53</f>
        <v>17</v>
      </c>
      <c r="AG43" s="3593">
        <f>'B-FCE'!AD53</f>
        <v>16.632684498704275</v>
      </c>
      <c r="AH43" s="3586">
        <f>'B-FCE'!AE53</f>
        <v>16.999999999999986</v>
      </c>
      <c r="AI43" s="3141">
        <f>'B-FCE'!AF53</f>
        <v>16.064090710165203</v>
      </c>
      <c r="AJ43" s="3585">
        <f>'B-FCE'!AG53</f>
        <v>17</v>
      </c>
      <c r="AK43" s="3593">
        <f>'B-FCE'!AH53</f>
        <v>16.546201866162754</v>
      </c>
      <c r="AL43" s="3586">
        <f>'B-FCE'!AI53</f>
        <v>16.999999999999986</v>
      </c>
      <c r="AM43" s="3141">
        <f>'B-FCE'!AJ53</f>
        <v>16.124742222022167</v>
      </c>
      <c r="AN43" s="3585">
        <f>'B-FCE'!AK53</f>
        <v>17</v>
      </c>
      <c r="AO43" s="3593">
        <f>'B-FCE'!AL53</f>
        <v>16.50419807859916</v>
      </c>
      <c r="AP43" s="3641">
        <f>'B-FCE'!AM53</f>
        <v>17.000000000000004</v>
      </c>
      <c r="AQ43" s="3594">
        <f>'B-FCE'!AN53</f>
        <v>16.555984687432669</v>
      </c>
      <c r="AR43" s="3586">
        <f>'B-FCE'!AO53</f>
        <v>17.000000000000004</v>
      </c>
      <c r="AS43" s="3141">
        <f>'B-FCE'!AP53</f>
        <v>16.168737620630278</v>
      </c>
      <c r="AT43" s="3585">
        <f>'B-FCE'!AQ53</f>
        <v>17</v>
      </c>
      <c r="AU43" s="3593">
        <f>'B-FCE'!AR53</f>
        <v>14.258202945770389</v>
      </c>
      <c r="AV43" s="3586">
        <f>'B-FCE'!AS53</f>
        <v>16.999999999999986</v>
      </c>
      <c r="AW43" s="3142">
        <f>'B-FCE'!AT53</f>
        <v>15.976667382701542</v>
      </c>
      <c r="AX43" s="3585">
        <f>'B-FCE'!AU53</f>
        <v>17</v>
      </c>
      <c r="AY43" s="3593">
        <f>'B-FCE'!AV53</f>
        <v>14.295112121795412</v>
      </c>
      <c r="AZ43" s="3586">
        <f>'B-FCE'!AW53</f>
        <v>17.000000000000004</v>
      </c>
      <c r="BA43" s="3141">
        <f>'B-FCE'!AX53</f>
        <v>15.853056238921063</v>
      </c>
      <c r="BB43" s="3585">
        <f>'B-FCE'!AY53</f>
        <v>17</v>
      </c>
      <c r="BC43" s="3593">
        <f>'B-FCE'!AZ53</f>
        <v>15.591139578588084</v>
      </c>
      <c r="BD43" s="3596">
        <f>'B-FCE'!BA53</f>
        <v>17.000000000000004</v>
      </c>
      <c r="BE43" s="3596">
        <f>'B-FCE'!BB53</f>
        <v>14.748408201545113</v>
      </c>
      <c r="BF43" s="3597">
        <f>'B-FCE'!BC53</f>
        <v>17.000000000000004</v>
      </c>
      <c r="BG43" s="3598">
        <f>'B-FCE'!BD53</f>
        <v>15.662476433184631</v>
      </c>
      <c r="BH43" s="3586">
        <f>'B-FCE'!BE53</f>
        <v>16.999999999999989</v>
      </c>
      <c r="BI43" s="3141">
        <f>'B-FCE'!BF53</f>
        <v>15.830612873742737</v>
      </c>
    </row>
    <row r="44" spans="3:61" x14ac:dyDescent="0.25">
      <c r="C44" s="5992"/>
      <c r="D44" s="3753" t="s">
        <v>1785</v>
      </c>
      <c r="E44" s="3589" t="s">
        <v>49</v>
      </c>
      <c r="F44" s="3754"/>
      <c r="G44" s="3585">
        <f>G42+G43</f>
        <v>87</v>
      </c>
      <c r="H44" s="3585">
        <f>H42+H43</f>
        <v>87</v>
      </c>
      <c r="I44" s="3593">
        <f t="shared" ref="I44:BI44" si="0">I42+I43</f>
        <v>85.581638817732767</v>
      </c>
      <c r="J44" s="3585">
        <f>J42+J43</f>
        <v>87</v>
      </c>
      <c r="K44" s="3593">
        <f t="shared" ref="K44" si="1">K42+K43</f>
        <v>84.695093854584599</v>
      </c>
      <c r="L44" s="3586">
        <f t="shared" si="0"/>
        <v>87</v>
      </c>
      <c r="M44" s="3141">
        <f t="shared" si="0"/>
        <v>85.111109392886135</v>
      </c>
      <c r="N44" s="3585">
        <f>N42+N43</f>
        <v>87</v>
      </c>
      <c r="O44" s="3593">
        <f t="shared" ref="O44" si="2">O42+O43</f>
        <v>85.650493237075565</v>
      </c>
      <c r="P44" s="3594">
        <f t="shared" si="0"/>
        <v>87</v>
      </c>
      <c r="Q44" s="3595">
        <f t="shared" si="0"/>
        <v>85.300589978998374</v>
      </c>
      <c r="R44" s="3585">
        <f>R42+R43</f>
        <v>87</v>
      </c>
      <c r="S44" s="3593">
        <f t="shared" ref="S44" si="3">S42+S43</f>
        <v>83.495524952632891</v>
      </c>
      <c r="T44" s="3586">
        <f t="shared" si="0"/>
        <v>86.999999999999986</v>
      </c>
      <c r="U44" s="3141">
        <f t="shared" si="0"/>
        <v>84.823058148791375</v>
      </c>
      <c r="V44" s="3585">
        <f>V42+V43</f>
        <v>87</v>
      </c>
      <c r="W44" s="3593">
        <f t="shared" ref="W44" si="4">W42+W43</f>
        <v>88.154772847719116</v>
      </c>
      <c r="X44" s="3586">
        <f t="shared" ref="X44:Y44" si="5">X42+X43</f>
        <v>87</v>
      </c>
      <c r="Y44" s="3141">
        <f t="shared" si="5"/>
        <v>85.488794291081831</v>
      </c>
      <c r="Z44" s="3585">
        <f>Z42+Z43</f>
        <v>87</v>
      </c>
      <c r="AA44" s="3593">
        <f t="shared" ref="AA44" si="6">AA42+AA43</f>
        <v>88.863719733574243</v>
      </c>
      <c r="AB44" s="3641">
        <f t="shared" si="0"/>
        <v>87</v>
      </c>
      <c r="AC44" s="3594">
        <f t="shared" si="0"/>
        <v>86.746529413968545</v>
      </c>
      <c r="AD44" s="3643">
        <f t="shared" si="0"/>
        <v>87</v>
      </c>
      <c r="AE44" s="3598">
        <f t="shared" si="0"/>
        <v>86.032753269196562</v>
      </c>
      <c r="AF44" s="3585">
        <f>AF42+AF43</f>
        <v>87</v>
      </c>
      <c r="AG44" s="3593">
        <f t="shared" ref="AG44" si="7">AG42+AG43</f>
        <v>86.825649265762607</v>
      </c>
      <c r="AH44" s="3586">
        <f t="shared" si="0"/>
        <v>86.999999999999986</v>
      </c>
      <c r="AI44" s="3141">
        <f t="shared" si="0"/>
        <v>86.127621882435832</v>
      </c>
      <c r="AJ44" s="3585">
        <f>AJ42+AJ43</f>
        <v>87</v>
      </c>
      <c r="AK44" s="3593">
        <f t="shared" ref="AK44" si="8">AK42+AK43</f>
        <v>87.845677605311721</v>
      </c>
      <c r="AL44" s="3586">
        <f t="shared" si="0"/>
        <v>86.999999999999986</v>
      </c>
      <c r="AM44" s="3141">
        <f t="shared" si="0"/>
        <v>86.343760164553132</v>
      </c>
      <c r="AN44" s="3585">
        <f>AN42+AN43</f>
        <v>87</v>
      </c>
      <c r="AO44" s="3593">
        <f t="shared" ref="AO44" si="9">AO42+AO43</f>
        <v>84.466376825448464</v>
      </c>
      <c r="AP44" s="3641">
        <f t="shared" si="0"/>
        <v>87</v>
      </c>
      <c r="AQ44" s="3594">
        <f t="shared" si="0"/>
        <v>86.324768072720246</v>
      </c>
      <c r="AR44" s="3586">
        <f t="shared" si="0"/>
        <v>87</v>
      </c>
      <c r="AS44" s="3141">
        <f t="shared" si="0"/>
        <v>86.12608997469431</v>
      </c>
      <c r="AT44" s="3585">
        <f>AT42+AT43</f>
        <v>87</v>
      </c>
      <c r="AU44" s="3593">
        <f t="shared" ref="AU44" si="10">AU42+AU43</f>
        <v>82.949766760719086</v>
      </c>
      <c r="AV44" s="3586">
        <f t="shared" si="0"/>
        <v>86.999999999999986</v>
      </c>
      <c r="AW44" s="3142">
        <f t="shared" si="0"/>
        <v>85.806767240867686</v>
      </c>
      <c r="AX44" s="3585">
        <f>AX42+AX43</f>
        <v>87</v>
      </c>
      <c r="AY44" s="3593">
        <f t="shared" ref="AY44" si="11">AY42+AY43</f>
        <v>86.485304264059309</v>
      </c>
      <c r="AZ44" s="3586">
        <f t="shared" ref="AZ44:BA44" si="12">AZ42+AZ43</f>
        <v>87</v>
      </c>
      <c r="BA44" s="3141">
        <f t="shared" si="12"/>
        <v>85.856646504121244</v>
      </c>
      <c r="BB44" s="3585">
        <f>BB42+BB43</f>
        <v>87</v>
      </c>
      <c r="BC44" s="3593">
        <f t="shared" ref="BC44" si="13">BC42+BC43</f>
        <v>87.866424161587943</v>
      </c>
      <c r="BD44" s="3596">
        <f t="shared" si="0"/>
        <v>87</v>
      </c>
      <c r="BE44" s="3596">
        <f t="shared" si="0"/>
        <v>85.717674458668654</v>
      </c>
      <c r="BF44" s="3597">
        <f t="shared" si="0"/>
        <v>87</v>
      </c>
      <c r="BG44" s="3598">
        <f t="shared" si="0"/>
        <v>86.024673908245646</v>
      </c>
      <c r="BH44" s="3586">
        <f t="shared" si="0"/>
        <v>86.999999999999986</v>
      </c>
      <c r="BI44" s="3141">
        <f t="shared" si="0"/>
        <v>86.028862253346347</v>
      </c>
    </row>
    <row r="45" spans="3:61" x14ac:dyDescent="0.25">
      <c r="C45" s="5992"/>
      <c r="D45" s="3665" t="s">
        <v>1048</v>
      </c>
      <c r="E45" s="543" t="s">
        <v>249</v>
      </c>
      <c r="F45" s="3666">
        <v>1139.2636881143576</v>
      </c>
      <c r="G45" s="3667">
        <f>+'B-FCE'!D81</f>
        <v>1175</v>
      </c>
      <c r="H45" s="3639">
        <f>+'B-FCE'!E81</f>
        <v>1175</v>
      </c>
      <c r="I45" s="3639">
        <f>+'B-FCE'!F81</f>
        <v>1169.6366534085485</v>
      </c>
      <c r="J45" s="3639">
        <f>+'B-FCE'!G81</f>
        <v>1175</v>
      </c>
      <c r="K45" s="3639">
        <f>+'B-FCE'!H81</f>
        <v>1185.0594910509444</v>
      </c>
      <c r="L45" s="3155">
        <f>+'B-FCE'!I81</f>
        <v>1175</v>
      </c>
      <c r="M45" s="3155">
        <f>+'B-FCE'!J81</f>
        <v>1177.4744889317333</v>
      </c>
      <c r="N45" s="3639">
        <f>+'B-FCE'!K81</f>
        <v>1175</v>
      </c>
      <c r="O45" s="3639">
        <f>+'B-FCE'!L81</f>
        <v>1191.5020847841542</v>
      </c>
      <c r="P45" s="3641">
        <f>+'B-FCE'!M81</f>
        <v>1175</v>
      </c>
      <c r="Q45" s="3642">
        <f>+'B-FCE'!N81</f>
        <v>1182.0989710808831</v>
      </c>
      <c r="R45" s="3639">
        <f>+'B-FCE'!O81</f>
        <v>1175</v>
      </c>
      <c r="S45" s="3639">
        <f>+'B-FCE'!P81</f>
        <v>1200.0039557354435</v>
      </c>
      <c r="T45" s="3640">
        <f>+'B-FCE'!Q81</f>
        <v>1175</v>
      </c>
      <c r="U45" s="3155">
        <f>+'B-FCE'!R81</f>
        <v>1186.6485983291732</v>
      </c>
      <c r="V45" s="3639">
        <f>+'B-FCE'!S81</f>
        <v>1175</v>
      </c>
      <c r="W45" s="3639">
        <f>+'B-FCE'!T81</f>
        <v>1194.6853780645938</v>
      </c>
      <c r="X45" s="3640">
        <f>+'B-FCE'!U81</f>
        <v>1175</v>
      </c>
      <c r="Y45" s="3155">
        <f>+'B-FCE'!V81</f>
        <v>1188.2769654651081</v>
      </c>
      <c r="Z45" s="3639">
        <f>+'B-FCE'!W81</f>
        <v>1175</v>
      </c>
      <c r="AA45" s="3639">
        <f>+'B-FCE'!X81</f>
        <v>1192.0538059017479</v>
      </c>
      <c r="AB45" s="3641">
        <f>+'B-FCE'!Y81</f>
        <v>1175</v>
      </c>
      <c r="AC45" s="3641">
        <f>+'B-FCE'!Z81</f>
        <v>1195.619386139713</v>
      </c>
      <c r="AD45" s="3643">
        <f>+'B-FCE'!AA81</f>
        <v>1175</v>
      </c>
      <c r="AE45" s="3644">
        <f>+'B-FCE'!AB81</f>
        <v>1188.896119635049</v>
      </c>
      <c r="AF45" s="3639">
        <f>+'B-FCE'!AC81</f>
        <v>1175</v>
      </c>
      <c r="AG45" s="3639">
        <f>+'B-FCE'!AD81</f>
        <v>1181.3398177837144</v>
      </c>
      <c r="AH45" s="3640">
        <f>+'B-FCE'!AE81</f>
        <v>1175</v>
      </c>
      <c r="AI45" s="3155">
        <f>+'B-FCE'!AF81</f>
        <v>1187.8015151612576</v>
      </c>
      <c r="AJ45" s="3639">
        <f>+'B-FCE'!AG81</f>
        <v>1175</v>
      </c>
      <c r="AK45" s="3639">
        <f>+'B-FCE'!AH81</f>
        <v>1190.434694173457</v>
      </c>
      <c r="AL45" s="3640">
        <f>+'B-FCE'!AI81</f>
        <v>1175</v>
      </c>
      <c r="AM45" s="3155">
        <f>+'B-FCE'!AJ81</f>
        <v>1188.1252666791511</v>
      </c>
      <c r="AN45" s="3639">
        <f>+'B-FCE'!AK81</f>
        <v>1175</v>
      </c>
      <c r="AO45" s="3639">
        <f>+'B-FCE'!AL81</f>
        <v>1174.3942610341037</v>
      </c>
      <c r="AP45" s="3641">
        <f>+'B-FCE'!AM81</f>
        <v>1175</v>
      </c>
      <c r="AQ45" s="3641">
        <f>+'B-FCE'!AN81</f>
        <v>1181.9651877016963</v>
      </c>
      <c r="AR45" s="3640">
        <f>+'B-FCE'!AO81</f>
        <v>1175</v>
      </c>
      <c r="AS45" s="3155">
        <f>+'B-FCE'!AP81</f>
        <v>1186.5774078609822</v>
      </c>
      <c r="AT45" s="3639">
        <f>+'B-FCE'!AQ81</f>
        <v>1175</v>
      </c>
      <c r="AU45" s="3639">
        <f>+'B-FCE'!AR81</f>
        <v>1192.1185457792001</v>
      </c>
      <c r="AV45" s="3640">
        <f>+'B-FCE'!AS81</f>
        <v>1175</v>
      </c>
      <c r="AW45" s="3155">
        <f>+'B-FCE'!AT81</f>
        <v>1187.138764970344</v>
      </c>
      <c r="AX45" s="3639">
        <f>+'B-FCE'!AU81</f>
        <v>1175</v>
      </c>
      <c r="AY45" s="3639">
        <f>+'B-FCE'!AV81</f>
        <v>1190.1827846096053</v>
      </c>
      <c r="AZ45" s="3640">
        <f>+'B-FCE'!AW81</f>
        <v>1175</v>
      </c>
      <c r="BA45" s="3155">
        <f>+'B-FCE'!AX81</f>
        <v>1187.3939522454916</v>
      </c>
      <c r="BB45" s="3639">
        <f>+'B-FCE'!AY81</f>
        <v>1175</v>
      </c>
      <c r="BC45" s="3639">
        <f>+'B-FCE'!AZ81</f>
        <v>1173.7284939713354</v>
      </c>
      <c r="BD45" s="3645">
        <f>+'B-FCE'!BA81</f>
        <v>1175</v>
      </c>
      <c r="BE45" s="3645">
        <f>+'B-FCE'!BB81</f>
        <v>1185.1819577926171</v>
      </c>
      <c r="BF45" s="3643">
        <f>+'B-FCE'!BC81</f>
        <v>1175</v>
      </c>
      <c r="BG45" s="3644">
        <f>+'B-FCE'!BD81</f>
        <v>1183.5558981862175</v>
      </c>
      <c r="BH45" s="3640">
        <f>+'B-FCE'!BE81</f>
        <v>1175</v>
      </c>
      <c r="BI45" s="3155">
        <f>+'B-FCE'!BF81</f>
        <v>1186.2333242824811</v>
      </c>
    </row>
    <row r="46" spans="3:61" x14ac:dyDescent="0.25">
      <c r="C46" s="5996"/>
      <c r="D46" s="3755" t="s">
        <v>19</v>
      </c>
      <c r="E46" s="3589" t="s">
        <v>242</v>
      </c>
      <c r="F46" s="3756"/>
      <c r="G46" s="3639">
        <f>'B-FCE'!D43</f>
        <v>1146.0197591850756</v>
      </c>
      <c r="H46" s="3639">
        <f>'B-FCE'!E43</f>
        <v>1146.0197591850756</v>
      </c>
      <c r="I46" s="3639">
        <f>'B-FCE'!F43</f>
        <v>1115.2616068238185</v>
      </c>
      <c r="J46" s="3639">
        <f>'B-FCE'!G43</f>
        <v>1146.0197591850756</v>
      </c>
      <c r="K46" s="3639">
        <f>'B-FCE'!H43</f>
        <v>1128.4752839801524</v>
      </c>
      <c r="L46" s="3155">
        <f>'B-FCE'!I43</f>
        <v>1146.0197591850756</v>
      </c>
      <c r="M46" s="3155">
        <f>'B-FCE'!J43</f>
        <v>1122.2743700666069</v>
      </c>
      <c r="N46" s="3639">
        <f>'B-FCE'!K43</f>
        <v>1146.0197591850756</v>
      </c>
      <c r="O46" s="3639">
        <f>'B-FCE'!L43</f>
        <v>1168.6416951476904</v>
      </c>
      <c r="P46" s="3641">
        <f>'B-FCE'!M43</f>
        <v>1146.0197591850756</v>
      </c>
      <c r="Q46" s="3642">
        <f>'B-FCE'!N43</f>
        <v>1138.5851872020905</v>
      </c>
      <c r="R46" s="3639">
        <f>'B-FCE'!O43</f>
        <v>1146.0197591850756</v>
      </c>
      <c r="S46" s="3639">
        <f>'B-FCE'!P43</f>
        <v>1172.6817812780748</v>
      </c>
      <c r="T46" s="3640">
        <f>'B-FCE'!Q43</f>
        <v>1146.0197591850754</v>
      </c>
      <c r="U46" s="3155">
        <f>'B-FCE'!R43</f>
        <v>1147.6240812181095</v>
      </c>
      <c r="V46" s="3639">
        <f>'B-FCE'!S43</f>
        <v>1146.0197591850756</v>
      </c>
      <c r="W46" s="3639">
        <f>'B-FCE'!T43</f>
        <v>1179.6089134008994</v>
      </c>
      <c r="X46" s="3640">
        <f>'B-FCE'!U43</f>
        <v>1146.0197591850754</v>
      </c>
      <c r="Y46" s="3155">
        <f>'B-FCE'!V43</f>
        <v>1154.0289667787122</v>
      </c>
      <c r="Z46" s="3639">
        <f>'B-FCE'!W43</f>
        <v>1146.0197591850756</v>
      </c>
      <c r="AA46" s="3639">
        <f>'B-FCE'!X43</f>
        <v>1186.7907343029558</v>
      </c>
      <c r="AB46" s="3641">
        <f>'B-FCE'!Y43</f>
        <v>1146.0197591850756</v>
      </c>
      <c r="AC46" s="3641">
        <f>'B-FCE'!Z43</f>
        <v>1179.4648852698817</v>
      </c>
      <c r="AD46" s="3643">
        <f>'B-FCE'!AA43</f>
        <v>1146.0197591850756</v>
      </c>
      <c r="AE46" s="3644">
        <f>'B-FCE'!AB43</f>
        <v>1159.3145040246354</v>
      </c>
      <c r="AF46" s="3639">
        <f>'B-FCE'!AC43</f>
        <v>1146.0197591850756</v>
      </c>
      <c r="AG46" s="3639">
        <f>'B-FCE'!AD43</f>
        <v>1173.1746961624856</v>
      </c>
      <c r="AH46" s="3640">
        <f>'B-FCE'!AE43</f>
        <v>1146.0197591850756</v>
      </c>
      <c r="AI46" s="3155">
        <f>'B-FCE'!AF43</f>
        <v>1160.9586152474228</v>
      </c>
      <c r="AJ46" s="3639">
        <f>'B-FCE'!AG43</f>
        <v>1146.0197591850756</v>
      </c>
      <c r="AK46" s="3639">
        <f>'B-FCE'!AH43</f>
        <v>1191.5058149107797</v>
      </c>
      <c r="AL46" s="3640">
        <f>'B-FCE'!AI43</f>
        <v>1146.0197591850756</v>
      </c>
      <c r="AM46" s="3155">
        <f>'B-FCE'!AJ43</f>
        <v>1164.7731592299351</v>
      </c>
      <c r="AN46" s="3639">
        <f>'B-FCE'!AK43</f>
        <v>1146.0197591850756</v>
      </c>
      <c r="AO46" s="3639">
        <f>'B-FCE'!AL43</f>
        <v>1149.1026033447156</v>
      </c>
      <c r="AP46" s="3641">
        <f>'B-FCE'!AM43</f>
        <v>1146.0197591850756</v>
      </c>
      <c r="AQ46" s="3641">
        <f>'B-FCE'!AN43</f>
        <v>1170.913131826082</v>
      </c>
      <c r="AR46" s="3640">
        <f>'B-FCE'!AO43</f>
        <v>1146.0197591850756</v>
      </c>
      <c r="AS46" s="3155">
        <f>'B-FCE'!AP43</f>
        <v>1162.9867527430972</v>
      </c>
      <c r="AT46" s="3639">
        <f>'B-FCE'!AQ43</f>
        <v>1146.0197591850756</v>
      </c>
      <c r="AU46" s="3639">
        <f>'B-FCE'!AR43</f>
        <v>1150.2948318857887</v>
      </c>
      <c r="AV46" s="3640">
        <f>'B-FCE'!AS43</f>
        <v>1146.0197591850756</v>
      </c>
      <c r="AW46" s="3155">
        <f>'B-FCE'!AT43</f>
        <v>1161.7191440073318</v>
      </c>
      <c r="AX46" s="3639">
        <f>'B-FCE'!AU43</f>
        <v>1146.0197591850756</v>
      </c>
      <c r="AY46" s="3639">
        <f>'B-FCE'!AV43</f>
        <v>1188.3878595123601</v>
      </c>
      <c r="AZ46" s="3640">
        <f>'B-FCE'!AW43</f>
        <v>1146.0197591850756</v>
      </c>
      <c r="BA46" s="3155">
        <f>'B-FCE'!AX43</f>
        <v>1163.6987959546216</v>
      </c>
      <c r="BB46" s="3639">
        <f>'B-FCE'!AY43</f>
        <v>1146.0197591850756</v>
      </c>
      <c r="BC46" s="3639">
        <f>'B-FCE'!AZ43</f>
        <v>1183.869406527212</v>
      </c>
      <c r="BD46" s="3645">
        <f>'B-FCE'!BA43</f>
        <v>1146.0197591850756</v>
      </c>
      <c r="BE46" s="3645">
        <f>'B-FCE'!BB43</f>
        <v>1173.2930582271642</v>
      </c>
      <c r="BF46" s="3643">
        <f>'B-FCE'!BC43</f>
        <v>1146.0197591850756</v>
      </c>
      <c r="BG46" s="3644">
        <f>'B-FCE'!BD43</f>
        <v>1172.0985018567574</v>
      </c>
      <c r="BH46" s="3640">
        <f>'B-FCE'!BE43</f>
        <v>1146.0197591850756</v>
      </c>
      <c r="BI46" s="3155">
        <f>'B-FCE'!BF43</f>
        <v>1165.4506483646283</v>
      </c>
    </row>
    <row r="47" spans="3:61" x14ac:dyDescent="0.25">
      <c r="C47" s="5996"/>
      <c r="D47" s="3755" t="s">
        <v>1289</v>
      </c>
      <c r="E47" s="3589" t="s">
        <v>242</v>
      </c>
      <c r="F47" s="3756"/>
      <c r="G47" s="3639">
        <f>'B-FCE'!D46</f>
        <v>278.31908437351831</v>
      </c>
      <c r="H47" s="3639">
        <f>'B-FCE'!E46</f>
        <v>278.31908437351831</v>
      </c>
      <c r="I47" s="3639">
        <f>'B-FCE'!F46</f>
        <v>304.2390158389851</v>
      </c>
      <c r="J47" s="3639">
        <f>'B-FCE'!G46</f>
        <v>278.31908437351831</v>
      </c>
      <c r="K47" s="3639">
        <f>'B-FCE'!H46</f>
        <v>276.46221086305951</v>
      </c>
      <c r="L47" s="3155">
        <f>'B-FCE'!I46</f>
        <v>278.31908437351831</v>
      </c>
      <c r="M47" s="3155">
        <f>'B-FCE'!J46</f>
        <v>289.49730884609829</v>
      </c>
      <c r="N47" s="3639">
        <f>'B-FCE'!K46</f>
        <v>278.31908437351831</v>
      </c>
      <c r="O47" s="3639">
        <f>'B-FCE'!L46</f>
        <v>249.06900801904783</v>
      </c>
      <c r="P47" s="3641">
        <f>'B-FCE'!M46</f>
        <v>278.31908437351825</v>
      </c>
      <c r="Q47" s="3642">
        <f>'B-FCE'!N46</f>
        <v>275.27568573682476</v>
      </c>
      <c r="R47" s="3639">
        <f>'B-FCE'!O46</f>
        <v>278.31908437351831</v>
      </c>
      <c r="S47" s="3639">
        <f>'B-FCE'!P46</f>
        <v>207.38686137920047</v>
      </c>
      <c r="T47" s="3640">
        <f>'B-FCE'!Q46</f>
        <v>278.31908437351825</v>
      </c>
      <c r="U47" s="3155">
        <f>'B-FCE'!R46</f>
        <v>257.27858353731489</v>
      </c>
      <c r="V47" s="3639">
        <f>'B-FCE'!S46</f>
        <v>278.31908437351831</v>
      </c>
      <c r="W47" s="3639">
        <f>'B-FCE'!T46</f>
        <v>276.56042952875976</v>
      </c>
      <c r="X47" s="3640">
        <f>'B-FCE'!U46</f>
        <v>278.31908437351825</v>
      </c>
      <c r="Y47" s="3155">
        <f>'B-FCE'!V46</f>
        <v>261.13972672751811</v>
      </c>
      <c r="Z47" s="3639">
        <f>'B-FCE'!W46</f>
        <v>278.31908437351831</v>
      </c>
      <c r="AA47" s="3639">
        <f>'B-FCE'!X46</f>
        <v>282.55143704782705</v>
      </c>
      <c r="AB47" s="3641">
        <f>'B-FCE'!Y46</f>
        <v>278.31908437351831</v>
      </c>
      <c r="AC47" s="3641">
        <f>'B-FCE'!Z46</f>
        <v>254.21089460448255</v>
      </c>
      <c r="AD47" s="3643">
        <f>'B-FCE'!AA46</f>
        <v>278.31908437351831</v>
      </c>
      <c r="AE47" s="3644">
        <f>'B-FCE'!AB46</f>
        <v>264.59413108201937</v>
      </c>
      <c r="AF47" s="3639">
        <f>'B-FCE'!AC46</f>
        <v>278.31908437351831</v>
      </c>
      <c r="AG47" s="3639">
        <f>'B-FCE'!AD46</f>
        <v>277.99145751842343</v>
      </c>
      <c r="AH47" s="3640">
        <f>'B-FCE'!AE46</f>
        <v>278.31908437351831</v>
      </c>
      <c r="AI47" s="3155">
        <f>'B-FCE'!AF46</f>
        <v>266.1833366666437</v>
      </c>
      <c r="AJ47" s="3639">
        <f>'B-FCE'!AG46</f>
        <v>278.31908437351831</v>
      </c>
      <c r="AK47" s="3639">
        <f>'B-FCE'!AH46</f>
        <v>276.50828472214829</v>
      </c>
      <c r="AL47" s="3640">
        <f>'B-FCE'!AI46</f>
        <v>278.31908437351831</v>
      </c>
      <c r="AM47" s="3155">
        <f>'B-FCE'!AJ46</f>
        <v>267.47265185457968</v>
      </c>
      <c r="AN47" s="3639">
        <f>'B-FCE'!AK46</f>
        <v>278.31908437351831</v>
      </c>
      <c r="AO47" s="3639">
        <f>'B-FCE'!AL46</f>
        <v>279.05251608953694</v>
      </c>
      <c r="AP47" s="3641">
        <f>'B-FCE'!AM46</f>
        <v>278.31908437351831</v>
      </c>
      <c r="AQ47" s="3641">
        <f>'B-FCE'!AN46</f>
        <v>277.85520888005561</v>
      </c>
      <c r="AR47" s="3640">
        <f>'B-FCE'!AO46</f>
        <v>278.31908437351825</v>
      </c>
      <c r="AS47" s="3155">
        <f>'B-FCE'!AP46</f>
        <v>268.7927291216244</v>
      </c>
      <c r="AT47" s="3639">
        <f>'B-FCE'!AQ46</f>
        <v>278.31908437351831</v>
      </c>
      <c r="AU47" s="3639">
        <f>'B-FCE'!AR46</f>
        <v>238.76494069464175</v>
      </c>
      <c r="AV47" s="3640">
        <f>'B-FCE'!AS46</f>
        <v>278.31908437351825</v>
      </c>
      <c r="AW47" s="3155">
        <f>'B-FCE'!AT46</f>
        <v>265.79369632322511</v>
      </c>
      <c r="AX47" s="3639">
        <f>'B-FCE'!AU46</f>
        <v>278.31908437351831</v>
      </c>
      <c r="AY47" s="3639">
        <f>'B-FCE'!AV46</f>
        <v>235.32473306666708</v>
      </c>
      <c r="AZ47" s="3640">
        <f>'B-FCE'!AW46</f>
        <v>278.31908437351831</v>
      </c>
      <c r="BA47" s="3155">
        <f>'B-FCE'!AX46</f>
        <v>263.53194725505693</v>
      </c>
      <c r="BB47" s="3639">
        <f>'B-FCE'!AY46</f>
        <v>278.31908437351831</v>
      </c>
      <c r="BC47" s="3639">
        <f>'B-FCE'!AZ46</f>
        <v>255.38291916082667</v>
      </c>
      <c r="BD47" s="3645">
        <f>'B-FCE'!BA46</f>
        <v>278.31908437351836</v>
      </c>
      <c r="BE47" s="3645">
        <f>'B-FCE'!BB46</f>
        <v>243.82674184737769</v>
      </c>
      <c r="BF47" s="3643">
        <f>'B-FCE'!BC46</f>
        <v>278.31908437351831</v>
      </c>
      <c r="BG47" s="3644">
        <f>'B-FCE'!BD46</f>
        <v>260.90664904559344</v>
      </c>
      <c r="BH47" s="3640">
        <f>'B-FCE'!BE46</f>
        <v>278.31908437351831</v>
      </c>
      <c r="BI47" s="3155">
        <f>'B-FCE'!BF46</f>
        <v>262.82419007265958</v>
      </c>
    </row>
    <row r="48" spans="3:61" x14ac:dyDescent="0.25">
      <c r="C48" s="5996"/>
      <c r="D48" s="3755" t="s">
        <v>240</v>
      </c>
      <c r="E48" s="3589" t="s">
        <v>242</v>
      </c>
      <c r="F48" s="3756"/>
      <c r="G48" s="3639">
        <f>'B-FCE'!D44</f>
        <v>212.83224099151397</v>
      </c>
      <c r="H48" s="3639">
        <f>'B-FCE'!E44</f>
        <v>212.83224099151397</v>
      </c>
      <c r="I48" s="3639">
        <f>'B-FCE'!F44</f>
        <v>239.15027754486891</v>
      </c>
      <c r="J48" s="3639">
        <f>'B-FCE'!G44</f>
        <v>212.83224099151397</v>
      </c>
      <c r="K48" s="3639">
        <f>'B-FCE'!H44</f>
        <v>253.88054396242299</v>
      </c>
      <c r="L48" s="3155">
        <f>'B-FCE'!I44</f>
        <v>212.83224099151397</v>
      </c>
      <c r="M48" s="3155">
        <f>'B-FCE'!J44</f>
        <v>246.96792509803231</v>
      </c>
      <c r="N48" s="3639">
        <f>'B-FCE'!K44</f>
        <v>212.83224099151397</v>
      </c>
      <c r="O48" s="3639">
        <f>'B-FCE'!L44</f>
        <v>237.51701308540027</v>
      </c>
      <c r="P48" s="3641">
        <f>'B-FCE'!M44</f>
        <v>212.83224099151397</v>
      </c>
      <c r="Q48" s="3642">
        <f>'B-FCE'!N44</f>
        <v>243.64334043993489</v>
      </c>
      <c r="R48" s="3639">
        <f>'B-FCE'!O44</f>
        <v>212.83224099151397</v>
      </c>
      <c r="S48" s="3639">
        <f>'B-FCE'!P44</f>
        <v>272.79675754254362</v>
      </c>
      <c r="T48" s="3640">
        <f>'B-FCE'!Q44</f>
        <v>212.83224099151397</v>
      </c>
      <c r="U48" s="3155">
        <f>'B-FCE'!R44</f>
        <v>251.37181463322327</v>
      </c>
      <c r="V48" s="3639">
        <f>'B-FCE'!S44</f>
        <v>212.83224099151397</v>
      </c>
      <c r="W48" s="3639">
        <f>'B-FCE'!T44</f>
        <v>195.66333259102376</v>
      </c>
      <c r="X48" s="3640">
        <f>'B-FCE'!U44</f>
        <v>212.83224099151397</v>
      </c>
      <c r="Y48" s="3155">
        <f>'B-FCE'!V44</f>
        <v>240.21632536268169</v>
      </c>
      <c r="Z48" s="3639">
        <f>'B-FCE'!W44</f>
        <v>212.83224099151397</v>
      </c>
      <c r="AA48" s="3639">
        <f>'B-FCE'!X44</f>
        <v>184.13595870732692</v>
      </c>
      <c r="AB48" s="3641">
        <f>'B-FCE'!Y44</f>
        <v>212.83224099151397</v>
      </c>
      <c r="AC48" s="3641">
        <f>'B-FCE'!Z44</f>
        <v>219.04253584364028</v>
      </c>
      <c r="AD48" s="3643">
        <f>'B-FCE'!AA44</f>
        <v>212.83224099151397</v>
      </c>
      <c r="AE48" s="3644">
        <f>'B-FCE'!AB44</f>
        <v>231.16874065887882</v>
      </c>
      <c r="AF48" s="3639">
        <f>'B-FCE'!AC44</f>
        <v>212.83224099151397</v>
      </c>
      <c r="AG48" s="3639">
        <f>'B-FCE'!AD44</f>
        <v>220.19037051745133</v>
      </c>
      <c r="AH48" s="3640">
        <f>'B-FCE'!AE44</f>
        <v>212.83224099151397</v>
      </c>
      <c r="AI48" s="3155">
        <f>'B-FCE'!AF44</f>
        <v>229.86647432823085</v>
      </c>
      <c r="AJ48" s="3639">
        <f>'B-FCE'!AG44</f>
        <v>212.83224099151397</v>
      </c>
      <c r="AK48" s="3639">
        <f>'B-FCE'!AH44</f>
        <v>203.11433793081414</v>
      </c>
      <c r="AL48" s="3640">
        <f>'B-FCE'!AI44</f>
        <v>212.832240991514</v>
      </c>
      <c r="AM48" s="3155">
        <f>'B-FCE'!AJ44</f>
        <v>226.52583420282744</v>
      </c>
      <c r="AN48" s="3639">
        <f>'B-FCE'!AK44</f>
        <v>212.83224099151397</v>
      </c>
      <c r="AO48" s="3639">
        <f>'B-FCE'!AL44</f>
        <v>262.64206295888476</v>
      </c>
      <c r="AP48" s="3641">
        <f>'B-FCE'!AM44</f>
        <v>212.832240991514</v>
      </c>
      <c r="AQ48" s="3641">
        <f>'B-FCE'!AN44</f>
        <v>229.50821079955625</v>
      </c>
      <c r="AR48" s="3640">
        <f>'B-FCE'!AO44</f>
        <v>212.832240991514</v>
      </c>
      <c r="AS48" s="3155">
        <f>'B-FCE'!AP44</f>
        <v>230.64299927358289</v>
      </c>
      <c r="AT48" s="3639">
        <f>'B-FCE'!AQ44</f>
        <v>212.83224099151397</v>
      </c>
      <c r="AU48" s="3639">
        <f>'B-FCE'!AR44</f>
        <v>285.51970705497291</v>
      </c>
      <c r="AV48" s="3640">
        <f>'B-FCE'!AS44</f>
        <v>212.832240991514</v>
      </c>
      <c r="AW48" s="3155">
        <f>'B-FCE'!AT44</f>
        <v>236.12382404044038</v>
      </c>
      <c r="AX48" s="3639">
        <f>'B-FCE'!AU44</f>
        <v>212.83224099151397</v>
      </c>
      <c r="AY48" s="3639">
        <f>'B-FCE'!AV44</f>
        <v>222.47759509968952</v>
      </c>
      <c r="AZ48" s="3640">
        <f>'B-FCE'!AW44</f>
        <v>212.832240991514</v>
      </c>
      <c r="BA48" s="3155">
        <f>'B-FCE'!AX44</f>
        <v>235.11084748029734</v>
      </c>
      <c r="BB48" s="3639">
        <f>'B-FCE'!AY44</f>
        <v>212.83224099151397</v>
      </c>
      <c r="BC48" s="3639">
        <f>'B-FCE'!AZ44</f>
        <v>198.74801337347543</v>
      </c>
      <c r="BD48" s="3645">
        <f>'B-FCE'!BA44</f>
        <v>212.83224099151397</v>
      </c>
      <c r="BE48" s="3645">
        <f>'B-FCE'!BB44</f>
        <v>236.12127187946777</v>
      </c>
      <c r="BF48" s="3643">
        <f>'B-FCE'!BC44</f>
        <v>212.83224099151397</v>
      </c>
      <c r="BG48" s="3644">
        <f>'B-FCE'!BD44</f>
        <v>232.80197837639713</v>
      </c>
      <c r="BH48" s="3640">
        <f>'B-FCE'!BE44</f>
        <v>212.832240991514</v>
      </c>
      <c r="BI48" s="3155">
        <f>'B-FCE'!BF44</f>
        <v>231.95267245453604</v>
      </c>
    </row>
    <row r="49" spans="3:62" x14ac:dyDescent="0.25">
      <c r="C49" s="5996"/>
      <c r="D49" s="3755" t="s">
        <v>1786</v>
      </c>
      <c r="E49" s="3589" t="s">
        <v>242</v>
      </c>
      <c r="F49" s="3756"/>
      <c r="G49" s="3639">
        <f>G46+G47+G48</f>
        <v>1637.1710845501079</v>
      </c>
      <c r="H49" s="3639">
        <f>H46+H47+H48</f>
        <v>1637.1710845501079</v>
      </c>
      <c r="I49" s="3639">
        <f t="shared" ref="I49:BI49" si="14">I46+I47+I48</f>
        <v>1658.6509002076725</v>
      </c>
      <c r="J49" s="3639">
        <f>J46+J47+J48</f>
        <v>1637.1710845501079</v>
      </c>
      <c r="K49" s="3639">
        <f t="shared" ref="K49" si="15">K46+K47+K48</f>
        <v>1658.8180388056348</v>
      </c>
      <c r="L49" s="3155">
        <f t="shared" si="14"/>
        <v>1637.1710845501079</v>
      </c>
      <c r="M49" s="3155">
        <f t="shared" si="14"/>
        <v>1658.7396040107376</v>
      </c>
      <c r="N49" s="3639">
        <f>N46+N47+N48</f>
        <v>1637.1710845501079</v>
      </c>
      <c r="O49" s="3639">
        <f t="shared" ref="O49" si="16">O46+O47+O48</f>
        <v>1655.2277162521386</v>
      </c>
      <c r="P49" s="3641">
        <f t="shared" si="14"/>
        <v>1637.1710845501079</v>
      </c>
      <c r="Q49" s="3642">
        <f t="shared" si="14"/>
        <v>1657.5042133788502</v>
      </c>
      <c r="R49" s="3639">
        <f>R46+R47+R48</f>
        <v>1637.1710845501079</v>
      </c>
      <c r="S49" s="3639">
        <f t="shared" ref="S49" si="17">S46+S47+S48</f>
        <v>1652.8654001998189</v>
      </c>
      <c r="T49" s="3640">
        <f t="shared" si="14"/>
        <v>1637.1710845501077</v>
      </c>
      <c r="U49" s="3155">
        <f t="shared" si="14"/>
        <v>1656.2744793886477</v>
      </c>
      <c r="V49" s="3639">
        <f>V46+V47+V48</f>
        <v>1637.1710845501079</v>
      </c>
      <c r="W49" s="3639">
        <f t="shared" ref="W49" si="18">W46+W47+W48</f>
        <v>1651.8326755206831</v>
      </c>
      <c r="X49" s="3640">
        <f t="shared" ref="X49:Y49" si="19">X46+X47+X48</f>
        <v>1637.1710845501077</v>
      </c>
      <c r="Y49" s="3155">
        <f t="shared" si="19"/>
        <v>1655.3850188689121</v>
      </c>
      <c r="Z49" s="3639">
        <f>Z46+Z47+Z48</f>
        <v>1637.1710845501079</v>
      </c>
      <c r="AA49" s="3639">
        <f t="shared" ref="AA49" si="20">AA46+AA47+AA48</f>
        <v>1653.4781300581096</v>
      </c>
      <c r="AB49" s="3641">
        <f t="shared" si="14"/>
        <v>1637.1710845501079</v>
      </c>
      <c r="AC49" s="3641">
        <f t="shared" si="14"/>
        <v>1652.7183157180045</v>
      </c>
      <c r="AD49" s="3643">
        <f t="shared" si="14"/>
        <v>1637.1710845501079</v>
      </c>
      <c r="AE49" s="3644">
        <f t="shared" si="14"/>
        <v>1655.0773757655336</v>
      </c>
      <c r="AF49" s="3639">
        <f>AF46+AF47+AF48</f>
        <v>1637.1710845501079</v>
      </c>
      <c r="AG49" s="3639">
        <f t="shared" ref="AG49" si="21">AG46+AG47+AG48</f>
        <v>1671.3565241983604</v>
      </c>
      <c r="AH49" s="3640">
        <f t="shared" si="14"/>
        <v>1637.1710845501079</v>
      </c>
      <c r="AI49" s="3155">
        <f t="shared" si="14"/>
        <v>1657.0084262422974</v>
      </c>
      <c r="AJ49" s="3639">
        <f>AJ46+AJ47+AJ48</f>
        <v>1637.1710845501079</v>
      </c>
      <c r="AK49" s="3639">
        <f t="shared" ref="AK49" si="22">AK46+AK47+AK48</f>
        <v>1671.1284375637422</v>
      </c>
      <c r="AL49" s="3640">
        <f t="shared" si="14"/>
        <v>1637.1710845501079</v>
      </c>
      <c r="AM49" s="3155">
        <f t="shared" si="14"/>
        <v>1658.7716452873422</v>
      </c>
      <c r="AN49" s="3639">
        <f>AN46+AN47+AN48</f>
        <v>1637.1710845501079</v>
      </c>
      <c r="AO49" s="3639">
        <f t="shared" ref="AO49" si="23">AO46+AO47+AO48</f>
        <v>1690.7971823931373</v>
      </c>
      <c r="AP49" s="3641">
        <f t="shared" si="14"/>
        <v>1637.1710845501079</v>
      </c>
      <c r="AQ49" s="3641">
        <f t="shared" si="14"/>
        <v>1678.276551505694</v>
      </c>
      <c r="AR49" s="3640">
        <f t="shared" si="14"/>
        <v>1637.1710845501079</v>
      </c>
      <c r="AS49" s="3155">
        <f t="shared" si="14"/>
        <v>1662.4224811383046</v>
      </c>
      <c r="AT49" s="3639">
        <f>AT46+AT47+AT48</f>
        <v>1637.1710845501079</v>
      </c>
      <c r="AU49" s="3639">
        <f t="shared" ref="AU49" si="24">AU46+AU47+AU48</f>
        <v>1674.5794796354035</v>
      </c>
      <c r="AV49" s="3640">
        <f t="shared" si="14"/>
        <v>1637.1710845501079</v>
      </c>
      <c r="AW49" s="3155">
        <f t="shared" si="14"/>
        <v>1663.6366643709973</v>
      </c>
      <c r="AX49" s="3639">
        <f>AX46+AX47+AX48</f>
        <v>1637.1710845501079</v>
      </c>
      <c r="AY49" s="3639">
        <f t="shared" ref="AY49" si="25">AY46+AY47+AY48</f>
        <v>1646.1901876787167</v>
      </c>
      <c r="AZ49" s="3640">
        <f t="shared" ref="AZ49:BA49" si="26">AZ46+AZ47+AZ48</f>
        <v>1637.1710845501079</v>
      </c>
      <c r="BA49" s="3155">
        <f t="shared" si="26"/>
        <v>1662.3415906899759</v>
      </c>
      <c r="BB49" s="3639">
        <f>BB46+BB47+BB48</f>
        <v>1637.1710845501079</v>
      </c>
      <c r="BC49" s="3639">
        <f t="shared" ref="BC49" si="27">BC46+BC47+BC48</f>
        <v>1638.0003390615143</v>
      </c>
      <c r="BD49" s="3645">
        <f t="shared" si="14"/>
        <v>1637.1710845501079</v>
      </c>
      <c r="BE49" s="3645">
        <f t="shared" si="14"/>
        <v>1653.2410719540096</v>
      </c>
      <c r="BF49" s="3643">
        <f t="shared" si="14"/>
        <v>1637.1710845501079</v>
      </c>
      <c r="BG49" s="3644">
        <f t="shared" si="14"/>
        <v>1665.8071292787479</v>
      </c>
      <c r="BH49" s="3640">
        <f t="shared" si="14"/>
        <v>1637.1710845501079</v>
      </c>
      <c r="BI49" s="3155">
        <f t="shared" si="14"/>
        <v>1660.2275108918238</v>
      </c>
    </row>
    <row r="50" spans="3:62" x14ac:dyDescent="0.25">
      <c r="C50" s="5996"/>
      <c r="D50" s="3678" t="s">
        <v>1417</v>
      </c>
      <c r="E50" s="543" t="s">
        <v>49</v>
      </c>
      <c r="F50" s="3679">
        <v>0.7242055547698254</v>
      </c>
      <c r="G50" s="3680">
        <f>+'B-FCE'!D83</f>
        <v>0.5428135593220339</v>
      </c>
      <c r="H50" s="3681">
        <f>+'B-FCE'!E83</f>
        <v>0.53</v>
      </c>
      <c r="I50" s="3681">
        <f>+'B-FCE'!F83</f>
        <v>0.67656430326636097</v>
      </c>
      <c r="J50" s="3681">
        <f>+'B-FCE'!G83</f>
        <v>0.53</v>
      </c>
      <c r="K50" s="3681">
        <f>+'B-FCE'!H83</f>
        <v>0.660483227748908</v>
      </c>
      <c r="L50" s="3142">
        <f>+'B-FCE'!I83</f>
        <v>0.53</v>
      </c>
      <c r="M50" s="3142">
        <f>+'B-FCE'!J83</f>
        <v>0.66802975425634203</v>
      </c>
      <c r="N50" s="3681">
        <f>+'B-FCE'!K83</f>
        <v>0.53</v>
      </c>
      <c r="O50" s="3681">
        <f>+'B-FCE'!L83</f>
        <v>0.61333254599500653</v>
      </c>
      <c r="P50" s="3603">
        <f>+'B-FCE'!M83</f>
        <v>0.53</v>
      </c>
      <c r="Q50" s="3646">
        <f>+'B-FCE'!N83</f>
        <v>0.6487887012041772</v>
      </c>
      <c r="R50" s="3681">
        <f>+'B-FCE'!O83</f>
        <v>0.53</v>
      </c>
      <c r="S50" s="3681">
        <f>+'B-FCE'!P83</f>
        <v>0.64083776122853031</v>
      </c>
      <c r="T50" s="3602">
        <f>+'B-FCE'!Q83</f>
        <v>0.53</v>
      </c>
      <c r="U50" s="3142">
        <f>+'B-FCE'!R83</f>
        <v>0.64668093338409982</v>
      </c>
      <c r="V50" s="3681">
        <f>+'B-FCE'!S83</f>
        <v>0.53</v>
      </c>
      <c r="W50" s="3681">
        <f>+'B-FCE'!T83</f>
        <v>0.6053749134978198</v>
      </c>
      <c r="X50" s="3602">
        <f>+'B-FCE'!U83</f>
        <v>0.53</v>
      </c>
      <c r="Y50" s="3142">
        <f>+'B-FCE'!V83</f>
        <v>0.6384095024500972</v>
      </c>
      <c r="Z50" s="3681">
        <f>+'B-FCE'!W83</f>
        <v>0.8</v>
      </c>
      <c r="AA50" s="3681">
        <f>+'B-FCE'!X83</f>
        <v>0.62674386842722107</v>
      </c>
      <c r="AB50" s="3603">
        <f>+'B-FCE'!Y83</f>
        <v>0.58815384615384614</v>
      </c>
      <c r="AC50" s="3603">
        <f>+'B-FCE'!Z83</f>
        <v>0.62460864863418319</v>
      </c>
      <c r="AD50" s="3606">
        <f>+'B-FCE'!AA83</f>
        <v>0.55673267326732678</v>
      </c>
      <c r="AE50" s="3607">
        <f>+'B-FCE'!AB83</f>
        <v>0.63652745676744016</v>
      </c>
      <c r="AF50" s="3681">
        <f>+'B-FCE'!AC83</f>
        <v>0.53</v>
      </c>
      <c r="AG50" s="3681">
        <f>+'B-FCE'!AD83</f>
        <v>0.73821603012782222</v>
      </c>
      <c r="AH50" s="3602">
        <f>+'B-FCE'!AE83</f>
        <v>0.55258064516129035</v>
      </c>
      <c r="AI50" s="3142">
        <f>+'B-FCE'!AF83</f>
        <v>0.64858986708817978</v>
      </c>
      <c r="AJ50" s="3681">
        <f>+'B-FCE'!AG83</f>
        <v>0.53</v>
      </c>
      <c r="AK50" s="3681">
        <f>+'B-FCE'!AH83</f>
        <v>0.54765789463279879</v>
      </c>
      <c r="AL50" s="3602">
        <f>+'B-FCE'!AI83</f>
        <v>0.54962616822429911</v>
      </c>
      <c r="AM50" s="3142">
        <f>+'B-FCE'!AJ83</f>
        <v>0.63598611118204895</v>
      </c>
      <c r="AN50" s="3681">
        <f>+'B-FCE'!AK83</f>
        <v>0.53</v>
      </c>
      <c r="AO50" s="3681">
        <f>+'B-FCE'!AL83</f>
        <v>0.59122406056901544</v>
      </c>
      <c r="AP50" s="3603">
        <f>+'B-FCE'!AM83</f>
        <v>0.53</v>
      </c>
      <c r="AQ50" s="3603">
        <f>+'B-FCE'!AN83</f>
        <v>0.61870078364403347</v>
      </c>
      <c r="AR50" s="3602">
        <f>+'B-FCE'!AO83</f>
        <v>0.547291857273559</v>
      </c>
      <c r="AS50" s="3142">
        <f>+'B-FCE'!AP83</f>
        <v>0.63088334276942892</v>
      </c>
      <c r="AT50" s="3681">
        <f>+'B-FCE'!AQ83</f>
        <v>0.53</v>
      </c>
      <c r="AU50" s="3681">
        <f>+'B-FCE'!AR83</f>
        <v>0.69047408598412296</v>
      </c>
      <c r="AV50" s="3602">
        <f>+'B-FCE'!AS83</f>
        <v>0.54542857142857137</v>
      </c>
      <c r="AW50" s="3142">
        <f>+'B-FCE'!AT83</f>
        <v>0.63683498299149954</v>
      </c>
      <c r="AX50" s="3681">
        <f>+'B-FCE'!AU83</f>
        <v>0.53</v>
      </c>
      <c r="AY50" s="3681">
        <f>+'B-FCE'!AV83</f>
        <v>0.87010859275438568</v>
      </c>
      <c r="AZ50" s="3602">
        <f>+'B-FCE'!AW83</f>
        <v>0.54407297096053597</v>
      </c>
      <c r="BA50" s="3142">
        <f>+'B-FCE'!AX83</f>
        <v>0.6541511734068689</v>
      </c>
      <c r="BB50" s="3681">
        <f>+'B-FCE'!AY83</f>
        <v>0.53</v>
      </c>
      <c r="BC50" s="3681">
        <f>+'B-FCE'!AZ83</f>
        <v>0.61038668739689161</v>
      </c>
      <c r="BD50" s="3605">
        <f>+'B-FCE'!BA83</f>
        <v>0.53</v>
      </c>
      <c r="BE50" s="3605">
        <f>+'B-FCE'!BB83</f>
        <v>0.71231166389858636</v>
      </c>
      <c r="BF50" s="3606">
        <f>+'B-FCE'!BC83</f>
        <v>0.53</v>
      </c>
      <c r="BG50" s="3607">
        <f>+'B-FCE'!BD83</f>
        <v>0.66532555823723982</v>
      </c>
      <c r="BH50" s="3602">
        <f>+'B-FCE'!BE83</f>
        <v>0.54281355932203379</v>
      </c>
      <c r="BI50" s="3142">
        <f>+'B-FCE'!BF83</f>
        <v>0.65035015211337022</v>
      </c>
    </row>
    <row r="51" spans="3:62" x14ac:dyDescent="0.25">
      <c r="C51" s="5996"/>
      <c r="D51" s="3678" t="s">
        <v>1418</v>
      </c>
      <c r="E51" s="543" t="s">
        <v>49</v>
      </c>
      <c r="F51" s="3679">
        <v>3.8244802457396719E-2</v>
      </c>
      <c r="G51" s="3680">
        <f>+'B-FCE'!D84</f>
        <v>0.05</v>
      </c>
      <c r="H51" s="3670">
        <f>+'B-FCE'!E84</f>
        <v>0.05</v>
      </c>
      <c r="I51" s="3670">
        <f>+'B-FCE'!F84</f>
        <v>4.139445683669999E-2</v>
      </c>
      <c r="J51" s="3670">
        <f>+'B-FCE'!G84</f>
        <v>0.05</v>
      </c>
      <c r="K51" s="3670">
        <f>+'B-FCE'!H84</f>
        <v>4.23272247596422E-2</v>
      </c>
      <c r="L51" s="3671">
        <f>+'B-FCE'!I84</f>
        <v>0.05</v>
      </c>
      <c r="M51" s="3671">
        <f>+'B-FCE'!J84</f>
        <v>4.1889495464227357E-2</v>
      </c>
      <c r="N51" s="3670">
        <f>+'B-FCE'!K84</f>
        <v>0.05</v>
      </c>
      <c r="O51" s="3670">
        <f>+'B-FCE'!L84</f>
        <v>3.8166186015443859E-2</v>
      </c>
      <c r="P51" s="3672">
        <f>+'B-FCE'!M84</f>
        <v>0.05</v>
      </c>
      <c r="Q51" s="3673">
        <f>+'B-FCE'!N84</f>
        <v>4.0579732189082084E-2</v>
      </c>
      <c r="R51" s="3670">
        <f>+'B-FCE'!O84</f>
        <v>0.05</v>
      </c>
      <c r="S51" s="3670">
        <f>+'B-FCE'!P84</f>
        <v>3.4138594926817221E-2</v>
      </c>
      <c r="T51" s="3674">
        <f>+'B-FCE'!Q84</f>
        <v>0.05</v>
      </c>
      <c r="U51" s="3671">
        <f>+'B-FCE'!R84</f>
        <v>3.887220806140828E-2</v>
      </c>
      <c r="V51" s="3670">
        <f>+'B-FCE'!S84</f>
        <v>0.05</v>
      </c>
      <c r="W51" s="3670">
        <f>+'B-FCE'!T84</f>
        <v>3.4513028989228228E-2</v>
      </c>
      <c r="X51" s="3602">
        <f>+'B-FCE'!U84</f>
        <v>0.05</v>
      </c>
      <c r="Y51" s="3142">
        <f>+'B-FCE'!V84</f>
        <v>3.7999292957901463E-2</v>
      </c>
      <c r="Z51" s="3670">
        <f>+'B-FCE'!W84</f>
        <v>0.05</v>
      </c>
      <c r="AA51" s="3670">
        <f>+'B-FCE'!X84</f>
        <v>3.549951756153763E-2</v>
      </c>
      <c r="AB51" s="3603">
        <f>+'B-FCE'!Y84</f>
        <v>0.05</v>
      </c>
      <c r="AC51" s="3603">
        <f>+'B-FCE'!Z84</f>
        <v>3.46955945595342E-2</v>
      </c>
      <c r="AD51" s="3606">
        <f>+'B-FCE'!AA84</f>
        <v>0.05</v>
      </c>
      <c r="AE51" s="3607">
        <f>+'B-FCE'!AB84</f>
        <v>3.7595997990554381E-2</v>
      </c>
      <c r="AF51" s="3670">
        <f>+'B-FCE'!AC84</f>
        <v>0.05</v>
      </c>
      <c r="AG51" s="3670">
        <f>+'B-FCE'!AD84</f>
        <v>3.8858986537832957E-2</v>
      </c>
      <c r="AH51" s="3602">
        <f>+'B-FCE'!AE84</f>
        <v>0.05</v>
      </c>
      <c r="AI51" s="3142">
        <f>+'B-FCE'!AF84</f>
        <v>3.7745815079969901E-2</v>
      </c>
      <c r="AJ51" s="3670">
        <f>+'B-FCE'!AG84</f>
        <v>0.05</v>
      </c>
      <c r="AK51" s="3670">
        <f>+'B-FCE'!AH84</f>
        <v>3.3078521245884285E-2</v>
      </c>
      <c r="AL51" s="3602">
        <f>+'B-FCE'!AI84</f>
        <v>0.05</v>
      </c>
      <c r="AM51" s="3142">
        <f>+'B-FCE'!AJ84</f>
        <v>3.716299250357559E-2</v>
      </c>
      <c r="AN51" s="3670">
        <f>+'B-FCE'!AK84</f>
        <v>0.05</v>
      </c>
      <c r="AO51" s="3670">
        <f>+'B-FCE'!AL84</f>
        <v>3.2638060149334992E-2</v>
      </c>
      <c r="AP51" s="3603">
        <f>+'B-FCE'!AM84</f>
        <v>0.05</v>
      </c>
      <c r="AQ51" s="3603">
        <f>+'B-FCE'!AN84</f>
        <v>3.4599139798159123E-2</v>
      </c>
      <c r="AR51" s="3602">
        <f>+'B-FCE'!AO84</f>
        <v>0.05</v>
      </c>
      <c r="AS51" s="3142">
        <f>+'B-FCE'!AP84</f>
        <v>3.6647160865609076E-2</v>
      </c>
      <c r="AT51" s="3670">
        <f>+'B-FCE'!AQ84</f>
        <v>0.05</v>
      </c>
      <c r="AU51" s="3670">
        <f>+'B-FCE'!AR84</f>
        <v>3.3590154307706899E-2</v>
      </c>
      <c r="AV51" s="3602">
        <f>+'B-FCE'!AS84</f>
        <v>0.05</v>
      </c>
      <c r="AW51" s="3142">
        <f>+'B-FCE'!AT84</f>
        <v>3.6341841579296527E-2</v>
      </c>
      <c r="AX51" s="3670">
        <f>+'B-FCE'!AU84</f>
        <v>0.05</v>
      </c>
      <c r="AY51" s="3670">
        <f>+'B-FCE'!AV84</f>
        <v>3.347434243144469E-2</v>
      </c>
      <c r="AZ51" s="3602">
        <f>+'B-FCE'!AW84</f>
        <v>0.05</v>
      </c>
      <c r="BA51" s="3142">
        <f>+'B-FCE'!AX84</f>
        <v>3.6128983548289147E-2</v>
      </c>
      <c r="BB51" s="3670">
        <f>+'B-FCE'!AY84</f>
        <v>0.05</v>
      </c>
      <c r="BC51" s="3670">
        <f>+'B-FCE'!AZ84</f>
        <v>3.2579820086642078E-2</v>
      </c>
      <c r="BD51" s="3605">
        <f>+'B-FCE'!BA84</f>
        <v>0.05</v>
      </c>
      <c r="BE51" s="3605">
        <f>+'B-FCE'!BB84</f>
        <v>3.3190268267081997E-2</v>
      </c>
      <c r="BF51" s="3606">
        <f>+'B-FCE'!BC84</f>
        <v>0.05</v>
      </c>
      <c r="BG51" s="3607">
        <f>+'B-FCE'!BD84</f>
        <v>3.3897423102528954E-2</v>
      </c>
      <c r="BH51" s="3602">
        <f>+'B-FCE'!BE84</f>
        <v>0.05</v>
      </c>
      <c r="BI51" s="3142">
        <f>+'B-FCE'!BF84</f>
        <v>3.5820732563946446E-2</v>
      </c>
    </row>
    <row r="52" spans="3:62" ht="14.4" thickBot="1" x14ac:dyDescent="0.3">
      <c r="C52" s="5993"/>
      <c r="D52" s="3568" t="s">
        <v>1049</v>
      </c>
      <c r="E52" s="3569" t="s">
        <v>242</v>
      </c>
      <c r="F52" s="3682">
        <v>413.76312883093829</v>
      </c>
      <c r="G52" s="3683">
        <f>+'B-FCE'!D82</f>
        <v>374</v>
      </c>
      <c r="H52" s="3684">
        <f>+'B-FCE'!E82</f>
        <v>374</v>
      </c>
      <c r="I52" s="3684">
        <f>+'B-FCE'!F82</f>
        <v>363.92550953983107</v>
      </c>
      <c r="J52" s="3684">
        <f>+'B-FCE'!G82</f>
        <v>374</v>
      </c>
      <c r="K52" s="3684">
        <f>+'B-FCE'!H82</f>
        <v>345.61695203825582</v>
      </c>
      <c r="L52" s="3685">
        <f>+'B-FCE'!I82</f>
        <v>374</v>
      </c>
      <c r="M52" s="3685">
        <f>+'B-FCE'!J82</f>
        <v>354.20879120651068</v>
      </c>
      <c r="N52" s="3684">
        <f>+'B-FCE'!K82</f>
        <v>374</v>
      </c>
      <c r="O52" s="3684">
        <f>+'B-FCE'!L82</f>
        <v>316.9394936477471</v>
      </c>
      <c r="P52" s="3687">
        <f>+'B-FCE'!M82</f>
        <v>374</v>
      </c>
      <c r="Q52" s="3688">
        <f>+'B-FCE'!N82</f>
        <v>341.09842315776342</v>
      </c>
      <c r="R52" s="3684">
        <f>+'B-FCE'!O82</f>
        <v>374</v>
      </c>
      <c r="S52" s="3684">
        <f>+'B-FCE'!P82</f>
        <v>348.25801262986107</v>
      </c>
      <c r="T52" s="3689">
        <f>+'B-FCE'!Q82</f>
        <v>374</v>
      </c>
      <c r="U52" s="3685">
        <f>+'B-FCE'!R82</f>
        <v>342.99640658368207</v>
      </c>
      <c r="V52" s="3684">
        <f>+'B-FCE'!S82</f>
        <v>374</v>
      </c>
      <c r="W52" s="3684">
        <f>+'B-FCE'!T82</f>
        <v>360.36693508265699</v>
      </c>
      <c r="X52" s="3689">
        <f>+'B-FCE'!U82</f>
        <v>374</v>
      </c>
      <c r="Y52" s="3685">
        <f>+'B-FCE'!V82</f>
        <v>346.47481305232651</v>
      </c>
      <c r="Z52" s="3684">
        <f>+'B-FCE'!W82</f>
        <v>374</v>
      </c>
      <c r="AA52" s="3684">
        <f>+'B-FCE'!X82</f>
        <v>352.01502802742641</v>
      </c>
      <c r="AB52" s="3687">
        <f>+'B-FCE'!Y82</f>
        <v>374</v>
      </c>
      <c r="AC52" s="3687">
        <f>+'B-FCE'!Z82</f>
        <v>353.46371969363798</v>
      </c>
      <c r="AD52" s="3690">
        <f>+'B-FCE'!AA82</f>
        <v>374</v>
      </c>
      <c r="AE52" s="3691">
        <f>+'B-FCE'!AB82</f>
        <v>347.36862968110404</v>
      </c>
      <c r="AF52" s="3684">
        <f>+'B-FCE'!AC82</f>
        <v>374</v>
      </c>
      <c r="AG52" s="3684">
        <f>+'B-FCE'!AD82</f>
        <v>388.82006197216134</v>
      </c>
      <c r="AH52" s="3689">
        <f>+'B-FCE'!AE82</f>
        <v>374</v>
      </c>
      <c r="AI52" s="3685">
        <f>+'B-FCE'!AF82</f>
        <v>352.28564413173541</v>
      </c>
      <c r="AJ52" s="3684">
        <f>+'B-FCE'!AG82</f>
        <v>374</v>
      </c>
      <c r="AK52" s="3684">
        <f>+'B-FCE'!AH82</f>
        <v>388.74481409242418</v>
      </c>
      <c r="AL52" s="3689">
        <f>+'B-FCE'!AI82</f>
        <v>374</v>
      </c>
      <c r="AM52" s="3685">
        <f>+'B-FCE'!AJ82</f>
        <v>356.83843813294055</v>
      </c>
      <c r="AN52" s="3684">
        <f>+'B-FCE'!AK82</f>
        <v>374</v>
      </c>
      <c r="AO52" s="3684">
        <f>+'B-FCE'!AL82</f>
        <v>387.22923624886209</v>
      </c>
      <c r="AP52" s="3687">
        <f>+'B-FCE'!AM82</f>
        <v>374</v>
      </c>
      <c r="AQ52" s="3687">
        <f>+'B-FCE'!AN82</f>
        <v>388.22098005170676</v>
      </c>
      <c r="AR52" s="3689">
        <f>+'B-FCE'!AO82</f>
        <v>374</v>
      </c>
      <c r="AS52" s="3685">
        <f>+'B-FCE'!AP82</f>
        <v>360.30291758677248</v>
      </c>
      <c r="AT52" s="3684">
        <f>+'B-FCE'!AQ82</f>
        <v>374</v>
      </c>
      <c r="AU52" s="3684">
        <f>+'B-FCE'!AR82</f>
        <v>384.39911391153987</v>
      </c>
      <c r="AV52" s="3689">
        <f>+'B-FCE'!AS82</f>
        <v>374</v>
      </c>
      <c r="AW52" s="3685">
        <f>+'B-FCE'!AT82</f>
        <v>362.7095311564122</v>
      </c>
      <c r="AX52" s="3684">
        <f>+'B-FCE'!AU82</f>
        <v>374</v>
      </c>
      <c r="AY52" s="3684">
        <f>+'B-FCE'!AV82</f>
        <v>366.24559392761967</v>
      </c>
      <c r="AZ52" s="3689">
        <f>+'B-FCE'!AW82</f>
        <v>374</v>
      </c>
      <c r="BA52" s="3685">
        <f>+'B-FCE'!AX82</f>
        <v>362.97201749736251</v>
      </c>
      <c r="BB52" s="3684">
        <f>+'B-FCE'!AY82</f>
        <v>374</v>
      </c>
      <c r="BC52" s="3684">
        <f>+'B-FCE'!AZ82</f>
        <v>345.38483878895494</v>
      </c>
      <c r="BD52" s="3645">
        <f>+'B-FCE'!BA82</f>
        <v>374</v>
      </c>
      <c r="BE52" s="3645">
        <f>+'B-FCE'!BB82</f>
        <v>365.07824798095601</v>
      </c>
      <c r="BF52" s="3643">
        <f>+'B-FCE'!BC82</f>
        <v>374</v>
      </c>
      <c r="BG52" s="3644">
        <f>+'B-FCE'!BD82</f>
        <v>376.69427863264553</v>
      </c>
      <c r="BH52" s="3640">
        <f>+'B-FCE'!BE82</f>
        <v>374</v>
      </c>
      <c r="BI52" s="3155">
        <f>+'B-FCE'!BF82</f>
        <v>361.44454061238355</v>
      </c>
    </row>
    <row r="53" spans="3:62" ht="14.4" thickBot="1" x14ac:dyDescent="0.3">
      <c r="C53" s="3692"/>
      <c r="D53" s="3693" t="s">
        <v>362</v>
      </c>
      <c r="E53" s="3694" t="s">
        <v>363</v>
      </c>
      <c r="F53" s="3695">
        <v>930.8611107215944</v>
      </c>
      <c r="G53" s="1718">
        <f>+'Maj Techno Summ'!D15</f>
        <v>871.29177755633066</v>
      </c>
      <c r="H53" s="3696">
        <f>+'Maj Techno Summ'!E15</f>
        <v>866.91251568708628</v>
      </c>
      <c r="I53" s="3696">
        <f>+'Maj Techno Summ'!F15</f>
        <v>846.11004846869969</v>
      </c>
      <c r="J53" s="3696">
        <f>+'Maj Techno Summ'!G15</f>
        <v>866.91251568708628</v>
      </c>
      <c r="K53" s="3696">
        <f>+'Maj Techno Summ'!H15</f>
        <v>849.34190363265725</v>
      </c>
      <c r="L53" s="3697">
        <f>+'Maj Techno Summ'!I15</f>
        <v>866.91251568708617</v>
      </c>
      <c r="M53" s="3697">
        <f>+'Maj Techno Summ'!J15</f>
        <v>847.82525876418902</v>
      </c>
      <c r="N53" s="3696">
        <f>+'Maj Techno Summ'!K15</f>
        <v>866.91251568708628</v>
      </c>
      <c r="O53" s="3696">
        <f>+'Maj Techno Summ'!L15</f>
        <v>861.73356013497948</v>
      </c>
      <c r="P53" s="3698">
        <f>+'Maj Techno Summ'!M15</f>
        <v>866.91251568708617</v>
      </c>
      <c r="Q53" s="3699">
        <f>+'Maj Techno Summ'!N15</f>
        <v>852.7178368874138</v>
      </c>
      <c r="R53" s="3696">
        <f>+'Maj Techno Summ'!O15</f>
        <v>866.91251568708628</v>
      </c>
      <c r="S53" s="3696">
        <f>+'Maj Techno Summ'!P15</f>
        <v>901.89702481912377</v>
      </c>
      <c r="T53" s="3700">
        <f>+'Maj Techno Summ'!Q15</f>
        <v>866.91251568708617</v>
      </c>
      <c r="U53" s="3697">
        <f>+'Maj Techno Summ'!R15</f>
        <v>865.75507651662667</v>
      </c>
      <c r="V53" s="3696">
        <f>+'Maj Techno Summ'!S15</f>
        <v>866.91251568708628</v>
      </c>
      <c r="W53" s="3696">
        <f>+'Maj Techno Summ'!T15</f>
        <v>901.57952496561427</v>
      </c>
      <c r="X53" s="3700">
        <f>+'Maj Techno Summ'!U15</f>
        <v>866.91251568708617</v>
      </c>
      <c r="Y53" s="3697">
        <f>+'Maj Techno Summ'!V15</f>
        <v>872.92883598099377</v>
      </c>
      <c r="Z53" s="3696">
        <f>+'Maj Techno Summ'!W15</f>
        <v>973.86831544015627</v>
      </c>
      <c r="AA53" s="3696">
        <f>+'Maj Techno Summ'!X15</f>
        <v>935.33175377395651</v>
      </c>
      <c r="AB53" s="3698">
        <f>+'Maj Techno Summ'!Y15</f>
        <v>889.9491494800551</v>
      </c>
      <c r="AC53" s="3698">
        <f>+'Maj Techno Summ'!Z15</f>
        <v>912.42943846048797</v>
      </c>
      <c r="AD53" s="3701">
        <f>+'Maj Techno Summ'!AA15</f>
        <v>877.50219883095463</v>
      </c>
      <c r="AE53" s="3702">
        <f>+'Maj Techno Summ'!AB15</f>
        <v>882.99645354786935</v>
      </c>
      <c r="AF53" s="3696">
        <f>+'Maj Techno Summ'!AC15</f>
        <v>865.57463192982163</v>
      </c>
      <c r="AG53" s="3696">
        <f>+'Maj Techno Summ'!AD15</f>
        <v>1004.8011185101312</v>
      </c>
      <c r="AH53" s="3700">
        <f>+'Maj Techno Summ'!AE15</f>
        <v>875.64964961094586</v>
      </c>
      <c r="AI53" s="3697">
        <f>+'Maj Techno Summ'!AF15</f>
        <v>897.4450567606217</v>
      </c>
      <c r="AJ53" s="3696">
        <f>+'Maj Techno Summ'!AG15</f>
        <v>865.57463192982152</v>
      </c>
      <c r="AK53" s="3696">
        <f>+'Maj Techno Summ'!AH15</f>
        <v>893.68459627022753</v>
      </c>
      <c r="AL53" s="3700">
        <f>+'Maj Techno Summ'!AI15</f>
        <v>874.33142299846224</v>
      </c>
      <c r="AM53" s="3697">
        <f>+'Maj Techno Summ'!AJ15</f>
        <v>896.97547388254475</v>
      </c>
      <c r="AN53" s="3696">
        <f>+'Maj Techno Summ'!AK15</f>
        <v>865.57463192982163</v>
      </c>
      <c r="AO53" s="3696">
        <f>+'Maj Techno Summ'!AL15</f>
        <v>893.54644300118753</v>
      </c>
      <c r="AP53" s="3698">
        <f>+'Maj Techno Summ'!AM15</f>
        <v>865.57463192982141</v>
      </c>
      <c r="AQ53" s="3698">
        <f>+'Maj Techno Summ'!AN15</f>
        <v>925.91389883925331</v>
      </c>
      <c r="AR53" s="3700">
        <f>+'Maj Techno Summ'!AO15</f>
        <v>873.28990164537595</v>
      </c>
      <c r="AS53" s="3697">
        <f>+'Maj Techno Summ'!AP15</f>
        <v>896.58457243304349</v>
      </c>
      <c r="AT53" s="3696">
        <f>+'Maj Techno Summ'!AQ15</f>
        <v>865.57463192982141</v>
      </c>
      <c r="AU53" s="3696">
        <f>+'Maj Techno Summ'!AR15</f>
        <v>883.78508121211598</v>
      </c>
      <c r="AV53" s="3700">
        <f>+'Maj Techno Summ'!AS15</f>
        <v>872.45854196990388</v>
      </c>
      <c r="AW53" s="3697">
        <f>+'Maj Techno Summ'!AT15</f>
        <v>895.30622008059743</v>
      </c>
      <c r="AX53" s="3696">
        <f>+'Maj Techno Summ'!AU15</f>
        <v>865.57463192982152</v>
      </c>
      <c r="AY53" s="3696">
        <f>+'Maj Techno Summ'!AV15</f>
        <v>942.64302305551826</v>
      </c>
      <c r="AZ53" s="3700">
        <f>+'Maj Techno Summ'!AW15</f>
        <v>871.85370102818399</v>
      </c>
      <c r="BA53" s="3697">
        <f>+'Maj Techno Summ'!AX15</f>
        <v>898.82008988696668</v>
      </c>
      <c r="BB53" s="3696">
        <f>+'Maj Techno Summ'!AY15</f>
        <v>865.57463192982141</v>
      </c>
      <c r="BC53" s="3696">
        <f>+'Maj Techno Summ'!AZ15</f>
        <v>872.08449633783346</v>
      </c>
      <c r="BD53" s="3645">
        <f>+'Maj Techno Summ'!BA15</f>
        <v>865.57463192982152</v>
      </c>
      <c r="BE53" s="3645">
        <f>+'Maj Techno Summ'!BB15</f>
        <v>896.22268581638082</v>
      </c>
      <c r="BF53" s="3643">
        <f>+'Maj Techno Summ'!BC15</f>
        <v>865.57463192982129</v>
      </c>
      <c r="BG53" s="3644">
        <f>+'Maj Techno Summ'!BD15</f>
        <v>911.12559526998984</v>
      </c>
      <c r="BH53" s="3640">
        <f>+'Maj Techno Summ'!BE15</f>
        <v>871.29177755633066</v>
      </c>
      <c r="BI53" s="3155">
        <f>+'Maj Techno Summ'!BF15</f>
        <v>896.49805735238124</v>
      </c>
    </row>
    <row r="54" spans="3:62" x14ac:dyDescent="0.25">
      <c r="C54" s="5991" t="s">
        <v>1055</v>
      </c>
      <c r="D54" s="3565" t="s">
        <v>364</v>
      </c>
      <c r="E54" s="3566" t="s">
        <v>271</v>
      </c>
      <c r="F54" s="3703">
        <v>1062.9741019163143</v>
      </c>
      <c r="G54" s="3704">
        <f>+'Maj Techno Summ'!D16</f>
        <v>1059</v>
      </c>
      <c r="H54" s="3705">
        <f>+'Maj Techno Summ'!E16</f>
        <v>1059</v>
      </c>
      <c r="I54" s="3705">
        <f>+'Maj Techno Summ'!F16</f>
        <v>1059.7699014587963</v>
      </c>
      <c r="J54" s="3705">
        <f>+'Maj Techno Summ'!G16</f>
        <v>1059</v>
      </c>
      <c r="K54" s="3705">
        <f>+'Maj Techno Summ'!H16</f>
        <v>1067.8204683947631</v>
      </c>
      <c r="L54" s="3706">
        <f>+'Maj Techno Summ'!I16</f>
        <v>1059</v>
      </c>
      <c r="M54" s="3706">
        <f>+'Maj Techno Summ'!J16</f>
        <v>1064.0639073340274</v>
      </c>
      <c r="N54" s="3705">
        <f>+'Maj Techno Summ'!K16</f>
        <v>1059</v>
      </c>
      <c r="O54" s="3705">
        <f>+'Maj Techno Summ'!L16</f>
        <v>1061.9196518424501</v>
      </c>
      <c r="P54" s="3707">
        <f>+'Maj Techno Summ'!M16</f>
        <v>1059</v>
      </c>
      <c r="Q54" s="3708">
        <f>+'Maj Techno Summ'!N16</f>
        <v>1063.3041677400013</v>
      </c>
      <c r="R54" s="3705">
        <f>+'Maj Techno Summ'!O16</f>
        <v>1059</v>
      </c>
      <c r="S54" s="3705">
        <f>+'Maj Techno Summ'!P16</f>
        <v>1051.7068973673629</v>
      </c>
      <c r="T54" s="3709">
        <f>+'Maj Techno Summ'!Q16</f>
        <v>1059</v>
      </c>
      <c r="U54" s="3706">
        <f>+'Maj Techno Summ'!R16</f>
        <v>1060.1771787668226</v>
      </c>
      <c r="V54" s="3705">
        <f>+'Maj Techno Summ'!S16</f>
        <v>1059</v>
      </c>
      <c r="W54" s="3705">
        <f>+'Maj Techno Summ'!T16</f>
        <v>1060.1658095630878</v>
      </c>
      <c r="X54" s="3709">
        <f>+'Maj Techno Summ'!U16</f>
        <v>1059</v>
      </c>
      <c r="Y54" s="3706">
        <f>+'Maj Techno Summ'!V16</f>
        <v>1060.1748861799313</v>
      </c>
      <c r="Z54" s="3705">
        <f>+'Maj Techno Summ'!W16</f>
        <v>1059</v>
      </c>
      <c r="AA54" s="3705">
        <f>+'Maj Techno Summ'!X16</f>
        <v>1063.8152587426769</v>
      </c>
      <c r="AB54" s="3707">
        <f>+'Maj Techno Summ'!Y16</f>
        <v>1059</v>
      </c>
      <c r="AC54" s="3707">
        <f>+'Maj Techno Summ'!Z16</f>
        <v>1058.3307154265726</v>
      </c>
      <c r="AD54" s="3710">
        <f>+'Maj Techno Summ'!AA16</f>
        <v>1059</v>
      </c>
      <c r="AE54" s="3711">
        <f>+'Maj Techno Summ'!AB16</f>
        <v>1060.7625483724512</v>
      </c>
      <c r="AF54" s="3705">
        <f>+'Maj Techno Summ'!AC16</f>
        <v>1059</v>
      </c>
      <c r="AG54" s="3705">
        <f>+'Maj Techno Summ'!AD16</f>
        <v>1064.5745280439282</v>
      </c>
      <c r="AH54" s="3709">
        <f>+'Maj Techno Summ'!AE16</f>
        <v>1059</v>
      </c>
      <c r="AI54" s="3706">
        <f>+'Maj Techno Summ'!AF16</f>
        <v>1061.1936844682959</v>
      </c>
      <c r="AJ54" s="3705">
        <f>+'Maj Techno Summ'!AG16</f>
        <v>1059</v>
      </c>
      <c r="AK54" s="3705">
        <f>+'Maj Techno Summ'!AH16</f>
        <v>1059.8754259222144</v>
      </c>
      <c r="AL54" s="3709">
        <f>+'Maj Techno Summ'!AI16</f>
        <v>1059</v>
      </c>
      <c r="AM54" s="3706">
        <f>+'Maj Techno Summ'!AJ16</f>
        <v>1061.026897177147</v>
      </c>
      <c r="AN54" s="3705">
        <f>+'Maj Techno Summ'!AK16</f>
        <v>1059</v>
      </c>
      <c r="AO54" s="3705">
        <f>+'Maj Techno Summ'!AL16</f>
        <v>1068.1895334200926</v>
      </c>
      <c r="AP54" s="3707">
        <f>+'Maj Techno Summ'!AM16</f>
        <v>1059</v>
      </c>
      <c r="AQ54" s="3707">
        <f>+'Maj Techno Summ'!AN16</f>
        <v>1064.2149663799164</v>
      </c>
      <c r="AR54" s="3709">
        <f>+'Maj Techno Summ'!AO16</f>
        <v>1059</v>
      </c>
      <c r="AS54" s="3706">
        <f>+'Maj Techno Summ'!AP16</f>
        <v>1061.8464368186455</v>
      </c>
      <c r="AT54" s="3705">
        <f>+'Maj Techno Summ'!AQ16</f>
        <v>1059</v>
      </c>
      <c r="AU54" s="3705">
        <f>+'Maj Techno Summ'!AR16</f>
        <v>1062.1673163865344</v>
      </c>
      <c r="AV54" s="3709">
        <f>+'Maj Techno Summ'!AS16</f>
        <v>1059</v>
      </c>
      <c r="AW54" s="3706">
        <f>+'Maj Techno Summ'!AT16</f>
        <v>1061.8785827530567</v>
      </c>
      <c r="AX54" s="3705">
        <f>+'Maj Techno Summ'!AU16</f>
        <v>1059</v>
      </c>
      <c r="AY54" s="3630">
        <f>+'Maj Techno Summ'!AV16</f>
        <v>1052.23913066978</v>
      </c>
      <c r="AZ54" s="3709">
        <f>+'Maj Techno Summ'!AW16</f>
        <v>1059</v>
      </c>
      <c r="BA54" s="3706">
        <f>+'Maj Techno Summ'!AX16</f>
        <v>1061.1540063208622</v>
      </c>
      <c r="BB54" s="3705">
        <f>+'Maj Techno Summ'!AY16</f>
        <v>1059</v>
      </c>
      <c r="BC54" s="3630">
        <f>+'Maj Techno Summ'!AZ16</f>
        <v>1038.4428162825402</v>
      </c>
      <c r="BD54" s="3645">
        <f>+'Maj Techno Summ'!BA16</f>
        <v>1059</v>
      </c>
      <c r="BE54" s="3645">
        <f>+'Maj Techno Summ'!BB16</f>
        <v>1050.6127742040003</v>
      </c>
      <c r="BF54" s="3643">
        <f>+'Maj Techno Summ'!BC16</f>
        <v>1059</v>
      </c>
      <c r="BG54" s="3644">
        <f>+'Maj Techno Summ'!BD16</f>
        <v>1057.3549740205385</v>
      </c>
      <c r="BH54" s="3640">
        <f>+'Maj Techno Summ'!BE16</f>
        <v>1059</v>
      </c>
      <c r="BI54" s="3155">
        <f>+'Maj Techno Summ'!BF16</f>
        <v>1059.1267654673456</v>
      </c>
    </row>
    <row r="55" spans="3:62" x14ac:dyDescent="0.25">
      <c r="C55" s="5992"/>
      <c r="D55" s="3665" t="s">
        <v>365</v>
      </c>
      <c r="E55" s="543" t="s">
        <v>271</v>
      </c>
      <c r="F55" s="3666">
        <v>38.506404738512508</v>
      </c>
      <c r="G55" s="3667">
        <f>+'Maj Techno Summ'!D17</f>
        <v>38</v>
      </c>
      <c r="H55" s="3639">
        <f>+'Maj Techno Summ'!E17</f>
        <v>38</v>
      </c>
      <c r="I55" s="3639">
        <f>+'Maj Techno Summ'!F17</f>
        <v>37.174669114095252</v>
      </c>
      <c r="J55" s="3639">
        <f>+'Maj Techno Summ'!G17</f>
        <v>38</v>
      </c>
      <c r="K55" s="3639">
        <f>+'Maj Techno Summ'!H17</f>
        <v>28.189893423710473</v>
      </c>
      <c r="L55" s="3155">
        <f>+'Maj Techno Summ'!I17</f>
        <v>38</v>
      </c>
      <c r="M55" s="3155">
        <f>+'Maj Techno Summ'!J17</f>
        <v>32.382375613648342</v>
      </c>
      <c r="N55" s="3639">
        <f>+'Maj Techno Summ'!K17</f>
        <v>38</v>
      </c>
      <c r="O55" s="3639">
        <f>+'Maj Techno Summ'!L17</f>
        <v>34.520831536271892</v>
      </c>
      <c r="P55" s="3641">
        <f>+'Maj Techno Summ'!M17</f>
        <v>38</v>
      </c>
      <c r="Q55" s="3642">
        <f>+'Maj Techno Summ'!N17</f>
        <v>33.140060339595784</v>
      </c>
      <c r="R55" s="3639">
        <f>+'Maj Techno Summ'!O17</f>
        <v>38</v>
      </c>
      <c r="S55" s="3639">
        <f>+'Maj Techno Summ'!P17</f>
        <v>44.526180507919989</v>
      </c>
      <c r="T55" s="3640">
        <f>+'Maj Techno Summ'!Q17</f>
        <v>38</v>
      </c>
      <c r="U55" s="3155">
        <f>+'Maj Techno Summ'!R17</f>
        <v>36.210116574348966</v>
      </c>
      <c r="V55" s="3639">
        <f>+'Maj Techno Summ'!S17</f>
        <v>38</v>
      </c>
      <c r="W55" s="3639">
        <f>+'Maj Techno Summ'!T17</f>
        <v>36.183939197549044</v>
      </c>
      <c r="X55" s="3640">
        <f>+'Maj Techno Summ'!U17</f>
        <v>38</v>
      </c>
      <c r="Y55" s="3155">
        <f>+'Maj Techno Summ'!V17</f>
        <v>36.204837936345619</v>
      </c>
      <c r="Z55" s="3639">
        <f>+'Maj Techno Summ'!W17</f>
        <v>38</v>
      </c>
      <c r="AA55" s="3639">
        <f>+'Maj Techno Summ'!X17</f>
        <v>34.040564785957052</v>
      </c>
      <c r="AB55" s="3641">
        <f>+'Maj Techno Summ'!Y17</f>
        <v>38</v>
      </c>
      <c r="AC55" s="3641">
        <f>+'Maj Techno Summ'!Z17</f>
        <v>38.453569056342083</v>
      </c>
      <c r="AD55" s="3643">
        <f>+'Maj Techno Summ'!AA17</f>
        <v>38</v>
      </c>
      <c r="AE55" s="3644">
        <f>+'Maj Techno Summ'!AB17</f>
        <v>35.855461194584279</v>
      </c>
      <c r="AF55" s="3639">
        <f>+'Maj Techno Summ'!AC17</f>
        <v>38</v>
      </c>
      <c r="AG55" s="3639">
        <f>+'Maj Techno Summ'!AD17</f>
        <v>30.862550990228854</v>
      </c>
      <c r="AH55" s="3640">
        <f>+'Maj Techno Summ'!AE17</f>
        <v>38</v>
      </c>
      <c r="AI55" s="3155">
        <f>+'Maj Techno Summ'!AF17</f>
        <v>35.29076148526643</v>
      </c>
      <c r="AJ55" s="3639">
        <f>+'Maj Techno Summ'!AG17</f>
        <v>38</v>
      </c>
      <c r="AK55" s="3639">
        <f>+'Maj Techno Summ'!AH17</f>
        <v>36.4868280014989</v>
      </c>
      <c r="AL55" s="3640">
        <f>+'Maj Techno Summ'!AI17</f>
        <v>38</v>
      </c>
      <c r="AM55" s="3155">
        <f>+'Maj Techno Summ'!AJ17</f>
        <v>35.44208892772383</v>
      </c>
      <c r="AN55" s="3639">
        <f>+'Maj Techno Summ'!AK17</f>
        <v>38</v>
      </c>
      <c r="AO55" s="3639">
        <f>+'Maj Techno Summ'!AL17</f>
        <v>27.934205192754888</v>
      </c>
      <c r="AP55" s="3641">
        <f>+'Maj Techno Summ'!AM17</f>
        <v>38</v>
      </c>
      <c r="AQ55" s="3641">
        <f>+'Maj Techno Summ'!AN17</f>
        <v>31.802546542511827</v>
      </c>
      <c r="AR55" s="3640">
        <f>+'Maj Techno Summ'!AO17</f>
        <v>38</v>
      </c>
      <c r="AS55" s="3155">
        <f>+'Maj Techno Summ'!AP17</f>
        <v>34.583046511514375</v>
      </c>
      <c r="AT55" s="3639">
        <f>+'Maj Techno Summ'!AQ17</f>
        <v>38</v>
      </c>
      <c r="AU55" s="3639">
        <f>+'Maj Techno Summ'!AR17</f>
        <v>33.23306160572163</v>
      </c>
      <c r="AV55" s="3640">
        <f>+'Maj Techno Summ'!AS17</f>
        <v>38</v>
      </c>
      <c r="AW55" s="3155">
        <f>+'Maj Techno Summ'!AT17</f>
        <v>34.447804101026328</v>
      </c>
      <c r="AX55" s="3639">
        <f>+'Maj Techno Summ'!AU17</f>
        <v>38</v>
      </c>
      <c r="AY55" s="3681">
        <f>+'Maj Techno Summ'!AV17</f>
        <v>43.482725818307607</v>
      </c>
      <c r="AZ55" s="3640">
        <f>+'Maj Techno Summ'!AW17</f>
        <v>38</v>
      </c>
      <c r="BA55" s="3155">
        <f>+'Maj Techno Summ'!AX17</f>
        <v>35.126939313952015</v>
      </c>
      <c r="BB55" s="3639">
        <f>+'Maj Techno Summ'!AY17</f>
        <v>38</v>
      </c>
      <c r="BC55" s="3681">
        <f>+'Maj Techno Summ'!AZ17</f>
        <v>54.990465926048749</v>
      </c>
      <c r="BD55" s="3645">
        <f>+'Maj Techno Summ'!BA17</f>
        <v>37.999999999999993</v>
      </c>
      <c r="BE55" s="3645">
        <f>+'Maj Techno Summ'!BB17</f>
        <v>44.153243986348834</v>
      </c>
      <c r="BF55" s="3643">
        <f>+'Maj Techno Summ'!BC17</f>
        <v>37.999999999999993</v>
      </c>
      <c r="BG55" s="3644">
        <f>+'Maj Techno Summ'!BD17</f>
        <v>38.031372675973174</v>
      </c>
      <c r="BH55" s="3640">
        <f>+'Maj Techno Summ'!BE17</f>
        <v>38</v>
      </c>
      <c r="BI55" s="3155">
        <f>+'Maj Techno Summ'!BF17</f>
        <v>36.89999271075807</v>
      </c>
    </row>
    <row r="56" spans="3:62" x14ac:dyDescent="0.25">
      <c r="C56" s="5992"/>
      <c r="D56" s="3665" t="s">
        <v>288</v>
      </c>
      <c r="E56" s="543" t="s">
        <v>271</v>
      </c>
      <c r="F56" s="3666">
        <v>1101.4805066548267</v>
      </c>
      <c r="G56" s="3667">
        <f>+'Maj Techno Summ'!D18</f>
        <v>1097</v>
      </c>
      <c r="H56" s="3639">
        <f>+'Maj Techno Summ'!E18</f>
        <v>1097</v>
      </c>
      <c r="I56" s="3639">
        <f>+'Maj Techno Summ'!F18</f>
        <v>1096.9445705728915</v>
      </c>
      <c r="J56" s="3639">
        <f>+'Maj Techno Summ'!G18</f>
        <v>1097</v>
      </c>
      <c r="K56" s="3639">
        <f>+'Maj Techno Summ'!H18</f>
        <v>1096.0103618184735</v>
      </c>
      <c r="L56" s="3155">
        <f>+'Maj Techno Summ'!I18</f>
        <v>1097</v>
      </c>
      <c r="M56" s="3155">
        <f>+'Maj Techno Summ'!J18</f>
        <v>1096.4462829476756</v>
      </c>
      <c r="N56" s="3639">
        <f>+'Maj Techno Summ'!K18</f>
        <v>1097</v>
      </c>
      <c r="O56" s="3639">
        <f>+'Maj Techno Summ'!L18</f>
        <v>1096.4404833787221</v>
      </c>
      <c r="P56" s="3641">
        <f>+'Maj Techno Summ'!M18</f>
        <v>1097</v>
      </c>
      <c r="Q56" s="3642">
        <f>+'Maj Techno Summ'!N18</f>
        <v>1096.444228079597</v>
      </c>
      <c r="R56" s="3639">
        <f>+'Maj Techno Summ'!O18</f>
        <v>1097</v>
      </c>
      <c r="S56" s="3639">
        <f>+'Maj Techno Summ'!P18</f>
        <v>1096.2330778752828</v>
      </c>
      <c r="T56" s="3640">
        <f>+'Maj Techno Summ'!Q18</f>
        <v>1097</v>
      </c>
      <c r="U56" s="3155">
        <f>+'Maj Techno Summ'!R18</f>
        <v>1096.3872953411717</v>
      </c>
      <c r="V56" s="3639">
        <f>+'Maj Techno Summ'!S18</f>
        <v>1097</v>
      </c>
      <c r="W56" s="3639">
        <f>+'Maj Techno Summ'!T18</f>
        <v>1096.3497487606369</v>
      </c>
      <c r="X56" s="3640">
        <f>+'Maj Techno Summ'!U18</f>
        <v>1097</v>
      </c>
      <c r="Y56" s="3155">
        <f>+'Maj Techno Summ'!V18</f>
        <v>1096.379724116277</v>
      </c>
      <c r="Z56" s="3639">
        <f>+'Maj Techno Summ'!W18</f>
        <v>1097</v>
      </c>
      <c r="AA56" s="3639">
        <f>+'Maj Techno Summ'!X18</f>
        <v>1097.8558235286339</v>
      </c>
      <c r="AB56" s="3641">
        <f>+'Maj Techno Summ'!Y18</f>
        <v>1097</v>
      </c>
      <c r="AC56" s="3641">
        <f>+'Maj Techno Summ'!Z18</f>
        <v>1096.7842844829147</v>
      </c>
      <c r="AD56" s="3643">
        <f>+'Maj Techno Summ'!AA18</f>
        <v>1097</v>
      </c>
      <c r="AE56" s="3644">
        <f>+'Maj Techno Summ'!AB18</f>
        <v>1096.6180095670354</v>
      </c>
      <c r="AF56" s="3639">
        <f>+'Maj Techno Summ'!AC18</f>
        <v>1097</v>
      </c>
      <c r="AG56" s="3639">
        <f>+'Maj Techno Summ'!AD18</f>
        <v>1095.437079034157</v>
      </c>
      <c r="AH56" s="3640">
        <f>+'Maj Techno Summ'!AE18</f>
        <v>1097</v>
      </c>
      <c r="AI56" s="3155">
        <f>+'Maj Techno Summ'!AF18</f>
        <v>1096.4844459535623</v>
      </c>
      <c r="AJ56" s="3639">
        <f>+'Maj Techno Summ'!AG18</f>
        <v>1097</v>
      </c>
      <c r="AK56" s="3639">
        <f>+'Maj Techno Summ'!AH18</f>
        <v>1096.3622539237133</v>
      </c>
      <c r="AL56" s="3640">
        <f>+'Maj Techno Summ'!AI18</f>
        <v>1097</v>
      </c>
      <c r="AM56" s="3155">
        <f>+'Maj Techno Summ'!AJ18</f>
        <v>1096.468986104871</v>
      </c>
      <c r="AN56" s="3639">
        <f>+'Maj Techno Summ'!AK18</f>
        <v>1097</v>
      </c>
      <c r="AO56" s="3639">
        <f>+'Maj Techno Summ'!AL18</f>
        <v>1096.1237386128475</v>
      </c>
      <c r="AP56" s="3641">
        <f>+'Maj Techno Summ'!AM18</f>
        <v>1097</v>
      </c>
      <c r="AQ56" s="3641">
        <f>+'Maj Techno Summ'!AN18</f>
        <v>1096.0175129224283</v>
      </c>
      <c r="AR56" s="3640">
        <f>+'Maj Techno Summ'!AO18</f>
        <v>1097</v>
      </c>
      <c r="AS56" s="3155">
        <f>+'Maj Techno Summ'!AP18</f>
        <v>1096.4294833301599</v>
      </c>
      <c r="AT56" s="3639">
        <f>+'Maj Techno Summ'!AQ18</f>
        <v>1097</v>
      </c>
      <c r="AU56" s="3639">
        <f>+'Maj Techno Summ'!AR18</f>
        <v>1095.4003779922559</v>
      </c>
      <c r="AV56" s="3640">
        <f>+'Maj Techno Summ'!AS18</f>
        <v>1097</v>
      </c>
      <c r="AW56" s="3155">
        <f>+'Maj Techno Summ'!AT18</f>
        <v>1096.326386854083</v>
      </c>
      <c r="AX56" s="3639">
        <f>+'Maj Techno Summ'!AU18</f>
        <v>1097</v>
      </c>
      <c r="AY56" s="3681">
        <f>+'Maj Techno Summ'!AV18</f>
        <v>1095.7218564880877</v>
      </c>
      <c r="AZ56" s="3640">
        <f>+'Maj Techno Summ'!AW18</f>
        <v>1097</v>
      </c>
      <c r="BA56" s="3155">
        <f>+'Maj Techno Summ'!AX18</f>
        <v>1096.2809456348143</v>
      </c>
      <c r="BB56" s="3639">
        <f>+'Maj Techno Summ'!AY18</f>
        <v>1097</v>
      </c>
      <c r="BC56" s="3681">
        <f>+'Maj Techno Summ'!AZ18</f>
        <v>1093.4332822085889</v>
      </c>
      <c r="BD56" s="3645">
        <f>+'Maj Techno Summ'!BA18</f>
        <v>1097</v>
      </c>
      <c r="BE56" s="3645">
        <f>+'Maj Techno Summ'!BB18</f>
        <v>1094.7660181903491</v>
      </c>
      <c r="BF56" s="3643">
        <f>+'Maj Techno Summ'!BC18</f>
        <v>1097</v>
      </c>
      <c r="BG56" s="3644">
        <f>+'Maj Techno Summ'!BD18</f>
        <v>1095.3863466965117</v>
      </c>
      <c r="BH56" s="3640">
        <f>+'Maj Techno Summ'!BE18</f>
        <v>1097</v>
      </c>
      <c r="BI56" s="3155">
        <f>+'Maj Techno Summ'!BF18</f>
        <v>1096.0267581781038</v>
      </c>
    </row>
    <row r="57" spans="3:62" x14ac:dyDescent="0.25">
      <c r="C57" s="5992"/>
      <c r="D57" s="3665" t="str">
        <f>+'Maj Techno Summ'!B19</f>
        <v>Ferro Alloys (FeMn+LCFeMn+SiMn+FeSi)</v>
      </c>
      <c r="E57" s="543" t="s">
        <v>271</v>
      </c>
      <c r="F57" s="3712">
        <v>22.930617482833931</v>
      </c>
      <c r="G57" s="3713">
        <f>+'Maj Techno Summ'!D19</f>
        <v>22.017291674197072</v>
      </c>
      <c r="H57" s="3593">
        <f>+'Maj Techno Summ'!E19</f>
        <v>22.017291674197072</v>
      </c>
      <c r="I57" s="3593">
        <f>+'Maj Techno Summ'!F19</f>
        <v>20.62119601970824</v>
      </c>
      <c r="J57" s="3593">
        <f>+'Maj Techno Summ'!G19</f>
        <v>22.017291674197072</v>
      </c>
      <c r="K57" s="3593">
        <f>+'Maj Techno Summ'!H19</f>
        <v>19.422070842383725</v>
      </c>
      <c r="L57" s="3141">
        <f>+'Maj Techno Summ'!I19</f>
        <v>22.017291674197072</v>
      </c>
      <c r="M57" s="3141">
        <f>+'Maj Techno Summ'!J19</f>
        <v>19.981607454390545</v>
      </c>
      <c r="N57" s="3593">
        <f>+'Maj Techno Summ'!K19</f>
        <v>22.017291674197072</v>
      </c>
      <c r="O57" s="3593">
        <f>+'Maj Techno Summ'!L19</f>
        <v>19.733624149219764</v>
      </c>
      <c r="P57" s="3594">
        <f>+'Maj Techno Summ'!M19</f>
        <v>22.017291674197072</v>
      </c>
      <c r="Q57" s="3595">
        <f>+'Maj Techno Summ'!N19</f>
        <v>19.893743514512209</v>
      </c>
      <c r="R57" s="3593">
        <f>+'Maj Techno Summ'!O19</f>
        <v>22.017291674197072</v>
      </c>
      <c r="S57" s="3593">
        <f>+'Maj Techno Summ'!P19</f>
        <v>20.120845849989355</v>
      </c>
      <c r="T57" s="3586">
        <f>+'Maj Techno Summ'!Q19</f>
        <v>22.017291674197072</v>
      </c>
      <c r="U57" s="3141">
        <f>+'Maj Techno Summ'!R19</f>
        <v>19.95497744939534</v>
      </c>
      <c r="V57" s="3593">
        <f>+'Maj Techno Summ'!S19</f>
        <v>22.017291674197072</v>
      </c>
      <c r="W57" s="3593">
        <f>+'Maj Techno Summ'!T19</f>
        <v>19.080809016000202</v>
      </c>
      <c r="X57" s="3640">
        <f>+'Maj Techno Summ'!U19</f>
        <v>22.017291674197072</v>
      </c>
      <c r="Y57" s="3155">
        <f>+'Maj Techno Summ'!V19</f>
        <v>19.778702387569531</v>
      </c>
      <c r="Z57" s="3593">
        <f>+'Maj Techno Summ'!W19</f>
        <v>22.017291674197072</v>
      </c>
      <c r="AA57" s="3593">
        <f>+'Maj Techno Summ'!X19</f>
        <v>17.254404951354879</v>
      </c>
      <c r="AB57" s="3641">
        <f>+'Maj Techno Summ'!Y19</f>
        <v>22.017291674197072</v>
      </c>
      <c r="AC57" s="3641">
        <f>+'Maj Techno Summ'!Z19</f>
        <v>18.871242154982866</v>
      </c>
      <c r="AD57" s="3643">
        <f>+'Maj Techno Summ'!AA19</f>
        <v>22.017291674197072</v>
      </c>
      <c r="AE57" s="3644">
        <f>+'Maj Techno Summ'!AB19</f>
        <v>19.371207236902968</v>
      </c>
      <c r="AF57" s="3593">
        <f>+'Maj Techno Summ'!AC19</f>
        <v>22.017291674197072</v>
      </c>
      <c r="AG57" s="3593">
        <f>+'Maj Techno Summ'!AD19</f>
        <v>17.868203860469528</v>
      </c>
      <c r="AH57" s="3640">
        <f>+'Maj Techno Summ'!AE19</f>
        <v>22.017291674197072</v>
      </c>
      <c r="AI57" s="3155">
        <f>+'Maj Techno Summ'!AF19</f>
        <v>19.201217083858491</v>
      </c>
      <c r="AJ57" s="3593">
        <f>+'Maj Techno Summ'!AG19</f>
        <v>22.017291674197072</v>
      </c>
      <c r="AK57" s="3593">
        <f>+'Maj Techno Summ'!AH19</f>
        <v>16.204651811313191</v>
      </c>
      <c r="AL57" s="3640">
        <f>+'Maj Techno Summ'!AI19</f>
        <v>22.017291674197072</v>
      </c>
      <c r="AM57" s="3155">
        <f>+'Maj Techno Summ'!AJ19</f>
        <v>18.822088872595366</v>
      </c>
      <c r="AN57" s="3593">
        <f>+'Maj Techno Summ'!AK19</f>
        <v>22.017291674197072</v>
      </c>
      <c r="AO57" s="3593">
        <f>+'Maj Techno Summ'!AL19</f>
        <v>17.49634117722356</v>
      </c>
      <c r="AP57" s="3641">
        <f>+'Maj Techno Summ'!AM19</f>
        <v>22.017291674197072</v>
      </c>
      <c r="AQ57" s="3641">
        <f>+'Maj Techno Summ'!AN19</f>
        <v>17.138980636573425</v>
      </c>
      <c r="AR57" s="3640">
        <f>+'Maj Techno Summ'!AO19</f>
        <v>22.017291674197072</v>
      </c>
      <c r="AS57" s="3155">
        <f>+'Maj Techno Summ'!AP19</f>
        <v>18.670398523660968</v>
      </c>
      <c r="AT57" s="3593">
        <f>+'Maj Techno Summ'!AQ19</f>
        <v>22.017291674197072</v>
      </c>
      <c r="AU57" s="3593">
        <f>+'Maj Techno Summ'!AR19</f>
        <v>17.201717189877527</v>
      </c>
      <c r="AV57" s="3640">
        <f>+'Maj Techno Summ'!AS19</f>
        <v>22.017291674197072</v>
      </c>
      <c r="AW57" s="3155">
        <f>+'Maj Techno Summ'!AT19</f>
        <v>18.523265023895636</v>
      </c>
      <c r="AX57" s="3593">
        <f>+'Maj Techno Summ'!AU19</f>
        <v>22.017291674197072</v>
      </c>
      <c r="AY57" s="3593">
        <f>+'Maj Techno Summ'!AV19</f>
        <v>16.786191464521988</v>
      </c>
      <c r="AZ57" s="3640">
        <f>+'Maj Techno Summ'!AW19</f>
        <v>22.017291674197072</v>
      </c>
      <c r="BA57" s="3155">
        <f>+'Maj Techno Summ'!AX19</f>
        <v>18.392693021334026</v>
      </c>
      <c r="BB57" s="3593">
        <f>+'Maj Techno Summ'!AY19</f>
        <v>22.017291674197072</v>
      </c>
      <c r="BC57" s="3593">
        <f>+'Maj Techno Summ'!AZ19</f>
        <v>17.903332780633395</v>
      </c>
      <c r="BD57" s="3645">
        <f>+'Maj Techno Summ'!BA19</f>
        <v>22.017291674197072</v>
      </c>
      <c r="BE57" s="3645">
        <f>+'Maj Techno Summ'!BB19</f>
        <v>17.342903822846601</v>
      </c>
      <c r="BF57" s="3643">
        <f>+'Maj Techno Summ'!BC19</f>
        <v>22.017291674197072</v>
      </c>
      <c r="BG57" s="3644">
        <f>+'Maj Techno Summ'!BD19</f>
        <v>17.241825198805891</v>
      </c>
      <c r="BH57" s="3640">
        <f>+'Maj Techno Summ'!BE19</f>
        <v>22.017291674197072</v>
      </c>
      <c r="BI57" s="3155">
        <f>+'Maj Techno Summ'!BF19</f>
        <v>18.349011863703755</v>
      </c>
    </row>
    <row r="58" spans="3:62" x14ac:dyDescent="0.25">
      <c r="C58" s="5992"/>
      <c r="D58" s="3665" t="s">
        <v>1050</v>
      </c>
      <c r="E58" s="543" t="s">
        <v>1051</v>
      </c>
      <c r="F58" s="3666">
        <v>150.30561739885829</v>
      </c>
      <c r="G58" s="3667">
        <f>+SMS!D52</f>
        <v>150</v>
      </c>
      <c r="H58" s="3639">
        <f>+SMS!E52</f>
        <v>150</v>
      </c>
      <c r="I58" s="3639">
        <f>+SMS!F52</f>
        <v>156.4773771730915</v>
      </c>
      <c r="J58" s="3639">
        <f>+SMS!G52</f>
        <v>150</v>
      </c>
      <c r="K58" s="3639">
        <f>+SMS!H52</f>
        <v>156.09373350923482</v>
      </c>
      <c r="L58" s="3155">
        <f>+SMS!I52</f>
        <v>150</v>
      </c>
      <c r="M58" s="3155">
        <f>+SMS!J52</f>
        <v>156.27251497005989</v>
      </c>
      <c r="N58" s="3639">
        <f>+SMS!K52</f>
        <v>150</v>
      </c>
      <c r="O58" s="3639">
        <f>+SMS!L52</f>
        <v>156.46098971722364</v>
      </c>
      <c r="P58" s="3641">
        <f>+SMS!M52</f>
        <v>150</v>
      </c>
      <c r="Q58" s="3642">
        <f>+SMS!N52</f>
        <v>156.33924232081912</v>
      </c>
      <c r="R58" s="3639">
        <f>+SMS!O52</f>
        <v>150</v>
      </c>
      <c r="S58" s="3639">
        <f>+SMS!P52</f>
        <v>157.55390683229814</v>
      </c>
      <c r="T58" s="3640">
        <f>+SMS!Q52</f>
        <v>150</v>
      </c>
      <c r="U58" s="3155">
        <f>+SMS!R52</f>
        <v>156.66490591174025</v>
      </c>
      <c r="V58" s="3639">
        <f>+SMS!S52</f>
        <v>150</v>
      </c>
      <c r="W58" s="3639">
        <f>+SMS!T52</f>
        <v>156.84606600660064</v>
      </c>
      <c r="X58" s="3640">
        <f>+SMS!U52</f>
        <v>150</v>
      </c>
      <c r="Y58" s="3155">
        <f>+SMS!V52</f>
        <v>156.70140292553191</v>
      </c>
      <c r="Z58" s="3639">
        <f>+SMS!W52</f>
        <v>150</v>
      </c>
      <c r="AA58" s="3639">
        <f>+SMS!X52</f>
        <v>156.66201657458564</v>
      </c>
      <c r="AB58" s="3641">
        <f>+SMS!Y52</f>
        <v>150</v>
      </c>
      <c r="AC58" s="3641">
        <f>+SMS!Z52</f>
        <v>157.03699540782856</v>
      </c>
      <c r="AD58" s="3643">
        <f>+SMS!AA52</f>
        <v>150</v>
      </c>
      <c r="AE58" s="3644">
        <f>+SMS!AB52</f>
        <v>156.69504348795721</v>
      </c>
      <c r="AF58" s="3639">
        <f>+SMS!AC52</f>
        <v>150</v>
      </c>
      <c r="AG58" s="3639">
        <f>+SMS!AD52</f>
        <v>156.50769432314411</v>
      </c>
      <c r="AH58" s="3640">
        <f>+SMS!AE52</f>
        <v>150</v>
      </c>
      <c r="AI58" s="3155">
        <f>+SMS!AF52</f>
        <v>156.67383170177001</v>
      </c>
      <c r="AJ58" s="3639">
        <f>+SMS!AG52</f>
        <v>150</v>
      </c>
      <c r="AK58" s="3639">
        <f>+SMS!AH52</f>
        <v>157.51657515442687</v>
      </c>
      <c r="AL58" s="3640">
        <f>+SMS!AI52</f>
        <v>149.99999999999997</v>
      </c>
      <c r="AM58" s="3155">
        <f>+SMS!AJ52</f>
        <v>156.77995764909249</v>
      </c>
      <c r="AN58" s="3639">
        <f>+SMS!AK52</f>
        <v>150</v>
      </c>
      <c r="AO58" s="3639">
        <f>+SMS!AL52</f>
        <v>155.82804521276597</v>
      </c>
      <c r="AP58" s="3641">
        <f>+SMS!AM52</f>
        <v>150</v>
      </c>
      <c r="AQ58" s="3641">
        <f>+SMS!AN52</f>
        <v>156.61674135411593</v>
      </c>
      <c r="AR58" s="3640">
        <f>+SMS!AO52</f>
        <v>150</v>
      </c>
      <c r="AS58" s="3155">
        <f>+SMS!AP52</f>
        <v>156.67045204222123</v>
      </c>
      <c r="AT58" s="3639">
        <f>+SMS!AQ52</f>
        <v>150</v>
      </c>
      <c r="AU58" s="3593">
        <f>+SMS!AR52</f>
        <v>156.08992470910337</v>
      </c>
      <c r="AV58" s="3640">
        <f>+SMS!AS52</f>
        <v>150</v>
      </c>
      <c r="AW58" s="3155">
        <f>+SMS!AT52</f>
        <v>156.61209975920193</v>
      </c>
      <c r="AX58" s="3639">
        <f>+SMS!AU52</f>
        <v>150</v>
      </c>
      <c r="AY58" s="3593">
        <f>+SMS!AV52</f>
        <v>156.13178902953587</v>
      </c>
      <c r="AZ58" s="3640">
        <f>+SMS!AW52</f>
        <v>150.00000000000003</v>
      </c>
      <c r="BA58" s="3155">
        <f>+SMS!AX52</f>
        <v>156.575893129771</v>
      </c>
      <c r="BB58" s="3639">
        <f>+SMS!AY52</f>
        <v>150</v>
      </c>
      <c r="BC58" s="3593">
        <f>+SMS!AZ52</f>
        <v>158.08646788990828</v>
      </c>
      <c r="BD58" s="3645">
        <f>+SMS!BA52</f>
        <v>150</v>
      </c>
      <c r="BE58" s="3645">
        <f>+SMS!BB52</f>
        <v>156.83209491850434</v>
      </c>
      <c r="BF58" s="3643">
        <f>+SMS!BC52</f>
        <v>150</v>
      </c>
      <c r="BG58" s="3644">
        <f>+SMS!BD52</f>
        <v>156.72527663686881</v>
      </c>
      <c r="BH58" s="3640">
        <f>+SMS!BE52</f>
        <v>150</v>
      </c>
      <c r="BI58" s="3155">
        <f>+SMS!BF52</f>
        <v>156.70955525919055</v>
      </c>
    </row>
    <row r="59" spans="3:62" x14ac:dyDescent="0.25">
      <c r="C59" s="5992"/>
      <c r="D59" s="3665" t="s">
        <v>1419</v>
      </c>
      <c r="E59" s="543" t="s">
        <v>271</v>
      </c>
      <c r="F59" s="3714">
        <v>10.871440685841032</v>
      </c>
      <c r="G59" s="3680">
        <f>+SMS!D104</f>
        <v>9</v>
      </c>
      <c r="H59" s="3681">
        <f>+SMS!E104</f>
        <v>9</v>
      </c>
      <c r="I59" s="3681">
        <f>+SMS!F104</f>
        <v>7.4</v>
      </c>
      <c r="J59" s="3681">
        <f>+SMS!G104</f>
        <v>9</v>
      </c>
      <c r="K59" s="3681">
        <f>+SMS!H104</f>
        <v>7.5</v>
      </c>
      <c r="L59" s="3142">
        <f>+SMS!I104</f>
        <v>9</v>
      </c>
      <c r="M59" s="3142">
        <f>+SMS!J104</f>
        <v>7.4533379314697354</v>
      </c>
      <c r="N59" s="3681">
        <f>+SMS!K104</f>
        <v>9</v>
      </c>
      <c r="O59" s="3681">
        <f>+SMS!L104</f>
        <v>6.4</v>
      </c>
      <c r="P59" s="3595">
        <f>+SMS!M104</f>
        <v>9</v>
      </c>
      <c r="Q59" s="3594">
        <f>+SMS!N104</f>
        <v>7.0801256274459297</v>
      </c>
      <c r="R59" s="3593">
        <f>+SMS!O104</f>
        <v>9</v>
      </c>
      <c r="S59" s="3593">
        <f>+SMS!P104</f>
        <v>6.46</v>
      </c>
      <c r="T59" s="3155">
        <f>+SMS!Q104</f>
        <v>8.9999999999999982</v>
      </c>
      <c r="U59" s="3141">
        <f>+SMS!R104</f>
        <v>6.9129202474986</v>
      </c>
      <c r="V59" s="3593">
        <f>+SMS!S104</f>
        <v>9</v>
      </c>
      <c r="W59" s="3593">
        <f>+SMS!T104</f>
        <v>7.3</v>
      </c>
      <c r="X59" s="3155">
        <f>+SMS!U104</f>
        <v>8.9999999999999982</v>
      </c>
      <c r="Y59" s="3141">
        <f>+SMS!V104</f>
        <v>6.9909744355670211</v>
      </c>
      <c r="Z59" s="3593">
        <f>+SMS!W104</f>
        <v>9</v>
      </c>
      <c r="AA59" s="3593">
        <f>+SMS!X104</f>
        <v>6.6</v>
      </c>
      <c r="AB59" s="3594">
        <f>+SMS!Y104</f>
        <v>9</v>
      </c>
      <c r="AC59" s="3594">
        <f>+SMS!Z104</f>
        <v>6.7821711080568869</v>
      </c>
      <c r="AD59" s="3597">
        <f>+SMS!AA104</f>
        <v>8.9999999999999982</v>
      </c>
      <c r="AE59" s="3598">
        <f>+SMS!AB104</f>
        <v>6.927859770772578</v>
      </c>
      <c r="AF59" s="3593">
        <f>+SMS!AC104</f>
        <v>9</v>
      </c>
      <c r="AG59" s="3593">
        <f>+SMS!AD104</f>
        <v>6.4</v>
      </c>
      <c r="AH59" s="3602">
        <f>+SMS!AE104</f>
        <v>9</v>
      </c>
      <c r="AI59" s="3142">
        <f>+SMS!AF104</f>
        <v>6.8681586652217845</v>
      </c>
      <c r="AJ59" s="3593">
        <f>+SMS!AG104</f>
        <v>9</v>
      </c>
      <c r="AK59" s="3593">
        <f>+SMS!AH104</f>
        <v>6.85</v>
      </c>
      <c r="AL59" s="3602">
        <f>+SMS!AI104</f>
        <v>9</v>
      </c>
      <c r="AM59" s="3142">
        <f>+SMS!AJ104</f>
        <v>6.8658612140941422</v>
      </c>
      <c r="AN59" s="3593">
        <f>+SMS!AK104</f>
        <v>9</v>
      </c>
      <c r="AO59" s="3593">
        <f>+SMS!AL104</f>
        <v>6.3</v>
      </c>
      <c r="AP59" s="3594">
        <f>+SMS!AM104</f>
        <v>8.9999999999999982</v>
      </c>
      <c r="AQ59" s="3594">
        <f>+SMS!AN104</f>
        <v>6.5241538997431059</v>
      </c>
      <c r="AR59" s="3602">
        <f>+SMS!AO104</f>
        <v>8.9999999999999982</v>
      </c>
      <c r="AS59" s="3142">
        <f>+SMS!AP104</f>
        <v>6.8011161005902423</v>
      </c>
      <c r="AT59" s="3593">
        <f>+SMS!AQ104</f>
        <v>9</v>
      </c>
      <c r="AU59" s="3681">
        <f>+SMS!AR104</f>
        <v>6.53</v>
      </c>
      <c r="AV59" s="3602">
        <f>+SMS!AS104</f>
        <v>9</v>
      </c>
      <c r="AW59" s="3142">
        <f>+SMS!AT104</f>
        <v>6.7739555043431237</v>
      </c>
      <c r="AX59" s="3593">
        <f>+SMS!AU104</f>
        <v>9</v>
      </c>
      <c r="AY59" s="3681">
        <f>+SMS!AV104</f>
        <v>6.75</v>
      </c>
      <c r="AZ59" s="3602">
        <f>+SMS!AW104</f>
        <v>9.0000000000000018</v>
      </c>
      <c r="BA59" s="3142">
        <f>+SMS!AX104</f>
        <v>6.7721548217194218</v>
      </c>
      <c r="BB59" s="3593">
        <f>+SMS!AY104</f>
        <v>9</v>
      </c>
      <c r="BC59" s="3681">
        <f>+SMS!AZ104</f>
        <v>5.3</v>
      </c>
      <c r="BD59" s="3605">
        <f>+SMS!BA104</f>
        <v>9.0000000000000018</v>
      </c>
      <c r="BE59" s="3605">
        <f>+SMS!BB104</f>
        <v>6.138710826635366</v>
      </c>
      <c r="BF59" s="3606">
        <f>+SMS!BC104</f>
        <v>9</v>
      </c>
      <c r="BG59" s="3607">
        <f>+SMS!BD104</f>
        <v>6.3297634292735072</v>
      </c>
      <c r="BH59" s="3602">
        <f>+SMS!BE104</f>
        <v>9.0000000000000018</v>
      </c>
      <c r="BI59" s="3142">
        <f>+SMS!BF104</f>
        <v>6.6407476875157494</v>
      </c>
    </row>
    <row r="60" spans="3:62" x14ac:dyDescent="0.25">
      <c r="C60" s="5992"/>
      <c r="D60" s="3665" t="s">
        <v>1420</v>
      </c>
      <c r="E60" s="543" t="s">
        <v>271</v>
      </c>
      <c r="F60" s="3714">
        <v>0.35658561453086035</v>
      </c>
      <c r="G60" s="3680">
        <v>0.32</v>
      </c>
      <c r="H60" s="3681">
        <v>0.32</v>
      </c>
      <c r="I60" s="3681">
        <f>+SMS!F117*1000/SMS!F5</f>
        <v>0.34403439281228865</v>
      </c>
      <c r="J60" s="3681">
        <v>0.32</v>
      </c>
      <c r="K60" s="3681">
        <f>+SMS!H117*1000/SMS!H5</f>
        <v>0.35483734649549098</v>
      </c>
      <c r="L60" s="3142">
        <v>0.32</v>
      </c>
      <c r="M60" s="3142">
        <f>+SMS!J117*1000/SMS!J5</f>
        <v>0.34979646484454241</v>
      </c>
      <c r="N60" s="3681">
        <v>0.32</v>
      </c>
      <c r="O60" s="3681">
        <f>+SMS!L117*1000/SMS!L5</f>
        <v>0.31315695431972496</v>
      </c>
      <c r="P60" s="3603">
        <f>+$G$60</f>
        <v>0.32</v>
      </c>
      <c r="Q60" s="3646">
        <f>+SMS!N117*1000/SMS!N5</f>
        <v>0.33681457581089513</v>
      </c>
      <c r="R60" s="3681">
        <v>0.32</v>
      </c>
      <c r="S60" s="3681">
        <f>+SMS!P117*1000/SMS!P5</f>
        <v>0.30284788419235043</v>
      </c>
      <c r="T60" s="3142">
        <v>0.32</v>
      </c>
      <c r="U60" s="3142">
        <f>+SMS!R117*1000/SMS!R5</f>
        <v>0.32765608706882532</v>
      </c>
      <c r="V60" s="3681">
        <v>0.32</v>
      </c>
      <c r="W60" s="3681">
        <f>+SMS!T117*1000/SMS!T5</f>
        <v>0.32853439496342929</v>
      </c>
      <c r="X60" s="3142">
        <v>0.32</v>
      </c>
      <c r="Y60" s="3142">
        <f>+SMS!V117*1000/SMS!V5</f>
        <v>0.32783319684825546</v>
      </c>
      <c r="Z60" s="3681">
        <v>0.32</v>
      </c>
      <c r="AA60" s="3681">
        <f>+SMS!X117*1000/SMS!X5</f>
        <v>0.32431109955168019</v>
      </c>
      <c r="AB60" s="3603">
        <v>0.32</v>
      </c>
      <c r="AC60" s="3603">
        <f>+SMS!Z117*1000/SMS!Z5</f>
        <v>0.31812719406347867</v>
      </c>
      <c r="AD60" s="3606">
        <v>0.32</v>
      </c>
      <c r="AE60" s="3607">
        <f>+SMS!AB117*1000/SMS!AB5</f>
        <v>0.32726462772960097</v>
      </c>
      <c r="AF60" s="3681">
        <v>0.32</v>
      </c>
      <c r="AG60" s="3681">
        <f>+SMS!AD117*1000/SMS!AD5</f>
        <v>0.33404389484433683</v>
      </c>
      <c r="AH60" s="3602">
        <f>+$G$60</f>
        <v>0.32</v>
      </c>
      <c r="AI60" s="3602">
        <f>+SMS!AF117*1000/SMS!AF5</f>
        <v>0.32803136496547997</v>
      </c>
      <c r="AJ60" s="3681">
        <v>0.32</v>
      </c>
      <c r="AK60" s="3681">
        <f>+SMS!AH117*1000/SMS!AH5</f>
        <v>0.329604970762782</v>
      </c>
      <c r="AL60" s="3602">
        <f>+$G$60</f>
        <v>0.32</v>
      </c>
      <c r="AM60" s="3602">
        <f>+SMS!AJ117*1000/SMS!AJ5</f>
        <v>0.32823045902714792</v>
      </c>
      <c r="AN60" s="3681">
        <v>0.32</v>
      </c>
      <c r="AO60" s="3681">
        <f>+SMS!AL117*1000/SMS!AL5</f>
        <v>0.34963411772235614</v>
      </c>
      <c r="AP60" s="3603">
        <v>0.32</v>
      </c>
      <c r="AQ60" s="3603">
        <f>+SMS!AN117*1000/SMS!AN5</f>
        <v>0.33814153402128544</v>
      </c>
      <c r="AR60" s="3602">
        <v>0.32</v>
      </c>
      <c r="AS60" s="3602">
        <f>+SMS!AP117*1000/SMS!AP5</f>
        <v>0.33067943817098</v>
      </c>
      <c r="AT60" s="3681">
        <v>0.32</v>
      </c>
      <c r="AU60" s="3681">
        <f>+SMS!AR117*1000/SMS!AR5</f>
        <v>0.3297741255092152</v>
      </c>
      <c r="AV60" s="3602">
        <f>+$G$60</f>
        <v>0.32</v>
      </c>
      <c r="AW60" s="3602">
        <f>+SMS!AT117*1000/SMS!AT5</f>
        <v>0.33058874332980281</v>
      </c>
      <c r="AX60" s="3681">
        <v>0.32</v>
      </c>
      <c r="AY60" s="3681">
        <f>+SMS!AV117*1000/SMS!AV5</f>
        <v>0.27797055389804126</v>
      </c>
      <c r="AZ60" s="3602">
        <f>+$G$60</f>
        <v>0.32</v>
      </c>
      <c r="BA60" s="3602">
        <f>+SMS!AX117*1000/SMS!AX5</f>
        <v>0.32663354964891539</v>
      </c>
      <c r="BB60" s="3681">
        <v>0.32</v>
      </c>
      <c r="BC60" s="3681">
        <f>+SMS!AZ117*1000/SMS!AZ5</f>
        <v>0.36157768197645496</v>
      </c>
      <c r="BD60" s="3605">
        <f>+$G$60</f>
        <v>0.32</v>
      </c>
      <c r="BE60" s="3605">
        <f>+SMS!BB117*1000/SMS!BB5</f>
        <v>0.32685162684566632</v>
      </c>
      <c r="BF60" s="3606">
        <f>+$G$60</f>
        <v>0.32</v>
      </c>
      <c r="BG60" s="3607">
        <f>+SMS!BD117*1000/SMS!BD5</f>
        <v>0.33244769614859587</v>
      </c>
      <c r="BH60" s="3602">
        <f>+$G$60</f>
        <v>0.32</v>
      </c>
      <c r="BI60" s="3142">
        <f>+SMS!BF117*1000/SMS!BF5</f>
        <v>0.32975272449292586</v>
      </c>
    </row>
    <row r="61" spans="3:62" x14ac:dyDescent="0.25">
      <c r="C61" s="5992"/>
      <c r="D61" s="3665" t="s">
        <v>2014</v>
      </c>
      <c r="E61" s="543" t="s">
        <v>271</v>
      </c>
      <c r="F61" s="3666">
        <v>64.983071452256169</v>
      </c>
      <c r="G61" s="3713">
        <f>+SMS!D87</f>
        <v>67</v>
      </c>
      <c r="H61" s="3593">
        <f>+SMS!E87</f>
        <v>67</v>
      </c>
      <c r="I61" s="3593">
        <f>+SMS!F87</f>
        <v>67.167229648868457</v>
      </c>
      <c r="J61" s="3593">
        <f>+SMS!G87</f>
        <v>67</v>
      </c>
      <c r="K61" s="3593">
        <f>+SMS!H87</f>
        <v>66.359014038736788</v>
      </c>
      <c r="L61" s="3155">
        <f>+SMS!I87</f>
        <v>66.999999999999829</v>
      </c>
      <c r="M61" s="3155">
        <f>+SMS!J87</f>
        <v>66.736143657789114</v>
      </c>
      <c r="N61" s="3593">
        <f>+SMS!K87</f>
        <v>67</v>
      </c>
      <c r="O61" s="3593">
        <f>+SMS!L87</f>
        <v>65.464649688461819</v>
      </c>
      <c r="P61" s="3594">
        <f>+SMS!M87</f>
        <v>66.999999999999886</v>
      </c>
      <c r="Q61" s="3595">
        <f>+SMS!N87</f>
        <v>66.28563505542634</v>
      </c>
      <c r="R61" s="3593">
        <f>+SMS!O87</f>
        <v>67</v>
      </c>
      <c r="S61" s="3593">
        <f>+SMS!P87</f>
        <v>67.290631356027248</v>
      </c>
      <c r="T61" s="3586">
        <f>+SMS!Q87</f>
        <v>66.999999999999872</v>
      </c>
      <c r="U61" s="3141">
        <f>+SMS!R87</f>
        <v>66.556613522695955</v>
      </c>
      <c r="V61" s="3593">
        <f>+SMS!S87</f>
        <v>67</v>
      </c>
      <c r="W61" s="3593">
        <f>+SMS!T87</f>
        <v>66.414641519197389</v>
      </c>
      <c r="X61" s="3586">
        <f>+SMS!U87</f>
        <v>66.999999999999886</v>
      </c>
      <c r="Y61" s="3141">
        <f>+SMS!V87</f>
        <v>66.527985045416258</v>
      </c>
      <c r="Z61" s="3593">
        <f>+SMS!W87</f>
        <v>67</v>
      </c>
      <c r="AA61" s="3593">
        <f>+SMS!X87</f>
        <v>68.575733557390777</v>
      </c>
      <c r="AB61" s="3594">
        <f>+SMS!Y87</f>
        <v>66.999999999999957</v>
      </c>
      <c r="AC61" s="3594">
        <f>+SMS!Z87</f>
        <v>67.406720046217799</v>
      </c>
      <c r="AD61" s="3597">
        <f>+SMS!AA87</f>
        <v>66.999999999999915</v>
      </c>
      <c r="AE61" s="3598">
        <f>+SMS!AB87</f>
        <v>66.85855093269933</v>
      </c>
      <c r="AF61" s="3593">
        <f>+SMS!AC87</f>
        <v>67</v>
      </c>
      <c r="AG61" s="3593">
        <f>+SMS!AD87</f>
        <v>71.552707957324643</v>
      </c>
      <c r="AH61" s="3586">
        <f>+SMS!AE87</f>
        <v>66.999999918565464</v>
      </c>
      <c r="AI61" s="3141">
        <f>+SMS!AF87</f>
        <v>67.389462663099792</v>
      </c>
      <c r="AJ61" s="3593">
        <f>+SMS!AG87</f>
        <v>67</v>
      </c>
      <c r="AK61" s="3593">
        <f>+SMS!AH87</f>
        <v>62.36940780164327</v>
      </c>
      <c r="AL61" s="3586">
        <f>+SMS!AI87</f>
        <v>66.999999929254244</v>
      </c>
      <c r="AM61" s="3141">
        <f>+SMS!AJ87</f>
        <v>66.754321333527741</v>
      </c>
      <c r="AN61" s="3593">
        <f>+SMS!AK87</f>
        <v>67</v>
      </c>
      <c r="AO61" s="3593">
        <f>+SMS!AL87</f>
        <v>65.495923502012104</v>
      </c>
      <c r="AP61" s="3594">
        <f>+SMS!AM87</f>
        <v>66.999999824073754</v>
      </c>
      <c r="AQ61" s="3594">
        <f>+SMS!AN87</f>
        <v>66.067936107692702</v>
      </c>
      <c r="AR61" s="3586">
        <f>+SMS!AO87</f>
        <v>66.999999937692976</v>
      </c>
      <c r="AS61" s="3141">
        <f>+SMS!AP87</f>
        <v>66.610336800226406</v>
      </c>
      <c r="AT61" s="3593">
        <f>+SMS!AQ87</f>
        <v>67</v>
      </c>
      <c r="AU61" s="3593">
        <f>+SMS!AR87</f>
        <v>73.035191195794482</v>
      </c>
      <c r="AV61" s="3586">
        <f>+SMS!AS87</f>
        <v>66.99999994442453</v>
      </c>
      <c r="AW61" s="3141">
        <f>+SMS!AT87</f>
        <v>67.253984213819692</v>
      </c>
      <c r="AX61" s="3593">
        <f>+SMS!AU87</f>
        <v>67</v>
      </c>
      <c r="AY61" s="3593">
        <f>+SMS!AV87</f>
        <v>79.770573566623924</v>
      </c>
      <c r="AZ61" s="3586">
        <f>+SMS!AW87</f>
        <v>66.999999949317456</v>
      </c>
      <c r="BA61" s="3141">
        <f>+SMS!AX87</f>
        <v>68.194829581784973</v>
      </c>
      <c r="BB61" s="3593">
        <f>+SMS!AY87</f>
        <v>67</v>
      </c>
      <c r="BC61" s="3593">
        <f>+SMS!AZ87</f>
        <v>64.357329704304775</v>
      </c>
      <c r="BD61" s="3596">
        <f>+SMS!BA87</f>
        <v>67</v>
      </c>
      <c r="BE61" s="3596">
        <f>+SMS!BB87</f>
        <v>71.74023828391563</v>
      </c>
      <c r="BF61" s="3597">
        <f>+SMS!BC87</f>
        <v>66.99999991157712</v>
      </c>
      <c r="BG61" s="3598">
        <f>+SMS!BD87</f>
        <v>68.928648089047456</v>
      </c>
      <c r="BH61" s="3586">
        <f>+SMS!BE87</f>
        <v>66.999999953863153</v>
      </c>
      <c r="BI61" s="3141">
        <f>+SMS!BF87</f>
        <v>67.852287648480498</v>
      </c>
      <c r="BJ61" s="4920"/>
    </row>
    <row r="62" spans="3:62" ht="14.4" thickBot="1" x14ac:dyDescent="0.3">
      <c r="C62" s="5993"/>
      <c r="D62" s="3568" t="s">
        <v>548</v>
      </c>
      <c r="E62" s="3569" t="s">
        <v>271</v>
      </c>
      <c r="F62" s="3682">
        <v>18.939404807363346</v>
      </c>
      <c r="G62" s="3683">
        <f>+SMS!D82</f>
        <v>24</v>
      </c>
      <c r="H62" s="3684">
        <f>+SMS!E82</f>
        <v>24</v>
      </c>
      <c r="I62" s="3684">
        <f>+SMS!F82</f>
        <v>24.433965349266252</v>
      </c>
      <c r="J62" s="3684">
        <f>+SMS!G82</f>
        <v>24</v>
      </c>
      <c r="K62" s="3684">
        <f>+SMS!H82</f>
        <v>23.098254254069818</v>
      </c>
      <c r="L62" s="3685">
        <f>+SMS!I82</f>
        <v>23.99999999999994</v>
      </c>
      <c r="M62" s="3685">
        <f>+SMS!J82</f>
        <v>23.721523849683475</v>
      </c>
      <c r="N62" s="3684">
        <f>+SMS!K82</f>
        <v>24</v>
      </c>
      <c r="O62" s="3684">
        <f>+SMS!L82</f>
        <v>22.060477307146794</v>
      </c>
      <c r="P62" s="3687">
        <f>+SMS!M82</f>
        <v>23.999999999999957</v>
      </c>
      <c r="Q62" s="3688">
        <f>+SMS!N82</f>
        <v>23.13299116735103</v>
      </c>
      <c r="R62" s="3684">
        <f>+SMS!O82</f>
        <v>24</v>
      </c>
      <c r="S62" s="3684">
        <f>+SMS!P82</f>
        <v>21.28556689598382</v>
      </c>
      <c r="T62" s="3689">
        <f>+SMS!Q82</f>
        <v>23.999999999999957</v>
      </c>
      <c r="U62" s="3685">
        <f>+SMS!R82</f>
        <v>22.634867744257388</v>
      </c>
      <c r="V62" s="3684">
        <f>+SMS!S82</f>
        <v>24</v>
      </c>
      <c r="W62" s="3684">
        <f>+SMS!T82</f>
        <v>20.490225244073791</v>
      </c>
      <c r="X62" s="3689">
        <f>+SMS!U82</f>
        <v>23.999999999999957</v>
      </c>
      <c r="Y62" s="3685">
        <f>+SMS!V82</f>
        <v>22.202403261284601</v>
      </c>
      <c r="Z62" s="3684">
        <f>+SMS!W82</f>
        <v>24</v>
      </c>
      <c r="AA62" s="3684">
        <f>+SMS!X82</f>
        <v>21.489120842013946</v>
      </c>
      <c r="AB62" s="3687">
        <f>+SMS!Y82</f>
        <v>23.999999999999986</v>
      </c>
      <c r="AC62" s="3687">
        <f>+SMS!Z82</f>
        <v>21.086696286737315</v>
      </c>
      <c r="AD62" s="3690">
        <f>+SMS!AA82</f>
        <v>23.999999999999972</v>
      </c>
      <c r="AE62" s="3691">
        <f>+SMS!AB82</f>
        <v>22.087258830984272</v>
      </c>
      <c r="AF62" s="3684">
        <f>+SMS!AC82</f>
        <v>24</v>
      </c>
      <c r="AG62" s="3684">
        <f>+SMS!AD82</f>
        <v>20.556769367366794</v>
      </c>
      <c r="AH62" s="3689">
        <f>+SMS!AE82</f>
        <v>23.999999970829418</v>
      </c>
      <c r="AI62" s="3685">
        <f>+SMS!AF82</f>
        <v>21.914159634424337</v>
      </c>
      <c r="AJ62" s="3684">
        <f>+SMS!AG82</f>
        <v>24</v>
      </c>
      <c r="AK62" s="3684">
        <f>+SMS!AH82</f>
        <v>16.687095713690947</v>
      </c>
      <c r="AL62" s="3689">
        <f>+SMS!AI82</f>
        <v>23.999999974658234</v>
      </c>
      <c r="AM62" s="3685">
        <f>+SMS!AJ82</f>
        <v>21.252827354201116</v>
      </c>
      <c r="AN62" s="3684">
        <f>+SMS!AK82</f>
        <v>24</v>
      </c>
      <c r="AO62" s="3684">
        <f>+SMS!AL82</f>
        <v>0</v>
      </c>
      <c r="AP62" s="3687">
        <f>+SMS!AM82</f>
        <v>23.999999936981641</v>
      </c>
      <c r="AQ62" s="3687">
        <f>+SMS!AN82</f>
        <v>11.683853072287775</v>
      </c>
      <c r="AR62" s="3689">
        <f>+SMS!AO82</f>
        <v>23.999999977681064</v>
      </c>
      <c r="AS62" s="3685">
        <f>+SMS!AP82</f>
        <v>18.821101590463261</v>
      </c>
      <c r="AT62" s="3684">
        <f>+SMS!AQ82</f>
        <v>24</v>
      </c>
      <c r="AU62" s="3684">
        <f>+SMS!AR82</f>
        <v>12.219798359446182</v>
      </c>
      <c r="AV62" s="3689">
        <f>+SMS!AS82</f>
        <v>23.999999980092365</v>
      </c>
      <c r="AW62" s="3685">
        <f>+SMS!AT82</f>
        <v>18.159777381478854</v>
      </c>
      <c r="AX62" s="3684">
        <f>+SMS!AU82</f>
        <v>24</v>
      </c>
      <c r="AY62" s="3684">
        <f>+SMS!AV82</f>
        <v>22.98312628566465</v>
      </c>
      <c r="AZ62" s="3689">
        <f>+SMS!AW82</f>
        <v>23.99999998184505</v>
      </c>
      <c r="BA62" s="3685">
        <f>+SMS!AX82</f>
        <v>18.522338247436071</v>
      </c>
      <c r="BB62" s="3684">
        <f>+SMS!AY82</f>
        <v>24</v>
      </c>
      <c r="BC62" s="3684">
        <f>+SMS!AZ82</f>
        <v>19.915818254812269</v>
      </c>
      <c r="BD62" s="3645">
        <f>+SMS!BA82</f>
        <v>24</v>
      </c>
      <c r="BE62" s="3645">
        <f>+SMS!BB82</f>
        <v>18.10082629849909</v>
      </c>
      <c r="BF62" s="3643">
        <f>+SMS!BC82</f>
        <v>23.999999968326136</v>
      </c>
      <c r="BG62" s="3644">
        <f>+SMS!BD82</f>
        <v>14.920124981285243</v>
      </c>
      <c r="BH62" s="3640">
        <f>+SMS!BE82</f>
        <v>23.999999983473362</v>
      </c>
      <c r="BI62" s="3155">
        <f>+SMS!BF82</f>
        <v>18.646722703719409</v>
      </c>
    </row>
    <row r="63" spans="3:62" x14ac:dyDescent="0.25">
      <c r="C63" s="5991" t="s">
        <v>1056</v>
      </c>
      <c r="D63" s="3716" t="s">
        <v>34</v>
      </c>
      <c r="E63" s="3717"/>
      <c r="F63" s="3717"/>
      <c r="G63" s="3718"/>
      <c r="H63" s="3719"/>
      <c r="I63" s="3720"/>
      <c r="J63" s="3719"/>
      <c r="K63" s="3720"/>
      <c r="L63" s="3575"/>
      <c r="M63" s="3576"/>
      <c r="N63" s="3719"/>
      <c r="O63" s="3720"/>
      <c r="P63" s="3719"/>
      <c r="Q63" s="3720"/>
      <c r="R63" s="3719"/>
      <c r="S63" s="3720"/>
      <c r="T63" s="3719"/>
      <c r="U63" s="3720"/>
      <c r="V63" s="3719"/>
      <c r="W63" s="3720"/>
      <c r="X63" s="3719"/>
      <c r="Y63" s="3720"/>
      <c r="Z63" s="3719"/>
      <c r="AA63" s="3720"/>
      <c r="AB63" s="3719"/>
      <c r="AC63" s="3720"/>
      <c r="AD63" s="3721"/>
      <c r="AE63" s="3720"/>
      <c r="AF63" s="3719"/>
      <c r="AG63" s="3720"/>
      <c r="AH63" s="3719"/>
      <c r="AI63" s="3720"/>
      <c r="AJ63" s="3719"/>
      <c r="AK63" s="3720"/>
      <c r="AL63" s="3719"/>
      <c r="AM63" s="3720"/>
      <c r="AN63" s="3719"/>
      <c r="AO63" s="3720"/>
      <c r="AP63" s="3719"/>
      <c r="AQ63" s="3720"/>
      <c r="AR63" s="3719"/>
      <c r="AS63" s="3720"/>
      <c r="AT63" s="3719"/>
      <c r="AU63" s="3720"/>
      <c r="AV63" s="3719"/>
      <c r="AW63" s="3720"/>
      <c r="AX63" s="3719"/>
      <c r="AY63" s="3720"/>
      <c r="AZ63" s="3719"/>
      <c r="BA63" s="3720"/>
      <c r="BB63" s="3719"/>
      <c r="BC63" s="3720"/>
      <c r="BD63" s="3720"/>
      <c r="BE63" s="3720"/>
      <c r="BF63" s="3720"/>
      <c r="BG63" s="3720"/>
      <c r="BH63" s="3720"/>
      <c r="BI63" s="3720"/>
    </row>
    <row r="64" spans="3:62" x14ac:dyDescent="0.25">
      <c r="C64" s="5992"/>
      <c r="D64" s="3722" t="s">
        <v>1053</v>
      </c>
      <c r="E64" s="543" t="s">
        <v>49</v>
      </c>
      <c r="F64" s="3714">
        <v>95.450038252944893</v>
      </c>
      <c r="G64" s="3723">
        <v>96</v>
      </c>
      <c r="H64" s="3592">
        <f>++'Maj Techno Summ'!E21</f>
        <v>96</v>
      </c>
      <c r="I64" s="3593">
        <f>++'Maj Techno Summ'!F21</f>
        <v>95.807194531097892</v>
      </c>
      <c r="J64" s="3592">
        <f>++'Maj Techno Summ'!G21</f>
        <v>96</v>
      </c>
      <c r="K64" s="3593">
        <f>++'Maj Techno Summ'!H21</f>
        <v>95.612744452503435</v>
      </c>
      <c r="L64" s="3586">
        <f>++'Maj Techno Summ'!I21</f>
        <v>96</v>
      </c>
      <c r="M64" s="3141">
        <f>++'Maj Techno Summ'!J21</f>
        <v>95.706536477953421</v>
      </c>
      <c r="N64" s="3592">
        <f>++'Maj Techno Summ'!K21</f>
        <v>96</v>
      </c>
      <c r="O64" s="3593">
        <f>++'Maj Techno Summ'!L21</f>
        <v>95.257540790258943</v>
      </c>
      <c r="P64" s="3594">
        <f>++'Maj Techno Summ'!M21</f>
        <v>96</v>
      </c>
      <c r="Q64" s="3595">
        <f>++'Maj Techno Summ'!N21</f>
        <v>95.555761171680388</v>
      </c>
      <c r="R64" s="3592">
        <f>++'Maj Techno Summ'!O21</f>
        <v>96</v>
      </c>
      <c r="S64" s="3593">
        <f>++'Maj Techno Summ'!P21</f>
        <v>95.75055357177952</v>
      </c>
      <c r="T64" s="3586">
        <f>+WRM!Q161</f>
        <v>96</v>
      </c>
      <c r="U64" s="3141">
        <f>+WRM!R161</f>
        <v>95.612463029709218</v>
      </c>
      <c r="V64" s="3592">
        <f>++'Maj Techno Summ'!S21</f>
        <v>96</v>
      </c>
      <c r="W64" s="3593">
        <f>++'Maj Techno Summ'!T21</f>
        <v>95.876083003897975</v>
      </c>
      <c r="X64" s="3586">
        <f>+WRM!U161</f>
        <v>95.999999999999986</v>
      </c>
      <c r="Y64" s="3141">
        <f>+WRM!V161</f>
        <v>95.663341821510642</v>
      </c>
      <c r="Z64" s="3592">
        <f>++'Maj Techno Summ'!W21</f>
        <v>96</v>
      </c>
      <c r="AA64" s="3593">
        <f>++'Maj Techno Summ'!X21</f>
        <v>95.610321120425965</v>
      </c>
      <c r="AB64" s="3594">
        <f>+WRM!Y161</f>
        <v>95.999999999999986</v>
      </c>
      <c r="AC64" s="3594">
        <f>+WRM!Z161</f>
        <v>95.743417030300961</v>
      </c>
      <c r="AD64" s="3597">
        <f>+WRM!AA161</f>
        <v>96</v>
      </c>
      <c r="AE64" s="3598">
        <f>+WRM!AB161</f>
        <v>95.654322697135811</v>
      </c>
      <c r="AF64" s="3592">
        <f>++'Maj Techno Summ'!AC21</f>
        <v>96</v>
      </c>
      <c r="AG64" s="3593">
        <f>++'Maj Techno Summ'!AD21</f>
        <v>95.954340193087916</v>
      </c>
      <c r="AH64" s="3586">
        <f>++'Maj Techno Summ'!AE21</f>
        <v>96</v>
      </c>
      <c r="AI64" s="3141">
        <f>++'Maj Techno Summ'!AF21</f>
        <v>95.687455275101897</v>
      </c>
      <c r="AJ64" s="3592">
        <f>++'Maj Techno Summ'!AG21</f>
        <v>96</v>
      </c>
      <c r="AK64" s="3593">
        <f>++'Maj Techno Summ'!AH21</f>
        <v>95.766381296125843</v>
      </c>
      <c r="AL64" s="3586">
        <f>++'Maj Techno Summ'!AI21</f>
        <v>96</v>
      </c>
      <c r="AM64" s="3141">
        <f>++'Maj Techno Summ'!AJ21</f>
        <v>95.69638191817792</v>
      </c>
      <c r="AN64" s="3592">
        <f>++'Maj Techno Summ'!AK21</f>
        <v>96</v>
      </c>
      <c r="AO64" s="3593">
        <f>++'Maj Techno Summ'!AL21</f>
        <v>95.336201881591947</v>
      </c>
      <c r="AP64" s="3594">
        <f>+WRM!AM161</f>
        <v>96</v>
      </c>
      <c r="AQ64" s="3594">
        <f>+WRM!AN161</f>
        <v>95.643377799808036</v>
      </c>
      <c r="AR64" s="3586">
        <f>+WRM!AO161</f>
        <v>96</v>
      </c>
      <c r="AS64" s="3141">
        <f>+WRM!AP161</f>
        <v>95.650922974983658</v>
      </c>
      <c r="AT64" s="3592">
        <f>++'Maj Techno Summ'!AQ21</f>
        <v>96</v>
      </c>
      <c r="AU64" s="3593">
        <f>++'Maj Techno Summ'!AR21</f>
        <v>95.804245221551284</v>
      </c>
      <c r="AV64" s="3586">
        <f>+WRM!AS161</f>
        <v>96</v>
      </c>
      <c r="AW64" s="3141">
        <f>+WRM!AT161</f>
        <v>95.668231617572204</v>
      </c>
      <c r="AX64" s="3592">
        <f>++'Maj Techno Summ'!AU21</f>
        <v>96</v>
      </c>
      <c r="AY64" s="3593">
        <f>++'Maj Techno Summ'!AV21</f>
        <v>95.614821440744819</v>
      </c>
      <c r="AZ64" s="3586">
        <f>+WRM!AW161</f>
        <v>96</v>
      </c>
      <c r="BA64" s="3141">
        <f>+WRM!AX161</f>
        <v>95.663601047271698</v>
      </c>
      <c r="BB64" s="3592">
        <f>++'Maj Techno Summ'!AY21</f>
        <v>96</v>
      </c>
      <c r="BC64" s="3593">
        <f>++'Maj Techno Summ'!AZ21</f>
        <v>95.474822787338823</v>
      </c>
      <c r="BD64" s="3596">
        <f>+WRM!BA161</f>
        <v>96</v>
      </c>
      <c r="BE64" s="3596">
        <f>+WRM!BB161</f>
        <v>95.629455026212497</v>
      </c>
      <c r="BF64" s="3597">
        <f>+WRM!BC161</f>
        <v>96</v>
      </c>
      <c r="BG64" s="3598">
        <f>+WRM!BD161</f>
        <v>95.635827963269534</v>
      </c>
      <c r="BH64" s="3586">
        <f>+WRM!BE161</f>
        <v>95.999999999999986</v>
      </c>
      <c r="BI64" s="3141">
        <f>+WRM!BF161</f>
        <v>95.645148147796974</v>
      </c>
    </row>
    <row r="65" spans="3:61" x14ac:dyDescent="0.25">
      <c r="C65" s="5992"/>
      <c r="D65" s="3722" t="s">
        <v>1052</v>
      </c>
      <c r="E65" s="543" t="s">
        <v>49</v>
      </c>
      <c r="F65" s="3714">
        <v>83.928534989967247</v>
      </c>
      <c r="G65" s="3723">
        <v>87.500000000000014</v>
      </c>
      <c r="H65" s="3592">
        <f>+WRM!E168</f>
        <v>87.5</v>
      </c>
      <c r="I65" s="3593">
        <f>+WRM!F168</f>
        <v>86.375218739446765</v>
      </c>
      <c r="J65" s="3592">
        <f>+WRM!G168</f>
        <v>87.499999999999986</v>
      </c>
      <c r="K65" s="3593">
        <f>+WRM!H168</f>
        <v>88.984700973574448</v>
      </c>
      <c r="L65" s="3586">
        <f>+WRM!I168</f>
        <v>87.499999999999986</v>
      </c>
      <c r="M65" s="3141">
        <f>+WRM!J168</f>
        <v>87.744261051033973</v>
      </c>
      <c r="N65" s="3592">
        <f>+WRM!K168</f>
        <v>87.5</v>
      </c>
      <c r="O65" s="3593">
        <f>+WRM!L168</f>
        <v>86.854769958474236</v>
      </c>
      <c r="P65" s="3594">
        <f>+WRM!M168</f>
        <v>87.499999999999986</v>
      </c>
      <c r="Q65" s="3595">
        <f>+WRM!N168</f>
        <v>87.435882767957594</v>
      </c>
      <c r="R65" s="3592">
        <f>+WRM!O168</f>
        <v>87.499999999999986</v>
      </c>
      <c r="S65" s="3593">
        <f>+WRM!P168</f>
        <v>90.630082367137078</v>
      </c>
      <c r="T65" s="3586">
        <f>+WRM!Q168</f>
        <v>87.499999999999986</v>
      </c>
      <c r="U65" s="3141">
        <f>+WRM!R168</f>
        <v>88.287368538823003</v>
      </c>
      <c r="V65" s="3592">
        <f>+WRM!S168</f>
        <v>87.499999999999986</v>
      </c>
      <c r="W65" s="3593">
        <f>+WRM!T168</f>
        <v>84.869758490770593</v>
      </c>
      <c r="X65" s="3586">
        <f>+WRM!U168</f>
        <v>87.499999999999986</v>
      </c>
      <c r="Y65" s="3141">
        <f>+WRM!V168</f>
        <v>87.586505911584709</v>
      </c>
      <c r="Z65" s="3592">
        <f>+WRM!W168</f>
        <v>87.5</v>
      </c>
      <c r="AA65" s="3593">
        <f>+WRM!X168</f>
        <v>89.801001759848418</v>
      </c>
      <c r="AB65" s="3594">
        <f>+WRM!Y168</f>
        <v>87.499999999999986</v>
      </c>
      <c r="AC65" s="3594">
        <f>+WRM!Z168</f>
        <v>88.458240285841896</v>
      </c>
      <c r="AD65" s="3597">
        <f>+WRM!AA168</f>
        <v>87.5</v>
      </c>
      <c r="AE65" s="3598">
        <f>+WRM!AB168</f>
        <v>87.96371451235035</v>
      </c>
      <c r="AF65" s="3592">
        <f>+WRM!AC168</f>
        <v>87.499999999999986</v>
      </c>
      <c r="AG65" s="3593">
        <f>+WRM!AD168</f>
        <v>87.28705440900562</v>
      </c>
      <c r="AH65" s="3586">
        <f>+WRM!AE168</f>
        <v>87.5</v>
      </c>
      <c r="AI65" s="3141">
        <f>+WRM!AF168</f>
        <v>87.889652793179067</v>
      </c>
      <c r="AJ65" s="3592">
        <f>+WRM!AG168</f>
        <v>87.5</v>
      </c>
      <c r="AK65" s="3593">
        <f>+WRM!AH168</f>
        <v>79.323044052739604</v>
      </c>
      <c r="AL65" s="3586">
        <f>+WRM!AI168</f>
        <v>87.499999999999986</v>
      </c>
      <c r="AM65" s="3141">
        <f>+WRM!AJ168</f>
        <v>86.797679327162541</v>
      </c>
      <c r="AN65" s="3592">
        <f>+WRM!AK168</f>
        <v>87.499999999999986</v>
      </c>
      <c r="AO65" s="3593">
        <f>+WRM!AL168</f>
        <v>89.793221178997243</v>
      </c>
      <c r="AP65" s="3594">
        <f>+WRM!AM168</f>
        <v>87.499999999999972</v>
      </c>
      <c r="AQ65" s="3594">
        <f>+WRM!AN168</f>
        <v>85.335904201339559</v>
      </c>
      <c r="AR65" s="3586">
        <f>+WRM!AO168</f>
        <v>87.5</v>
      </c>
      <c r="AS65" s="3141">
        <f>+WRM!AP168</f>
        <v>87.142648774795788</v>
      </c>
      <c r="AT65" s="3592">
        <f>+WRM!AQ168</f>
        <v>87.499999999999986</v>
      </c>
      <c r="AU65" s="3593">
        <f>+WRM!AR168</f>
        <v>90.734048864678257</v>
      </c>
      <c r="AV65" s="3586">
        <f>+WRM!AS168</f>
        <v>87.500000000000014</v>
      </c>
      <c r="AW65" s="3141">
        <f>+WRM!AT168</f>
        <v>87.52049889632238</v>
      </c>
      <c r="AX65" s="3592">
        <f>+WRM!AU168</f>
        <v>87.5</v>
      </c>
      <c r="AY65" s="3593">
        <f>+WRM!AV168</f>
        <v>88.716628582998283</v>
      </c>
      <c r="AZ65" s="3586">
        <f>+WRM!AW168</f>
        <v>87.500000000000014</v>
      </c>
      <c r="BA65" s="3141">
        <f>+WRM!AX168</f>
        <v>87.627347680159971</v>
      </c>
      <c r="BB65" s="3592">
        <f>+WRM!AY168</f>
        <v>87.499999999999986</v>
      </c>
      <c r="BC65" s="3593">
        <f>+WRM!AZ168</f>
        <v>90.31983761246434</v>
      </c>
      <c r="BD65" s="3596">
        <f>+WRM!BA168</f>
        <v>87.499999999999986</v>
      </c>
      <c r="BE65" s="3596">
        <f>+WRM!BB168</f>
        <v>89.949218858395525</v>
      </c>
      <c r="BF65" s="3597">
        <f>+WRM!BC168</f>
        <v>87.499999999999986</v>
      </c>
      <c r="BG65" s="3598">
        <f>+WRM!BD168</f>
        <v>87.749393905667034</v>
      </c>
      <c r="BH65" s="3586">
        <f>+WRM!BE168</f>
        <v>87.500000000000014</v>
      </c>
      <c r="BI65" s="3141">
        <f>+WRM!BF168</f>
        <v>87.859131449135361</v>
      </c>
    </row>
    <row r="66" spans="3:61" x14ac:dyDescent="0.25">
      <c r="C66" s="5992"/>
      <c r="D66" s="3722" t="s">
        <v>312</v>
      </c>
      <c r="E66" s="543" t="s">
        <v>551</v>
      </c>
      <c r="F66" s="3714">
        <v>75.551242533855927</v>
      </c>
      <c r="G66" s="3723">
        <v>79.035763683066577</v>
      </c>
      <c r="H66" s="3592">
        <f>+WRM!E178</f>
        <v>79.365079365079367</v>
      </c>
      <c r="I66" s="3593">
        <f>+WRM!F178</f>
        <v>78.355350986315997</v>
      </c>
      <c r="J66" s="3592">
        <f>+WRM!G178</f>
        <v>79.51567723863738</v>
      </c>
      <c r="K66" s="3593">
        <f>+WRM!H178</f>
        <v>73.807689903094698</v>
      </c>
      <c r="L66" s="3586">
        <f>+WRM!I178</f>
        <v>79.441612710658035</v>
      </c>
      <c r="M66" s="3141">
        <f>+WRM!J178</f>
        <v>75.935730561330544</v>
      </c>
      <c r="N66" s="3592">
        <f>+WRM!K178</f>
        <v>79.365079365079367</v>
      </c>
      <c r="O66" s="3593">
        <f>+WRM!L178</f>
        <v>72.744229490548719</v>
      </c>
      <c r="P66" s="3594">
        <f>+WRM!M178</f>
        <v>79.416381937390341</v>
      </c>
      <c r="Q66" s="3595">
        <f>+WRM!N178</f>
        <v>74.836620578357369</v>
      </c>
      <c r="R66" s="3592">
        <f>+WRM!O178</f>
        <v>79.51567723863738</v>
      </c>
      <c r="S66" s="3593">
        <f>+WRM!P178</f>
        <v>81.731808972503629</v>
      </c>
      <c r="T66" s="3586">
        <f>+WRM!Q178</f>
        <v>79.441612710658035</v>
      </c>
      <c r="U66" s="3141">
        <f>+WRM!R178</f>
        <v>76.723461483628768</v>
      </c>
      <c r="V66" s="3592">
        <f>+WRM!S178</f>
        <v>79.51567723863738</v>
      </c>
      <c r="W66" s="3593">
        <f>+WRM!T178</f>
        <v>74.194404522372338</v>
      </c>
      <c r="X66" s="3586">
        <f>+WRM!U178</f>
        <v>79.456619249006806</v>
      </c>
      <c r="Y66" s="3141">
        <f>+WRM!V178</f>
        <v>76.220905127277589</v>
      </c>
      <c r="Z66" s="3592">
        <f>+WRM!W178</f>
        <v>72.150072150072148</v>
      </c>
      <c r="AA66" s="3593">
        <f>+WRM!X178</f>
        <v>74.178997829233012</v>
      </c>
      <c r="AB66" s="3594">
        <f>+WRM!Y178</f>
        <v>77.759427470410131</v>
      </c>
      <c r="AC66" s="3594">
        <f>+WRM!Z178</f>
        <v>76.818952024154584</v>
      </c>
      <c r="AD66" s="3597">
        <f>+WRM!AA178</f>
        <v>78.63397832691588</v>
      </c>
      <c r="AE66" s="3598">
        <f>+WRM!AB178</f>
        <v>75.865829912392471</v>
      </c>
      <c r="AF66" s="3592">
        <f>+WRM!AC178</f>
        <v>76.804915514592935</v>
      </c>
      <c r="AG66" s="3593">
        <f>+WRM!AD178</f>
        <v>77.468532370389482</v>
      </c>
      <c r="AH66" s="3586">
        <f>+WRM!AE178</f>
        <v>78.35522873116858</v>
      </c>
      <c r="AI66" s="3141">
        <f>+WRM!AF178</f>
        <v>76.040045981523306</v>
      </c>
      <c r="AJ66" s="3592">
        <f>+WRM!AG178</f>
        <v>79.365079365079367</v>
      </c>
      <c r="AK66" s="3593">
        <f>+WRM!AH178</f>
        <v>73.605578395236748</v>
      </c>
      <c r="AL66" s="3586">
        <f>+WRM!AI178</f>
        <v>78.485023041474662</v>
      </c>
      <c r="AM66" s="3141">
        <f>+WRM!AJ178</f>
        <v>75.756451086844351</v>
      </c>
      <c r="AN66" s="3592">
        <f>+WRM!AK178</f>
        <v>79.51567723863738</v>
      </c>
      <c r="AO66" s="3593">
        <f>+WRM!AL178</f>
        <v>80.965319514289234</v>
      </c>
      <c r="AP66" s="3594">
        <f>+WRM!AM178</f>
        <v>78.553160394592624</v>
      </c>
      <c r="AQ66" s="3594">
        <f>+WRM!AN178</f>
        <v>77.52846949696756</v>
      </c>
      <c r="AR66" s="3586">
        <f>+WRM!AO178</f>
        <v>78.605858361142012</v>
      </c>
      <c r="AS66" s="3141">
        <f>+WRM!AP178</f>
        <v>76.374554901810981</v>
      </c>
      <c r="AT66" s="3592">
        <f>+WRM!AQ178</f>
        <v>80.419264479985543</v>
      </c>
      <c r="AU66" s="3593">
        <f>+WRM!AR178</f>
        <v>79.515336146941721</v>
      </c>
      <c r="AV66" s="3586">
        <f>+WRM!AS178</f>
        <v>78.796154064971262</v>
      </c>
      <c r="AW66" s="3141">
        <f>+WRM!AT178</f>
        <v>76.717128565547114</v>
      </c>
      <c r="AX66" s="3592">
        <f>+WRM!AU178</f>
        <v>80.032012805122051</v>
      </c>
      <c r="AY66" s="3593">
        <f>+WRM!AV178</f>
        <v>73.201682316118962</v>
      </c>
      <c r="AZ66" s="3586">
        <f>+WRM!AW178</f>
        <v>78.90315092934226</v>
      </c>
      <c r="BA66" s="3141">
        <f>+WRM!AX178</f>
        <v>76.39919444485399</v>
      </c>
      <c r="BB66" s="3592">
        <f>+WRM!AY178</f>
        <v>80.419264479985543</v>
      </c>
      <c r="BC66" s="3593">
        <f>+WRM!AZ178</f>
        <v>85.084307710997052</v>
      </c>
      <c r="BD66" s="3596">
        <f>+WRM!BA178</f>
        <v>80.298786181139121</v>
      </c>
      <c r="BE66" s="3596">
        <f>+WRM!BB178</f>
        <v>79.409594323615622</v>
      </c>
      <c r="BF66" s="3597">
        <f>+WRM!BC178</f>
        <v>79.416381937390341</v>
      </c>
      <c r="BG66" s="3598">
        <f>+WRM!BD178</f>
        <v>78.537265282488221</v>
      </c>
      <c r="BH66" s="3586">
        <f>+WRM!BE178</f>
        <v>79.035763683066577</v>
      </c>
      <c r="BI66" s="3141">
        <f>+WRM!BF178</f>
        <v>77.167794942914313</v>
      </c>
    </row>
    <row r="67" spans="3:61" x14ac:dyDescent="0.25">
      <c r="C67" s="5992"/>
      <c r="D67" s="3724" t="s">
        <v>91</v>
      </c>
      <c r="E67" s="1526"/>
      <c r="F67" s="3725"/>
      <c r="G67" s="3726"/>
      <c r="H67" s="3585"/>
      <c r="I67" s="3161"/>
      <c r="J67" s="3585"/>
      <c r="K67" s="3161"/>
      <c r="L67" s="3586"/>
      <c r="M67" s="3141"/>
      <c r="N67" s="3585"/>
      <c r="O67" s="3161"/>
      <c r="P67" s="3585"/>
      <c r="Q67" s="3161"/>
      <c r="R67" s="3585"/>
      <c r="S67" s="3161"/>
      <c r="T67" s="3585"/>
      <c r="U67" s="3161"/>
      <c r="V67" s="3585"/>
      <c r="W67" s="3161"/>
      <c r="X67" s="3585"/>
      <c r="Y67" s="3161"/>
      <c r="Z67" s="3585"/>
      <c r="AA67" s="3161"/>
      <c r="AB67" s="3585"/>
      <c r="AC67" s="3585"/>
      <c r="AD67" s="3585"/>
      <c r="AE67" s="3587"/>
      <c r="AF67" s="3585"/>
      <c r="AG67" s="3161"/>
      <c r="AH67" s="3585"/>
      <c r="AI67" s="3161"/>
      <c r="AJ67" s="3585"/>
      <c r="AK67" s="3161"/>
      <c r="AL67" s="3585"/>
      <c r="AM67" s="3161"/>
      <c r="AN67" s="3585"/>
      <c r="AO67" s="3161"/>
      <c r="AP67" s="3585"/>
      <c r="AQ67" s="3585"/>
      <c r="AR67" s="3585"/>
      <c r="AS67" s="3161"/>
      <c r="AT67" s="3585"/>
      <c r="AU67" s="3161"/>
      <c r="AV67" s="3585"/>
      <c r="AW67" s="3161"/>
      <c r="AX67" s="3585"/>
      <c r="AY67" s="3161"/>
      <c r="AZ67" s="3585"/>
      <c r="BA67" s="3161"/>
      <c r="BB67" s="3585"/>
      <c r="BC67" s="3161"/>
      <c r="BD67" s="3161"/>
      <c r="BE67" s="3161"/>
      <c r="BF67" s="3161"/>
      <c r="BG67" s="3161"/>
      <c r="BH67" s="3161"/>
      <c r="BI67" s="3161"/>
    </row>
    <row r="68" spans="3:61" x14ac:dyDescent="0.25">
      <c r="C68" s="5992"/>
      <c r="D68" s="3722" t="s">
        <v>1053</v>
      </c>
      <c r="E68" s="543" t="s">
        <v>49</v>
      </c>
      <c r="F68" s="3714">
        <v>95.450022221864671</v>
      </c>
      <c r="G68" s="3727">
        <v>96.5</v>
      </c>
      <c r="H68" s="3592">
        <f>+'Maj Techno Summ'!E22</f>
        <v>96.5</v>
      </c>
      <c r="I68" s="3593">
        <f>+'Maj Techno Summ'!F22</f>
        <v>96.340554248429044</v>
      </c>
      <c r="J68" s="3592">
        <f>+'Maj Techno Summ'!G22</f>
        <v>96.5</v>
      </c>
      <c r="K68" s="3593">
        <f>+'Maj Techno Summ'!H22</f>
        <v>96.517503903684087</v>
      </c>
      <c r="L68" s="3586">
        <f>+'Maj Techno Summ'!I22</f>
        <v>96.5</v>
      </c>
      <c r="M68" s="3141">
        <f>+'Maj Techno Summ'!J22</f>
        <v>96.434687077655013</v>
      </c>
      <c r="N68" s="3592">
        <f>+'Maj Techno Summ'!K22</f>
        <v>96.5</v>
      </c>
      <c r="O68" s="3593">
        <f>+'Maj Techno Summ'!L22</f>
        <v>96.419419676816304</v>
      </c>
      <c r="P68" s="3594">
        <f>+'Maj Techno Summ'!M22</f>
        <v>96.5</v>
      </c>
      <c r="Q68" s="3595">
        <f>+'Maj Techno Summ'!N22</f>
        <v>96.429498375073877</v>
      </c>
      <c r="R68" s="3592">
        <f>+'Maj Techno Summ'!O22</f>
        <v>96.5</v>
      </c>
      <c r="S68" s="3593">
        <f>+'Maj Techno Summ'!P22</f>
        <v>96.454667703108399</v>
      </c>
      <c r="T68" s="3586">
        <f>+BM!Q58</f>
        <v>96.5</v>
      </c>
      <c r="U68" s="3141">
        <f>+BM!R58</f>
        <v>96.436769103209457</v>
      </c>
      <c r="V68" s="3592">
        <f>+'Maj Techno Summ'!S22</f>
        <v>96.5</v>
      </c>
      <c r="W68" s="3593">
        <f>+'Maj Techno Summ'!T22</f>
        <v>96.329019569725332</v>
      </c>
      <c r="X68" s="3586">
        <f>+BM!U58</f>
        <v>96.500000000000014</v>
      </c>
      <c r="Y68" s="3141">
        <f>+BM!V58</f>
        <v>96.415276787524633</v>
      </c>
      <c r="Z68" s="3592">
        <f>+'Maj Techno Summ'!W22</f>
        <v>96.5</v>
      </c>
      <c r="AA68" s="3593">
        <f>+'Maj Techno Summ'!X22</f>
        <v>96.394637106483472</v>
      </c>
      <c r="AB68" s="3594">
        <f>+BM!Y58</f>
        <v>96.5</v>
      </c>
      <c r="AC68" s="3594">
        <f>+BM!Z58</f>
        <v>96.395894549603327</v>
      </c>
      <c r="AD68" s="3597">
        <f>+BM!AA58</f>
        <v>96.5</v>
      </c>
      <c r="AE68" s="3598">
        <f>+BM!AB58</f>
        <v>96.411828924430893</v>
      </c>
      <c r="AF68" s="3592">
        <f>+'Maj Techno Summ'!AC22</f>
        <v>96.5</v>
      </c>
      <c r="AG68" s="3593">
        <f>+'Maj Techno Summ'!AD22</f>
        <v>96.409969459870908</v>
      </c>
      <c r="AH68" s="3586">
        <f>+'Maj Techno Summ'!AE22</f>
        <v>96.5</v>
      </c>
      <c r="AI68" s="3141">
        <f>+'Maj Techno Summ'!AF22</f>
        <v>96.411642385974588</v>
      </c>
      <c r="AJ68" s="3592">
        <f>+'Maj Techno Summ'!AG22</f>
        <v>96.5</v>
      </c>
      <c r="AK68" s="3593">
        <f>+'Maj Techno Summ'!AH22</f>
        <v>96.083717767346542</v>
      </c>
      <c r="AL68" s="3586">
        <f>+'Maj Techno Summ'!AI22</f>
        <v>96.5</v>
      </c>
      <c r="AM68" s="3141">
        <f>+'Maj Techno Summ'!AJ22</f>
        <v>96.371941679161182</v>
      </c>
      <c r="AN68" s="3592">
        <f>+'Maj Techno Summ'!AK22</f>
        <v>96.5</v>
      </c>
      <c r="AO68" s="3593">
        <f>+'Maj Techno Summ'!AL22</f>
        <v>95.865818289064322</v>
      </c>
      <c r="AP68" s="3594">
        <f>+BM!AM58</f>
        <v>96.5</v>
      </c>
      <c r="AQ68" s="3594">
        <f>+BM!AN58</f>
        <v>96.077497770373839</v>
      </c>
      <c r="AR68" s="3586">
        <f>+BM!AO58</f>
        <v>96.5</v>
      </c>
      <c r="AS68" s="3141">
        <f>+BM!AP58</f>
        <v>96.308990992984391</v>
      </c>
      <c r="AT68" s="3592">
        <f>+'Maj Techno Summ'!AQ22</f>
        <v>96.5</v>
      </c>
      <c r="AU68" s="3593">
        <f>+'Maj Techno Summ'!AR22</f>
        <v>95.990775355915758</v>
      </c>
      <c r="AV68" s="3586">
        <f>+'Maj Techno Summ'!AS22</f>
        <v>96.5</v>
      </c>
      <c r="AW68" s="3141">
        <f>+'Maj Techno Summ'!AT22</f>
        <v>96.272235186215454</v>
      </c>
      <c r="AX68" s="3592">
        <f>+'Maj Techno Summ'!AU22</f>
        <v>96.5</v>
      </c>
      <c r="AY68" s="3593">
        <f>+'Maj Techno Summ'!AV22</f>
        <v>95.9606442036267</v>
      </c>
      <c r="AZ68" s="3586">
        <f>+'Maj Techno Summ'!AW22</f>
        <v>96.5</v>
      </c>
      <c r="BA68" s="3141">
        <f>+'Maj Techno Summ'!AX22</f>
        <v>96.24397956547142</v>
      </c>
      <c r="BB68" s="3592">
        <f>+'Maj Techno Summ'!AY22</f>
        <v>96.5</v>
      </c>
      <c r="BC68" s="3593">
        <f>+'Maj Techno Summ'!AZ22</f>
        <v>93.352457710962938</v>
      </c>
      <c r="BD68" s="3596">
        <f>+'Maj Techno Summ'!BA22</f>
        <v>96.5</v>
      </c>
      <c r="BE68" s="3596">
        <f>+'Maj Techno Summ'!BB22</f>
        <v>95.076496488136257</v>
      </c>
      <c r="BF68" s="3597">
        <f>+'Maj Techno Summ'!BC22</f>
        <v>96.5</v>
      </c>
      <c r="BG68" s="3598">
        <f>+'Maj Techno Summ'!BD22</f>
        <v>95.530624031950111</v>
      </c>
      <c r="BH68" s="3586">
        <f>+'Maj Techno Summ'!BE22</f>
        <v>96.5</v>
      </c>
      <c r="BI68" s="3141">
        <f>+'Maj Techno Summ'!BF22</f>
        <v>95.97585667837896</v>
      </c>
    </row>
    <row r="69" spans="3:61" x14ac:dyDescent="0.25">
      <c r="C69" s="5992"/>
      <c r="D69" s="3722" t="s">
        <v>1052</v>
      </c>
      <c r="E69" s="543" t="s">
        <v>49</v>
      </c>
      <c r="F69" s="3712">
        <v>80.103400582885854</v>
      </c>
      <c r="G69" s="3723">
        <v>85.416666666666671</v>
      </c>
      <c r="H69" s="3592">
        <f>+BM!E69</f>
        <v>85.416666666666657</v>
      </c>
      <c r="I69" s="3593">
        <f>+BM!F69</f>
        <v>89.026578924878208</v>
      </c>
      <c r="J69" s="3592">
        <f>+BM!G69</f>
        <v>85.416666666666657</v>
      </c>
      <c r="K69" s="3593">
        <f>+BM!H69</f>
        <v>89.292985145901909</v>
      </c>
      <c r="L69" s="3586">
        <f>+BM!I69</f>
        <v>85.416666666666657</v>
      </c>
      <c r="M69" s="3141">
        <f>+BM!J69</f>
        <v>89.168113232741348</v>
      </c>
      <c r="N69" s="3592">
        <f>+BM!K69</f>
        <v>85.416666666666657</v>
      </c>
      <c r="O69" s="3593">
        <f>+BM!L69</f>
        <v>89.794951435866395</v>
      </c>
      <c r="P69" s="3594">
        <f>+BM!M69</f>
        <v>85.416666666666657</v>
      </c>
      <c r="Q69" s="3595">
        <f>+BM!N69</f>
        <v>89.379080624728687</v>
      </c>
      <c r="R69" s="3592">
        <f>+BM!O69</f>
        <v>85.416666666666657</v>
      </c>
      <c r="S69" s="3593">
        <f>+BM!P69</f>
        <v>91.998045920859767</v>
      </c>
      <c r="T69" s="3586">
        <f>+BM!Q69</f>
        <v>85.416666666666657</v>
      </c>
      <c r="U69" s="3141">
        <f>+BM!R69</f>
        <v>90.076127446837546</v>
      </c>
      <c r="V69" s="3592">
        <f>+BM!S69</f>
        <v>85.416666666666657</v>
      </c>
      <c r="W69" s="3593">
        <f>+BM!T69</f>
        <v>88.592158073479467</v>
      </c>
      <c r="X69" s="3586">
        <f>+BM!U69</f>
        <v>85.416666666666657</v>
      </c>
      <c r="Y69" s="3141">
        <f>+BM!V69</f>
        <v>89.776790579638671</v>
      </c>
      <c r="Z69" s="3592">
        <f>+BM!W69</f>
        <v>85.416666666666657</v>
      </c>
      <c r="AA69" s="3593">
        <f>+BM!X69</f>
        <v>88.752251093336241</v>
      </c>
      <c r="AB69" s="3594">
        <f>+BM!Y69</f>
        <v>85.416666666666657</v>
      </c>
      <c r="AC69" s="3594">
        <f>+BM!Z69</f>
        <v>89.819511619659863</v>
      </c>
      <c r="AD69" s="3597">
        <f>+BM!AA69</f>
        <v>85.416666666666657</v>
      </c>
      <c r="AE69" s="3598">
        <f>+BM!AB69</f>
        <v>89.60480914150601</v>
      </c>
      <c r="AF69" s="3592">
        <f>+BM!AC69</f>
        <v>85.416666666666657</v>
      </c>
      <c r="AG69" s="3593">
        <f>+BM!AD69</f>
        <v>87.445632141540742</v>
      </c>
      <c r="AH69" s="3586">
        <f>+BM!AE69</f>
        <v>85.416666666666657</v>
      </c>
      <c r="AI69" s="3141">
        <f>+BM!AF69</f>
        <v>89.378365527710827</v>
      </c>
      <c r="AJ69" s="3592">
        <f>+BM!AG69</f>
        <v>85.416666666666657</v>
      </c>
      <c r="AK69" s="3593">
        <f>+BM!AH69</f>
        <v>86.010299230850265</v>
      </c>
      <c r="AL69" s="3586">
        <f>+BM!AI69</f>
        <v>85.416666666666657</v>
      </c>
      <c r="AM69" s="3141">
        <f>+BM!AJ69</f>
        <v>88.9473391470775</v>
      </c>
      <c r="AN69" s="3592">
        <f>+BM!AK69</f>
        <v>85.416666666666657</v>
      </c>
      <c r="AO69" s="3593">
        <f>+BM!AL69</f>
        <v>89.435071511498649</v>
      </c>
      <c r="AP69" s="3594">
        <f>+BM!AM69</f>
        <v>85.416666666666657</v>
      </c>
      <c r="AQ69" s="3594">
        <f>+BM!AN69</f>
        <v>87.692347765138237</v>
      </c>
      <c r="AR69" s="3586">
        <f>+BM!AO69</f>
        <v>85.416666666666657</v>
      </c>
      <c r="AS69" s="3141">
        <f>+BM!AP69</f>
        <v>89.005905628583065</v>
      </c>
      <c r="AT69" s="3592">
        <f>+BM!AQ69</f>
        <v>85.416666666666657</v>
      </c>
      <c r="AU69" s="3593">
        <f>+BM!AR69</f>
        <v>91.673922236871562</v>
      </c>
      <c r="AV69" s="3586">
        <f>+BM!AS69</f>
        <v>85.416666666666657</v>
      </c>
      <c r="AW69" s="3141">
        <f>+BM!AT69</f>
        <v>89.290140061213464</v>
      </c>
      <c r="AX69" s="3592">
        <f>+BM!AU69</f>
        <v>85.416666666666671</v>
      </c>
      <c r="AY69" s="3593">
        <f>+BM!AV69</f>
        <v>89.441607642892436</v>
      </c>
      <c r="AZ69" s="3586">
        <f>+BM!AW69</f>
        <v>85.416666666666671</v>
      </c>
      <c r="BA69" s="3141">
        <f>+BM!AX69</f>
        <v>89.303474711241464</v>
      </c>
      <c r="BB69" s="3592">
        <f>+BM!AY69</f>
        <v>85.416666666666657</v>
      </c>
      <c r="BC69" s="3593">
        <f>+BM!AZ69</f>
        <v>89.341466450890067</v>
      </c>
      <c r="BD69" s="3596">
        <f>+BM!BA69</f>
        <v>85.416666666666657</v>
      </c>
      <c r="BE69" s="3596">
        <f>+BM!BB69</f>
        <v>90.175528726774544</v>
      </c>
      <c r="BF69" s="3597">
        <f>+BM!BC69</f>
        <v>85.416666666666657</v>
      </c>
      <c r="BG69" s="3598">
        <f>+BM!BD69</f>
        <v>88.99654625011803</v>
      </c>
      <c r="BH69" s="3586">
        <f>+BM!BE69</f>
        <v>85.416666666666671</v>
      </c>
      <c r="BI69" s="3141">
        <f>+BM!BF69</f>
        <v>89.306836356582295</v>
      </c>
    </row>
    <row r="70" spans="3:61" x14ac:dyDescent="0.25">
      <c r="C70" s="5992"/>
      <c r="D70" s="3722" t="s">
        <v>312</v>
      </c>
      <c r="E70" s="543" t="s">
        <v>551</v>
      </c>
      <c r="F70" s="3712">
        <v>129.35729675734254</v>
      </c>
      <c r="G70" s="3723">
        <v>137.10942855837052</v>
      </c>
      <c r="H70" s="3592">
        <f>+BM!E79</f>
        <v>137.30803974706413</v>
      </c>
      <c r="I70" s="3593">
        <f>+BM!F79</f>
        <v>128.43516367476246</v>
      </c>
      <c r="J70" s="3592">
        <f>+BM!G79</f>
        <v>137.63066202090593</v>
      </c>
      <c r="K70" s="3593">
        <f>+BM!H79</f>
        <v>128.64970585751695</v>
      </c>
      <c r="L70" s="3586">
        <f>+BM!I79</f>
        <v>137.47228381374723</v>
      </c>
      <c r="M70" s="3141">
        <f>+BM!J79</f>
        <v>128.54930366288306</v>
      </c>
      <c r="N70" s="3592">
        <f>+BM!K79</f>
        <v>137.30803974706413</v>
      </c>
      <c r="O70" s="3593">
        <f>+BM!L79</f>
        <v>129.52573430263243</v>
      </c>
      <c r="P70" s="3594">
        <f>+BM!M79</f>
        <v>137.41820345032718</v>
      </c>
      <c r="Q70" s="3595">
        <f>+BM!N79</f>
        <v>128.87945823256561</v>
      </c>
      <c r="R70" s="3592">
        <f>+BM!O79</f>
        <v>137.63066202090593</v>
      </c>
      <c r="S70" s="3593">
        <f>+BM!P79</f>
        <v>140.27690632965184</v>
      </c>
      <c r="T70" s="3586">
        <f>+BM!Q79</f>
        <v>137.47228381374723</v>
      </c>
      <c r="U70" s="3141">
        <f>+BM!R79</f>
        <v>131.97765307889961</v>
      </c>
      <c r="V70" s="3592">
        <f>+BM!S79</f>
        <v>137.63066202090593</v>
      </c>
      <c r="W70" s="3593">
        <f>+BM!T79</f>
        <v>132.17232096184014</v>
      </c>
      <c r="X70" s="3586">
        <f>+BM!U79</f>
        <v>137.50441852244609</v>
      </c>
      <c r="Y70" s="3141">
        <f>+BM!V79</f>
        <v>132.01640210416801</v>
      </c>
      <c r="Z70" s="3592">
        <f>+BM!W79</f>
        <v>128.72628726287263</v>
      </c>
      <c r="AA70" s="3593">
        <f>+BM!X79</f>
        <v>132.73645138861181</v>
      </c>
      <c r="AB70" s="3594">
        <f>+BM!Y79</f>
        <v>135.46473302570863</v>
      </c>
      <c r="AC70" s="3594">
        <f>+BM!Z79</f>
        <v>135.21851851856002</v>
      </c>
      <c r="AD70" s="3597">
        <f>+BM!AA79</f>
        <v>136.49155722326455</v>
      </c>
      <c r="AE70" s="3598">
        <f>+BM!AB79</f>
        <v>132.13612112509804</v>
      </c>
      <c r="AF70" s="3592">
        <f>+BM!AC79</f>
        <v>135.88850174216029</v>
      </c>
      <c r="AG70" s="3593">
        <f>+BM!AD79</f>
        <v>128.85754931714737</v>
      </c>
      <c r="AH70" s="3586">
        <f>+BM!AE79</f>
        <v>136.39978791092258</v>
      </c>
      <c r="AI70" s="3141">
        <f>+BM!AF79</f>
        <v>131.79971627772056</v>
      </c>
      <c r="AJ70" s="3592">
        <f>+BM!AG79</f>
        <v>137.30803974706413</v>
      </c>
      <c r="AK70" s="3593">
        <f>+BM!AH79</f>
        <v>128.11234207016528</v>
      </c>
      <c r="AL70" s="3586">
        <f>+BM!AI79</f>
        <v>136.51600970986013</v>
      </c>
      <c r="AM70" s="3141">
        <f>+BM!AJ79</f>
        <v>131.34340843679433</v>
      </c>
      <c r="AN70" s="3592">
        <f>+BM!AK79</f>
        <v>137.63066202090593</v>
      </c>
      <c r="AO70" s="3593">
        <f>+BM!AL79</f>
        <v>135.25398828923409</v>
      </c>
      <c r="AP70" s="3594">
        <f>+BM!AM79</f>
        <v>136.93799588598296</v>
      </c>
      <c r="AQ70" s="3594">
        <f>+BM!AN79</f>
        <v>131.09614999306046</v>
      </c>
      <c r="AR70" s="3586">
        <f>+BM!AO79</f>
        <v>136.64659659148893</v>
      </c>
      <c r="AS70" s="3141">
        <f>+BM!AP79</f>
        <v>131.81525169298902</v>
      </c>
      <c r="AT70" s="3592">
        <f>+BM!AQ79</f>
        <v>137.63066202090593</v>
      </c>
      <c r="AU70" s="3593">
        <f>+BM!AR79</f>
        <v>139.70140019537632</v>
      </c>
      <c r="AV70" s="3586">
        <f>+BM!AS79</f>
        <v>136.74979446423677</v>
      </c>
      <c r="AW70" s="3141">
        <f>+BM!AT79</f>
        <v>132.67782381700138</v>
      </c>
      <c r="AX70" s="3592">
        <f>+BM!AU79</f>
        <v>138.4049554781262</v>
      </c>
      <c r="AY70" s="3593">
        <f>+BM!AV79</f>
        <v>136.38732965009225</v>
      </c>
      <c r="AZ70" s="3586">
        <f>+BM!AW79</f>
        <v>136.89253935660506</v>
      </c>
      <c r="BA70" s="3141">
        <f>+BM!AX79</f>
        <v>133.00490023152557</v>
      </c>
      <c r="BB70" s="3592">
        <f>+BM!AY79</f>
        <v>139.37282229965157</v>
      </c>
      <c r="BC70" s="3593">
        <f>+BM!AZ79</f>
        <v>135.77081707724892</v>
      </c>
      <c r="BD70" s="3596">
        <f>+BM!BA79</f>
        <v>138.47170491409349</v>
      </c>
      <c r="BE70" s="3596">
        <f>+BM!BB79</f>
        <v>137.33692126552486</v>
      </c>
      <c r="BF70" s="3597">
        <f>+BM!BC79</f>
        <v>137.69644395591337</v>
      </c>
      <c r="BG70" s="3598">
        <f>+BM!BD79</f>
        <v>134.41730489221916</v>
      </c>
      <c r="BH70" s="3586">
        <f>+BM!BE79</f>
        <v>137.10942855837052</v>
      </c>
      <c r="BI70" s="3141">
        <f>+BM!BF79</f>
        <v>133.24973337203971</v>
      </c>
    </row>
    <row r="71" spans="3:61" x14ac:dyDescent="0.25">
      <c r="C71" s="5992"/>
      <c r="D71" s="3724" t="s">
        <v>109</v>
      </c>
      <c r="E71" s="1526"/>
      <c r="F71" s="3725"/>
      <c r="G71" s="3726"/>
      <c r="H71" s="3585"/>
      <c r="I71" s="3161"/>
      <c r="J71" s="3585"/>
      <c r="K71" s="3161"/>
      <c r="L71" s="3586"/>
      <c r="M71" s="3141"/>
      <c r="N71" s="3585"/>
      <c r="O71" s="3161"/>
      <c r="P71" s="3585"/>
      <c r="Q71" s="3161"/>
      <c r="R71" s="3585"/>
      <c r="S71" s="3161"/>
      <c r="T71" s="3585"/>
      <c r="U71" s="3161"/>
      <c r="V71" s="3585"/>
      <c r="W71" s="3161"/>
      <c r="X71" s="3585"/>
      <c r="Y71" s="3161"/>
      <c r="Z71" s="3585"/>
      <c r="AA71" s="3161"/>
      <c r="AB71" s="3585"/>
      <c r="AC71" s="3585"/>
      <c r="AD71" s="3585"/>
      <c r="AE71" s="3587"/>
      <c r="AF71" s="3585"/>
      <c r="AG71" s="3161"/>
      <c r="AH71" s="3585"/>
      <c r="AI71" s="3161"/>
      <c r="AJ71" s="3585"/>
      <c r="AK71" s="3161"/>
      <c r="AL71" s="3585"/>
      <c r="AM71" s="3161"/>
      <c r="AN71" s="3585"/>
      <c r="AO71" s="3161"/>
      <c r="AP71" s="3585"/>
      <c r="AQ71" s="3585"/>
      <c r="AR71" s="3585"/>
      <c r="AS71" s="3161"/>
      <c r="AT71" s="3585"/>
      <c r="AU71" s="3161"/>
      <c r="AV71" s="3585"/>
      <c r="AW71" s="3161"/>
      <c r="AX71" s="3585"/>
      <c r="AY71" s="3161"/>
      <c r="AZ71" s="3585"/>
      <c r="BA71" s="3161"/>
      <c r="BB71" s="3585"/>
      <c r="BC71" s="3161"/>
      <c r="BD71" s="3161"/>
      <c r="BE71" s="3161"/>
      <c r="BF71" s="3161"/>
      <c r="BG71" s="3161"/>
      <c r="BH71" s="3161"/>
      <c r="BI71" s="3161"/>
    </row>
    <row r="72" spans="3:61" x14ac:dyDescent="0.25">
      <c r="C72" s="5992"/>
      <c r="D72" s="3722" t="s">
        <v>1053</v>
      </c>
      <c r="E72" s="543" t="s">
        <v>49</v>
      </c>
      <c r="F72" s="3712">
        <v>93.371871065542948</v>
      </c>
      <c r="G72" s="3727">
        <v>94.75</v>
      </c>
      <c r="H72" s="3592">
        <f>+'Maj Techno Summ'!E23</f>
        <v>94.75</v>
      </c>
      <c r="I72" s="3593">
        <f>+'Maj Techno Summ'!F23</f>
        <v>93.760477464473936</v>
      </c>
      <c r="J72" s="3592">
        <f>+'Maj Techno Summ'!G23</f>
        <v>94.75</v>
      </c>
      <c r="K72" s="3593">
        <f>+'Maj Techno Summ'!H23</f>
        <v>93.848373432627127</v>
      </c>
      <c r="L72" s="3586">
        <f>+'Maj Techno Summ'!I23</f>
        <v>94.75</v>
      </c>
      <c r="M72" s="3141">
        <f>+'Maj Techno Summ'!J23</f>
        <v>93.80756445928256</v>
      </c>
      <c r="N72" s="3592">
        <f>+'Maj Techno Summ'!K23</f>
        <v>94.75</v>
      </c>
      <c r="O72" s="3593">
        <f>+'Maj Techno Summ'!L23</f>
        <v>94.300657609568276</v>
      </c>
      <c r="P72" s="3594">
        <f>+'Maj Techno Summ'!M23</f>
        <v>94.75</v>
      </c>
      <c r="Q72" s="3595">
        <f>+'Maj Techno Summ'!N23</f>
        <v>93.981855291627923</v>
      </c>
      <c r="R72" s="3592">
        <f>+'Maj Techno Summ'!O23</f>
        <v>94.75</v>
      </c>
      <c r="S72" s="3593">
        <f>+'Maj Techno Summ'!P23</f>
        <v>94.039736544191683</v>
      </c>
      <c r="T72" s="3586">
        <f>+USM!R123</f>
        <v>94.749999999999986</v>
      </c>
      <c r="U72" s="3141">
        <f>+USM!S123</f>
        <v>93.996743918003119</v>
      </c>
      <c r="V72" s="3592">
        <f>+'Maj Techno Summ'!S23</f>
        <v>94.75</v>
      </c>
      <c r="W72" s="3593">
        <f>+'Maj Techno Summ'!T23</f>
        <v>93.446166495534285</v>
      </c>
      <c r="X72" s="3586">
        <f>+USM!V123</f>
        <v>94.749999999999986</v>
      </c>
      <c r="Y72" s="3141">
        <f>+USM!W123</f>
        <v>93.904783814889868</v>
      </c>
      <c r="Z72" s="3592">
        <f>+'Maj Techno Summ'!W23</f>
        <v>94.75</v>
      </c>
      <c r="AA72" s="3593">
        <f>+'Maj Techno Summ'!X23</f>
        <v>93.972449866117088</v>
      </c>
      <c r="AB72" s="3594">
        <f>+USM!Z123</f>
        <v>94.75</v>
      </c>
      <c r="AC72" s="3594">
        <f>+USM!AA123</f>
        <v>93.843139792150197</v>
      </c>
      <c r="AD72" s="3597">
        <f>+USM!AB123</f>
        <v>94.75</v>
      </c>
      <c r="AE72" s="3598">
        <f>+USM!AC123</f>
        <v>93.915443870820638</v>
      </c>
      <c r="AF72" s="3592">
        <f>+'Maj Techno Summ'!AC23</f>
        <v>94.75</v>
      </c>
      <c r="AG72" s="3593">
        <f>+'Maj Techno Summ'!AD23</f>
        <v>93.165855556550625</v>
      </c>
      <c r="AH72" s="3586">
        <f>+'Maj Techno Summ'!AE23</f>
        <v>94.75</v>
      </c>
      <c r="AI72" s="3141">
        <f>+'Maj Techno Summ'!AF23</f>
        <v>93.850869525734822</v>
      </c>
      <c r="AJ72" s="3592">
        <f>+'Maj Techno Summ'!AG23</f>
        <v>94.75</v>
      </c>
      <c r="AK72" s="3593">
        <f>+'Maj Techno Summ'!AH23</f>
        <v>93.342593762703558</v>
      </c>
      <c r="AL72" s="3586">
        <f>+'Maj Techno Summ'!AI23</f>
        <v>94.75</v>
      </c>
      <c r="AM72" s="3141">
        <f>+'Maj Techno Summ'!AJ23</f>
        <v>93.787581639771929</v>
      </c>
      <c r="AN72" s="3592">
        <f>+'Maj Techno Summ'!AK23</f>
        <v>94.75</v>
      </c>
      <c r="AO72" s="3593">
        <f>+'Maj Techno Summ'!AL23</f>
        <v>93.351849425160552</v>
      </c>
      <c r="AP72" s="3594">
        <f>+USM!AN123</f>
        <v>94.75</v>
      </c>
      <c r="AQ72" s="3594">
        <f>+USM!AO123</f>
        <v>93.306454828873257</v>
      </c>
      <c r="AR72" s="3586">
        <f>+USM!AP123</f>
        <v>94.749999999999986</v>
      </c>
      <c r="AS72" s="3141">
        <f>+USM!AQ123</f>
        <v>93.735934274016728</v>
      </c>
      <c r="AT72" s="3592">
        <f>+'Maj Techno Summ'!AQ23</f>
        <v>94.75</v>
      </c>
      <c r="AU72" s="3593">
        <f>+'Maj Techno Summ'!AR23</f>
        <v>93.24126088594636</v>
      </c>
      <c r="AV72" s="3586">
        <f>+USM!AT123</f>
        <v>94.749999999999986</v>
      </c>
      <c r="AW72" s="3141">
        <f>+USM!AU123</f>
        <v>93.68065854485144</v>
      </c>
      <c r="AX72" s="3592">
        <f>+'Maj Techno Summ'!AU23</f>
        <v>94.75</v>
      </c>
      <c r="AY72" s="3593">
        <f>+'Maj Techno Summ'!AV23</f>
        <v>94.33991758409546</v>
      </c>
      <c r="AZ72" s="3586">
        <f>+USM!AX123</f>
        <v>94.749999999999986</v>
      </c>
      <c r="BA72" s="3141">
        <f>+USM!AY123</f>
        <v>93.744232082190848</v>
      </c>
      <c r="BB72" s="3592">
        <f>+'Maj Techno Summ'!AY23</f>
        <v>94.75</v>
      </c>
      <c r="BC72" s="3593">
        <f>+'Maj Techno Summ'!AZ23</f>
        <v>94.146464563073792</v>
      </c>
      <c r="BD72" s="3596">
        <f>+USM!BB123</f>
        <v>94.749999999999986</v>
      </c>
      <c r="BE72" s="3596">
        <f>+USM!BC123</f>
        <v>93.91164228167537</v>
      </c>
      <c r="BF72" s="3597">
        <f>+USM!BD123</f>
        <v>94.75</v>
      </c>
      <c r="BG72" s="3598">
        <f>+USM!BE123</f>
        <v>93.649582875146166</v>
      </c>
      <c r="BH72" s="3586">
        <f>+USM!BF123</f>
        <v>94.749999999999986</v>
      </c>
      <c r="BI72" s="3141">
        <f>+USM!BG123</f>
        <v>93.784864547510878</v>
      </c>
    </row>
    <row r="73" spans="3:61" x14ac:dyDescent="0.25">
      <c r="C73" s="5992"/>
      <c r="D73" s="3722" t="s">
        <v>1052</v>
      </c>
      <c r="E73" s="543" t="s">
        <v>49</v>
      </c>
      <c r="F73" s="3712">
        <v>68.17523999238459</v>
      </c>
      <c r="G73" s="3723">
        <v>83.333333333333343</v>
      </c>
      <c r="H73" s="3592">
        <f>+USM!F134</f>
        <v>83.333333333333343</v>
      </c>
      <c r="I73" s="3593">
        <f>+USM!G134</f>
        <v>83.78210116731519</v>
      </c>
      <c r="J73" s="3592">
        <f>+USM!H134</f>
        <v>83.333333333333343</v>
      </c>
      <c r="K73" s="3593">
        <f>+USM!I134</f>
        <v>81.178027796161459</v>
      </c>
      <c r="L73" s="3586">
        <f>+USM!J134</f>
        <v>83.333333333333343</v>
      </c>
      <c r="M73" s="3141">
        <f>+USM!K134</f>
        <v>82.374821173104422</v>
      </c>
      <c r="N73" s="3592">
        <f>+USM!L134</f>
        <v>83.333333333333343</v>
      </c>
      <c r="O73" s="3593">
        <f>+USM!M134</f>
        <v>83.92194585680916</v>
      </c>
      <c r="P73" s="3594">
        <f>+USM!N134</f>
        <v>83.333333333333343</v>
      </c>
      <c r="Q73" s="3595">
        <f>+USM!O134</f>
        <v>82.904455003057834</v>
      </c>
      <c r="R73" s="3592">
        <f>+USM!P134</f>
        <v>83.333333333333343</v>
      </c>
      <c r="S73" s="3593">
        <f>+USM!Q134</f>
        <v>81.618114743671271</v>
      </c>
      <c r="T73" s="3586">
        <f>+USM!R134</f>
        <v>83.333333333333343</v>
      </c>
      <c r="U73" s="3141">
        <f>+USM!S134</f>
        <v>82.557181125077278</v>
      </c>
      <c r="V73" s="3592">
        <f>+USM!T134</f>
        <v>83.333333333333343</v>
      </c>
      <c r="W73" s="3593">
        <f>+USM!U134</f>
        <v>72.268449051971047</v>
      </c>
      <c r="X73" s="3586">
        <f>+USM!V134</f>
        <v>83.333333333333343</v>
      </c>
      <c r="Y73" s="3141">
        <f>+USM!W134</f>
        <v>80.487804878048777</v>
      </c>
      <c r="Z73" s="3592">
        <f>+USM!X134</f>
        <v>83.333333333333343</v>
      </c>
      <c r="AA73" s="3593">
        <f>+USM!Y134</f>
        <v>74.749416449265411</v>
      </c>
      <c r="AB73" s="3594">
        <f>+USM!Z134</f>
        <v>83.333333333333343</v>
      </c>
      <c r="AC73" s="3594">
        <f>+USM!AA134</f>
        <v>76.34260289210232</v>
      </c>
      <c r="AD73" s="3597">
        <f>+USM!AB134</f>
        <v>83.333333333333343</v>
      </c>
      <c r="AE73" s="3598">
        <f>+USM!AC134</f>
        <v>79.532150370438117</v>
      </c>
      <c r="AF73" s="3592">
        <f>+USM!AD134</f>
        <v>83.333333333333343</v>
      </c>
      <c r="AG73" s="3593">
        <f>+USM!AE134</f>
        <v>62.101313320825533</v>
      </c>
      <c r="AH73" s="3586">
        <f>+USM!AF134</f>
        <v>83.333333333333343</v>
      </c>
      <c r="AI73" s="3141">
        <f>+USM!AG134</f>
        <v>77.80914504729131</v>
      </c>
      <c r="AJ73" s="3592">
        <f>+USM!AH134</f>
        <v>83.333333333333343</v>
      </c>
      <c r="AK73" s="3593">
        <f>+USM!AI134</f>
        <v>78.297395687482506</v>
      </c>
      <c r="AL73" s="3586">
        <f>+USM!AJ134</f>
        <v>83.333333333333343</v>
      </c>
      <c r="AM73" s="3141">
        <f>+USM!AK134</f>
        <v>77.871782436097774</v>
      </c>
      <c r="AN73" s="3592">
        <f>+USM!AL134</f>
        <v>83.333333333333343</v>
      </c>
      <c r="AO73" s="3593">
        <f>+USM!AM134</f>
        <v>77.512387244314581</v>
      </c>
      <c r="AP73" s="3594">
        <f>+USM!AN134</f>
        <v>83.333333333333343</v>
      </c>
      <c r="AQ73" s="3594">
        <f>+USM!AO134</f>
        <v>74.0636042402827</v>
      </c>
      <c r="AR73" s="3586">
        <f>+USM!AP134</f>
        <v>83.333333333333343</v>
      </c>
      <c r="AS73" s="3141">
        <f>+USM!AQ134</f>
        <v>77.827263856976487</v>
      </c>
      <c r="AT73" s="3592">
        <f>+USM!AR134</f>
        <v>83.333333333333343</v>
      </c>
      <c r="AU73" s="3593">
        <f>+USM!AS134</f>
        <v>83.563991037300667</v>
      </c>
      <c r="AV73" s="3586">
        <f>+USM!AT134</f>
        <v>83.333333333333343</v>
      </c>
      <c r="AW73" s="3141">
        <f>+USM!AU134</f>
        <v>78.439173895316955</v>
      </c>
      <c r="AX73" s="3592">
        <f>+USM!AV134</f>
        <v>83.333333333333343</v>
      </c>
      <c r="AY73" s="3593">
        <f>+USM!AW134</f>
        <v>82.635592001150911</v>
      </c>
      <c r="AZ73" s="3586">
        <f>+USM!AX134</f>
        <v>83.333333333333343</v>
      </c>
      <c r="BA73" s="3141">
        <f>+USM!AY134</f>
        <v>78.812756147540981</v>
      </c>
      <c r="BB73" s="3592">
        <f>+USM!AZ134</f>
        <v>83.333333333333343</v>
      </c>
      <c r="BC73" s="3593">
        <f>+USM!BA134</f>
        <v>84.668618578653167</v>
      </c>
      <c r="BD73" s="3596">
        <f>+USM!BB134</f>
        <v>83.333333333333343</v>
      </c>
      <c r="BE73" s="3596">
        <f>+USM!BC134</f>
        <v>83.647741701432977</v>
      </c>
      <c r="BF73" s="3597">
        <f>+USM!BD134</f>
        <v>83.333333333333343</v>
      </c>
      <c r="BG73" s="3598">
        <f>+USM!BE134</f>
        <v>79.112321437102864</v>
      </c>
      <c r="BH73" s="3586">
        <f>+USM!BF134</f>
        <v>83.333333333333343</v>
      </c>
      <c r="BI73" s="3141">
        <f>+USM!BG134</f>
        <v>79.326821973502817</v>
      </c>
    </row>
    <row r="74" spans="3:61" ht="14.4" thickBot="1" x14ac:dyDescent="0.3">
      <c r="C74" s="5993"/>
      <c r="D74" s="3728" t="s">
        <v>312</v>
      </c>
      <c r="E74" s="3569" t="s">
        <v>551</v>
      </c>
      <c r="F74" s="3617">
        <v>72.378210767795224</v>
      </c>
      <c r="G74" s="3618">
        <v>118.29652996845427</v>
      </c>
      <c r="H74" s="3619">
        <f>+USM!F144</f>
        <v>114.81481481481481</v>
      </c>
      <c r="I74" s="3620">
        <f>+USM!G144</f>
        <v>110.44497937952814</v>
      </c>
      <c r="J74" s="3619">
        <f>+USM!H144</f>
        <v>116.07142857142857</v>
      </c>
      <c r="K74" s="3620">
        <f>+USM!I144</f>
        <v>111.95658372737651</v>
      </c>
      <c r="L74" s="3621">
        <f>+USM!J144</f>
        <v>115.45454545454545</v>
      </c>
      <c r="M74" s="3158">
        <f>+USM!K144</f>
        <v>111.25000451545674</v>
      </c>
      <c r="N74" s="3619">
        <f>+USM!L144</f>
        <v>115.74074074074075</v>
      </c>
      <c r="O74" s="3620">
        <f>+USM!M144</f>
        <v>115.29320386441785</v>
      </c>
      <c r="P74" s="3622">
        <f>+USM!N144</f>
        <v>115.54878048780488</v>
      </c>
      <c r="Q74" s="3623">
        <f>+USM!O144</f>
        <v>112.65111774385743</v>
      </c>
      <c r="R74" s="3619">
        <f>+USM!P144</f>
        <v>116.07142857142857</v>
      </c>
      <c r="S74" s="3620">
        <f>+USM!Q144</f>
        <v>107.22079862842892</v>
      </c>
      <c r="T74" s="3621">
        <f>+USM!R144</f>
        <v>115.68181818181819</v>
      </c>
      <c r="U74" s="3158">
        <f>+USM!S144</f>
        <v>111.20176762760509</v>
      </c>
      <c r="V74" s="3619">
        <f>+USM!T144</f>
        <v>116.07142857142857</v>
      </c>
      <c r="W74" s="3620">
        <f>+USM!U144</f>
        <v>100.58050509626275</v>
      </c>
      <c r="X74" s="3621">
        <f>+USM!V144</f>
        <v>115.76086956521739</v>
      </c>
      <c r="Y74" s="3158">
        <f>+USM!W144</f>
        <v>109.28366254218223</v>
      </c>
      <c r="Z74" s="3619">
        <f>+USM!X144</f>
        <v>111.66666666666667</v>
      </c>
      <c r="AA74" s="3620">
        <f>+USM!Y144</f>
        <v>110.20583982365905</v>
      </c>
      <c r="AB74" s="3622">
        <f>+USM!Z144</f>
        <v>115.14084507042253</v>
      </c>
      <c r="AC74" s="3622">
        <f>+USM!AA144</f>
        <v>106.11754003963165</v>
      </c>
      <c r="AD74" s="3624">
        <f>+USM!AB144</f>
        <v>115.359477124183</v>
      </c>
      <c r="AE74" s="3625">
        <f>+USM!AC144</f>
        <v>109.42800379517551</v>
      </c>
      <c r="AF74" s="3619">
        <f>+USM!AD144</f>
        <v>119.64285714285714</v>
      </c>
      <c r="AG74" s="3620">
        <f>+USM!AE144</f>
        <v>119.47591943605239</v>
      </c>
      <c r="AH74" s="3621">
        <f>+USM!AF144</f>
        <v>116.02209944751381</v>
      </c>
      <c r="AI74" s="3158">
        <f>+USM!AG144</f>
        <v>110.22071408898306</v>
      </c>
      <c r="AJ74" s="3619">
        <f>+USM!AH144</f>
        <v>120.37037037037037</v>
      </c>
      <c r="AK74" s="3620">
        <f>+USM!AI144</f>
        <v>105.27906437768243</v>
      </c>
      <c r="AL74" s="3621">
        <f>+USM!AJ144</f>
        <v>116.58653846153847</v>
      </c>
      <c r="AM74" s="3158">
        <f>+USM!AK144</f>
        <v>109.58328778372395</v>
      </c>
      <c r="AN74" s="3619">
        <f>+USM!AL144</f>
        <v>120.53571428571429</v>
      </c>
      <c r="AO74" s="3620">
        <f>+USM!AM144</f>
        <v>104.21999016554662</v>
      </c>
      <c r="AP74" s="3622">
        <f>+USM!AN144</f>
        <v>120.18072289156626</v>
      </c>
      <c r="AQ74" s="3622">
        <f>+USM!AO144</f>
        <v>107.72120038167937</v>
      </c>
      <c r="AR74" s="3621">
        <f>+USM!AP144</f>
        <v>117.05508474576271</v>
      </c>
      <c r="AS74" s="3158">
        <f>+USM!AQ144</f>
        <v>108.92161955796411</v>
      </c>
      <c r="AT74" s="3619">
        <f>+USM!AR144</f>
        <v>121.42857142857143</v>
      </c>
      <c r="AU74" s="3620">
        <f>+USM!AS144</f>
        <v>106.31541577287064</v>
      </c>
      <c r="AV74" s="3621">
        <f>+USM!AT144</f>
        <v>117.51893939393939</v>
      </c>
      <c r="AW74" s="3158">
        <f>+USM!AU144</f>
        <v>108.62546534511499</v>
      </c>
      <c r="AX74" s="3619">
        <f>+USM!AV144</f>
        <v>122</v>
      </c>
      <c r="AY74" s="3620">
        <f>+USM!AW144</f>
        <v>113.39707103064063</v>
      </c>
      <c r="AZ74" s="3621">
        <f>+USM!AX144</f>
        <v>117.90657439446366</v>
      </c>
      <c r="BA74" s="3158">
        <f>+USM!AY144</f>
        <v>109.0708575978679</v>
      </c>
      <c r="BB74" s="3619">
        <f>+USM!AZ144</f>
        <v>122.32142857142857</v>
      </c>
      <c r="BC74" s="3620">
        <f>+USM!BA144</f>
        <v>119.05717573090223</v>
      </c>
      <c r="BD74" s="3596">
        <f>+USM!BB144</f>
        <v>121.91358024691358</v>
      </c>
      <c r="BE74" s="3596">
        <f>+USM!BC144</f>
        <v>112.91522628212078</v>
      </c>
      <c r="BF74" s="3597">
        <f>+USM!BD144</f>
        <v>121.03658536585365</v>
      </c>
      <c r="BG74" s="3598">
        <f>+USM!BE144</f>
        <v>110.61415894679634</v>
      </c>
      <c r="BH74" s="3586">
        <f>+USM!BF144</f>
        <v>118.29652996845427</v>
      </c>
      <c r="BI74" s="3141">
        <f>+USM!BG144</f>
        <v>110.00655556046475</v>
      </c>
    </row>
    <row r="75" spans="3:61" x14ac:dyDescent="0.25">
      <c r="C75" s="5991" t="s">
        <v>1057</v>
      </c>
      <c r="D75" s="3565" t="s">
        <v>1376</v>
      </c>
      <c r="E75" s="3566" t="s">
        <v>324</v>
      </c>
      <c r="F75" s="3627">
        <v>6.2012037687729737</v>
      </c>
      <c r="G75" s="3729">
        <f>+'Maj Techno Summ'!D24</f>
        <v>5.9499750782715646</v>
      </c>
      <c r="H75" s="3629">
        <f>+'Maj Techno Summ'!E24</f>
        <v>5.9579646181196697</v>
      </c>
      <c r="I75" s="3630">
        <f>+'Maj Techno Summ'!F24</f>
        <v>6.0854187595724332</v>
      </c>
      <c r="J75" s="3629">
        <f>+'Maj Techno Summ'!G24</f>
        <v>5.8950819349699</v>
      </c>
      <c r="K75" s="3630">
        <f>+'Maj Techno Summ'!H24</f>
        <v>5.9794798966160601</v>
      </c>
      <c r="L75" s="3631">
        <f>+'Maj Techno Summ'!I24</f>
        <v>5.9260302723648577</v>
      </c>
      <c r="M75" s="3632">
        <f>+'Maj Techno Summ'!J24</f>
        <v>6.0300558618251694</v>
      </c>
      <c r="N75" s="3629">
        <f>+'Maj Techno Summ'!K24</f>
        <v>5.8881874827843568</v>
      </c>
      <c r="O75" s="3630">
        <f>+'Maj Techno Summ'!L24</f>
        <v>5.9512037427105673</v>
      </c>
      <c r="P75" s="3633">
        <f>+'Maj Techno Summ'!M24</f>
        <v>5.9135485641504033</v>
      </c>
      <c r="Q75" s="3634">
        <f>+'Maj Techno Summ'!N24</f>
        <v>6.0018291327647386</v>
      </c>
      <c r="R75" s="3629">
        <f>+'Maj Techno Summ'!O24</f>
        <v>5.9044904422712001</v>
      </c>
      <c r="S75" s="3630">
        <f>+'Maj Techno Summ'!P24</f>
        <v>5.9231712422301168</v>
      </c>
      <c r="T75" s="3631">
        <f>+'Maj Techno Summ'!Q24</f>
        <v>5.9112818034949903</v>
      </c>
      <c r="U75" s="3632">
        <f>+'Maj Techno Summ'!R24</f>
        <v>5.9807714639072804</v>
      </c>
      <c r="V75" s="3629">
        <f>+'Maj Techno Summ'!S24</f>
        <v>5.9110636073860041</v>
      </c>
      <c r="W75" s="3630">
        <f>+'Maj Techno Summ'!T24</f>
        <v>6.0281743753484225</v>
      </c>
      <c r="X75" s="3631">
        <f>+'Maj Techno Summ'!U24</f>
        <v>5.9112381298980665</v>
      </c>
      <c r="Y75" s="3861">
        <f>+'Maj Techno Summ'!V24</f>
        <v>5.990273829903412</v>
      </c>
      <c r="Z75" s="3629">
        <f>+'Maj Techno Summ'!W24</f>
        <v>6.4404862064644854</v>
      </c>
      <c r="AA75" s="3630">
        <f>+'Maj Techno Summ'!X24</f>
        <v>6.2161012795046009</v>
      </c>
      <c r="AB75" s="3633">
        <f>+'Maj Techno Summ'!Y24</f>
        <v>6.0185038105368784</v>
      </c>
      <c r="AC75" s="3633">
        <f>+'Maj Techno Summ'!Z24</f>
        <v>6.0504489425821761</v>
      </c>
      <c r="AD75" s="3635">
        <f>+'Maj Techno Summ'!AA24</f>
        <v>5.9615465955288425</v>
      </c>
      <c r="AE75" s="3636">
        <f>+'Maj Techno Summ'!AB24</f>
        <v>6.0267096597919014</v>
      </c>
      <c r="AF75" s="3629">
        <f>+'Maj Techno Summ'!AC24</f>
        <v>5.8977730271407953</v>
      </c>
      <c r="AG75" s="3630">
        <f>+'Maj Techno Summ'!AD24</f>
        <v>6.5564087810380496</v>
      </c>
      <c r="AH75" s="3631">
        <f>+'Maj Techno Summ'!AE24</f>
        <v>5.9515643417563009</v>
      </c>
      <c r="AI75" s="3632">
        <f>+'Maj Techno Summ'!AF24</f>
        <v>6.0869783861382887</v>
      </c>
      <c r="AJ75" s="3629">
        <f>+'Maj Techno Summ'!AG24</f>
        <v>5.9674105355612586</v>
      </c>
      <c r="AK75" s="3630">
        <f>+'Maj Techno Summ'!AH24</f>
        <v>6.0353479588368266</v>
      </c>
      <c r="AL75" s="3631">
        <f>+'Maj Techno Summ'!AI24</f>
        <v>5.9533717467066625</v>
      </c>
      <c r="AM75" s="3632">
        <f>+'Maj Techno Summ'!AJ24</f>
        <v>6.080153206462656</v>
      </c>
      <c r="AN75" s="3629">
        <f>+'Maj Techno Summ'!AK24</f>
        <v>5.9619079993755575</v>
      </c>
      <c r="AO75" s="3630">
        <f>+'Maj Techno Summ'!AL24</f>
        <v>6.1355221971831684</v>
      </c>
      <c r="AP75" s="3633">
        <f>+'Maj Techno Summ'!AM24</f>
        <v>5.9413395829166165</v>
      </c>
      <c r="AQ75" s="3633">
        <f>+'Maj Techno Summ'!AN24</f>
        <v>6.2170580668958841</v>
      </c>
      <c r="AR75" s="3631">
        <f>+'Maj Techno Summ'!AO24</f>
        <v>5.9543899742998363</v>
      </c>
      <c r="AS75" s="3632">
        <f>+'Maj Techno Summ'!AP24</f>
        <v>6.0864884552825176</v>
      </c>
      <c r="AT75" s="3629">
        <f>+'Maj Techno Summ'!AQ24</f>
        <v>5.9566700099316927</v>
      </c>
      <c r="AU75" s="3630">
        <f>+'Maj Techno Summ'!AR24</f>
        <v>6.1463268879699946</v>
      </c>
      <c r="AV75" s="3631">
        <f>+'Maj Techno Summ'!AS24</f>
        <v>5.9546363052205811</v>
      </c>
      <c r="AW75" s="3632">
        <f>+'Maj Techno Summ'!AT24</f>
        <v>6.0924834275313096</v>
      </c>
      <c r="AX75" s="3629">
        <f>+'Maj Techno Summ'!AU24</f>
        <v>5.9639133095730053</v>
      </c>
      <c r="AY75" s="3630">
        <f>+'Maj Techno Summ'!AV24</f>
        <v>6.180550765571363</v>
      </c>
      <c r="AZ75" s="3631">
        <f>+'Maj Techno Summ'!AW24</f>
        <v>5.9554530609729186</v>
      </c>
      <c r="BA75" s="3861">
        <f>+'Maj Techno Summ'!AX24</f>
        <v>6.1055601219291349</v>
      </c>
      <c r="BB75" s="3629">
        <f>+'Maj Techno Summ'!AY24</f>
        <v>5.8906678130989905</v>
      </c>
      <c r="BC75" s="3630">
        <f>+'Maj Techno Summ'!AZ24</f>
        <v>5.9116955600412062</v>
      </c>
      <c r="BD75" s="3605">
        <f>+'Maj Techno Summ'!BA24</f>
        <v>5.9360969398660011</v>
      </c>
      <c r="BE75" s="3605">
        <f>+'Maj Techno Summ'!BB24</f>
        <v>6.0937878871522386</v>
      </c>
      <c r="BF75" s="3606">
        <f>+'Maj Techno Summ'!BC24</f>
        <v>5.9387319622747556</v>
      </c>
      <c r="BG75" s="3607">
        <f>+'Maj Techno Summ'!BD24</f>
        <v>6.1548892282084093</v>
      </c>
      <c r="BH75" s="3602">
        <f>+'Maj Techno Summ'!BE24</f>
        <v>5.9496424970581971</v>
      </c>
      <c r="BI75" s="3142">
        <f>+'Maj Techno Summ'!BF24</f>
        <v>6.0875484215516149</v>
      </c>
    </row>
    <row r="76" spans="3:61" ht="14.4" thickBot="1" x14ac:dyDescent="0.3">
      <c r="C76" s="5993"/>
      <c r="D76" s="3568" t="s">
        <v>308</v>
      </c>
      <c r="E76" s="3569" t="s">
        <v>367</v>
      </c>
      <c r="F76" s="3682">
        <v>516.74946439793155</v>
      </c>
      <c r="G76" s="3730">
        <f>+'Maj Techno Summ'!D25</f>
        <v>467.95995482299668</v>
      </c>
      <c r="H76" s="3686">
        <f>+'Maj Techno Summ'!E25</f>
        <v>461.33365080836813</v>
      </c>
      <c r="I76" s="3684">
        <f>+'Maj Techno Summ'!F25</f>
        <v>479.82720707795932</v>
      </c>
      <c r="J76" s="3686">
        <f>+'Maj Techno Summ'!G25</f>
        <v>461.80049178666684</v>
      </c>
      <c r="K76" s="3684">
        <f>+'Maj Techno Summ'!H25</f>
        <v>454.11622509213748</v>
      </c>
      <c r="L76" s="3689">
        <f>+'Maj Techno Summ'!I25</f>
        <v>461.57082871638227</v>
      </c>
      <c r="M76" s="3685">
        <f>+'Maj Techno Summ'!J25</f>
        <v>466.10040440781603</v>
      </c>
      <c r="N76" s="3686">
        <f>+'Maj Techno Summ'!K25</f>
        <v>461.30940171262648</v>
      </c>
      <c r="O76" s="3684">
        <f>+'Maj Techno Summ'!L25</f>
        <v>452.70788686245868</v>
      </c>
      <c r="P76" s="3687">
        <f>+'Maj Techno Summ'!M25</f>
        <v>461.48462651792335</v>
      </c>
      <c r="Q76" s="3688">
        <f>+'Maj Techno Summ'!N25</f>
        <v>461.45077998637379</v>
      </c>
      <c r="R76" s="3686">
        <f>+'Maj Techno Summ'!O25</f>
        <v>467.7439435313612</v>
      </c>
      <c r="S76" s="3684">
        <f>+'Maj Techno Summ'!P25</f>
        <v>442.75384913193756</v>
      </c>
      <c r="T76" s="3689">
        <f>+'Maj Techno Summ'!Q25</f>
        <v>463.0494573265438</v>
      </c>
      <c r="U76" s="3685">
        <f>+'Maj Techno Summ'!R25</f>
        <v>456.40023769149235</v>
      </c>
      <c r="V76" s="3686">
        <f>+'Maj Techno Summ'!S25</f>
        <v>467.7439435313612</v>
      </c>
      <c r="W76" s="3684">
        <f>+'Maj Techno Summ'!T25</f>
        <v>478.64470311607982</v>
      </c>
      <c r="X76" s="3689">
        <f>+'Maj Techno Summ'!U25</f>
        <v>463.98835531403216</v>
      </c>
      <c r="Y76" s="3685">
        <f>+'Maj Techno Summ'!V25</f>
        <v>460.75334243184642</v>
      </c>
      <c r="Z76" s="3686">
        <f>+'Maj Techno Summ'!W25</f>
        <v>583.45256429103893</v>
      </c>
      <c r="AA76" s="3684">
        <f>+'Maj Techno Summ'!X25</f>
        <v>460.52954687490472</v>
      </c>
      <c r="AB76" s="3687">
        <f>+'Maj Techno Summ'!Y25</f>
        <v>491.95795398331109</v>
      </c>
      <c r="AC76" s="3687">
        <f>+'Maj Techno Summ'!Z25</f>
        <v>460.01161602494744</v>
      </c>
      <c r="AD76" s="3690">
        <f>+'Maj Techno Summ'!AA25</f>
        <v>475.42422624698077</v>
      </c>
      <c r="AE76" s="3691">
        <f>+'Maj Techno Summ'!AB25</f>
        <v>460.71618238606635</v>
      </c>
      <c r="AF76" s="3686">
        <f>+'Maj Techno Summ'!AC25</f>
        <v>460.88039496676566</v>
      </c>
      <c r="AG76" s="3684">
        <f>+'Maj Techno Summ'!AD25</f>
        <v>521.99079603557163</v>
      </c>
      <c r="AH76" s="3689">
        <f>+'Maj Techno Summ'!AE25</f>
        <v>473.15618622728442</v>
      </c>
      <c r="AI76" s="3685">
        <f>+'Maj Techno Summ'!AF25</f>
        <v>467.91559265644059</v>
      </c>
      <c r="AJ76" s="3686">
        <f>+'Maj Techno Summ'!AG25</f>
        <v>462.80371337713393</v>
      </c>
      <c r="AK76" s="3684">
        <f>+'Maj Techno Summ'!AH25</f>
        <v>473.49810583154363</v>
      </c>
      <c r="AL76" s="3689">
        <f>+'Maj Techno Summ'!AI25</f>
        <v>471.79801119937656</v>
      </c>
      <c r="AM76" s="3685">
        <f>+'Maj Techno Summ'!AJ25</f>
        <v>468.60559138543357</v>
      </c>
      <c r="AN76" s="3686">
        <f>+'Maj Techno Summ'!AK25</f>
        <v>463.03105379435601</v>
      </c>
      <c r="AO76" s="3684">
        <f>+'Maj Techno Summ'!AL25</f>
        <v>443.87203984592827</v>
      </c>
      <c r="AP76" s="3687">
        <f>+'Maj Techno Summ'!AM25</f>
        <v>462.23235342889933</v>
      </c>
      <c r="AQ76" s="3687">
        <f>+'Maj Techno Summ'!AN25</f>
        <v>476.38290609386956</v>
      </c>
      <c r="AR76" s="3689">
        <f>+'Maj Techno Summ'!AO25</f>
        <v>470.75193592471652</v>
      </c>
      <c r="AS76" s="3685">
        <f>+'Maj Techno Summ'!AP25</f>
        <v>465.69280821738187</v>
      </c>
      <c r="AT76" s="3686">
        <f>+'Maj Techno Summ'!AQ25</f>
        <v>459.24603448350217</v>
      </c>
      <c r="AU76" s="3684">
        <f>+'Maj Techno Summ'!AR25</f>
        <v>461.48646553886596</v>
      </c>
      <c r="AV76" s="3689">
        <f>+'Maj Techno Summ'!AS25</f>
        <v>469.50922426573226</v>
      </c>
      <c r="AW76" s="3685">
        <f>+'Maj Techno Summ'!AT25</f>
        <v>465.26117088539831</v>
      </c>
      <c r="AX76" s="3686">
        <f>+'Maj Techno Summ'!AU25</f>
        <v>463.10735494009629</v>
      </c>
      <c r="AY76" s="3684">
        <f>+'Maj Techno Summ'!AV25</f>
        <v>502.65661012599321</v>
      </c>
      <c r="AZ76" s="3689">
        <f>+'Maj Techno Summ'!AW25</f>
        <v>468.94679422415788</v>
      </c>
      <c r="BA76" s="3685">
        <f>+'Maj Techno Summ'!AX25</f>
        <v>468.16315412357602</v>
      </c>
      <c r="BB76" s="3686">
        <f>+'Maj Techno Summ'!AY25</f>
        <v>459.76937063497422</v>
      </c>
      <c r="BC76" s="3684">
        <f>+'Maj Techno Summ'!AZ25</f>
        <v>450.86502099777755</v>
      </c>
      <c r="BD76" s="3645">
        <f>+'Maj Techno Summ'!BA25</f>
        <v>460.61776153124572</v>
      </c>
      <c r="BE76" s="3645">
        <f>+'Maj Techno Summ'!BB25</f>
        <v>469.44151805270195</v>
      </c>
      <c r="BF76" s="3643">
        <f>+'Maj Techno Summ'!BC25</f>
        <v>461.4296796870504</v>
      </c>
      <c r="BG76" s="3644">
        <f>+'Maj Techno Summ'!BD25</f>
        <v>472.86316103011313</v>
      </c>
      <c r="BH76" s="3640">
        <f>+'Maj Techno Summ'!BE25</f>
        <v>468.12374114413348</v>
      </c>
      <c r="BI76" s="3155">
        <f>+'Maj Techno Summ'!BF25</f>
        <v>466.61606325348458</v>
      </c>
    </row>
    <row r="77" spans="3:61" x14ac:dyDescent="0.25">
      <c r="C77" s="5991" t="s">
        <v>1058</v>
      </c>
      <c r="D77" s="3565" t="s">
        <v>1377</v>
      </c>
      <c r="E77" s="3566" t="s">
        <v>29</v>
      </c>
      <c r="F77" s="3627">
        <v>3.0186531588909742</v>
      </c>
      <c r="G77" s="3729">
        <f>+'Maj Techno Summ'!D27</f>
        <v>2.850000000000001</v>
      </c>
      <c r="H77" s="3629">
        <f>+'Maj Techno Summ'!E27</f>
        <v>2.850000000000001</v>
      </c>
      <c r="I77" s="3630">
        <f>+'Maj Techno Summ'!F27</f>
        <v>2.98</v>
      </c>
      <c r="J77" s="3629">
        <f>+'Maj Techno Summ'!G27</f>
        <v>2.850000000000001</v>
      </c>
      <c r="K77" s="3630">
        <f>+'Maj Techno Summ'!H27</f>
        <v>2.97</v>
      </c>
      <c r="L77" s="3631">
        <f>+'Maj Techno Summ'!I27</f>
        <v>2.850000000000001</v>
      </c>
      <c r="M77" s="3632">
        <f>+'Maj Techno Summ'!J27</f>
        <v>2.9746662068530263</v>
      </c>
      <c r="N77" s="3629">
        <f>+'Maj Techno Summ'!K27</f>
        <v>2.850000000000001</v>
      </c>
      <c r="O77" s="3630">
        <f>+'Maj Techno Summ'!L27</f>
        <v>2.96</v>
      </c>
      <c r="P77" s="3633">
        <f>+'Maj Techno Summ'!M27</f>
        <v>2.850000000000001</v>
      </c>
      <c r="Q77" s="3634">
        <f>+'Maj Techno Summ'!N27</f>
        <v>2.9694697654381894</v>
      </c>
      <c r="R77" s="3629">
        <f>+'Maj Techno Summ'!O27</f>
        <v>2.850000000000001</v>
      </c>
      <c r="S77" s="3630">
        <f>+'Maj Techno Summ'!P27</f>
        <v>2.9</v>
      </c>
      <c r="T77" s="3631">
        <f>+'Maj Techno Summ'!Q27</f>
        <v>2.850000000000001</v>
      </c>
      <c r="U77" s="3632">
        <f>+'Maj Techno Summ'!R27</f>
        <v>2.9507385309739966</v>
      </c>
      <c r="V77" s="3629">
        <f>+'Maj Techno Summ'!S27</f>
        <v>2.850000000000001</v>
      </c>
      <c r="W77" s="3630">
        <f>+'Maj Techno Summ'!T27</f>
        <v>2.9</v>
      </c>
      <c r="X77" s="3631">
        <f>+'Maj Techno Summ'!U27</f>
        <v>2.850000000000001</v>
      </c>
      <c r="Y77" s="3632">
        <f>+'Maj Techno Summ'!V27</f>
        <v>2.9405071644058229</v>
      </c>
      <c r="Z77" s="3629">
        <f>+'Maj Techno Summ'!W27</f>
        <v>2.850000000000001</v>
      </c>
      <c r="AA77" s="3630">
        <f>+'Maj Techno Summ'!X27</f>
        <v>2.9049999999999998</v>
      </c>
      <c r="AB77" s="3633">
        <f>+'Maj Techno Summ'!Y27</f>
        <v>2.850000000000001</v>
      </c>
      <c r="AC77" s="3633">
        <f>+'Maj Techno Summ'!Z27</f>
        <v>2.9015794263163683</v>
      </c>
      <c r="AD77" s="3635">
        <f>+'Maj Techno Summ'!AA27</f>
        <v>2.850000000000001</v>
      </c>
      <c r="AE77" s="3636">
        <f>+'Maj Techno Summ'!AB27</f>
        <v>2.9347752735827703</v>
      </c>
      <c r="AF77" s="3629">
        <f>+'Maj Techno Summ'!AC27</f>
        <v>2.850000000000001</v>
      </c>
      <c r="AG77" s="3630">
        <f>+'Maj Techno Summ'!AD27</f>
        <v>2.94</v>
      </c>
      <c r="AH77" s="3631">
        <f>+'Maj Techno Summ'!AE27</f>
        <v>2.850000000000001</v>
      </c>
      <c r="AI77" s="3632">
        <f>+'Maj Techno Summ'!AF27</f>
        <v>2.9353661917784351</v>
      </c>
      <c r="AJ77" s="3629">
        <f>+'Maj Techno Summ'!AG27</f>
        <v>2.850000000000001</v>
      </c>
      <c r="AK77" s="3630">
        <f>+'Maj Techno Summ'!AH27</f>
        <v>2.86</v>
      </c>
      <c r="AL77" s="3631">
        <f>+'Maj Techno Summ'!AI27</f>
        <v>2.850000000000001</v>
      </c>
      <c r="AM77" s="3632">
        <f>+'Maj Techno Summ'!AJ27</f>
        <v>2.92583079145178</v>
      </c>
      <c r="AN77" s="3629">
        <f>+'Maj Techno Summ'!AK27</f>
        <v>2.850000000000001</v>
      </c>
      <c r="AO77" s="3630">
        <f>+'Maj Techno Summ'!AL27</f>
        <v>2.87</v>
      </c>
      <c r="AP77" s="3633">
        <f>+'Maj Techno Summ'!AM27</f>
        <v>2.850000000000001</v>
      </c>
      <c r="AQ77" s="3633">
        <f>+'Maj Techno Summ'!AN27</f>
        <v>2.8859377390882455</v>
      </c>
      <c r="AR77" s="3631">
        <f>+'Maj Techno Summ'!AO27</f>
        <v>2.850000000000001</v>
      </c>
      <c r="AS77" s="3632">
        <f>+'Maj Techno Summ'!AP27</f>
        <v>2.919442703985236</v>
      </c>
      <c r="AT77" s="3629">
        <f>+'Maj Techno Summ'!AQ27</f>
        <v>2.85</v>
      </c>
      <c r="AU77" s="3630">
        <f>+'Maj Techno Summ'!AR27</f>
        <v>2.88</v>
      </c>
      <c r="AV77" s="3631">
        <f>+'Maj Techno Summ'!AS27</f>
        <v>2.850000000000001</v>
      </c>
      <c r="AW77" s="3632">
        <f>+'Maj Techno Summ'!AT27</f>
        <v>2.9154913069435064</v>
      </c>
      <c r="AX77" s="3629">
        <f>+'Maj Techno Summ'!AU27</f>
        <v>2.85</v>
      </c>
      <c r="AY77" s="3630">
        <f>+'Maj Techno Summ'!AV27</f>
        <v>2.86</v>
      </c>
      <c r="AZ77" s="3631">
        <f>+'Maj Techno Summ'!AW27</f>
        <v>2.850000000000001</v>
      </c>
      <c r="BA77" s="3632">
        <f>+'Maj Techno Summ'!AX27</f>
        <v>2.9113201473324035</v>
      </c>
      <c r="BB77" s="3629">
        <f>+'Maj Techno Summ'!AY27</f>
        <v>2.85</v>
      </c>
      <c r="BC77" s="3630">
        <f>+'Maj Techno Summ'!AZ27</f>
        <v>2.87</v>
      </c>
      <c r="BD77" s="3605">
        <f>+'Maj Techno Summ'!BA27</f>
        <v>2.850000000000001</v>
      </c>
      <c r="BE77" s="3605">
        <f>+'Maj Techno Summ'!BB27</f>
        <v>2.8706576616643975</v>
      </c>
      <c r="BF77" s="3606">
        <f>+'Maj Techno Summ'!BC27</f>
        <v>2.850000000000001</v>
      </c>
      <c r="BG77" s="3607">
        <f>+'Maj Techno Summ'!BD27</f>
        <v>2.8782315390123565</v>
      </c>
      <c r="BH77" s="3602">
        <f>+'Maj Techno Summ'!BE27</f>
        <v>2.850000000000001</v>
      </c>
      <c r="BI77" s="3142">
        <f>+'Maj Techno Summ'!BF27</f>
        <v>2.9076318381507082</v>
      </c>
    </row>
    <row r="78" spans="3:61" x14ac:dyDescent="0.25">
      <c r="C78" s="5992"/>
      <c r="D78" s="3665" t="s">
        <v>368</v>
      </c>
      <c r="E78" s="543" t="s">
        <v>424</v>
      </c>
      <c r="F78" s="3714">
        <v>2.4470555125122435</v>
      </c>
      <c r="G78" s="3731">
        <f>+'Maj Techno Summ'!D28</f>
        <v>2.2695881506742244</v>
      </c>
      <c r="H78" s="3601">
        <f>+'Maj Techno Summ'!E28</f>
        <v>2.2695881506742244</v>
      </c>
      <c r="I78" s="3681">
        <f>+'Maj Techno Summ'!F28</f>
        <v>2.33</v>
      </c>
      <c r="J78" s="3601">
        <f>+'Maj Techno Summ'!G28</f>
        <v>2.2695881506742244</v>
      </c>
      <c r="K78" s="3681">
        <f>+'Maj Techno Summ'!H28</f>
        <v>2.3199999999999998</v>
      </c>
      <c r="L78" s="3602">
        <f>+'Maj Techno Summ'!I28</f>
        <v>2.2695881506742244</v>
      </c>
      <c r="M78" s="3142">
        <f>+'Maj Techno Summ'!J28</f>
        <v>2.3246662068530264</v>
      </c>
      <c r="N78" s="3601">
        <f>+'Maj Techno Summ'!K28</f>
        <v>2.2695881506742244</v>
      </c>
      <c r="O78" s="3681">
        <f>+'Maj Techno Summ'!L28</f>
        <v>2.34</v>
      </c>
      <c r="P78" s="3603">
        <f>+'Maj Techno Summ'!M28</f>
        <v>2.2695881506742244</v>
      </c>
      <c r="Q78" s="3646">
        <f>+'Maj Techno Summ'!N28</f>
        <v>2.3300991833924942</v>
      </c>
      <c r="R78" s="3601">
        <f>+'Maj Techno Summ'!O28</f>
        <v>2.2695881506742244</v>
      </c>
      <c r="S78" s="3681">
        <f>+'Maj Techno Summ'!P28</f>
        <v>2.35</v>
      </c>
      <c r="T78" s="3602">
        <f>+'Maj Techno Summ'!Q28</f>
        <v>2.2695881506742244</v>
      </c>
      <c r="U78" s="3142">
        <f>+'Maj Techno Summ'!R28</f>
        <v>2.3354650696820594</v>
      </c>
      <c r="V78" s="3601">
        <f>+'Maj Techno Summ'!S28</f>
        <v>2.2695881506742244</v>
      </c>
      <c r="W78" s="3681">
        <f>+'Maj Techno Summ'!T28</f>
        <v>2.4</v>
      </c>
      <c r="X78" s="3602">
        <f>+'Maj Techno Summ'!U28</f>
        <v>2.2695881506742244</v>
      </c>
      <c r="Y78" s="3142">
        <f>+'Maj Techno Summ'!V28</f>
        <v>2.3484784643519361</v>
      </c>
      <c r="Z78" s="3601">
        <f>+'Maj Techno Summ'!W28</f>
        <v>2.2695881506742244</v>
      </c>
      <c r="AA78" s="3681">
        <f>+'Maj Techno Summ'!X28</f>
        <v>2.4500000000000002</v>
      </c>
      <c r="AB78" s="3603">
        <f>+'Maj Techno Summ'!Y28</f>
        <v>2.2695881506742244</v>
      </c>
      <c r="AC78" s="3603">
        <f>+'Maj Techno Summ'!Z28</f>
        <v>2.3981330008034742</v>
      </c>
      <c r="AD78" s="3606">
        <f>+'Maj Techno Summ'!AA28</f>
        <v>2.2695881506742244</v>
      </c>
      <c r="AE78" s="3607">
        <f>+'Maj Techno Summ'!AB28</f>
        <v>2.3748669979974975</v>
      </c>
      <c r="AF78" s="3601">
        <f>+'Maj Techno Summ'!AC28</f>
        <v>2.2695881506742244</v>
      </c>
      <c r="AG78" s="3681">
        <f>+'Maj Techno Summ'!AD28</f>
        <v>2.78</v>
      </c>
      <c r="AH78" s="3602">
        <f>+'Maj Techno Summ'!AE28</f>
        <v>2.2695881506742244</v>
      </c>
      <c r="AI78" s="3142">
        <f>+'Maj Techno Summ'!AF28</f>
        <v>2.4206876675273259</v>
      </c>
      <c r="AJ78" s="3601">
        <f>+'Maj Techno Summ'!AG28</f>
        <v>2.2695881506742244</v>
      </c>
      <c r="AK78" s="3681">
        <f>+'Maj Techno Summ'!AH28</f>
        <v>2.41</v>
      </c>
      <c r="AL78" s="3602">
        <f>+'Maj Techno Summ'!AI28</f>
        <v>2.2695881506742244</v>
      </c>
      <c r="AM78" s="3142">
        <f>+'Maj Techno Summ'!AJ28</f>
        <v>2.409335453941547</v>
      </c>
      <c r="AN78" s="3601">
        <f>+'Maj Techno Summ'!AK28</f>
        <v>2.2695881506742244</v>
      </c>
      <c r="AO78" s="3681">
        <f>+'Maj Techno Summ'!AL28</f>
        <v>2.4</v>
      </c>
      <c r="AP78" s="3603">
        <f>+'Maj Techno Summ'!AM28</f>
        <v>2.2695881506742244</v>
      </c>
      <c r="AQ78" s="3603">
        <f>+'Maj Techno Summ'!AN28</f>
        <v>2.5094618298531417</v>
      </c>
      <c r="AR78" s="3602">
        <f>+'Maj Techno Summ'!AO28</f>
        <v>2.2695881506742244</v>
      </c>
      <c r="AS78" s="3142">
        <f>+'Maj Techno Summ'!AP28</f>
        <v>2.4082673032890525</v>
      </c>
      <c r="AT78" s="3601">
        <f>+'Maj Techno Summ'!AQ28</f>
        <v>2.2695881506742244</v>
      </c>
      <c r="AU78" s="3681">
        <f>+'Maj Techno Summ'!AR28</f>
        <v>2.4</v>
      </c>
      <c r="AV78" s="3602">
        <f>+'Maj Techno Summ'!AS28</f>
        <v>2.2695881506742244</v>
      </c>
      <c r="AW78" s="3142">
        <f>+'Maj Techno Summ'!AT28</f>
        <v>2.4074390791953979</v>
      </c>
      <c r="AX78" s="3601">
        <f>+'Maj Techno Summ'!AU28</f>
        <v>2.2695881506742244</v>
      </c>
      <c r="AY78" s="3681">
        <f>+'Maj Techno Summ'!AV28</f>
        <v>2.48</v>
      </c>
      <c r="AZ78" s="3602">
        <f>+'Maj Techno Summ'!AW28</f>
        <v>2.2695881506742244</v>
      </c>
      <c r="BA78" s="3142">
        <f>+'Maj Techno Summ'!AX28</f>
        <v>2.4128933241731332</v>
      </c>
      <c r="BB78" s="3601">
        <f>+'Maj Techno Summ'!AY28</f>
        <v>2.2695881506742244</v>
      </c>
      <c r="BC78" s="3681">
        <f>+'Maj Techno Summ'!AZ28</f>
        <v>2.37</v>
      </c>
      <c r="BD78" s="3677">
        <f>+'Maj Techno Summ'!BA28</f>
        <v>2.2695881506742244</v>
      </c>
      <c r="BE78" s="3605">
        <f>+'Maj Techno Summ'!BB28</f>
        <v>2.4115605155409652</v>
      </c>
      <c r="BF78" s="3675">
        <f>+'Maj Techno Summ'!BC28</f>
        <v>2.2695881506742244</v>
      </c>
      <c r="BG78" s="3607">
        <f>+'Maj Techno Summ'!BD28</f>
        <v>2.4600872687920416</v>
      </c>
      <c r="BH78" s="3674">
        <f>+'Maj Techno Summ'!BE28</f>
        <v>2.2695881506742244</v>
      </c>
      <c r="BI78" s="3142">
        <f>+'Maj Techno Summ'!BF28</f>
        <v>2.4090645904537564</v>
      </c>
    </row>
    <row r="79" spans="3:61" ht="14.4" thickBot="1" x14ac:dyDescent="0.3">
      <c r="C79" s="5993"/>
      <c r="D79" s="3568" t="s">
        <v>369</v>
      </c>
      <c r="E79" s="3569" t="s">
        <v>425</v>
      </c>
      <c r="F79" s="3732">
        <v>0.52806819520607939</v>
      </c>
      <c r="G79" s="3733">
        <f>+'Maj Techno Summ'!D29</f>
        <v>0.5</v>
      </c>
      <c r="H79" s="3734">
        <f>+'Maj Techno Summ'!E29</f>
        <v>0.5</v>
      </c>
      <c r="I79" s="3715">
        <f>+'Maj Techno Summ'!F29</f>
        <v>0.5</v>
      </c>
      <c r="J79" s="3734">
        <f>+'Maj Techno Summ'!G29</f>
        <v>0.5</v>
      </c>
      <c r="K79" s="3715">
        <f>+'Maj Techno Summ'!H29</f>
        <v>0.49199999999999999</v>
      </c>
      <c r="L79" s="3735">
        <f>+'Maj Techno Summ'!I29</f>
        <v>0.5</v>
      </c>
      <c r="M79" s="3736">
        <f>+'Maj Techno Summ'!J29</f>
        <v>0.49573296548242118</v>
      </c>
      <c r="N79" s="3734">
        <f>+'Maj Techno Summ'!K29</f>
        <v>0.5</v>
      </c>
      <c r="O79" s="3715">
        <f>+'Maj Techno Summ'!L29</f>
        <v>0.5</v>
      </c>
      <c r="P79" s="3737">
        <f>+'Maj Techno Summ'!M29</f>
        <v>0.5</v>
      </c>
      <c r="Q79" s="3738">
        <f>+'Maj Techno Summ'!N29</f>
        <v>0.49724483525951413</v>
      </c>
      <c r="R79" s="3734">
        <f>+'Maj Techno Summ'!O29</f>
        <v>0.5</v>
      </c>
      <c r="S79" s="3715">
        <f>+'Maj Techno Summ'!P29</f>
        <v>0.5</v>
      </c>
      <c r="T79" s="3735">
        <f>+'Maj Techno Summ'!Q29</f>
        <v>0.5</v>
      </c>
      <c r="U79" s="3736">
        <f>+'Maj Techno Summ'!R29</f>
        <v>0.49798771435829897</v>
      </c>
      <c r="V79" s="3734">
        <f>+'Maj Techno Summ'!S29</f>
        <v>0.5</v>
      </c>
      <c r="W79" s="3715">
        <f>+'Maj Techno Summ'!T29</f>
        <v>0.5</v>
      </c>
      <c r="X79" s="3735">
        <f>+'Maj Techno Summ'!U29</f>
        <v>0.5</v>
      </c>
      <c r="Y79" s="3736">
        <f>+'Maj Techno Summ'!V29</f>
        <v>0.49839348944963274</v>
      </c>
      <c r="Z79" s="3734">
        <f>+'Maj Techno Summ'!W29</f>
        <v>0.5</v>
      </c>
      <c r="AA79" s="3715">
        <f>+'Maj Techno Summ'!X29</f>
        <v>0.5</v>
      </c>
      <c r="AB79" s="3737">
        <f>+'Maj Techno Summ'!Y29</f>
        <v>0.5</v>
      </c>
      <c r="AC79" s="3737">
        <f>+'Maj Techno Summ'!Z29</f>
        <v>0.5</v>
      </c>
      <c r="AD79" s="3739">
        <f>+'Maj Techno Summ'!AA29</f>
        <v>0.5</v>
      </c>
      <c r="AE79" s="3740">
        <f>+'Maj Techno Summ'!AB29</f>
        <v>0.49865282705754593</v>
      </c>
      <c r="AF79" s="3734">
        <f>+'Maj Techno Summ'!AC29</f>
        <v>0.5</v>
      </c>
      <c r="AG79" s="3715">
        <f>+'Maj Techno Summ'!AD29</f>
        <v>0.5</v>
      </c>
      <c r="AH79" s="3735">
        <f>+'Maj Techno Summ'!AE29</f>
        <v>0.5</v>
      </c>
      <c r="AI79" s="3736">
        <f>+'Maj Techno Summ'!AF29</f>
        <v>0.49880519273965673</v>
      </c>
      <c r="AJ79" s="3734">
        <f>+'Maj Techno Summ'!AG29</f>
        <v>0.5</v>
      </c>
      <c r="AK79" s="3715">
        <f>+'Maj Techno Summ'!AH29</f>
        <v>0.46</v>
      </c>
      <c r="AL79" s="3735">
        <f>+'Maj Techno Summ'!AI29</f>
        <v>0.5</v>
      </c>
      <c r="AM79" s="3736">
        <f>+'Maj Techno Summ'!AJ29</f>
        <v>0.49389552384443852</v>
      </c>
      <c r="AN79" s="3734">
        <f>+'Maj Techno Summ'!AK29</f>
        <v>0.5</v>
      </c>
      <c r="AO79" s="3715">
        <f>+'Maj Techno Summ'!AL29</f>
        <v>0.49</v>
      </c>
      <c r="AP79" s="3737">
        <f>+'Maj Techno Summ'!AM29</f>
        <v>0.5</v>
      </c>
      <c r="AQ79" s="3737">
        <f>+'Maj Techno Summ'!AN29</f>
        <v>0.48208007551300947</v>
      </c>
      <c r="AR79" s="3735">
        <f>+'Maj Techno Summ'!AO29</f>
        <v>0.5</v>
      </c>
      <c r="AS79" s="3736">
        <f>+'Maj Techno Summ'!AP29</f>
        <v>0.49344980300833369</v>
      </c>
      <c r="AT79" s="3734">
        <f>+'Maj Techno Summ'!AQ29</f>
        <v>0.5</v>
      </c>
      <c r="AU79" s="3715">
        <f>+'Maj Techno Summ'!AR29</f>
        <v>0.5</v>
      </c>
      <c r="AV79" s="3735">
        <f>+'Maj Techno Summ'!AS29</f>
        <v>0.5</v>
      </c>
      <c r="AW79" s="3736">
        <f>+'Maj Techno Summ'!AT29</f>
        <v>0.49410600621958684</v>
      </c>
      <c r="AX79" s="3734">
        <f>+'Maj Techno Summ'!AU29</f>
        <v>0.5</v>
      </c>
      <c r="AY79" s="3715">
        <f>+'Maj Techno Summ'!AV29</f>
        <v>0.52</v>
      </c>
      <c r="AZ79" s="3735">
        <f>+'Maj Techno Summ'!AW29</f>
        <v>0.5</v>
      </c>
      <c r="BA79" s="3736">
        <f>+'Maj Techno Summ'!AX29</f>
        <v>0.49605240083481861</v>
      </c>
      <c r="BB79" s="3734">
        <f>+'Maj Techno Summ'!AY29</f>
        <v>0.5</v>
      </c>
      <c r="BC79" s="3715">
        <f>+'Maj Techno Summ'!AZ29</f>
        <v>0.5</v>
      </c>
      <c r="BD79" s="3605">
        <f>+'Maj Techno Summ'!BA29</f>
        <v>0.5</v>
      </c>
      <c r="BE79" s="3605">
        <f>+'Maj Techno Summ'!BB29</f>
        <v>0.50565536150682489</v>
      </c>
      <c r="BF79" s="3606">
        <f>+'Maj Techno Summ'!BC29</f>
        <v>0.5</v>
      </c>
      <c r="BG79" s="3607">
        <f>+'Maj Techno Summ'!BD29</f>
        <v>0.49396979738255292</v>
      </c>
      <c r="BH79" s="3602">
        <f>+'Maj Techno Summ'!BE29</f>
        <v>0.5</v>
      </c>
      <c r="BI79" s="3142">
        <f>+'Maj Techno Summ'!BF29</f>
        <v>0.49640477049433274</v>
      </c>
    </row>
    <row r="80" spans="3:61" ht="16.2" thickBot="1" x14ac:dyDescent="0.3">
      <c r="C80" s="3741" t="s">
        <v>1059</v>
      </c>
      <c r="D80" s="3742" t="s">
        <v>546</v>
      </c>
      <c r="E80" s="3743" t="s">
        <v>547</v>
      </c>
      <c r="F80" s="3744">
        <v>639.11266207165545</v>
      </c>
      <c r="G80" s="3745">
        <f>+'Maj Techno Summ'!D30</f>
        <v>789.97408213376912</v>
      </c>
      <c r="H80" s="3746">
        <f>+'Maj Techno Summ'!E30</f>
        <v>812.64670771500494</v>
      </c>
      <c r="I80" s="3747">
        <f>+'Maj Techno Summ'!F30</f>
        <v>724.01994644622903</v>
      </c>
      <c r="J80" s="3746">
        <f>+'Maj Techno Summ'!G30</f>
        <v>814.8825190968206</v>
      </c>
      <c r="K80" s="3747">
        <f>+'Maj Techno Summ'!H30</f>
        <v>799.42672946489506</v>
      </c>
      <c r="L80" s="3748">
        <f>+'Maj Techno Summ'!I30</f>
        <v>813.75238109297538</v>
      </c>
      <c r="M80" s="3749">
        <f>+'Maj Techno Summ'!J30</f>
        <v>762.26283598469161</v>
      </c>
      <c r="N80" s="3746">
        <f>+'Maj Techno Summ'!K30</f>
        <v>817.70562892885039</v>
      </c>
      <c r="O80" s="3747">
        <f>+'Maj Techno Summ'!L30</f>
        <v>850.75383150272273</v>
      </c>
      <c r="P80" s="3750">
        <f>+'Maj Techno Summ'!M30</f>
        <v>815.06429122951818</v>
      </c>
      <c r="Q80" s="3751">
        <f>+'Maj Techno Summ'!N30</f>
        <v>791.32400474477765</v>
      </c>
      <c r="R80" s="3746">
        <f>+'Maj Techno Summ'!O30</f>
        <v>802.355516552626</v>
      </c>
      <c r="S80" s="3747">
        <f>+'Maj Techno Summ'!P30</f>
        <v>858.73073141775944</v>
      </c>
      <c r="T80" s="3748">
        <f>+'Maj Techno Summ'!Q30</f>
        <v>811.83068756855312</v>
      </c>
      <c r="U80" s="3749">
        <f>+'Maj Techno Summ'!R30</f>
        <v>808.32928989530308</v>
      </c>
      <c r="V80" s="3746">
        <f>+'Maj Techno Summ'!S30</f>
        <v>803.0385660843109</v>
      </c>
      <c r="W80" s="3747">
        <f>+'Maj Techno Summ'!T30</f>
        <v>807.72736148331228</v>
      </c>
      <c r="X80" s="3748">
        <f>+'Maj Techno Summ'!U30</f>
        <v>810.04622105357214</v>
      </c>
      <c r="Y80" s="3749">
        <f>+'Maj Techno Summ'!V30</f>
        <v>808.18827844831412</v>
      </c>
      <c r="Z80" s="3746">
        <f>+'Maj Techno Summ'!W30</f>
        <v>444.87961481035342</v>
      </c>
      <c r="AA80" s="3747">
        <f>+'Maj Techno Summ'!X30</f>
        <v>800.50814464028986</v>
      </c>
      <c r="AB80" s="3750">
        <f>+'Maj Techno Summ'!Y30</f>
        <v>685.40836522048141</v>
      </c>
      <c r="AC80" s="3750">
        <f>+'Maj Techno Summ'!Z30</f>
        <v>822.67304970318651</v>
      </c>
      <c r="AD80" s="3752">
        <f>+'Maj Techno Summ'!AA30</f>
        <v>750.46891161293547</v>
      </c>
      <c r="AE80" s="3752">
        <f>+'Maj Techno Summ'!AB30</f>
        <v>806.9679414653026</v>
      </c>
      <c r="AF80" s="3746">
        <f>+'Maj Techno Summ'!AC30</f>
        <v>821.61133260872475</v>
      </c>
      <c r="AG80" s="3747">
        <f>+'Maj Techno Summ'!AD30</f>
        <v>627.19218779449864</v>
      </c>
      <c r="AH80" s="3748">
        <f>+'Maj Techno Summ'!AE30</f>
        <v>760.71261269174067</v>
      </c>
      <c r="AI80" s="3749">
        <f>+'Maj Techno Summ'!AF30</f>
        <v>781.13691770772482</v>
      </c>
      <c r="AJ80" s="3746">
        <f>+'Maj Techno Summ'!AG30</f>
        <v>825.17752502414544</v>
      </c>
      <c r="AK80" s="3747">
        <f>+'Maj Techno Summ'!AH30</f>
        <v>812.21648212896196</v>
      </c>
      <c r="AL80" s="3748">
        <f>+'Maj Techno Summ'!AI30</f>
        <v>768.59572203946641</v>
      </c>
      <c r="AM80" s="3749">
        <f>+'Maj Techno Summ'!AJ30</f>
        <v>784.93789475121423</v>
      </c>
      <c r="AN80" s="3746">
        <f>+'Maj Techno Summ'!AK30</f>
        <v>824.42828574909777</v>
      </c>
      <c r="AO80" s="3747">
        <f>+'Maj Techno Summ'!AL30</f>
        <v>805.04627302386416</v>
      </c>
      <c r="AP80" s="3750">
        <f>+'Maj Techno Summ'!AM30</f>
        <v>823.72805861312543</v>
      </c>
      <c r="AQ80" s="3750">
        <f>+'Maj Techno Summ'!AN30</f>
        <v>747.27457978871462</v>
      </c>
      <c r="AR80" s="3748">
        <f>+'Maj Techno Summ'!AO30</f>
        <v>774.83791615178154</v>
      </c>
      <c r="AS80" s="3749">
        <f>+'Maj Techno Summ'!AP30</f>
        <v>787.1607652226935</v>
      </c>
      <c r="AT80" s="3746">
        <f>+'Maj Techno Summ'!AQ30</f>
        <v>838.81244623945884</v>
      </c>
      <c r="AU80" s="3747">
        <f>+'Maj Techno Summ'!AR30</f>
        <v>789.63550917454529</v>
      </c>
      <c r="AV80" s="3748">
        <f>+'Maj Techno Summ'!AS30</f>
        <v>781.25936444458023</v>
      </c>
      <c r="AW80" s="3749">
        <f>+'Maj Techno Summ'!AT30</f>
        <v>787.39074658951756</v>
      </c>
      <c r="AX80" s="3746">
        <f>+'Maj Techno Summ'!AU30</f>
        <v>830.48772690547321</v>
      </c>
      <c r="AY80" s="3747">
        <f>+'Maj Techno Summ'!AV30</f>
        <v>707.99769922610335</v>
      </c>
      <c r="AZ80" s="3748">
        <f>+'Maj Techno Summ'!AW30</f>
        <v>785.40124510832266</v>
      </c>
      <c r="BA80" s="3749">
        <f>+'Maj Techno Summ'!AX30</f>
        <v>780.89800576265588</v>
      </c>
      <c r="BB80" s="3746">
        <f>+'Maj Techno Summ'!AY30</f>
        <v>839.77411141141556</v>
      </c>
      <c r="BC80" s="3747">
        <f>+'Maj Techno Summ'!AZ30</f>
        <v>837.34047478274499</v>
      </c>
      <c r="BD80" s="3645">
        <f>+'Maj Techno Summ'!BA30</f>
        <v>836.55358401556646</v>
      </c>
      <c r="BE80" s="3645">
        <f>+'Maj Techno Summ'!BB30</f>
        <v>780.49294118867783</v>
      </c>
      <c r="BF80" s="3643">
        <f>+'Maj Techno Summ'!BC30</f>
        <v>830.07564496772477</v>
      </c>
      <c r="BG80" s="3644">
        <f>+'Maj Techno Summ'!BD30</f>
        <v>763.66364360461557</v>
      </c>
      <c r="BH80" s="3640">
        <f>+'Maj Techno Summ'!BE30</f>
        <v>789.974082133769</v>
      </c>
      <c r="BI80" s="3155">
        <f>+'Maj Techno Summ'!BF30</f>
        <v>785.5870465334782</v>
      </c>
    </row>
    <row r="81" spans="20:21" x14ac:dyDescent="0.25">
      <c r="T81" s="1257"/>
      <c r="U81" s="1257"/>
    </row>
  </sheetData>
  <mergeCells count="36"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  <mergeCell ref="BB4:BC4"/>
    <mergeCell ref="AR4:AS4"/>
    <mergeCell ref="BF4:BG4"/>
    <mergeCell ref="AD4:AE4"/>
    <mergeCell ref="AX4:AY4"/>
    <mergeCell ref="AL4:AM4"/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FF00"/>
    <pageSetUpPr fitToPage="1"/>
  </sheetPr>
  <dimension ref="A1:BI240"/>
  <sheetViews>
    <sheetView zoomScaleNormal="100" workbookViewId="0">
      <pane xSplit="3" topLeftCell="AC1" activePane="topRight" state="frozen"/>
      <selection pane="topRight" activeCell="BG23" sqref="BG23"/>
    </sheetView>
  </sheetViews>
  <sheetFormatPr defaultRowHeight="15.6" x14ac:dyDescent="0.3"/>
  <cols>
    <col min="2" max="2" width="79.109375" bestFit="1" customWidth="1"/>
    <col min="3" max="3" width="15.109375" customWidth="1"/>
    <col min="4" max="4" width="5.44140625" hidden="1" customWidth="1"/>
    <col min="5" max="5" width="10.88671875" bestFit="1" customWidth="1"/>
    <col min="6" max="6" width="10" hidden="1" customWidth="1"/>
    <col min="7" max="7" width="10.6640625" customWidth="1"/>
    <col min="8" max="8" width="10" hidden="1" customWidth="1"/>
    <col min="9" max="9" width="10.6640625" hidden="1" customWidth="1"/>
    <col min="10" max="10" width="10" hidden="1" customWidth="1"/>
    <col min="11" max="11" width="10.6640625" customWidth="1"/>
    <col min="12" max="12" width="10" hidden="1" customWidth="1"/>
    <col min="13" max="13" width="10.88671875" style="149" customWidth="1"/>
    <col min="14" max="14" width="10" hidden="1" customWidth="1"/>
    <col min="15" max="15" width="10.6640625" style="92" customWidth="1"/>
    <col min="16" max="16" width="10" hidden="1" customWidth="1"/>
    <col min="17" max="17" width="10.6640625" hidden="1" customWidth="1"/>
    <col min="18" max="18" width="10" hidden="1" customWidth="1"/>
    <col min="19" max="19" width="10.6640625" customWidth="1"/>
    <col min="20" max="20" width="10" hidden="1" customWidth="1"/>
    <col min="21" max="21" width="12.33203125" hidden="1" customWidth="1"/>
    <col min="22" max="22" width="10" hidden="1" customWidth="1"/>
    <col min="23" max="23" width="10.6640625" customWidth="1"/>
    <col min="24" max="24" width="9.5546875" hidden="1" customWidth="1"/>
    <col min="25" max="25" width="10.88671875" style="149" customWidth="1"/>
    <col min="26" max="26" width="10" hidden="1" customWidth="1"/>
    <col min="27" max="27" width="12.44140625" customWidth="1"/>
    <col min="28" max="28" width="9.109375" hidden="1" customWidth="1"/>
    <col min="29" max="29" width="10.88671875" customWidth="1"/>
    <col min="30" max="30" width="10" hidden="1" customWidth="1"/>
    <col min="31" max="31" width="12.33203125" hidden="1" customWidth="1"/>
    <col min="32" max="32" width="5.44140625" hidden="1" customWidth="1"/>
    <col min="33" max="33" width="10.88671875" customWidth="1"/>
    <col min="34" max="34" width="9.109375" hidden="1" customWidth="1"/>
    <col min="35" max="35" width="12.33203125" hidden="1" customWidth="1"/>
    <col min="36" max="36" width="9.109375" hidden="1" customWidth="1"/>
    <col min="37" max="37" width="10.88671875" customWidth="1"/>
    <col min="38" max="38" width="9.109375" hidden="1" customWidth="1"/>
    <col min="39" max="39" width="10.88671875" customWidth="1"/>
    <col min="40" max="40" width="9.109375" hidden="1" customWidth="1"/>
    <col min="41" max="41" width="12.33203125" hidden="1" customWidth="1"/>
    <col min="42" max="42" width="9.109375" hidden="1" customWidth="1"/>
    <col min="43" max="43" width="10.6640625" bestFit="1" customWidth="1"/>
    <col min="44" max="44" width="9.109375" hidden="1" customWidth="1"/>
    <col min="45" max="45" width="12.33203125" hidden="1" customWidth="1"/>
    <col min="46" max="46" width="9.109375" hidden="1" customWidth="1"/>
    <col min="47" max="47" width="14.109375" customWidth="1"/>
    <col min="48" max="48" width="9.109375" hidden="1" customWidth="1"/>
    <col min="49" max="49" width="12.33203125" style="32" hidden="1" customWidth="1"/>
    <col min="50" max="50" width="9.109375" customWidth="1"/>
    <col min="51" max="51" width="10.5546875" customWidth="1"/>
    <col min="52" max="52" width="9.109375" hidden="1" customWidth="1"/>
    <col min="53" max="53" width="10.88671875" customWidth="1"/>
    <col min="54" max="54" width="9.109375" hidden="1" customWidth="1"/>
    <col min="55" max="55" width="12" customWidth="1"/>
    <col min="56" max="56" width="9.109375" hidden="1" customWidth="1"/>
    <col min="57" max="57" width="12.44140625" customWidth="1"/>
    <col min="58" max="58" width="10.5546875" bestFit="1" customWidth="1"/>
    <col min="59" max="59" width="9.109375" customWidth="1"/>
  </cols>
  <sheetData>
    <row r="1" spans="1:61" hidden="1" x14ac:dyDescent="0.3">
      <c r="B1" s="256"/>
      <c r="E1" s="547"/>
      <c r="F1" s="547"/>
      <c r="I1" s="623"/>
      <c r="J1" s="146"/>
      <c r="M1" s="2201"/>
      <c r="N1" s="146"/>
      <c r="Q1" s="623"/>
      <c r="R1" s="146"/>
      <c r="U1" s="623"/>
      <c r="V1" s="146"/>
      <c r="X1" s="26"/>
      <c r="Y1" s="2201"/>
      <c r="AA1" s="448"/>
    </row>
    <row r="2" spans="1:61" ht="43.5" customHeight="1" thickBot="1" x14ac:dyDescent="0.35">
      <c r="A2" s="146"/>
      <c r="B2" s="6010" t="s">
        <v>1100</v>
      </c>
      <c r="C2" s="6010"/>
      <c r="D2" s="6010"/>
      <c r="E2" s="6010"/>
      <c r="F2" s="6010"/>
      <c r="G2" s="6010"/>
      <c r="H2" s="6010"/>
      <c r="I2" s="6010"/>
      <c r="J2" s="6010"/>
      <c r="K2" s="6010"/>
      <c r="L2" s="6010"/>
      <c r="M2" s="6010"/>
      <c r="N2" s="6010"/>
      <c r="O2" s="6010"/>
      <c r="P2" s="6010"/>
      <c r="Q2" s="6010"/>
      <c r="R2" s="6010"/>
      <c r="S2" s="6010"/>
      <c r="T2" s="6010"/>
      <c r="U2" s="6010"/>
      <c r="V2" s="6010"/>
      <c r="W2" s="6010"/>
      <c r="X2" s="6010"/>
      <c r="Y2" s="6010"/>
      <c r="Z2" s="6010"/>
      <c r="AA2" s="6010"/>
    </row>
    <row r="3" spans="1:61" ht="16.2" thickBot="1" x14ac:dyDescent="0.35">
      <c r="B3" s="5874" t="s">
        <v>171</v>
      </c>
      <c r="C3" s="5952" t="s">
        <v>172</v>
      </c>
      <c r="D3" s="5866" t="s">
        <v>1962</v>
      </c>
      <c r="E3" s="6013"/>
      <c r="F3" s="5866" t="s">
        <v>2013</v>
      </c>
      <c r="G3" s="5866"/>
      <c r="H3" s="6014" t="s">
        <v>14</v>
      </c>
      <c r="I3" s="6015"/>
      <c r="J3" s="5957" t="s">
        <v>2043</v>
      </c>
      <c r="K3" s="5954"/>
      <c r="L3" s="6016" t="s">
        <v>637</v>
      </c>
      <c r="M3" s="6017"/>
      <c r="N3" s="5957" t="s">
        <v>2065</v>
      </c>
      <c r="O3" s="5954"/>
      <c r="P3" s="6001" t="s">
        <v>17</v>
      </c>
      <c r="Q3" s="5868"/>
      <c r="R3" s="5957" t="s">
        <v>2068</v>
      </c>
      <c r="S3" s="5954"/>
      <c r="T3" s="6001" t="s">
        <v>18</v>
      </c>
      <c r="U3" s="5868"/>
      <c r="V3" s="5866" t="s">
        <v>2110</v>
      </c>
      <c r="W3" s="5866"/>
      <c r="X3" s="6016" t="s">
        <v>660</v>
      </c>
      <c r="Y3" s="6017"/>
      <c r="Z3" s="5990" t="s">
        <v>657</v>
      </c>
      <c r="AA3" s="5872"/>
      <c r="AB3" s="5957" t="s">
        <v>2135</v>
      </c>
      <c r="AC3" s="5954"/>
      <c r="AD3" s="6001" t="s">
        <v>24</v>
      </c>
      <c r="AE3" s="5868"/>
      <c r="AF3" s="5957" t="s">
        <v>2238</v>
      </c>
      <c r="AG3" s="5954"/>
      <c r="AH3" s="6001" t="s">
        <v>27</v>
      </c>
      <c r="AI3" s="5868"/>
      <c r="AJ3" s="5866" t="s">
        <v>2262</v>
      </c>
      <c r="AK3" s="5866"/>
      <c r="AL3" s="5869" t="s">
        <v>662</v>
      </c>
      <c r="AM3" s="5870"/>
      <c r="AN3" s="6001" t="s">
        <v>1613</v>
      </c>
      <c r="AO3" s="5868"/>
      <c r="AP3" s="5957" t="s">
        <v>2274</v>
      </c>
      <c r="AQ3" s="5954"/>
      <c r="AR3" s="6001" t="s">
        <v>28</v>
      </c>
      <c r="AS3" s="5868"/>
      <c r="AT3" s="5957" t="s">
        <v>2311</v>
      </c>
      <c r="AU3" s="5954"/>
      <c r="AV3" s="6001" t="s">
        <v>30</v>
      </c>
      <c r="AW3" s="5868"/>
      <c r="AX3" s="5957" t="s">
        <v>2329</v>
      </c>
      <c r="AY3" s="5954"/>
      <c r="AZ3" s="5869" t="s">
        <v>663</v>
      </c>
      <c r="BA3" s="5870"/>
      <c r="BB3" s="5990" t="s">
        <v>670</v>
      </c>
      <c r="BC3" s="5872"/>
      <c r="BD3" s="6001" t="s">
        <v>2041</v>
      </c>
      <c r="BE3" s="5868"/>
    </row>
    <row r="4" spans="1:61" ht="16.2" thickBot="1" x14ac:dyDescent="0.35">
      <c r="B4" s="6011"/>
      <c r="C4" s="6012"/>
      <c r="D4" s="541" t="s">
        <v>173</v>
      </c>
      <c r="E4" s="154" t="s">
        <v>174</v>
      </c>
      <c r="F4" s="541" t="s">
        <v>173</v>
      </c>
      <c r="G4" s="175" t="s">
        <v>174</v>
      </c>
      <c r="H4" s="1663" t="s">
        <v>173</v>
      </c>
      <c r="I4" s="1629" t="s">
        <v>174</v>
      </c>
      <c r="J4" s="1030" t="s">
        <v>173</v>
      </c>
      <c r="K4" s="175" t="s">
        <v>174</v>
      </c>
      <c r="L4" s="2194" t="s">
        <v>173</v>
      </c>
      <c r="M4" s="2195" t="s">
        <v>174</v>
      </c>
      <c r="N4" s="1030" t="s">
        <v>173</v>
      </c>
      <c r="O4" s="175" t="s">
        <v>174</v>
      </c>
      <c r="P4" s="143" t="s">
        <v>173</v>
      </c>
      <c r="Q4" s="160" t="s">
        <v>174</v>
      </c>
      <c r="R4" s="1030" t="s">
        <v>173</v>
      </c>
      <c r="S4" s="175" t="s">
        <v>174</v>
      </c>
      <c r="T4" s="143" t="s">
        <v>173</v>
      </c>
      <c r="U4" s="4921" t="s">
        <v>174</v>
      </c>
      <c r="V4" s="1030" t="s">
        <v>173</v>
      </c>
      <c r="W4" s="158" t="s">
        <v>174</v>
      </c>
      <c r="X4" s="2194" t="s">
        <v>173</v>
      </c>
      <c r="Y4" s="2195" t="s">
        <v>174</v>
      </c>
      <c r="Z4" s="462" t="s">
        <v>173</v>
      </c>
      <c r="AA4" s="462" t="s">
        <v>174</v>
      </c>
      <c r="AB4" s="1030" t="s">
        <v>173</v>
      </c>
      <c r="AC4" s="4068" t="s">
        <v>174</v>
      </c>
      <c r="AD4" s="143" t="s">
        <v>173</v>
      </c>
      <c r="AE4" s="160" t="s">
        <v>174</v>
      </c>
      <c r="AF4" s="1030" t="s">
        <v>173</v>
      </c>
      <c r="AG4" s="175" t="s">
        <v>174</v>
      </c>
      <c r="AH4" s="143" t="s">
        <v>173</v>
      </c>
      <c r="AI4" s="160" t="s">
        <v>174</v>
      </c>
      <c r="AJ4" s="1030" t="s">
        <v>173</v>
      </c>
      <c r="AK4" s="158" t="s">
        <v>174</v>
      </c>
      <c r="AL4" s="698" t="s">
        <v>173</v>
      </c>
      <c r="AM4" s="2195" t="s">
        <v>174</v>
      </c>
      <c r="AN4" s="143" t="s">
        <v>173</v>
      </c>
      <c r="AO4" s="160" t="s">
        <v>174</v>
      </c>
      <c r="AP4" s="1030" t="s">
        <v>173</v>
      </c>
      <c r="AQ4" s="175" t="s">
        <v>174</v>
      </c>
      <c r="AR4" s="143" t="s">
        <v>173</v>
      </c>
      <c r="AS4" s="160" t="s">
        <v>174</v>
      </c>
      <c r="AT4" s="1030" t="s">
        <v>173</v>
      </c>
      <c r="AU4" s="175" t="s">
        <v>174</v>
      </c>
      <c r="AV4" s="143" t="s">
        <v>173</v>
      </c>
      <c r="AW4" s="160" t="s">
        <v>174</v>
      </c>
      <c r="AX4" s="1030" t="s">
        <v>173</v>
      </c>
      <c r="AY4" s="175" t="s">
        <v>174</v>
      </c>
      <c r="AZ4" s="698" t="s">
        <v>173</v>
      </c>
      <c r="BA4" s="2195" t="s">
        <v>174</v>
      </c>
      <c r="BB4" s="462" t="s">
        <v>173</v>
      </c>
      <c r="BC4" s="462" t="s">
        <v>174</v>
      </c>
      <c r="BD4" s="143" t="s">
        <v>173</v>
      </c>
      <c r="BE4" s="160" t="s">
        <v>174</v>
      </c>
    </row>
    <row r="5" spans="1:61" ht="24.6" x14ac:dyDescent="0.3">
      <c r="A5" s="146"/>
      <c r="B5" s="3175" t="s">
        <v>1606</v>
      </c>
      <c r="C5" s="201"/>
      <c r="D5" s="230"/>
      <c r="E5" s="2403">
        <f>+E6+E14+E16+E21</f>
        <v>1095.8900000000001</v>
      </c>
      <c r="F5" s="591"/>
      <c r="G5" s="2403">
        <f>+G6+G14+G16+G21</f>
        <v>2704.9500000000007</v>
      </c>
      <c r="H5" s="1630"/>
      <c r="I5" s="1630">
        <f>+E5+G5</f>
        <v>3800.8400000000011</v>
      </c>
      <c r="J5" s="1118"/>
      <c r="K5" s="2403">
        <f>+K6+K14+K16+K21</f>
        <v>6803.8099999999995</v>
      </c>
      <c r="L5" s="793"/>
      <c r="M5" s="793">
        <f>+E5+G5+K5</f>
        <v>10604.650000000001</v>
      </c>
      <c r="N5" s="1118"/>
      <c r="O5" s="5608">
        <f>+O6+O14+O16+O21</f>
        <v>3865.36</v>
      </c>
      <c r="P5" s="582"/>
      <c r="Q5" s="1630">
        <f>+M5+O5</f>
        <v>14470.010000000002</v>
      </c>
      <c r="R5" s="1118"/>
      <c r="S5" s="2403">
        <f>+S6+S14+S16+S21</f>
        <v>6257.93</v>
      </c>
      <c r="T5" s="775"/>
      <c r="U5" s="1630">
        <f>+Q5+S5</f>
        <v>20727.940000000002</v>
      </c>
      <c r="V5" s="1031"/>
      <c r="W5" s="2403">
        <f>+W6+W14+W16+W21</f>
        <v>5182.59</v>
      </c>
      <c r="X5" s="793"/>
      <c r="Y5" s="793">
        <f>+O5+S5+W5</f>
        <v>15305.880000000001</v>
      </c>
      <c r="Z5" s="465"/>
      <c r="AA5" s="517">
        <f>M5+Y5</f>
        <v>25910.530000000002</v>
      </c>
      <c r="AB5" s="1118"/>
      <c r="AC5" s="2403">
        <f>+AC6+AC14+AC16+AC21</f>
        <v>5221.92</v>
      </c>
      <c r="AD5" s="582"/>
      <c r="AE5" s="582">
        <f>AA5+AC5</f>
        <v>31132.450000000004</v>
      </c>
      <c r="AF5" s="1118"/>
      <c r="AG5" s="2403">
        <f>+AG6+AG14+AG16+AG21</f>
        <v>0</v>
      </c>
      <c r="AH5" s="582"/>
      <c r="AI5" s="582">
        <f t="shared" ref="AI5:AI20" si="0">+AE5+AG5</f>
        <v>31132.450000000004</v>
      </c>
      <c r="AJ5" s="1031"/>
      <c r="AK5" s="2403">
        <f>+AK6+AK14+AK16+AK21</f>
        <v>2959.9700000000003</v>
      </c>
      <c r="AL5" s="590"/>
      <c r="AM5" s="793">
        <f>+AC5+AG5+AK5</f>
        <v>8181.89</v>
      </c>
      <c r="AN5" s="582"/>
      <c r="AO5" s="582">
        <f>AI5+AK5</f>
        <v>34092.420000000006</v>
      </c>
      <c r="AP5" s="1031"/>
      <c r="AQ5" s="2403">
        <f>+AQ6+AQ14+AQ16+AQ21</f>
        <v>6204.6100000000006</v>
      </c>
      <c r="AR5" s="582"/>
      <c r="AS5" s="582">
        <f t="shared" ref="AS5:AS21" si="1">+AO5+AQ5</f>
        <v>40297.030000000006</v>
      </c>
      <c r="AT5" s="1118"/>
      <c r="AU5" s="2403">
        <f>+AU6+AU14+AU16+AU21</f>
        <v>3912.1100000000006</v>
      </c>
      <c r="AV5" s="582"/>
      <c r="AW5" s="582">
        <f t="shared" ref="AW5:AW21" si="2">+AS5+AU5</f>
        <v>44209.140000000007</v>
      </c>
      <c r="AX5" s="1118"/>
      <c r="AY5" s="2403">
        <f>+AY6+AY14+AY16+AY21+AY12</f>
        <v>3740.4</v>
      </c>
      <c r="AZ5" s="590"/>
      <c r="BA5" s="793">
        <f>+AQ5+AU5+AY5</f>
        <v>13857.12</v>
      </c>
      <c r="BB5" s="465"/>
      <c r="BC5" s="517">
        <f>BA5+AM5</f>
        <v>22039.010000000002</v>
      </c>
      <c r="BD5" s="582"/>
      <c r="BE5" s="251">
        <f t="shared" ref="BE5:BE21" si="3">+AW5+AY5</f>
        <v>47949.540000000008</v>
      </c>
      <c r="BF5" s="1202"/>
      <c r="BH5" s="26"/>
      <c r="BI5" s="26"/>
    </row>
    <row r="6" spans="1:61" ht="23.4" x14ac:dyDescent="0.3">
      <c r="A6" s="146"/>
      <c r="B6" s="2545" t="s">
        <v>1326</v>
      </c>
      <c r="C6" s="156" t="s">
        <v>354</v>
      </c>
      <c r="D6" s="591"/>
      <c r="E6" s="2400">
        <f>+E7+E8</f>
        <v>1095.8900000000001</v>
      </c>
      <c r="F6" s="2400">
        <f t="shared" ref="F6:AF6" si="4">+F7+F8</f>
        <v>0</v>
      </c>
      <c r="G6" s="2400">
        <f>+G7+G8</f>
        <v>1764.7700000000004</v>
      </c>
      <c r="H6" s="2399"/>
      <c r="I6" s="1630">
        <f t="shared" ref="I6:I21" si="5">+E6+G6</f>
        <v>2860.6600000000008</v>
      </c>
      <c r="J6" s="2400">
        <f t="shared" si="4"/>
        <v>0</v>
      </c>
      <c r="K6" s="2400">
        <f>+K7+K8</f>
        <v>5738.21</v>
      </c>
      <c r="L6" s="1337"/>
      <c r="M6" s="793">
        <f t="shared" ref="M6:M22" si="6">+E6+G6+K6</f>
        <v>8598.8700000000008</v>
      </c>
      <c r="N6" s="2400">
        <f t="shared" si="4"/>
        <v>0</v>
      </c>
      <c r="O6" s="2400">
        <f>+O7+O8</f>
        <v>3402.26</v>
      </c>
      <c r="P6" s="1577"/>
      <c r="Q6" s="1630">
        <f t="shared" ref="Q6:Q61" si="7">+M6+O6</f>
        <v>12001.130000000001</v>
      </c>
      <c r="R6" s="2400">
        <f t="shared" si="4"/>
        <v>0</v>
      </c>
      <c r="S6" s="2400">
        <f>+S7+S8</f>
        <v>3769.97</v>
      </c>
      <c r="T6" s="2399"/>
      <c r="U6" s="1630">
        <f t="shared" ref="U6:U61" si="8">+Q6+S6</f>
        <v>15771.1</v>
      </c>
      <c r="V6" s="2400">
        <f t="shared" si="4"/>
        <v>0</v>
      </c>
      <c r="W6" s="2400">
        <f>+W7+W8</f>
        <v>3271.59</v>
      </c>
      <c r="X6" s="1337"/>
      <c r="Y6" s="793">
        <f t="shared" ref="Y6:Y64" si="9">+O6+S6+W6</f>
        <v>10443.82</v>
      </c>
      <c r="Z6" s="465"/>
      <c r="AA6" s="517">
        <f t="shared" ref="AA6:AA64" si="10">M6+Y6</f>
        <v>19042.690000000002</v>
      </c>
      <c r="AB6" s="2400">
        <f t="shared" si="4"/>
        <v>0</v>
      </c>
      <c r="AC6" s="2400">
        <f>+AC7+AC8</f>
        <v>3217.8199999999997</v>
      </c>
      <c r="AD6" s="1577"/>
      <c r="AE6" s="582">
        <f t="shared" ref="AE6:AE14" si="11">AA6+AC6</f>
        <v>22260.510000000002</v>
      </c>
      <c r="AF6" s="2400">
        <f t="shared" si="4"/>
        <v>0</v>
      </c>
      <c r="AG6" s="2400">
        <f>+AG7+AG8</f>
        <v>0</v>
      </c>
      <c r="AH6" s="1577"/>
      <c r="AI6" s="582">
        <f t="shared" si="0"/>
        <v>22260.510000000002</v>
      </c>
      <c r="AJ6" s="2400">
        <f t="shared" ref="AJ6" si="12">+AJ7+AJ8</f>
        <v>0</v>
      </c>
      <c r="AK6" s="2400">
        <f>+AK7+AK8</f>
        <v>2256.63</v>
      </c>
      <c r="AL6" s="2402"/>
      <c r="AM6" s="793">
        <f t="shared" ref="AM6:AM64" si="13">+AC6+AG6+AK6</f>
        <v>5474.45</v>
      </c>
      <c r="AN6" s="1577"/>
      <c r="AO6" s="582">
        <f t="shared" ref="AO6:AO67" si="14">AI6+AK6</f>
        <v>24517.140000000003</v>
      </c>
      <c r="AP6" s="2400">
        <f t="shared" ref="AP6" si="15">+AP7+AP8</f>
        <v>0</v>
      </c>
      <c r="AQ6" s="2400">
        <f>+AQ7+AQ8</f>
        <v>4277.21</v>
      </c>
      <c r="AR6" s="1577"/>
      <c r="AS6" s="582">
        <f t="shared" si="1"/>
        <v>28794.350000000002</v>
      </c>
      <c r="AT6" s="2400">
        <f t="shared" ref="AT6" si="16">+AT7+AT8</f>
        <v>0</v>
      </c>
      <c r="AU6" s="2400">
        <f>+AU7+AU8</f>
        <v>3140.78</v>
      </c>
      <c r="AV6" s="582"/>
      <c r="AW6" s="582">
        <f t="shared" si="2"/>
        <v>31935.13</v>
      </c>
      <c r="AX6" s="2400">
        <f t="shared" ref="AX6" si="17">+AX7+AX8</f>
        <v>0</v>
      </c>
      <c r="AY6" s="2400">
        <f>+AY7+AY8</f>
        <v>1971.02</v>
      </c>
      <c r="AZ6" s="2402"/>
      <c r="BA6" s="793">
        <f t="shared" ref="BA6:BA61" si="18">+AQ6+AU6+AY6</f>
        <v>9389.01</v>
      </c>
      <c r="BB6" s="465"/>
      <c r="BC6" s="517">
        <f>BA6+AM6</f>
        <v>14863.46</v>
      </c>
      <c r="BD6" s="1577"/>
      <c r="BE6" s="251">
        <f t="shared" si="3"/>
        <v>33906.15</v>
      </c>
      <c r="BF6" s="1202"/>
      <c r="BH6" s="26"/>
      <c r="BI6" s="26"/>
    </row>
    <row r="7" spans="1:61" ht="17.399999999999999" x14ac:dyDescent="0.3">
      <c r="A7" s="146"/>
      <c r="B7" s="525" t="s">
        <v>1906</v>
      </c>
      <c r="C7" s="156" t="s">
        <v>354</v>
      </c>
      <c r="D7" s="591"/>
      <c r="E7" s="616">
        <v>1095.8900000000001</v>
      </c>
      <c r="F7" s="616"/>
      <c r="G7" s="616">
        <v>1764.7700000000004</v>
      </c>
      <c r="H7" s="1630"/>
      <c r="I7" s="1630">
        <f t="shared" si="5"/>
        <v>2860.6600000000008</v>
      </c>
      <c r="J7" s="616"/>
      <c r="K7" s="616">
        <v>1754.69</v>
      </c>
      <c r="L7" s="793"/>
      <c r="M7" s="793">
        <f t="shared" si="6"/>
        <v>4615.3500000000004</v>
      </c>
      <c r="N7" s="616"/>
      <c r="O7" s="616">
        <v>1441.38</v>
      </c>
      <c r="P7" s="582"/>
      <c r="Q7" s="1630">
        <f t="shared" si="7"/>
        <v>6056.7300000000005</v>
      </c>
      <c r="R7" s="616"/>
      <c r="S7" s="616">
        <v>3769.97</v>
      </c>
      <c r="T7" s="775"/>
      <c r="U7" s="1630">
        <f t="shared" si="8"/>
        <v>9826.7000000000007</v>
      </c>
      <c r="V7" s="616"/>
      <c r="W7" s="616">
        <v>3271.59</v>
      </c>
      <c r="X7" s="793"/>
      <c r="Y7" s="793">
        <f t="shared" si="9"/>
        <v>8482.94</v>
      </c>
      <c r="Z7" s="465"/>
      <c r="AA7" s="517">
        <f t="shared" si="10"/>
        <v>13098.29</v>
      </c>
      <c r="AB7" s="616"/>
      <c r="AC7" s="616">
        <v>601.74</v>
      </c>
      <c r="AD7" s="582"/>
      <c r="AE7" s="582">
        <f t="shared" si="11"/>
        <v>13700.03</v>
      </c>
      <c r="AF7" s="616"/>
      <c r="AG7" s="616"/>
      <c r="AH7" s="582"/>
      <c r="AI7" s="582">
        <f t="shared" si="0"/>
        <v>13700.03</v>
      </c>
      <c r="AJ7" s="616"/>
      <c r="AK7" s="616">
        <v>2256.63</v>
      </c>
      <c r="AL7" s="590"/>
      <c r="AM7" s="793">
        <f t="shared" si="13"/>
        <v>2858.37</v>
      </c>
      <c r="AN7" s="582"/>
      <c r="AO7" s="582">
        <f t="shared" si="14"/>
        <v>15956.66</v>
      </c>
      <c r="AP7" s="616"/>
      <c r="AQ7" s="616">
        <v>4277.21</v>
      </c>
      <c r="AR7" s="582"/>
      <c r="AS7" s="582">
        <f t="shared" si="1"/>
        <v>20233.87</v>
      </c>
      <c r="AT7" s="616"/>
      <c r="AU7" s="616">
        <v>3140.78</v>
      </c>
      <c r="AV7" s="582"/>
      <c r="AW7" s="582">
        <f t="shared" si="2"/>
        <v>23374.649999999998</v>
      </c>
      <c r="AX7" s="616"/>
      <c r="AY7" s="616">
        <v>1971.02</v>
      </c>
      <c r="AZ7" s="590"/>
      <c r="BA7" s="793">
        <f t="shared" si="18"/>
        <v>9389.01</v>
      </c>
      <c r="BB7" s="465"/>
      <c r="BC7" s="517">
        <f t="shared" ref="BC7:BC65" si="19">BA7+AM7</f>
        <v>12247.380000000001</v>
      </c>
      <c r="BD7" s="582"/>
      <c r="BE7" s="251">
        <f t="shared" si="3"/>
        <v>25345.67</v>
      </c>
      <c r="BF7" s="1202"/>
      <c r="BH7" s="26"/>
      <c r="BI7" s="26"/>
    </row>
    <row r="8" spans="1:61" ht="17.399999999999999" x14ac:dyDescent="0.3">
      <c r="A8" s="146"/>
      <c r="B8" s="525" t="s">
        <v>1607</v>
      </c>
      <c r="C8" s="156" t="s">
        <v>354</v>
      </c>
      <c r="D8" s="591"/>
      <c r="E8" s="616">
        <f>+E9+E10</f>
        <v>0</v>
      </c>
      <c r="F8" s="616">
        <f t="shared" ref="F8:AF8" si="20">+F9+F10</f>
        <v>0</v>
      </c>
      <c r="G8" s="616">
        <f>+G9+G10</f>
        <v>0</v>
      </c>
      <c r="H8" s="1630"/>
      <c r="I8" s="1630">
        <f t="shared" si="5"/>
        <v>0</v>
      </c>
      <c r="J8" s="616">
        <f t="shared" si="20"/>
        <v>0</v>
      </c>
      <c r="K8" s="616">
        <f>+K9+K10</f>
        <v>3983.52</v>
      </c>
      <c r="L8" s="793"/>
      <c r="M8" s="793">
        <f t="shared" si="6"/>
        <v>3983.52</v>
      </c>
      <c r="N8" s="616">
        <f t="shared" si="20"/>
        <v>0</v>
      </c>
      <c r="O8" s="616">
        <f>+O9+O10</f>
        <v>1960.88</v>
      </c>
      <c r="P8" s="582"/>
      <c r="Q8" s="1630">
        <f t="shared" si="7"/>
        <v>5944.4</v>
      </c>
      <c r="R8" s="616">
        <f t="shared" si="20"/>
        <v>0</v>
      </c>
      <c r="S8" s="616">
        <f>+S9+S10</f>
        <v>0</v>
      </c>
      <c r="T8" s="775"/>
      <c r="U8" s="1630">
        <f t="shared" si="8"/>
        <v>5944.4</v>
      </c>
      <c r="V8" s="616">
        <f t="shared" si="20"/>
        <v>0</v>
      </c>
      <c r="W8" s="616">
        <f>+W9+W10</f>
        <v>0</v>
      </c>
      <c r="X8" s="793"/>
      <c r="Y8" s="793">
        <f t="shared" si="9"/>
        <v>1960.88</v>
      </c>
      <c r="Z8" s="465"/>
      <c r="AA8" s="517">
        <f t="shared" si="10"/>
        <v>5944.4</v>
      </c>
      <c r="AB8" s="616">
        <f t="shared" si="20"/>
        <v>0</v>
      </c>
      <c r="AC8" s="616">
        <f>+AC9+AC10</f>
        <v>2616.08</v>
      </c>
      <c r="AD8" s="582"/>
      <c r="AE8" s="582">
        <f t="shared" si="11"/>
        <v>8560.48</v>
      </c>
      <c r="AF8" s="616">
        <f t="shared" si="20"/>
        <v>0</v>
      </c>
      <c r="AG8" s="616">
        <f>+AG9+AG10</f>
        <v>0</v>
      </c>
      <c r="AH8" s="582"/>
      <c r="AI8" s="582">
        <f t="shared" si="0"/>
        <v>8560.48</v>
      </c>
      <c r="AJ8" s="616">
        <f t="shared" ref="AJ8" si="21">+AJ9+AJ10</f>
        <v>0</v>
      </c>
      <c r="AK8" s="616">
        <f>+AK9+AK10</f>
        <v>0</v>
      </c>
      <c r="AL8" s="590"/>
      <c r="AM8" s="793">
        <f t="shared" si="13"/>
        <v>2616.08</v>
      </c>
      <c r="AN8" s="582"/>
      <c r="AO8" s="582">
        <f t="shared" si="14"/>
        <v>8560.48</v>
      </c>
      <c r="AP8" s="616">
        <f t="shared" ref="AP8" si="22">+AP9+AP10</f>
        <v>0</v>
      </c>
      <c r="AQ8" s="616">
        <f>+AQ9+AQ10</f>
        <v>0</v>
      </c>
      <c r="AR8" s="582"/>
      <c r="AS8" s="582">
        <f t="shared" si="1"/>
        <v>8560.48</v>
      </c>
      <c r="AT8" s="616">
        <f t="shared" ref="AT8" si="23">+AT9+AT10</f>
        <v>0</v>
      </c>
      <c r="AU8" s="616">
        <f>+AU9+AU10</f>
        <v>0</v>
      </c>
      <c r="AV8" s="582"/>
      <c r="AW8" s="582">
        <f t="shared" si="2"/>
        <v>8560.48</v>
      </c>
      <c r="AX8" s="616">
        <f t="shared" ref="AX8" si="24">+AX9+AX10</f>
        <v>0</v>
      </c>
      <c r="AY8" s="616">
        <f>+AY9+AY10</f>
        <v>0</v>
      </c>
      <c r="AZ8" s="590"/>
      <c r="BA8" s="793">
        <f t="shared" si="18"/>
        <v>0</v>
      </c>
      <c r="BB8" s="465"/>
      <c r="BC8" s="517">
        <f t="shared" si="19"/>
        <v>2616.08</v>
      </c>
      <c r="BD8" s="582"/>
      <c r="BE8" s="251">
        <f t="shared" si="3"/>
        <v>8560.48</v>
      </c>
      <c r="BF8" s="1202"/>
      <c r="BH8" s="26"/>
      <c r="BI8" s="26"/>
    </row>
    <row r="9" spans="1:61" ht="18" hidden="1" x14ac:dyDescent="0.3">
      <c r="A9" s="146"/>
      <c r="B9" s="2385" t="s">
        <v>1578</v>
      </c>
      <c r="C9" s="156" t="s">
        <v>354</v>
      </c>
      <c r="D9" s="616"/>
      <c r="E9" s="591"/>
      <c r="F9" s="591"/>
      <c r="G9" s="591"/>
      <c r="H9" s="1630"/>
      <c r="I9" s="1630">
        <f t="shared" si="5"/>
        <v>0</v>
      </c>
      <c r="J9" s="591"/>
      <c r="K9" s="591"/>
      <c r="L9" s="793"/>
      <c r="M9" s="793">
        <f t="shared" si="6"/>
        <v>0</v>
      </c>
      <c r="N9" s="591"/>
      <c r="O9" s="591"/>
      <c r="P9" s="582"/>
      <c r="Q9" s="1630">
        <f t="shared" si="7"/>
        <v>0</v>
      </c>
      <c r="R9" s="591"/>
      <c r="S9" s="591"/>
      <c r="T9" s="775"/>
      <c r="U9" s="1630">
        <f t="shared" si="8"/>
        <v>0</v>
      </c>
      <c r="V9" s="591"/>
      <c r="W9" s="591"/>
      <c r="X9" s="793"/>
      <c r="Y9" s="793">
        <f t="shared" si="9"/>
        <v>0</v>
      </c>
      <c r="Z9" s="465"/>
      <c r="AA9" s="517">
        <f t="shared" si="10"/>
        <v>0</v>
      </c>
      <c r="AB9" s="591"/>
      <c r="AC9" s="591"/>
      <c r="AD9" s="582"/>
      <c r="AE9" s="582">
        <f t="shared" si="11"/>
        <v>0</v>
      </c>
      <c r="AF9" s="591"/>
      <c r="AG9" s="591"/>
      <c r="AH9" s="582"/>
      <c r="AI9" s="582">
        <f t="shared" si="0"/>
        <v>0</v>
      </c>
      <c r="AJ9" s="591"/>
      <c r="AK9" s="591"/>
      <c r="AL9" s="590"/>
      <c r="AM9" s="793">
        <f t="shared" si="13"/>
        <v>0</v>
      </c>
      <c r="AN9" s="582"/>
      <c r="AO9" s="582">
        <f t="shared" si="14"/>
        <v>0</v>
      </c>
      <c r="AP9" s="591"/>
      <c r="AQ9" s="591"/>
      <c r="AR9" s="582"/>
      <c r="AS9" s="582">
        <f t="shared" si="1"/>
        <v>0</v>
      </c>
      <c r="AT9" s="591"/>
      <c r="AU9" s="591"/>
      <c r="AV9" s="582"/>
      <c r="AW9" s="582">
        <f t="shared" si="2"/>
        <v>0</v>
      </c>
      <c r="AX9" s="591"/>
      <c r="AY9" s="591"/>
      <c r="AZ9" s="590"/>
      <c r="BA9" s="793">
        <f t="shared" si="18"/>
        <v>0</v>
      </c>
      <c r="BB9" s="465"/>
      <c r="BC9" s="517">
        <f t="shared" si="19"/>
        <v>0</v>
      </c>
      <c r="BD9" s="582"/>
      <c r="BE9" s="251">
        <f t="shared" si="3"/>
        <v>0</v>
      </c>
      <c r="BF9" s="1202"/>
      <c r="BH9" s="26"/>
      <c r="BI9" s="26"/>
    </row>
    <row r="10" spans="1:61" ht="18" x14ac:dyDescent="0.3">
      <c r="A10" s="146"/>
      <c r="B10" s="2385" t="s">
        <v>1579</v>
      </c>
      <c r="C10" s="156" t="s">
        <v>354</v>
      </c>
      <c r="D10" s="616"/>
      <c r="E10" s="591"/>
      <c r="F10" s="591"/>
      <c r="G10" s="591"/>
      <c r="H10" s="1630"/>
      <c r="I10" s="1630">
        <f t="shared" si="5"/>
        <v>0</v>
      </c>
      <c r="J10" s="591"/>
      <c r="K10" s="591">
        <v>3983.52</v>
      </c>
      <c r="L10" s="793"/>
      <c r="M10" s="793">
        <f t="shared" si="6"/>
        <v>3983.52</v>
      </c>
      <c r="N10" s="591"/>
      <c r="O10" s="591">
        <v>1960.88</v>
      </c>
      <c r="P10" s="582"/>
      <c r="Q10" s="1630">
        <f t="shared" si="7"/>
        <v>5944.4</v>
      </c>
      <c r="R10" s="591"/>
      <c r="S10" s="591"/>
      <c r="T10" s="775"/>
      <c r="U10" s="1630">
        <f t="shared" si="8"/>
        <v>5944.4</v>
      </c>
      <c r="V10" s="591"/>
      <c r="W10" s="591"/>
      <c r="X10" s="793"/>
      <c r="Y10" s="793">
        <f t="shared" si="9"/>
        <v>1960.88</v>
      </c>
      <c r="Z10" s="465"/>
      <c r="AA10" s="517">
        <f t="shared" si="10"/>
        <v>5944.4</v>
      </c>
      <c r="AB10" s="591"/>
      <c r="AC10" s="591">
        <v>2616.08</v>
      </c>
      <c r="AD10" s="582"/>
      <c r="AE10" s="582">
        <f t="shared" si="11"/>
        <v>8560.48</v>
      </c>
      <c r="AF10" s="591"/>
      <c r="AG10" s="591"/>
      <c r="AH10" s="582"/>
      <c r="AI10" s="582">
        <f t="shared" si="0"/>
        <v>8560.48</v>
      </c>
      <c r="AJ10" s="591"/>
      <c r="AK10" s="591"/>
      <c r="AL10" s="590"/>
      <c r="AM10" s="793">
        <f t="shared" si="13"/>
        <v>2616.08</v>
      </c>
      <c r="AN10" s="582"/>
      <c r="AO10" s="582">
        <f t="shared" si="14"/>
        <v>8560.48</v>
      </c>
      <c r="AP10" s="591"/>
      <c r="AQ10" s="591"/>
      <c r="AR10" s="582"/>
      <c r="AS10" s="582">
        <f t="shared" si="1"/>
        <v>8560.48</v>
      </c>
      <c r="AT10" s="591"/>
      <c r="AU10" s="591"/>
      <c r="AV10" s="582"/>
      <c r="AW10" s="582">
        <f t="shared" si="2"/>
        <v>8560.48</v>
      </c>
      <c r="AX10" s="591"/>
      <c r="AY10" s="591"/>
      <c r="AZ10" s="590"/>
      <c r="BA10" s="793">
        <f t="shared" si="18"/>
        <v>0</v>
      </c>
      <c r="BB10" s="465"/>
      <c r="BC10" s="517">
        <f t="shared" si="19"/>
        <v>2616.08</v>
      </c>
      <c r="BD10" s="582"/>
      <c r="BE10" s="251">
        <f t="shared" si="3"/>
        <v>8560.48</v>
      </c>
      <c r="BF10" s="1202"/>
      <c r="BH10" s="26"/>
      <c r="BI10" s="26"/>
    </row>
    <row r="11" spans="1:61" ht="10.5" customHeight="1" x14ac:dyDescent="0.3">
      <c r="A11" s="146"/>
      <c r="B11" s="2401"/>
      <c r="C11" s="265"/>
      <c r="D11" s="616"/>
      <c r="E11" s="591"/>
      <c r="F11" s="591"/>
      <c r="G11" s="591"/>
      <c r="H11" s="1630"/>
      <c r="I11" s="1630"/>
      <c r="J11" s="591"/>
      <c r="K11" s="591"/>
      <c r="L11" s="793"/>
      <c r="M11" s="793"/>
      <c r="N11" s="591"/>
      <c r="O11" s="591"/>
      <c r="P11" s="582"/>
      <c r="Q11" s="1630">
        <f t="shared" si="7"/>
        <v>0</v>
      </c>
      <c r="R11" s="591"/>
      <c r="S11" s="591"/>
      <c r="T11" s="775"/>
      <c r="U11" s="1630">
        <f t="shared" si="8"/>
        <v>0</v>
      </c>
      <c r="V11" s="591"/>
      <c r="W11" s="591"/>
      <c r="X11" s="793"/>
      <c r="Y11" s="793"/>
      <c r="Z11" s="465"/>
      <c r="AA11" s="517"/>
      <c r="AB11" s="591"/>
      <c r="AC11" s="591"/>
      <c r="AD11" s="582"/>
      <c r="AE11" s="582"/>
      <c r="AF11" s="591"/>
      <c r="AG11" s="591"/>
      <c r="AH11" s="582"/>
      <c r="AI11" s="582"/>
      <c r="AJ11" s="591"/>
      <c r="AK11" s="591"/>
      <c r="AL11" s="590"/>
      <c r="AM11" s="793"/>
      <c r="AN11" s="582"/>
      <c r="AO11" s="582"/>
      <c r="AP11" s="591"/>
      <c r="AQ11" s="591"/>
      <c r="AR11" s="582"/>
      <c r="AS11" s="582"/>
      <c r="AT11" s="591"/>
      <c r="AU11" s="591"/>
      <c r="AV11" s="582"/>
      <c r="AW11" s="582"/>
      <c r="AX11" s="591"/>
      <c r="AY11" s="591"/>
      <c r="AZ11" s="590"/>
      <c r="BA11" s="793"/>
      <c r="BB11" s="465"/>
      <c r="BC11" s="517"/>
      <c r="BD11" s="582"/>
      <c r="BE11" s="251"/>
      <c r="BF11" s="1202"/>
      <c r="BH11" s="26"/>
      <c r="BI11" s="26"/>
    </row>
    <row r="12" spans="1:61" ht="23.4" x14ac:dyDescent="0.3">
      <c r="A12" s="146"/>
      <c r="B12" s="2545" t="s">
        <v>2347</v>
      </c>
      <c r="C12" s="156"/>
      <c r="D12" s="591"/>
      <c r="E12" s="2400"/>
      <c r="F12" s="2400"/>
      <c r="G12" s="2400"/>
      <c r="H12" s="2399"/>
      <c r="I12" s="1630"/>
      <c r="J12" s="2400"/>
      <c r="K12" s="2400"/>
      <c r="L12" s="1337"/>
      <c r="M12" s="793"/>
      <c r="N12" s="2400"/>
      <c r="O12" s="2400"/>
      <c r="P12" s="1577"/>
      <c r="Q12" s="1630"/>
      <c r="R12" s="2400"/>
      <c r="S12" s="2400"/>
      <c r="T12" s="2399"/>
      <c r="U12" s="1630"/>
      <c r="V12" s="2400"/>
      <c r="W12" s="2400"/>
      <c r="X12" s="1337"/>
      <c r="Y12" s="793"/>
      <c r="Z12" s="465"/>
      <c r="AA12" s="517"/>
      <c r="AB12" s="2400"/>
      <c r="AC12" s="2400"/>
      <c r="AD12" s="1577"/>
      <c r="AE12" s="582"/>
      <c r="AF12" s="2400"/>
      <c r="AG12" s="2400"/>
      <c r="AH12" s="1577"/>
      <c r="AI12" s="582"/>
      <c r="AJ12" s="2400"/>
      <c r="AK12" s="2400"/>
      <c r="AL12" s="2402"/>
      <c r="AM12" s="793"/>
      <c r="AN12" s="1577"/>
      <c r="AO12" s="582"/>
      <c r="AP12" s="2400"/>
      <c r="AQ12" s="2400"/>
      <c r="AR12" s="1577"/>
      <c r="AS12" s="582"/>
      <c r="AT12" s="2400"/>
      <c r="AU12" s="2400"/>
      <c r="AV12" s="582"/>
      <c r="AW12" s="582"/>
      <c r="AX12" s="2400"/>
      <c r="AY12" s="2400">
        <v>186.41</v>
      </c>
      <c r="AZ12" s="2402"/>
      <c r="BA12" s="793">
        <f t="shared" ref="BA12" si="25">+AQ12+AU12+AY12</f>
        <v>186.41</v>
      </c>
      <c r="BB12" s="465"/>
      <c r="BC12" s="517">
        <f t="shared" ref="BC12" si="26">BA12+AM12</f>
        <v>186.41</v>
      </c>
      <c r="BD12" s="582"/>
      <c r="BE12" s="251">
        <f t="shared" ref="BE12" si="27">+AW12+AY12</f>
        <v>186.41</v>
      </c>
      <c r="BF12" s="1202"/>
      <c r="BH12" s="26"/>
      <c r="BI12" s="26"/>
    </row>
    <row r="13" spans="1:61" s="146" customFormat="1" ht="10.5" customHeight="1" x14ac:dyDescent="0.3">
      <c r="B13" s="5442"/>
      <c r="C13" s="5443"/>
      <c r="D13" s="5427"/>
      <c r="E13" s="5363"/>
      <c r="F13" s="5363"/>
      <c r="G13" s="5363"/>
      <c r="H13" s="5308"/>
      <c r="I13" s="5308"/>
      <c r="J13" s="5363"/>
      <c r="K13" s="5363"/>
      <c r="L13" s="5369"/>
      <c r="M13" s="5369"/>
      <c r="N13" s="5363"/>
      <c r="O13" s="5363"/>
      <c r="P13" s="5363"/>
      <c r="Q13" s="5308"/>
      <c r="R13" s="5363"/>
      <c r="S13" s="5363"/>
      <c r="T13" s="5308"/>
      <c r="U13" s="5308"/>
      <c r="V13" s="5363"/>
      <c r="W13" s="5363"/>
      <c r="X13" s="5369"/>
      <c r="Y13" s="5369"/>
      <c r="Z13" s="5444"/>
      <c r="AA13" s="5369"/>
      <c r="AB13" s="5363"/>
      <c r="AC13" s="5363"/>
      <c r="AD13" s="5363"/>
      <c r="AE13" s="5363"/>
      <c r="AF13" s="5363"/>
      <c r="AG13" s="5363"/>
      <c r="AH13" s="5363"/>
      <c r="AI13" s="5363"/>
      <c r="AJ13" s="5363"/>
      <c r="AK13" s="5363"/>
      <c r="AL13" s="5445"/>
      <c r="AM13" s="5369"/>
      <c r="AN13" s="5363"/>
      <c r="AO13" s="5363"/>
      <c r="AP13" s="5363"/>
      <c r="AQ13" s="5363"/>
      <c r="AR13" s="5363"/>
      <c r="AS13" s="5363"/>
      <c r="AT13" s="5363"/>
      <c r="AU13" s="5363"/>
      <c r="AV13" s="5363"/>
      <c r="AW13" s="5363"/>
      <c r="AX13" s="5363"/>
      <c r="AY13" s="5363"/>
      <c r="AZ13" s="5445"/>
      <c r="BA13" s="5369"/>
      <c r="BB13" s="5444"/>
      <c r="BC13" s="5369"/>
      <c r="BD13" s="5363"/>
      <c r="BE13" s="5369"/>
      <c r="BF13" s="1202"/>
      <c r="BH13" s="544"/>
      <c r="BI13" s="544"/>
    </row>
    <row r="14" spans="1:61" ht="23.4" x14ac:dyDescent="0.3">
      <c r="A14" s="146"/>
      <c r="B14" s="2545" t="s">
        <v>1608</v>
      </c>
      <c r="C14" s="202"/>
      <c r="D14" s="591"/>
      <c r="E14" s="2400"/>
      <c r="F14" s="2400"/>
      <c r="G14" s="2400">
        <v>299.72000000000003</v>
      </c>
      <c r="H14" s="2399"/>
      <c r="I14" s="1630">
        <f t="shared" si="5"/>
        <v>299.72000000000003</v>
      </c>
      <c r="J14" s="2400"/>
      <c r="K14" s="2400"/>
      <c r="L14" s="1337"/>
      <c r="M14" s="793">
        <f t="shared" si="6"/>
        <v>299.72000000000003</v>
      </c>
      <c r="N14" s="2400"/>
      <c r="O14" s="2400"/>
      <c r="P14" s="1577"/>
      <c r="Q14" s="1630">
        <f t="shared" si="7"/>
        <v>299.72000000000003</v>
      </c>
      <c r="R14" s="2400"/>
      <c r="S14" s="2400">
        <v>239.04</v>
      </c>
      <c r="T14" s="2399"/>
      <c r="U14" s="1630">
        <f t="shared" si="8"/>
        <v>538.76</v>
      </c>
      <c r="V14" s="2400"/>
      <c r="W14" s="2400">
        <v>497.22999999999996</v>
      </c>
      <c r="X14" s="1337"/>
      <c r="Y14" s="793">
        <f t="shared" si="9"/>
        <v>736.27</v>
      </c>
      <c r="Z14" s="465"/>
      <c r="AA14" s="517">
        <f t="shared" si="10"/>
        <v>1035.99</v>
      </c>
      <c r="AB14" s="2400"/>
      <c r="AC14" s="2400"/>
      <c r="AD14" s="1577"/>
      <c r="AE14" s="582">
        <f t="shared" si="11"/>
        <v>1035.99</v>
      </c>
      <c r="AF14" s="2400"/>
      <c r="AG14" s="2400"/>
      <c r="AH14" s="1577"/>
      <c r="AI14" s="582">
        <f t="shared" si="0"/>
        <v>1035.99</v>
      </c>
      <c r="AJ14" s="2400"/>
      <c r="AK14" s="2400"/>
      <c r="AL14" s="2402"/>
      <c r="AM14" s="793">
        <f t="shared" si="13"/>
        <v>0</v>
      </c>
      <c r="AN14" s="1577"/>
      <c r="AO14" s="582">
        <f t="shared" si="14"/>
        <v>1035.99</v>
      </c>
      <c r="AP14" s="2400"/>
      <c r="AQ14" s="2400">
        <v>337.56</v>
      </c>
      <c r="AR14" s="1577"/>
      <c r="AS14" s="582">
        <f t="shared" si="1"/>
        <v>1373.55</v>
      </c>
      <c r="AT14" s="2400"/>
      <c r="AU14" s="2400">
        <v>289.99</v>
      </c>
      <c r="AV14" s="1577"/>
      <c r="AW14" s="582">
        <f t="shared" si="2"/>
        <v>1663.54</v>
      </c>
      <c r="AX14" s="2400"/>
      <c r="AY14" s="2400">
        <v>38.71</v>
      </c>
      <c r="AZ14" s="2402"/>
      <c r="BA14" s="793">
        <f t="shared" si="18"/>
        <v>666.26</v>
      </c>
      <c r="BB14" s="465"/>
      <c r="BC14" s="517">
        <f t="shared" si="19"/>
        <v>666.26</v>
      </c>
      <c r="BD14" s="1577"/>
      <c r="BE14" s="251">
        <f t="shared" si="3"/>
        <v>1702.25</v>
      </c>
      <c r="BF14" s="1202"/>
      <c r="BH14" s="26"/>
      <c r="BI14" s="26"/>
    </row>
    <row r="15" spans="1:61" ht="17.399999999999999" x14ac:dyDescent="0.3">
      <c r="A15" s="146"/>
      <c r="B15" s="2398"/>
      <c r="C15" s="202"/>
      <c r="D15" s="591"/>
      <c r="E15" s="1118"/>
      <c r="F15" s="1118"/>
      <c r="G15" s="1118"/>
      <c r="H15" s="1630"/>
      <c r="I15" s="1630"/>
      <c r="J15" s="1118"/>
      <c r="K15" s="1118"/>
      <c r="L15" s="793"/>
      <c r="M15" s="793"/>
      <c r="N15" s="1118"/>
      <c r="O15" s="1118"/>
      <c r="P15" s="582"/>
      <c r="Q15" s="1630">
        <f t="shared" si="7"/>
        <v>0</v>
      </c>
      <c r="R15" s="1118"/>
      <c r="S15" s="1118"/>
      <c r="T15" s="775"/>
      <c r="U15" s="1630">
        <f t="shared" si="8"/>
        <v>0</v>
      </c>
      <c r="V15" s="1118"/>
      <c r="W15" s="1118"/>
      <c r="X15" s="793"/>
      <c r="Y15" s="793"/>
      <c r="Z15" s="465"/>
      <c r="AA15" s="517"/>
      <c r="AB15" s="1118"/>
      <c r="AC15" s="1118"/>
      <c r="AD15" s="582"/>
      <c r="AE15" s="582"/>
      <c r="AF15" s="1118"/>
      <c r="AG15" s="1118"/>
      <c r="AH15" s="582"/>
      <c r="AI15" s="582"/>
      <c r="AJ15" s="1118"/>
      <c r="AK15" s="1118"/>
      <c r="AL15" s="590"/>
      <c r="AM15" s="793"/>
      <c r="AN15" s="582"/>
      <c r="AO15" s="582"/>
      <c r="AP15" s="1118"/>
      <c r="AQ15" s="1118"/>
      <c r="AR15" s="582"/>
      <c r="AS15" s="582"/>
      <c r="AT15" s="1118"/>
      <c r="AU15" s="1118"/>
      <c r="AV15" s="582"/>
      <c r="AW15" s="582"/>
      <c r="AX15" s="1118"/>
      <c r="AY15" s="1118"/>
      <c r="AZ15" s="590"/>
      <c r="BA15" s="793"/>
      <c r="BB15" s="465"/>
      <c r="BC15" s="517"/>
      <c r="BD15" s="582"/>
      <c r="BE15" s="251"/>
      <c r="BF15" s="1202"/>
      <c r="BH15" s="26"/>
      <c r="BI15" s="26"/>
    </row>
    <row r="16" spans="1:61" ht="15.75" customHeight="1" x14ac:dyDescent="0.3">
      <c r="A16" s="146"/>
      <c r="B16" s="2545" t="s">
        <v>1609</v>
      </c>
      <c r="C16" s="156" t="s">
        <v>354</v>
      </c>
      <c r="D16" s="197"/>
      <c r="E16" s="2400">
        <f>+E17+E19+E20</f>
        <v>0</v>
      </c>
      <c r="F16" s="2400">
        <f>+F17+F19</f>
        <v>0</v>
      </c>
      <c r="G16" s="2400">
        <f>+G17+G19+G20</f>
        <v>640.46</v>
      </c>
      <c r="H16" s="2399"/>
      <c r="I16" s="1634">
        <f t="shared" si="5"/>
        <v>640.46</v>
      </c>
      <c r="J16" s="2400"/>
      <c r="K16" s="2400">
        <f>+K17+K19+K20</f>
        <v>1065.5999999999999</v>
      </c>
      <c r="L16" s="1337"/>
      <c r="M16" s="793">
        <f t="shared" si="6"/>
        <v>1706.06</v>
      </c>
      <c r="N16" s="2400"/>
      <c r="O16" s="2400">
        <f>+O17+O19+O20</f>
        <v>463.1</v>
      </c>
      <c r="P16" s="1577"/>
      <c r="Q16" s="1630">
        <f t="shared" si="7"/>
        <v>2169.16</v>
      </c>
      <c r="R16" s="2400"/>
      <c r="S16" s="2400">
        <f>+S17+S19+S20</f>
        <v>2248.92</v>
      </c>
      <c r="T16" s="2399"/>
      <c r="U16" s="1630">
        <f t="shared" si="8"/>
        <v>4418.08</v>
      </c>
      <c r="V16" s="2400"/>
      <c r="W16" s="2400">
        <f>+W17+W19+W20</f>
        <v>1413.7700000000002</v>
      </c>
      <c r="X16" s="1337"/>
      <c r="Y16" s="793">
        <f t="shared" si="9"/>
        <v>4125.79</v>
      </c>
      <c r="Z16" s="465"/>
      <c r="AA16" s="517">
        <f t="shared" si="10"/>
        <v>5831.85</v>
      </c>
      <c r="AB16" s="2400"/>
      <c r="AC16" s="2400">
        <f>+AC17+AC19+AC20</f>
        <v>2004.1</v>
      </c>
      <c r="AD16" s="1577"/>
      <c r="AE16" s="582">
        <f t="shared" ref="AE16:AE19" si="28">AA16+AC16</f>
        <v>7835.9500000000007</v>
      </c>
      <c r="AF16" s="2400"/>
      <c r="AG16" s="2400">
        <f>+AG17+AG19+AG20</f>
        <v>0</v>
      </c>
      <c r="AH16" s="1577"/>
      <c r="AI16" s="582">
        <f t="shared" si="0"/>
        <v>7835.9500000000007</v>
      </c>
      <c r="AJ16" s="2400"/>
      <c r="AK16" s="2400">
        <f>+AK17+AK19+AK20</f>
        <v>703.34</v>
      </c>
      <c r="AL16" s="2402"/>
      <c r="AM16" s="793">
        <f t="shared" si="13"/>
        <v>2707.44</v>
      </c>
      <c r="AN16" s="1577"/>
      <c r="AO16" s="582">
        <f t="shared" si="14"/>
        <v>8539.2900000000009</v>
      </c>
      <c r="AP16" s="2400"/>
      <c r="AQ16" s="2400">
        <f>+AQ17+AQ19+AQ20</f>
        <v>1589.84</v>
      </c>
      <c r="AR16" s="1577"/>
      <c r="AS16" s="582">
        <f t="shared" si="1"/>
        <v>10129.130000000001</v>
      </c>
      <c r="AT16" s="2400"/>
      <c r="AU16" s="2400">
        <f>+AU17+AU19+AU20</f>
        <v>481.34000000000003</v>
      </c>
      <c r="AV16" s="1577"/>
      <c r="AW16" s="582">
        <f t="shared" si="2"/>
        <v>10610.470000000001</v>
      </c>
      <c r="AX16" s="2400"/>
      <c r="AY16" s="2400">
        <f>+AY17+AY19+AY20</f>
        <v>1544.2600000000002</v>
      </c>
      <c r="AZ16" s="2402"/>
      <c r="BA16" s="793">
        <f t="shared" si="18"/>
        <v>3615.44</v>
      </c>
      <c r="BB16" s="465"/>
      <c r="BC16" s="517">
        <f t="shared" si="19"/>
        <v>6322.88</v>
      </c>
      <c r="BD16" s="1577"/>
      <c r="BE16" s="251">
        <f>+AW16+AY16</f>
        <v>12154.730000000001</v>
      </c>
      <c r="BF16" s="1202"/>
      <c r="BH16" s="26"/>
      <c r="BI16" s="26"/>
    </row>
    <row r="17" spans="1:61" ht="17.399999999999999" x14ac:dyDescent="0.3">
      <c r="A17" s="146"/>
      <c r="B17" s="525" t="s">
        <v>1906</v>
      </c>
      <c r="C17" s="156" t="s">
        <v>354</v>
      </c>
      <c r="D17" s="197"/>
      <c r="E17" s="616"/>
      <c r="F17" s="616">
        <v>0</v>
      </c>
      <c r="G17" s="616">
        <v>640.46</v>
      </c>
      <c r="H17" s="1630"/>
      <c r="I17" s="1630">
        <f t="shared" si="5"/>
        <v>640.46</v>
      </c>
      <c r="J17" s="616">
        <v>0</v>
      </c>
      <c r="K17" s="616">
        <v>1065.5999999999999</v>
      </c>
      <c r="L17" s="793"/>
      <c r="M17" s="793">
        <f t="shared" si="6"/>
        <v>1706.06</v>
      </c>
      <c r="N17" s="616">
        <v>0</v>
      </c>
      <c r="O17" s="616">
        <v>398.74</v>
      </c>
      <c r="P17" s="582"/>
      <c r="Q17" s="1630">
        <f t="shared" si="7"/>
        <v>2104.8000000000002</v>
      </c>
      <c r="R17" s="616">
        <v>0</v>
      </c>
      <c r="S17" s="616">
        <v>353.2</v>
      </c>
      <c r="T17" s="775"/>
      <c r="U17" s="1630">
        <f t="shared" si="8"/>
        <v>2458</v>
      </c>
      <c r="V17" s="616">
        <v>0</v>
      </c>
      <c r="W17" s="616">
        <v>453.39000000000004</v>
      </c>
      <c r="X17" s="793"/>
      <c r="Y17" s="793">
        <f t="shared" si="9"/>
        <v>1205.3300000000002</v>
      </c>
      <c r="Z17" s="465"/>
      <c r="AA17" s="517">
        <f t="shared" si="10"/>
        <v>2911.3900000000003</v>
      </c>
      <c r="AB17" s="616"/>
      <c r="AC17" s="616"/>
      <c r="AD17" s="582"/>
      <c r="AE17" s="582">
        <f t="shared" si="28"/>
        <v>2911.3900000000003</v>
      </c>
      <c r="AF17" s="616"/>
      <c r="AG17" s="616"/>
      <c r="AH17" s="582"/>
      <c r="AI17" s="582">
        <f t="shared" si="0"/>
        <v>2911.3900000000003</v>
      </c>
      <c r="AJ17" s="616">
        <v>0</v>
      </c>
      <c r="AK17" s="616">
        <v>703.34</v>
      </c>
      <c r="AL17" s="590"/>
      <c r="AM17" s="793">
        <f t="shared" si="13"/>
        <v>703.34</v>
      </c>
      <c r="AN17" s="582"/>
      <c r="AO17" s="582">
        <f t="shared" si="14"/>
        <v>3614.7300000000005</v>
      </c>
      <c r="AP17" s="616">
        <v>0</v>
      </c>
      <c r="AQ17" s="616">
        <v>1589.84</v>
      </c>
      <c r="AR17" s="582"/>
      <c r="AS17" s="582">
        <f t="shared" si="1"/>
        <v>5204.5700000000006</v>
      </c>
      <c r="AT17" s="616"/>
      <c r="AU17" s="616">
        <v>481.34000000000003</v>
      </c>
      <c r="AV17" s="582"/>
      <c r="AW17" s="582">
        <f t="shared" si="2"/>
        <v>5685.9100000000008</v>
      </c>
      <c r="AX17" s="616"/>
      <c r="AY17" s="616">
        <v>1544.2600000000002</v>
      </c>
      <c r="AZ17" s="590"/>
      <c r="BA17" s="793">
        <f t="shared" si="18"/>
        <v>3615.44</v>
      </c>
      <c r="BB17" s="465"/>
      <c r="BC17" s="517">
        <f t="shared" si="19"/>
        <v>4318.78</v>
      </c>
      <c r="BD17" s="582"/>
      <c r="BE17" s="251">
        <f t="shared" si="3"/>
        <v>7230.170000000001</v>
      </c>
      <c r="BF17" s="1202"/>
      <c r="BH17" s="26"/>
      <c r="BI17" s="26"/>
    </row>
    <row r="18" spans="1:61" ht="17.399999999999999" x14ac:dyDescent="0.3">
      <c r="A18" s="146"/>
      <c r="B18" s="525" t="s">
        <v>1607</v>
      </c>
      <c r="C18" s="156" t="s">
        <v>354</v>
      </c>
      <c r="D18" s="2547"/>
      <c r="E18" s="2548">
        <f>+E20+E19</f>
        <v>0</v>
      </c>
      <c r="F18" s="2548">
        <f t="shared" ref="F18:BE18" si="29">+F20+F19</f>
        <v>0</v>
      </c>
      <c r="G18" s="2548">
        <f>+G20+G19</f>
        <v>0</v>
      </c>
      <c r="H18" s="2548">
        <f t="shared" si="29"/>
        <v>0</v>
      </c>
      <c r="I18" s="2548">
        <f t="shared" si="29"/>
        <v>0</v>
      </c>
      <c r="J18" s="2548">
        <f t="shared" si="29"/>
        <v>0</v>
      </c>
      <c r="K18" s="2548">
        <f>+K20+K19</f>
        <v>0</v>
      </c>
      <c r="L18" s="2548">
        <f t="shared" si="29"/>
        <v>0</v>
      </c>
      <c r="M18" s="2548">
        <f t="shared" si="29"/>
        <v>0</v>
      </c>
      <c r="N18" s="2548">
        <f t="shared" si="29"/>
        <v>0</v>
      </c>
      <c r="O18" s="2548">
        <f>+O20+O19</f>
        <v>64.36</v>
      </c>
      <c r="P18" s="2548">
        <f t="shared" si="29"/>
        <v>0</v>
      </c>
      <c r="Q18" s="1630">
        <f t="shared" si="7"/>
        <v>64.36</v>
      </c>
      <c r="R18" s="2548">
        <f t="shared" si="29"/>
        <v>0</v>
      </c>
      <c r="S18" s="2548">
        <f>+S20+S19</f>
        <v>1895.72</v>
      </c>
      <c r="T18" s="2548">
        <f t="shared" si="29"/>
        <v>0</v>
      </c>
      <c r="U18" s="1630">
        <f t="shared" si="8"/>
        <v>1960.08</v>
      </c>
      <c r="V18" s="2548">
        <f t="shared" si="29"/>
        <v>0</v>
      </c>
      <c r="W18" s="2548">
        <f>+W20+W19</f>
        <v>960.38000000000011</v>
      </c>
      <c r="X18" s="2548">
        <f t="shared" si="29"/>
        <v>0</v>
      </c>
      <c r="Y18" s="2548">
        <f t="shared" si="29"/>
        <v>2920.46</v>
      </c>
      <c r="Z18" s="2548">
        <f t="shared" si="29"/>
        <v>0</v>
      </c>
      <c r="AA18" s="2548">
        <f t="shared" si="29"/>
        <v>2920.46</v>
      </c>
      <c r="AB18" s="2548">
        <f t="shared" si="29"/>
        <v>0</v>
      </c>
      <c r="AC18" s="2548">
        <f>+AC20+AC19</f>
        <v>2004.1</v>
      </c>
      <c r="AD18" s="2548">
        <f t="shared" si="29"/>
        <v>0</v>
      </c>
      <c r="AE18" s="2548">
        <f t="shared" si="28"/>
        <v>4924.5599999999995</v>
      </c>
      <c r="AF18" s="2548">
        <f t="shared" si="29"/>
        <v>0</v>
      </c>
      <c r="AG18" s="2548">
        <f>+AG20+AG19</f>
        <v>0</v>
      </c>
      <c r="AH18" s="2548">
        <f t="shared" si="29"/>
        <v>0</v>
      </c>
      <c r="AI18" s="2548">
        <f t="shared" si="0"/>
        <v>4924.5599999999995</v>
      </c>
      <c r="AJ18" s="2548">
        <f t="shared" si="29"/>
        <v>0</v>
      </c>
      <c r="AK18" s="2548">
        <f>+AK20+AK19</f>
        <v>0</v>
      </c>
      <c r="AL18" s="2548">
        <f t="shared" si="29"/>
        <v>0</v>
      </c>
      <c r="AM18" s="2548">
        <f t="shared" si="29"/>
        <v>2004.1</v>
      </c>
      <c r="AN18" s="2548">
        <f t="shared" si="29"/>
        <v>0</v>
      </c>
      <c r="AO18" s="2548">
        <f t="shared" si="29"/>
        <v>4924.5600000000004</v>
      </c>
      <c r="AP18" s="2548">
        <f t="shared" ref="AP18" si="30">+AP20+AP19</f>
        <v>0</v>
      </c>
      <c r="AQ18" s="2548">
        <f>+AQ20+AQ19</f>
        <v>0</v>
      </c>
      <c r="AR18" s="2548">
        <f t="shared" si="29"/>
        <v>0</v>
      </c>
      <c r="AS18" s="2548">
        <f t="shared" si="29"/>
        <v>4924.5600000000004</v>
      </c>
      <c r="AT18" s="2548">
        <f t="shared" si="29"/>
        <v>0</v>
      </c>
      <c r="AU18" s="2548">
        <f>+AU20+AU19</f>
        <v>0</v>
      </c>
      <c r="AV18" s="2548">
        <f t="shared" si="29"/>
        <v>0</v>
      </c>
      <c r="AW18" s="2548">
        <f t="shared" ref="AW18:AX18" si="31">+AW20+AW19</f>
        <v>4924.5600000000004</v>
      </c>
      <c r="AX18" s="2548">
        <f t="shared" si="31"/>
        <v>0</v>
      </c>
      <c r="AY18" s="2548">
        <f>+AY20+AY19</f>
        <v>0</v>
      </c>
      <c r="AZ18" s="2548">
        <f t="shared" si="29"/>
        <v>0</v>
      </c>
      <c r="BA18" s="2548">
        <f t="shared" si="29"/>
        <v>0</v>
      </c>
      <c r="BB18" s="2548">
        <f t="shared" si="29"/>
        <v>0</v>
      </c>
      <c r="BC18" s="2548">
        <f t="shared" si="29"/>
        <v>2004.1</v>
      </c>
      <c r="BD18" s="2548">
        <f t="shared" si="29"/>
        <v>0</v>
      </c>
      <c r="BE18" s="251">
        <f t="shared" si="29"/>
        <v>4924.5600000000004</v>
      </c>
      <c r="BF18" s="1202"/>
      <c r="BH18" s="26"/>
      <c r="BI18" s="26"/>
    </row>
    <row r="19" spans="1:61" ht="15.75" customHeight="1" x14ac:dyDescent="0.3">
      <c r="A19" s="146"/>
      <c r="B19" s="2385" t="s">
        <v>1579</v>
      </c>
      <c r="C19" s="156" t="s">
        <v>354</v>
      </c>
      <c r="D19" s="197"/>
      <c r="E19" s="616"/>
      <c r="F19" s="616"/>
      <c r="G19" s="616"/>
      <c r="H19" s="1630"/>
      <c r="I19" s="1630">
        <f t="shared" si="5"/>
        <v>0</v>
      </c>
      <c r="J19" s="616"/>
      <c r="K19" s="616"/>
      <c r="L19" s="793"/>
      <c r="M19" s="793">
        <f t="shared" si="6"/>
        <v>0</v>
      </c>
      <c r="N19" s="616"/>
      <c r="O19" s="616">
        <v>64.36</v>
      </c>
      <c r="P19" s="582"/>
      <c r="Q19" s="1630">
        <f t="shared" si="7"/>
        <v>64.36</v>
      </c>
      <c r="R19" s="616"/>
      <c r="S19" s="616"/>
      <c r="T19" s="775"/>
      <c r="U19" s="1630">
        <f t="shared" si="8"/>
        <v>64.36</v>
      </c>
      <c r="V19" s="616"/>
      <c r="W19" s="616">
        <v>960.38000000000011</v>
      </c>
      <c r="X19" s="793"/>
      <c r="Y19" s="793">
        <f t="shared" si="9"/>
        <v>1024.74</v>
      </c>
      <c r="Z19" s="465"/>
      <c r="AA19" s="517">
        <f t="shared" si="10"/>
        <v>1024.74</v>
      </c>
      <c r="AB19" s="616"/>
      <c r="AC19" s="616">
        <v>2004.1</v>
      </c>
      <c r="AD19" s="582"/>
      <c r="AE19" s="582">
        <f t="shared" si="28"/>
        <v>3028.84</v>
      </c>
      <c r="AF19" s="616"/>
      <c r="AG19" s="616"/>
      <c r="AH19" s="582"/>
      <c r="AI19" s="582">
        <f t="shared" si="0"/>
        <v>3028.84</v>
      </c>
      <c r="AJ19" s="616"/>
      <c r="AK19" s="616"/>
      <c r="AL19" s="590"/>
      <c r="AM19" s="793">
        <f t="shared" si="13"/>
        <v>2004.1</v>
      </c>
      <c r="AN19" s="582"/>
      <c r="AO19" s="582">
        <f t="shared" si="14"/>
        <v>3028.84</v>
      </c>
      <c r="AP19" s="616"/>
      <c r="AQ19" s="616"/>
      <c r="AR19" s="582"/>
      <c r="AS19" s="582">
        <f t="shared" si="1"/>
        <v>3028.84</v>
      </c>
      <c r="AT19" s="616"/>
      <c r="AU19" s="616"/>
      <c r="AV19" s="582"/>
      <c r="AW19" s="582">
        <f t="shared" si="2"/>
        <v>3028.84</v>
      </c>
      <c r="AX19" s="616"/>
      <c r="AY19" s="616"/>
      <c r="AZ19" s="590"/>
      <c r="BA19" s="793">
        <f t="shared" si="18"/>
        <v>0</v>
      </c>
      <c r="BB19" s="465"/>
      <c r="BC19" s="517">
        <f t="shared" si="19"/>
        <v>2004.1</v>
      </c>
      <c r="BD19" s="582"/>
      <c r="BE19" s="251">
        <f t="shared" si="3"/>
        <v>3028.84</v>
      </c>
      <c r="BF19" s="1202"/>
      <c r="BH19" s="26"/>
      <c r="BI19" s="26"/>
    </row>
    <row r="20" spans="1:61" ht="21" customHeight="1" thickBot="1" x14ac:dyDescent="0.35">
      <c r="A20" s="146"/>
      <c r="B20" s="2385" t="s">
        <v>1578</v>
      </c>
      <c r="C20" s="156" t="s">
        <v>354</v>
      </c>
      <c r="D20" s="197"/>
      <c r="E20" s="1118"/>
      <c r="F20" s="1118"/>
      <c r="G20" s="1118"/>
      <c r="H20" s="1630"/>
      <c r="I20" s="1630">
        <f t="shared" si="5"/>
        <v>0</v>
      </c>
      <c r="J20" s="1118"/>
      <c r="K20" s="1118"/>
      <c r="L20" s="793"/>
      <c r="M20" s="793">
        <f t="shared" si="6"/>
        <v>0</v>
      </c>
      <c r="N20" s="1118"/>
      <c r="O20" s="1118"/>
      <c r="P20" s="582"/>
      <c r="Q20" s="1630">
        <f t="shared" si="7"/>
        <v>0</v>
      </c>
      <c r="R20" s="1118"/>
      <c r="S20" s="1118">
        <v>1895.72</v>
      </c>
      <c r="T20" s="775"/>
      <c r="U20" s="1630">
        <f t="shared" si="8"/>
        <v>1895.72</v>
      </c>
      <c r="V20" s="1118"/>
      <c r="W20" s="1118"/>
      <c r="X20" s="793"/>
      <c r="Y20" s="793">
        <f t="shared" si="9"/>
        <v>1895.72</v>
      </c>
      <c r="Z20" s="465"/>
      <c r="AA20" s="517">
        <f t="shared" si="10"/>
        <v>1895.72</v>
      </c>
      <c r="AB20" s="1118"/>
      <c r="AC20" s="1118"/>
      <c r="AD20" s="582"/>
      <c r="AE20" s="582">
        <f t="shared" ref="AE20:AE21" si="32">AA20+AC20</f>
        <v>1895.72</v>
      </c>
      <c r="AF20" s="1118"/>
      <c r="AG20" s="1118"/>
      <c r="AH20" s="582"/>
      <c r="AI20" s="582">
        <f t="shared" si="0"/>
        <v>1895.72</v>
      </c>
      <c r="AJ20" s="1118"/>
      <c r="AK20" s="1118"/>
      <c r="AL20" s="590"/>
      <c r="AM20" s="793">
        <f t="shared" si="13"/>
        <v>0</v>
      </c>
      <c r="AN20" s="582"/>
      <c r="AO20" s="582">
        <f t="shared" si="14"/>
        <v>1895.72</v>
      </c>
      <c r="AP20" s="1118"/>
      <c r="AQ20" s="1118"/>
      <c r="AR20" s="582"/>
      <c r="AS20" s="582">
        <f t="shared" si="1"/>
        <v>1895.72</v>
      </c>
      <c r="AT20" s="1118"/>
      <c r="AU20" s="1118"/>
      <c r="AV20" s="582"/>
      <c r="AW20" s="582">
        <f t="shared" si="2"/>
        <v>1895.72</v>
      </c>
      <c r="AX20" s="1118"/>
      <c r="AY20" s="1118"/>
      <c r="AZ20" s="590"/>
      <c r="BA20" s="793">
        <f t="shared" si="18"/>
        <v>0</v>
      </c>
      <c r="BB20" s="465"/>
      <c r="BC20" s="517">
        <f t="shared" ref="BC20" si="33">BA20+AM20</f>
        <v>0</v>
      </c>
      <c r="BD20" s="582"/>
      <c r="BE20" s="251">
        <f t="shared" ref="BE20" si="34">+AW20+AY20</f>
        <v>1895.72</v>
      </c>
      <c r="BF20" s="1202"/>
      <c r="BH20" s="26"/>
      <c r="BI20" s="26"/>
    </row>
    <row r="21" spans="1:61" ht="24" hidden="1" thickBot="1" x14ac:dyDescent="0.35">
      <c r="A21" s="32"/>
      <c r="B21" s="2545" t="s">
        <v>1610</v>
      </c>
      <c r="C21" s="156" t="s">
        <v>354</v>
      </c>
      <c r="D21" s="197"/>
      <c r="E21" s="2400"/>
      <c r="F21" s="2400"/>
      <c r="G21" s="2400"/>
      <c r="H21" s="2399"/>
      <c r="I21" s="1630">
        <f t="shared" si="5"/>
        <v>0</v>
      </c>
      <c r="J21" s="2400"/>
      <c r="K21" s="2400"/>
      <c r="L21" s="1337"/>
      <c r="M21" s="793">
        <f t="shared" si="6"/>
        <v>0</v>
      </c>
      <c r="N21" s="2400"/>
      <c r="O21" s="2400"/>
      <c r="P21" s="1577"/>
      <c r="Q21" s="1630">
        <f t="shared" si="7"/>
        <v>0</v>
      </c>
      <c r="R21" s="2400"/>
      <c r="S21" s="2400"/>
      <c r="T21" s="2399"/>
      <c r="U21" s="1630">
        <f t="shared" si="8"/>
        <v>0</v>
      </c>
      <c r="V21" s="2400"/>
      <c r="W21" s="2400"/>
      <c r="X21" s="1337"/>
      <c r="Y21" s="793">
        <f t="shared" si="9"/>
        <v>0</v>
      </c>
      <c r="Z21" s="465"/>
      <c r="AA21" s="517">
        <f t="shared" si="10"/>
        <v>0</v>
      </c>
      <c r="AB21" s="2400"/>
      <c r="AC21" s="2400"/>
      <c r="AD21" s="1577"/>
      <c r="AE21" s="582">
        <f t="shared" si="32"/>
        <v>0</v>
      </c>
      <c r="AF21" s="2400"/>
      <c r="AG21" s="2400"/>
      <c r="AH21" s="1577"/>
      <c r="AI21" s="582">
        <f t="shared" ref="AI21" si="35">+AC21+W21+S21+O21+K21+E21+G21+AG21</f>
        <v>0</v>
      </c>
      <c r="AJ21" s="2400"/>
      <c r="AK21" s="2400"/>
      <c r="AL21" s="2402"/>
      <c r="AM21" s="793">
        <f t="shared" si="13"/>
        <v>0</v>
      </c>
      <c r="AN21" s="1577"/>
      <c r="AO21" s="582">
        <f t="shared" si="14"/>
        <v>0</v>
      </c>
      <c r="AP21" s="2400"/>
      <c r="AQ21" s="2400"/>
      <c r="AR21" s="1577"/>
      <c r="AS21" s="582">
        <f t="shared" si="1"/>
        <v>0</v>
      </c>
      <c r="AT21" s="2400"/>
      <c r="AU21" s="2400"/>
      <c r="AV21" s="1577"/>
      <c r="AW21" s="582">
        <f t="shared" si="2"/>
        <v>0</v>
      </c>
      <c r="AX21" s="2400"/>
      <c r="AY21" s="2400"/>
      <c r="AZ21" s="2402"/>
      <c r="BA21" s="793">
        <f t="shared" si="18"/>
        <v>0</v>
      </c>
      <c r="BB21" s="465"/>
      <c r="BC21" s="517">
        <f t="shared" si="19"/>
        <v>0</v>
      </c>
      <c r="BD21" s="1577"/>
      <c r="BE21" s="251">
        <f t="shared" si="3"/>
        <v>0</v>
      </c>
      <c r="BF21" s="1202"/>
      <c r="BH21" s="26"/>
      <c r="BI21" s="26"/>
    </row>
    <row r="22" spans="1:61" ht="16.2" hidden="1" thickBot="1" x14ac:dyDescent="0.35">
      <c r="A22" s="32"/>
      <c r="B22" s="1628"/>
      <c r="C22" s="156"/>
      <c r="D22" s="197"/>
      <c r="E22" s="1118"/>
      <c r="F22" s="1118"/>
      <c r="G22" s="1118"/>
      <c r="H22" s="1630"/>
      <c r="I22" s="1630"/>
      <c r="J22" s="1118"/>
      <c r="K22" s="1118"/>
      <c r="L22" s="793"/>
      <c r="M22" s="793">
        <f t="shared" si="6"/>
        <v>0</v>
      </c>
      <c r="N22" s="1118"/>
      <c r="O22" s="1118"/>
      <c r="P22" s="582"/>
      <c r="Q22" s="1630">
        <f t="shared" si="7"/>
        <v>0</v>
      </c>
      <c r="R22" s="1118"/>
      <c r="S22" s="1118"/>
      <c r="T22" s="775"/>
      <c r="U22" s="1630">
        <f t="shared" si="8"/>
        <v>0</v>
      </c>
      <c r="V22" s="1118"/>
      <c r="W22" s="1118"/>
      <c r="X22" s="793"/>
      <c r="Y22" s="793"/>
      <c r="Z22" s="465"/>
      <c r="AA22" s="517"/>
      <c r="AB22" s="1118"/>
      <c r="AC22" s="1118"/>
      <c r="AD22" s="582"/>
      <c r="AE22" s="582"/>
      <c r="AF22" s="1118"/>
      <c r="AG22" s="1118"/>
      <c r="AH22" s="582"/>
      <c r="AI22" s="582"/>
      <c r="AJ22" s="1118"/>
      <c r="AK22" s="1118"/>
      <c r="AL22" s="590"/>
      <c r="AM22" s="793"/>
      <c r="AN22" s="582"/>
      <c r="AO22" s="582"/>
      <c r="AP22" s="1118"/>
      <c r="AQ22" s="1118"/>
      <c r="AR22" s="582"/>
      <c r="AS22" s="582"/>
      <c r="AT22" s="1118"/>
      <c r="AU22" s="1118"/>
      <c r="AV22" s="582"/>
      <c r="AW22" s="582"/>
      <c r="AX22" s="1118"/>
      <c r="AY22" s="1118"/>
      <c r="AZ22" s="590"/>
      <c r="BA22" s="793"/>
      <c r="BB22" s="465"/>
      <c r="BC22" s="517"/>
      <c r="BD22" s="582"/>
      <c r="BE22" s="251"/>
      <c r="BF22" s="1202"/>
      <c r="BH22" s="26"/>
      <c r="BI22" s="26"/>
    </row>
    <row r="23" spans="1:61" ht="24.6" x14ac:dyDescent="0.3">
      <c r="A23" s="32"/>
      <c r="B23" s="2384" t="s">
        <v>1611</v>
      </c>
      <c r="C23" s="156"/>
      <c r="D23" s="197"/>
      <c r="E23" s="1118"/>
      <c r="F23" s="1118"/>
      <c r="G23" s="1118"/>
      <c r="H23" s="1630"/>
      <c r="I23" s="1630"/>
      <c r="J23" s="1118"/>
      <c r="K23" s="1118"/>
      <c r="L23" s="793"/>
      <c r="M23" s="793"/>
      <c r="N23" s="1118"/>
      <c r="O23" s="1118"/>
      <c r="P23" s="582"/>
      <c r="Q23" s="1630">
        <f t="shared" si="7"/>
        <v>0</v>
      </c>
      <c r="R23" s="1118"/>
      <c r="S23" s="1118"/>
      <c r="T23" s="775"/>
      <c r="U23" s="1630">
        <f t="shared" si="8"/>
        <v>0</v>
      </c>
      <c r="V23" s="1118"/>
      <c r="W23" s="1118"/>
      <c r="X23" s="793"/>
      <c r="Y23" s="793"/>
      <c r="Z23" s="465"/>
      <c r="AA23" s="517"/>
      <c r="AB23" s="1118"/>
      <c r="AC23" s="1118"/>
      <c r="AD23" s="1118"/>
      <c r="AE23" s="775"/>
      <c r="AF23" s="1118"/>
      <c r="AG23" s="1118"/>
      <c r="AH23" s="582"/>
      <c r="AI23" s="582"/>
      <c r="AJ23" s="1118"/>
      <c r="AK23" s="1118"/>
      <c r="AL23" s="590"/>
      <c r="AM23" s="793"/>
      <c r="AN23" s="582"/>
      <c r="AO23" s="582"/>
      <c r="AP23" s="1118"/>
      <c r="AQ23" s="1118"/>
      <c r="AR23" s="582"/>
      <c r="AS23" s="582"/>
      <c r="AT23" s="1118"/>
      <c r="AU23" s="1118"/>
      <c r="AV23" s="582"/>
      <c r="AW23" s="582"/>
      <c r="AX23" s="1118"/>
      <c r="AY23" s="1118"/>
      <c r="AZ23" s="590"/>
      <c r="BA23" s="793"/>
      <c r="BB23" s="465"/>
      <c r="BC23" s="517"/>
      <c r="BD23" s="582"/>
      <c r="BE23" s="251"/>
      <c r="BF23" s="1202"/>
      <c r="BH23" s="26"/>
      <c r="BI23" s="26"/>
    </row>
    <row r="24" spans="1:61" ht="20.399999999999999" x14ac:dyDescent="0.3">
      <c r="A24" s="32"/>
      <c r="B24" s="735" t="s">
        <v>690</v>
      </c>
      <c r="C24" s="156"/>
      <c r="D24" s="197"/>
      <c r="E24" s="1118"/>
      <c r="F24" s="1118"/>
      <c r="G24" s="1118"/>
      <c r="H24" s="1630"/>
      <c r="I24" s="1630"/>
      <c r="J24" s="1118"/>
      <c r="K24" s="1118"/>
      <c r="L24" s="793"/>
      <c r="M24" s="793"/>
      <c r="N24" s="1118"/>
      <c r="O24" s="1118"/>
      <c r="P24" s="582"/>
      <c r="Q24" s="1630">
        <f t="shared" si="7"/>
        <v>0</v>
      </c>
      <c r="R24" s="1118"/>
      <c r="S24" s="1118"/>
      <c r="T24" s="775"/>
      <c r="U24" s="1630">
        <f t="shared" si="8"/>
        <v>0</v>
      </c>
      <c r="V24" s="1118"/>
      <c r="W24" s="1118"/>
      <c r="X24" s="793"/>
      <c r="Y24" s="793"/>
      <c r="Z24" s="465"/>
      <c r="AA24" s="517"/>
      <c r="AB24" s="1118"/>
      <c r="AC24" s="1118"/>
      <c r="AD24" s="1118"/>
      <c r="AE24" s="775"/>
      <c r="AF24" s="1118"/>
      <c r="AG24" s="1118"/>
      <c r="AH24" s="582"/>
      <c r="AI24" s="582"/>
      <c r="AJ24" s="1118"/>
      <c r="AK24" s="1118"/>
      <c r="AL24" s="590"/>
      <c r="AM24" s="793"/>
      <c r="AN24" s="582"/>
      <c r="AO24" s="582"/>
      <c r="AP24" s="1118"/>
      <c r="AQ24" s="1118"/>
      <c r="AR24" s="582"/>
      <c r="AS24" s="582"/>
      <c r="AT24" s="1118"/>
      <c r="AU24" s="1118"/>
      <c r="AV24" s="582"/>
      <c r="AW24" s="582"/>
      <c r="AX24" s="1118"/>
      <c r="AY24" s="1118"/>
      <c r="AZ24" s="590"/>
      <c r="BA24" s="793"/>
      <c r="BB24" s="465"/>
      <c r="BC24" s="517"/>
      <c r="BD24" s="582"/>
      <c r="BE24" s="251"/>
      <c r="BF24" s="1202"/>
      <c r="BH24" s="26"/>
      <c r="BI24" s="26"/>
    </row>
    <row r="25" spans="1:61" x14ac:dyDescent="0.3">
      <c r="A25" s="146"/>
      <c r="B25" s="736" t="s">
        <v>691</v>
      </c>
      <c r="C25" s="156" t="s">
        <v>354</v>
      </c>
      <c r="D25" s="1337"/>
      <c r="E25" s="1337">
        <f>+SUM(E26:E28)</f>
        <v>4059.2500000000005</v>
      </c>
      <c r="F25" s="1337"/>
      <c r="G25" s="1337">
        <f>+SUM(G26:G28)</f>
        <v>4257.2500000000009</v>
      </c>
      <c r="H25" s="1631"/>
      <c r="I25" s="1631">
        <f t="shared" ref="I25:I80" si="36">+E25+G25</f>
        <v>8316.5000000000018</v>
      </c>
      <c r="J25" s="1337"/>
      <c r="K25" s="1337">
        <f>+SUM(K26:K28)</f>
        <v>3733.8799999999997</v>
      </c>
      <c r="L25" s="1337"/>
      <c r="M25" s="2196">
        <f t="shared" ref="M25:M102" si="37">+E25+G25+K25</f>
        <v>12050.380000000001</v>
      </c>
      <c r="N25" s="1337"/>
      <c r="O25" s="1337">
        <f>+SUM(O26:O28)</f>
        <v>3296.2</v>
      </c>
      <c r="P25" s="1337"/>
      <c r="Q25" s="1630">
        <f t="shared" si="7"/>
        <v>15346.580000000002</v>
      </c>
      <c r="R25" s="1337"/>
      <c r="S25" s="1337">
        <f>+SUM(S26:S28)</f>
        <v>4139.91</v>
      </c>
      <c r="T25" s="1337"/>
      <c r="U25" s="1630">
        <f t="shared" si="8"/>
        <v>19486.490000000002</v>
      </c>
      <c r="V25" s="1337"/>
      <c r="W25" s="1337">
        <f>+SUM(W26:W28)</f>
        <v>3638.23</v>
      </c>
      <c r="X25" s="1337"/>
      <c r="Y25" s="2196">
        <f t="shared" si="9"/>
        <v>11074.34</v>
      </c>
      <c r="Z25" s="1337"/>
      <c r="AA25" s="517">
        <f t="shared" si="10"/>
        <v>23124.720000000001</v>
      </c>
      <c r="AB25" s="1337"/>
      <c r="AC25" s="1337">
        <f>+SUM(AC26:AC28)</f>
        <v>3772.73</v>
      </c>
      <c r="AD25" s="1337"/>
      <c r="AE25" s="1337">
        <f t="shared" ref="AE25:AE51" si="38">+AA25+AC25</f>
        <v>26897.45</v>
      </c>
      <c r="AF25" s="1337"/>
      <c r="AG25" s="1337">
        <f>+SUM(AG26:AG28)</f>
        <v>3250.18</v>
      </c>
      <c r="AH25" s="1337"/>
      <c r="AI25" s="1337">
        <f t="shared" ref="AI25:AI80" si="39">+AE25+AG25</f>
        <v>30147.63</v>
      </c>
      <c r="AJ25" s="1337"/>
      <c r="AK25" s="1337">
        <f>+SUM(AK26:AK28)</f>
        <v>3867.1499999999996</v>
      </c>
      <c r="AL25" s="1337"/>
      <c r="AM25" s="2196">
        <f t="shared" si="13"/>
        <v>10890.06</v>
      </c>
      <c r="AN25" s="1337"/>
      <c r="AO25" s="1337">
        <f t="shared" si="14"/>
        <v>34014.78</v>
      </c>
      <c r="AP25" s="1337"/>
      <c r="AQ25" s="1337">
        <f>+SUM(AQ26:AQ28)</f>
        <v>3801.7400000000002</v>
      </c>
      <c r="AR25" s="1337"/>
      <c r="AS25" s="1337">
        <f t="shared" ref="AS25:AS51" si="40">+AO25+AQ25</f>
        <v>37816.519999999997</v>
      </c>
      <c r="AT25" s="1337"/>
      <c r="AU25" s="1337">
        <f>+SUM(AU26:AU28)</f>
        <v>2739.5099999999989</v>
      </c>
      <c r="AV25" s="1337"/>
      <c r="AW25" s="1337">
        <f t="shared" ref="AW25:AW51" si="41">+AS25+AU25</f>
        <v>40556.03</v>
      </c>
      <c r="AX25" s="1337"/>
      <c r="AY25" s="1337">
        <f>+SUM(AY26:AY28)</f>
        <v>3821.0799999999995</v>
      </c>
      <c r="AZ25" s="1337"/>
      <c r="BA25" s="2196">
        <f t="shared" si="18"/>
        <v>10362.329999999998</v>
      </c>
      <c r="BB25" s="1337"/>
      <c r="BC25" s="517">
        <f t="shared" si="19"/>
        <v>21252.39</v>
      </c>
      <c r="BD25" s="1337"/>
      <c r="BE25" s="1337">
        <f t="shared" ref="BE25:BE51" si="42">+AW25+AY25</f>
        <v>44377.11</v>
      </c>
      <c r="BF25" s="1202"/>
      <c r="BH25" s="26"/>
      <c r="BI25" s="26"/>
    </row>
    <row r="26" spans="1:61" x14ac:dyDescent="0.3">
      <c r="B26" s="8" t="s">
        <v>344</v>
      </c>
      <c r="C26" s="156" t="s">
        <v>354</v>
      </c>
      <c r="D26" s="592"/>
      <c r="E26" s="1185">
        <v>752.26</v>
      </c>
      <c r="F26" s="1185"/>
      <c r="G26" s="1185">
        <v>634.84</v>
      </c>
      <c r="H26" s="1630"/>
      <c r="I26" s="1630">
        <f t="shared" si="36"/>
        <v>1387.1</v>
      </c>
      <c r="J26" s="1185"/>
      <c r="K26" s="1185">
        <v>496.04</v>
      </c>
      <c r="L26" s="197"/>
      <c r="M26" s="2196">
        <f t="shared" si="37"/>
        <v>1883.1399999999999</v>
      </c>
      <c r="N26" s="1185"/>
      <c r="O26" s="1185">
        <v>495.96000000000009</v>
      </c>
      <c r="P26" s="1185"/>
      <c r="Q26" s="1630">
        <f t="shared" si="7"/>
        <v>2379.1</v>
      </c>
      <c r="R26" s="1185"/>
      <c r="S26" s="1185">
        <v>614.64</v>
      </c>
      <c r="T26" s="1185"/>
      <c r="U26" s="1630">
        <f t="shared" si="8"/>
        <v>2993.74</v>
      </c>
      <c r="V26" s="1185"/>
      <c r="W26" s="1185">
        <v>499.5200000000001</v>
      </c>
      <c r="X26" s="197"/>
      <c r="Y26" s="2196">
        <f t="shared" si="9"/>
        <v>1610.1200000000003</v>
      </c>
      <c r="Z26" s="1185"/>
      <c r="AA26" s="539">
        <f t="shared" si="10"/>
        <v>3493.26</v>
      </c>
      <c r="AB26" s="1185"/>
      <c r="AC26" s="1185">
        <v>697.99</v>
      </c>
      <c r="AD26" s="1185"/>
      <c r="AE26" s="582">
        <f t="shared" ref="AE26:AE28" si="43">AA26+AC26</f>
        <v>4191.25</v>
      </c>
      <c r="AF26" s="1185"/>
      <c r="AG26" s="1185">
        <v>417.66</v>
      </c>
      <c r="AH26" s="1185"/>
      <c r="AI26" s="775">
        <f t="shared" si="39"/>
        <v>4608.91</v>
      </c>
      <c r="AJ26" s="1185"/>
      <c r="AK26" s="1185">
        <v>496.73</v>
      </c>
      <c r="AL26" s="1185"/>
      <c r="AM26" s="2196">
        <f t="shared" si="13"/>
        <v>1612.38</v>
      </c>
      <c r="AN26" s="1185"/>
      <c r="AO26" s="775">
        <f t="shared" si="14"/>
        <v>5105.6399999999994</v>
      </c>
      <c r="AP26" s="1185"/>
      <c r="AQ26" s="1185">
        <v>317.53000000000003</v>
      </c>
      <c r="AR26" s="1185"/>
      <c r="AS26" s="775">
        <f t="shared" si="40"/>
        <v>5423.1699999999992</v>
      </c>
      <c r="AT26" s="1185"/>
      <c r="AU26" s="1185">
        <v>395.65999999999991</v>
      </c>
      <c r="AV26" s="1185"/>
      <c r="AW26" s="775">
        <f t="shared" si="41"/>
        <v>5818.829999999999</v>
      </c>
      <c r="AX26" s="1185"/>
      <c r="AY26" s="1185">
        <v>654.19000000000017</v>
      </c>
      <c r="AZ26" s="1185"/>
      <c r="BA26" s="2196">
        <f t="shared" si="18"/>
        <v>1367.38</v>
      </c>
      <c r="BB26" s="1185"/>
      <c r="BC26" s="539">
        <f t="shared" si="19"/>
        <v>2979.76</v>
      </c>
      <c r="BD26" s="1185"/>
      <c r="BE26" s="371">
        <f t="shared" si="42"/>
        <v>6473.0199999999995</v>
      </c>
      <c r="BF26" s="1202"/>
      <c r="BH26" s="26"/>
      <c r="BI26" s="26"/>
    </row>
    <row r="27" spans="1:61" x14ac:dyDescent="0.3">
      <c r="B27" s="8" t="s">
        <v>692</v>
      </c>
      <c r="C27" s="156" t="s">
        <v>354</v>
      </c>
      <c r="D27" s="592"/>
      <c r="E27" s="1185">
        <v>3284.26</v>
      </c>
      <c r="F27" s="1185"/>
      <c r="G27" s="1185">
        <v>3622.4100000000012</v>
      </c>
      <c r="H27" s="1630"/>
      <c r="I27" s="1630">
        <f t="shared" si="36"/>
        <v>6906.6700000000019</v>
      </c>
      <c r="J27" s="1185"/>
      <c r="K27" s="1185">
        <v>3227.91</v>
      </c>
      <c r="L27" s="197"/>
      <c r="M27" s="2196">
        <f t="shared" si="37"/>
        <v>10134.580000000002</v>
      </c>
      <c r="N27" s="1185"/>
      <c r="O27" s="1185">
        <v>2790.2599999999998</v>
      </c>
      <c r="P27" s="1185"/>
      <c r="Q27" s="1630">
        <f t="shared" si="7"/>
        <v>12924.840000000002</v>
      </c>
      <c r="R27" s="1185"/>
      <c r="S27" s="1185">
        <v>3515.37</v>
      </c>
      <c r="T27" s="1185"/>
      <c r="U27" s="1630">
        <f t="shared" si="8"/>
        <v>16440.210000000003</v>
      </c>
      <c r="V27" s="1185"/>
      <c r="W27" s="1185">
        <v>3138.71</v>
      </c>
      <c r="X27" s="197"/>
      <c r="Y27" s="2196">
        <f t="shared" si="9"/>
        <v>9444.34</v>
      </c>
      <c r="Z27" s="1185"/>
      <c r="AA27" s="539">
        <f t="shared" si="10"/>
        <v>19578.920000000002</v>
      </c>
      <c r="AB27" s="1185"/>
      <c r="AC27" s="1185">
        <v>3064.85</v>
      </c>
      <c r="AD27" s="1185"/>
      <c r="AE27" s="582">
        <f t="shared" si="43"/>
        <v>22643.77</v>
      </c>
      <c r="AF27" s="1185"/>
      <c r="AG27" s="1185">
        <v>2832.52</v>
      </c>
      <c r="AH27" s="1185"/>
      <c r="AI27" s="775">
        <f t="shared" si="39"/>
        <v>25476.29</v>
      </c>
      <c r="AJ27" s="1185"/>
      <c r="AK27" s="1185">
        <v>3360.43</v>
      </c>
      <c r="AL27" s="1185"/>
      <c r="AM27" s="2196">
        <f t="shared" si="13"/>
        <v>9257.7999999999993</v>
      </c>
      <c r="AN27" s="1185"/>
      <c r="AO27" s="775">
        <f t="shared" si="14"/>
        <v>28836.720000000001</v>
      </c>
      <c r="AP27" s="1185"/>
      <c r="AQ27" s="1185">
        <v>3474.2200000000003</v>
      </c>
      <c r="AR27" s="1185"/>
      <c r="AS27" s="775">
        <f t="shared" si="40"/>
        <v>32310.940000000002</v>
      </c>
      <c r="AT27" s="1185"/>
      <c r="AU27" s="1185">
        <v>2343.849999999999</v>
      </c>
      <c r="AV27" s="1185"/>
      <c r="AW27" s="775">
        <f t="shared" si="41"/>
        <v>34654.79</v>
      </c>
      <c r="AX27" s="1185"/>
      <c r="AY27" s="1185">
        <v>3147.1299999999992</v>
      </c>
      <c r="AZ27" s="1185"/>
      <c r="BA27" s="2196">
        <f t="shared" si="18"/>
        <v>8965.1999999999989</v>
      </c>
      <c r="BB27" s="1185"/>
      <c r="BC27" s="539">
        <f t="shared" si="19"/>
        <v>18223</v>
      </c>
      <c r="BD27" s="1185"/>
      <c r="BE27" s="371">
        <f t="shared" si="42"/>
        <v>37801.919999999998</v>
      </c>
      <c r="BF27" s="1202"/>
      <c r="BH27" s="26"/>
      <c r="BI27" s="26"/>
    </row>
    <row r="28" spans="1:61" x14ac:dyDescent="0.3">
      <c r="B28" s="8" t="s">
        <v>809</v>
      </c>
      <c r="C28" s="156" t="s">
        <v>354</v>
      </c>
      <c r="D28" s="592"/>
      <c r="E28" s="1185">
        <v>22.73</v>
      </c>
      <c r="F28" s="1185"/>
      <c r="G28" s="1185"/>
      <c r="H28" s="1630"/>
      <c r="I28" s="1630">
        <f t="shared" si="36"/>
        <v>22.73</v>
      </c>
      <c r="J28" s="1185"/>
      <c r="K28" s="1185">
        <v>9.93</v>
      </c>
      <c r="L28" s="197"/>
      <c r="M28" s="2196">
        <f t="shared" si="37"/>
        <v>32.659999999999997</v>
      </c>
      <c r="N28" s="1185"/>
      <c r="O28" s="1185">
        <v>9.98</v>
      </c>
      <c r="P28" s="1185"/>
      <c r="Q28" s="1630">
        <f t="shared" si="7"/>
        <v>42.64</v>
      </c>
      <c r="R28" s="1185"/>
      <c r="S28" s="1185">
        <v>9.9</v>
      </c>
      <c r="T28" s="1185"/>
      <c r="U28" s="1630">
        <f t="shared" si="8"/>
        <v>52.54</v>
      </c>
      <c r="V28" s="1185"/>
      <c r="W28" s="1185"/>
      <c r="X28" s="197"/>
      <c r="Y28" s="2196">
        <f t="shared" si="9"/>
        <v>19.880000000000003</v>
      </c>
      <c r="Z28" s="1185"/>
      <c r="AA28" s="539">
        <f t="shared" si="10"/>
        <v>52.54</v>
      </c>
      <c r="AB28" s="1185"/>
      <c r="AC28" s="1185">
        <v>9.89</v>
      </c>
      <c r="AD28" s="1185"/>
      <c r="AE28" s="582">
        <f t="shared" si="43"/>
        <v>62.43</v>
      </c>
      <c r="AF28" s="1185"/>
      <c r="AG28" s="1185"/>
      <c r="AH28" s="1185"/>
      <c r="AI28" s="775">
        <f t="shared" si="39"/>
        <v>62.43</v>
      </c>
      <c r="AJ28" s="1185"/>
      <c r="AK28" s="1185">
        <v>9.99</v>
      </c>
      <c r="AL28" s="1185"/>
      <c r="AM28" s="2196">
        <f t="shared" si="13"/>
        <v>19.880000000000003</v>
      </c>
      <c r="AN28" s="1185"/>
      <c r="AO28" s="775">
        <f t="shared" si="14"/>
        <v>72.42</v>
      </c>
      <c r="AP28" s="1185"/>
      <c r="AQ28" s="1185">
        <v>9.99</v>
      </c>
      <c r="AR28" s="1185"/>
      <c r="AS28" s="775">
        <f t="shared" si="40"/>
        <v>82.41</v>
      </c>
      <c r="AT28" s="1185"/>
      <c r="AU28" s="1185"/>
      <c r="AV28" s="1185"/>
      <c r="AW28" s="775">
        <f t="shared" si="41"/>
        <v>82.41</v>
      </c>
      <c r="AX28" s="1185"/>
      <c r="AY28" s="1185">
        <v>19.759999999999998</v>
      </c>
      <c r="AZ28" s="1185"/>
      <c r="BA28" s="2196">
        <f t="shared" si="18"/>
        <v>29.75</v>
      </c>
      <c r="BB28" s="1185"/>
      <c r="BC28" s="539">
        <f t="shared" si="19"/>
        <v>49.63</v>
      </c>
      <c r="BD28" s="1185"/>
      <c r="BE28" s="371">
        <f t="shared" si="42"/>
        <v>102.16999999999999</v>
      </c>
      <c r="BF28" s="1202"/>
      <c r="BH28" s="26"/>
      <c r="BI28" s="26"/>
    </row>
    <row r="29" spans="1:61" x14ac:dyDescent="0.3">
      <c r="B29" s="736" t="s">
        <v>716</v>
      </c>
      <c r="C29" s="156" t="s">
        <v>354</v>
      </c>
      <c r="D29" s="1121"/>
      <c r="E29" s="1337"/>
      <c r="F29" s="1337"/>
      <c r="G29" s="1337"/>
      <c r="H29" s="1631"/>
      <c r="I29" s="1631">
        <f t="shared" si="36"/>
        <v>0</v>
      </c>
      <c r="J29" s="1337"/>
      <c r="K29" s="1337"/>
      <c r="L29" s="1337"/>
      <c r="M29" s="2196">
        <f t="shared" si="37"/>
        <v>0</v>
      </c>
      <c r="N29" s="1337"/>
      <c r="O29" s="1337"/>
      <c r="P29" s="1337"/>
      <c r="Q29" s="1630">
        <f t="shared" si="7"/>
        <v>0</v>
      </c>
      <c r="R29" s="1337"/>
      <c r="S29" s="1337"/>
      <c r="T29" s="1337"/>
      <c r="U29" s="1630">
        <f t="shared" si="8"/>
        <v>0</v>
      </c>
      <c r="V29" s="1289"/>
      <c r="W29" s="1337"/>
      <c r="X29" s="1337"/>
      <c r="Y29" s="2196">
        <f t="shared" si="9"/>
        <v>0</v>
      </c>
      <c r="Z29" s="1289"/>
      <c r="AA29" s="517">
        <f t="shared" si="10"/>
        <v>0</v>
      </c>
      <c r="AB29" s="1337"/>
      <c r="AC29" s="1337"/>
      <c r="AD29" s="1337"/>
      <c r="AE29" s="1337">
        <f t="shared" si="38"/>
        <v>0</v>
      </c>
      <c r="AF29" s="1337"/>
      <c r="AG29" s="1337">
        <v>161.78</v>
      </c>
      <c r="AH29" s="1337"/>
      <c r="AI29" s="1337">
        <f t="shared" si="39"/>
        <v>161.78</v>
      </c>
      <c r="AJ29" s="1289"/>
      <c r="AK29" s="1337">
        <v>619.12</v>
      </c>
      <c r="AL29" s="1289"/>
      <c r="AM29" s="2196">
        <f t="shared" si="13"/>
        <v>780.9</v>
      </c>
      <c r="AN29" s="1337"/>
      <c r="AO29" s="1337">
        <f t="shared" si="14"/>
        <v>780.9</v>
      </c>
      <c r="AP29" s="1289"/>
      <c r="AQ29" s="1337"/>
      <c r="AR29" s="1337"/>
      <c r="AS29" s="1337">
        <f t="shared" si="40"/>
        <v>780.9</v>
      </c>
      <c r="AT29" s="1337"/>
      <c r="AU29" s="1337">
        <v>55.97</v>
      </c>
      <c r="AV29" s="1337"/>
      <c r="AW29" s="1337">
        <f t="shared" si="41"/>
        <v>836.87</v>
      </c>
      <c r="AX29" s="1337"/>
      <c r="AY29" s="1337">
        <v>44.58</v>
      </c>
      <c r="AZ29" s="1289"/>
      <c r="BA29" s="2196">
        <f t="shared" si="18"/>
        <v>100.55</v>
      </c>
      <c r="BB29" s="1289"/>
      <c r="BC29" s="517">
        <f t="shared" si="19"/>
        <v>881.44999999999993</v>
      </c>
      <c r="BD29" s="1337"/>
      <c r="BE29" s="1337">
        <f t="shared" si="42"/>
        <v>881.45</v>
      </c>
      <c r="BF29" s="1202"/>
      <c r="BH29" s="26"/>
      <c r="BI29" s="26"/>
    </row>
    <row r="30" spans="1:61" x14ac:dyDescent="0.3">
      <c r="A30" s="146"/>
      <c r="B30" s="736" t="s">
        <v>665</v>
      </c>
      <c r="C30" s="202"/>
      <c r="D30" s="1337"/>
      <c r="E30" s="1337">
        <f>+SUM(E31:E40)</f>
        <v>0</v>
      </c>
      <c r="F30" s="1337"/>
      <c r="G30" s="1337">
        <f>+SUM(G31:G40)</f>
        <v>0</v>
      </c>
      <c r="H30" s="1631"/>
      <c r="I30" s="1631">
        <f t="shared" si="36"/>
        <v>0</v>
      </c>
      <c r="J30" s="1337"/>
      <c r="K30" s="1337">
        <f>+SUM(K31:K40)</f>
        <v>0</v>
      </c>
      <c r="L30" s="1337"/>
      <c r="M30" s="2196">
        <f t="shared" si="37"/>
        <v>0</v>
      </c>
      <c r="N30" s="1337"/>
      <c r="O30" s="1337">
        <f>+SUM(O31:O40)</f>
        <v>64.239999999999995</v>
      </c>
      <c r="P30" s="1337"/>
      <c r="Q30" s="1630">
        <f t="shared" si="7"/>
        <v>64.239999999999995</v>
      </c>
      <c r="R30" s="1337"/>
      <c r="S30" s="1337">
        <f>+SUM(S31:S40)</f>
        <v>362.28999999999996</v>
      </c>
      <c r="T30" s="1337"/>
      <c r="U30" s="1630">
        <f t="shared" si="8"/>
        <v>426.53</v>
      </c>
      <c r="V30" s="1337"/>
      <c r="W30" s="1337">
        <f>+SUM(W31:W40)</f>
        <v>361.07</v>
      </c>
      <c r="X30" s="1337"/>
      <c r="Y30" s="2196">
        <f t="shared" si="9"/>
        <v>787.59999999999991</v>
      </c>
      <c r="Z30" s="1337"/>
      <c r="AA30" s="517">
        <f t="shared" si="10"/>
        <v>787.59999999999991</v>
      </c>
      <c r="AB30" s="1337"/>
      <c r="AC30" s="1337">
        <f>+SUM(AC31:AC40)</f>
        <v>51.45</v>
      </c>
      <c r="AD30" s="1337"/>
      <c r="AE30" s="1337">
        <f t="shared" si="38"/>
        <v>839.05</v>
      </c>
      <c r="AF30" s="1337"/>
      <c r="AG30" s="1337">
        <f>+SUM(AG31:AG40)</f>
        <v>0</v>
      </c>
      <c r="AH30" s="1337"/>
      <c r="AI30" s="1337">
        <f t="shared" si="39"/>
        <v>839.05</v>
      </c>
      <c r="AJ30" s="1337"/>
      <c r="AK30" s="1337">
        <f>+SUM(AK31:AK40)</f>
        <v>77.87</v>
      </c>
      <c r="AL30" s="1337"/>
      <c r="AM30" s="2196">
        <f t="shared" si="13"/>
        <v>129.32</v>
      </c>
      <c r="AN30" s="1337"/>
      <c r="AO30" s="1337">
        <f t="shared" si="14"/>
        <v>916.92</v>
      </c>
      <c r="AP30" s="1337"/>
      <c r="AQ30" s="1337">
        <f>+SUM(AQ31:AQ40)</f>
        <v>135.05000000000001</v>
      </c>
      <c r="AR30" s="1337"/>
      <c r="AS30" s="1337">
        <f t="shared" si="40"/>
        <v>1051.97</v>
      </c>
      <c r="AT30" s="1337"/>
      <c r="AU30" s="1337">
        <f>+SUM(AU31:AU40)</f>
        <v>200.46</v>
      </c>
      <c r="AV30" s="1337"/>
      <c r="AW30" s="1337">
        <f t="shared" si="41"/>
        <v>1252.43</v>
      </c>
      <c r="AX30" s="1337"/>
      <c r="AY30" s="1337">
        <f>+SUM(AY31:AY40)</f>
        <v>0</v>
      </c>
      <c r="AZ30" s="1337"/>
      <c r="BA30" s="2196">
        <f t="shared" si="18"/>
        <v>335.51</v>
      </c>
      <c r="BB30" s="1337"/>
      <c r="BC30" s="517">
        <f t="shared" si="19"/>
        <v>464.83</v>
      </c>
      <c r="BD30" s="1337"/>
      <c r="BE30" s="1337">
        <f t="shared" si="42"/>
        <v>1252.43</v>
      </c>
      <c r="BF30" s="1202"/>
      <c r="BH30" s="26"/>
      <c r="BI30" s="26"/>
    </row>
    <row r="31" spans="1:61" x14ac:dyDescent="0.3">
      <c r="B31" s="8" t="s">
        <v>831</v>
      </c>
      <c r="C31" s="156" t="s">
        <v>354</v>
      </c>
      <c r="D31" s="592"/>
      <c r="E31" s="1185"/>
      <c r="F31" s="1185"/>
      <c r="G31" s="1185"/>
      <c r="H31" s="1630"/>
      <c r="I31" s="1630">
        <f t="shared" si="36"/>
        <v>0</v>
      </c>
      <c r="J31" s="1185"/>
      <c r="K31" s="1185"/>
      <c r="L31" s="197"/>
      <c r="M31" s="2196">
        <f t="shared" si="37"/>
        <v>0</v>
      </c>
      <c r="N31" s="1185"/>
      <c r="O31" s="1185">
        <v>23.4</v>
      </c>
      <c r="P31" s="1185"/>
      <c r="Q31" s="1630">
        <f t="shared" si="7"/>
        <v>23.4</v>
      </c>
      <c r="R31" s="1185"/>
      <c r="S31" s="1185">
        <v>45.92</v>
      </c>
      <c r="T31" s="1185"/>
      <c r="U31" s="1630">
        <f t="shared" si="8"/>
        <v>69.319999999999993</v>
      </c>
      <c r="V31" s="1185"/>
      <c r="W31" s="1185">
        <v>76.56</v>
      </c>
      <c r="X31" s="197"/>
      <c r="Y31" s="2196">
        <f t="shared" si="9"/>
        <v>145.88</v>
      </c>
      <c r="Z31" s="1185"/>
      <c r="AA31" s="539">
        <f t="shared" si="10"/>
        <v>145.88</v>
      </c>
      <c r="AB31" s="1185"/>
      <c r="AC31" s="1185">
        <v>19.38</v>
      </c>
      <c r="AD31" s="1185"/>
      <c r="AE31" s="582">
        <f t="shared" ref="AE31:AE36" si="44">AA31+AC31</f>
        <v>165.26</v>
      </c>
      <c r="AF31" s="1185"/>
      <c r="AG31" s="1185"/>
      <c r="AH31" s="1185"/>
      <c r="AI31" s="775">
        <f t="shared" si="39"/>
        <v>165.26</v>
      </c>
      <c r="AJ31" s="1185"/>
      <c r="AK31" s="1185"/>
      <c r="AL31" s="1185"/>
      <c r="AM31" s="2196">
        <f t="shared" si="13"/>
        <v>19.38</v>
      </c>
      <c r="AN31" s="1185"/>
      <c r="AO31" s="775">
        <f t="shared" si="14"/>
        <v>165.26</v>
      </c>
      <c r="AP31" s="1185"/>
      <c r="AQ31" s="1185">
        <v>92.07</v>
      </c>
      <c r="AR31" s="1185"/>
      <c r="AS31" s="775">
        <f t="shared" si="40"/>
        <v>257.33</v>
      </c>
      <c r="AT31" s="1185"/>
      <c r="AU31" s="1185"/>
      <c r="AV31" s="1185"/>
      <c r="AW31" s="775">
        <f t="shared" si="41"/>
        <v>257.33</v>
      </c>
      <c r="AX31" s="1185"/>
      <c r="AY31" s="1185"/>
      <c r="AZ31" s="1185"/>
      <c r="BA31" s="2196">
        <f t="shared" si="18"/>
        <v>92.07</v>
      </c>
      <c r="BB31" s="1185"/>
      <c r="BC31" s="539">
        <f t="shared" si="19"/>
        <v>111.44999999999999</v>
      </c>
      <c r="BD31" s="1185"/>
      <c r="BE31" s="371">
        <f t="shared" si="42"/>
        <v>257.33</v>
      </c>
      <c r="BF31" s="1202"/>
      <c r="BH31" s="26"/>
      <c r="BI31" s="26"/>
    </row>
    <row r="32" spans="1:61" x14ac:dyDescent="0.3">
      <c r="B32" s="8" t="s">
        <v>810</v>
      </c>
      <c r="C32" s="156" t="s">
        <v>354</v>
      </c>
      <c r="D32" s="592"/>
      <c r="E32" s="1185"/>
      <c r="F32" s="1185"/>
      <c r="G32" s="1185"/>
      <c r="H32" s="1630"/>
      <c r="I32" s="1630">
        <f t="shared" si="36"/>
        <v>0</v>
      </c>
      <c r="J32" s="1185"/>
      <c r="K32" s="1185"/>
      <c r="L32" s="197"/>
      <c r="M32" s="2196">
        <f t="shared" si="37"/>
        <v>0</v>
      </c>
      <c r="N32" s="1185"/>
      <c r="O32" s="1185">
        <v>25.83</v>
      </c>
      <c r="P32" s="1185"/>
      <c r="Q32" s="1630">
        <f t="shared" si="7"/>
        <v>25.83</v>
      </c>
      <c r="R32" s="1185"/>
      <c r="S32" s="1185">
        <v>25.96</v>
      </c>
      <c r="T32" s="1185"/>
      <c r="U32" s="1630">
        <f t="shared" si="8"/>
        <v>51.79</v>
      </c>
      <c r="V32" s="1185"/>
      <c r="W32" s="1185">
        <v>81.59</v>
      </c>
      <c r="X32" s="197"/>
      <c r="Y32" s="2196">
        <f t="shared" si="9"/>
        <v>133.38</v>
      </c>
      <c r="Z32" s="1185"/>
      <c r="AA32" s="539">
        <f t="shared" si="10"/>
        <v>133.38</v>
      </c>
      <c r="AB32" s="1185"/>
      <c r="AC32" s="1185">
        <v>32.07</v>
      </c>
      <c r="AD32" s="1185"/>
      <c r="AE32" s="582">
        <f t="shared" si="44"/>
        <v>165.45</v>
      </c>
      <c r="AF32" s="1185"/>
      <c r="AG32" s="1185"/>
      <c r="AH32" s="1185"/>
      <c r="AI32" s="775">
        <f t="shared" si="39"/>
        <v>165.45</v>
      </c>
      <c r="AJ32" s="1185"/>
      <c r="AK32" s="1185"/>
      <c r="AL32" s="1185"/>
      <c r="AM32" s="2196">
        <f t="shared" si="13"/>
        <v>32.07</v>
      </c>
      <c r="AN32" s="1185"/>
      <c r="AO32" s="775">
        <f t="shared" si="14"/>
        <v>165.45</v>
      </c>
      <c r="AP32" s="1185"/>
      <c r="AQ32" s="1185">
        <v>22.7</v>
      </c>
      <c r="AR32" s="1185"/>
      <c r="AS32" s="775">
        <f t="shared" si="40"/>
        <v>188.14999999999998</v>
      </c>
      <c r="AT32" s="1185"/>
      <c r="AU32" s="1185">
        <v>159.32000000000002</v>
      </c>
      <c r="AV32" s="1185"/>
      <c r="AW32" s="775">
        <f t="shared" si="41"/>
        <v>347.47</v>
      </c>
      <c r="AX32" s="1185"/>
      <c r="AY32" s="1185"/>
      <c r="AZ32" s="1185"/>
      <c r="BA32" s="2196">
        <f t="shared" si="18"/>
        <v>182.02</v>
      </c>
      <c r="BB32" s="1185"/>
      <c r="BC32" s="539">
        <f t="shared" si="19"/>
        <v>214.09</v>
      </c>
      <c r="BD32" s="1185"/>
      <c r="BE32" s="371">
        <f t="shared" si="42"/>
        <v>347.47</v>
      </c>
      <c r="BF32" s="1202"/>
      <c r="BH32" s="26"/>
      <c r="BI32" s="26"/>
    </row>
    <row r="33" spans="1:61" x14ac:dyDescent="0.3">
      <c r="B33" s="8" t="s">
        <v>2101</v>
      </c>
      <c r="C33" s="156" t="s">
        <v>354</v>
      </c>
      <c r="D33" s="592"/>
      <c r="E33" s="1185"/>
      <c r="F33" s="1185"/>
      <c r="G33" s="1185"/>
      <c r="H33" s="1630"/>
      <c r="I33" s="1630">
        <f t="shared" si="36"/>
        <v>0</v>
      </c>
      <c r="J33" s="1185"/>
      <c r="K33" s="1185"/>
      <c r="L33" s="197"/>
      <c r="M33" s="2196">
        <f t="shared" si="37"/>
        <v>0</v>
      </c>
      <c r="N33" s="1185"/>
      <c r="O33" s="1185"/>
      <c r="P33" s="1185"/>
      <c r="Q33" s="1630">
        <f t="shared" si="7"/>
        <v>0</v>
      </c>
      <c r="R33" s="1185"/>
      <c r="S33" s="1185">
        <v>276.02999999999997</v>
      </c>
      <c r="T33" s="1185"/>
      <c r="U33" s="1630">
        <f t="shared" si="8"/>
        <v>276.02999999999997</v>
      </c>
      <c r="V33" s="1185"/>
      <c r="W33" s="1185">
        <v>194.61</v>
      </c>
      <c r="X33" s="197"/>
      <c r="Y33" s="2196">
        <f t="shared" si="9"/>
        <v>470.64</v>
      </c>
      <c r="Z33" s="1185"/>
      <c r="AA33" s="539">
        <f t="shared" si="10"/>
        <v>470.64</v>
      </c>
      <c r="AB33" s="1185"/>
      <c r="AC33" s="1185"/>
      <c r="AD33" s="1185"/>
      <c r="AE33" s="582">
        <f t="shared" si="44"/>
        <v>470.64</v>
      </c>
      <c r="AF33" s="1185"/>
      <c r="AG33" s="1185"/>
      <c r="AH33" s="1185"/>
      <c r="AI33" s="775">
        <f t="shared" si="39"/>
        <v>470.64</v>
      </c>
      <c r="AJ33" s="1185"/>
      <c r="AK33" s="1185"/>
      <c r="AL33" s="1185"/>
      <c r="AM33" s="2196">
        <f t="shared" si="13"/>
        <v>0</v>
      </c>
      <c r="AN33" s="1185"/>
      <c r="AO33" s="775">
        <f t="shared" si="14"/>
        <v>470.64</v>
      </c>
      <c r="AP33" s="1185"/>
      <c r="AQ33" s="1185"/>
      <c r="AR33" s="1185"/>
      <c r="AS33" s="775">
        <f t="shared" si="40"/>
        <v>470.64</v>
      </c>
      <c r="AT33" s="1185"/>
      <c r="AU33" s="1185"/>
      <c r="AV33" s="1185"/>
      <c r="AW33" s="775">
        <f t="shared" si="41"/>
        <v>470.64</v>
      </c>
      <c r="AX33" s="1185"/>
      <c r="AY33" s="1185"/>
      <c r="AZ33" s="1185"/>
      <c r="BA33" s="2196">
        <f t="shared" si="18"/>
        <v>0</v>
      </c>
      <c r="BB33" s="1185"/>
      <c r="BC33" s="539">
        <f t="shared" si="19"/>
        <v>0</v>
      </c>
      <c r="BD33" s="1185"/>
      <c r="BE33" s="371">
        <f t="shared" si="42"/>
        <v>470.64</v>
      </c>
      <c r="BF33" s="1202"/>
      <c r="BH33" s="26"/>
      <c r="BI33" s="26"/>
    </row>
    <row r="34" spans="1:61" x14ac:dyDescent="0.3">
      <c r="B34" s="4442" t="s">
        <v>2318</v>
      </c>
      <c r="C34" s="156" t="s">
        <v>354</v>
      </c>
      <c r="D34" s="5347"/>
      <c r="E34" s="5119"/>
      <c r="F34" s="5119"/>
      <c r="G34" s="5119"/>
      <c r="H34" s="5352"/>
      <c r="I34" s="5352"/>
      <c r="J34" s="5119"/>
      <c r="K34" s="5119"/>
      <c r="L34" s="5359"/>
      <c r="M34" s="5360"/>
      <c r="N34" s="5119"/>
      <c r="O34" s="5119"/>
      <c r="P34" s="5119"/>
      <c r="Q34" s="5352"/>
      <c r="R34" s="5119"/>
      <c r="S34" s="5119"/>
      <c r="T34" s="5119"/>
      <c r="U34" s="5352"/>
      <c r="V34" s="5119"/>
      <c r="W34" s="5119"/>
      <c r="X34" s="5359"/>
      <c r="Y34" s="5360"/>
      <c r="Z34" s="5119"/>
      <c r="AA34" s="5415"/>
      <c r="AB34" s="5119"/>
      <c r="AC34" s="5119"/>
      <c r="AD34" s="5119"/>
      <c r="AE34" s="5354"/>
      <c r="AF34" s="5119"/>
      <c r="AG34" s="5119"/>
      <c r="AH34" s="5119"/>
      <c r="AI34" s="5120"/>
      <c r="AJ34" s="5119"/>
      <c r="AK34" s="5119"/>
      <c r="AL34" s="5119"/>
      <c r="AM34" s="5360"/>
      <c r="AN34" s="5119"/>
      <c r="AO34" s="5120"/>
      <c r="AP34" s="5119"/>
      <c r="AQ34" s="5119"/>
      <c r="AR34" s="5119"/>
      <c r="AS34" s="5120"/>
      <c r="AT34" s="5119"/>
      <c r="AU34" s="5119">
        <v>2.95</v>
      </c>
      <c r="AV34" s="5119"/>
      <c r="AW34" s="775">
        <f t="shared" si="41"/>
        <v>2.95</v>
      </c>
      <c r="AX34" s="5119"/>
      <c r="AY34" s="5119"/>
      <c r="AZ34" s="5119"/>
      <c r="BA34" s="2196">
        <f t="shared" ref="BA34" si="45">+AQ34+AU34+AY34</f>
        <v>2.95</v>
      </c>
      <c r="BB34" s="1185"/>
      <c r="BC34" s="539">
        <f t="shared" ref="BC34" si="46">BA34+AM34</f>
        <v>2.95</v>
      </c>
      <c r="BD34" s="1185"/>
      <c r="BE34" s="371">
        <f t="shared" ref="BE34" si="47">+AW34+AY34</f>
        <v>2.95</v>
      </c>
      <c r="BF34" s="1202"/>
      <c r="BH34" s="26"/>
      <c r="BI34" s="26"/>
    </row>
    <row r="35" spans="1:61" x14ac:dyDescent="0.3">
      <c r="B35" s="8" t="s">
        <v>2074</v>
      </c>
      <c r="C35" s="156" t="s">
        <v>354</v>
      </c>
      <c r="D35" s="592"/>
      <c r="E35" s="1185"/>
      <c r="F35" s="1185"/>
      <c r="G35" s="1185"/>
      <c r="H35" s="1630"/>
      <c r="I35" s="1630">
        <f t="shared" si="36"/>
        <v>0</v>
      </c>
      <c r="J35" s="1185"/>
      <c r="K35" s="1185"/>
      <c r="L35" s="197"/>
      <c r="M35" s="2196">
        <f t="shared" si="37"/>
        <v>0</v>
      </c>
      <c r="N35" s="1185"/>
      <c r="O35" s="1185">
        <v>15.01</v>
      </c>
      <c r="P35" s="1185"/>
      <c r="Q35" s="1630">
        <f t="shared" si="7"/>
        <v>15.01</v>
      </c>
      <c r="R35" s="1185"/>
      <c r="S35" s="1185">
        <v>14.38</v>
      </c>
      <c r="T35" s="1185"/>
      <c r="U35" s="1630">
        <f t="shared" si="8"/>
        <v>29.39</v>
      </c>
      <c r="V35" s="1185"/>
      <c r="W35" s="1185">
        <v>6.81</v>
      </c>
      <c r="X35" s="197"/>
      <c r="Y35" s="2196">
        <f t="shared" si="9"/>
        <v>36.200000000000003</v>
      </c>
      <c r="Z35" s="1185"/>
      <c r="AA35" s="539">
        <f t="shared" si="10"/>
        <v>36.200000000000003</v>
      </c>
      <c r="AB35" s="1185"/>
      <c r="AC35" s="1185"/>
      <c r="AD35" s="1185"/>
      <c r="AE35" s="582">
        <f t="shared" si="44"/>
        <v>36.200000000000003</v>
      </c>
      <c r="AF35" s="1185"/>
      <c r="AG35" s="1185"/>
      <c r="AH35" s="1185"/>
      <c r="AI35" s="775">
        <f t="shared" si="39"/>
        <v>36.200000000000003</v>
      </c>
      <c r="AJ35" s="1185"/>
      <c r="AK35" s="1185"/>
      <c r="AL35" s="1185"/>
      <c r="AM35" s="2196">
        <f t="shared" si="13"/>
        <v>0</v>
      </c>
      <c r="AN35" s="1185"/>
      <c r="AO35" s="775">
        <f t="shared" si="14"/>
        <v>36.200000000000003</v>
      </c>
      <c r="AP35" s="1185"/>
      <c r="AQ35" s="1185"/>
      <c r="AR35" s="1185"/>
      <c r="AS35" s="775">
        <f t="shared" si="40"/>
        <v>36.200000000000003</v>
      </c>
      <c r="AT35" s="1185"/>
      <c r="AU35" s="1185"/>
      <c r="AV35" s="1185"/>
      <c r="AW35" s="775">
        <f t="shared" si="41"/>
        <v>36.200000000000003</v>
      </c>
      <c r="AX35" s="1185"/>
      <c r="AY35" s="1185"/>
      <c r="AZ35" s="1185"/>
      <c r="BA35" s="2196">
        <f t="shared" si="18"/>
        <v>0</v>
      </c>
      <c r="BB35" s="1185"/>
      <c r="BC35" s="539">
        <f t="shared" si="19"/>
        <v>0</v>
      </c>
      <c r="BD35" s="1185"/>
      <c r="BE35" s="371">
        <f t="shared" si="42"/>
        <v>36.200000000000003</v>
      </c>
      <c r="BF35" s="1202"/>
      <c r="BH35" s="26"/>
      <c r="BI35" s="26"/>
    </row>
    <row r="36" spans="1:61" ht="14.25" customHeight="1" x14ac:dyDescent="0.3">
      <c r="B36" s="8" t="s">
        <v>934</v>
      </c>
      <c r="C36" s="156" t="s">
        <v>354</v>
      </c>
      <c r="D36" s="592"/>
      <c r="E36" s="592"/>
      <c r="F36" s="592"/>
      <c r="G36" s="592"/>
      <c r="H36" s="1632"/>
      <c r="I36" s="1630">
        <f t="shared" si="36"/>
        <v>0</v>
      </c>
      <c r="J36" s="592"/>
      <c r="K36" s="592"/>
      <c r="L36" s="197"/>
      <c r="M36" s="2196">
        <f t="shared" si="37"/>
        <v>0</v>
      </c>
      <c r="N36" s="592"/>
      <c r="O36" s="592"/>
      <c r="P36" s="592"/>
      <c r="Q36" s="1630">
        <f t="shared" si="7"/>
        <v>0</v>
      </c>
      <c r="R36" s="592"/>
      <c r="S36" s="592"/>
      <c r="T36" s="592"/>
      <c r="U36" s="1630">
        <f t="shared" si="8"/>
        <v>0</v>
      </c>
      <c r="V36" s="592"/>
      <c r="W36" s="592"/>
      <c r="X36" s="197"/>
      <c r="Y36" s="2196">
        <f t="shared" si="9"/>
        <v>0</v>
      </c>
      <c r="Z36" s="1185"/>
      <c r="AA36" s="517">
        <f t="shared" si="10"/>
        <v>0</v>
      </c>
      <c r="AB36" s="592"/>
      <c r="AC36" s="592"/>
      <c r="AD36" s="592"/>
      <c r="AE36" s="582">
        <f t="shared" si="44"/>
        <v>0</v>
      </c>
      <c r="AF36" s="592"/>
      <c r="AG36" s="592"/>
      <c r="AH36" s="592"/>
      <c r="AI36" s="582">
        <f t="shared" si="39"/>
        <v>0</v>
      </c>
      <c r="AJ36" s="592"/>
      <c r="AK36" s="592"/>
      <c r="AL36" s="592"/>
      <c r="AM36" s="2196">
        <f t="shared" si="13"/>
        <v>0</v>
      </c>
      <c r="AN36" s="592"/>
      <c r="AO36" s="582">
        <f t="shared" si="14"/>
        <v>0</v>
      </c>
      <c r="AP36" s="592"/>
      <c r="AQ36" s="592"/>
      <c r="AR36" s="592"/>
      <c r="AS36" s="582">
        <f t="shared" si="40"/>
        <v>0</v>
      </c>
      <c r="AT36" s="592"/>
      <c r="AU36" s="592">
        <v>9.98</v>
      </c>
      <c r="AV36" s="592"/>
      <c r="AW36" s="582">
        <f t="shared" si="41"/>
        <v>9.98</v>
      </c>
      <c r="AX36" s="592"/>
      <c r="AY36" s="592"/>
      <c r="AZ36" s="592"/>
      <c r="BA36" s="2196">
        <f t="shared" si="18"/>
        <v>9.98</v>
      </c>
      <c r="BB36" s="1185"/>
      <c r="BC36" s="517">
        <f t="shared" si="19"/>
        <v>9.98</v>
      </c>
      <c r="BD36" s="592"/>
      <c r="BE36" s="251">
        <f t="shared" si="42"/>
        <v>9.98</v>
      </c>
      <c r="BF36" s="1202"/>
      <c r="BH36" s="26"/>
      <c r="BI36" s="26"/>
    </row>
    <row r="37" spans="1:61" x14ac:dyDescent="0.3">
      <c r="B37" s="8" t="s">
        <v>1643</v>
      </c>
      <c r="C37" s="2432" t="s">
        <v>354</v>
      </c>
      <c r="D37" s="2433"/>
      <c r="E37" s="2433"/>
      <c r="F37" s="2433"/>
      <c r="G37" s="2433"/>
      <c r="H37" s="2438"/>
      <c r="I37" s="1630">
        <f t="shared" si="36"/>
        <v>0</v>
      </c>
      <c r="J37" s="2433"/>
      <c r="K37" s="2433"/>
      <c r="L37" s="2435"/>
      <c r="M37" s="2196">
        <f t="shared" si="37"/>
        <v>0</v>
      </c>
      <c r="N37" s="2433"/>
      <c r="O37" s="2433"/>
      <c r="P37" s="2433"/>
      <c r="Q37" s="1630">
        <f t="shared" si="7"/>
        <v>0</v>
      </c>
      <c r="R37" s="2433"/>
      <c r="S37" s="2433"/>
      <c r="T37" s="2433"/>
      <c r="U37" s="1630">
        <f t="shared" si="8"/>
        <v>0</v>
      </c>
      <c r="V37" s="2433"/>
      <c r="W37" s="2433"/>
      <c r="X37" s="2435"/>
      <c r="Y37" s="2436">
        <f t="shared" si="9"/>
        <v>0</v>
      </c>
      <c r="Z37" s="2416"/>
      <c r="AA37" s="517">
        <f t="shared" si="10"/>
        <v>0</v>
      </c>
      <c r="AB37" s="2433"/>
      <c r="AC37" s="2433"/>
      <c r="AD37" s="2433"/>
      <c r="AE37" s="2439"/>
      <c r="AF37" s="2433"/>
      <c r="AG37" s="2433"/>
      <c r="AH37" s="2433"/>
      <c r="AI37" s="2439">
        <f t="shared" si="39"/>
        <v>0</v>
      </c>
      <c r="AJ37" s="2433"/>
      <c r="AK37" s="2433">
        <v>77.87</v>
      </c>
      <c r="AL37" s="2433"/>
      <c r="AM37" s="2436">
        <f t="shared" si="13"/>
        <v>77.87</v>
      </c>
      <c r="AN37" s="2433"/>
      <c r="AO37" s="582">
        <f t="shared" si="14"/>
        <v>77.87</v>
      </c>
      <c r="AP37" s="2433"/>
      <c r="AQ37" s="2433"/>
      <c r="AR37" s="2433"/>
      <c r="AS37" s="582">
        <f t="shared" si="40"/>
        <v>77.87</v>
      </c>
      <c r="AT37" s="2433"/>
      <c r="AU37" s="2433"/>
      <c r="AV37" s="2433"/>
      <c r="AW37" s="582">
        <f t="shared" si="41"/>
        <v>77.87</v>
      </c>
      <c r="AX37" s="2433"/>
      <c r="AY37" s="2433"/>
      <c r="AZ37" s="2433"/>
      <c r="BA37" s="2436">
        <f t="shared" si="18"/>
        <v>0</v>
      </c>
      <c r="BB37" s="2416"/>
      <c r="BC37" s="517">
        <f t="shared" si="19"/>
        <v>77.87</v>
      </c>
      <c r="BD37" s="2433"/>
      <c r="BE37" s="251">
        <f t="shared" si="42"/>
        <v>77.87</v>
      </c>
      <c r="BF37" s="1202"/>
      <c r="BH37" s="26"/>
      <c r="BI37" s="26"/>
    </row>
    <row r="38" spans="1:61" x14ac:dyDescent="0.3">
      <c r="B38" s="4442" t="s">
        <v>2289</v>
      </c>
      <c r="C38" s="2432" t="s">
        <v>354</v>
      </c>
      <c r="D38" s="5347"/>
      <c r="E38" s="5347"/>
      <c r="F38" s="5347"/>
      <c r="G38" s="5347"/>
      <c r="H38" s="5348"/>
      <c r="I38" s="5352"/>
      <c r="J38" s="5347"/>
      <c r="K38" s="5347"/>
      <c r="L38" s="5359"/>
      <c r="M38" s="5360"/>
      <c r="N38" s="5347"/>
      <c r="O38" s="5347"/>
      <c r="P38" s="5347"/>
      <c r="Q38" s="5352"/>
      <c r="R38" s="5347"/>
      <c r="S38" s="5347"/>
      <c r="T38" s="5347"/>
      <c r="U38" s="5352"/>
      <c r="V38" s="5347"/>
      <c r="W38" s="5347"/>
      <c r="X38" s="5359"/>
      <c r="Y38" s="5360"/>
      <c r="Z38" s="5119"/>
      <c r="AA38" s="5353"/>
      <c r="AB38" s="5347"/>
      <c r="AC38" s="5347"/>
      <c r="AD38" s="5347"/>
      <c r="AE38" s="5354"/>
      <c r="AF38" s="5347"/>
      <c r="AG38" s="5347"/>
      <c r="AH38" s="5347"/>
      <c r="AI38" s="5354"/>
      <c r="AJ38" s="5347"/>
      <c r="AK38" s="5347"/>
      <c r="AL38" s="5347"/>
      <c r="AM38" s="5360"/>
      <c r="AN38" s="5347"/>
      <c r="AO38" s="5354"/>
      <c r="AP38" s="5347"/>
      <c r="AQ38" s="5347">
        <v>20.28</v>
      </c>
      <c r="AR38" s="5347"/>
      <c r="AS38" s="582">
        <f t="shared" si="40"/>
        <v>20.28</v>
      </c>
      <c r="AT38" s="5347"/>
      <c r="AU38" s="5347">
        <v>28.21</v>
      </c>
      <c r="AV38" s="5347"/>
      <c r="AW38" s="582">
        <f t="shared" si="41"/>
        <v>48.49</v>
      </c>
      <c r="AX38" s="5347"/>
      <c r="AY38" s="5347"/>
      <c r="AZ38" s="5347"/>
      <c r="BA38" s="2436">
        <f t="shared" ref="BA38" si="48">+AQ38+AU38+AY38</f>
        <v>48.49</v>
      </c>
      <c r="BB38" s="2416"/>
      <c r="BC38" s="517">
        <f t="shared" ref="BC38" si="49">BA38+AM38</f>
        <v>48.49</v>
      </c>
      <c r="BD38" s="2433"/>
      <c r="BE38" s="251">
        <f t="shared" ref="BE38" si="50">+AW38+AY38</f>
        <v>48.49</v>
      </c>
      <c r="BF38" s="1202"/>
      <c r="BH38" s="26"/>
      <c r="BI38" s="26"/>
    </row>
    <row r="39" spans="1:61" x14ac:dyDescent="0.3">
      <c r="B39" s="8" t="s">
        <v>1516</v>
      </c>
      <c r="C39" s="156" t="s">
        <v>354</v>
      </c>
      <c r="D39" s="592"/>
      <c r="E39" s="592"/>
      <c r="F39" s="592"/>
      <c r="G39" s="592"/>
      <c r="H39" s="1632"/>
      <c r="I39" s="1630">
        <f t="shared" si="36"/>
        <v>0</v>
      </c>
      <c r="J39" s="592"/>
      <c r="K39" s="592"/>
      <c r="L39" s="197"/>
      <c r="M39" s="2196">
        <f t="shared" si="37"/>
        <v>0</v>
      </c>
      <c r="N39" s="592"/>
      <c r="O39" s="592"/>
      <c r="P39" s="592"/>
      <c r="Q39" s="1630">
        <f t="shared" si="7"/>
        <v>0</v>
      </c>
      <c r="R39" s="592"/>
      <c r="S39" s="592"/>
      <c r="T39" s="592"/>
      <c r="U39" s="1630">
        <f t="shared" si="8"/>
        <v>0</v>
      </c>
      <c r="V39" s="592"/>
      <c r="W39" s="592">
        <v>0.5</v>
      </c>
      <c r="X39" s="197"/>
      <c r="Y39" s="2196">
        <f t="shared" si="9"/>
        <v>0.5</v>
      </c>
      <c r="Z39" s="1185"/>
      <c r="AA39" s="517">
        <f t="shared" si="10"/>
        <v>0.5</v>
      </c>
      <c r="AB39" s="592"/>
      <c r="AC39" s="592"/>
      <c r="AD39" s="592"/>
      <c r="AE39" s="582">
        <f t="shared" si="38"/>
        <v>0.5</v>
      </c>
      <c r="AF39" s="592"/>
      <c r="AG39" s="592"/>
      <c r="AH39" s="592"/>
      <c r="AI39" s="582">
        <f t="shared" si="39"/>
        <v>0.5</v>
      </c>
      <c r="AJ39" s="592"/>
      <c r="AK39" s="592"/>
      <c r="AL39" s="592"/>
      <c r="AM39" s="2196">
        <f t="shared" si="13"/>
        <v>0</v>
      </c>
      <c r="AN39" s="592"/>
      <c r="AO39" s="582">
        <f t="shared" si="14"/>
        <v>0.5</v>
      </c>
      <c r="AP39" s="592"/>
      <c r="AQ39" s="592"/>
      <c r="AR39" s="592"/>
      <c r="AS39" s="582">
        <f t="shared" si="40"/>
        <v>0.5</v>
      </c>
      <c r="AT39" s="592"/>
      <c r="AU39" s="592"/>
      <c r="AV39" s="592"/>
      <c r="AW39" s="582">
        <f t="shared" si="41"/>
        <v>0.5</v>
      </c>
      <c r="AX39" s="592"/>
      <c r="AY39" s="592"/>
      <c r="AZ39" s="592"/>
      <c r="BA39" s="2196">
        <f t="shared" si="18"/>
        <v>0</v>
      </c>
      <c r="BB39" s="1185"/>
      <c r="BC39" s="517">
        <f t="shared" si="19"/>
        <v>0</v>
      </c>
      <c r="BD39" s="592"/>
      <c r="BE39" s="251">
        <f t="shared" si="42"/>
        <v>0.5</v>
      </c>
      <c r="BF39" s="1202"/>
      <c r="BH39" s="26"/>
      <c r="BI39" s="26"/>
    </row>
    <row r="40" spans="1:61" x14ac:dyDescent="0.3">
      <c r="B40" s="8" t="s">
        <v>1515</v>
      </c>
      <c r="C40" s="156" t="s">
        <v>354</v>
      </c>
      <c r="D40" s="592"/>
      <c r="E40" s="592"/>
      <c r="F40" s="592"/>
      <c r="G40" s="592"/>
      <c r="H40" s="1632"/>
      <c r="I40" s="1630">
        <f t="shared" si="36"/>
        <v>0</v>
      </c>
      <c r="J40" s="592"/>
      <c r="K40" s="592"/>
      <c r="L40" s="197"/>
      <c r="M40" s="2196">
        <f t="shared" si="37"/>
        <v>0</v>
      </c>
      <c r="N40" s="592"/>
      <c r="O40" s="592"/>
      <c r="P40" s="592"/>
      <c r="Q40" s="1630">
        <f t="shared" si="7"/>
        <v>0</v>
      </c>
      <c r="R40" s="592"/>
      <c r="S40" s="592"/>
      <c r="T40" s="592"/>
      <c r="U40" s="1630">
        <f t="shared" si="8"/>
        <v>0</v>
      </c>
      <c r="V40" s="592"/>
      <c r="W40" s="592">
        <v>1</v>
      </c>
      <c r="X40" s="197"/>
      <c r="Y40" s="2196">
        <f t="shared" si="9"/>
        <v>1</v>
      </c>
      <c r="Z40" s="1185"/>
      <c r="AA40" s="517">
        <f t="shared" si="10"/>
        <v>1</v>
      </c>
      <c r="AB40" s="592"/>
      <c r="AC40" s="592"/>
      <c r="AD40" s="592"/>
      <c r="AE40" s="582">
        <f t="shared" si="38"/>
        <v>1</v>
      </c>
      <c r="AF40" s="592"/>
      <c r="AG40" s="592"/>
      <c r="AH40" s="592"/>
      <c r="AI40" s="582">
        <f t="shared" si="39"/>
        <v>1</v>
      </c>
      <c r="AJ40" s="592"/>
      <c r="AK40" s="592"/>
      <c r="AL40" s="592"/>
      <c r="AM40" s="2196">
        <f t="shared" si="13"/>
        <v>0</v>
      </c>
      <c r="AN40" s="592"/>
      <c r="AO40" s="582">
        <f t="shared" si="14"/>
        <v>1</v>
      </c>
      <c r="AP40" s="592"/>
      <c r="AQ40" s="592"/>
      <c r="AR40" s="592"/>
      <c r="AS40" s="582">
        <f t="shared" si="40"/>
        <v>1</v>
      </c>
      <c r="AT40" s="592"/>
      <c r="AU40" s="592"/>
      <c r="AV40" s="592"/>
      <c r="AW40" s="582">
        <f t="shared" si="41"/>
        <v>1</v>
      </c>
      <c r="AX40" s="592"/>
      <c r="AY40" s="592"/>
      <c r="AZ40" s="592"/>
      <c r="BA40" s="2196">
        <f t="shared" si="18"/>
        <v>0</v>
      </c>
      <c r="BB40" s="1185"/>
      <c r="BC40" s="517">
        <f t="shared" si="19"/>
        <v>0</v>
      </c>
      <c r="BD40" s="592"/>
      <c r="BE40" s="251">
        <f t="shared" si="42"/>
        <v>1</v>
      </c>
      <c r="BF40" s="1202"/>
      <c r="BH40" s="26"/>
      <c r="BI40" s="26"/>
    </row>
    <row r="41" spans="1:61" x14ac:dyDescent="0.3">
      <c r="A41" s="146"/>
      <c r="B41" s="736" t="s">
        <v>717</v>
      </c>
      <c r="C41" s="202"/>
      <c r="D41" s="1337"/>
      <c r="E41" s="1337">
        <f>+SUM(E42:E45)</f>
        <v>999.31</v>
      </c>
      <c r="F41" s="1337"/>
      <c r="G41" s="1337">
        <f>+SUM(G42:G45)</f>
        <v>106.08</v>
      </c>
      <c r="H41" s="1631"/>
      <c r="I41" s="1631">
        <f t="shared" si="36"/>
        <v>1105.3899999999999</v>
      </c>
      <c r="J41" s="1337"/>
      <c r="K41" s="1337">
        <f>+SUM(K42:K45)</f>
        <v>10.09</v>
      </c>
      <c r="L41" s="1337"/>
      <c r="M41" s="2196">
        <f t="shared" si="37"/>
        <v>1115.4799999999998</v>
      </c>
      <c r="N41" s="1337"/>
      <c r="O41" s="1337">
        <f>+SUM(O42:O45)</f>
        <v>1010.86</v>
      </c>
      <c r="P41" s="1337"/>
      <c r="Q41" s="1630">
        <f t="shared" si="7"/>
        <v>2126.3399999999997</v>
      </c>
      <c r="R41" s="1337"/>
      <c r="S41" s="1337">
        <f>+SUM(S42:S45)</f>
        <v>496.32</v>
      </c>
      <c r="T41" s="1337"/>
      <c r="U41" s="1630">
        <f t="shared" si="8"/>
        <v>2622.66</v>
      </c>
      <c r="V41" s="1337"/>
      <c r="W41" s="1337">
        <f>+SUM(W42:W45)</f>
        <v>598.43000000000006</v>
      </c>
      <c r="X41" s="1337"/>
      <c r="Y41" s="2196">
        <f t="shared" si="9"/>
        <v>2105.61</v>
      </c>
      <c r="Z41" s="1337"/>
      <c r="AA41" s="517">
        <f t="shared" si="10"/>
        <v>3221.09</v>
      </c>
      <c r="AB41" s="1337"/>
      <c r="AC41" s="1337">
        <f>+SUM(AC42:AC45)</f>
        <v>422.38</v>
      </c>
      <c r="AD41" s="1337"/>
      <c r="AE41" s="1337">
        <f t="shared" si="38"/>
        <v>3643.4700000000003</v>
      </c>
      <c r="AF41" s="1337"/>
      <c r="AG41" s="1337">
        <f>+SUM(AG42:AG45)</f>
        <v>1498.65</v>
      </c>
      <c r="AH41" s="1337"/>
      <c r="AI41" s="1337">
        <f t="shared" si="39"/>
        <v>5142.1200000000008</v>
      </c>
      <c r="AJ41" s="1337"/>
      <c r="AK41" s="1337">
        <f>+SUM(AK42:AK45)</f>
        <v>1993.44</v>
      </c>
      <c r="AL41" s="1337"/>
      <c r="AM41" s="2196">
        <f t="shared" si="13"/>
        <v>3914.4700000000003</v>
      </c>
      <c r="AN41" s="1337"/>
      <c r="AO41" s="1337">
        <f t="shared" si="14"/>
        <v>7135.5600000000013</v>
      </c>
      <c r="AP41" s="1337"/>
      <c r="AQ41" s="1337">
        <f>+SUM(AQ42:AQ45)</f>
        <v>2530.9499999999998</v>
      </c>
      <c r="AR41" s="1337"/>
      <c r="AS41" s="1337">
        <f t="shared" si="40"/>
        <v>9666.510000000002</v>
      </c>
      <c r="AT41" s="1337"/>
      <c r="AU41" s="1337">
        <f>+SUM(AU42:AU45)</f>
        <v>951.22000000000014</v>
      </c>
      <c r="AV41" s="1337"/>
      <c r="AW41" s="1337">
        <f t="shared" si="41"/>
        <v>10617.730000000001</v>
      </c>
      <c r="AX41" s="1337"/>
      <c r="AY41" s="1337">
        <f>+SUM(AY42:AY45)</f>
        <v>1690.7299999999998</v>
      </c>
      <c r="AZ41" s="1337"/>
      <c r="BA41" s="2196">
        <f t="shared" si="18"/>
        <v>5172.8999999999996</v>
      </c>
      <c r="BB41" s="1337"/>
      <c r="BC41" s="517">
        <f t="shared" si="19"/>
        <v>9087.369999999999</v>
      </c>
      <c r="BD41" s="1337"/>
      <c r="BE41" s="1337">
        <f t="shared" si="42"/>
        <v>12308.460000000001</v>
      </c>
      <c r="BF41" s="1202"/>
      <c r="BH41" s="26"/>
      <c r="BI41" s="26"/>
    </row>
    <row r="42" spans="1:61" x14ac:dyDescent="0.3">
      <c r="B42" s="8" t="s">
        <v>1091</v>
      </c>
      <c r="C42" s="156" t="s">
        <v>354</v>
      </c>
      <c r="D42" s="591"/>
      <c r="E42" s="592"/>
      <c r="F42" s="592"/>
      <c r="G42" s="592"/>
      <c r="H42" s="1632"/>
      <c r="I42" s="1632">
        <f t="shared" si="36"/>
        <v>0</v>
      </c>
      <c r="J42" s="592"/>
      <c r="K42" s="592"/>
      <c r="L42" s="197"/>
      <c r="M42" s="2196">
        <f t="shared" si="37"/>
        <v>0</v>
      </c>
      <c r="N42" s="592"/>
      <c r="O42" s="592"/>
      <c r="P42" s="592"/>
      <c r="Q42" s="1630">
        <f t="shared" si="7"/>
        <v>0</v>
      </c>
      <c r="R42" s="592"/>
      <c r="S42" s="592"/>
      <c r="T42" s="592"/>
      <c r="U42" s="1630">
        <f t="shared" si="8"/>
        <v>0</v>
      </c>
      <c r="V42" s="592"/>
      <c r="W42" s="592">
        <v>239.28</v>
      </c>
      <c r="X42" s="197"/>
      <c r="Y42" s="2196">
        <f t="shared" si="9"/>
        <v>239.28</v>
      </c>
      <c r="Z42" s="592"/>
      <c r="AA42" s="517">
        <f t="shared" si="10"/>
        <v>239.28</v>
      </c>
      <c r="AB42" s="592"/>
      <c r="AC42" s="592">
        <v>260.27</v>
      </c>
      <c r="AD42" s="592"/>
      <c r="AE42" s="582">
        <f t="shared" si="38"/>
        <v>499.54999999999995</v>
      </c>
      <c r="AF42" s="592"/>
      <c r="AG42" s="592">
        <v>1000</v>
      </c>
      <c r="AH42" s="592"/>
      <c r="AI42" s="582">
        <f t="shared" si="39"/>
        <v>1499.55</v>
      </c>
      <c r="AJ42" s="592"/>
      <c r="AK42" s="592">
        <v>499.89</v>
      </c>
      <c r="AL42" s="592"/>
      <c r="AM42" s="2196">
        <f t="shared" si="13"/>
        <v>1760.1599999999999</v>
      </c>
      <c r="AN42" s="592"/>
      <c r="AO42" s="582">
        <f t="shared" si="14"/>
        <v>1999.44</v>
      </c>
      <c r="AP42" s="592"/>
      <c r="AQ42" s="592">
        <v>997.06000000000017</v>
      </c>
      <c r="AR42" s="592"/>
      <c r="AS42" s="582">
        <f t="shared" si="40"/>
        <v>2996.5</v>
      </c>
      <c r="AT42" s="592"/>
      <c r="AU42" s="592"/>
      <c r="AV42" s="592"/>
      <c r="AW42" s="582">
        <f t="shared" si="41"/>
        <v>2996.5</v>
      </c>
      <c r="AX42" s="592"/>
      <c r="AY42" s="592">
        <v>999.50999999999976</v>
      </c>
      <c r="AZ42" s="592"/>
      <c r="BA42" s="2196">
        <f t="shared" si="18"/>
        <v>1996.57</v>
      </c>
      <c r="BB42" s="592"/>
      <c r="BC42" s="517">
        <f t="shared" si="19"/>
        <v>3756.7299999999996</v>
      </c>
      <c r="BD42" s="592"/>
      <c r="BE42" s="251">
        <f t="shared" si="42"/>
        <v>3996.0099999999998</v>
      </c>
      <c r="BF42" s="1202"/>
      <c r="BH42" s="26"/>
      <c r="BI42" s="26"/>
    </row>
    <row r="43" spans="1:61" x14ac:dyDescent="0.3">
      <c r="B43" s="8" t="s">
        <v>1407</v>
      </c>
      <c r="C43" s="156" t="s">
        <v>354</v>
      </c>
      <c r="D43" s="591"/>
      <c r="E43" s="592"/>
      <c r="F43" s="592"/>
      <c r="G43" s="592">
        <v>19.7</v>
      </c>
      <c r="H43" s="1632"/>
      <c r="I43" s="1632">
        <f t="shared" si="36"/>
        <v>19.7</v>
      </c>
      <c r="J43" s="592"/>
      <c r="K43" s="592"/>
      <c r="L43" s="197"/>
      <c r="M43" s="2196">
        <f t="shared" si="37"/>
        <v>19.7</v>
      </c>
      <c r="N43" s="592"/>
      <c r="O43" s="592">
        <v>14.46</v>
      </c>
      <c r="P43" s="592"/>
      <c r="Q43" s="1630">
        <f t="shared" si="7"/>
        <v>34.159999999999997</v>
      </c>
      <c r="R43" s="592"/>
      <c r="S43" s="592"/>
      <c r="T43" s="592"/>
      <c r="U43" s="1630">
        <f t="shared" si="8"/>
        <v>34.159999999999997</v>
      </c>
      <c r="V43" s="592"/>
      <c r="W43" s="592">
        <v>23.98</v>
      </c>
      <c r="X43" s="197"/>
      <c r="Y43" s="2196">
        <f t="shared" si="9"/>
        <v>38.44</v>
      </c>
      <c r="Z43" s="592"/>
      <c r="AA43" s="517">
        <f t="shared" si="10"/>
        <v>58.14</v>
      </c>
      <c r="AB43" s="592"/>
      <c r="AC43" s="592"/>
      <c r="AD43" s="592"/>
      <c r="AE43" s="582">
        <f t="shared" si="38"/>
        <v>58.14</v>
      </c>
      <c r="AF43" s="592"/>
      <c r="AG43" s="592"/>
      <c r="AH43" s="592"/>
      <c r="AI43" s="582">
        <f t="shared" si="39"/>
        <v>58.14</v>
      </c>
      <c r="AJ43" s="592"/>
      <c r="AK43" s="592"/>
      <c r="AL43" s="592"/>
      <c r="AM43" s="2196">
        <f t="shared" si="13"/>
        <v>0</v>
      </c>
      <c r="AN43" s="592"/>
      <c r="AO43" s="582">
        <f t="shared" si="14"/>
        <v>58.14</v>
      </c>
      <c r="AP43" s="592"/>
      <c r="AQ43" s="592">
        <v>36.82</v>
      </c>
      <c r="AR43" s="592"/>
      <c r="AS43" s="582">
        <f t="shared" si="40"/>
        <v>94.960000000000008</v>
      </c>
      <c r="AT43" s="592"/>
      <c r="AU43" s="592">
        <v>416.56000000000006</v>
      </c>
      <c r="AV43" s="592"/>
      <c r="AW43" s="582">
        <f t="shared" si="41"/>
        <v>511.5200000000001</v>
      </c>
      <c r="AX43" s="592"/>
      <c r="AY43" s="592">
        <v>64.63</v>
      </c>
      <c r="AZ43" s="592"/>
      <c r="BA43" s="2196">
        <f t="shared" si="18"/>
        <v>518.01</v>
      </c>
      <c r="BB43" s="592"/>
      <c r="BC43" s="517">
        <f t="shared" si="19"/>
        <v>518.01</v>
      </c>
      <c r="BD43" s="592"/>
      <c r="BE43" s="251">
        <f t="shared" si="42"/>
        <v>576.15000000000009</v>
      </c>
      <c r="BF43" s="1202"/>
      <c r="BH43" s="26"/>
      <c r="BI43" s="26"/>
    </row>
    <row r="44" spans="1:61" ht="15.75" customHeight="1" x14ac:dyDescent="0.3">
      <c r="B44" s="8" t="s">
        <v>1325</v>
      </c>
      <c r="C44" s="156" t="s">
        <v>354</v>
      </c>
      <c r="D44" s="592"/>
      <c r="E44" s="592"/>
      <c r="F44" s="592"/>
      <c r="G44" s="592">
        <v>86.38</v>
      </c>
      <c r="H44" s="1632"/>
      <c r="I44" s="1632">
        <f t="shared" si="36"/>
        <v>86.38</v>
      </c>
      <c r="J44" s="592"/>
      <c r="K44" s="592">
        <v>10.09</v>
      </c>
      <c r="L44" s="197"/>
      <c r="M44" s="2196">
        <f t="shared" si="37"/>
        <v>96.47</v>
      </c>
      <c r="N44" s="592"/>
      <c r="O44" s="592"/>
      <c r="P44" s="592"/>
      <c r="Q44" s="1630">
        <f t="shared" si="7"/>
        <v>96.47</v>
      </c>
      <c r="R44" s="592"/>
      <c r="S44" s="592"/>
      <c r="T44" s="592"/>
      <c r="U44" s="1630">
        <f t="shared" si="8"/>
        <v>96.47</v>
      </c>
      <c r="V44" s="592"/>
      <c r="W44" s="592"/>
      <c r="X44" s="197"/>
      <c r="Y44" s="2196">
        <f t="shared" si="9"/>
        <v>0</v>
      </c>
      <c r="Z44" s="592"/>
      <c r="AA44" s="517">
        <f t="shared" si="10"/>
        <v>96.47</v>
      </c>
      <c r="AB44" s="592"/>
      <c r="AC44" s="592"/>
      <c r="AD44" s="592"/>
      <c r="AE44" s="582">
        <f t="shared" si="38"/>
        <v>96.47</v>
      </c>
      <c r="AF44" s="592"/>
      <c r="AG44" s="592"/>
      <c r="AH44" s="592"/>
      <c r="AI44" s="582">
        <f t="shared" si="39"/>
        <v>96.47</v>
      </c>
      <c r="AJ44" s="592"/>
      <c r="AK44" s="592"/>
      <c r="AL44" s="592"/>
      <c r="AM44" s="2196">
        <f t="shared" si="13"/>
        <v>0</v>
      </c>
      <c r="AN44" s="592"/>
      <c r="AO44" s="582">
        <f t="shared" si="14"/>
        <v>96.47</v>
      </c>
      <c r="AP44" s="592"/>
      <c r="AQ44" s="592"/>
      <c r="AR44" s="592"/>
      <c r="AS44" s="582">
        <f t="shared" si="40"/>
        <v>96.47</v>
      </c>
      <c r="AT44" s="592"/>
      <c r="AU44" s="592">
        <v>35.590000000000003</v>
      </c>
      <c r="AV44" s="592"/>
      <c r="AW44" s="582">
        <f t="shared" si="41"/>
        <v>132.06</v>
      </c>
      <c r="AX44" s="592"/>
      <c r="AY44" s="592">
        <v>127.03</v>
      </c>
      <c r="AZ44" s="592"/>
      <c r="BA44" s="2196">
        <f t="shared" si="18"/>
        <v>162.62</v>
      </c>
      <c r="BB44" s="592"/>
      <c r="BC44" s="517">
        <f t="shared" si="19"/>
        <v>162.62</v>
      </c>
      <c r="BD44" s="592"/>
      <c r="BE44" s="251">
        <f t="shared" si="42"/>
        <v>259.09000000000003</v>
      </c>
      <c r="BF44" s="1202"/>
      <c r="BH44" s="26"/>
      <c r="BI44" s="26"/>
    </row>
    <row r="45" spans="1:61" x14ac:dyDescent="0.3">
      <c r="A45" s="146"/>
      <c r="B45" s="8" t="s">
        <v>718</v>
      </c>
      <c r="C45" s="156" t="s">
        <v>354</v>
      </c>
      <c r="D45" s="592"/>
      <c r="E45" s="1185">
        <v>999.31</v>
      </c>
      <c r="F45" s="1185"/>
      <c r="G45" s="1185"/>
      <c r="H45" s="1630"/>
      <c r="I45" s="1630">
        <f t="shared" si="36"/>
        <v>999.31</v>
      </c>
      <c r="J45" s="1185"/>
      <c r="K45" s="1185"/>
      <c r="L45" s="197"/>
      <c r="M45" s="2196">
        <f t="shared" si="37"/>
        <v>999.31</v>
      </c>
      <c r="N45" s="1185"/>
      <c r="O45" s="1185">
        <v>996.4</v>
      </c>
      <c r="P45" s="1185"/>
      <c r="Q45" s="1630">
        <f t="shared" si="7"/>
        <v>1995.71</v>
      </c>
      <c r="R45" s="1185"/>
      <c r="S45" s="1185">
        <v>496.32</v>
      </c>
      <c r="T45" s="1185"/>
      <c r="U45" s="1630">
        <f t="shared" si="8"/>
        <v>2492.0300000000002</v>
      </c>
      <c r="V45" s="1185"/>
      <c r="W45" s="1185">
        <v>335.17</v>
      </c>
      <c r="X45" s="197"/>
      <c r="Y45" s="2196">
        <f t="shared" si="9"/>
        <v>1827.89</v>
      </c>
      <c r="Z45" s="1185"/>
      <c r="AA45" s="539">
        <f t="shared" si="10"/>
        <v>2827.2</v>
      </c>
      <c r="AB45" s="1185"/>
      <c r="AC45" s="1185">
        <v>162.11000000000001</v>
      </c>
      <c r="AD45" s="1185"/>
      <c r="AE45" s="775">
        <f t="shared" si="38"/>
        <v>2989.31</v>
      </c>
      <c r="AF45" s="1185"/>
      <c r="AG45" s="1185">
        <v>498.65</v>
      </c>
      <c r="AH45" s="1185"/>
      <c r="AI45" s="775">
        <f t="shared" si="39"/>
        <v>3487.96</v>
      </c>
      <c r="AJ45" s="1185"/>
      <c r="AK45" s="1185">
        <v>1493.55</v>
      </c>
      <c r="AL45" s="1185"/>
      <c r="AM45" s="2196">
        <f t="shared" si="13"/>
        <v>2154.31</v>
      </c>
      <c r="AN45" s="1185"/>
      <c r="AO45" s="775">
        <f t="shared" si="14"/>
        <v>4981.51</v>
      </c>
      <c r="AP45" s="1185"/>
      <c r="AQ45" s="1185">
        <v>1497.07</v>
      </c>
      <c r="AR45" s="1185"/>
      <c r="AS45" s="775">
        <f t="shared" si="40"/>
        <v>6478.58</v>
      </c>
      <c r="AT45" s="1185"/>
      <c r="AU45" s="1185">
        <v>499.07000000000005</v>
      </c>
      <c r="AV45" s="1185"/>
      <c r="AW45" s="775">
        <f t="shared" si="41"/>
        <v>6977.65</v>
      </c>
      <c r="AX45" s="1185"/>
      <c r="AY45" s="1185">
        <v>499.56</v>
      </c>
      <c r="AZ45" s="1185"/>
      <c r="BA45" s="2196">
        <f t="shared" si="18"/>
        <v>2495.6999999999998</v>
      </c>
      <c r="BB45" s="1185"/>
      <c r="BC45" s="539">
        <f t="shared" si="19"/>
        <v>4650.01</v>
      </c>
      <c r="BD45" s="1185"/>
      <c r="BE45" s="371">
        <f t="shared" si="42"/>
        <v>7477.21</v>
      </c>
      <c r="BF45" s="1202"/>
      <c r="BH45" s="26"/>
      <c r="BI45" s="26"/>
    </row>
    <row r="46" spans="1:61" x14ac:dyDescent="0.3">
      <c r="B46" s="736" t="s">
        <v>719</v>
      </c>
      <c r="C46" s="202"/>
      <c r="D46" s="1337"/>
      <c r="E46" s="1337">
        <f>+SUM(E47:E50)</f>
        <v>44.989999999999995</v>
      </c>
      <c r="F46" s="1337"/>
      <c r="G46" s="1337">
        <f>+SUM(G47:G50)</f>
        <v>0</v>
      </c>
      <c r="H46" s="1631"/>
      <c r="I46" s="1631">
        <f t="shared" si="36"/>
        <v>44.989999999999995</v>
      </c>
      <c r="J46" s="1337"/>
      <c r="K46" s="1337">
        <f>+SUM(K47:K50)</f>
        <v>44.959999999999994</v>
      </c>
      <c r="L46" s="1337"/>
      <c r="M46" s="2196">
        <f t="shared" si="37"/>
        <v>89.949999999999989</v>
      </c>
      <c r="N46" s="1337"/>
      <c r="O46" s="1337">
        <f>+SUM(O47:O50)</f>
        <v>52.61</v>
      </c>
      <c r="P46" s="1337"/>
      <c r="Q46" s="1630">
        <f t="shared" si="7"/>
        <v>142.56</v>
      </c>
      <c r="R46" s="1337"/>
      <c r="S46" s="1337">
        <f>+SUM(S47:S50)</f>
        <v>0</v>
      </c>
      <c r="T46" s="1337"/>
      <c r="U46" s="1630">
        <f t="shared" si="8"/>
        <v>142.56</v>
      </c>
      <c r="V46" s="1337"/>
      <c r="W46" s="1337">
        <f>+SUM(W47:W50)</f>
        <v>0</v>
      </c>
      <c r="X46" s="1337"/>
      <c r="Y46" s="2196">
        <f t="shared" si="9"/>
        <v>52.61</v>
      </c>
      <c r="Z46" s="1337"/>
      <c r="AA46" s="517">
        <f t="shared" si="10"/>
        <v>142.56</v>
      </c>
      <c r="AB46" s="1337"/>
      <c r="AC46" s="1337">
        <f>+SUM(AC47:AC50)</f>
        <v>24.98</v>
      </c>
      <c r="AD46" s="1337"/>
      <c r="AE46" s="1337">
        <f t="shared" si="38"/>
        <v>167.54</v>
      </c>
      <c r="AF46" s="1337"/>
      <c r="AG46" s="1337">
        <f>+SUM(AG47:AG50)</f>
        <v>49.98</v>
      </c>
      <c r="AH46" s="1337"/>
      <c r="AI46" s="1337">
        <f t="shared" si="39"/>
        <v>217.51999999999998</v>
      </c>
      <c r="AJ46" s="1337"/>
      <c r="AK46" s="1337">
        <f>+SUM(AK47:AK50)</f>
        <v>50.06</v>
      </c>
      <c r="AL46" s="1337"/>
      <c r="AM46" s="2196">
        <f t="shared" si="13"/>
        <v>125.02</v>
      </c>
      <c r="AN46" s="1337"/>
      <c r="AO46" s="1337">
        <f t="shared" si="14"/>
        <v>267.58</v>
      </c>
      <c r="AP46" s="1337"/>
      <c r="AQ46" s="1337">
        <f>+SUM(AQ47:AQ50)</f>
        <v>115.35</v>
      </c>
      <c r="AR46" s="1337"/>
      <c r="AS46" s="1337">
        <f t="shared" si="40"/>
        <v>382.92999999999995</v>
      </c>
      <c r="AT46" s="1337"/>
      <c r="AU46" s="1337">
        <f>+SUM(AU47:AU50)</f>
        <v>59.489999999999995</v>
      </c>
      <c r="AV46" s="1337"/>
      <c r="AW46" s="1337">
        <f t="shared" si="41"/>
        <v>442.41999999999996</v>
      </c>
      <c r="AX46" s="1337"/>
      <c r="AY46" s="1337">
        <f>+SUM(AY47:AY50)</f>
        <v>19.98</v>
      </c>
      <c r="AZ46" s="1337"/>
      <c r="BA46" s="2196">
        <f t="shared" si="18"/>
        <v>194.81999999999996</v>
      </c>
      <c r="BB46" s="1337"/>
      <c r="BC46" s="517">
        <f t="shared" si="19"/>
        <v>319.83999999999997</v>
      </c>
      <c r="BD46" s="1337"/>
      <c r="BE46" s="1337">
        <f t="shared" si="42"/>
        <v>462.4</v>
      </c>
      <c r="BF46" s="1202"/>
      <c r="BH46" s="26"/>
      <c r="BI46" s="26"/>
    </row>
    <row r="47" spans="1:61" x14ac:dyDescent="0.3">
      <c r="B47" s="8" t="s">
        <v>904</v>
      </c>
      <c r="C47" s="156" t="s">
        <v>354</v>
      </c>
      <c r="D47" s="592"/>
      <c r="E47" s="1185">
        <v>25</v>
      </c>
      <c r="F47" s="1185"/>
      <c r="G47" s="1185"/>
      <c r="H47" s="1630"/>
      <c r="I47" s="1630">
        <f t="shared" si="36"/>
        <v>25</v>
      </c>
      <c r="J47" s="1185"/>
      <c r="K47" s="1185"/>
      <c r="L47" s="197"/>
      <c r="M47" s="1135">
        <f t="shared" si="37"/>
        <v>25</v>
      </c>
      <c r="N47" s="1185"/>
      <c r="O47" s="1185">
        <v>24.99</v>
      </c>
      <c r="P47" s="1185"/>
      <c r="Q47" s="1630">
        <f t="shared" si="7"/>
        <v>49.989999999999995</v>
      </c>
      <c r="R47" s="1185"/>
      <c r="S47" s="1185"/>
      <c r="T47" s="1185"/>
      <c r="U47" s="1630">
        <f t="shared" si="8"/>
        <v>49.989999999999995</v>
      </c>
      <c r="V47" s="1185"/>
      <c r="W47" s="1185"/>
      <c r="X47" s="197"/>
      <c r="Y47" s="1135">
        <f t="shared" si="9"/>
        <v>24.99</v>
      </c>
      <c r="Z47" s="1185"/>
      <c r="AA47" s="539">
        <f t="shared" si="10"/>
        <v>49.989999999999995</v>
      </c>
      <c r="AB47" s="1185"/>
      <c r="AC47" s="1185">
        <v>24.98</v>
      </c>
      <c r="AD47" s="1185"/>
      <c r="AE47" s="775">
        <f t="shared" si="38"/>
        <v>74.97</v>
      </c>
      <c r="AF47" s="1185"/>
      <c r="AG47" s="1185"/>
      <c r="AH47" s="1185"/>
      <c r="AI47" s="775">
        <f t="shared" si="39"/>
        <v>74.97</v>
      </c>
      <c r="AJ47" s="1185"/>
      <c r="AK47" s="1185">
        <v>24.99</v>
      </c>
      <c r="AL47" s="1185"/>
      <c r="AM47" s="1135">
        <f t="shared" si="13"/>
        <v>49.97</v>
      </c>
      <c r="AN47" s="1185"/>
      <c r="AO47" s="775">
        <f t="shared" si="14"/>
        <v>99.96</v>
      </c>
      <c r="AP47" s="1185"/>
      <c r="AQ47" s="1185">
        <v>24.95</v>
      </c>
      <c r="AR47" s="1185"/>
      <c r="AS47" s="775">
        <f t="shared" si="40"/>
        <v>124.91</v>
      </c>
      <c r="AT47" s="1185"/>
      <c r="AU47" s="1185">
        <v>24.98</v>
      </c>
      <c r="AV47" s="1185"/>
      <c r="AW47" s="775">
        <f t="shared" si="41"/>
        <v>149.88999999999999</v>
      </c>
      <c r="AX47" s="1185"/>
      <c r="AY47" s="1185"/>
      <c r="AZ47" s="1185"/>
      <c r="BA47" s="1135">
        <f t="shared" si="18"/>
        <v>49.93</v>
      </c>
      <c r="BB47" s="1185"/>
      <c r="BC47" s="539">
        <f t="shared" si="19"/>
        <v>99.9</v>
      </c>
      <c r="BD47" s="1185"/>
      <c r="BE47" s="371">
        <f t="shared" si="42"/>
        <v>149.88999999999999</v>
      </c>
      <c r="BF47" s="1202"/>
      <c r="BH47" s="26"/>
      <c r="BI47" s="26"/>
    </row>
    <row r="48" spans="1:61" x14ac:dyDescent="0.3">
      <c r="B48" s="8" t="s">
        <v>1255</v>
      </c>
      <c r="C48" s="156" t="s">
        <v>354</v>
      </c>
      <c r="D48" s="592"/>
      <c r="E48" s="1185">
        <v>19.989999999999998</v>
      </c>
      <c r="F48" s="1185"/>
      <c r="G48" s="1185"/>
      <c r="H48" s="1630"/>
      <c r="I48" s="1630">
        <f t="shared" si="36"/>
        <v>19.989999999999998</v>
      </c>
      <c r="J48" s="1185"/>
      <c r="K48" s="1185"/>
      <c r="L48" s="197"/>
      <c r="M48" s="1135">
        <f t="shared" si="37"/>
        <v>19.989999999999998</v>
      </c>
      <c r="N48" s="1185"/>
      <c r="O48" s="1185"/>
      <c r="P48" s="1185"/>
      <c r="Q48" s="1630">
        <f t="shared" si="7"/>
        <v>19.989999999999998</v>
      </c>
      <c r="R48" s="1185"/>
      <c r="S48" s="1185"/>
      <c r="T48" s="1185"/>
      <c r="U48" s="1630">
        <f t="shared" si="8"/>
        <v>19.989999999999998</v>
      </c>
      <c r="V48" s="1185"/>
      <c r="W48" s="1185"/>
      <c r="X48" s="197"/>
      <c r="Y48" s="1135">
        <f t="shared" si="9"/>
        <v>0</v>
      </c>
      <c r="Z48" s="1185"/>
      <c r="AA48" s="539">
        <f t="shared" si="10"/>
        <v>19.989999999999998</v>
      </c>
      <c r="AB48" s="1185"/>
      <c r="AC48" s="1185"/>
      <c r="AD48" s="1185"/>
      <c r="AE48" s="775">
        <f t="shared" si="38"/>
        <v>19.989999999999998</v>
      </c>
      <c r="AF48" s="1185"/>
      <c r="AG48" s="1185"/>
      <c r="AH48" s="1185"/>
      <c r="AI48" s="775">
        <f t="shared" si="39"/>
        <v>19.989999999999998</v>
      </c>
      <c r="AJ48" s="1185"/>
      <c r="AK48" s="1185"/>
      <c r="AL48" s="1185"/>
      <c r="AM48" s="1135">
        <f t="shared" si="13"/>
        <v>0</v>
      </c>
      <c r="AN48" s="1185"/>
      <c r="AO48" s="775">
        <f t="shared" si="14"/>
        <v>19.989999999999998</v>
      </c>
      <c r="AP48" s="1185"/>
      <c r="AQ48" s="1185"/>
      <c r="AR48" s="1185"/>
      <c r="AS48" s="775">
        <f t="shared" si="40"/>
        <v>19.989999999999998</v>
      </c>
      <c r="AT48" s="1185"/>
      <c r="AU48" s="1185"/>
      <c r="AV48" s="1185"/>
      <c r="AW48" s="775">
        <f t="shared" si="41"/>
        <v>19.989999999999998</v>
      </c>
      <c r="AX48" s="1185"/>
      <c r="AY48" s="1185"/>
      <c r="AZ48" s="1185"/>
      <c r="BA48" s="1135">
        <f t="shared" si="18"/>
        <v>0</v>
      </c>
      <c r="BB48" s="1185"/>
      <c r="BC48" s="539">
        <f t="shared" si="19"/>
        <v>0</v>
      </c>
      <c r="BD48" s="1185"/>
      <c r="BE48" s="371">
        <f t="shared" si="42"/>
        <v>19.989999999999998</v>
      </c>
      <c r="BF48" s="1202"/>
      <c r="BH48" s="26"/>
      <c r="BI48" s="26"/>
    </row>
    <row r="49" spans="1:61" x14ac:dyDescent="0.3">
      <c r="B49" s="8" t="s">
        <v>1517</v>
      </c>
      <c r="C49" s="156" t="s">
        <v>354</v>
      </c>
      <c r="D49" s="592"/>
      <c r="E49" s="1185"/>
      <c r="F49" s="1185"/>
      <c r="G49" s="1185"/>
      <c r="H49" s="1630"/>
      <c r="I49" s="1630">
        <f t="shared" si="36"/>
        <v>0</v>
      </c>
      <c r="J49" s="1185"/>
      <c r="K49" s="1185">
        <v>19.989999999999998</v>
      </c>
      <c r="L49" s="197"/>
      <c r="M49" s="1135">
        <f t="shared" si="37"/>
        <v>19.989999999999998</v>
      </c>
      <c r="N49" s="1185"/>
      <c r="O49" s="1185"/>
      <c r="P49" s="1185"/>
      <c r="Q49" s="1630">
        <f t="shared" si="7"/>
        <v>19.989999999999998</v>
      </c>
      <c r="R49" s="1185"/>
      <c r="S49" s="1185"/>
      <c r="T49" s="1185"/>
      <c r="U49" s="1630">
        <f t="shared" si="8"/>
        <v>19.989999999999998</v>
      </c>
      <c r="V49" s="1185"/>
      <c r="W49" s="1185"/>
      <c r="X49" s="197"/>
      <c r="Y49" s="1135">
        <f t="shared" si="9"/>
        <v>0</v>
      </c>
      <c r="Z49" s="1185"/>
      <c r="AA49" s="539">
        <f t="shared" si="10"/>
        <v>19.989999999999998</v>
      </c>
      <c r="AB49" s="1185"/>
      <c r="AC49" s="1185"/>
      <c r="AD49" s="1185"/>
      <c r="AE49" s="775">
        <f t="shared" si="38"/>
        <v>19.989999999999998</v>
      </c>
      <c r="AF49" s="1185"/>
      <c r="AG49" s="1185"/>
      <c r="AH49" s="1185"/>
      <c r="AI49" s="775">
        <f t="shared" si="39"/>
        <v>19.989999999999998</v>
      </c>
      <c r="AJ49" s="1185"/>
      <c r="AK49" s="1185">
        <v>25.07</v>
      </c>
      <c r="AL49" s="1185"/>
      <c r="AM49" s="1135">
        <f t="shared" si="13"/>
        <v>25.07</v>
      </c>
      <c r="AN49" s="1185"/>
      <c r="AO49" s="775">
        <f t="shared" si="14"/>
        <v>45.06</v>
      </c>
      <c r="AP49" s="1185"/>
      <c r="AQ49" s="1185">
        <v>24.93</v>
      </c>
      <c r="AR49" s="1185"/>
      <c r="AS49" s="775">
        <f t="shared" si="40"/>
        <v>69.990000000000009</v>
      </c>
      <c r="AT49" s="1185"/>
      <c r="AU49" s="1185"/>
      <c r="AV49" s="1185"/>
      <c r="AW49" s="775">
        <f t="shared" si="41"/>
        <v>69.990000000000009</v>
      </c>
      <c r="AX49" s="1185"/>
      <c r="AY49" s="1185">
        <v>19.98</v>
      </c>
      <c r="AZ49" s="1185"/>
      <c r="BA49" s="1135">
        <f t="shared" si="18"/>
        <v>44.91</v>
      </c>
      <c r="BB49" s="1185"/>
      <c r="BC49" s="539">
        <f t="shared" si="19"/>
        <v>69.97999999999999</v>
      </c>
      <c r="BD49" s="1185"/>
      <c r="BE49" s="371">
        <f t="shared" si="42"/>
        <v>89.970000000000013</v>
      </c>
      <c r="BF49" s="1202"/>
      <c r="BH49" s="26"/>
      <c r="BI49" s="26"/>
    </row>
    <row r="50" spans="1:61" x14ac:dyDescent="0.3">
      <c r="A50" s="146"/>
      <c r="B50" s="8" t="s">
        <v>652</v>
      </c>
      <c r="C50" s="156" t="s">
        <v>354</v>
      </c>
      <c r="D50" s="592"/>
      <c r="E50" s="1185"/>
      <c r="F50" s="1185"/>
      <c r="G50" s="1185"/>
      <c r="H50" s="1630"/>
      <c r="I50" s="1630">
        <f t="shared" si="36"/>
        <v>0</v>
      </c>
      <c r="J50" s="1185"/>
      <c r="K50" s="1185">
        <v>24.97</v>
      </c>
      <c r="L50" s="197"/>
      <c r="M50" s="1135">
        <f t="shared" si="37"/>
        <v>24.97</v>
      </c>
      <c r="N50" s="1185"/>
      <c r="O50" s="1185">
        <v>27.62</v>
      </c>
      <c r="P50" s="1185"/>
      <c r="Q50" s="1630">
        <f t="shared" si="7"/>
        <v>52.59</v>
      </c>
      <c r="R50" s="1185"/>
      <c r="S50" s="1185"/>
      <c r="T50" s="1185"/>
      <c r="U50" s="1630">
        <f t="shared" si="8"/>
        <v>52.59</v>
      </c>
      <c r="V50" s="1185"/>
      <c r="W50" s="1185"/>
      <c r="X50" s="197"/>
      <c r="Y50" s="1135">
        <f t="shared" si="9"/>
        <v>27.62</v>
      </c>
      <c r="Z50" s="1185"/>
      <c r="AA50" s="539">
        <f t="shared" si="10"/>
        <v>52.59</v>
      </c>
      <c r="AB50" s="1185"/>
      <c r="AC50" s="1185"/>
      <c r="AD50" s="1185"/>
      <c r="AE50" s="775">
        <f t="shared" si="38"/>
        <v>52.59</v>
      </c>
      <c r="AF50" s="1185"/>
      <c r="AG50" s="1185">
        <v>49.98</v>
      </c>
      <c r="AH50" s="1185"/>
      <c r="AI50" s="775">
        <f t="shared" si="39"/>
        <v>102.57</v>
      </c>
      <c r="AJ50" s="1185"/>
      <c r="AK50" s="1185"/>
      <c r="AL50" s="1185"/>
      <c r="AM50" s="1135">
        <f t="shared" si="13"/>
        <v>49.98</v>
      </c>
      <c r="AN50" s="1185"/>
      <c r="AO50" s="775">
        <f t="shared" si="14"/>
        <v>102.57</v>
      </c>
      <c r="AP50" s="1185"/>
      <c r="AQ50" s="1185">
        <v>65.47</v>
      </c>
      <c r="AR50" s="1185"/>
      <c r="AS50" s="775">
        <f t="shared" si="40"/>
        <v>168.04</v>
      </c>
      <c r="AT50" s="1185"/>
      <c r="AU50" s="1185">
        <v>34.51</v>
      </c>
      <c r="AV50" s="1185"/>
      <c r="AW50" s="775">
        <f t="shared" si="41"/>
        <v>202.54999999999998</v>
      </c>
      <c r="AX50" s="1185"/>
      <c r="AY50" s="1185"/>
      <c r="AZ50" s="1185"/>
      <c r="BA50" s="1135">
        <f t="shared" si="18"/>
        <v>99.97999999999999</v>
      </c>
      <c r="BB50" s="1185"/>
      <c r="BC50" s="539">
        <f t="shared" si="19"/>
        <v>149.95999999999998</v>
      </c>
      <c r="BD50" s="1185"/>
      <c r="BE50" s="371">
        <f t="shared" si="42"/>
        <v>202.54999999999998</v>
      </c>
      <c r="BF50" s="1202"/>
      <c r="BH50" s="26"/>
      <c r="BI50" s="26"/>
    </row>
    <row r="51" spans="1:61" x14ac:dyDescent="0.3">
      <c r="B51" s="736" t="s">
        <v>672</v>
      </c>
      <c r="C51" s="202"/>
      <c r="D51" s="1337"/>
      <c r="E51" s="1337">
        <f>+SUM(E52:E56)</f>
        <v>175.32999999999998</v>
      </c>
      <c r="F51" s="1337">
        <f>+SUM(F52:F56)</f>
        <v>0</v>
      </c>
      <c r="G51" s="1337">
        <f>+SUM(G52:G56)</f>
        <v>21.57</v>
      </c>
      <c r="H51" s="1631">
        <f>+SUM(H52:H56)</f>
        <v>0</v>
      </c>
      <c r="I51" s="1631">
        <f t="shared" si="36"/>
        <v>196.89999999999998</v>
      </c>
      <c r="J51" s="1337"/>
      <c r="K51" s="1337">
        <f>+SUM(K52:K56)</f>
        <v>0</v>
      </c>
      <c r="L51" s="1337"/>
      <c r="M51" s="2196">
        <f t="shared" si="37"/>
        <v>196.89999999999998</v>
      </c>
      <c r="N51" s="1337"/>
      <c r="O51" s="1337">
        <f>+SUM(O52:O56)</f>
        <v>18.39</v>
      </c>
      <c r="P51" s="1337"/>
      <c r="Q51" s="1630">
        <f t="shared" si="7"/>
        <v>215.28999999999996</v>
      </c>
      <c r="R51" s="1337"/>
      <c r="S51" s="1337">
        <f>+SUM(S52:S56)</f>
        <v>138.43</v>
      </c>
      <c r="T51" s="1337"/>
      <c r="U51" s="1630">
        <f t="shared" si="8"/>
        <v>353.71999999999997</v>
      </c>
      <c r="V51" s="1337"/>
      <c r="W51" s="1337">
        <f>+SUM(W52:W56)</f>
        <v>381.20999999999992</v>
      </c>
      <c r="X51" s="1337"/>
      <c r="Y51" s="2196">
        <f t="shared" si="9"/>
        <v>538.03</v>
      </c>
      <c r="Z51" s="1337"/>
      <c r="AA51" s="517">
        <f t="shared" si="10"/>
        <v>734.93</v>
      </c>
      <c r="AB51" s="1337"/>
      <c r="AC51" s="1337">
        <f>+SUM(AC52:AC56)</f>
        <v>285</v>
      </c>
      <c r="AD51" s="1337"/>
      <c r="AE51" s="1337">
        <f t="shared" si="38"/>
        <v>1019.93</v>
      </c>
      <c r="AF51" s="1337"/>
      <c r="AG51" s="1337">
        <f>+SUM(AG52:AG56)</f>
        <v>244.22</v>
      </c>
      <c r="AH51" s="1337"/>
      <c r="AI51" s="1337">
        <f t="shared" si="39"/>
        <v>1264.1499999999999</v>
      </c>
      <c r="AJ51" s="1337"/>
      <c r="AK51" s="1337">
        <f>+SUM(AK52:AK56)</f>
        <v>416.07000000000005</v>
      </c>
      <c r="AL51" s="1337"/>
      <c r="AM51" s="2196">
        <f t="shared" si="13"/>
        <v>945.29000000000008</v>
      </c>
      <c r="AN51" s="1337"/>
      <c r="AO51" s="1337">
        <f t="shared" si="14"/>
        <v>1680.2199999999998</v>
      </c>
      <c r="AP51" s="1337"/>
      <c r="AQ51" s="1337">
        <f>+SUM(AQ52:AQ56)</f>
        <v>630.79000000000008</v>
      </c>
      <c r="AR51" s="1337"/>
      <c r="AS51" s="1337">
        <f t="shared" si="40"/>
        <v>2311.0099999999998</v>
      </c>
      <c r="AT51" s="1337"/>
      <c r="AU51" s="1337">
        <f>+SUM(AU52:AU56)</f>
        <v>71.78</v>
      </c>
      <c r="AV51" s="1337"/>
      <c r="AW51" s="1337">
        <f t="shared" si="41"/>
        <v>2382.79</v>
      </c>
      <c r="AX51" s="1337"/>
      <c r="AY51" s="1337">
        <f>+SUM(AY52:AY56)</f>
        <v>630.38</v>
      </c>
      <c r="AZ51" s="1337"/>
      <c r="BA51" s="2196">
        <f t="shared" si="18"/>
        <v>1332.95</v>
      </c>
      <c r="BB51" s="1337"/>
      <c r="BC51" s="517">
        <f t="shared" si="19"/>
        <v>2278.2400000000002</v>
      </c>
      <c r="BD51" s="1337"/>
      <c r="BE51" s="1337">
        <f t="shared" si="42"/>
        <v>3013.17</v>
      </c>
      <c r="BF51" s="1202"/>
      <c r="BH51" s="26"/>
      <c r="BI51" s="26"/>
    </row>
    <row r="52" spans="1:61" x14ac:dyDescent="0.3">
      <c r="B52" s="8" t="s">
        <v>1410</v>
      </c>
      <c r="C52" s="202" t="s">
        <v>354</v>
      </c>
      <c r="D52" s="1337"/>
      <c r="E52" s="1121">
        <v>71.11</v>
      </c>
      <c r="F52" s="1121"/>
      <c r="G52" s="1121">
        <v>21.57</v>
      </c>
      <c r="H52" s="1631"/>
      <c r="I52" s="1631">
        <f t="shared" si="36"/>
        <v>92.68</v>
      </c>
      <c r="J52" s="1121"/>
      <c r="K52" s="1121"/>
      <c r="L52" s="1337"/>
      <c r="M52" s="1135">
        <f t="shared" si="37"/>
        <v>92.68</v>
      </c>
      <c r="N52" s="1337"/>
      <c r="O52" s="1121">
        <v>18.39</v>
      </c>
      <c r="P52" s="1337"/>
      <c r="Q52" s="1630">
        <f t="shared" si="7"/>
        <v>111.07000000000001</v>
      </c>
      <c r="R52" s="1337"/>
      <c r="S52" s="1121"/>
      <c r="T52" s="1337"/>
      <c r="U52" s="1630">
        <f t="shared" si="8"/>
        <v>111.07000000000001</v>
      </c>
      <c r="V52" s="1337"/>
      <c r="W52" s="1121"/>
      <c r="X52" s="1337"/>
      <c r="Y52" s="1135">
        <f t="shared" si="9"/>
        <v>18.39</v>
      </c>
      <c r="Z52" s="1337"/>
      <c r="AA52" s="517">
        <f t="shared" si="10"/>
        <v>111.07000000000001</v>
      </c>
      <c r="AB52" s="1337"/>
      <c r="AC52" s="1121"/>
      <c r="AD52" s="1337"/>
      <c r="AE52" s="251">
        <f>AA52+AC52</f>
        <v>111.07000000000001</v>
      </c>
      <c r="AF52" s="1337"/>
      <c r="AG52" s="1121"/>
      <c r="AH52" s="1337"/>
      <c r="AI52" s="251">
        <f t="shared" si="39"/>
        <v>111.07000000000001</v>
      </c>
      <c r="AJ52" s="1337"/>
      <c r="AK52" s="1121"/>
      <c r="AL52" s="1337"/>
      <c r="AM52" s="1135">
        <f t="shared" si="13"/>
        <v>0</v>
      </c>
      <c r="AN52" s="1337"/>
      <c r="AO52" s="251">
        <f t="shared" si="14"/>
        <v>111.07000000000001</v>
      </c>
      <c r="AP52" s="1337"/>
      <c r="AQ52" s="1121"/>
      <c r="AR52" s="1337"/>
      <c r="AS52" s="251">
        <f t="shared" ref="AS52:AS56" si="51">AO52+AQ52</f>
        <v>111.07000000000001</v>
      </c>
      <c r="AT52" s="1337"/>
      <c r="AU52" s="1121"/>
      <c r="AV52" s="1337"/>
      <c r="AW52" s="251">
        <f t="shared" ref="AW52:AW56" si="52">AS52+AU52</f>
        <v>111.07000000000001</v>
      </c>
      <c r="AX52" s="1337"/>
      <c r="AY52" s="1121">
        <v>108.64</v>
      </c>
      <c r="AZ52" s="1337"/>
      <c r="BA52" s="1135">
        <f t="shared" si="18"/>
        <v>108.64</v>
      </c>
      <c r="BB52" s="1337"/>
      <c r="BC52" s="517">
        <f t="shared" si="19"/>
        <v>108.64</v>
      </c>
      <c r="BD52" s="1337"/>
      <c r="BE52" s="251">
        <f t="shared" ref="BE52:BE56" si="53">AW52+AY52</f>
        <v>219.71</v>
      </c>
      <c r="BF52" s="1202"/>
      <c r="BH52" s="26"/>
      <c r="BI52" s="26"/>
    </row>
    <row r="53" spans="1:61" x14ac:dyDescent="0.3">
      <c r="B53" s="4442" t="s">
        <v>2292</v>
      </c>
      <c r="C53" s="5368"/>
      <c r="D53" s="5357"/>
      <c r="E53" s="5369"/>
      <c r="F53" s="5369"/>
      <c r="G53" s="5369"/>
      <c r="H53" s="5358"/>
      <c r="I53" s="5358"/>
      <c r="J53" s="5369"/>
      <c r="K53" s="5369"/>
      <c r="L53" s="5357"/>
      <c r="M53" s="5351"/>
      <c r="N53" s="5357"/>
      <c r="O53" s="5369"/>
      <c r="P53" s="5357"/>
      <c r="Q53" s="5352"/>
      <c r="R53" s="5357"/>
      <c r="S53" s="5369"/>
      <c r="T53" s="5357"/>
      <c r="U53" s="5352"/>
      <c r="V53" s="5357"/>
      <c r="W53" s="5369"/>
      <c r="X53" s="5357"/>
      <c r="Y53" s="5351"/>
      <c r="Z53" s="5357"/>
      <c r="AA53" s="5353"/>
      <c r="AB53" s="5357"/>
      <c r="AC53" s="5369"/>
      <c r="AD53" s="5357"/>
      <c r="AE53" s="5355"/>
      <c r="AF53" s="5357"/>
      <c r="AG53" s="5369"/>
      <c r="AH53" s="5357"/>
      <c r="AI53" s="5355"/>
      <c r="AJ53" s="5357"/>
      <c r="AK53" s="5369"/>
      <c r="AL53" s="5357"/>
      <c r="AM53" s="5351"/>
      <c r="AN53" s="5357"/>
      <c r="AO53" s="5355"/>
      <c r="AP53" s="5357"/>
      <c r="AQ53" s="5369">
        <v>19.84</v>
      </c>
      <c r="AR53" s="5357"/>
      <c r="AS53" s="251">
        <f t="shared" si="51"/>
        <v>19.84</v>
      </c>
      <c r="AT53" s="5357"/>
      <c r="AU53" s="5369"/>
      <c r="AV53" s="5357"/>
      <c r="AW53" s="251">
        <f t="shared" si="52"/>
        <v>19.84</v>
      </c>
      <c r="AX53" s="5357"/>
      <c r="AY53" s="5369"/>
      <c r="AZ53" s="5357"/>
      <c r="BA53" s="1135">
        <f t="shared" ref="BA53" si="54">+AQ53+AU53+AY53</f>
        <v>19.84</v>
      </c>
      <c r="BB53" s="1337"/>
      <c r="BC53" s="517">
        <f t="shared" ref="BC53" si="55">BA53+AM53</f>
        <v>19.84</v>
      </c>
      <c r="BD53" s="1337"/>
      <c r="BE53" s="251">
        <f t="shared" si="53"/>
        <v>19.84</v>
      </c>
      <c r="BF53" s="1202"/>
      <c r="BH53" s="26"/>
      <c r="BI53" s="26"/>
    </row>
    <row r="54" spans="1:61" x14ac:dyDescent="0.3">
      <c r="B54" s="8" t="s">
        <v>1444</v>
      </c>
      <c r="C54" s="202" t="s">
        <v>354</v>
      </c>
      <c r="D54" s="1337"/>
      <c r="E54" s="1121">
        <v>104.22</v>
      </c>
      <c r="F54" s="1121"/>
      <c r="G54" s="1121"/>
      <c r="H54" s="1631"/>
      <c r="I54" s="1631">
        <f t="shared" si="36"/>
        <v>104.22</v>
      </c>
      <c r="J54" s="1121"/>
      <c r="K54" s="1121"/>
      <c r="L54" s="1337"/>
      <c r="M54" s="1135">
        <f t="shared" si="37"/>
        <v>104.22</v>
      </c>
      <c r="N54" s="1337"/>
      <c r="O54" s="1121"/>
      <c r="P54" s="1337"/>
      <c r="Q54" s="1630">
        <f t="shared" si="7"/>
        <v>104.22</v>
      </c>
      <c r="R54" s="1337"/>
      <c r="S54" s="1121"/>
      <c r="T54" s="1337"/>
      <c r="U54" s="1630">
        <f t="shared" si="8"/>
        <v>104.22</v>
      </c>
      <c r="V54" s="1337"/>
      <c r="W54" s="1121"/>
      <c r="X54" s="1337"/>
      <c r="Y54" s="1135">
        <f t="shared" si="9"/>
        <v>0</v>
      </c>
      <c r="Z54" s="1337"/>
      <c r="AA54" s="517">
        <f t="shared" si="10"/>
        <v>104.22</v>
      </c>
      <c r="AB54" s="1337"/>
      <c r="AC54" s="1121"/>
      <c r="AD54" s="1337"/>
      <c r="AE54" s="251">
        <f>AA54+AC54</f>
        <v>104.22</v>
      </c>
      <c r="AF54" s="1337"/>
      <c r="AG54" s="1121"/>
      <c r="AH54" s="1337"/>
      <c r="AI54" s="251">
        <f t="shared" si="39"/>
        <v>104.22</v>
      </c>
      <c r="AJ54" s="1337"/>
      <c r="AK54" s="1121"/>
      <c r="AL54" s="1337"/>
      <c r="AM54" s="1135">
        <f t="shared" si="13"/>
        <v>0</v>
      </c>
      <c r="AN54" s="1337"/>
      <c r="AO54" s="251">
        <f t="shared" si="14"/>
        <v>104.22</v>
      </c>
      <c r="AP54" s="1337"/>
      <c r="AQ54" s="1121"/>
      <c r="AR54" s="1337"/>
      <c r="AS54" s="251">
        <f t="shared" si="51"/>
        <v>104.22</v>
      </c>
      <c r="AT54" s="1337"/>
      <c r="AU54" s="1121">
        <v>42.510000000000005</v>
      </c>
      <c r="AV54" s="1337"/>
      <c r="AW54" s="251">
        <f t="shared" si="52"/>
        <v>146.73000000000002</v>
      </c>
      <c r="AX54" s="1337"/>
      <c r="AY54" s="1121">
        <v>22.6</v>
      </c>
      <c r="AZ54" s="1337"/>
      <c r="BA54" s="1135">
        <f t="shared" si="18"/>
        <v>65.110000000000014</v>
      </c>
      <c r="BB54" s="1337"/>
      <c r="BC54" s="517">
        <f t="shared" si="19"/>
        <v>65.110000000000014</v>
      </c>
      <c r="BD54" s="1337"/>
      <c r="BE54" s="251">
        <f t="shared" si="53"/>
        <v>169.33</v>
      </c>
      <c r="BF54" s="1202"/>
      <c r="BH54" s="26"/>
      <c r="BI54" s="26"/>
    </row>
    <row r="55" spans="1:61" x14ac:dyDescent="0.3">
      <c r="B55" s="8" t="s">
        <v>2127</v>
      </c>
      <c r="C55" s="202" t="s">
        <v>354</v>
      </c>
      <c r="D55" s="1337"/>
      <c r="E55" s="1121"/>
      <c r="F55" s="1121"/>
      <c r="G55" s="1121"/>
      <c r="H55" s="1631"/>
      <c r="I55" s="1631">
        <f t="shared" ref="I55:I56" si="56">+E55+G55</f>
        <v>0</v>
      </c>
      <c r="J55" s="1121"/>
      <c r="K55" s="1121"/>
      <c r="L55" s="1337"/>
      <c r="M55" s="1135">
        <f t="shared" si="37"/>
        <v>0</v>
      </c>
      <c r="N55" s="1337"/>
      <c r="O55" s="1121"/>
      <c r="P55" s="1337"/>
      <c r="Q55" s="1630">
        <f t="shared" si="7"/>
        <v>0</v>
      </c>
      <c r="R55" s="1337"/>
      <c r="S55" s="1121"/>
      <c r="T55" s="1337"/>
      <c r="U55" s="1630">
        <f t="shared" si="8"/>
        <v>0</v>
      </c>
      <c r="V55" s="1337"/>
      <c r="W55" s="1121">
        <v>19.89</v>
      </c>
      <c r="X55" s="1337"/>
      <c r="Y55" s="1135">
        <f t="shared" si="9"/>
        <v>19.89</v>
      </c>
      <c r="Z55" s="1337"/>
      <c r="AA55" s="517">
        <f t="shared" si="10"/>
        <v>19.89</v>
      </c>
      <c r="AB55" s="1337"/>
      <c r="AC55" s="1121"/>
      <c r="AD55" s="1337"/>
      <c r="AE55" s="251">
        <f>AA55+AC55</f>
        <v>19.89</v>
      </c>
      <c r="AF55" s="1337"/>
      <c r="AG55" s="1121">
        <v>29.76</v>
      </c>
      <c r="AH55" s="1337"/>
      <c r="AI55" s="251">
        <f t="shared" si="39"/>
        <v>49.650000000000006</v>
      </c>
      <c r="AJ55" s="1337"/>
      <c r="AK55" s="1121">
        <v>29.6</v>
      </c>
      <c r="AL55" s="1337"/>
      <c r="AM55" s="1135">
        <f t="shared" si="13"/>
        <v>59.36</v>
      </c>
      <c r="AN55" s="1337"/>
      <c r="AO55" s="251">
        <f t="shared" si="14"/>
        <v>79.25</v>
      </c>
      <c r="AP55" s="1337"/>
      <c r="AQ55" s="1121"/>
      <c r="AR55" s="1337"/>
      <c r="AS55" s="251">
        <f t="shared" si="51"/>
        <v>79.25</v>
      </c>
      <c r="AT55" s="1337"/>
      <c r="AU55" s="1121">
        <v>29.27</v>
      </c>
      <c r="AV55" s="1337"/>
      <c r="AW55" s="251">
        <f t="shared" si="52"/>
        <v>108.52</v>
      </c>
      <c r="AX55" s="1337"/>
      <c r="AY55" s="1121"/>
      <c r="AZ55" s="1337"/>
      <c r="BA55" s="1135">
        <f t="shared" si="18"/>
        <v>29.27</v>
      </c>
      <c r="BB55" s="1337"/>
      <c r="BC55" s="517">
        <f t="shared" si="19"/>
        <v>88.63</v>
      </c>
      <c r="BD55" s="1337"/>
      <c r="BE55" s="251">
        <f t="shared" si="53"/>
        <v>108.52</v>
      </c>
      <c r="BF55" s="1202"/>
      <c r="BH55" s="26"/>
      <c r="BI55" s="26"/>
    </row>
    <row r="56" spans="1:61" x14ac:dyDescent="0.3">
      <c r="B56" s="8" t="s">
        <v>1568</v>
      </c>
      <c r="C56" s="202" t="s">
        <v>354</v>
      </c>
      <c r="D56" s="1337"/>
      <c r="E56" s="1121"/>
      <c r="F56" s="1121"/>
      <c r="G56" s="1121"/>
      <c r="H56" s="1631"/>
      <c r="I56" s="1631">
        <f t="shared" si="56"/>
        <v>0</v>
      </c>
      <c r="J56" s="1121"/>
      <c r="K56" s="1121"/>
      <c r="L56" s="1337"/>
      <c r="M56" s="1135">
        <f t="shared" si="37"/>
        <v>0</v>
      </c>
      <c r="N56" s="1337"/>
      <c r="O56" s="1121"/>
      <c r="P56" s="1337"/>
      <c r="Q56" s="1630">
        <f t="shared" si="7"/>
        <v>0</v>
      </c>
      <c r="R56" s="1337"/>
      <c r="S56" s="1121">
        <v>138.43</v>
      </c>
      <c r="T56" s="1337"/>
      <c r="U56" s="1630">
        <f t="shared" si="8"/>
        <v>138.43</v>
      </c>
      <c r="V56" s="1337"/>
      <c r="W56" s="1121">
        <v>361.31999999999994</v>
      </c>
      <c r="X56" s="1337"/>
      <c r="Y56" s="1135">
        <f t="shared" si="9"/>
        <v>499.74999999999994</v>
      </c>
      <c r="Z56" s="1337"/>
      <c r="AA56" s="517">
        <f t="shared" si="10"/>
        <v>499.74999999999994</v>
      </c>
      <c r="AB56" s="1337"/>
      <c r="AC56" s="1121">
        <v>285</v>
      </c>
      <c r="AD56" s="1337"/>
      <c r="AE56" s="251">
        <f>AA56+AC56</f>
        <v>784.75</v>
      </c>
      <c r="AF56" s="1337"/>
      <c r="AG56" s="1121">
        <v>214.46</v>
      </c>
      <c r="AH56" s="1337"/>
      <c r="AI56" s="251">
        <f t="shared" si="39"/>
        <v>999.21</v>
      </c>
      <c r="AJ56" s="1337"/>
      <c r="AK56" s="1121">
        <v>386.47</v>
      </c>
      <c r="AL56" s="1337"/>
      <c r="AM56" s="1135">
        <f t="shared" si="13"/>
        <v>885.93000000000006</v>
      </c>
      <c r="AN56" s="1337"/>
      <c r="AO56" s="251">
        <f t="shared" si="14"/>
        <v>1385.68</v>
      </c>
      <c r="AP56" s="1337"/>
      <c r="AQ56" s="1121">
        <v>610.95000000000005</v>
      </c>
      <c r="AR56" s="1337"/>
      <c r="AS56" s="251">
        <f t="shared" si="51"/>
        <v>1996.63</v>
      </c>
      <c r="AT56" s="1337"/>
      <c r="AU56" s="1121"/>
      <c r="AV56" s="1337"/>
      <c r="AW56" s="251">
        <f t="shared" si="52"/>
        <v>1996.63</v>
      </c>
      <c r="AX56" s="1337"/>
      <c r="AY56" s="1121">
        <v>499.14</v>
      </c>
      <c r="AZ56" s="1337"/>
      <c r="BA56" s="1135">
        <f t="shared" si="18"/>
        <v>1110.0900000000001</v>
      </c>
      <c r="BB56" s="1337"/>
      <c r="BC56" s="517">
        <f t="shared" si="19"/>
        <v>1996.0200000000002</v>
      </c>
      <c r="BD56" s="1337"/>
      <c r="BE56" s="251">
        <f t="shared" si="53"/>
        <v>2495.77</v>
      </c>
      <c r="BF56" s="1202"/>
      <c r="BH56" s="26"/>
      <c r="BI56" s="26"/>
    </row>
    <row r="57" spans="1:61" x14ac:dyDescent="0.3">
      <c r="B57" s="736" t="s">
        <v>693</v>
      </c>
      <c r="C57" s="202"/>
      <c r="D57" s="1337"/>
      <c r="E57" s="1337">
        <f>+SUM(E58:E97)</f>
        <v>8275.2200000000012</v>
      </c>
      <c r="F57" s="1337"/>
      <c r="G57" s="1337">
        <f>+SUM(G58:G97)</f>
        <v>5878.0199999999995</v>
      </c>
      <c r="H57" s="1631"/>
      <c r="I57" s="1631">
        <f t="shared" si="36"/>
        <v>14153.240000000002</v>
      </c>
      <c r="J57" s="1337"/>
      <c r="K57" s="1337">
        <f>+SUM(K58:K97)</f>
        <v>5083.7900000000009</v>
      </c>
      <c r="L57" s="1337"/>
      <c r="M57" s="2196">
        <f t="shared" si="37"/>
        <v>19237.030000000002</v>
      </c>
      <c r="N57" s="1337"/>
      <c r="O57" s="1337">
        <f>+SUM(O58:O97)</f>
        <v>4821.8800000000019</v>
      </c>
      <c r="P57" s="1337"/>
      <c r="Q57" s="1630">
        <f t="shared" si="7"/>
        <v>24058.910000000003</v>
      </c>
      <c r="R57" s="1337"/>
      <c r="S57" s="1337">
        <f>+SUM(S58:S97)</f>
        <v>2666.23</v>
      </c>
      <c r="T57" s="1337"/>
      <c r="U57" s="1630">
        <f t="shared" si="8"/>
        <v>26725.140000000003</v>
      </c>
      <c r="V57" s="1337"/>
      <c r="W57" s="1337">
        <f>+SUM(W58:W97)</f>
        <v>2568.4000000000005</v>
      </c>
      <c r="X57" s="1337"/>
      <c r="Y57" s="2196">
        <f t="shared" si="9"/>
        <v>10056.510000000002</v>
      </c>
      <c r="Z57" s="1337"/>
      <c r="AA57" s="517">
        <f t="shared" si="10"/>
        <v>29293.540000000005</v>
      </c>
      <c r="AB57" s="1337"/>
      <c r="AC57" s="1337">
        <f>+SUM(AC58:AC97)</f>
        <v>5110.1400000000003</v>
      </c>
      <c r="AD57" s="1337"/>
      <c r="AE57" s="1337">
        <f t="shared" ref="AE57:AE97" si="57">+AA57+AC57</f>
        <v>34403.680000000008</v>
      </c>
      <c r="AF57" s="1337"/>
      <c r="AG57" s="1337">
        <f>+SUM(AG58:AG97)</f>
        <v>8458.7000000000007</v>
      </c>
      <c r="AH57" s="1337"/>
      <c r="AI57" s="1337">
        <f t="shared" si="39"/>
        <v>42862.380000000005</v>
      </c>
      <c r="AJ57" s="1337"/>
      <c r="AK57" s="1337">
        <f>+SUM(AK58:AK97)</f>
        <v>4208.4400000000005</v>
      </c>
      <c r="AL57" s="1337"/>
      <c r="AM57" s="2196">
        <f t="shared" si="13"/>
        <v>17777.28</v>
      </c>
      <c r="AN57" s="1337"/>
      <c r="AO57" s="1337">
        <f t="shared" si="14"/>
        <v>47070.820000000007</v>
      </c>
      <c r="AP57" s="1337"/>
      <c r="AQ57" s="1337">
        <f>+SUM(AQ58:AQ97)</f>
        <v>2464.0500000000002</v>
      </c>
      <c r="AR57" s="1337"/>
      <c r="AS57" s="1337">
        <f t="shared" ref="AS57:AS94" si="58">+AO57+AQ57</f>
        <v>49534.87000000001</v>
      </c>
      <c r="AT57" s="1337"/>
      <c r="AU57" s="1337">
        <f>+SUM(AU58:AU97)</f>
        <v>1348.69</v>
      </c>
      <c r="AV57" s="1337"/>
      <c r="AW57" s="1337">
        <f t="shared" ref="AW57:AW101" si="59">+AS57+AU57</f>
        <v>50883.560000000012</v>
      </c>
      <c r="AX57" s="1337"/>
      <c r="AY57" s="1337">
        <f>+SUM(AY58:AY97)</f>
        <v>1644.88</v>
      </c>
      <c r="AZ57" s="1337"/>
      <c r="BA57" s="2196">
        <f t="shared" si="18"/>
        <v>5457.6200000000008</v>
      </c>
      <c r="BB57" s="1337"/>
      <c r="BC57" s="517">
        <f t="shared" si="19"/>
        <v>23234.9</v>
      </c>
      <c r="BD57" s="1337"/>
      <c r="BE57" s="1337">
        <f t="shared" ref="BE57:BE68" si="60">+AW57+AY57</f>
        <v>52528.44000000001</v>
      </c>
      <c r="BF57" s="1202"/>
      <c r="BH57" s="26"/>
      <c r="BI57" s="26"/>
    </row>
    <row r="58" spans="1:61" x14ac:dyDescent="0.3">
      <c r="B58" s="8" t="s">
        <v>671</v>
      </c>
      <c r="C58" s="156" t="s">
        <v>354</v>
      </c>
      <c r="D58" s="592"/>
      <c r="E58" s="346">
        <v>513.9</v>
      </c>
      <c r="F58" s="346"/>
      <c r="G58" s="346">
        <v>546.28</v>
      </c>
      <c r="H58" s="1633"/>
      <c r="I58" s="1633">
        <f t="shared" si="36"/>
        <v>1060.1799999999998</v>
      </c>
      <c r="J58" s="346"/>
      <c r="K58" s="346">
        <v>401.94</v>
      </c>
      <c r="L58" s="2197"/>
      <c r="M58" s="1135">
        <f t="shared" si="37"/>
        <v>1462.12</v>
      </c>
      <c r="N58" s="346"/>
      <c r="O58" s="361">
        <v>276.52999999999997</v>
      </c>
      <c r="P58" s="346"/>
      <c r="Q58" s="1630">
        <f t="shared" si="7"/>
        <v>1738.6499999999999</v>
      </c>
      <c r="R58" s="346"/>
      <c r="S58" s="346">
        <v>258.63</v>
      </c>
      <c r="T58" s="346"/>
      <c r="U58" s="1630">
        <f t="shared" si="8"/>
        <v>1997.2799999999997</v>
      </c>
      <c r="V58" s="346"/>
      <c r="W58" s="346">
        <v>251.28999999999996</v>
      </c>
      <c r="X58" s="2197"/>
      <c r="Y58" s="1135">
        <f t="shared" si="9"/>
        <v>786.44999999999993</v>
      </c>
      <c r="Z58" s="346"/>
      <c r="AA58" s="2528">
        <f t="shared" si="10"/>
        <v>2248.5699999999997</v>
      </c>
      <c r="AB58" s="346"/>
      <c r="AC58" s="346">
        <v>383.17</v>
      </c>
      <c r="AD58" s="346"/>
      <c r="AE58" s="1683">
        <f t="shared" si="57"/>
        <v>2631.74</v>
      </c>
      <c r="AF58" s="346"/>
      <c r="AG58" s="346">
        <v>469.26</v>
      </c>
      <c r="AH58" s="346"/>
      <c r="AI58" s="1683">
        <f t="shared" si="39"/>
        <v>3101</v>
      </c>
      <c r="AJ58" s="346"/>
      <c r="AK58" s="346">
        <v>623.94000000000005</v>
      </c>
      <c r="AL58" s="346"/>
      <c r="AM58" s="1135">
        <f t="shared" si="13"/>
        <v>1476.3700000000001</v>
      </c>
      <c r="AN58" s="346"/>
      <c r="AO58" s="1683">
        <f t="shared" si="14"/>
        <v>3724.94</v>
      </c>
      <c r="AP58" s="346"/>
      <c r="AQ58" s="346">
        <v>413.71</v>
      </c>
      <c r="AR58" s="346"/>
      <c r="AS58" s="1683">
        <f t="shared" si="58"/>
        <v>4138.6499999999996</v>
      </c>
      <c r="AT58" s="346"/>
      <c r="AU58" s="346">
        <v>580.66000000000008</v>
      </c>
      <c r="AV58" s="346"/>
      <c r="AW58" s="1683">
        <f t="shared" si="59"/>
        <v>4719.3099999999995</v>
      </c>
      <c r="AX58" s="346"/>
      <c r="AY58" s="346">
        <v>380.54000000000008</v>
      </c>
      <c r="AZ58" s="346"/>
      <c r="BA58" s="1135">
        <f t="shared" si="18"/>
        <v>1374.9100000000003</v>
      </c>
      <c r="BB58" s="346"/>
      <c r="BC58" s="2528">
        <f t="shared" si="19"/>
        <v>2851.2800000000007</v>
      </c>
      <c r="BD58" s="346"/>
      <c r="BE58" s="2514">
        <f t="shared" si="60"/>
        <v>5099.8499999999995</v>
      </c>
      <c r="BF58" s="1202"/>
      <c r="BH58" s="26"/>
      <c r="BI58" s="26"/>
    </row>
    <row r="59" spans="1:61" ht="15.6" customHeight="1" x14ac:dyDescent="0.3">
      <c r="B59" s="8" t="s">
        <v>2024</v>
      </c>
      <c r="C59" s="156" t="s">
        <v>354</v>
      </c>
      <c r="D59" s="592"/>
      <c r="E59" s="1185"/>
      <c r="F59" s="1185"/>
      <c r="G59" s="1185">
        <v>400</v>
      </c>
      <c r="H59" s="1630"/>
      <c r="I59" s="1633">
        <f t="shared" si="36"/>
        <v>400</v>
      </c>
      <c r="J59" s="1185"/>
      <c r="K59" s="1185"/>
      <c r="L59" s="197"/>
      <c r="M59" s="1135">
        <f t="shared" si="37"/>
        <v>400</v>
      </c>
      <c r="N59" s="1185"/>
      <c r="O59" s="1185">
        <v>650</v>
      </c>
      <c r="P59" s="1185"/>
      <c r="Q59" s="1630">
        <f t="shared" si="7"/>
        <v>1050</v>
      </c>
      <c r="R59" s="1185"/>
      <c r="S59" s="1185"/>
      <c r="T59" s="1185"/>
      <c r="U59" s="1630">
        <f t="shared" si="8"/>
        <v>1050</v>
      </c>
      <c r="V59" s="1185"/>
      <c r="W59" s="1185"/>
      <c r="X59" s="197"/>
      <c r="Y59" s="1135">
        <f t="shared" si="9"/>
        <v>650</v>
      </c>
      <c r="Z59" s="1185"/>
      <c r="AA59" s="539">
        <f t="shared" si="10"/>
        <v>1050</v>
      </c>
      <c r="AB59" s="1185"/>
      <c r="AC59" s="1185"/>
      <c r="AD59" s="1185"/>
      <c r="AE59" s="1683">
        <f t="shared" si="57"/>
        <v>1050</v>
      </c>
      <c r="AF59" s="1185"/>
      <c r="AG59" s="1185"/>
      <c r="AH59" s="1185"/>
      <c r="AI59" s="775">
        <f t="shared" si="39"/>
        <v>1050</v>
      </c>
      <c r="AJ59" s="1185"/>
      <c r="AK59" s="1185"/>
      <c r="AL59" s="1185"/>
      <c r="AM59" s="1135">
        <f t="shared" si="13"/>
        <v>0</v>
      </c>
      <c r="AN59" s="1185"/>
      <c r="AO59" s="1683">
        <f t="shared" si="14"/>
        <v>1050</v>
      </c>
      <c r="AP59" s="1185"/>
      <c r="AQ59" s="1185"/>
      <c r="AR59" s="1185"/>
      <c r="AS59" s="1683">
        <f t="shared" si="58"/>
        <v>1050</v>
      </c>
      <c r="AT59" s="1185"/>
      <c r="AU59" s="1185"/>
      <c r="AV59" s="1185"/>
      <c r="AW59" s="1683">
        <f t="shared" si="59"/>
        <v>1050</v>
      </c>
      <c r="AX59" s="1185"/>
      <c r="AY59" s="1185"/>
      <c r="AZ59" s="1185"/>
      <c r="BA59" s="1135">
        <f t="shared" si="18"/>
        <v>0</v>
      </c>
      <c r="BB59" s="1185"/>
      <c r="BC59" s="539">
        <f t="shared" si="19"/>
        <v>0</v>
      </c>
      <c r="BD59" s="1185"/>
      <c r="BE59" s="371">
        <f t="shared" si="60"/>
        <v>1050</v>
      </c>
      <c r="BF59" s="1202"/>
      <c r="BH59" s="26"/>
      <c r="BI59" s="26"/>
    </row>
    <row r="60" spans="1:61" ht="15.6" customHeight="1" x14ac:dyDescent="0.3">
      <c r="B60" s="8" t="s">
        <v>1363</v>
      </c>
      <c r="C60" s="156" t="s">
        <v>354</v>
      </c>
      <c r="D60" s="592"/>
      <c r="E60" s="1185"/>
      <c r="F60" s="1185"/>
      <c r="G60" s="1185">
        <v>500</v>
      </c>
      <c r="H60" s="1630"/>
      <c r="I60" s="1633">
        <f t="shared" si="36"/>
        <v>500</v>
      </c>
      <c r="J60" s="1185"/>
      <c r="K60" s="1185"/>
      <c r="L60" s="197"/>
      <c r="M60" s="1135">
        <f t="shared" si="37"/>
        <v>500</v>
      </c>
      <c r="N60" s="1185"/>
      <c r="O60" s="1185"/>
      <c r="P60" s="1185"/>
      <c r="Q60" s="1630">
        <f t="shared" si="7"/>
        <v>500</v>
      </c>
      <c r="R60" s="1185"/>
      <c r="S60" s="1185">
        <v>500</v>
      </c>
      <c r="T60" s="1185"/>
      <c r="U60" s="1630">
        <f t="shared" si="8"/>
        <v>1000</v>
      </c>
      <c r="V60" s="1185"/>
      <c r="W60" s="1185"/>
      <c r="X60" s="197"/>
      <c r="Y60" s="1135">
        <f t="shared" si="9"/>
        <v>500</v>
      </c>
      <c r="Z60" s="1185"/>
      <c r="AA60" s="539">
        <f t="shared" si="10"/>
        <v>1000</v>
      </c>
      <c r="AB60" s="1185"/>
      <c r="AC60" s="1185"/>
      <c r="AD60" s="1185"/>
      <c r="AE60" s="1683">
        <f t="shared" si="57"/>
        <v>1000</v>
      </c>
      <c r="AF60" s="1185"/>
      <c r="AG60" s="1185">
        <v>945</v>
      </c>
      <c r="AH60" s="1185"/>
      <c r="AI60" s="775">
        <f t="shared" si="39"/>
        <v>1945</v>
      </c>
      <c r="AJ60" s="1185"/>
      <c r="AK60" s="1185">
        <v>240</v>
      </c>
      <c r="AL60" s="1185"/>
      <c r="AM60" s="1135">
        <f t="shared" si="13"/>
        <v>1185</v>
      </c>
      <c r="AN60" s="1185"/>
      <c r="AO60" s="1683">
        <f t="shared" si="14"/>
        <v>2185</v>
      </c>
      <c r="AP60" s="1185"/>
      <c r="AQ60" s="1185">
        <v>260</v>
      </c>
      <c r="AR60" s="1185"/>
      <c r="AS60" s="1683">
        <f t="shared" si="58"/>
        <v>2445</v>
      </c>
      <c r="AT60" s="1185"/>
      <c r="AU60" s="1185"/>
      <c r="AV60" s="1185"/>
      <c r="AW60" s="1683">
        <f t="shared" si="59"/>
        <v>2445</v>
      </c>
      <c r="AX60" s="1185"/>
      <c r="AY60" s="1185">
        <v>624</v>
      </c>
      <c r="AZ60" s="1185"/>
      <c r="BA60" s="1135">
        <f t="shared" si="18"/>
        <v>884</v>
      </c>
      <c r="BB60" s="1185"/>
      <c r="BC60" s="539">
        <f t="shared" si="19"/>
        <v>2069</v>
      </c>
      <c r="BD60" s="1185"/>
      <c r="BE60" s="371">
        <f t="shared" si="60"/>
        <v>3069</v>
      </c>
      <c r="BF60" s="1202"/>
      <c r="BH60" s="26"/>
      <c r="BI60" s="26"/>
    </row>
    <row r="61" spans="1:61" ht="15.6" customHeight="1" x14ac:dyDescent="0.3">
      <c r="B61" s="8" t="s">
        <v>1362</v>
      </c>
      <c r="C61" s="156" t="s">
        <v>354</v>
      </c>
      <c r="D61" s="592"/>
      <c r="E61" s="1185">
        <v>75.930000000000007</v>
      </c>
      <c r="F61" s="1185"/>
      <c r="G61" s="1185">
        <v>41.86</v>
      </c>
      <c r="H61" s="1630"/>
      <c r="I61" s="1633">
        <f t="shared" si="36"/>
        <v>117.79</v>
      </c>
      <c r="J61" s="1185"/>
      <c r="K61" s="1185">
        <v>84.42</v>
      </c>
      <c r="L61" s="197"/>
      <c r="M61" s="1135">
        <f t="shared" si="37"/>
        <v>202.21</v>
      </c>
      <c r="N61" s="1185"/>
      <c r="O61" s="1185">
        <v>15.57</v>
      </c>
      <c r="P61" s="1185"/>
      <c r="Q61" s="1630">
        <f t="shared" si="7"/>
        <v>217.78</v>
      </c>
      <c r="R61" s="1185"/>
      <c r="S61" s="1185"/>
      <c r="T61" s="1185"/>
      <c r="U61" s="1630">
        <f t="shared" si="8"/>
        <v>217.78</v>
      </c>
      <c r="V61" s="1185"/>
      <c r="W61" s="1185">
        <v>49.900000000000006</v>
      </c>
      <c r="X61" s="197"/>
      <c r="Y61" s="1135">
        <f t="shared" si="9"/>
        <v>65.47</v>
      </c>
      <c r="Z61" s="1185"/>
      <c r="AA61" s="539">
        <f t="shared" si="10"/>
        <v>267.68</v>
      </c>
      <c r="AB61" s="1185"/>
      <c r="AC61" s="1185"/>
      <c r="AD61" s="1185"/>
      <c r="AE61" s="1683">
        <f t="shared" si="57"/>
        <v>267.68</v>
      </c>
      <c r="AF61" s="1185"/>
      <c r="AG61" s="1185"/>
      <c r="AH61" s="1185"/>
      <c r="AI61" s="775">
        <f t="shared" si="39"/>
        <v>267.68</v>
      </c>
      <c r="AJ61" s="1185"/>
      <c r="AK61" s="1185"/>
      <c r="AL61" s="1185"/>
      <c r="AM61" s="1135">
        <f t="shared" si="13"/>
        <v>0</v>
      </c>
      <c r="AN61" s="1185"/>
      <c r="AO61" s="1683">
        <f t="shared" si="14"/>
        <v>267.68</v>
      </c>
      <c r="AP61" s="1185"/>
      <c r="AQ61" s="1185">
        <v>99.929999999999993</v>
      </c>
      <c r="AR61" s="1185"/>
      <c r="AS61" s="1683">
        <f t="shared" si="58"/>
        <v>367.61</v>
      </c>
      <c r="AT61" s="1185"/>
      <c r="AU61" s="1185">
        <v>27.51</v>
      </c>
      <c r="AV61" s="1185"/>
      <c r="AW61" s="1683">
        <f t="shared" si="59"/>
        <v>395.12</v>
      </c>
      <c r="AX61" s="1185"/>
      <c r="AY61" s="1185">
        <v>22.46</v>
      </c>
      <c r="AZ61" s="1185"/>
      <c r="BA61" s="1135">
        <f t="shared" si="18"/>
        <v>149.9</v>
      </c>
      <c r="BB61" s="1185"/>
      <c r="BC61" s="539">
        <f t="shared" si="19"/>
        <v>149.9</v>
      </c>
      <c r="BD61" s="1185"/>
      <c r="BE61" s="371">
        <f t="shared" si="60"/>
        <v>417.58</v>
      </c>
      <c r="BF61" s="1202"/>
      <c r="BH61" s="26"/>
      <c r="BI61" s="26"/>
    </row>
    <row r="62" spans="1:61" ht="15.6" customHeight="1" x14ac:dyDescent="0.3">
      <c r="B62" s="8" t="s">
        <v>1827</v>
      </c>
      <c r="C62" s="2546"/>
      <c r="D62" s="2561"/>
      <c r="E62" s="2537"/>
      <c r="F62" s="2537"/>
      <c r="G62" s="2537"/>
      <c r="H62" s="3215"/>
      <c r="I62" s="1633">
        <f t="shared" si="36"/>
        <v>0</v>
      </c>
      <c r="J62" s="2537"/>
      <c r="K62" s="2537"/>
      <c r="L62" s="2547"/>
      <c r="M62" s="1135">
        <f t="shared" si="37"/>
        <v>0</v>
      </c>
      <c r="N62" s="2537"/>
      <c r="O62" s="2537">
        <v>16</v>
      </c>
      <c r="P62" s="2537"/>
      <c r="Q62" s="1630">
        <f t="shared" ref="Q62:Q130" si="61">+M62+O62</f>
        <v>16</v>
      </c>
      <c r="R62" s="2537"/>
      <c r="S62" s="2537"/>
      <c r="T62" s="2537"/>
      <c r="U62" s="1630">
        <f t="shared" ref="U62:U114" si="62">+Q62+S62</f>
        <v>16</v>
      </c>
      <c r="V62" s="2537"/>
      <c r="W62" s="2537"/>
      <c r="X62" s="2547"/>
      <c r="Y62" s="1135">
        <f t="shared" si="9"/>
        <v>16</v>
      </c>
      <c r="Z62" s="2537"/>
      <c r="AA62" s="539">
        <f t="shared" si="10"/>
        <v>16</v>
      </c>
      <c r="AB62" s="2537"/>
      <c r="AC62" s="2537">
        <v>95</v>
      </c>
      <c r="AD62" s="2537"/>
      <c r="AE62" s="1683">
        <f t="shared" si="57"/>
        <v>111</v>
      </c>
      <c r="AF62" s="2537"/>
      <c r="AG62" s="2537"/>
      <c r="AH62" s="2537"/>
      <c r="AI62" s="775">
        <f t="shared" si="39"/>
        <v>111</v>
      </c>
      <c r="AJ62" s="2537"/>
      <c r="AK62" s="2537"/>
      <c r="AL62" s="2537"/>
      <c r="AM62" s="1135">
        <f t="shared" si="13"/>
        <v>95</v>
      </c>
      <c r="AN62" s="2537"/>
      <c r="AO62" s="1683">
        <f t="shared" si="14"/>
        <v>111</v>
      </c>
      <c r="AP62" s="2537"/>
      <c r="AQ62" s="2537"/>
      <c r="AR62" s="2537"/>
      <c r="AS62" s="1683">
        <f t="shared" si="58"/>
        <v>111</v>
      </c>
      <c r="AT62" s="2537"/>
      <c r="AU62" s="2537">
        <v>1</v>
      </c>
      <c r="AV62" s="2537"/>
      <c r="AW62" s="1683">
        <f t="shared" si="59"/>
        <v>112</v>
      </c>
      <c r="AX62" s="2537"/>
      <c r="AY62" s="2537">
        <v>16</v>
      </c>
      <c r="AZ62" s="2537"/>
      <c r="BA62" s="1135">
        <f t="shared" ref="BA62:BA64" si="63">+AQ62+AU62+AY62</f>
        <v>17</v>
      </c>
      <c r="BB62" s="1185"/>
      <c r="BC62" s="539">
        <f t="shared" ref="BC62:BC64" si="64">BA62+AM62</f>
        <v>112</v>
      </c>
      <c r="BD62" s="2537"/>
      <c r="BE62" s="371">
        <f t="shared" si="60"/>
        <v>128</v>
      </c>
      <c r="BF62" s="1202"/>
      <c r="BH62" s="26"/>
      <c r="BI62" s="26"/>
    </row>
    <row r="63" spans="1:61" ht="15.6" customHeight="1" x14ac:dyDescent="0.3">
      <c r="B63" s="8" t="s">
        <v>1854</v>
      </c>
      <c r="C63" s="2546" t="s">
        <v>354</v>
      </c>
      <c r="D63" s="2561"/>
      <c r="E63" s="2537"/>
      <c r="F63" s="2537"/>
      <c r="G63" s="2537"/>
      <c r="H63" s="3215"/>
      <c r="I63" s="1633">
        <f t="shared" si="36"/>
        <v>0</v>
      </c>
      <c r="J63" s="2537"/>
      <c r="K63" s="2537"/>
      <c r="L63" s="2547"/>
      <c r="M63" s="1135">
        <f t="shared" si="37"/>
        <v>0</v>
      </c>
      <c r="N63" s="2537"/>
      <c r="O63" s="2537">
        <v>7</v>
      </c>
      <c r="P63" s="2537"/>
      <c r="Q63" s="1630">
        <f t="shared" si="61"/>
        <v>7</v>
      </c>
      <c r="R63" s="2537"/>
      <c r="S63" s="2537"/>
      <c r="T63" s="2537"/>
      <c r="U63" s="1630">
        <f t="shared" si="62"/>
        <v>7</v>
      </c>
      <c r="V63" s="2537"/>
      <c r="W63" s="2537"/>
      <c r="X63" s="2547"/>
      <c r="Y63" s="1135">
        <f t="shared" si="9"/>
        <v>7</v>
      </c>
      <c r="Z63" s="2537"/>
      <c r="AA63" s="539">
        <f t="shared" si="10"/>
        <v>7</v>
      </c>
      <c r="AB63" s="2537"/>
      <c r="AC63" s="2537">
        <v>3</v>
      </c>
      <c r="AD63" s="2537"/>
      <c r="AE63" s="1683">
        <f t="shared" si="57"/>
        <v>10</v>
      </c>
      <c r="AF63" s="2537"/>
      <c r="AG63" s="2537"/>
      <c r="AH63" s="2537"/>
      <c r="AI63" s="775">
        <f t="shared" si="39"/>
        <v>10</v>
      </c>
      <c r="AJ63" s="2537"/>
      <c r="AK63" s="2537">
        <v>15</v>
      </c>
      <c r="AL63" s="2537"/>
      <c r="AM63" s="1135">
        <f t="shared" si="13"/>
        <v>18</v>
      </c>
      <c r="AN63" s="2537"/>
      <c r="AO63" s="1683">
        <f t="shared" si="14"/>
        <v>25</v>
      </c>
      <c r="AP63" s="2537"/>
      <c r="AQ63" s="2537"/>
      <c r="AR63" s="2537"/>
      <c r="AS63" s="1683">
        <f t="shared" si="58"/>
        <v>25</v>
      </c>
      <c r="AT63" s="2537"/>
      <c r="AU63" s="2537"/>
      <c r="AV63" s="2537"/>
      <c r="AW63" s="1683">
        <f t="shared" si="59"/>
        <v>25</v>
      </c>
      <c r="AX63" s="2537"/>
      <c r="AY63" s="2537"/>
      <c r="AZ63" s="2537"/>
      <c r="BA63" s="1135">
        <f t="shared" si="63"/>
        <v>0</v>
      </c>
      <c r="BB63" s="1185"/>
      <c r="BC63" s="539">
        <f t="shared" si="64"/>
        <v>18</v>
      </c>
      <c r="BD63" s="2537"/>
      <c r="BE63" s="371">
        <f t="shared" si="60"/>
        <v>25</v>
      </c>
      <c r="BF63" s="1202"/>
      <c r="BH63" s="26"/>
      <c r="BI63" s="26"/>
    </row>
    <row r="64" spans="1:61" ht="15.6" customHeight="1" x14ac:dyDescent="0.3">
      <c r="B64" s="3177" t="s">
        <v>1754</v>
      </c>
      <c r="C64" s="156" t="s">
        <v>354</v>
      </c>
      <c r="D64" s="592"/>
      <c r="E64" s="1185"/>
      <c r="F64" s="1185"/>
      <c r="G64" s="1185"/>
      <c r="H64" s="1630"/>
      <c r="I64" s="1633">
        <f t="shared" si="36"/>
        <v>0</v>
      </c>
      <c r="J64" s="1185"/>
      <c r="K64" s="1185"/>
      <c r="L64" s="197"/>
      <c r="M64" s="1135">
        <f t="shared" si="37"/>
        <v>0</v>
      </c>
      <c r="N64" s="1185"/>
      <c r="O64" s="1185">
        <v>206</v>
      </c>
      <c r="P64" s="1185"/>
      <c r="Q64" s="1630">
        <f t="shared" si="61"/>
        <v>206</v>
      </c>
      <c r="R64" s="1185"/>
      <c r="S64" s="1185">
        <v>23</v>
      </c>
      <c r="T64" s="1185"/>
      <c r="U64" s="1630">
        <f t="shared" si="62"/>
        <v>229</v>
      </c>
      <c r="V64" s="1185"/>
      <c r="W64" s="1185"/>
      <c r="X64" s="197"/>
      <c r="Y64" s="1135">
        <f t="shared" si="9"/>
        <v>229</v>
      </c>
      <c r="Z64" s="1185"/>
      <c r="AA64" s="539">
        <f t="shared" si="10"/>
        <v>229</v>
      </c>
      <c r="AB64" s="1185"/>
      <c r="AC64" s="1185"/>
      <c r="AD64" s="1185"/>
      <c r="AE64" s="1683">
        <f t="shared" si="57"/>
        <v>229</v>
      </c>
      <c r="AF64" s="1185"/>
      <c r="AG64" s="1185"/>
      <c r="AH64" s="1185"/>
      <c r="AI64" s="775">
        <f t="shared" si="39"/>
        <v>229</v>
      </c>
      <c r="AJ64" s="1185"/>
      <c r="AK64" s="1185"/>
      <c r="AL64" s="1185"/>
      <c r="AM64" s="1135">
        <f t="shared" si="13"/>
        <v>0</v>
      </c>
      <c r="AN64" s="1185"/>
      <c r="AO64" s="1683">
        <f t="shared" si="14"/>
        <v>229</v>
      </c>
      <c r="AP64" s="1185"/>
      <c r="AQ64" s="1185"/>
      <c r="AR64" s="1185"/>
      <c r="AS64" s="1683">
        <f t="shared" si="58"/>
        <v>229</v>
      </c>
      <c r="AT64" s="1185"/>
      <c r="AU64" s="1185"/>
      <c r="AV64" s="1185"/>
      <c r="AW64" s="1683">
        <f t="shared" si="59"/>
        <v>229</v>
      </c>
      <c r="AX64" s="1185"/>
      <c r="AY64" s="1185">
        <v>159</v>
      </c>
      <c r="AZ64" s="1185"/>
      <c r="BA64" s="1135">
        <f t="shared" si="63"/>
        <v>159</v>
      </c>
      <c r="BB64" s="1185"/>
      <c r="BC64" s="539">
        <f t="shared" si="64"/>
        <v>159</v>
      </c>
      <c r="BD64" s="1185"/>
      <c r="BE64" s="371">
        <f t="shared" si="60"/>
        <v>388</v>
      </c>
      <c r="BF64" s="1202"/>
      <c r="BH64" s="26"/>
      <c r="BI64" s="26"/>
    </row>
    <row r="65" spans="2:61" ht="15.6" customHeight="1" x14ac:dyDescent="0.3">
      <c r="B65" s="8" t="s">
        <v>1884</v>
      </c>
      <c r="C65" s="156" t="s">
        <v>354</v>
      </c>
      <c r="D65" s="592"/>
      <c r="E65" s="1185">
        <v>42.03</v>
      </c>
      <c r="F65" s="1185"/>
      <c r="G65" s="1185">
        <v>23.98</v>
      </c>
      <c r="H65" s="1630"/>
      <c r="I65" s="1633">
        <f t="shared" si="36"/>
        <v>66.010000000000005</v>
      </c>
      <c r="J65" s="1185"/>
      <c r="K65" s="1185">
        <v>28.62</v>
      </c>
      <c r="L65" s="197"/>
      <c r="M65" s="1135">
        <f t="shared" si="37"/>
        <v>94.63000000000001</v>
      </c>
      <c r="N65" s="1185"/>
      <c r="O65" s="1185">
        <v>66.609999999999985</v>
      </c>
      <c r="P65" s="1185"/>
      <c r="Q65" s="1630">
        <f t="shared" si="61"/>
        <v>161.24</v>
      </c>
      <c r="R65" s="1185"/>
      <c r="S65" s="1185">
        <v>39.630000000000003</v>
      </c>
      <c r="T65" s="1185"/>
      <c r="U65" s="1630">
        <f t="shared" si="62"/>
        <v>200.87</v>
      </c>
      <c r="V65" s="1185"/>
      <c r="W65" s="1185">
        <v>20.159999999999997</v>
      </c>
      <c r="X65" s="197"/>
      <c r="Y65" s="1135">
        <f t="shared" ref="Y65" si="65">+O65+S65+W65</f>
        <v>126.39999999999998</v>
      </c>
      <c r="Z65" s="1185"/>
      <c r="AA65" s="539">
        <f t="shared" ref="AA65:AA137" si="66">M65+Y65</f>
        <v>221.02999999999997</v>
      </c>
      <c r="AB65" s="1185"/>
      <c r="AC65" s="1185">
        <v>7.07</v>
      </c>
      <c r="AD65" s="1185"/>
      <c r="AE65" s="1683">
        <f t="shared" si="57"/>
        <v>228.09999999999997</v>
      </c>
      <c r="AF65" s="1185"/>
      <c r="AG65" s="1185">
        <v>14.83</v>
      </c>
      <c r="AH65" s="1185"/>
      <c r="AI65" s="775">
        <f t="shared" si="39"/>
        <v>242.92999999999998</v>
      </c>
      <c r="AJ65" s="1185"/>
      <c r="AK65" s="1185">
        <v>34.61</v>
      </c>
      <c r="AL65" s="1185"/>
      <c r="AM65" s="1135">
        <f t="shared" ref="AM65:AM71" si="67">+AC65+AG65+AK65</f>
        <v>56.51</v>
      </c>
      <c r="AN65" s="1185"/>
      <c r="AO65" s="1683">
        <f t="shared" si="14"/>
        <v>277.53999999999996</v>
      </c>
      <c r="AP65" s="1185"/>
      <c r="AQ65" s="1185">
        <v>26.040000000000003</v>
      </c>
      <c r="AR65" s="1185"/>
      <c r="AS65" s="1683">
        <f t="shared" si="58"/>
        <v>303.58</v>
      </c>
      <c r="AT65" s="1185"/>
      <c r="AU65" s="1185">
        <v>11.51</v>
      </c>
      <c r="AV65" s="1185"/>
      <c r="AW65" s="1683">
        <f t="shared" si="59"/>
        <v>315.08999999999997</v>
      </c>
      <c r="AX65" s="1185"/>
      <c r="AY65" s="1185">
        <v>9.16</v>
      </c>
      <c r="AZ65" s="1185"/>
      <c r="BA65" s="1135">
        <f t="shared" ref="BA65:BA137" si="68">+AQ65+AU65+AY65</f>
        <v>46.710000000000008</v>
      </c>
      <c r="BB65" s="1185"/>
      <c r="BC65" s="539">
        <f t="shared" si="19"/>
        <v>103.22</v>
      </c>
      <c r="BD65" s="1185"/>
      <c r="BE65" s="371">
        <f t="shared" si="60"/>
        <v>324.25</v>
      </c>
      <c r="BF65" s="1202"/>
      <c r="BH65" s="26"/>
      <c r="BI65" s="26"/>
    </row>
    <row r="66" spans="2:61" ht="15.6" customHeight="1" x14ac:dyDescent="0.3">
      <c r="B66" s="8" t="s">
        <v>1591</v>
      </c>
      <c r="C66" s="156" t="s">
        <v>354</v>
      </c>
      <c r="D66" s="592"/>
      <c r="E66" s="1185"/>
      <c r="F66" s="1185"/>
      <c r="G66" s="1185"/>
      <c r="H66" s="1630"/>
      <c r="I66" s="1633">
        <f t="shared" si="36"/>
        <v>0</v>
      </c>
      <c r="J66" s="1185"/>
      <c r="K66" s="1185"/>
      <c r="L66" s="197"/>
      <c r="M66" s="1135">
        <f t="shared" si="37"/>
        <v>0</v>
      </c>
      <c r="N66" s="1185"/>
      <c r="O66" s="1185"/>
      <c r="P66" s="1185"/>
      <c r="Q66" s="1630">
        <f t="shared" si="61"/>
        <v>0</v>
      </c>
      <c r="R66" s="1185"/>
      <c r="S66" s="1185"/>
      <c r="T66" s="1185"/>
      <c r="U66" s="1630">
        <f t="shared" si="62"/>
        <v>0</v>
      </c>
      <c r="V66" s="1185"/>
      <c r="W66" s="1185">
        <v>2.5</v>
      </c>
      <c r="X66" s="197"/>
      <c r="Y66" s="1135">
        <f t="shared" ref="Y66:Y137" si="69">+O66+S66+W66</f>
        <v>2.5</v>
      </c>
      <c r="Z66" s="1185"/>
      <c r="AA66" s="539">
        <f t="shared" si="66"/>
        <v>2.5</v>
      </c>
      <c r="AB66" s="1185"/>
      <c r="AC66" s="1185"/>
      <c r="AD66" s="1185"/>
      <c r="AE66" s="1683">
        <f t="shared" si="57"/>
        <v>2.5</v>
      </c>
      <c r="AF66" s="1185"/>
      <c r="AG66" s="1185"/>
      <c r="AH66" s="1185"/>
      <c r="AI66" s="775">
        <f t="shared" si="39"/>
        <v>2.5</v>
      </c>
      <c r="AJ66" s="1185"/>
      <c r="AK66" s="1185"/>
      <c r="AL66" s="1185"/>
      <c r="AM66" s="1135">
        <f t="shared" si="67"/>
        <v>0</v>
      </c>
      <c r="AN66" s="1185"/>
      <c r="AO66" s="1683">
        <f t="shared" si="14"/>
        <v>2.5</v>
      </c>
      <c r="AP66" s="1185"/>
      <c r="AQ66" s="1185">
        <v>19.989999999999998</v>
      </c>
      <c r="AR66" s="1185"/>
      <c r="AS66" s="1683">
        <f t="shared" si="58"/>
        <v>22.49</v>
      </c>
      <c r="AT66" s="1185"/>
      <c r="AU66" s="1185"/>
      <c r="AV66" s="1185"/>
      <c r="AW66" s="1683">
        <f t="shared" si="59"/>
        <v>22.49</v>
      </c>
      <c r="AX66" s="1185"/>
      <c r="AY66" s="1185"/>
      <c r="AZ66" s="1185"/>
      <c r="BA66" s="1135">
        <f t="shared" si="68"/>
        <v>19.989999999999998</v>
      </c>
      <c r="BB66" s="1185"/>
      <c r="BC66" s="539">
        <f t="shared" ref="BC66:BC138" si="70">BA66+AM66</f>
        <v>19.989999999999998</v>
      </c>
      <c r="BD66" s="1185"/>
      <c r="BE66" s="371">
        <f t="shared" si="60"/>
        <v>22.49</v>
      </c>
      <c r="BF66" s="1202"/>
      <c r="BH66" s="26"/>
      <c r="BI66" s="26"/>
    </row>
    <row r="67" spans="2:61" ht="15.6" customHeight="1" x14ac:dyDescent="0.3">
      <c r="B67" s="3177" t="s">
        <v>1361</v>
      </c>
      <c r="C67" s="784" t="s">
        <v>354</v>
      </c>
      <c r="D67" s="3178"/>
      <c r="E67" s="1186"/>
      <c r="F67" s="1186"/>
      <c r="G67" s="1186"/>
      <c r="H67" s="3179"/>
      <c r="I67" s="1633">
        <f t="shared" si="36"/>
        <v>0</v>
      </c>
      <c r="J67" s="1185"/>
      <c r="K67" s="1186">
        <v>499.28</v>
      </c>
      <c r="L67" s="197"/>
      <c r="M67" s="1135">
        <f t="shared" si="37"/>
        <v>499.28</v>
      </c>
      <c r="N67" s="1185"/>
      <c r="O67" s="1186"/>
      <c r="P67" s="1185"/>
      <c r="Q67" s="1630">
        <f t="shared" si="61"/>
        <v>499.28</v>
      </c>
      <c r="R67" s="1185"/>
      <c r="S67" s="1186">
        <v>498.38</v>
      </c>
      <c r="T67" s="1185"/>
      <c r="U67" s="1630">
        <f t="shared" si="62"/>
        <v>997.66</v>
      </c>
      <c r="V67" s="1185"/>
      <c r="W67" s="1186"/>
      <c r="X67" s="197"/>
      <c r="Y67" s="1135">
        <f t="shared" si="69"/>
        <v>498.38</v>
      </c>
      <c r="Z67" s="1185"/>
      <c r="AA67" s="539">
        <f t="shared" si="66"/>
        <v>997.66</v>
      </c>
      <c r="AB67" s="1185"/>
      <c r="AC67" s="1186">
        <v>228.4</v>
      </c>
      <c r="AD67" s="1185"/>
      <c r="AE67" s="1683">
        <f t="shared" si="57"/>
        <v>1226.06</v>
      </c>
      <c r="AF67" s="1185"/>
      <c r="AG67" s="1186">
        <v>1771.32</v>
      </c>
      <c r="AH67" s="1185"/>
      <c r="AI67" s="775">
        <f t="shared" si="39"/>
        <v>2997.38</v>
      </c>
      <c r="AJ67" s="1185"/>
      <c r="AK67" s="1186">
        <v>1999.91</v>
      </c>
      <c r="AL67" s="1185"/>
      <c r="AM67" s="1135">
        <f t="shared" si="67"/>
        <v>3999.63</v>
      </c>
      <c r="AN67" s="1185"/>
      <c r="AO67" s="1683">
        <f t="shared" si="14"/>
        <v>4997.29</v>
      </c>
      <c r="AP67" s="1185"/>
      <c r="AQ67" s="1186">
        <v>353.26</v>
      </c>
      <c r="AR67" s="1185"/>
      <c r="AS67" s="1683">
        <f t="shared" si="58"/>
        <v>5350.55</v>
      </c>
      <c r="AT67" s="1185"/>
      <c r="AU67" s="1186"/>
      <c r="AV67" s="1185"/>
      <c r="AW67" s="1683">
        <f t="shared" si="59"/>
        <v>5350.55</v>
      </c>
      <c r="AX67" s="1185"/>
      <c r="AY67" s="1186"/>
      <c r="AZ67" s="1185"/>
      <c r="BA67" s="1135">
        <f t="shared" si="68"/>
        <v>353.26</v>
      </c>
      <c r="BB67" s="1185"/>
      <c r="BC67" s="539">
        <f t="shared" si="70"/>
        <v>4352.8900000000003</v>
      </c>
      <c r="BD67" s="1185"/>
      <c r="BE67" s="371">
        <f t="shared" si="60"/>
        <v>5350.55</v>
      </c>
      <c r="BF67" s="1202"/>
      <c r="BH67" s="26"/>
      <c r="BI67" s="26"/>
    </row>
    <row r="68" spans="2:61" ht="15.6" customHeight="1" x14ac:dyDescent="0.3">
      <c r="B68" s="8" t="s">
        <v>1408</v>
      </c>
      <c r="C68" s="156" t="s">
        <v>354</v>
      </c>
      <c r="D68" s="592"/>
      <c r="E68" s="1185">
        <v>4503.93</v>
      </c>
      <c r="F68" s="1185"/>
      <c r="G68" s="1185">
        <v>618.07000000000005</v>
      </c>
      <c r="H68" s="1630"/>
      <c r="I68" s="1633">
        <f t="shared" si="36"/>
        <v>5122</v>
      </c>
      <c r="J68" s="1185"/>
      <c r="K68" s="1185">
        <v>2504.23</v>
      </c>
      <c r="L68" s="197"/>
      <c r="M68" s="1135">
        <f t="shared" si="37"/>
        <v>7626.23</v>
      </c>
      <c r="N68" s="1185"/>
      <c r="O68" s="1185">
        <v>1876.0100000000011</v>
      </c>
      <c r="P68" s="1185"/>
      <c r="Q68" s="1630">
        <f t="shared" si="61"/>
        <v>9502.2400000000016</v>
      </c>
      <c r="R68" s="1185"/>
      <c r="S68" s="1185"/>
      <c r="T68" s="1185"/>
      <c r="U68" s="1630">
        <f t="shared" si="62"/>
        <v>9502.2400000000016</v>
      </c>
      <c r="V68" s="1185"/>
      <c r="W68" s="1185"/>
      <c r="X68" s="197"/>
      <c r="Y68" s="1135">
        <f t="shared" si="69"/>
        <v>1876.0100000000011</v>
      </c>
      <c r="Z68" s="1185"/>
      <c r="AA68" s="539">
        <f t="shared" si="66"/>
        <v>9502.2400000000016</v>
      </c>
      <c r="AB68" s="1185"/>
      <c r="AC68" s="1185">
        <v>997.59</v>
      </c>
      <c r="AD68" s="1185"/>
      <c r="AE68" s="1683">
        <f t="shared" si="57"/>
        <v>10499.830000000002</v>
      </c>
      <c r="AF68" s="1185"/>
      <c r="AG68" s="1185">
        <v>4999.29</v>
      </c>
      <c r="AH68" s="1185"/>
      <c r="AI68" s="775">
        <f t="shared" si="39"/>
        <v>15499.120000000003</v>
      </c>
      <c r="AJ68" s="1185"/>
      <c r="AK68" s="1185"/>
      <c r="AL68" s="1185"/>
      <c r="AM68" s="1135">
        <f t="shared" si="67"/>
        <v>5996.88</v>
      </c>
      <c r="AN68" s="1185"/>
      <c r="AO68" s="1683">
        <f t="shared" ref="AO68:AO96" si="71">AI68+AK68</f>
        <v>15499.120000000003</v>
      </c>
      <c r="AP68" s="1185"/>
      <c r="AQ68" s="1185"/>
      <c r="AR68" s="1185"/>
      <c r="AS68" s="1683">
        <f t="shared" si="58"/>
        <v>15499.120000000003</v>
      </c>
      <c r="AT68" s="1185"/>
      <c r="AU68" s="1185"/>
      <c r="AV68" s="1185"/>
      <c r="AW68" s="1683">
        <f t="shared" si="59"/>
        <v>15499.120000000003</v>
      </c>
      <c r="AX68" s="1185"/>
      <c r="AY68" s="1185"/>
      <c r="AZ68" s="1185"/>
      <c r="BA68" s="1135">
        <f t="shared" si="68"/>
        <v>0</v>
      </c>
      <c r="BB68" s="1185"/>
      <c r="BC68" s="539">
        <f t="shared" si="70"/>
        <v>5996.88</v>
      </c>
      <c r="BD68" s="1185"/>
      <c r="BE68" s="371">
        <f t="shared" si="60"/>
        <v>15499.120000000003</v>
      </c>
      <c r="BF68" s="1202"/>
      <c r="BH68" s="26"/>
      <c r="BI68" s="26"/>
    </row>
    <row r="69" spans="2:61" ht="15.6" customHeight="1" x14ac:dyDescent="0.3">
      <c r="B69" s="8" t="s">
        <v>1883</v>
      </c>
      <c r="C69" s="156" t="s">
        <v>354</v>
      </c>
      <c r="D69" s="592"/>
      <c r="E69" s="1185">
        <v>38</v>
      </c>
      <c r="F69" s="1185"/>
      <c r="G69" s="1185">
        <v>10</v>
      </c>
      <c r="H69" s="1630"/>
      <c r="I69" s="1633">
        <f t="shared" si="36"/>
        <v>48</v>
      </c>
      <c r="J69" s="1185"/>
      <c r="K69" s="1185"/>
      <c r="L69" s="197"/>
      <c r="M69" s="1135">
        <f t="shared" si="37"/>
        <v>48</v>
      </c>
      <c r="N69" s="1185"/>
      <c r="O69" s="1185"/>
      <c r="P69" s="1185"/>
      <c r="Q69" s="1630">
        <f t="shared" si="61"/>
        <v>48</v>
      </c>
      <c r="R69" s="1185"/>
      <c r="S69" s="1185"/>
      <c r="T69" s="1185"/>
      <c r="U69" s="1630">
        <f t="shared" si="62"/>
        <v>48</v>
      </c>
      <c r="V69" s="1185"/>
      <c r="W69" s="1185"/>
      <c r="X69" s="197"/>
      <c r="Y69" s="1135">
        <f t="shared" si="69"/>
        <v>0</v>
      </c>
      <c r="Z69" s="1185"/>
      <c r="AA69" s="539">
        <f t="shared" si="66"/>
        <v>48</v>
      </c>
      <c r="AB69" s="1185"/>
      <c r="AC69" s="1185"/>
      <c r="AD69" s="1185"/>
      <c r="AE69" s="1683">
        <f t="shared" si="57"/>
        <v>48</v>
      </c>
      <c r="AF69" s="1185"/>
      <c r="AG69" s="1185">
        <v>21</v>
      </c>
      <c r="AH69" s="1185"/>
      <c r="AI69" s="775">
        <f t="shared" si="39"/>
        <v>69</v>
      </c>
      <c r="AJ69" s="1185"/>
      <c r="AK69" s="1185">
        <v>106</v>
      </c>
      <c r="AL69" s="1185"/>
      <c r="AM69" s="1135">
        <f t="shared" si="67"/>
        <v>127</v>
      </c>
      <c r="AN69" s="1185"/>
      <c r="AO69" s="1683">
        <f t="shared" si="71"/>
        <v>175</v>
      </c>
      <c r="AP69" s="1185"/>
      <c r="AQ69" s="1185"/>
      <c r="AR69" s="1185"/>
      <c r="AS69" s="1683">
        <f t="shared" si="58"/>
        <v>175</v>
      </c>
      <c r="AT69" s="1185"/>
      <c r="AU69" s="1185"/>
      <c r="AV69" s="1185"/>
      <c r="AW69" s="1683">
        <f t="shared" si="59"/>
        <v>175</v>
      </c>
      <c r="AX69" s="1185"/>
      <c r="AY69" s="1185"/>
      <c r="AZ69" s="1185"/>
      <c r="BA69" s="1135">
        <f t="shared" si="68"/>
        <v>0</v>
      </c>
      <c r="BB69" s="1185"/>
      <c r="BC69" s="539">
        <f t="shared" si="70"/>
        <v>127</v>
      </c>
      <c r="BD69" s="1185"/>
      <c r="BE69" s="371">
        <f>+AW69+AY69</f>
        <v>175</v>
      </c>
      <c r="BF69" s="1202"/>
      <c r="BH69" s="26"/>
      <c r="BI69" s="26"/>
    </row>
    <row r="70" spans="2:61" ht="15.6" customHeight="1" x14ac:dyDescent="0.3">
      <c r="B70" s="4442" t="s">
        <v>2320</v>
      </c>
      <c r="C70" s="156" t="s">
        <v>354</v>
      </c>
      <c r="D70" s="5347"/>
      <c r="E70" s="5119"/>
      <c r="F70" s="5119"/>
      <c r="G70" s="5119"/>
      <c r="H70" s="5352"/>
      <c r="I70" s="5417"/>
      <c r="J70" s="5119"/>
      <c r="K70" s="5119"/>
      <c r="L70" s="5359"/>
      <c r="M70" s="5351"/>
      <c r="N70" s="5119"/>
      <c r="O70" s="5119"/>
      <c r="P70" s="5119"/>
      <c r="Q70" s="5352"/>
      <c r="R70" s="5119"/>
      <c r="S70" s="5119"/>
      <c r="T70" s="5119"/>
      <c r="U70" s="5352"/>
      <c r="V70" s="5119"/>
      <c r="W70" s="5119"/>
      <c r="X70" s="5359"/>
      <c r="Y70" s="5351"/>
      <c r="Z70" s="5119"/>
      <c r="AA70" s="5415"/>
      <c r="AB70" s="5119"/>
      <c r="AC70" s="5119"/>
      <c r="AD70" s="5119"/>
      <c r="AE70" s="5367"/>
      <c r="AF70" s="5119"/>
      <c r="AG70" s="5119"/>
      <c r="AH70" s="5119"/>
      <c r="AI70" s="5120"/>
      <c r="AJ70" s="5119"/>
      <c r="AK70" s="5119"/>
      <c r="AL70" s="5119"/>
      <c r="AM70" s="5351"/>
      <c r="AN70" s="5119"/>
      <c r="AO70" s="5367"/>
      <c r="AP70" s="5119"/>
      <c r="AQ70" s="5119"/>
      <c r="AR70" s="5119"/>
      <c r="AS70" s="5367"/>
      <c r="AT70" s="5119"/>
      <c r="AU70" s="5119">
        <v>12.23</v>
      </c>
      <c r="AV70" s="5119"/>
      <c r="AW70" s="1683">
        <f t="shared" si="59"/>
        <v>12.23</v>
      </c>
      <c r="AX70" s="5119"/>
      <c r="AY70" s="5119"/>
      <c r="AZ70" s="5119"/>
      <c r="BA70" s="1135">
        <f t="shared" ref="BA70:BA74" si="72">+AQ70+AU70+AY70</f>
        <v>12.23</v>
      </c>
      <c r="BB70" s="1185"/>
      <c r="BC70" s="539">
        <f t="shared" ref="BC70:BC74" si="73">BA70+AM70</f>
        <v>12.23</v>
      </c>
      <c r="BD70" s="1185"/>
      <c r="BE70" s="371">
        <f t="shared" ref="BE70:BE74" si="74">+AW70+AY70</f>
        <v>12.23</v>
      </c>
      <c r="BF70" s="1202"/>
      <c r="BH70" s="26"/>
      <c r="BI70" s="26"/>
    </row>
    <row r="71" spans="2:61" ht="15.6" customHeight="1" x14ac:dyDescent="0.3">
      <c r="B71" s="8" t="s">
        <v>1274</v>
      </c>
      <c r="C71" s="156" t="s">
        <v>354</v>
      </c>
      <c r="D71" s="592"/>
      <c r="E71" s="1185"/>
      <c r="F71" s="1185"/>
      <c r="G71" s="1185"/>
      <c r="H71" s="1630"/>
      <c r="I71" s="1633">
        <f t="shared" si="36"/>
        <v>0</v>
      </c>
      <c r="J71" s="1185"/>
      <c r="K71" s="1185">
        <v>44</v>
      </c>
      <c r="L71" s="197"/>
      <c r="M71" s="1135">
        <f t="shared" si="37"/>
        <v>44</v>
      </c>
      <c r="N71" s="1185"/>
      <c r="O71" s="1185">
        <v>55</v>
      </c>
      <c r="P71" s="1185"/>
      <c r="Q71" s="1630">
        <f t="shared" si="61"/>
        <v>99</v>
      </c>
      <c r="R71" s="1185"/>
      <c r="S71" s="1185"/>
      <c r="T71" s="1185"/>
      <c r="U71" s="1630">
        <f t="shared" si="62"/>
        <v>99</v>
      </c>
      <c r="V71" s="1185"/>
      <c r="W71" s="1185"/>
      <c r="X71" s="197"/>
      <c r="Y71" s="1135">
        <f t="shared" si="69"/>
        <v>55</v>
      </c>
      <c r="Z71" s="1185"/>
      <c r="AA71" s="539">
        <f t="shared" si="66"/>
        <v>99</v>
      </c>
      <c r="AB71" s="1185"/>
      <c r="AC71" s="1185"/>
      <c r="AD71" s="1185"/>
      <c r="AE71" s="1683">
        <f t="shared" si="57"/>
        <v>99</v>
      </c>
      <c r="AF71" s="1185"/>
      <c r="AG71" s="1185"/>
      <c r="AH71" s="1185"/>
      <c r="AI71" s="775">
        <f t="shared" si="39"/>
        <v>99</v>
      </c>
      <c r="AJ71" s="1185"/>
      <c r="AK71" s="1185">
        <v>228</v>
      </c>
      <c r="AL71" s="1185"/>
      <c r="AM71" s="1135">
        <f t="shared" si="67"/>
        <v>228</v>
      </c>
      <c r="AN71" s="1185"/>
      <c r="AO71" s="1683">
        <f t="shared" si="71"/>
        <v>327</v>
      </c>
      <c r="AP71" s="1185"/>
      <c r="AQ71" s="1185"/>
      <c r="AR71" s="1185"/>
      <c r="AS71" s="1683">
        <f t="shared" si="58"/>
        <v>327</v>
      </c>
      <c r="AT71" s="1185"/>
      <c r="AU71" s="1185">
        <v>30</v>
      </c>
      <c r="AV71" s="1185"/>
      <c r="AW71" s="1683">
        <f t="shared" si="59"/>
        <v>357</v>
      </c>
      <c r="AX71" s="1185"/>
      <c r="AY71" s="1185">
        <v>50</v>
      </c>
      <c r="AZ71" s="1185"/>
      <c r="BA71" s="1135">
        <f t="shared" si="72"/>
        <v>80</v>
      </c>
      <c r="BB71" s="1185"/>
      <c r="BC71" s="539">
        <f t="shared" si="73"/>
        <v>308</v>
      </c>
      <c r="BD71" s="1185"/>
      <c r="BE71" s="371">
        <f t="shared" si="74"/>
        <v>407</v>
      </c>
      <c r="BF71" s="1202"/>
      <c r="BH71" s="26"/>
      <c r="BI71" s="26"/>
    </row>
    <row r="72" spans="2:61" ht="15.6" customHeight="1" x14ac:dyDescent="0.3">
      <c r="B72" s="4442" t="s">
        <v>2331</v>
      </c>
      <c r="C72" s="156" t="s">
        <v>354</v>
      </c>
      <c r="D72" s="5347"/>
      <c r="E72" s="5119"/>
      <c r="F72" s="5119"/>
      <c r="G72" s="5119"/>
      <c r="H72" s="5352"/>
      <c r="I72" s="5417"/>
      <c r="J72" s="5119"/>
      <c r="K72" s="5119"/>
      <c r="L72" s="5359"/>
      <c r="M72" s="5351"/>
      <c r="N72" s="5119"/>
      <c r="O72" s="5119"/>
      <c r="P72" s="5119"/>
      <c r="Q72" s="5352"/>
      <c r="R72" s="5119"/>
      <c r="S72" s="5119"/>
      <c r="T72" s="5119"/>
      <c r="U72" s="5352"/>
      <c r="V72" s="5119"/>
      <c r="W72" s="5119"/>
      <c r="X72" s="5359"/>
      <c r="Y72" s="5351"/>
      <c r="Z72" s="5119"/>
      <c r="AA72" s="5415"/>
      <c r="AB72" s="5119"/>
      <c r="AC72" s="5119"/>
      <c r="AD72" s="5119"/>
      <c r="AE72" s="5367"/>
      <c r="AF72" s="5119"/>
      <c r="AG72" s="5119"/>
      <c r="AH72" s="5119"/>
      <c r="AI72" s="5120"/>
      <c r="AJ72" s="5119"/>
      <c r="AK72" s="5119"/>
      <c r="AL72" s="5119"/>
      <c r="AM72" s="5351"/>
      <c r="AN72" s="5119"/>
      <c r="AO72" s="5367"/>
      <c r="AP72" s="5119"/>
      <c r="AQ72" s="5119"/>
      <c r="AR72" s="5119"/>
      <c r="AS72" s="5367"/>
      <c r="AT72" s="5119"/>
      <c r="AU72" s="5119"/>
      <c r="AV72" s="5119"/>
      <c r="AW72" s="5367"/>
      <c r="AX72" s="5119"/>
      <c r="AY72" s="5119">
        <v>64.959999999999994</v>
      </c>
      <c r="AZ72" s="5119"/>
      <c r="BA72" s="1135">
        <f t="shared" si="72"/>
        <v>64.959999999999994</v>
      </c>
      <c r="BB72" s="1185"/>
      <c r="BC72" s="539">
        <f t="shared" si="73"/>
        <v>64.959999999999994</v>
      </c>
      <c r="BD72" s="1185"/>
      <c r="BE72" s="371">
        <f t="shared" si="74"/>
        <v>64.959999999999994</v>
      </c>
      <c r="BF72" s="1202"/>
      <c r="BH72" s="26"/>
      <c r="BI72" s="26"/>
    </row>
    <row r="73" spans="2:61" ht="15.6" customHeight="1" x14ac:dyDescent="0.3">
      <c r="B73" s="4442" t="s">
        <v>2322</v>
      </c>
      <c r="C73" s="156" t="s">
        <v>354</v>
      </c>
      <c r="D73" s="5347"/>
      <c r="E73" s="5119"/>
      <c r="F73" s="5119"/>
      <c r="G73" s="5119"/>
      <c r="H73" s="5352"/>
      <c r="I73" s="5417"/>
      <c r="J73" s="5119"/>
      <c r="K73" s="5119"/>
      <c r="L73" s="5359"/>
      <c r="M73" s="5351"/>
      <c r="N73" s="5119"/>
      <c r="O73" s="5119"/>
      <c r="P73" s="5119"/>
      <c r="Q73" s="5352"/>
      <c r="R73" s="5119"/>
      <c r="S73" s="5119"/>
      <c r="T73" s="5119"/>
      <c r="U73" s="5352"/>
      <c r="V73" s="5119"/>
      <c r="W73" s="5119"/>
      <c r="X73" s="5359"/>
      <c r="Y73" s="5351"/>
      <c r="Z73" s="5119"/>
      <c r="AA73" s="5415"/>
      <c r="AB73" s="5119"/>
      <c r="AC73" s="5119"/>
      <c r="AD73" s="5119"/>
      <c r="AE73" s="5367"/>
      <c r="AF73" s="5119"/>
      <c r="AG73" s="5119"/>
      <c r="AH73" s="5119"/>
      <c r="AI73" s="5120"/>
      <c r="AJ73" s="5119"/>
      <c r="AK73" s="5119"/>
      <c r="AL73" s="5119"/>
      <c r="AM73" s="5351"/>
      <c r="AN73" s="5119"/>
      <c r="AO73" s="5367"/>
      <c r="AP73" s="5119"/>
      <c r="AQ73" s="5119"/>
      <c r="AR73" s="5119"/>
      <c r="AS73" s="1683">
        <f t="shared" si="58"/>
        <v>0</v>
      </c>
      <c r="AT73" s="5119"/>
      <c r="AU73" s="5119">
        <v>3</v>
      </c>
      <c r="AV73" s="5119"/>
      <c r="AW73" s="1683">
        <f t="shared" si="59"/>
        <v>3</v>
      </c>
      <c r="AX73" s="5119"/>
      <c r="AY73" s="5119"/>
      <c r="AZ73" s="5119"/>
      <c r="BA73" s="1135">
        <f t="shared" si="72"/>
        <v>3</v>
      </c>
      <c r="BB73" s="1185"/>
      <c r="BC73" s="539">
        <f t="shared" si="73"/>
        <v>3</v>
      </c>
      <c r="BD73" s="1185"/>
      <c r="BE73" s="371">
        <f t="shared" si="74"/>
        <v>3</v>
      </c>
      <c r="BF73" s="1202"/>
      <c r="BH73" s="26"/>
      <c r="BI73" s="26"/>
    </row>
    <row r="74" spans="2:61" ht="15.6" customHeight="1" x14ac:dyDescent="0.3">
      <c r="B74" s="4442" t="s">
        <v>2321</v>
      </c>
      <c r="C74" s="156" t="s">
        <v>354</v>
      </c>
      <c r="D74" s="5347"/>
      <c r="E74" s="5119"/>
      <c r="F74" s="5119"/>
      <c r="G74" s="5119"/>
      <c r="H74" s="5352"/>
      <c r="I74" s="5417"/>
      <c r="J74" s="5119"/>
      <c r="K74" s="5119"/>
      <c r="L74" s="5359"/>
      <c r="M74" s="5351"/>
      <c r="N74" s="5119"/>
      <c r="O74" s="5119"/>
      <c r="P74" s="5119"/>
      <c r="Q74" s="5352"/>
      <c r="R74" s="5119"/>
      <c r="S74" s="5119"/>
      <c r="T74" s="5119"/>
      <c r="U74" s="5352"/>
      <c r="V74" s="5119"/>
      <c r="W74" s="5119"/>
      <c r="X74" s="5359"/>
      <c r="Y74" s="5351"/>
      <c r="Z74" s="5119"/>
      <c r="AA74" s="5415"/>
      <c r="AB74" s="5119"/>
      <c r="AC74" s="5119"/>
      <c r="AD74" s="5119"/>
      <c r="AE74" s="5367"/>
      <c r="AF74" s="5119"/>
      <c r="AG74" s="5119"/>
      <c r="AH74" s="5119"/>
      <c r="AI74" s="5120"/>
      <c r="AJ74" s="5119"/>
      <c r="AK74" s="5119"/>
      <c r="AL74" s="5119"/>
      <c r="AM74" s="5351"/>
      <c r="AN74" s="5119"/>
      <c r="AO74" s="5367"/>
      <c r="AP74" s="5119"/>
      <c r="AQ74" s="5119"/>
      <c r="AR74" s="5119"/>
      <c r="AS74" s="1683">
        <f t="shared" si="58"/>
        <v>0</v>
      </c>
      <c r="AT74" s="5119"/>
      <c r="AU74" s="5119">
        <v>1.35</v>
      </c>
      <c r="AV74" s="5119"/>
      <c r="AW74" s="1683">
        <f t="shared" si="59"/>
        <v>1.35</v>
      </c>
      <c r="AX74" s="5119"/>
      <c r="AY74" s="5119"/>
      <c r="AZ74" s="5119"/>
      <c r="BA74" s="1135">
        <f t="shared" si="72"/>
        <v>1.35</v>
      </c>
      <c r="BB74" s="1185"/>
      <c r="BC74" s="539">
        <f t="shared" si="73"/>
        <v>1.35</v>
      </c>
      <c r="BD74" s="1185"/>
      <c r="BE74" s="371">
        <f t="shared" si="74"/>
        <v>1.35</v>
      </c>
      <c r="BF74" s="1202"/>
      <c r="BH74" s="26"/>
      <c r="BI74" s="26"/>
    </row>
    <row r="75" spans="2:61" ht="15.6" customHeight="1" x14ac:dyDescent="0.3">
      <c r="B75" s="8" t="s">
        <v>1443</v>
      </c>
      <c r="C75" s="156" t="s">
        <v>354</v>
      </c>
      <c r="D75" s="592"/>
      <c r="E75" s="1185"/>
      <c r="F75" s="1185"/>
      <c r="G75" s="1185">
        <v>140</v>
      </c>
      <c r="H75" s="1630"/>
      <c r="I75" s="1633">
        <f t="shared" si="36"/>
        <v>140</v>
      </c>
      <c r="J75" s="1185"/>
      <c r="K75" s="1185"/>
      <c r="L75" s="197"/>
      <c r="M75" s="1135">
        <f t="shared" si="37"/>
        <v>140</v>
      </c>
      <c r="N75" s="1185"/>
      <c r="O75" s="1185"/>
      <c r="P75" s="1185"/>
      <c r="Q75" s="1630">
        <f t="shared" si="61"/>
        <v>140</v>
      </c>
      <c r="R75" s="1185"/>
      <c r="S75" s="1185"/>
      <c r="T75" s="1185"/>
      <c r="U75" s="1630">
        <f t="shared" si="62"/>
        <v>140</v>
      </c>
      <c r="V75" s="1185"/>
      <c r="W75" s="1185"/>
      <c r="X75" s="197"/>
      <c r="Y75" s="1135">
        <f t="shared" si="69"/>
        <v>0</v>
      </c>
      <c r="Z75" s="1185"/>
      <c r="AA75" s="539">
        <f t="shared" si="66"/>
        <v>140</v>
      </c>
      <c r="AB75" s="1185"/>
      <c r="AC75" s="1185"/>
      <c r="AD75" s="1185"/>
      <c r="AE75" s="1683">
        <f t="shared" si="57"/>
        <v>140</v>
      </c>
      <c r="AF75" s="1185"/>
      <c r="AG75" s="1185"/>
      <c r="AH75" s="1185"/>
      <c r="AI75" s="775">
        <f t="shared" si="39"/>
        <v>140</v>
      </c>
      <c r="AJ75" s="1185"/>
      <c r="AK75" s="1185"/>
      <c r="AL75" s="1185"/>
      <c r="AM75" s="1135">
        <f t="shared" ref="AM75:AM137" si="75">+AC75+AG75+AK75</f>
        <v>0</v>
      </c>
      <c r="AN75" s="1185"/>
      <c r="AO75" s="1683">
        <f t="shared" si="71"/>
        <v>140</v>
      </c>
      <c r="AP75" s="1185"/>
      <c r="AQ75" s="1185"/>
      <c r="AR75" s="1185"/>
      <c r="AS75" s="1683">
        <f t="shared" si="58"/>
        <v>140</v>
      </c>
      <c r="AT75" s="1185"/>
      <c r="AU75" s="1185"/>
      <c r="AV75" s="1185"/>
      <c r="AW75" s="1683">
        <f t="shared" si="59"/>
        <v>140</v>
      </c>
      <c r="AX75" s="1185"/>
      <c r="AY75" s="1185"/>
      <c r="AZ75" s="1185"/>
      <c r="BA75" s="1135">
        <f t="shared" si="68"/>
        <v>0</v>
      </c>
      <c r="BB75" s="1185"/>
      <c r="BC75" s="539">
        <f t="shared" si="70"/>
        <v>0</v>
      </c>
      <c r="BD75" s="1185"/>
      <c r="BE75" s="371">
        <f t="shared" ref="BE75:BE84" si="76">+AW75+AY75</f>
        <v>140</v>
      </c>
      <c r="BF75" s="1202"/>
      <c r="BH75" s="26"/>
      <c r="BI75" s="26"/>
    </row>
    <row r="76" spans="2:61" ht="15.6" customHeight="1" x14ac:dyDescent="0.3">
      <c r="B76" s="8" t="s">
        <v>1442</v>
      </c>
      <c r="C76" s="156" t="s">
        <v>354</v>
      </c>
      <c r="D76" s="592"/>
      <c r="E76" s="1185"/>
      <c r="F76" s="1185"/>
      <c r="G76" s="1185"/>
      <c r="H76" s="1630"/>
      <c r="I76" s="1633">
        <f t="shared" si="36"/>
        <v>0</v>
      </c>
      <c r="J76" s="1185"/>
      <c r="K76" s="1185"/>
      <c r="L76" s="197"/>
      <c r="M76" s="1135">
        <f t="shared" si="37"/>
        <v>0</v>
      </c>
      <c r="N76" s="1185"/>
      <c r="O76" s="1185"/>
      <c r="P76" s="1185"/>
      <c r="Q76" s="1630">
        <f t="shared" si="61"/>
        <v>0</v>
      </c>
      <c r="R76" s="1185"/>
      <c r="S76" s="1185"/>
      <c r="T76" s="1185"/>
      <c r="U76" s="1630">
        <f t="shared" si="62"/>
        <v>0</v>
      </c>
      <c r="V76" s="1185"/>
      <c r="W76" s="1185"/>
      <c r="X76" s="197"/>
      <c r="Y76" s="1135">
        <f t="shared" si="69"/>
        <v>0</v>
      </c>
      <c r="Z76" s="1185"/>
      <c r="AA76" s="539">
        <f t="shared" si="66"/>
        <v>0</v>
      </c>
      <c r="AB76" s="1185"/>
      <c r="AC76" s="1185">
        <v>150</v>
      </c>
      <c r="AD76" s="1185"/>
      <c r="AE76" s="1683">
        <f t="shared" si="57"/>
        <v>150</v>
      </c>
      <c r="AF76" s="1185"/>
      <c r="AG76" s="1185"/>
      <c r="AH76" s="1185"/>
      <c r="AI76" s="775">
        <f t="shared" si="39"/>
        <v>150</v>
      </c>
      <c r="AJ76" s="1185"/>
      <c r="AK76" s="1185"/>
      <c r="AL76" s="1185"/>
      <c r="AM76" s="1135">
        <f t="shared" si="75"/>
        <v>150</v>
      </c>
      <c r="AN76" s="1185"/>
      <c r="AO76" s="1683">
        <f t="shared" si="71"/>
        <v>150</v>
      </c>
      <c r="AP76" s="1185"/>
      <c r="AQ76" s="1185"/>
      <c r="AR76" s="1185"/>
      <c r="AS76" s="1683">
        <f t="shared" si="58"/>
        <v>150</v>
      </c>
      <c r="AT76" s="1185"/>
      <c r="AU76" s="1185"/>
      <c r="AV76" s="1185"/>
      <c r="AW76" s="1683">
        <f t="shared" si="59"/>
        <v>150</v>
      </c>
      <c r="AX76" s="1185"/>
      <c r="AY76" s="1185">
        <v>60</v>
      </c>
      <c r="AZ76" s="1185"/>
      <c r="BA76" s="1135">
        <f t="shared" si="68"/>
        <v>60</v>
      </c>
      <c r="BB76" s="1185"/>
      <c r="BC76" s="539">
        <f t="shared" si="70"/>
        <v>210</v>
      </c>
      <c r="BD76" s="1185"/>
      <c r="BE76" s="371">
        <f t="shared" si="76"/>
        <v>210</v>
      </c>
      <c r="BF76" s="1202"/>
      <c r="BH76" s="26"/>
      <c r="BI76" s="26"/>
    </row>
    <row r="77" spans="2:61" ht="15.6" customHeight="1" x14ac:dyDescent="0.3">
      <c r="B77" s="8" t="s">
        <v>1851</v>
      </c>
      <c r="C77" s="156" t="s">
        <v>354</v>
      </c>
      <c r="D77" s="592"/>
      <c r="E77" s="1185"/>
      <c r="F77" s="1185"/>
      <c r="G77" s="1185"/>
      <c r="H77" s="1630"/>
      <c r="I77" s="1633">
        <f t="shared" si="36"/>
        <v>0</v>
      </c>
      <c r="J77" s="1185"/>
      <c r="K77" s="1185"/>
      <c r="L77" s="197"/>
      <c r="M77" s="1135">
        <f t="shared" si="37"/>
        <v>0</v>
      </c>
      <c r="N77" s="1185"/>
      <c r="O77" s="1185"/>
      <c r="P77" s="1185"/>
      <c r="Q77" s="1630">
        <f t="shared" si="61"/>
        <v>0</v>
      </c>
      <c r="R77" s="1185"/>
      <c r="S77" s="1185"/>
      <c r="T77" s="1185"/>
      <c r="U77" s="1630">
        <f t="shared" si="62"/>
        <v>0</v>
      </c>
      <c r="V77" s="1185"/>
      <c r="W77" s="1185"/>
      <c r="X77" s="197"/>
      <c r="Y77" s="1135">
        <f t="shared" si="69"/>
        <v>0</v>
      </c>
      <c r="Z77" s="1185"/>
      <c r="AA77" s="539">
        <f t="shared" si="66"/>
        <v>0</v>
      </c>
      <c r="AB77" s="1185"/>
      <c r="AC77" s="1185"/>
      <c r="AD77" s="1185"/>
      <c r="AE77" s="1683">
        <f t="shared" si="57"/>
        <v>0</v>
      </c>
      <c r="AF77" s="1185"/>
      <c r="AG77" s="1185">
        <v>1</v>
      </c>
      <c r="AH77" s="1185"/>
      <c r="AI77" s="775">
        <f t="shared" si="39"/>
        <v>1</v>
      </c>
      <c r="AJ77" s="1185"/>
      <c r="AK77" s="1185"/>
      <c r="AL77" s="1185"/>
      <c r="AM77" s="1135">
        <f t="shared" si="75"/>
        <v>1</v>
      </c>
      <c r="AN77" s="1185"/>
      <c r="AO77" s="1683">
        <f t="shared" si="71"/>
        <v>1</v>
      </c>
      <c r="AP77" s="1185"/>
      <c r="AQ77" s="1185"/>
      <c r="AR77" s="1185"/>
      <c r="AS77" s="1683">
        <f t="shared" si="58"/>
        <v>1</v>
      </c>
      <c r="AT77" s="1185"/>
      <c r="AU77" s="1185">
        <v>1</v>
      </c>
      <c r="AV77" s="1185"/>
      <c r="AW77" s="1683">
        <f t="shared" si="59"/>
        <v>2</v>
      </c>
      <c r="AX77" s="1185"/>
      <c r="AY77" s="1185"/>
      <c r="AZ77" s="1185"/>
      <c r="BA77" s="1135">
        <f t="shared" si="68"/>
        <v>1</v>
      </c>
      <c r="BB77" s="1185"/>
      <c r="BC77" s="539">
        <f t="shared" si="70"/>
        <v>2</v>
      </c>
      <c r="BD77" s="1185"/>
      <c r="BE77" s="371">
        <f t="shared" si="76"/>
        <v>2</v>
      </c>
      <c r="BF77" s="1202"/>
      <c r="BH77" s="26"/>
      <c r="BI77" s="26"/>
    </row>
    <row r="78" spans="2:61" x14ac:dyDescent="0.3">
      <c r="B78" s="8" t="s">
        <v>1120</v>
      </c>
      <c r="C78" s="156" t="s">
        <v>354</v>
      </c>
      <c r="D78" s="592"/>
      <c r="E78" s="1185">
        <v>339</v>
      </c>
      <c r="F78" s="1185"/>
      <c r="G78" s="1185"/>
      <c r="H78" s="1630"/>
      <c r="I78" s="1633">
        <f t="shared" si="36"/>
        <v>339</v>
      </c>
      <c r="J78" s="1185"/>
      <c r="K78" s="1185">
        <v>292</v>
      </c>
      <c r="L78" s="197"/>
      <c r="M78" s="1135">
        <f t="shared" si="37"/>
        <v>631</v>
      </c>
      <c r="N78" s="1185"/>
      <c r="O78" s="1185"/>
      <c r="P78" s="1185"/>
      <c r="Q78" s="1630">
        <f t="shared" si="61"/>
        <v>631</v>
      </c>
      <c r="R78" s="1185"/>
      <c r="S78" s="1185">
        <v>440</v>
      </c>
      <c r="T78" s="1185"/>
      <c r="U78" s="1630">
        <f t="shared" si="62"/>
        <v>1071</v>
      </c>
      <c r="V78" s="1185"/>
      <c r="W78" s="1185">
        <v>401</v>
      </c>
      <c r="X78" s="197"/>
      <c r="Y78" s="1135">
        <f t="shared" si="69"/>
        <v>841</v>
      </c>
      <c r="Z78" s="1185"/>
      <c r="AA78" s="539">
        <f t="shared" si="66"/>
        <v>1472</v>
      </c>
      <c r="AB78" s="1185"/>
      <c r="AC78" s="1185"/>
      <c r="AD78" s="1185"/>
      <c r="AE78" s="1683">
        <f t="shared" si="57"/>
        <v>1472</v>
      </c>
      <c r="AF78" s="1185"/>
      <c r="AG78" s="1185"/>
      <c r="AH78" s="1185"/>
      <c r="AI78" s="775">
        <f t="shared" si="39"/>
        <v>1472</v>
      </c>
      <c r="AJ78" s="1185"/>
      <c r="AK78" s="1185"/>
      <c r="AL78" s="1185"/>
      <c r="AM78" s="1135">
        <f t="shared" si="75"/>
        <v>0</v>
      </c>
      <c r="AN78" s="1185"/>
      <c r="AO78" s="1683">
        <f t="shared" si="71"/>
        <v>1472</v>
      </c>
      <c r="AP78" s="1185"/>
      <c r="AQ78" s="1185">
        <v>185</v>
      </c>
      <c r="AR78" s="1185"/>
      <c r="AS78" s="1683">
        <f t="shared" si="58"/>
        <v>1657</v>
      </c>
      <c r="AT78" s="1185"/>
      <c r="AU78" s="1185">
        <v>334</v>
      </c>
      <c r="AV78" s="1185"/>
      <c r="AW78" s="1683">
        <f t="shared" si="59"/>
        <v>1991</v>
      </c>
      <c r="AX78" s="1185"/>
      <c r="AY78" s="1185">
        <v>92</v>
      </c>
      <c r="AZ78" s="1185"/>
      <c r="BA78" s="1135">
        <f t="shared" si="68"/>
        <v>611</v>
      </c>
      <c r="BB78" s="1185"/>
      <c r="BC78" s="539">
        <f t="shared" si="70"/>
        <v>611</v>
      </c>
      <c r="BD78" s="1185"/>
      <c r="BE78" s="371">
        <f t="shared" si="76"/>
        <v>2083</v>
      </c>
      <c r="BF78" s="1202"/>
      <c r="BH78" s="26"/>
      <c r="BI78" s="26"/>
    </row>
    <row r="79" spans="2:61" x14ac:dyDescent="0.3">
      <c r="B79" s="8" t="s">
        <v>1811</v>
      </c>
      <c r="C79" s="2432" t="s">
        <v>354</v>
      </c>
      <c r="D79" s="2433"/>
      <c r="E79" s="2416">
        <v>1788.99</v>
      </c>
      <c r="F79" s="2416"/>
      <c r="G79" s="2416">
        <v>3476.7399999999993</v>
      </c>
      <c r="H79" s="2434"/>
      <c r="I79" s="1633">
        <f t="shared" si="36"/>
        <v>5265.73</v>
      </c>
      <c r="J79" s="2416"/>
      <c r="K79" s="2416">
        <v>154.28</v>
      </c>
      <c r="L79" s="2435"/>
      <c r="M79" s="1135">
        <f t="shared" si="37"/>
        <v>5420.0099999999993</v>
      </c>
      <c r="N79" s="2416"/>
      <c r="O79" s="2416">
        <v>1365.8100000000002</v>
      </c>
      <c r="P79" s="2416"/>
      <c r="Q79" s="1630">
        <f t="shared" si="61"/>
        <v>6785.82</v>
      </c>
      <c r="R79" s="2416"/>
      <c r="S79" s="2416">
        <v>592.26</v>
      </c>
      <c r="T79" s="2416"/>
      <c r="U79" s="1630">
        <f t="shared" si="62"/>
        <v>7378.08</v>
      </c>
      <c r="V79" s="2416"/>
      <c r="W79" s="2416">
        <v>1501.4700000000005</v>
      </c>
      <c r="X79" s="2435"/>
      <c r="Y79" s="2440">
        <f t="shared" si="69"/>
        <v>3459.5400000000009</v>
      </c>
      <c r="Z79" s="2416"/>
      <c r="AA79" s="539">
        <f t="shared" si="66"/>
        <v>8879.5499999999993</v>
      </c>
      <c r="AB79" s="2416"/>
      <c r="AC79" s="2416">
        <v>2905.36</v>
      </c>
      <c r="AD79" s="2416"/>
      <c r="AE79" s="1683">
        <f t="shared" si="57"/>
        <v>11784.91</v>
      </c>
      <c r="AF79" s="2416"/>
      <c r="AG79" s="2416"/>
      <c r="AH79" s="2416"/>
      <c r="AI79" s="775">
        <f t="shared" si="39"/>
        <v>11784.91</v>
      </c>
      <c r="AJ79" s="2416"/>
      <c r="AK79" s="2416"/>
      <c r="AL79" s="2416"/>
      <c r="AM79" s="2440">
        <f t="shared" si="75"/>
        <v>2905.36</v>
      </c>
      <c r="AN79" s="2416"/>
      <c r="AO79" s="1683">
        <f t="shared" si="71"/>
        <v>11784.91</v>
      </c>
      <c r="AP79" s="2416"/>
      <c r="AQ79" s="2416"/>
      <c r="AR79" s="2416"/>
      <c r="AS79" s="1683">
        <f t="shared" si="58"/>
        <v>11784.91</v>
      </c>
      <c r="AT79" s="1185"/>
      <c r="AU79" s="2416"/>
      <c r="AV79" s="1185"/>
      <c r="AW79" s="1683">
        <f t="shared" si="59"/>
        <v>11784.91</v>
      </c>
      <c r="AX79" s="1185"/>
      <c r="AY79" s="2416"/>
      <c r="AZ79" s="2416"/>
      <c r="BA79" s="2440">
        <f t="shared" si="68"/>
        <v>0</v>
      </c>
      <c r="BB79" s="2416"/>
      <c r="BC79" s="539">
        <f t="shared" si="70"/>
        <v>2905.36</v>
      </c>
      <c r="BD79" s="1185"/>
      <c r="BE79" s="371">
        <f t="shared" si="76"/>
        <v>11784.91</v>
      </c>
      <c r="BF79" s="1202"/>
      <c r="BH79" s="26"/>
      <c r="BI79" s="26"/>
    </row>
    <row r="80" spans="2:61" x14ac:dyDescent="0.3">
      <c r="B80" s="8" t="s">
        <v>2000</v>
      </c>
      <c r="C80" s="156" t="s">
        <v>354</v>
      </c>
      <c r="D80" s="592"/>
      <c r="E80" s="1185">
        <v>4.8499999999999996</v>
      </c>
      <c r="F80" s="1185"/>
      <c r="G80" s="1185">
        <v>23.849999999999998</v>
      </c>
      <c r="H80" s="1630"/>
      <c r="I80" s="1633">
        <f t="shared" si="36"/>
        <v>28.699999999999996</v>
      </c>
      <c r="J80" s="1185"/>
      <c r="K80" s="1185">
        <v>6.09</v>
      </c>
      <c r="L80" s="197"/>
      <c r="M80" s="1135">
        <f t="shared" si="37"/>
        <v>34.789999999999992</v>
      </c>
      <c r="N80" s="1185"/>
      <c r="O80" s="1185"/>
      <c r="P80" s="1185"/>
      <c r="Q80" s="1630">
        <f t="shared" si="61"/>
        <v>34.789999999999992</v>
      </c>
      <c r="R80" s="1185"/>
      <c r="S80" s="1185"/>
      <c r="T80" s="1185"/>
      <c r="U80" s="1630">
        <f t="shared" si="62"/>
        <v>34.789999999999992</v>
      </c>
      <c r="V80" s="1185"/>
      <c r="W80" s="1185"/>
      <c r="X80" s="197"/>
      <c r="Y80" s="1135">
        <f t="shared" si="69"/>
        <v>0</v>
      </c>
      <c r="Z80" s="1185"/>
      <c r="AA80" s="539">
        <f t="shared" si="66"/>
        <v>34.789999999999992</v>
      </c>
      <c r="AB80" s="1185"/>
      <c r="AC80" s="1185"/>
      <c r="AD80" s="1185"/>
      <c r="AE80" s="1683">
        <f t="shared" si="57"/>
        <v>34.789999999999992</v>
      </c>
      <c r="AF80" s="1185"/>
      <c r="AG80" s="1185"/>
      <c r="AH80" s="1185"/>
      <c r="AI80" s="775">
        <f t="shared" si="39"/>
        <v>34.789999999999992</v>
      </c>
      <c r="AJ80" s="1185"/>
      <c r="AK80" s="1185"/>
      <c r="AL80" s="1185"/>
      <c r="AM80" s="1135">
        <f t="shared" si="75"/>
        <v>0</v>
      </c>
      <c r="AN80" s="1185"/>
      <c r="AO80" s="1683">
        <f t="shared" si="71"/>
        <v>34.789999999999992</v>
      </c>
      <c r="AP80" s="1185"/>
      <c r="AQ80" s="1185"/>
      <c r="AR80" s="1185"/>
      <c r="AS80" s="1683">
        <f t="shared" si="58"/>
        <v>34.789999999999992</v>
      </c>
      <c r="AT80" s="1185"/>
      <c r="AU80" s="1185"/>
      <c r="AV80" s="1185"/>
      <c r="AW80" s="1683">
        <f t="shared" si="59"/>
        <v>34.789999999999992</v>
      </c>
      <c r="AX80" s="1185"/>
      <c r="AY80" s="1185"/>
      <c r="AZ80" s="1185"/>
      <c r="BA80" s="1135">
        <f t="shared" si="68"/>
        <v>0</v>
      </c>
      <c r="BB80" s="1185"/>
      <c r="BC80" s="539">
        <f t="shared" si="70"/>
        <v>0</v>
      </c>
      <c r="BD80" s="1185"/>
      <c r="BE80" s="371">
        <f t="shared" si="76"/>
        <v>34.789999999999992</v>
      </c>
      <c r="BF80" s="1202"/>
      <c r="BH80" s="26"/>
      <c r="BI80" s="26"/>
    </row>
    <row r="81" spans="1:61" x14ac:dyDescent="0.3">
      <c r="B81" s="8" t="s">
        <v>2057</v>
      </c>
      <c r="C81" s="156" t="s">
        <v>354</v>
      </c>
      <c r="D81" s="592"/>
      <c r="E81" s="1185"/>
      <c r="F81" s="1185"/>
      <c r="G81" s="1185"/>
      <c r="H81" s="1630"/>
      <c r="I81" s="1633">
        <f t="shared" ref="I81:I84" si="77">+E81+G81</f>
        <v>0</v>
      </c>
      <c r="J81" s="1185"/>
      <c r="K81" s="1185">
        <v>14.73</v>
      </c>
      <c r="L81" s="197"/>
      <c r="M81" s="1135">
        <f t="shared" si="37"/>
        <v>14.73</v>
      </c>
      <c r="N81" s="1185"/>
      <c r="O81" s="1185">
        <v>159.13000000000002</v>
      </c>
      <c r="P81" s="1185"/>
      <c r="Q81" s="1630">
        <f t="shared" si="61"/>
        <v>173.86</v>
      </c>
      <c r="R81" s="1185"/>
      <c r="S81" s="1185">
        <v>14.78</v>
      </c>
      <c r="T81" s="1185"/>
      <c r="U81" s="1630">
        <f t="shared" si="62"/>
        <v>188.64000000000001</v>
      </c>
      <c r="V81" s="1185"/>
      <c r="W81" s="1185">
        <v>39.56</v>
      </c>
      <c r="X81" s="197"/>
      <c r="Y81" s="1135">
        <f t="shared" si="69"/>
        <v>213.47000000000003</v>
      </c>
      <c r="Z81" s="1185"/>
      <c r="AA81" s="539">
        <f t="shared" si="66"/>
        <v>228.20000000000002</v>
      </c>
      <c r="AB81" s="1185"/>
      <c r="AC81" s="1185"/>
      <c r="AD81" s="1185"/>
      <c r="AE81" s="1683">
        <f t="shared" si="57"/>
        <v>228.20000000000002</v>
      </c>
      <c r="AF81" s="1185"/>
      <c r="AG81" s="1185"/>
      <c r="AH81" s="1185"/>
      <c r="AI81" s="775">
        <f t="shared" ref="AI81:AI100" si="78">+AE81+AG81</f>
        <v>228.20000000000002</v>
      </c>
      <c r="AJ81" s="1185"/>
      <c r="AK81" s="1185">
        <v>34.53</v>
      </c>
      <c r="AL81" s="1185"/>
      <c r="AM81" s="1135">
        <f t="shared" si="75"/>
        <v>34.53</v>
      </c>
      <c r="AN81" s="1185"/>
      <c r="AO81" s="1683">
        <f t="shared" si="71"/>
        <v>262.73</v>
      </c>
      <c r="AP81" s="1185"/>
      <c r="AQ81" s="1185">
        <v>45.94</v>
      </c>
      <c r="AR81" s="1185"/>
      <c r="AS81" s="1683">
        <f t="shared" si="58"/>
        <v>308.67</v>
      </c>
      <c r="AT81" s="1185"/>
      <c r="AU81" s="1185">
        <v>19.059999999999999</v>
      </c>
      <c r="AV81" s="1185"/>
      <c r="AW81" s="1683">
        <f t="shared" si="59"/>
        <v>327.73</v>
      </c>
      <c r="AX81" s="1185"/>
      <c r="AY81" s="1185">
        <v>114.3</v>
      </c>
      <c r="AZ81" s="1185"/>
      <c r="BA81" s="1135">
        <f t="shared" si="68"/>
        <v>179.3</v>
      </c>
      <c r="BB81" s="1185"/>
      <c r="BC81" s="539">
        <f t="shared" si="70"/>
        <v>213.83</v>
      </c>
      <c r="BD81" s="1185"/>
      <c r="BE81" s="371">
        <f t="shared" si="76"/>
        <v>442.03000000000003</v>
      </c>
      <c r="BF81" s="1202"/>
      <c r="BH81" s="26"/>
      <c r="BI81" s="26"/>
    </row>
    <row r="82" spans="1:61" x14ac:dyDescent="0.3">
      <c r="B82" s="4442" t="s">
        <v>2323</v>
      </c>
      <c r="C82" s="5346"/>
      <c r="D82" s="5347"/>
      <c r="E82" s="5119"/>
      <c r="F82" s="5119"/>
      <c r="G82" s="5119"/>
      <c r="H82" s="5352"/>
      <c r="I82" s="5417"/>
      <c r="J82" s="5119"/>
      <c r="K82" s="5119"/>
      <c r="L82" s="5359"/>
      <c r="M82" s="5351"/>
      <c r="N82" s="5119"/>
      <c r="O82" s="5119"/>
      <c r="P82" s="5119"/>
      <c r="Q82" s="5352"/>
      <c r="R82" s="5119"/>
      <c r="S82" s="5119"/>
      <c r="T82" s="5119"/>
      <c r="U82" s="5352"/>
      <c r="V82" s="5119"/>
      <c r="W82" s="5119"/>
      <c r="X82" s="5359"/>
      <c r="Y82" s="5351"/>
      <c r="Z82" s="5119"/>
      <c r="AA82" s="5415"/>
      <c r="AB82" s="5119"/>
      <c r="AC82" s="5119"/>
      <c r="AD82" s="5119"/>
      <c r="AE82" s="5367"/>
      <c r="AF82" s="5119"/>
      <c r="AG82" s="5119"/>
      <c r="AH82" s="5119"/>
      <c r="AI82" s="5120"/>
      <c r="AJ82" s="5119"/>
      <c r="AK82" s="5119"/>
      <c r="AL82" s="5119"/>
      <c r="AM82" s="5351"/>
      <c r="AN82" s="5119"/>
      <c r="AO82" s="5367"/>
      <c r="AP82" s="5119"/>
      <c r="AQ82" s="5119"/>
      <c r="AR82" s="5119"/>
      <c r="AS82" s="5367"/>
      <c r="AT82" s="5119"/>
      <c r="AU82" s="5119">
        <v>6.67</v>
      </c>
      <c r="AV82" s="5119"/>
      <c r="AW82" s="1683">
        <f t="shared" si="59"/>
        <v>6.67</v>
      </c>
      <c r="AX82" s="5119"/>
      <c r="AY82" s="5119">
        <v>8.2200000000000006</v>
      </c>
      <c r="AZ82" s="5119"/>
      <c r="BA82" s="1135">
        <f t="shared" ref="BA82" si="79">+AQ82+AU82+AY82</f>
        <v>14.89</v>
      </c>
      <c r="BB82" s="1185"/>
      <c r="BC82" s="539">
        <f t="shared" ref="BC82" si="80">BA82+AM82</f>
        <v>14.89</v>
      </c>
      <c r="BD82" s="1185"/>
      <c r="BE82" s="371">
        <f t="shared" ref="BE82" si="81">+AW82+AY82</f>
        <v>14.89</v>
      </c>
      <c r="BF82" s="1202"/>
      <c r="BH82" s="26"/>
      <c r="BI82" s="26"/>
    </row>
    <row r="83" spans="1:61" ht="18" customHeight="1" x14ac:dyDescent="0.3">
      <c r="B83" s="8" t="s">
        <v>1852</v>
      </c>
      <c r="C83" s="156" t="s">
        <v>354</v>
      </c>
      <c r="D83" s="592"/>
      <c r="E83" s="1185"/>
      <c r="F83" s="1185"/>
      <c r="G83" s="1185"/>
      <c r="H83" s="1630"/>
      <c r="I83" s="1633">
        <f t="shared" si="77"/>
        <v>0</v>
      </c>
      <c r="J83" s="1185"/>
      <c r="K83" s="1185">
        <v>129.52000000000001</v>
      </c>
      <c r="L83" s="197"/>
      <c r="M83" s="1135">
        <f t="shared" si="37"/>
        <v>129.52000000000001</v>
      </c>
      <c r="N83" s="1185"/>
      <c r="O83" s="1185"/>
      <c r="P83" s="1185"/>
      <c r="Q83" s="1630">
        <f t="shared" si="61"/>
        <v>129.52000000000001</v>
      </c>
      <c r="R83" s="1185"/>
      <c r="S83" s="1185">
        <v>14.98</v>
      </c>
      <c r="T83" s="1185"/>
      <c r="U83" s="1630">
        <f t="shared" si="62"/>
        <v>144.5</v>
      </c>
      <c r="V83" s="1185"/>
      <c r="W83" s="1185"/>
      <c r="X83" s="197"/>
      <c r="Y83" s="1135">
        <f t="shared" si="69"/>
        <v>14.98</v>
      </c>
      <c r="Z83" s="1185"/>
      <c r="AA83" s="539">
        <f t="shared" si="66"/>
        <v>144.5</v>
      </c>
      <c r="AB83" s="1185"/>
      <c r="AC83" s="1185"/>
      <c r="AD83" s="1185"/>
      <c r="AE83" s="1683">
        <f t="shared" si="57"/>
        <v>144.5</v>
      </c>
      <c r="AF83" s="1185"/>
      <c r="AG83" s="1185"/>
      <c r="AH83" s="1185"/>
      <c r="AI83" s="775">
        <f t="shared" si="78"/>
        <v>144.5</v>
      </c>
      <c r="AJ83" s="1185"/>
      <c r="AK83" s="1185">
        <v>19.64</v>
      </c>
      <c r="AL83" s="1185"/>
      <c r="AM83" s="1135">
        <f t="shared" si="75"/>
        <v>19.64</v>
      </c>
      <c r="AN83" s="1185"/>
      <c r="AO83" s="1683">
        <f t="shared" si="71"/>
        <v>164.14</v>
      </c>
      <c r="AP83" s="1185"/>
      <c r="AQ83" s="1185">
        <v>19.559999999999999</v>
      </c>
      <c r="AR83" s="1185"/>
      <c r="AS83" s="1683">
        <f t="shared" si="58"/>
        <v>183.7</v>
      </c>
      <c r="AT83" s="1185"/>
      <c r="AU83" s="1185"/>
      <c r="AV83" s="1185"/>
      <c r="AW83" s="1683">
        <f t="shared" si="59"/>
        <v>183.7</v>
      </c>
      <c r="AX83" s="1185"/>
      <c r="AY83" s="1185"/>
      <c r="AZ83" s="1185"/>
      <c r="BA83" s="1135">
        <f t="shared" si="68"/>
        <v>19.559999999999999</v>
      </c>
      <c r="BB83" s="1185"/>
      <c r="BC83" s="539">
        <f t="shared" si="70"/>
        <v>39.200000000000003</v>
      </c>
      <c r="BD83" s="1185"/>
      <c r="BE83" s="371">
        <f t="shared" si="76"/>
        <v>183.7</v>
      </c>
      <c r="BF83" s="1202"/>
      <c r="BH83" s="26"/>
      <c r="BI83" s="26"/>
    </row>
    <row r="84" spans="1:61" x14ac:dyDescent="0.3">
      <c r="B84" s="8" t="s">
        <v>1409</v>
      </c>
      <c r="C84" s="156" t="s">
        <v>354</v>
      </c>
      <c r="D84" s="592"/>
      <c r="E84" s="1185">
        <v>18.77</v>
      </c>
      <c r="F84" s="1185"/>
      <c r="G84" s="1185"/>
      <c r="H84" s="1630"/>
      <c r="I84" s="1633">
        <f t="shared" si="77"/>
        <v>18.77</v>
      </c>
      <c r="J84" s="1185"/>
      <c r="K84" s="1185">
        <v>14.13</v>
      </c>
      <c r="L84" s="197"/>
      <c r="M84" s="1135">
        <f t="shared" si="37"/>
        <v>32.9</v>
      </c>
      <c r="N84" s="1185"/>
      <c r="O84" s="1185">
        <v>15.509999999999998</v>
      </c>
      <c r="P84" s="1185"/>
      <c r="Q84" s="1630">
        <f t="shared" si="61"/>
        <v>48.41</v>
      </c>
      <c r="R84" s="1185"/>
      <c r="S84" s="1185"/>
      <c r="T84" s="1185"/>
      <c r="U84" s="1630">
        <f t="shared" si="62"/>
        <v>48.41</v>
      </c>
      <c r="V84" s="1185"/>
      <c r="W84" s="1185"/>
      <c r="X84" s="197"/>
      <c r="Y84" s="1135">
        <f t="shared" si="69"/>
        <v>15.509999999999998</v>
      </c>
      <c r="Z84" s="1185"/>
      <c r="AA84" s="539">
        <f t="shared" si="66"/>
        <v>48.41</v>
      </c>
      <c r="AB84" s="1185"/>
      <c r="AC84" s="1185"/>
      <c r="AD84" s="1185"/>
      <c r="AE84" s="1683">
        <f t="shared" si="57"/>
        <v>48.41</v>
      </c>
      <c r="AF84" s="1185"/>
      <c r="AG84" s="1185"/>
      <c r="AH84" s="1185"/>
      <c r="AI84" s="775">
        <f t="shared" si="78"/>
        <v>48.41</v>
      </c>
      <c r="AJ84" s="1185"/>
      <c r="AK84" s="1185">
        <v>15.81</v>
      </c>
      <c r="AL84" s="1185"/>
      <c r="AM84" s="1135">
        <f t="shared" si="75"/>
        <v>15.81</v>
      </c>
      <c r="AN84" s="1185"/>
      <c r="AO84" s="1683">
        <f t="shared" si="71"/>
        <v>64.22</v>
      </c>
      <c r="AP84" s="1185"/>
      <c r="AQ84" s="1185"/>
      <c r="AR84" s="1185"/>
      <c r="AS84" s="1683">
        <f t="shared" si="58"/>
        <v>64.22</v>
      </c>
      <c r="AT84" s="1185"/>
      <c r="AU84" s="1185">
        <v>14.069999999999999</v>
      </c>
      <c r="AV84" s="1185"/>
      <c r="AW84" s="1683">
        <f t="shared" si="59"/>
        <v>78.289999999999992</v>
      </c>
      <c r="AX84" s="1185"/>
      <c r="AY84" s="1185">
        <v>9.85</v>
      </c>
      <c r="AZ84" s="1185"/>
      <c r="BA84" s="1135">
        <f t="shared" si="68"/>
        <v>23.919999999999998</v>
      </c>
      <c r="BB84" s="1185"/>
      <c r="BC84" s="539">
        <f t="shared" si="70"/>
        <v>39.729999999999997</v>
      </c>
      <c r="BD84" s="1185"/>
      <c r="BE84" s="371">
        <f t="shared" si="76"/>
        <v>88.139999999999986</v>
      </c>
      <c r="BF84" s="1202"/>
      <c r="BH84" s="26"/>
      <c r="BI84" s="26"/>
    </row>
    <row r="85" spans="1:61" x14ac:dyDescent="0.3">
      <c r="B85" s="4442" t="s">
        <v>2319</v>
      </c>
      <c r="C85" s="156" t="s">
        <v>354</v>
      </c>
      <c r="D85" s="5347"/>
      <c r="E85" s="5119"/>
      <c r="F85" s="5119"/>
      <c r="G85" s="5119"/>
      <c r="H85" s="5352"/>
      <c r="I85" s="5417"/>
      <c r="J85" s="5119"/>
      <c r="K85" s="5119"/>
      <c r="L85" s="5359"/>
      <c r="M85" s="5351"/>
      <c r="N85" s="5119"/>
      <c r="O85" s="5119"/>
      <c r="P85" s="5119"/>
      <c r="Q85" s="5352"/>
      <c r="R85" s="5119"/>
      <c r="S85" s="5119"/>
      <c r="T85" s="5119"/>
      <c r="U85" s="5352"/>
      <c r="V85" s="5119"/>
      <c r="W85" s="5119"/>
      <c r="X85" s="5359"/>
      <c r="Y85" s="5351"/>
      <c r="Z85" s="5119"/>
      <c r="AA85" s="5415"/>
      <c r="AB85" s="5119"/>
      <c r="AC85" s="5119"/>
      <c r="AD85" s="5119"/>
      <c r="AE85" s="5367"/>
      <c r="AF85" s="5119"/>
      <c r="AG85" s="5119"/>
      <c r="AH85" s="5119"/>
      <c r="AI85" s="5120"/>
      <c r="AJ85" s="5119"/>
      <c r="AK85" s="5119"/>
      <c r="AL85" s="5119"/>
      <c r="AM85" s="5351"/>
      <c r="AN85" s="5119"/>
      <c r="AO85" s="5367"/>
      <c r="AP85" s="5119"/>
      <c r="AQ85" s="5119"/>
      <c r="AR85" s="5119"/>
      <c r="AS85" s="5367"/>
      <c r="AT85" s="5119"/>
      <c r="AU85" s="5119">
        <v>110</v>
      </c>
      <c r="AV85" s="5119"/>
      <c r="AW85" s="1683">
        <f t="shared" si="59"/>
        <v>110</v>
      </c>
      <c r="AX85" s="5119"/>
      <c r="AY85" s="5119"/>
      <c r="AZ85" s="5119"/>
      <c r="BA85" s="1135">
        <f t="shared" ref="BA85" si="82">+AQ85+AU85+AY85</f>
        <v>110</v>
      </c>
      <c r="BB85" s="1185"/>
      <c r="BC85" s="539">
        <f t="shared" ref="BC85" si="83">BA85+AM85</f>
        <v>110</v>
      </c>
      <c r="BD85" s="1185"/>
      <c r="BE85" s="371">
        <f t="shared" ref="BE85" si="84">+AW85+AY85</f>
        <v>110</v>
      </c>
      <c r="BF85" s="1202"/>
      <c r="BH85" s="26"/>
      <c r="BI85" s="26"/>
    </row>
    <row r="86" spans="1:61" x14ac:dyDescent="0.3">
      <c r="B86" s="8" t="s">
        <v>2025</v>
      </c>
      <c r="C86" s="156" t="s">
        <v>354</v>
      </c>
      <c r="D86" s="592"/>
      <c r="E86" s="592"/>
      <c r="F86" s="592"/>
      <c r="G86" s="592">
        <v>60.040000000000006</v>
      </c>
      <c r="H86" s="1632"/>
      <c r="I86" s="1630">
        <f t="shared" ref="I86:I111" si="85">+E86+G86</f>
        <v>60.040000000000006</v>
      </c>
      <c r="J86" s="592"/>
      <c r="K86" s="592"/>
      <c r="L86" s="197"/>
      <c r="M86" s="1135">
        <f t="shared" si="37"/>
        <v>60.040000000000006</v>
      </c>
      <c r="N86" s="592"/>
      <c r="O86" s="592"/>
      <c r="P86" s="592"/>
      <c r="Q86" s="1630">
        <f t="shared" si="61"/>
        <v>60.040000000000006</v>
      </c>
      <c r="R86" s="592"/>
      <c r="S86" s="592">
        <v>8.83</v>
      </c>
      <c r="T86" s="592"/>
      <c r="U86" s="1630">
        <f t="shared" si="62"/>
        <v>68.87</v>
      </c>
      <c r="V86" s="592"/>
      <c r="W86" s="592"/>
      <c r="X86" s="197"/>
      <c r="Y86" s="1135">
        <f t="shared" si="69"/>
        <v>8.83</v>
      </c>
      <c r="Z86" s="592"/>
      <c r="AA86" s="517">
        <f t="shared" si="66"/>
        <v>68.87</v>
      </c>
      <c r="AB86" s="592"/>
      <c r="AC86" s="592"/>
      <c r="AD86" s="592"/>
      <c r="AE86" s="1683">
        <f t="shared" si="57"/>
        <v>68.87</v>
      </c>
      <c r="AF86" s="592"/>
      <c r="AG86" s="592"/>
      <c r="AH86" s="592"/>
      <c r="AI86" s="775">
        <f t="shared" si="78"/>
        <v>68.87</v>
      </c>
      <c r="AJ86" s="592"/>
      <c r="AK86" s="592"/>
      <c r="AL86" s="592"/>
      <c r="AM86" s="1135">
        <f t="shared" si="75"/>
        <v>0</v>
      </c>
      <c r="AN86" s="592"/>
      <c r="AO86" s="1683">
        <f t="shared" si="71"/>
        <v>68.87</v>
      </c>
      <c r="AP86" s="592"/>
      <c r="AQ86" s="592"/>
      <c r="AR86" s="592"/>
      <c r="AS86" s="1683">
        <f t="shared" si="58"/>
        <v>68.87</v>
      </c>
      <c r="AT86" s="592"/>
      <c r="AU86" s="592"/>
      <c r="AV86" s="592"/>
      <c r="AW86" s="1683">
        <f t="shared" si="59"/>
        <v>68.87</v>
      </c>
      <c r="AX86" s="592"/>
      <c r="AY86" s="592"/>
      <c r="AZ86" s="592"/>
      <c r="BA86" s="1135">
        <f t="shared" si="68"/>
        <v>0</v>
      </c>
      <c r="BB86" s="592"/>
      <c r="BC86" s="517">
        <f t="shared" si="70"/>
        <v>0</v>
      </c>
      <c r="BD86" s="592"/>
      <c r="BE86" s="251">
        <f>+AW86+AY86</f>
        <v>68.87</v>
      </c>
      <c r="BF86" s="1202"/>
      <c r="BH86" s="26"/>
      <c r="BI86" s="26"/>
    </row>
    <row r="87" spans="1:61" x14ac:dyDescent="0.3">
      <c r="B87" s="4442" t="s">
        <v>2291</v>
      </c>
      <c r="C87" s="156" t="s">
        <v>354</v>
      </c>
      <c r="D87" s="5347"/>
      <c r="E87" s="5347"/>
      <c r="F87" s="5347"/>
      <c r="G87" s="5347"/>
      <c r="H87" s="5348"/>
      <c r="I87" s="5352"/>
      <c r="J87" s="5347"/>
      <c r="K87" s="5347"/>
      <c r="L87" s="5359"/>
      <c r="M87" s="5351"/>
      <c r="N87" s="5347"/>
      <c r="O87" s="5347"/>
      <c r="P87" s="5347"/>
      <c r="Q87" s="5352"/>
      <c r="R87" s="5347"/>
      <c r="S87" s="5347"/>
      <c r="T87" s="5347"/>
      <c r="U87" s="5352"/>
      <c r="V87" s="5347"/>
      <c r="W87" s="5347"/>
      <c r="X87" s="5359"/>
      <c r="Y87" s="5351"/>
      <c r="Z87" s="5347"/>
      <c r="AA87" s="5353"/>
      <c r="AB87" s="5347"/>
      <c r="AC87" s="5347"/>
      <c r="AD87" s="5347"/>
      <c r="AE87" s="5367"/>
      <c r="AF87" s="5347"/>
      <c r="AG87" s="5347"/>
      <c r="AH87" s="5347"/>
      <c r="AI87" s="5120"/>
      <c r="AJ87" s="5347"/>
      <c r="AK87" s="5347"/>
      <c r="AL87" s="5347"/>
      <c r="AM87" s="5351"/>
      <c r="AN87" s="5347"/>
      <c r="AO87" s="5367"/>
      <c r="AP87" s="5347"/>
      <c r="AQ87" s="5347">
        <v>898.86</v>
      </c>
      <c r="AR87" s="5347"/>
      <c r="AS87" s="1683">
        <f t="shared" si="58"/>
        <v>898.86</v>
      </c>
      <c r="AT87" s="5347"/>
      <c r="AU87" s="5347">
        <v>100.53</v>
      </c>
      <c r="AV87" s="5347"/>
      <c r="AW87" s="1683">
        <f t="shared" si="59"/>
        <v>999.39</v>
      </c>
      <c r="AX87" s="5347"/>
      <c r="AY87" s="5347"/>
      <c r="AZ87" s="5347"/>
      <c r="BA87" s="1135">
        <f t="shared" si="68"/>
        <v>999.39</v>
      </c>
      <c r="BB87" s="5347"/>
      <c r="BC87" s="517">
        <f t="shared" si="70"/>
        <v>999.39</v>
      </c>
      <c r="BD87" s="5347"/>
      <c r="BE87" s="251">
        <f t="shared" ref="BE87:BE88" si="86">+AW87+AY87</f>
        <v>999.39</v>
      </c>
      <c r="BF87" s="1202"/>
      <c r="BH87" s="26"/>
      <c r="BI87" s="26"/>
    </row>
    <row r="88" spans="1:61" x14ac:dyDescent="0.3">
      <c r="B88" s="4442" t="s">
        <v>2290</v>
      </c>
      <c r="C88" s="156" t="s">
        <v>354</v>
      </c>
      <c r="D88" s="5347"/>
      <c r="E88" s="5347"/>
      <c r="F88" s="5347"/>
      <c r="G88" s="5347"/>
      <c r="H88" s="5348"/>
      <c r="I88" s="5352"/>
      <c r="J88" s="5347"/>
      <c r="K88" s="5347"/>
      <c r="L88" s="5359"/>
      <c r="M88" s="5351"/>
      <c r="N88" s="5347"/>
      <c r="O88" s="5347"/>
      <c r="P88" s="5347"/>
      <c r="Q88" s="5352"/>
      <c r="R88" s="5347"/>
      <c r="S88" s="5347"/>
      <c r="T88" s="5347"/>
      <c r="U88" s="5352"/>
      <c r="V88" s="5347"/>
      <c r="W88" s="5347"/>
      <c r="X88" s="5359"/>
      <c r="Y88" s="5351"/>
      <c r="Z88" s="5347"/>
      <c r="AA88" s="5353"/>
      <c r="AB88" s="5347"/>
      <c r="AC88" s="5347"/>
      <c r="AD88" s="5347"/>
      <c r="AE88" s="5367"/>
      <c r="AF88" s="5347"/>
      <c r="AG88" s="5347"/>
      <c r="AH88" s="5347"/>
      <c r="AI88" s="5120"/>
      <c r="AJ88" s="5347"/>
      <c r="AK88" s="5347"/>
      <c r="AL88" s="5347"/>
      <c r="AM88" s="5351"/>
      <c r="AN88" s="5347"/>
      <c r="AO88" s="5367"/>
      <c r="AP88" s="5347"/>
      <c r="AQ88" s="5347">
        <v>4.42</v>
      </c>
      <c r="AR88" s="5347"/>
      <c r="AS88" s="1683">
        <f t="shared" si="58"/>
        <v>4.42</v>
      </c>
      <c r="AT88" s="5347"/>
      <c r="AU88" s="5347"/>
      <c r="AV88" s="5347"/>
      <c r="AW88" s="1683">
        <f t="shared" si="59"/>
        <v>4.42</v>
      </c>
      <c r="AX88" s="5347"/>
      <c r="AY88" s="5347"/>
      <c r="AZ88" s="5347"/>
      <c r="BA88" s="1135">
        <f t="shared" si="68"/>
        <v>4.42</v>
      </c>
      <c r="BB88" s="5347"/>
      <c r="BC88" s="517">
        <f t="shared" si="70"/>
        <v>4.42</v>
      </c>
      <c r="BD88" s="5347"/>
      <c r="BE88" s="251">
        <f t="shared" si="86"/>
        <v>4.42</v>
      </c>
      <c r="BF88" s="1202"/>
      <c r="BH88" s="26"/>
      <c r="BI88" s="26"/>
    </row>
    <row r="89" spans="1:61" x14ac:dyDescent="0.3">
      <c r="B89" s="8" t="s">
        <v>2102</v>
      </c>
      <c r="C89" s="156" t="s">
        <v>354</v>
      </c>
      <c r="D89" s="4062"/>
      <c r="E89" s="4062"/>
      <c r="F89" s="4062"/>
      <c r="G89" s="4062"/>
      <c r="H89" s="4063"/>
      <c r="I89" s="1630">
        <f t="shared" si="85"/>
        <v>0</v>
      </c>
      <c r="J89" s="4062"/>
      <c r="K89" s="4062"/>
      <c r="L89" s="4067"/>
      <c r="M89" s="1135">
        <f t="shared" si="37"/>
        <v>0</v>
      </c>
      <c r="N89" s="4062"/>
      <c r="O89" s="4062"/>
      <c r="P89" s="4062"/>
      <c r="Q89" s="1630">
        <f t="shared" si="61"/>
        <v>0</v>
      </c>
      <c r="R89" s="4062"/>
      <c r="S89" s="4062">
        <v>14.8</v>
      </c>
      <c r="T89" s="4062"/>
      <c r="U89" s="1630">
        <f t="shared" si="62"/>
        <v>14.8</v>
      </c>
      <c r="V89" s="4062"/>
      <c r="W89" s="4062"/>
      <c r="X89" s="4067"/>
      <c r="Y89" s="1135">
        <f t="shared" ref="Y89" si="87">+O89+S89+W89</f>
        <v>14.8</v>
      </c>
      <c r="Z89" s="592"/>
      <c r="AA89" s="517">
        <f t="shared" ref="AA89" si="88">M89+Y89</f>
        <v>14.8</v>
      </c>
      <c r="AB89" s="4062"/>
      <c r="AC89" s="4062"/>
      <c r="AD89" s="4062"/>
      <c r="AE89" s="1683">
        <f t="shared" si="57"/>
        <v>14.8</v>
      </c>
      <c r="AF89" s="4062"/>
      <c r="AG89" s="4062"/>
      <c r="AH89" s="4062"/>
      <c r="AI89" s="775">
        <f t="shared" si="78"/>
        <v>14.8</v>
      </c>
      <c r="AJ89" s="4062"/>
      <c r="AK89" s="4062"/>
      <c r="AL89" s="4062"/>
      <c r="AM89" s="1135">
        <f t="shared" si="75"/>
        <v>0</v>
      </c>
      <c r="AN89" s="4062"/>
      <c r="AO89" s="1683">
        <f t="shared" si="71"/>
        <v>14.8</v>
      </c>
      <c r="AP89" s="4062"/>
      <c r="AQ89" s="4062"/>
      <c r="AR89" s="4062"/>
      <c r="AS89" s="1683">
        <f t="shared" si="58"/>
        <v>14.8</v>
      </c>
      <c r="AT89" s="4062"/>
      <c r="AU89" s="4062"/>
      <c r="AV89" s="4062"/>
      <c r="AW89" s="1683">
        <f t="shared" si="59"/>
        <v>14.8</v>
      </c>
      <c r="AX89" s="4062"/>
      <c r="AY89" s="4062"/>
      <c r="AZ89" s="4062"/>
      <c r="BA89" s="1135">
        <f t="shared" ref="BA89:BA90" si="89">+AQ89+AU89+AY89</f>
        <v>0</v>
      </c>
      <c r="BB89" s="592"/>
      <c r="BC89" s="517">
        <f t="shared" ref="BC89:BC90" si="90">BA89+AM89</f>
        <v>0</v>
      </c>
      <c r="BD89" s="4062"/>
      <c r="BE89" s="251">
        <f t="shared" ref="BE89:BE90" si="91">+AW89+AY89</f>
        <v>14.8</v>
      </c>
      <c r="BF89" s="1202"/>
      <c r="BH89" s="26"/>
      <c r="BI89" s="26"/>
    </row>
    <row r="90" spans="1:61" x14ac:dyDescent="0.3">
      <c r="B90" s="8" t="s">
        <v>2103</v>
      </c>
      <c r="C90" s="156" t="s">
        <v>354</v>
      </c>
      <c r="D90" s="592"/>
      <c r="E90" s="592"/>
      <c r="F90" s="592"/>
      <c r="G90" s="592"/>
      <c r="H90" s="1632"/>
      <c r="I90" s="1630">
        <f t="shared" si="85"/>
        <v>0</v>
      </c>
      <c r="J90" s="592"/>
      <c r="K90" s="592"/>
      <c r="L90" s="197"/>
      <c r="M90" s="1135">
        <f t="shared" si="37"/>
        <v>0</v>
      </c>
      <c r="N90" s="592"/>
      <c r="O90" s="592"/>
      <c r="P90" s="592"/>
      <c r="Q90" s="1630">
        <f t="shared" si="61"/>
        <v>0</v>
      </c>
      <c r="R90" s="592"/>
      <c r="S90" s="592">
        <v>49.83</v>
      </c>
      <c r="T90" s="592"/>
      <c r="U90" s="1630">
        <f t="shared" si="62"/>
        <v>49.83</v>
      </c>
      <c r="V90" s="592"/>
      <c r="W90" s="592"/>
      <c r="X90" s="197"/>
      <c r="Y90" s="1135">
        <f t="shared" si="69"/>
        <v>49.83</v>
      </c>
      <c r="Z90" s="592"/>
      <c r="AA90" s="517">
        <f t="shared" si="66"/>
        <v>49.83</v>
      </c>
      <c r="AB90" s="592"/>
      <c r="AC90" s="592"/>
      <c r="AD90" s="592"/>
      <c r="AE90" s="1683">
        <f t="shared" si="57"/>
        <v>49.83</v>
      </c>
      <c r="AF90" s="592"/>
      <c r="AG90" s="592"/>
      <c r="AH90" s="592"/>
      <c r="AI90" s="775">
        <f t="shared" si="78"/>
        <v>49.83</v>
      </c>
      <c r="AJ90" s="592"/>
      <c r="AK90" s="592"/>
      <c r="AL90" s="592"/>
      <c r="AM90" s="1135">
        <f t="shared" si="75"/>
        <v>0</v>
      </c>
      <c r="AN90" s="592"/>
      <c r="AO90" s="1683">
        <f t="shared" si="71"/>
        <v>49.83</v>
      </c>
      <c r="AP90" s="592"/>
      <c r="AQ90" s="592"/>
      <c r="AR90" s="592"/>
      <c r="AS90" s="1683">
        <f t="shared" si="58"/>
        <v>49.83</v>
      </c>
      <c r="AT90" s="592"/>
      <c r="AU90" s="592">
        <v>59.17</v>
      </c>
      <c r="AV90" s="592"/>
      <c r="AW90" s="1683">
        <f t="shared" si="59"/>
        <v>109</v>
      </c>
      <c r="AX90" s="592"/>
      <c r="AY90" s="592"/>
      <c r="AZ90" s="592"/>
      <c r="BA90" s="1135">
        <f t="shared" si="89"/>
        <v>59.17</v>
      </c>
      <c r="BB90" s="592"/>
      <c r="BC90" s="517">
        <f t="shared" si="90"/>
        <v>59.17</v>
      </c>
      <c r="BD90" s="592"/>
      <c r="BE90" s="251">
        <f t="shared" si="91"/>
        <v>109</v>
      </c>
      <c r="BF90" s="1202"/>
      <c r="BH90" s="26"/>
      <c r="BI90" s="26"/>
    </row>
    <row r="91" spans="1:61" x14ac:dyDescent="0.3">
      <c r="B91" s="8" t="s">
        <v>1754</v>
      </c>
      <c r="C91" s="156" t="s">
        <v>354</v>
      </c>
      <c r="D91" s="592"/>
      <c r="E91" s="1185">
        <v>53</v>
      </c>
      <c r="F91" s="1185"/>
      <c r="G91" s="1185">
        <v>3</v>
      </c>
      <c r="H91" s="1630"/>
      <c r="I91" s="1630">
        <f t="shared" si="85"/>
        <v>56</v>
      </c>
      <c r="J91" s="1185"/>
      <c r="K91" s="1185">
        <v>13</v>
      </c>
      <c r="L91" s="197"/>
      <c r="M91" s="1135">
        <f t="shared" si="37"/>
        <v>69</v>
      </c>
      <c r="N91" s="1185"/>
      <c r="O91" s="1185"/>
      <c r="P91" s="1185"/>
      <c r="Q91" s="1630">
        <f t="shared" si="61"/>
        <v>69</v>
      </c>
      <c r="R91" s="1185"/>
      <c r="S91" s="1185"/>
      <c r="T91" s="1185"/>
      <c r="U91" s="1630">
        <f t="shared" si="62"/>
        <v>69</v>
      </c>
      <c r="V91" s="1185"/>
      <c r="W91" s="1185">
        <v>82</v>
      </c>
      <c r="X91" s="197"/>
      <c r="Y91" s="1135">
        <f t="shared" si="69"/>
        <v>82</v>
      </c>
      <c r="Z91" s="1185"/>
      <c r="AA91" s="539">
        <f t="shared" si="66"/>
        <v>151</v>
      </c>
      <c r="AB91" s="1185"/>
      <c r="AC91" s="1185">
        <v>182</v>
      </c>
      <c r="AD91" s="1185"/>
      <c r="AE91" s="1683">
        <f t="shared" si="57"/>
        <v>333</v>
      </c>
      <c r="AF91" s="1185"/>
      <c r="AG91" s="1185">
        <v>237</v>
      </c>
      <c r="AH91" s="1185"/>
      <c r="AI91" s="775">
        <f t="shared" si="78"/>
        <v>570</v>
      </c>
      <c r="AJ91" s="1185"/>
      <c r="AK91" s="1185">
        <v>862</v>
      </c>
      <c r="AL91" s="1185"/>
      <c r="AM91" s="1135">
        <f t="shared" si="75"/>
        <v>1281</v>
      </c>
      <c r="AN91" s="1185"/>
      <c r="AO91" s="1683">
        <f t="shared" si="71"/>
        <v>1432</v>
      </c>
      <c r="AP91" s="1185"/>
      <c r="AQ91" s="1185">
        <v>118</v>
      </c>
      <c r="AR91" s="1185"/>
      <c r="AS91" s="1683">
        <f t="shared" si="58"/>
        <v>1550</v>
      </c>
      <c r="AT91" s="1185"/>
      <c r="AU91" s="1185">
        <v>10</v>
      </c>
      <c r="AV91" s="1185"/>
      <c r="AW91" s="1683">
        <f t="shared" si="59"/>
        <v>1560</v>
      </c>
      <c r="AX91" s="1185"/>
      <c r="AY91" s="1185"/>
      <c r="AZ91" s="1185"/>
      <c r="BA91" s="1135">
        <f t="shared" si="68"/>
        <v>128</v>
      </c>
      <c r="BB91" s="1185"/>
      <c r="BC91" s="539">
        <f t="shared" si="70"/>
        <v>1409</v>
      </c>
      <c r="BD91" s="1185"/>
      <c r="BE91" s="371">
        <f t="shared" ref="BE91:BE101" si="92">+AW91+AY91</f>
        <v>1560</v>
      </c>
      <c r="BF91" s="1202"/>
      <c r="BH91" s="26"/>
      <c r="BI91" s="26"/>
    </row>
    <row r="92" spans="1:61" x14ac:dyDescent="0.3">
      <c r="B92" s="8" t="s">
        <v>1109</v>
      </c>
      <c r="C92" s="156" t="s">
        <v>354</v>
      </c>
      <c r="D92" s="592"/>
      <c r="E92" s="592">
        <v>8.83</v>
      </c>
      <c r="F92" s="592"/>
      <c r="G92" s="592">
        <v>34.200000000000003</v>
      </c>
      <c r="H92" s="1632"/>
      <c r="I92" s="1630">
        <f t="shared" si="85"/>
        <v>43.03</v>
      </c>
      <c r="J92" s="592"/>
      <c r="K92" s="592">
        <v>15.6</v>
      </c>
      <c r="L92" s="197"/>
      <c r="M92" s="1135">
        <f t="shared" si="37"/>
        <v>58.63</v>
      </c>
      <c r="N92" s="592"/>
      <c r="O92" s="592">
        <v>37.17</v>
      </c>
      <c r="P92" s="592"/>
      <c r="Q92" s="1630">
        <f t="shared" si="61"/>
        <v>95.800000000000011</v>
      </c>
      <c r="R92" s="592"/>
      <c r="S92" s="592">
        <v>12.67</v>
      </c>
      <c r="T92" s="592"/>
      <c r="U92" s="1630">
        <f t="shared" si="62"/>
        <v>108.47000000000001</v>
      </c>
      <c r="V92" s="592"/>
      <c r="W92" s="592">
        <v>19.990000000000002</v>
      </c>
      <c r="X92" s="197"/>
      <c r="Y92" s="1135">
        <f t="shared" si="69"/>
        <v>69.830000000000013</v>
      </c>
      <c r="Z92" s="592"/>
      <c r="AA92" s="517">
        <f t="shared" si="66"/>
        <v>128.46</v>
      </c>
      <c r="AB92" s="592"/>
      <c r="AC92" s="592">
        <v>2.38</v>
      </c>
      <c r="AD92" s="592"/>
      <c r="AE92" s="1683">
        <f t="shared" si="57"/>
        <v>130.84</v>
      </c>
      <c r="AF92" s="592"/>
      <c r="AG92" s="592"/>
      <c r="AH92" s="592"/>
      <c r="AI92" s="775">
        <f t="shared" si="78"/>
        <v>130.84</v>
      </c>
      <c r="AJ92" s="592"/>
      <c r="AK92" s="592">
        <v>2.14</v>
      </c>
      <c r="AL92" s="592"/>
      <c r="AM92" s="1135">
        <f t="shared" si="75"/>
        <v>4.5199999999999996</v>
      </c>
      <c r="AN92" s="592"/>
      <c r="AO92" s="1683">
        <f t="shared" si="71"/>
        <v>132.97999999999999</v>
      </c>
      <c r="AP92" s="592"/>
      <c r="AQ92" s="592">
        <v>12.36</v>
      </c>
      <c r="AR92" s="592"/>
      <c r="AS92" s="1683">
        <f t="shared" si="58"/>
        <v>145.33999999999997</v>
      </c>
      <c r="AT92" s="592"/>
      <c r="AU92" s="592">
        <v>12.43</v>
      </c>
      <c r="AV92" s="592"/>
      <c r="AW92" s="1683">
        <f t="shared" si="59"/>
        <v>157.76999999999998</v>
      </c>
      <c r="AX92" s="592"/>
      <c r="AY92" s="592"/>
      <c r="AZ92" s="592"/>
      <c r="BA92" s="1135">
        <f t="shared" si="68"/>
        <v>24.79</v>
      </c>
      <c r="BB92" s="592"/>
      <c r="BC92" s="517">
        <f t="shared" si="70"/>
        <v>29.31</v>
      </c>
      <c r="BD92" s="592"/>
      <c r="BE92" s="251">
        <f t="shared" si="92"/>
        <v>157.76999999999998</v>
      </c>
      <c r="BF92" s="1202"/>
      <c r="BH92" s="26"/>
      <c r="BI92" s="26"/>
    </row>
    <row r="93" spans="1:61" ht="15.75" customHeight="1" x14ac:dyDescent="0.3">
      <c r="A93" s="146"/>
      <c r="B93" s="8" t="s">
        <v>666</v>
      </c>
      <c r="C93" s="156" t="s">
        <v>354</v>
      </c>
      <c r="D93" s="592"/>
      <c r="E93" s="1185">
        <v>887.99</v>
      </c>
      <c r="F93" s="1185"/>
      <c r="G93" s="1185"/>
      <c r="H93" s="1630"/>
      <c r="I93" s="1630">
        <f t="shared" si="85"/>
        <v>887.99</v>
      </c>
      <c r="J93" s="1185"/>
      <c r="K93" s="1185">
        <v>881.95</v>
      </c>
      <c r="L93" s="197"/>
      <c r="M93" s="1135">
        <f t="shared" si="37"/>
        <v>1769.94</v>
      </c>
      <c r="N93" s="1185"/>
      <c r="O93" s="1185">
        <v>75.539999999999992</v>
      </c>
      <c r="P93" s="1185"/>
      <c r="Q93" s="1630">
        <f t="shared" si="61"/>
        <v>1845.48</v>
      </c>
      <c r="R93" s="1185"/>
      <c r="S93" s="1185"/>
      <c r="T93" s="1185"/>
      <c r="U93" s="1630">
        <f t="shared" si="62"/>
        <v>1845.48</v>
      </c>
      <c r="V93" s="1185"/>
      <c r="W93" s="1185"/>
      <c r="X93" s="197"/>
      <c r="Y93" s="1135">
        <f t="shared" si="69"/>
        <v>75.539999999999992</v>
      </c>
      <c r="Z93" s="1185"/>
      <c r="AA93" s="539">
        <f t="shared" si="66"/>
        <v>1845.48</v>
      </c>
      <c r="AB93" s="1185"/>
      <c r="AC93" s="1185"/>
      <c r="AD93" s="1185"/>
      <c r="AE93" s="1683">
        <f t="shared" si="57"/>
        <v>1845.48</v>
      </c>
      <c r="AF93" s="1185"/>
      <c r="AG93" s="1185"/>
      <c r="AH93" s="1185"/>
      <c r="AI93" s="775">
        <f t="shared" si="78"/>
        <v>1845.48</v>
      </c>
      <c r="AJ93" s="1185"/>
      <c r="AK93" s="1185"/>
      <c r="AL93" s="1185"/>
      <c r="AM93" s="1135">
        <f t="shared" si="75"/>
        <v>0</v>
      </c>
      <c r="AN93" s="1185"/>
      <c r="AO93" s="1683">
        <f t="shared" si="71"/>
        <v>1845.48</v>
      </c>
      <c r="AP93" s="1185"/>
      <c r="AQ93" s="1185"/>
      <c r="AR93" s="1185"/>
      <c r="AS93" s="1683">
        <f t="shared" si="58"/>
        <v>1845.48</v>
      </c>
      <c r="AT93" s="1185"/>
      <c r="AU93" s="1185"/>
      <c r="AV93" s="1185"/>
      <c r="AW93" s="1683">
        <f t="shared" si="59"/>
        <v>1845.48</v>
      </c>
      <c r="AX93" s="1185"/>
      <c r="AY93" s="1185"/>
      <c r="AZ93" s="1185"/>
      <c r="BA93" s="1135">
        <f t="shared" si="68"/>
        <v>0</v>
      </c>
      <c r="BB93" s="1185"/>
      <c r="BC93" s="539">
        <f t="shared" si="70"/>
        <v>0</v>
      </c>
      <c r="BD93" s="1185"/>
      <c r="BE93" s="371">
        <f t="shared" si="92"/>
        <v>1845.48</v>
      </c>
      <c r="BF93" s="1202"/>
      <c r="BH93" s="26"/>
      <c r="BI93" s="26"/>
    </row>
    <row r="94" spans="1:61" ht="15.75" customHeight="1" x14ac:dyDescent="0.3">
      <c r="A94" s="146"/>
      <c r="B94" s="8" t="s">
        <v>2264</v>
      </c>
      <c r="C94" s="156" t="s">
        <v>354</v>
      </c>
      <c r="D94" s="592"/>
      <c r="E94" s="1185"/>
      <c r="F94" s="1185"/>
      <c r="G94" s="1185"/>
      <c r="H94" s="1630"/>
      <c r="I94" s="1630">
        <f t="shared" ref="I94:I97" si="93">+E94+G94</f>
        <v>0</v>
      </c>
      <c r="J94" s="1185"/>
      <c r="K94" s="1185"/>
      <c r="L94" s="197"/>
      <c r="M94" s="1135">
        <f t="shared" si="37"/>
        <v>0</v>
      </c>
      <c r="N94" s="1185"/>
      <c r="O94" s="1185"/>
      <c r="P94" s="1185"/>
      <c r="Q94" s="1630">
        <f t="shared" si="61"/>
        <v>0</v>
      </c>
      <c r="R94" s="1185"/>
      <c r="S94" s="1185"/>
      <c r="T94" s="1185"/>
      <c r="U94" s="1630">
        <f t="shared" si="62"/>
        <v>0</v>
      </c>
      <c r="V94" s="1185"/>
      <c r="W94" s="1185"/>
      <c r="X94" s="197"/>
      <c r="Y94" s="1135">
        <f t="shared" si="69"/>
        <v>0</v>
      </c>
      <c r="Z94" s="1185"/>
      <c r="AA94" s="539">
        <f t="shared" si="66"/>
        <v>0</v>
      </c>
      <c r="AB94" s="1185"/>
      <c r="AC94" s="1185"/>
      <c r="AD94" s="1185"/>
      <c r="AE94" s="1683">
        <f t="shared" si="57"/>
        <v>0</v>
      </c>
      <c r="AF94" s="1185"/>
      <c r="AG94" s="1185"/>
      <c r="AH94" s="1185"/>
      <c r="AI94" s="775">
        <f t="shared" si="78"/>
        <v>0</v>
      </c>
      <c r="AJ94" s="1185"/>
      <c r="AK94" s="1185">
        <v>9.3699999999999992</v>
      </c>
      <c r="AL94" s="1185"/>
      <c r="AM94" s="1135">
        <f t="shared" si="75"/>
        <v>9.3699999999999992</v>
      </c>
      <c r="AN94" s="1185"/>
      <c r="AO94" s="1683">
        <f t="shared" si="71"/>
        <v>9.3699999999999992</v>
      </c>
      <c r="AP94" s="1185"/>
      <c r="AQ94" s="1185">
        <v>6.98</v>
      </c>
      <c r="AR94" s="1185"/>
      <c r="AS94" s="1683">
        <f t="shared" si="58"/>
        <v>16.350000000000001</v>
      </c>
      <c r="AT94" s="1185"/>
      <c r="AU94" s="1185"/>
      <c r="AV94" s="1185"/>
      <c r="AW94" s="1683">
        <f t="shared" si="59"/>
        <v>16.350000000000001</v>
      </c>
      <c r="AX94" s="1185"/>
      <c r="AY94" s="1185"/>
      <c r="AZ94" s="1185"/>
      <c r="BA94" s="1135">
        <f t="shared" si="68"/>
        <v>6.98</v>
      </c>
      <c r="BB94" s="1185"/>
      <c r="BC94" s="539">
        <f t="shared" si="70"/>
        <v>16.350000000000001</v>
      </c>
      <c r="BD94" s="1185"/>
      <c r="BE94" s="371">
        <f t="shared" si="92"/>
        <v>16.350000000000001</v>
      </c>
      <c r="BF94" s="1202"/>
      <c r="BH94" s="26"/>
      <c r="BI94" s="26"/>
    </row>
    <row r="95" spans="1:61" ht="15.75" customHeight="1" x14ac:dyDescent="0.3">
      <c r="A95" s="146"/>
      <c r="B95" s="8" t="s">
        <v>875</v>
      </c>
      <c r="C95" s="156" t="s">
        <v>354</v>
      </c>
      <c r="D95" s="592"/>
      <c r="E95" s="1185"/>
      <c r="F95" s="1185"/>
      <c r="G95" s="1185"/>
      <c r="H95" s="1630"/>
      <c r="I95" s="1630">
        <f t="shared" si="93"/>
        <v>0</v>
      </c>
      <c r="J95" s="1185"/>
      <c r="K95" s="1185"/>
      <c r="L95" s="197"/>
      <c r="M95" s="1135">
        <f t="shared" si="37"/>
        <v>0</v>
      </c>
      <c r="N95" s="1185"/>
      <c r="O95" s="1185"/>
      <c r="P95" s="1185"/>
      <c r="Q95" s="1630">
        <f t="shared" si="61"/>
        <v>0</v>
      </c>
      <c r="R95" s="1185"/>
      <c r="S95" s="1185"/>
      <c r="T95" s="1185"/>
      <c r="U95" s="1630">
        <f t="shared" si="62"/>
        <v>0</v>
      </c>
      <c r="V95" s="1185"/>
      <c r="W95" s="1185"/>
      <c r="X95" s="197"/>
      <c r="Y95" s="1135">
        <f t="shared" si="69"/>
        <v>0</v>
      </c>
      <c r="Z95" s="1185"/>
      <c r="AA95" s="539">
        <f t="shared" si="66"/>
        <v>0</v>
      </c>
      <c r="AB95" s="1185"/>
      <c r="AC95" s="1185">
        <v>156.16999999999999</v>
      </c>
      <c r="AD95" s="1185"/>
      <c r="AE95" s="1683">
        <f t="shared" si="57"/>
        <v>156.16999999999999</v>
      </c>
      <c r="AF95" s="1185"/>
      <c r="AG95" s="1185"/>
      <c r="AH95" s="1185"/>
      <c r="AI95" s="775">
        <f t="shared" si="78"/>
        <v>156.16999999999999</v>
      </c>
      <c r="AJ95" s="1185"/>
      <c r="AK95" s="1185"/>
      <c r="AL95" s="1185"/>
      <c r="AM95" s="1135">
        <f t="shared" si="75"/>
        <v>156.16999999999999</v>
      </c>
      <c r="AN95" s="1185"/>
      <c r="AO95" s="1683">
        <f t="shared" si="71"/>
        <v>156.16999999999999</v>
      </c>
      <c r="AP95" s="1185"/>
      <c r="AQ95" s="1185"/>
      <c r="AR95" s="1185"/>
      <c r="AS95" s="775">
        <f t="shared" ref="AS95:AS101" si="94">+AO95+AQ95</f>
        <v>156.16999999999999</v>
      </c>
      <c r="AT95" s="1185"/>
      <c r="AU95" s="1185"/>
      <c r="AV95" s="1185"/>
      <c r="AW95" s="775">
        <f t="shared" si="59"/>
        <v>156.16999999999999</v>
      </c>
      <c r="AX95" s="1185"/>
      <c r="AY95" s="1185"/>
      <c r="AZ95" s="1185"/>
      <c r="BA95" s="1135">
        <f t="shared" si="68"/>
        <v>0</v>
      </c>
      <c r="BB95" s="1185"/>
      <c r="BC95" s="539">
        <f t="shared" si="70"/>
        <v>156.16999999999999</v>
      </c>
      <c r="BD95" s="1185"/>
      <c r="BE95" s="371">
        <f t="shared" si="92"/>
        <v>156.16999999999999</v>
      </c>
      <c r="BF95" s="1202"/>
      <c r="BH95" s="26"/>
      <c r="BI95" s="26"/>
    </row>
    <row r="96" spans="1:61" ht="15.75" customHeight="1" x14ac:dyDescent="0.3">
      <c r="A96" s="146"/>
      <c r="B96" s="8" t="s">
        <v>1853</v>
      </c>
      <c r="C96" s="156" t="s">
        <v>354</v>
      </c>
      <c r="D96" s="592"/>
      <c r="E96" s="1185"/>
      <c r="F96" s="1185"/>
      <c r="G96" s="1185"/>
      <c r="H96" s="1630"/>
      <c r="I96" s="1630">
        <f t="shared" si="93"/>
        <v>0</v>
      </c>
      <c r="J96" s="1185"/>
      <c r="K96" s="1185"/>
      <c r="L96" s="197"/>
      <c r="M96" s="1135">
        <f t="shared" si="37"/>
        <v>0</v>
      </c>
      <c r="N96" s="1185"/>
      <c r="O96" s="1185"/>
      <c r="P96" s="1185"/>
      <c r="Q96" s="1630">
        <f t="shared" si="61"/>
        <v>0</v>
      </c>
      <c r="R96" s="1185"/>
      <c r="S96" s="1185">
        <v>198.44</v>
      </c>
      <c r="T96" s="1185"/>
      <c r="U96" s="1630">
        <f t="shared" si="62"/>
        <v>198.44</v>
      </c>
      <c r="V96" s="1185"/>
      <c r="W96" s="1185">
        <v>200.53</v>
      </c>
      <c r="X96" s="197"/>
      <c r="Y96" s="1135">
        <f t="shared" si="69"/>
        <v>398.97</v>
      </c>
      <c r="Z96" s="1185"/>
      <c r="AA96" s="539">
        <f t="shared" si="66"/>
        <v>398.97</v>
      </c>
      <c r="AB96" s="1185"/>
      <c r="AC96" s="1185"/>
      <c r="AD96" s="1185"/>
      <c r="AE96" s="1683">
        <f t="shared" si="57"/>
        <v>398.97</v>
      </c>
      <c r="AF96" s="1185"/>
      <c r="AG96" s="1185"/>
      <c r="AH96" s="1185"/>
      <c r="AI96" s="775">
        <f t="shared" si="78"/>
        <v>398.97</v>
      </c>
      <c r="AJ96" s="1185"/>
      <c r="AK96" s="1185"/>
      <c r="AL96" s="1185"/>
      <c r="AM96" s="1135">
        <f t="shared" si="75"/>
        <v>0</v>
      </c>
      <c r="AN96" s="1185"/>
      <c r="AO96" s="1683">
        <f t="shared" si="71"/>
        <v>398.97</v>
      </c>
      <c r="AP96" s="1185"/>
      <c r="AQ96" s="1185"/>
      <c r="AR96" s="1185"/>
      <c r="AS96" s="775">
        <f t="shared" si="94"/>
        <v>398.97</v>
      </c>
      <c r="AT96" s="1185"/>
      <c r="AU96" s="1185"/>
      <c r="AV96" s="1185"/>
      <c r="AW96" s="775">
        <f t="shared" si="59"/>
        <v>398.97</v>
      </c>
      <c r="AX96" s="1185"/>
      <c r="AY96" s="1185"/>
      <c r="AZ96" s="1185"/>
      <c r="BA96" s="1135">
        <f t="shared" si="68"/>
        <v>0</v>
      </c>
      <c r="BB96" s="1185"/>
      <c r="BC96" s="539">
        <f t="shared" si="70"/>
        <v>0</v>
      </c>
      <c r="BD96" s="1185"/>
      <c r="BE96" s="371">
        <f t="shared" si="92"/>
        <v>398.97</v>
      </c>
      <c r="BF96" s="1202"/>
      <c r="BH96" s="26"/>
      <c r="BI96" s="26"/>
    </row>
    <row r="97" spans="1:61" ht="15.75" customHeight="1" x14ac:dyDescent="0.3">
      <c r="A97" s="146"/>
      <c r="B97" s="8" t="s">
        <v>2263</v>
      </c>
      <c r="C97" s="156" t="s">
        <v>354</v>
      </c>
      <c r="D97" s="592"/>
      <c r="E97" s="1185"/>
      <c r="F97" s="1185"/>
      <c r="G97" s="1185"/>
      <c r="H97" s="1630"/>
      <c r="I97" s="1630">
        <f t="shared" si="93"/>
        <v>0</v>
      </c>
      <c r="J97" s="1185"/>
      <c r="K97" s="1185"/>
      <c r="L97" s="197"/>
      <c r="M97" s="1135">
        <f t="shared" si="37"/>
        <v>0</v>
      </c>
      <c r="N97" s="1185"/>
      <c r="O97" s="1185"/>
      <c r="P97" s="1185"/>
      <c r="Q97" s="1630">
        <f t="shared" si="61"/>
        <v>0</v>
      </c>
      <c r="R97" s="1185"/>
      <c r="S97" s="1185"/>
      <c r="T97" s="1185"/>
      <c r="U97" s="1630">
        <f t="shared" si="62"/>
        <v>0</v>
      </c>
      <c r="V97" s="1185"/>
      <c r="W97" s="1185"/>
      <c r="X97" s="197"/>
      <c r="Y97" s="1135">
        <f t="shared" si="69"/>
        <v>0</v>
      </c>
      <c r="Z97" s="1185"/>
      <c r="AA97" s="539">
        <f t="shared" si="66"/>
        <v>0</v>
      </c>
      <c r="AB97" s="1185"/>
      <c r="AC97" s="1185"/>
      <c r="AD97" s="1185"/>
      <c r="AE97" s="1683">
        <f t="shared" si="57"/>
        <v>0</v>
      </c>
      <c r="AF97" s="1185"/>
      <c r="AG97" s="1185"/>
      <c r="AH97" s="1185"/>
      <c r="AI97" s="775">
        <f t="shared" si="78"/>
        <v>0</v>
      </c>
      <c r="AJ97" s="1185"/>
      <c r="AK97" s="1185">
        <v>17.489999999999998</v>
      </c>
      <c r="AL97" s="1185"/>
      <c r="AM97" s="1135">
        <f t="shared" si="75"/>
        <v>17.489999999999998</v>
      </c>
      <c r="AN97" s="1185"/>
      <c r="AO97" s="775">
        <f t="shared" ref="AO97:AO141" si="95">AI97+AK97</f>
        <v>17.489999999999998</v>
      </c>
      <c r="AP97" s="1185"/>
      <c r="AQ97" s="1185"/>
      <c r="AR97" s="1185"/>
      <c r="AS97" s="775">
        <f t="shared" si="94"/>
        <v>17.489999999999998</v>
      </c>
      <c r="AT97" s="1185"/>
      <c r="AU97" s="1185">
        <v>14.5</v>
      </c>
      <c r="AV97" s="1185"/>
      <c r="AW97" s="775">
        <f t="shared" si="59"/>
        <v>31.99</v>
      </c>
      <c r="AX97" s="1185"/>
      <c r="AY97" s="1185">
        <v>34.39</v>
      </c>
      <c r="AZ97" s="1185"/>
      <c r="BA97" s="1135">
        <f t="shared" si="68"/>
        <v>48.89</v>
      </c>
      <c r="BB97" s="1185"/>
      <c r="BC97" s="539">
        <f t="shared" si="70"/>
        <v>66.38</v>
      </c>
      <c r="BD97" s="1185"/>
      <c r="BE97" s="371">
        <f t="shared" si="92"/>
        <v>66.38</v>
      </c>
      <c r="BF97" s="1202"/>
      <c r="BH97" s="26"/>
      <c r="BI97" s="26"/>
    </row>
    <row r="98" spans="1:61" x14ac:dyDescent="0.3">
      <c r="A98" s="146"/>
      <c r="B98" s="736" t="s">
        <v>984</v>
      </c>
      <c r="C98" s="202" t="s">
        <v>354</v>
      </c>
      <c r="D98" s="1337"/>
      <c r="E98" s="1337">
        <f>+E99+E100</f>
        <v>3593.88</v>
      </c>
      <c r="F98" s="1337"/>
      <c r="G98" s="1337">
        <f>+G99+G100</f>
        <v>2497.5899999999997</v>
      </c>
      <c r="H98" s="1631"/>
      <c r="I98" s="1631">
        <f t="shared" si="85"/>
        <v>6091.4699999999993</v>
      </c>
      <c r="J98" s="1337"/>
      <c r="K98" s="1337">
        <f>+K99+K100</f>
        <v>996.79</v>
      </c>
      <c r="L98" s="1337"/>
      <c r="M98" s="2196">
        <f t="shared" si="37"/>
        <v>7088.2599999999993</v>
      </c>
      <c r="N98" s="1337"/>
      <c r="O98" s="1337">
        <f>+O99+O100</f>
        <v>900.29000000000019</v>
      </c>
      <c r="P98" s="1337"/>
      <c r="Q98" s="1630">
        <f t="shared" si="61"/>
        <v>7988.5499999999993</v>
      </c>
      <c r="R98" s="1337"/>
      <c r="S98" s="1337">
        <f>+S99+S100</f>
        <v>98.82</v>
      </c>
      <c r="T98" s="1337"/>
      <c r="U98" s="1630">
        <f t="shared" si="62"/>
        <v>8087.369999999999</v>
      </c>
      <c r="V98" s="1337"/>
      <c r="W98" s="1337">
        <f>+W99+W100</f>
        <v>199.97</v>
      </c>
      <c r="X98" s="1337"/>
      <c r="Y98" s="2196">
        <f t="shared" si="69"/>
        <v>1199.0800000000002</v>
      </c>
      <c r="Z98" s="1337"/>
      <c r="AA98" s="517">
        <f t="shared" si="66"/>
        <v>8287.34</v>
      </c>
      <c r="AB98" s="1337"/>
      <c r="AC98" s="1337">
        <f>+AC99+AC100</f>
        <v>696.92</v>
      </c>
      <c r="AD98" s="1337"/>
      <c r="AE98" s="1337">
        <f t="shared" ref="AE98:AE100" si="96">+AA98+AC98</f>
        <v>8984.26</v>
      </c>
      <c r="AF98" s="1337"/>
      <c r="AG98" s="1337">
        <f>+AG99+AG100</f>
        <v>1596.1</v>
      </c>
      <c r="AH98" s="1337"/>
      <c r="AI98" s="1337">
        <f t="shared" si="78"/>
        <v>10580.36</v>
      </c>
      <c r="AJ98" s="1337"/>
      <c r="AK98" s="1337">
        <f>+AK99+AK100</f>
        <v>298.72000000000003</v>
      </c>
      <c r="AL98" s="1337"/>
      <c r="AM98" s="2196">
        <f t="shared" si="75"/>
        <v>2591.7399999999998</v>
      </c>
      <c r="AN98" s="1337"/>
      <c r="AO98" s="1337">
        <f t="shared" si="95"/>
        <v>10879.08</v>
      </c>
      <c r="AP98" s="1337"/>
      <c r="AQ98" s="1337">
        <f>+AQ99+AQ100</f>
        <v>99.25</v>
      </c>
      <c r="AR98" s="1337"/>
      <c r="AS98" s="1337">
        <f t="shared" si="94"/>
        <v>10978.33</v>
      </c>
      <c r="AT98" s="1337"/>
      <c r="AU98" s="1337">
        <f>+AU99+AU100</f>
        <v>647.95000000000016</v>
      </c>
      <c r="AV98" s="1337"/>
      <c r="AW98" s="1337">
        <f t="shared" si="59"/>
        <v>11626.28</v>
      </c>
      <c r="AX98" s="1337"/>
      <c r="AY98" s="1337">
        <f>+AY99+AY100</f>
        <v>99.5</v>
      </c>
      <c r="AZ98" s="1337"/>
      <c r="BA98" s="2196">
        <f t="shared" si="68"/>
        <v>846.70000000000016</v>
      </c>
      <c r="BB98" s="1337"/>
      <c r="BC98" s="517">
        <f t="shared" si="70"/>
        <v>3438.44</v>
      </c>
      <c r="BD98" s="1337"/>
      <c r="BE98" s="1337">
        <f t="shared" si="92"/>
        <v>11725.78</v>
      </c>
      <c r="BF98" s="1202"/>
      <c r="BH98" s="26"/>
      <c r="BI98" s="26"/>
    </row>
    <row r="99" spans="1:61" ht="20.399999999999999" x14ac:dyDescent="0.3">
      <c r="A99" s="146"/>
      <c r="B99" s="737" t="s">
        <v>22</v>
      </c>
      <c r="C99" s="202" t="s">
        <v>354</v>
      </c>
      <c r="D99" s="591"/>
      <c r="E99" s="1185"/>
      <c r="F99" s="1185"/>
      <c r="G99" s="1185"/>
      <c r="H99" s="1630"/>
      <c r="I99" s="1630">
        <f t="shared" si="85"/>
        <v>0</v>
      </c>
      <c r="J99" s="1185"/>
      <c r="K99" s="1185"/>
      <c r="L99" s="197"/>
      <c r="M99" s="2196">
        <f t="shared" si="37"/>
        <v>0</v>
      </c>
      <c r="N99" s="1185"/>
      <c r="O99" s="1185"/>
      <c r="P99" s="1185"/>
      <c r="Q99" s="1630">
        <f t="shared" si="61"/>
        <v>0</v>
      </c>
      <c r="R99" s="1185"/>
      <c r="S99" s="1185"/>
      <c r="T99" s="1185"/>
      <c r="U99" s="1630">
        <f t="shared" si="62"/>
        <v>0</v>
      </c>
      <c r="V99" s="1185"/>
      <c r="W99" s="1185"/>
      <c r="X99" s="197"/>
      <c r="Y99" s="2196">
        <f t="shared" si="69"/>
        <v>0</v>
      </c>
      <c r="Z99" s="1185"/>
      <c r="AA99" s="539">
        <f t="shared" si="66"/>
        <v>0</v>
      </c>
      <c r="AB99" s="1185"/>
      <c r="AC99" s="1185"/>
      <c r="AD99" s="1185"/>
      <c r="AE99" s="775">
        <f t="shared" si="96"/>
        <v>0</v>
      </c>
      <c r="AF99" s="1185"/>
      <c r="AG99" s="1185"/>
      <c r="AH99" s="1185"/>
      <c r="AI99" s="775">
        <f t="shared" si="78"/>
        <v>0</v>
      </c>
      <c r="AJ99" s="1185"/>
      <c r="AK99" s="1185"/>
      <c r="AL99" s="1185"/>
      <c r="AM99" s="2196">
        <f t="shared" si="75"/>
        <v>0</v>
      </c>
      <c r="AN99" s="1185"/>
      <c r="AO99" s="775">
        <f t="shared" si="95"/>
        <v>0</v>
      </c>
      <c r="AP99" s="1185"/>
      <c r="AQ99" s="1185"/>
      <c r="AR99" s="1185"/>
      <c r="AS99" s="775">
        <f t="shared" si="94"/>
        <v>0</v>
      </c>
      <c r="AT99" s="1185"/>
      <c r="AU99" s="1185"/>
      <c r="AV99" s="1185"/>
      <c r="AW99" s="775">
        <f t="shared" si="59"/>
        <v>0</v>
      </c>
      <c r="AX99" s="1185"/>
      <c r="AY99" s="1185"/>
      <c r="AZ99" s="1185"/>
      <c r="BA99" s="2196">
        <f t="shared" si="68"/>
        <v>0</v>
      </c>
      <c r="BB99" s="1185"/>
      <c r="BC99" s="539">
        <f t="shared" si="70"/>
        <v>0</v>
      </c>
      <c r="BD99" s="1185"/>
      <c r="BE99" s="371">
        <f t="shared" si="92"/>
        <v>0</v>
      </c>
      <c r="BF99" s="1202"/>
      <c r="BH99" s="26"/>
      <c r="BI99" s="26"/>
    </row>
    <row r="100" spans="1:61" ht="21" thickBot="1" x14ac:dyDescent="0.35">
      <c r="B100" s="3189" t="s">
        <v>23</v>
      </c>
      <c r="C100" s="3188" t="s">
        <v>354</v>
      </c>
      <c r="D100" s="2928"/>
      <c r="E100" s="2801">
        <v>3593.88</v>
      </c>
      <c r="F100" s="2801"/>
      <c r="G100" s="2801">
        <v>2497.5899999999997</v>
      </c>
      <c r="H100" s="3176"/>
      <c r="I100" s="3176">
        <f t="shared" si="85"/>
        <v>6091.4699999999993</v>
      </c>
      <c r="J100" s="1185"/>
      <c r="K100" s="2801">
        <v>996.79</v>
      </c>
      <c r="L100" s="197"/>
      <c r="M100" s="2196">
        <f t="shared" si="37"/>
        <v>7088.2599999999993</v>
      </c>
      <c r="N100" s="1185"/>
      <c r="O100" s="2801">
        <v>900.29000000000019</v>
      </c>
      <c r="P100" s="1185"/>
      <c r="Q100" s="1630">
        <f t="shared" si="61"/>
        <v>7988.5499999999993</v>
      </c>
      <c r="R100" s="1185"/>
      <c r="S100" s="2801">
        <v>98.82</v>
      </c>
      <c r="T100" s="1185"/>
      <c r="U100" s="1630">
        <f t="shared" si="62"/>
        <v>8087.369999999999</v>
      </c>
      <c r="V100" s="1185"/>
      <c r="W100" s="2801">
        <v>199.97</v>
      </c>
      <c r="X100" s="197"/>
      <c r="Y100" s="2196">
        <f t="shared" si="69"/>
        <v>1199.0800000000002</v>
      </c>
      <c r="Z100" s="1185"/>
      <c r="AA100" s="539">
        <f t="shared" si="66"/>
        <v>8287.34</v>
      </c>
      <c r="AB100" s="1185"/>
      <c r="AC100" s="2801">
        <v>696.92</v>
      </c>
      <c r="AD100" s="1185"/>
      <c r="AE100" s="775">
        <f t="shared" si="96"/>
        <v>8984.26</v>
      </c>
      <c r="AF100" s="1185"/>
      <c r="AG100" s="2801">
        <v>1596.1</v>
      </c>
      <c r="AH100" s="1185"/>
      <c r="AI100" s="775">
        <f t="shared" si="78"/>
        <v>10580.36</v>
      </c>
      <c r="AJ100" s="1185"/>
      <c r="AK100" s="2801">
        <v>298.72000000000003</v>
      </c>
      <c r="AL100" s="1185"/>
      <c r="AM100" s="2196">
        <f t="shared" si="75"/>
        <v>2591.7399999999998</v>
      </c>
      <c r="AN100" s="1185"/>
      <c r="AO100" s="775">
        <f t="shared" si="95"/>
        <v>10879.08</v>
      </c>
      <c r="AP100" s="1185"/>
      <c r="AQ100" s="2801">
        <v>99.25</v>
      </c>
      <c r="AR100" s="1185"/>
      <c r="AS100" s="775">
        <f t="shared" si="94"/>
        <v>10978.33</v>
      </c>
      <c r="AT100" s="1185"/>
      <c r="AU100" s="2801">
        <v>647.95000000000016</v>
      </c>
      <c r="AV100" s="1185"/>
      <c r="AW100" s="775">
        <f t="shared" si="59"/>
        <v>11626.28</v>
      </c>
      <c r="AX100" s="1185"/>
      <c r="AY100" s="2801">
        <v>99.5</v>
      </c>
      <c r="AZ100" s="1185"/>
      <c r="BA100" s="2196">
        <f t="shared" si="68"/>
        <v>846.70000000000016</v>
      </c>
      <c r="BB100" s="1185"/>
      <c r="BC100" s="539">
        <f t="shared" si="70"/>
        <v>3438.44</v>
      </c>
      <c r="BD100" s="1185"/>
      <c r="BE100" s="371">
        <f t="shared" si="92"/>
        <v>11725.78</v>
      </c>
      <c r="BF100" s="1202"/>
      <c r="BH100" s="26"/>
      <c r="BI100" s="26"/>
    </row>
    <row r="101" spans="1:61" ht="16.2" thickBot="1" x14ac:dyDescent="0.35">
      <c r="A101" s="146"/>
      <c r="B101" s="3186" t="s">
        <v>1267</v>
      </c>
      <c r="C101" s="781" t="s">
        <v>354</v>
      </c>
      <c r="D101" s="3180"/>
      <c r="E101" s="2911"/>
      <c r="F101" s="2911"/>
      <c r="G101" s="2911"/>
      <c r="H101" s="3181"/>
      <c r="I101" s="3187">
        <f>+E101+G101</f>
        <v>0</v>
      </c>
      <c r="J101" s="1664"/>
      <c r="K101" s="2911"/>
      <c r="L101" s="197"/>
      <c r="M101" s="2196">
        <f t="shared" si="37"/>
        <v>0</v>
      </c>
      <c r="N101" s="1185"/>
      <c r="O101" s="2911">
        <v>3071.800000000002</v>
      </c>
      <c r="P101" s="1185"/>
      <c r="Q101" s="1630">
        <f t="shared" si="61"/>
        <v>3071.800000000002</v>
      </c>
      <c r="R101" s="1185"/>
      <c r="S101" s="2911">
        <v>4523.51</v>
      </c>
      <c r="T101" s="1185"/>
      <c r="U101" s="1630">
        <f t="shared" si="62"/>
        <v>7595.3100000000022</v>
      </c>
      <c r="V101" s="1185"/>
      <c r="W101" s="2911">
        <v>8437.6100000000024</v>
      </c>
      <c r="X101" s="197"/>
      <c r="Y101" s="2196">
        <f t="shared" si="69"/>
        <v>16032.920000000006</v>
      </c>
      <c r="Z101" s="1185"/>
      <c r="AA101" s="539">
        <f t="shared" si="66"/>
        <v>16032.920000000006</v>
      </c>
      <c r="AB101" s="1185"/>
      <c r="AC101" s="2911">
        <v>15050.02</v>
      </c>
      <c r="AD101" s="1185"/>
      <c r="AE101" s="775">
        <f t="shared" ref="AE101" si="97">+AA101+AC101</f>
        <v>31082.940000000006</v>
      </c>
      <c r="AF101" s="1185"/>
      <c r="AG101" s="2911">
        <v>11706.12</v>
      </c>
      <c r="AH101" s="1185"/>
      <c r="AI101" s="775">
        <f t="shared" ref="AI101:AI111" si="98">+AE101+AG101</f>
        <v>42789.060000000005</v>
      </c>
      <c r="AJ101" s="1185"/>
      <c r="AK101" s="2911">
        <v>6843.46</v>
      </c>
      <c r="AL101" s="1185"/>
      <c r="AM101" s="2196">
        <f t="shared" si="75"/>
        <v>33599.599999999999</v>
      </c>
      <c r="AN101" s="1185"/>
      <c r="AO101" s="775">
        <f t="shared" si="95"/>
        <v>49632.520000000004</v>
      </c>
      <c r="AP101" s="1185"/>
      <c r="AQ101" s="2911">
        <v>6263.2699999999968</v>
      </c>
      <c r="AR101" s="1185"/>
      <c r="AS101" s="775">
        <f t="shared" si="94"/>
        <v>55895.79</v>
      </c>
      <c r="AT101" s="1185"/>
      <c r="AU101" s="2911"/>
      <c r="AV101" s="1185"/>
      <c r="AW101" s="775">
        <f t="shared" si="59"/>
        <v>55895.79</v>
      </c>
      <c r="AX101" s="1185"/>
      <c r="AY101" s="2911"/>
      <c r="AZ101" s="1185"/>
      <c r="BA101" s="2196">
        <f t="shared" si="68"/>
        <v>6263.2699999999968</v>
      </c>
      <c r="BB101" s="1185"/>
      <c r="BC101" s="539">
        <f t="shared" si="70"/>
        <v>39862.869999999995</v>
      </c>
      <c r="BD101" s="1185"/>
      <c r="BE101" s="371">
        <f t="shared" si="92"/>
        <v>55895.79</v>
      </c>
      <c r="BF101" s="1202"/>
      <c r="BH101" s="26"/>
      <c r="BI101" s="26"/>
    </row>
    <row r="102" spans="1:61" x14ac:dyDescent="0.3">
      <c r="A102" s="146"/>
      <c r="B102" s="3182" t="s">
        <v>916</v>
      </c>
      <c r="C102" s="230"/>
      <c r="D102" s="3183"/>
      <c r="E102" s="3184">
        <f>+E103+E104+E106+E105</f>
        <v>7712.23</v>
      </c>
      <c r="F102" s="3184"/>
      <c r="G102" s="3184">
        <f>+G103+G104+G106+G105</f>
        <v>9134.2500000000018</v>
      </c>
      <c r="H102" s="3185"/>
      <c r="I102" s="3185">
        <f>+I103+I104+I106+I105</f>
        <v>16846.480000000003</v>
      </c>
      <c r="J102" s="1337"/>
      <c r="K102" s="3184">
        <f>+K103+K104+K106+K105</f>
        <v>3441.08</v>
      </c>
      <c r="L102" s="1337"/>
      <c r="M102" s="2196">
        <f t="shared" si="37"/>
        <v>20287.560000000005</v>
      </c>
      <c r="N102" s="1337"/>
      <c r="O102" s="3184">
        <f>+O103+O104+O106+O105</f>
        <v>12321.94</v>
      </c>
      <c r="P102" s="1337"/>
      <c r="Q102" s="1630">
        <f t="shared" si="61"/>
        <v>32609.500000000007</v>
      </c>
      <c r="R102" s="1337"/>
      <c r="S102" s="3184">
        <f>+S103+S104+S106+S105</f>
        <v>175.21</v>
      </c>
      <c r="T102" s="1337">
        <f>+T103+T104+T106+T105</f>
        <v>0</v>
      </c>
      <c r="U102" s="1630">
        <f t="shared" si="62"/>
        <v>32784.710000000006</v>
      </c>
      <c r="V102" s="1337">
        <f>+V103+V104+V106+V105</f>
        <v>0</v>
      </c>
      <c r="W102" s="3184">
        <f>+W103+W104+W106+W105</f>
        <v>10771.1</v>
      </c>
      <c r="X102" s="1337"/>
      <c r="Y102" s="2196">
        <f t="shared" si="69"/>
        <v>23268.25</v>
      </c>
      <c r="Z102" s="1337"/>
      <c r="AA102" s="517">
        <f t="shared" si="66"/>
        <v>43555.810000000005</v>
      </c>
      <c r="AB102" s="1337"/>
      <c r="AC102" s="3184">
        <f>+AC103+AC104+AC106+AC105</f>
        <v>1727.19</v>
      </c>
      <c r="AD102" s="1337">
        <f>+AD103+AD104+AD106+AD105</f>
        <v>0</v>
      </c>
      <c r="AE102" s="1337">
        <f>+AE103+AE104+AE106+AE105</f>
        <v>45283.000000000007</v>
      </c>
      <c r="AF102" s="1337"/>
      <c r="AG102" s="3184">
        <f>+AG103+AG104+AG106+AG105</f>
        <v>10528.789999999999</v>
      </c>
      <c r="AH102" s="1337">
        <f>+AH103+AH104+AH106+AH105</f>
        <v>0</v>
      </c>
      <c r="AI102" s="1337">
        <f t="shared" si="98"/>
        <v>55811.790000000008</v>
      </c>
      <c r="AJ102" s="1337">
        <f>+AJ103+AJ104+AJ106+AJ105</f>
        <v>0</v>
      </c>
      <c r="AK102" s="3184">
        <f>+AK103+AK104+AK106+AK105</f>
        <v>11967.74</v>
      </c>
      <c r="AL102" s="1337"/>
      <c r="AM102" s="2196">
        <f t="shared" si="75"/>
        <v>24223.72</v>
      </c>
      <c r="AN102" s="1337">
        <f>+AN103+AN104+AN106+AN105</f>
        <v>0</v>
      </c>
      <c r="AO102" s="1337">
        <f t="shared" si="95"/>
        <v>67779.530000000013</v>
      </c>
      <c r="AP102" s="1337">
        <f>+AP103+AP104+AP106+AP105</f>
        <v>0</v>
      </c>
      <c r="AQ102" s="3184">
        <f>+AQ103+AQ104+AQ106+AQ105</f>
        <v>18122.189999999999</v>
      </c>
      <c r="AR102" s="1337">
        <f>+AR103+AR104+AR106+AR105</f>
        <v>0</v>
      </c>
      <c r="AS102" s="1337">
        <f>+AS103+AS104+AS106+AS105</f>
        <v>85901.72</v>
      </c>
      <c r="AT102" s="1337"/>
      <c r="AU102" s="3184">
        <f>+AU103+AU104+AU106+AU105</f>
        <v>14453.559999999998</v>
      </c>
      <c r="AV102" s="1337">
        <f>+AV103+AV104+AV106+AV105</f>
        <v>0</v>
      </c>
      <c r="AW102" s="1337">
        <f>+AW103+AW104+AW106+AW105</f>
        <v>100355.28</v>
      </c>
      <c r="AX102" s="1337"/>
      <c r="AY102" s="3184">
        <f>+AY103+AY104+AY106+AY105</f>
        <v>4921.9299999999994</v>
      </c>
      <c r="AZ102" s="1337"/>
      <c r="BA102" s="2196">
        <f t="shared" si="68"/>
        <v>37497.679999999993</v>
      </c>
      <c r="BB102" s="1337"/>
      <c r="BC102" s="517">
        <f t="shared" si="70"/>
        <v>61721.399999999994</v>
      </c>
      <c r="BD102" s="1337">
        <f>+BD103+BD104+BD106+BD105</f>
        <v>0</v>
      </c>
      <c r="BE102" s="1337">
        <f>+BE103+BE104+BE106+BE105</f>
        <v>105277.20999999999</v>
      </c>
      <c r="BF102" s="1202"/>
      <c r="BH102" s="26"/>
      <c r="BI102" s="26"/>
    </row>
    <row r="103" spans="1:61" x14ac:dyDescent="0.3">
      <c r="B103" s="8" t="s">
        <v>944</v>
      </c>
      <c r="C103" s="156" t="s">
        <v>354</v>
      </c>
      <c r="D103" s="592"/>
      <c r="E103" s="1118">
        <v>6176.57</v>
      </c>
      <c r="F103" s="1118"/>
      <c r="G103" s="1118">
        <v>6134.4500000000007</v>
      </c>
      <c r="H103" s="1630"/>
      <c r="I103" s="1630">
        <f t="shared" si="85"/>
        <v>12311.02</v>
      </c>
      <c r="J103" s="1118"/>
      <c r="K103" s="1118">
        <v>3441.08</v>
      </c>
      <c r="L103" s="1121"/>
      <c r="M103" s="2196">
        <f t="shared" ref="M103:M111" si="99">+E103+G103+K103</f>
        <v>15752.1</v>
      </c>
      <c r="N103" s="1118"/>
      <c r="O103" s="1118">
        <v>7462.4800000000014</v>
      </c>
      <c r="P103" s="1118"/>
      <c r="Q103" s="1630">
        <f t="shared" si="61"/>
        <v>23214.58</v>
      </c>
      <c r="R103" s="1118"/>
      <c r="S103" s="1118">
        <v>36.89</v>
      </c>
      <c r="T103" s="1118"/>
      <c r="U103" s="1630">
        <f t="shared" si="62"/>
        <v>23251.47</v>
      </c>
      <c r="V103" s="1118"/>
      <c r="W103" s="1118">
        <v>7271.5400000000009</v>
      </c>
      <c r="X103" s="1121"/>
      <c r="Y103" s="2196">
        <f t="shared" si="69"/>
        <v>14770.910000000003</v>
      </c>
      <c r="Z103" s="1118"/>
      <c r="AA103" s="539">
        <f t="shared" si="66"/>
        <v>30523.010000000002</v>
      </c>
      <c r="AB103" s="1118"/>
      <c r="AC103" s="1118">
        <v>227.29</v>
      </c>
      <c r="AD103" s="1118"/>
      <c r="AE103" s="775">
        <f t="shared" ref="AE103:AE106" si="100">+AA103+AC103</f>
        <v>30750.300000000003</v>
      </c>
      <c r="AF103" s="1118"/>
      <c r="AG103" s="1118">
        <v>7499.21</v>
      </c>
      <c r="AH103" s="1118"/>
      <c r="AI103" s="775">
        <f t="shared" si="98"/>
        <v>38249.51</v>
      </c>
      <c r="AJ103" s="1118"/>
      <c r="AK103" s="1118">
        <v>7498.31</v>
      </c>
      <c r="AL103" s="1118"/>
      <c r="AM103" s="2196">
        <f t="shared" si="75"/>
        <v>15224.810000000001</v>
      </c>
      <c r="AN103" s="1118"/>
      <c r="AO103" s="775">
        <f t="shared" si="95"/>
        <v>45747.82</v>
      </c>
      <c r="AP103" s="1118"/>
      <c r="AQ103" s="1118">
        <v>5623.5899999999983</v>
      </c>
      <c r="AR103" s="1118"/>
      <c r="AS103" s="775">
        <f t="shared" ref="AS103:AS106" si="101">+AO103+AQ103</f>
        <v>51371.409999999996</v>
      </c>
      <c r="AT103" s="1118"/>
      <c r="AU103" s="1118">
        <v>5113.6299999999992</v>
      </c>
      <c r="AV103" s="1118"/>
      <c r="AW103" s="775">
        <f t="shared" ref="AW103:AW108" si="102">+AS103+AU103</f>
        <v>56485.039999999994</v>
      </c>
      <c r="AX103" s="1118"/>
      <c r="AY103" s="1118">
        <v>1762.6700000000003</v>
      </c>
      <c r="AZ103" s="1118"/>
      <c r="BA103" s="2196">
        <f t="shared" si="68"/>
        <v>12499.889999999998</v>
      </c>
      <c r="BB103" s="1118"/>
      <c r="BC103" s="539">
        <f t="shared" si="70"/>
        <v>27724.699999999997</v>
      </c>
      <c r="BD103" s="1118"/>
      <c r="BE103" s="371">
        <f t="shared" ref="BE103:BE106" si="103">+AW103+AY103</f>
        <v>58247.709999999992</v>
      </c>
      <c r="BF103" s="1202"/>
      <c r="BH103" s="26"/>
      <c r="BI103" s="26"/>
    </row>
    <row r="104" spans="1:61" x14ac:dyDescent="0.3">
      <c r="A104" s="146"/>
      <c r="B104" s="8" t="s">
        <v>1263</v>
      </c>
      <c r="C104" s="156" t="s">
        <v>354</v>
      </c>
      <c r="D104" s="592"/>
      <c r="E104" s="1118"/>
      <c r="F104" s="1118"/>
      <c r="G104" s="1118">
        <v>2999.8000000000011</v>
      </c>
      <c r="H104" s="1630"/>
      <c r="I104" s="1630">
        <f t="shared" si="85"/>
        <v>2999.8000000000011</v>
      </c>
      <c r="J104" s="1118"/>
      <c r="K104" s="1118"/>
      <c r="L104" s="1121"/>
      <c r="M104" s="2196">
        <f t="shared" si="99"/>
        <v>2999.8000000000011</v>
      </c>
      <c r="N104" s="1118"/>
      <c r="O104" s="1118">
        <v>2456.2199999999998</v>
      </c>
      <c r="P104" s="1118"/>
      <c r="Q104" s="1630">
        <f t="shared" si="61"/>
        <v>5456.02</v>
      </c>
      <c r="R104" s="1118"/>
      <c r="S104" s="1118">
        <v>42.35</v>
      </c>
      <c r="T104" s="1118"/>
      <c r="U104" s="1630">
        <f t="shared" si="62"/>
        <v>5498.3700000000008</v>
      </c>
      <c r="V104" s="1118"/>
      <c r="W104" s="1118">
        <v>2499.7500000000009</v>
      </c>
      <c r="X104" s="1121"/>
      <c r="Y104" s="2196">
        <f t="shared" si="69"/>
        <v>4998.3200000000006</v>
      </c>
      <c r="Z104" s="1118"/>
      <c r="AA104" s="539">
        <f t="shared" si="66"/>
        <v>7998.1200000000017</v>
      </c>
      <c r="AB104" s="1118"/>
      <c r="AC104" s="1118"/>
      <c r="AD104" s="1118"/>
      <c r="AE104" s="775">
        <f t="shared" si="100"/>
        <v>7998.1200000000017</v>
      </c>
      <c r="AF104" s="1118"/>
      <c r="AG104" s="1118">
        <v>2499.4499999999998</v>
      </c>
      <c r="AH104" s="1118"/>
      <c r="AI104" s="775">
        <f t="shared" si="98"/>
        <v>10497.570000000002</v>
      </c>
      <c r="AJ104" s="1118"/>
      <c r="AK104" s="1118">
        <v>2499.71</v>
      </c>
      <c r="AL104" s="1118"/>
      <c r="AM104" s="2196">
        <f t="shared" si="75"/>
        <v>4999.16</v>
      </c>
      <c r="AN104" s="1118"/>
      <c r="AO104" s="775">
        <f t="shared" si="95"/>
        <v>12997.280000000002</v>
      </c>
      <c r="AP104" s="1118"/>
      <c r="AQ104" s="1118">
        <v>2499.9199999999996</v>
      </c>
      <c r="AR104" s="1118"/>
      <c r="AS104" s="775">
        <f t="shared" si="101"/>
        <v>15497.200000000003</v>
      </c>
      <c r="AT104" s="1118"/>
      <c r="AU104" s="1118">
        <v>2499.7399999999998</v>
      </c>
      <c r="AV104" s="1118"/>
      <c r="AW104" s="775">
        <f t="shared" si="102"/>
        <v>17996.940000000002</v>
      </c>
      <c r="AX104" s="1118"/>
      <c r="AY104" s="1118"/>
      <c r="AZ104" s="1118"/>
      <c r="BA104" s="2196">
        <f t="shared" si="68"/>
        <v>4999.66</v>
      </c>
      <c r="BB104" s="1118"/>
      <c r="BC104" s="539">
        <f t="shared" si="70"/>
        <v>9998.82</v>
      </c>
      <c r="BD104" s="1118"/>
      <c r="BE104" s="371">
        <f t="shared" si="103"/>
        <v>17996.940000000002</v>
      </c>
      <c r="BF104" s="1202"/>
      <c r="BH104" s="26"/>
      <c r="BI104" s="26"/>
    </row>
    <row r="105" spans="1:61" x14ac:dyDescent="0.3">
      <c r="A105" s="146"/>
      <c r="B105" s="8" t="s">
        <v>1347</v>
      </c>
      <c r="C105" s="156" t="s">
        <v>354</v>
      </c>
      <c r="D105" s="592"/>
      <c r="E105" s="1118">
        <v>1535.66</v>
      </c>
      <c r="F105" s="1118"/>
      <c r="G105" s="1118"/>
      <c r="H105" s="1630"/>
      <c r="I105" s="1630">
        <f t="shared" si="85"/>
        <v>1535.66</v>
      </c>
      <c r="J105" s="1118"/>
      <c r="K105" s="1118"/>
      <c r="L105" s="1121"/>
      <c r="M105" s="2196">
        <f t="shared" si="99"/>
        <v>1535.66</v>
      </c>
      <c r="N105" s="1118"/>
      <c r="O105" s="1118">
        <v>2403.2400000000002</v>
      </c>
      <c r="P105" s="1118"/>
      <c r="Q105" s="1630">
        <f t="shared" si="61"/>
        <v>3938.9000000000005</v>
      </c>
      <c r="R105" s="1118"/>
      <c r="S105" s="1118">
        <v>95.97</v>
      </c>
      <c r="T105" s="1118"/>
      <c r="U105" s="1630">
        <f t="shared" si="62"/>
        <v>4034.8700000000003</v>
      </c>
      <c r="V105" s="1118"/>
      <c r="W105" s="1118">
        <v>999.81</v>
      </c>
      <c r="X105" s="1121"/>
      <c r="Y105" s="2196">
        <f t="shared" si="69"/>
        <v>3499.02</v>
      </c>
      <c r="Z105" s="1118"/>
      <c r="AA105" s="539">
        <f t="shared" si="66"/>
        <v>5034.68</v>
      </c>
      <c r="AB105" s="1118"/>
      <c r="AC105" s="1118">
        <v>1499.9</v>
      </c>
      <c r="AD105" s="1118"/>
      <c r="AE105" s="775">
        <f t="shared" si="100"/>
        <v>6534.58</v>
      </c>
      <c r="AF105" s="1118"/>
      <c r="AG105" s="1118">
        <v>530.13</v>
      </c>
      <c r="AH105" s="1118"/>
      <c r="AI105" s="775">
        <f t="shared" si="98"/>
        <v>7064.71</v>
      </c>
      <c r="AJ105" s="1118"/>
      <c r="AK105" s="1118">
        <v>1969.72</v>
      </c>
      <c r="AL105" s="1118"/>
      <c r="AM105" s="2196">
        <f t="shared" si="75"/>
        <v>3999.75</v>
      </c>
      <c r="AN105" s="1118"/>
      <c r="AO105" s="775">
        <f t="shared" si="95"/>
        <v>9034.43</v>
      </c>
      <c r="AP105" s="1118"/>
      <c r="AQ105" s="1118">
        <v>9998.68</v>
      </c>
      <c r="AR105" s="1118"/>
      <c r="AS105" s="775">
        <f t="shared" si="101"/>
        <v>19033.11</v>
      </c>
      <c r="AT105" s="1118"/>
      <c r="AU105" s="1118">
        <v>6840.1899999999987</v>
      </c>
      <c r="AV105" s="1118"/>
      <c r="AW105" s="775">
        <f t="shared" si="102"/>
        <v>25873.3</v>
      </c>
      <c r="AX105" s="1118"/>
      <c r="AY105" s="1118">
        <v>3159.2599999999993</v>
      </c>
      <c r="AZ105" s="1118"/>
      <c r="BA105" s="2196">
        <f t="shared" si="68"/>
        <v>19998.129999999997</v>
      </c>
      <c r="BB105" s="1118"/>
      <c r="BC105" s="539">
        <f t="shared" si="70"/>
        <v>23997.879999999997</v>
      </c>
      <c r="BD105" s="1118"/>
      <c r="BE105" s="371">
        <f t="shared" si="103"/>
        <v>29032.559999999998</v>
      </c>
      <c r="BF105" s="1202"/>
      <c r="BH105" s="26"/>
      <c r="BI105" s="26"/>
    </row>
    <row r="106" spans="1:61" hidden="1" x14ac:dyDescent="0.3">
      <c r="A106" s="146"/>
      <c r="B106" s="8" t="s">
        <v>1275</v>
      </c>
      <c r="C106" s="156" t="s">
        <v>354</v>
      </c>
      <c r="D106" s="592"/>
      <c r="E106" s="452"/>
      <c r="F106" s="452"/>
      <c r="G106" s="452"/>
      <c r="H106" s="1634"/>
      <c r="I106" s="1634">
        <f t="shared" si="85"/>
        <v>0</v>
      </c>
      <c r="J106" s="452"/>
      <c r="K106" s="452"/>
      <c r="L106" s="1121"/>
      <c r="M106" s="2196">
        <f t="shared" si="99"/>
        <v>0</v>
      </c>
      <c r="N106" s="452"/>
      <c r="O106" s="452"/>
      <c r="P106" s="452"/>
      <c r="Q106" s="1630">
        <f t="shared" si="61"/>
        <v>0</v>
      </c>
      <c r="R106" s="452"/>
      <c r="S106" s="452"/>
      <c r="T106" s="452"/>
      <c r="U106" s="1630">
        <f t="shared" si="62"/>
        <v>0</v>
      </c>
      <c r="V106" s="452"/>
      <c r="W106" s="452"/>
      <c r="X106" s="1121"/>
      <c r="Y106" s="2196">
        <f t="shared" si="69"/>
        <v>0</v>
      </c>
      <c r="Z106" s="452"/>
      <c r="AA106" s="539">
        <f t="shared" si="66"/>
        <v>0</v>
      </c>
      <c r="AB106" s="452"/>
      <c r="AC106" s="452"/>
      <c r="AD106" s="452"/>
      <c r="AE106" s="371">
        <f t="shared" si="100"/>
        <v>0</v>
      </c>
      <c r="AF106" s="452"/>
      <c r="AG106" s="452"/>
      <c r="AH106" s="452"/>
      <c r="AI106" s="371">
        <f t="shared" si="98"/>
        <v>0</v>
      </c>
      <c r="AJ106" s="452"/>
      <c r="AK106" s="452"/>
      <c r="AL106" s="452"/>
      <c r="AM106" s="2196">
        <f t="shared" si="75"/>
        <v>0</v>
      </c>
      <c r="AN106" s="452"/>
      <c r="AO106" s="371">
        <f t="shared" si="95"/>
        <v>0</v>
      </c>
      <c r="AP106" s="452"/>
      <c r="AQ106" s="452"/>
      <c r="AR106" s="452"/>
      <c r="AS106" s="371">
        <f t="shared" si="101"/>
        <v>0</v>
      </c>
      <c r="AT106" s="452"/>
      <c r="AU106" s="452"/>
      <c r="AV106" s="452"/>
      <c r="AW106" s="371">
        <f t="shared" si="102"/>
        <v>0</v>
      </c>
      <c r="AX106" s="452"/>
      <c r="AY106" s="452"/>
      <c r="AZ106" s="452"/>
      <c r="BA106" s="2196">
        <f t="shared" si="68"/>
        <v>0</v>
      </c>
      <c r="BB106" s="452"/>
      <c r="BC106" s="539">
        <f t="shared" si="70"/>
        <v>0</v>
      </c>
      <c r="BD106" s="452"/>
      <c r="BE106" s="371">
        <f t="shared" si="103"/>
        <v>0</v>
      </c>
      <c r="BF106" s="1202"/>
      <c r="BH106" s="26"/>
      <c r="BI106" s="26"/>
    </row>
    <row r="107" spans="1:61" x14ac:dyDescent="0.3">
      <c r="A107" s="146"/>
      <c r="B107" s="736" t="s">
        <v>792</v>
      </c>
      <c r="C107" s="156" t="s">
        <v>354</v>
      </c>
      <c r="D107" s="592"/>
      <c r="E107" s="1337">
        <v>11652.96</v>
      </c>
      <c r="F107" s="1185"/>
      <c r="G107" s="1337">
        <v>9682.7800000000043</v>
      </c>
      <c r="H107" s="1630"/>
      <c r="I107" s="1631">
        <f>+E107+G107</f>
        <v>21335.740000000005</v>
      </c>
      <c r="J107" s="1185"/>
      <c r="K107" s="1337">
        <v>10995.34</v>
      </c>
      <c r="L107" s="197"/>
      <c r="M107" s="2196">
        <f t="shared" si="99"/>
        <v>32331.080000000005</v>
      </c>
      <c r="N107" s="1185"/>
      <c r="O107" s="1337">
        <v>7669.560000000004</v>
      </c>
      <c r="P107" s="1185"/>
      <c r="Q107" s="1630">
        <f t="shared" si="61"/>
        <v>40000.640000000007</v>
      </c>
      <c r="R107" s="1185"/>
      <c r="S107" s="1337">
        <v>9528.32</v>
      </c>
      <c r="T107" s="1185"/>
      <c r="U107" s="1630">
        <f t="shared" si="62"/>
        <v>49528.960000000006</v>
      </c>
      <c r="V107" s="1185"/>
      <c r="W107" s="1337">
        <v>1893.0800000000002</v>
      </c>
      <c r="X107" s="197"/>
      <c r="Y107" s="2196">
        <f t="shared" si="69"/>
        <v>19090.960000000006</v>
      </c>
      <c r="Z107" s="1185"/>
      <c r="AA107" s="517">
        <f t="shared" si="66"/>
        <v>51422.040000000008</v>
      </c>
      <c r="AB107" s="1185"/>
      <c r="AC107" s="1337"/>
      <c r="AD107" s="1185"/>
      <c r="AE107" s="1337">
        <f>+AA107+AC107</f>
        <v>51422.040000000008</v>
      </c>
      <c r="AF107" s="1185"/>
      <c r="AG107" s="1337">
        <v>9014.26</v>
      </c>
      <c r="AH107" s="1185"/>
      <c r="AI107" s="1337">
        <f t="shared" si="98"/>
        <v>60436.30000000001</v>
      </c>
      <c r="AJ107" s="1185"/>
      <c r="AK107" s="1337">
        <v>6343.67</v>
      </c>
      <c r="AL107" s="1185"/>
      <c r="AM107" s="2196">
        <f t="shared" si="75"/>
        <v>15357.93</v>
      </c>
      <c r="AN107" s="1185"/>
      <c r="AO107" s="1337">
        <f t="shared" si="95"/>
        <v>66779.970000000016</v>
      </c>
      <c r="AP107" s="1185"/>
      <c r="AQ107" s="1337">
        <v>3157.06</v>
      </c>
      <c r="AR107" s="1185"/>
      <c r="AS107" s="1337">
        <f>+AO107+AQ107</f>
        <v>69937.030000000013</v>
      </c>
      <c r="AT107" s="1185"/>
      <c r="AU107" s="1337">
        <v>13556.819999999998</v>
      </c>
      <c r="AV107" s="1185"/>
      <c r="AW107" s="1337">
        <f>+AS107+AU107</f>
        <v>83493.850000000006</v>
      </c>
      <c r="AX107" s="1185"/>
      <c r="AY107" s="1337">
        <v>7994.9599999999982</v>
      </c>
      <c r="AZ107" s="1185"/>
      <c r="BA107" s="2196">
        <f t="shared" si="68"/>
        <v>24708.839999999997</v>
      </c>
      <c r="BB107" s="1185"/>
      <c r="BC107" s="517">
        <f t="shared" si="70"/>
        <v>40066.769999999997</v>
      </c>
      <c r="BD107" s="1185"/>
      <c r="BE107" s="1337">
        <f>+AW107+AY107</f>
        <v>91488.81</v>
      </c>
      <c r="BF107" s="1202"/>
      <c r="BH107" s="26"/>
      <c r="BI107" s="26"/>
    </row>
    <row r="108" spans="1:61" x14ac:dyDescent="0.3">
      <c r="A108" s="146"/>
      <c r="B108" s="4903" t="s">
        <v>2287</v>
      </c>
      <c r="C108" s="5346"/>
      <c r="D108" s="5347"/>
      <c r="E108" s="5357"/>
      <c r="F108" s="5119"/>
      <c r="G108" s="5357"/>
      <c r="H108" s="5352"/>
      <c r="I108" s="5358"/>
      <c r="J108" s="5119"/>
      <c r="K108" s="5357"/>
      <c r="L108" s="5359"/>
      <c r="M108" s="5360"/>
      <c r="N108" s="5119"/>
      <c r="O108" s="5357"/>
      <c r="P108" s="5119"/>
      <c r="Q108" s="5352"/>
      <c r="R108" s="5119"/>
      <c r="S108" s="5357"/>
      <c r="T108" s="5119"/>
      <c r="U108" s="5352"/>
      <c r="V108" s="5119"/>
      <c r="W108" s="5357"/>
      <c r="X108" s="5359"/>
      <c r="Y108" s="5360"/>
      <c r="Z108" s="5119"/>
      <c r="AA108" s="5353"/>
      <c r="AB108" s="5119"/>
      <c r="AC108" s="5357"/>
      <c r="AD108" s="5119"/>
      <c r="AE108" s="5357"/>
      <c r="AF108" s="5119"/>
      <c r="AG108" s="5357"/>
      <c r="AH108" s="5119"/>
      <c r="AI108" s="5357"/>
      <c r="AJ108" s="5119"/>
      <c r="AK108" s="5357"/>
      <c r="AL108" s="5119"/>
      <c r="AM108" s="2196">
        <f t="shared" si="75"/>
        <v>0</v>
      </c>
      <c r="AN108" s="5119"/>
      <c r="AO108" s="1337">
        <f t="shared" si="95"/>
        <v>0</v>
      </c>
      <c r="AP108" s="5119"/>
      <c r="AQ108" s="5357">
        <v>36.299999999999997</v>
      </c>
      <c r="AR108" s="5119"/>
      <c r="AS108" s="1337">
        <f>+AO108+AQ108</f>
        <v>36.299999999999997</v>
      </c>
      <c r="AT108" s="5119"/>
      <c r="AU108" s="5357"/>
      <c r="AV108" s="5119"/>
      <c r="AW108" s="5357">
        <f t="shared" si="102"/>
        <v>36.299999999999997</v>
      </c>
      <c r="AX108" s="5119"/>
      <c r="AY108" s="5357"/>
      <c r="AZ108" s="5119"/>
      <c r="BA108" s="2196">
        <f t="shared" ref="BA108" si="104">+AQ108+AU108+AY108</f>
        <v>36.299999999999997</v>
      </c>
      <c r="BB108" s="1185"/>
      <c r="BC108" s="517">
        <f t="shared" ref="BC108" si="105">BA108+AM108</f>
        <v>36.299999999999997</v>
      </c>
      <c r="BD108" s="1185"/>
      <c r="BE108" s="1337">
        <f>+AW108+AY108</f>
        <v>36.299999999999997</v>
      </c>
      <c r="BF108" s="1202">
        <f>BE108+BE109</f>
        <v>1034846.05</v>
      </c>
      <c r="BH108" s="26"/>
      <c r="BI108" s="26"/>
    </row>
    <row r="109" spans="1:61" x14ac:dyDescent="0.3">
      <c r="A109" s="146"/>
      <c r="B109" s="736" t="s">
        <v>694</v>
      </c>
      <c r="C109" s="444"/>
      <c r="D109" s="1337"/>
      <c r="E109" s="1337">
        <f>+E110+E111</f>
        <v>82850.87</v>
      </c>
      <c r="F109" s="1337"/>
      <c r="G109" s="1337">
        <f>+G110+G111</f>
        <v>83444.700000000012</v>
      </c>
      <c r="H109" s="1631"/>
      <c r="I109" s="1631">
        <f t="shared" si="85"/>
        <v>166295.57</v>
      </c>
      <c r="J109" s="1337"/>
      <c r="K109" s="1337">
        <f>+K110+K111</f>
        <v>77025.87</v>
      </c>
      <c r="L109" s="1337"/>
      <c r="M109" s="2196">
        <f t="shared" si="99"/>
        <v>243321.44</v>
      </c>
      <c r="N109" s="1337"/>
      <c r="O109" s="1337">
        <f>+O110+O111</f>
        <v>101956.98999999999</v>
      </c>
      <c r="P109" s="1337"/>
      <c r="Q109" s="1630">
        <f t="shared" si="61"/>
        <v>345278.43</v>
      </c>
      <c r="R109" s="1337"/>
      <c r="S109" s="1337">
        <f>+S110+S111</f>
        <v>82745.340000000011</v>
      </c>
      <c r="T109" s="1337"/>
      <c r="U109" s="1630">
        <f t="shared" si="62"/>
        <v>428023.77</v>
      </c>
      <c r="V109" s="1337"/>
      <c r="W109" s="1337">
        <f>+W110+W111</f>
        <v>87643.580000000016</v>
      </c>
      <c r="X109" s="1337"/>
      <c r="Y109" s="2196">
        <f t="shared" si="69"/>
        <v>272345.91000000003</v>
      </c>
      <c r="Z109" s="1337"/>
      <c r="AA109" s="517">
        <f t="shared" si="66"/>
        <v>515667.35000000003</v>
      </c>
      <c r="AB109" s="1337"/>
      <c r="AC109" s="1337">
        <f>+AC110+AC111</f>
        <v>66279.149999999994</v>
      </c>
      <c r="AD109" s="1337"/>
      <c r="AE109" s="1337">
        <f t="shared" ref="AE109:AE111" si="106">+AA109+AC109</f>
        <v>581946.5</v>
      </c>
      <c r="AF109" s="1337"/>
      <c r="AG109" s="1337">
        <f>+AG110+AG111</f>
        <v>97341.3</v>
      </c>
      <c r="AH109" s="1337"/>
      <c r="AI109" s="1337">
        <f t="shared" si="98"/>
        <v>679287.8</v>
      </c>
      <c r="AJ109" s="1337"/>
      <c r="AK109" s="1337">
        <f>+AK110+AK111</f>
        <v>106037.09</v>
      </c>
      <c r="AL109" s="1337"/>
      <c r="AM109" s="2196">
        <f t="shared" si="75"/>
        <v>269657.54000000004</v>
      </c>
      <c r="AN109" s="1337"/>
      <c r="AO109" s="1337">
        <f t="shared" si="95"/>
        <v>785324.89</v>
      </c>
      <c r="AP109" s="1337"/>
      <c r="AQ109" s="1337">
        <f>+AQ110+AQ111</f>
        <v>88820.24</v>
      </c>
      <c r="AR109" s="1337"/>
      <c r="AS109" s="1337">
        <f t="shared" ref="AS109:AS111" si="107">+AO109+AQ109</f>
        <v>874145.13</v>
      </c>
      <c r="AT109" s="1337"/>
      <c r="AU109" s="1337">
        <f>+AU110+AU111</f>
        <v>77713.41</v>
      </c>
      <c r="AV109" s="1337"/>
      <c r="AW109" s="1337">
        <f t="shared" ref="AW109:AW111" si="108">+AS109+AU109</f>
        <v>951858.54</v>
      </c>
      <c r="AX109" s="1337"/>
      <c r="AY109" s="1337">
        <f>+AY110+AY111</f>
        <v>82951.210000000006</v>
      </c>
      <c r="AZ109" s="1337"/>
      <c r="BA109" s="2196">
        <f t="shared" si="68"/>
        <v>249484.86000000004</v>
      </c>
      <c r="BB109" s="1337"/>
      <c r="BC109" s="517">
        <f t="shared" si="70"/>
        <v>519142.40000000008</v>
      </c>
      <c r="BD109" s="1337"/>
      <c r="BE109" s="1337">
        <f t="shared" ref="BE109:BE111" si="109">+AW109+AY109</f>
        <v>1034809.75</v>
      </c>
      <c r="BF109" s="1202"/>
      <c r="BH109" s="26"/>
      <c r="BI109" s="26"/>
    </row>
    <row r="110" spans="1:61" ht="20.399999999999999" x14ac:dyDescent="0.3">
      <c r="A110" s="146"/>
      <c r="B110" s="737" t="s">
        <v>22</v>
      </c>
      <c r="C110" s="257" t="s">
        <v>354</v>
      </c>
      <c r="D110" s="591"/>
      <c r="E110" s="591">
        <v>78389.59</v>
      </c>
      <c r="F110" s="591"/>
      <c r="G110" s="591">
        <v>57946.42</v>
      </c>
      <c r="H110" s="1632"/>
      <c r="I110" s="1632">
        <f t="shared" si="85"/>
        <v>136336.01</v>
      </c>
      <c r="J110" s="591"/>
      <c r="K110" s="591">
        <v>62604.31</v>
      </c>
      <c r="L110" s="1121"/>
      <c r="M110" s="2196">
        <f t="shared" si="99"/>
        <v>198940.32</v>
      </c>
      <c r="N110" s="591"/>
      <c r="O110" s="591">
        <v>79355.429999999993</v>
      </c>
      <c r="P110" s="591"/>
      <c r="Q110" s="1630">
        <f t="shared" si="61"/>
        <v>278295.75</v>
      </c>
      <c r="R110" s="591"/>
      <c r="S110" s="591">
        <v>80730.63</v>
      </c>
      <c r="T110" s="591"/>
      <c r="U110" s="1630">
        <f t="shared" si="62"/>
        <v>359026.38</v>
      </c>
      <c r="V110" s="591"/>
      <c r="W110" s="591">
        <v>87052.140000000014</v>
      </c>
      <c r="X110" s="1121"/>
      <c r="Y110" s="2196">
        <f t="shared" si="69"/>
        <v>247138.2</v>
      </c>
      <c r="Z110" s="591"/>
      <c r="AA110" s="517">
        <f t="shared" si="66"/>
        <v>446078.52</v>
      </c>
      <c r="AB110" s="591"/>
      <c r="AC110" s="591">
        <v>66279.149999999994</v>
      </c>
      <c r="AD110" s="591"/>
      <c r="AE110" s="582">
        <f t="shared" si="106"/>
        <v>512357.67000000004</v>
      </c>
      <c r="AF110" s="591"/>
      <c r="AG110" s="591">
        <v>96513.77</v>
      </c>
      <c r="AH110" s="591"/>
      <c r="AI110" s="582">
        <f t="shared" si="98"/>
        <v>608871.44000000006</v>
      </c>
      <c r="AJ110" s="591"/>
      <c r="AK110" s="591">
        <v>97997.65</v>
      </c>
      <c r="AL110" s="591"/>
      <c r="AM110" s="2196">
        <f t="shared" si="75"/>
        <v>260790.56999999998</v>
      </c>
      <c r="AN110" s="591"/>
      <c r="AO110" s="582">
        <f t="shared" si="95"/>
        <v>706869.09000000008</v>
      </c>
      <c r="AP110" s="591"/>
      <c r="AQ110" s="591">
        <v>73563.25</v>
      </c>
      <c r="AR110" s="591"/>
      <c r="AS110" s="582">
        <f t="shared" si="107"/>
        <v>780432.34000000008</v>
      </c>
      <c r="AT110" s="591"/>
      <c r="AU110" s="591">
        <v>72969.84</v>
      </c>
      <c r="AV110" s="591"/>
      <c r="AW110" s="582">
        <f t="shared" si="108"/>
        <v>853402.18</v>
      </c>
      <c r="AX110" s="591"/>
      <c r="AY110" s="591">
        <v>79465.22</v>
      </c>
      <c r="AZ110" s="591"/>
      <c r="BA110" s="2196">
        <f t="shared" si="68"/>
        <v>225998.31</v>
      </c>
      <c r="BB110" s="591"/>
      <c r="BC110" s="517">
        <f t="shared" si="70"/>
        <v>486788.88</v>
      </c>
      <c r="BD110" s="591"/>
      <c r="BE110" s="251">
        <f t="shared" si="109"/>
        <v>932867.4</v>
      </c>
      <c r="BF110" s="1202"/>
      <c r="BH110" s="26"/>
      <c r="BI110" s="26"/>
    </row>
    <row r="111" spans="1:61" ht="21" thickBot="1" x14ac:dyDescent="0.35">
      <c r="B111" s="737" t="s">
        <v>23</v>
      </c>
      <c r="C111" s="445" t="s">
        <v>354</v>
      </c>
      <c r="D111" s="591"/>
      <c r="E111" s="591">
        <v>4461.28</v>
      </c>
      <c r="F111" s="591"/>
      <c r="G111" s="591">
        <v>25498.280000000006</v>
      </c>
      <c r="H111" s="1632"/>
      <c r="I111" s="1632">
        <f t="shared" si="85"/>
        <v>29959.560000000005</v>
      </c>
      <c r="J111" s="591"/>
      <c r="K111" s="591">
        <v>14421.56</v>
      </c>
      <c r="L111" s="1121"/>
      <c r="M111" s="2196">
        <f t="shared" si="99"/>
        <v>44381.120000000003</v>
      </c>
      <c r="N111" s="591"/>
      <c r="O111" s="591">
        <v>22601.559999999994</v>
      </c>
      <c r="P111" s="591"/>
      <c r="Q111" s="1630">
        <f t="shared" si="61"/>
        <v>66982.679999999993</v>
      </c>
      <c r="R111" s="591"/>
      <c r="S111" s="591">
        <v>2014.71</v>
      </c>
      <c r="T111" s="591"/>
      <c r="U111" s="1630">
        <f t="shared" si="62"/>
        <v>68997.39</v>
      </c>
      <c r="V111" s="591"/>
      <c r="W111" s="591">
        <v>591.43999999999994</v>
      </c>
      <c r="X111" s="1121"/>
      <c r="Y111" s="2196">
        <f t="shared" si="69"/>
        <v>25207.709999999992</v>
      </c>
      <c r="Z111" s="591"/>
      <c r="AA111" s="517">
        <f t="shared" si="66"/>
        <v>69588.829999999987</v>
      </c>
      <c r="AB111" s="591"/>
      <c r="AC111" s="591"/>
      <c r="AD111" s="591"/>
      <c r="AE111" s="582">
        <f t="shared" si="106"/>
        <v>69588.829999999987</v>
      </c>
      <c r="AF111" s="591"/>
      <c r="AG111" s="591">
        <v>827.53</v>
      </c>
      <c r="AH111" s="591"/>
      <c r="AI111" s="582">
        <f t="shared" si="98"/>
        <v>70416.359999999986</v>
      </c>
      <c r="AJ111" s="591"/>
      <c r="AK111" s="591">
        <v>8039.44</v>
      </c>
      <c r="AL111" s="591"/>
      <c r="AM111" s="2196">
        <f t="shared" si="75"/>
        <v>8866.9699999999993</v>
      </c>
      <c r="AN111" s="591"/>
      <c r="AO111" s="582">
        <f t="shared" si="95"/>
        <v>78455.799999999988</v>
      </c>
      <c r="AP111" s="591"/>
      <c r="AQ111" s="591">
        <v>15256.990000000011</v>
      </c>
      <c r="AR111" s="591"/>
      <c r="AS111" s="582">
        <f t="shared" si="107"/>
        <v>93712.79</v>
      </c>
      <c r="AT111" s="591"/>
      <c r="AU111" s="591">
        <v>4743.5700000000006</v>
      </c>
      <c r="AV111" s="591"/>
      <c r="AW111" s="582">
        <f t="shared" si="108"/>
        <v>98456.36</v>
      </c>
      <c r="AX111" s="591"/>
      <c r="AY111" s="591">
        <v>3485.9899999999993</v>
      </c>
      <c r="AZ111" s="591"/>
      <c r="BA111" s="2196">
        <f t="shared" si="68"/>
        <v>23486.55000000001</v>
      </c>
      <c r="BB111" s="591"/>
      <c r="BC111" s="517">
        <f t="shared" si="70"/>
        <v>32353.520000000011</v>
      </c>
      <c r="BD111" s="591"/>
      <c r="BE111" s="251">
        <f t="shared" si="109"/>
        <v>101942.35</v>
      </c>
      <c r="BF111" s="1202"/>
      <c r="BH111" s="26"/>
      <c r="BI111" s="26"/>
    </row>
    <row r="112" spans="1:61" ht="21" thickBot="1" x14ac:dyDescent="0.35">
      <c r="B112" s="3190" t="s">
        <v>793</v>
      </c>
      <c r="C112" s="3191"/>
      <c r="D112" s="3192"/>
      <c r="E112" s="3193"/>
      <c r="F112" s="3193"/>
      <c r="G112" s="3193"/>
      <c r="H112" s="3194"/>
      <c r="I112" s="3195"/>
      <c r="J112" s="2198"/>
      <c r="K112" s="3193"/>
      <c r="L112" s="1121"/>
      <c r="M112" s="2196"/>
      <c r="N112" s="1118"/>
      <c r="O112" s="3193"/>
      <c r="P112" s="1118"/>
      <c r="Q112" s="1630">
        <f>+M112+O112</f>
        <v>0</v>
      </c>
      <c r="R112" s="1118"/>
      <c r="S112" s="3193"/>
      <c r="T112" s="1118"/>
      <c r="U112" s="1630">
        <f>+Q112+S112</f>
        <v>0</v>
      </c>
      <c r="V112" s="1118"/>
      <c r="W112" s="3193"/>
      <c r="X112" s="1121"/>
      <c r="Y112" s="2196"/>
      <c r="Z112" s="1118"/>
      <c r="AA112" s="539"/>
      <c r="AB112" s="1118"/>
      <c r="AC112" s="3193"/>
      <c r="AD112" s="1118"/>
      <c r="AE112" s="775"/>
      <c r="AF112" s="1118"/>
      <c r="AG112" s="3193"/>
      <c r="AH112" s="1118"/>
      <c r="AI112" s="775"/>
      <c r="AJ112" s="1118"/>
      <c r="AK112" s="3193"/>
      <c r="AL112" s="1118"/>
      <c r="AM112" s="2196"/>
      <c r="AN112" s="1118"/>
      <c r="AO112" s="775"/>
      <c r="AP112" s="1118"/>
      <c r="AQ112" s="3193"/>
      <c r="AR112" s="1118"/>
      <c r="AS112" s="775"/>
      <c r="AT112" s="1118"/>
      <c r="AU112" s="3193"/>
      <c r="AV112" s="1118"/>
      <c r="AW112" s="775"/>
      <c r="AX112" s="1118"/>
      <c r="AY112" s="3193"/>
      <c r="AZ112" s="1118"/>
      <c r="BA112" s="2196"/>
      <c r="BB112" s="1118"/>
      <c r="BC112" s="539"/>
      <c r="BD112" s="1118"/>
      <c r="BE112" s="371"/>
      <c r="BF112" s="1202"/>
      <c r="BH112" s="26"/>
      <c r="BI112" s="26"/>
    </row>
    <row r="113" spans="1:61" ht="16.2" thickBot="1" x14ac:dyDescent="0.35">
      <c r="B113" s="3251" t="s">
        <v>794</v>
      </c>
      <c r="C113" s="781" t="s">
        <v>354</v>
      </c>
      <c r="D113" s="3180"/>
      <c r="E113" s="2911">
        <v>40.363</v>
      </c>
      <c r="F113" s="2911"/>
      <c r="G113" s="2911">
        <v>40.770000000000003</v>
      </c>
      <c r="H113" s="3181"/>
      <c r="I113" s="3187">
        <f>+E113+G113</f>
        <v>81.13300000000001</v>
      </c>
      <c r="J113" s="1664"/>
      <c r="K113" s="2911">
        <v>41.716000000000001</v>
      </c>
      <c r="L113" s="197"/>
      <c r="M113" s="2196">
        <f>+E113+G113+K113</f>
        <v>122.84900000000002</v>
      </c>
      <c r="N113" s="1185"/>
      <c r="O113" s="2911">
        <v>21.33</v>
      </c>
      <c r="P113" s="1185"/>
      <c r="Q113" s="1630">
        <f>+M113+O113</f>
        <v>144.17900000000003</v>
      </c>
      <c r="R113" s="1185"/>
      <c r="S113" s="2911">
        <v>35.173000000000002</v>
      </c>
      <c r="T113" s="1185"/>
      <c r="U113" s="1630">
        <f>+Q113+S113</f>
        <v>179.35200000000003</v>
      </c>
      <c r="V113" s="1185"/>
      <c r="W113" s="2911">
        <v>50.9</v>
      </c>
      <c r="X113" s="197"/>
      <c r="Y113" s="2196">
        <f>+O113+S113+W113</f>
        <v>107.40299999999999</v>
      </c>
      <c r="Z113" s="1185"/>
      <c r="AA113" s="539">
        <f>M113+Y113</f>
        <v>230.25200000000001</v>
      </c>
      <c r="AB113" s="1185"/>
      <c r="AC113" s="2911">
        <v>50.28</v>
      </c>
      <c r="AD113" s="1185"/>
      <c r="AE113" s="775">
        <f>+AA113+AC113</f>
        <v>280.53200000000004</v>
      </c>
      <c r="AF113" s="1185"/>
      <c r="AG113" s="2911">
        <v>38.286999999999999</v>
      </c>
      <c r="AH113" s="1185"/>
      <c r="AI113" s="775">
        <f>+AE113+AG113</f>
        <v>318.81900000000002</v>
      </c>
      <c r="AJ113" s="1185"/>
      <c r="AK113" s="2911">
        <v>37.97</v>
      </c>
      <c r="AL113" s="1185"/>
      <c r="AM113" s="2196">
        <f>+AC113+AG113+AK113</f>
        <v>126.53700000000001</v>
      </c>
      <c r="AN113" s="1185"/>
      <c r="AO113" s="775">
        <f>AI113+AK113</f>
        <v>356.78899999999999</v>
      </c>
      <c r="AP113" s="1185"/>
      <c r="AQ113" s="2911">
        <v>44.19</v>
      </c>
      <c r="AR113" s="1185"/>
      <c r="AS113" s="775">
        <f>+AO113+AQ113</f>
        <v>400.97899999999998</v>
      </c>
      <c r="AT113" s="1185"/>
      <c r="AU113" s="2911">
        <v>50.17</v>
      </c>
      <c r="AV113" s="1185"/>
      <c r="AW113" s="775">
        <f>+AS113+AU113</f>
        <v>451.149</v>
      </c>
      <c r="AX113" s="1185"/>
      <c r="AY113" s="2911">
        <v>31.11</v>
      </c>
      <c r="AZ113" s="1185"/>
      <c r="BA113" s="2196">
        <f>+AQ113+AU113+AY113</f>
        <v>125.47</v>
      </c>
      <c r="BB113" s="1185"/>
      <c r="BC113" s="539">
        <f>BA113+AM113</f>
        <v>252.00700000000001</v>
      </c>
      <c r="BD113" s="1185"/>
      <c r="BE113" s="371">
        <f>+AW113+AY113</f>
        <v>482.25900000000001</v>
      </c>
      <c r="BF113" s="1202"/>
      <c r="BH113" s="26"/>
      <c r="BI113" s="26"/>
    </row>
    <row r="114" spans="1:61" ht="21" thickBot="1" x14ac:dyDescent="0.35">
      <c r="A114" s="146"/>
      <c r="B114" s="6008" t="s">
        <v>2348</v>
      </c>
      <c r="C114" s="6009"/>
      <c r="D114" s="1338"/>
      <c r="E114" s="1338">
        <f t="shared" ref="E114:N114" si="110">+E25+E29+E30+E41+E46+E51+E57+E101+E102+E107+E111+E98+E108+E109-E111+E113</f>
        <v>119404.40299999999</v>
      </c>
      <c r="F114" s="1338">
        <f t="shared" si="110"/>
        <v>0</v>
      </c>
      <c r="G114" s="1338">
        <f t="shared" si="110"/>
        <v>115063.01000000002</v>
      </c>
      <c r="H114" s="1338">
        <f t="shared" si="110"/>
        <v>0</v>
      </c>
      <c r="I114" s="1338">
        <f t="shared" si="110"/>
        <v>234467.41300000003</v>
      </c>
      <c r="J114" s="1338">
        <f t="shared" si="110"/>
        <v>0</v>
      </c>
      <c r="K114" s="1338">
        <f t="shared" si="110"/>
        <v>101373.51599999999</v>
      </c>
      <c r="L114" s="1338">
        <f t="shared" si="110"/>
        <v>0</v>
      </c>
      <c r="M114" s="1338">
        <f t="shared" si="110"/>
        <v>335840.92900000006</v>
      </c>
      <c r="N114" s="1338">
        <f t="shared" si="110"/>
        <v>0</v>
      </c>
      <c r="O114" s="1338">
        <f>+O25+O29+O30+O41+O46+O51+O57+O101+O102+O107+O111+O98+O108+O109-O111+O113</f>
        <v>135206.09</v>
      </c>
      <c r="P114" s="1338">
        <f>+P25+P29+P30+P41+P46+P51+P57+P100+P113+P101+P102+P107+P111</f>
        <v>0</v>
      </c>
      <c r="Q114" s="1630">
        <f t="shared" si="61"/>
        <v>471047.01900000009</v>
      </c>
      <c r="R114" s="1338">
        <f>+R25+R29+R30+R41+R46+R51+R57+R100+R113+R101+R102+R107+R111</f>
        <v>0</v>
      </c>
      <c r="S114" s="1338">
        <f>+S25+S29+S30+S41+S46+S51+S57+S101+S102+S107+S111+S98+S108+S109-S111+S113</f>
        <v>104909.553</v>
      </c>
      <c r="T114" s="1338">
        <f>+T25+T29+T30+T41+T46+T51+T57+T100+T113+T101+T102+T107+T111</f>
        <v>0</v>
      </c>
      <c r="U114" s="1630">
        <f t="shared" si="62"/>
        <v>575956.57200000004</v>
      </c>
      <c r="V114" s="1338">
        <f>+V25+V29+V30+V41+V46+V51+V57+V100+V113+V101+V102+V107+V111</f>
        <v>0</v>
      </c>
      <c r="W114" s="1338">
        <f t="shared" ref="W114" si="111">+W25+W29+W30+W41+W46+W51+W57+W101+W102+W107+W111+W98+W108+W109-W111+W113</f>
        <v>116543.58000000002</v>
      </c>
      <c r="X114" s="1338">
        <f t="shared" ref="X114" si="112">+X25+X29+X30+X41+X46+X51+X57+X101+X102+X107+X111+X98+X108+X109-X111+X113</f>
        <v>0</v>
      </c>
      <c r="Y114" s="1338">
        <f t="shared" ref="Y114" si="113">+Y25+Y29+Y30+Y41+Y46+Y51+Y57+Y101+Y102+Y107+Y111+Y98+Y108+Y109-Y111+Y113</f>
        <v>356659.22300000006</v>
      </c>
      <c r="Z114" s="1338">
        <f t="shared" ref="Z114" si="114">+Z25+Z29+Z30+Z41+Z46+Z51+Z57+Z101+Z102+Z107+Z111+Z98+Z108+Z109-Z111+Z113</f>
        <v>0</v>
      </c>
      <c r="AA114" s="1338">
        <f t="shared" ref="AA114" si="115">+AA25+AA29+AA30+AA41+AA46+AA51+AA57+AA101+AA102+AA107+AA111+AA98+AA108+AA109-AA111+AA113</f>
        <v>692500.152</v>
      </c>
      <c r="AB114" s="1338">
        <f t="shared" ref="AB114:AC114" si="116">+AB25+AB29+AB30+AB41+AB46+AB51+AB57+AB101+AB102+AB107+AB111+AB98+AB108+AB109-AB111+AB113</f>
        <v>0</v>
      </c>
      <c r="AC114" s="1338">
        <f t="shared" si="116"/>
        <v>93470.239999999991</v>
      </c>
      <c r="AD114" s="1338">
        <f t="shared" ref="AD114" si="117">+AD25+AD29+AD30+AD41+AD46+AD51+AD57+AD101+AD102+AD107+AD111+AD98+AD108+AD109-AD111+AD113</f>
        <v>0</v>
      </c>
      <c r="AE114" s="1338">
        <f t="shared" ref="AE114" si="118">+AE25+AE29+AE30+AE41+AE46+AE51+AE57+AE101+AE102+AE107+AE111+AE98+AE108+AE109-AE111+AE113</f>
        <v>785970.39200000011</v>
      </c>
      <c r="AF114" s="1338">
        <f t="shared" ref="AF114" si="119">+AF25+AF29+AF30+AF41+AF46+AF51+AF57+AF101+AF102+AF107+AF111+AF98+AF108+AF109-AF111+AF113</f>
        <v>0</v>
      </c>
      <c r="AG114" s="1338">
        <f t="shared" ref="AG114" si="120">+AG25+AG29+AG30+AG41+AG46+AG51+AG57+AG101+AG102+AG107+AG111+AG98+AG108+AG109-AG111+AG113</f>
        <v>143888.36700000003</v>
      </c>
      <c r="AH114" s="1338">
        <f t="shared" ref="AH114" si="121">+AH25+AH29+AH30+AH41+AH46+AH51+AH57+AH101+AH102+AH107+AH111+AH98+AH108+AH109-AH111+AH113</f>
        <v>0</v>
      </c>
      <c r="AI114" s="1338">
        <f t="shared" ref="AI114" si="122">+AI25+AI29+AI30+AI41+AI46+AI51+AI57+AI101+AI102+AI107+AI111+AI98+AI108+AI109-AI111+AI113</f>
        <v>929858.75900000008</v>
      </c>
      <c r="AJ114" s="1338">
        <f t="shared" ref="AJ114" si="123">+AJ25+AJ29+AJ30+AJ41+AJ46+AJ51+AJ57+AJ101+AJ102+AJ107+AJ111+AJ98+AJ108+AJ109-AJ111+AJ113</f>
        <v>0</v>
      </c>
      <c r="AK114" s="1338">
        <f t="shared" ref="AK114" si="124">+AK25+AK29+AK30+AK41+AK46+AK51+AK57+AK101+AK102+AK107+AK111+AK98+AK108+AK109-AK111+AK113</f>
        <v>142760.79999999999</v>
      </c>
      <c r="AL114" s="1338">
        <f t="shared" ref="AL114" si="125">+AL25+AL29+AL30+AL41+AL46+AL51+AL57+AL101+AL102+AL107+AL111+AL98+AL108+AL109-AL111+AL113</f>
        <v>0</v>
      </c>
      <c r="AM114" s="1338">
        <f t="shared" ref="AM114" si="126">+AM25+AM29+AM30+AM41+AM46+AM51+AM57+AM101+AM102+AM107+AM111+AM98+AM108+AM109-AM111+AM113</f>
        <v>380119.40700000006</v>
      </c>
      <c r="AN114" s="1338">
        <f t="shared" ref="AN114" si="127">+AN25+AN29+AN30+AN41+AN46+AN51+AN57+AN101+AN102+AN107+AN111+AN98+AN108+AN109-AN111+AN113</f>
        <v>0</v>
      </c>
      <c r="AO114" s="1338">
        <f t="shared" ref="AO114" si="128">+AO25+AO29+AO30+AO41+AO46+AO51+AO57+AO101+AO102+AO107+AO111+AO98+AO108+AO109-AO111+AO113</f>
        <v>1072619.5590000001</v>
      </c>
      <c r="AP114" s="1338">
        <f t="shared" ref="AP114" si="129">+AP25+AP29+AP30+AP41+AP46+AP51+AP57+AP101+AP102+AP107+AP111+AP98+AP108+AP109-AP111+AP113</f>
        <v>0</v>
      </c>
      <c r="AQ114" s="1338">
        <f t="shared" ref="AQ114" si="130">+AQ25+AQ29+AQ30+AQ41+AQ46+AQ51+AQ57+AQ101+AQ102+AQ107+AQ111+AQ98+AQ108+AQ109-AQ111+AQ113</f>
        <v>126220.43000000001</v>
      </c>
      <c r="AR114" s="1338">
        <f t="shared" ref="AR114" si="131">+AR25+AR29+AR30+AR41+AR46+AR51+AR57+AR101+AR102+AR107+AR111+AR98+AR108+AR109-AR111+AR113</f>
        <v>0</v>
      </c>
      <c r="AS114" s="1338">
        <f t="shared" ref="AS114" si="132">+AS25+AS29+AS30+AS41+AS46+AS51+AS57+AS101+AS102+AS107+AS111+AS98+AS108+AS109-AS111+AS113</f>
        <v>1198839.9890000001</v>
      </c>
      <c r="AT114" s="1338">
        <f t="shared" ref="AT114" si="133">+AT25+AT29+AT30+AT41+AT46+AT51+AT57+AT101+AT102+AT107+AT111+AT98+AT108+AT109-AT111+AT113</f>
        <v>0</v>
      </c>
      <c r="AU114" s="1338">
        <f t="shared" ref="AU114" si="134">+AU25+AU29+AU30+AU41+AU46+AU51+AU57+AU101+AU102+AU107+AU111+AU98+AU108+AU109-AU111+AU113</f>
        <v>111849.02999999998</v>
      </c>
      <c r="AV114" s="1338">
        <f t="shared" ref="AV114" si="135">+AV25+AV29+AV30+AV41+AV46+AV51+AV57+AV101+AV102+AV107+AV111+AV98+AV108+AV109-AV111+AV113</f>
        <v>0</v>
      </c>
      <c r="AW114" s="1338">
        <f t="shared" ref="AW114" si="136">+AW25+AW29+AW30+AW41+AW46+AW51+AW57+AW101+AW102+AW107+AW111+AW98+AW108+AW109-AW111+AW113</f>
        <v>1310689.0189999999</v>
      </c>
      <c r="AX114" s="1338">
        <f t="shared" ref="AX114:AY114" si="137">+AX25+AX29+AX30+AX41+AX46+AX51+AX57+AX101+AX102+AX107+AX111+AX98+AX108+AX109-AX111+AX113</f>
        <v>0</v>
      </c>
      <c r="AY114" s="1338">
        <f t="shared" si="137"/>
        <v>103850.34</v>
      </c>
      <c r="AZ114" s="1338">
        <f t="shared" ref="AZ114" si="138">+AZ25+AZ29+AZ30+AZ41+AZ46+AZ51+AZ57+AZ101+AZ102+AZ107+AZ111+AZ98+AZ108+AZ109-AZ111+AZ113</f>
        <v>0</v>
      </c>
      <c r="BA114" s="1338">
        <f t="shared" ref="BA114" si="139">+BA25+BA29+BA30+BA41+BA46+BA51+BA57+BA101+BA102+BA107+BA111+BA98+BA108+BA109-BA111+BA113</f>
        <v>341919.8</v>
      </c>
      <c r="BB114" s="1338">
        <f t="shared" ref="BB114" si="140">+BB25+BB29+BB30+BB41+BB46+BB51+BB57+BB101+BB102+BB107+BB111+BB98+BB108+BB109-BB111+BB113</f>
        <v>0</v>
      </c>
      <c r="BC114" s="1338">
        <f t="shared" ref="BC114" si="141">+BC25+BC29+BC30+BC41+BC46+BC51+BC57+BC101+BC102+BC107+BC111+BC98+BC108+BC109-BC111+BC113</f>
        <v>722039.20700000005</v>
      </c>
      <c r="BD114" s="1338">
        <f t="shared" ref="BD114" si="142">+BD25+BD29+BD30+BD41+BD46+BD51+BD57+BD101+BD102+BD107+BD111+BD98+BD108+BD109-BD111+BD113</f>
        <v>0</v>
      </c>
      <c r="BE114" s="1338">
        <f t="shared" ref="BE114" si="143">+BE25+BE29+BE30+BE41+BE46+BE51+BE57+BE101+BE102+BE107+BE111+BE98+BE108+BE109-BE111+BE113</f>
        <v>1414539.3589999999</v>
      </c>
      <c r="BF114" s="1202"/>
      <c r="BH114" s="26"/>
      <c r="BI114" s="26"/>
    </row>
    <row r="115" spans="1:61" ht="14.4" x14ac:dyDescent="0.3">
      <c r="A115" s="146"/>
      <c r="E115">
        <v>120500.29299999999</v>
      </c>
      <c r="M115"/>
      <c r="Y115"/>
      <c r="AW115"/>
      <c r="BH115" s="26"/>
      <c r="BI115" s="26"/>
    </row>
    <row r="116" spans="1:61" ht="15" thickBot="1" x14ac:dyDescent="0.35">
      <c r="A116" s="146"/>
      <c r="M116"/>
      <c r="Y116"/>
      <c r="AC116" s="26"/>
      <c r="AW116"/>
      <c r="BH116" s="26"/>
      <c r="BI116" s="26"/>
    </row>
    <row r="117" spans="1:61" ht="24.6" x14ac:dyDescent="0.3">
      <c r="B117" s="2704" t="s">
        <v>1077</v>
      </c>
      <c r="C117" s="2551"/>
      <c r="D117" s="2552"/>
      <c r="E117" s="2553"/>
      <c r="F117" s="2554"/>
      <c r="G117" s="2553"/>
      <c r="H117" s="2553"/>
      <c r="I117" s="2553"/>
      <c r="J117" s="2553"/>
      <c r="K117" s="2553"/>
      <c r="L117" s="2554"/>
      <c r="M117" s="2555"/>
      <c r="N117" s="2554"/>
      <c r="O117" s="5609"/>
      <c r="P117" s="2553"/>
      <c r="Q117" s="2553"/>
      <c r="R117" s="2553"/>
      <c r="S117" s="2553"/>
      <c r="T117" s="2553"/>
      <c r="U117" s="2553"/>
      <c r="V117" s="2553"/>
      <c r="W117" s="2553"/>
      <c r="X117" s="2554"/>
      <c r="Y117" s="2555"/>
      <c r="Z117" s="2554"/>
      <c r="AA117" s="2556"/>
      <c r="AB117" s="2554"/>
      <c r="AC117" s="2553"/>
      <c r="AD117" s="2553"/>
      <c r="AE117" s="2553"/>
      <c r="AF117" s="2553"/>
      <c r="AG117" s="2553"/>
      <c r="AH117" s="2553"/>
      <c r="AI117" s="2553"/>
      <c r="AJ117" s="2553"/>
      <c r="AK117" s="2553"/>
      <c r="AL117" s="2554"/>
      <c r="AM117" s="2555"/>
      <c r="AN117" s="2554"/>
      <c r="AO117" s="2554"/>
      <c r="AP117" s="2553"/>
      <c r="AQ117" s="2553"/>
      <c r="AR117" s="2553"/>
      <c r="AS117" s="2553"/>
      <c r="AT117" s="2553"/>
      <c r="AU117" s="2553"/>
      <c r="AV117" s="2554"/>
      <c r="AW117" s="2553"/>
      <c r="AX117" s="2553"/>
      <c r="AY117" s="2553"/>
      <c r="AZ117" s="2554"/>
      <c r="BA117" s="2555"/>
      <c r="BB117" s="2554"/>
      <c r="BC117" s="2556"/>
      <c r="BD117" s="2554"/>
      <c r="BE117" s="2557"/>
      <c r="BF117" s="1202"/>
      <c r="BH117" s="26"/>
      <c r="BI117" s="26"/>
    </row>
    <row r="118" spans="1:61" hidden="1" x14ac:dyDescent="0.3">
      <c r="B118" s="736" t="s">
        <v>1073</v>
      </c>
      <c r="C118" s="2546" t="s">
        <v>354</v>
      </c>
      <c r="D118" s="2558"/>
      <c r="E118" s="2558">
        <f>+E119+E120+E121</f>
        <v>0</v>
      </c>
      <c r="F118" s="2558"/>
      <c r="G118" s="2558">
        <f>+G119+G120+G121</f>
        <v>0</v>
      </c>
      <c r="H118" s="2559"/>
      <c r="I118" s="2559">
        <f t="shared" ref="I118:I159" si="144">+E118+G118</f>
        <v>0</v>
      </c>
      <c r="J118" s="2558"/>
      <c r="K118" s="2558">
        <f>+K119+K120+K121</f>
        <v>0</v>
      </c>
      <c r="L118" s="2558"/>
      <c r="M118" s="2560">
        <f t="shared" ref="M118:M132" si="145">+E118+G118+K118</f>
        <v>0</v>
      </c>
      <c r="N118" s="2558"/>
      <c r="O118" s="2558">
        <f>+O119+O120+O121</f>
        <v>0</v>
      </c>
      <c r="P118" s="2558"/>
      <c r="Q118" s="1630">
        <f t="shared" si="61"/>
        <v>0</v>
      </c>
      <c r="R118" s="2558"/>
      <c r="S118" s="2558">
        <f>+S119+S120+S121</f>
        <v>0</v>
      </c>
      <c r="T118" s="2558"/>
      <c r="U118" s="2562">
        <f t="shared" ref="U118:U170" si="146">+Q118+S118</f>
        <v>0</v>
      </c>
      <c r="V118" s="2558"/>
      <c r="W118" s="2558">
        <f>+W119+W120+W121</f>
        <v>0</v>
      </c>
      <c r="X118" s="2558"/>
      <c r="Y118" s="2560">
        <f t="shared" si="69"/>
        <v>0</v>
      </c>
      <c r="Z118" s="2558"/>
      <c r="AA118" s="2550">
        <f t="shared" si="66"/>
        <v>0</v>
      </c>
      <c r="AB118" s="2558"/>
      <c r="AC118" s="2558">
        <f>+AC119+AC120+AC121</f>
        <v>0</v>
      </c>
      <c r="AD118" s="2558"/>
      <c r="AE118" s="2558">
        <f t="shared" ref="AE118:AE133" si="147">+AA118+AC118</f>
        <v>0</v>
      </c>
      <c r="AF118" s="2558"/>
      <c r="AG118" s="2558">
        <f>+AG119+AG120+AG121</f>
        <v>0</v>
      </c>
      <c r="AH118" s="2558"/>
      <c r="AI118" s="2558">
        <f t="shared" ref="AI118:AI125" si="148">+AE118+AG118</f>
        <v>0</v>
      </c>
      <c r="AJ118" s="2558"/>
      <c r="AK118" s="2558">
        <f>+AK119+AK120+AK121</f>
        <v>0</v>
      </c>
      <c r="AL118" s="2558"/>
      <c r="AM118" s="2560">
        <f t="shared" si="75"/>
        <v>0</v>
      </c>
      <c r="AN118" s="2558"/>
      <c r="AO118" s="2558">
        <f t="shared" si="95"/>
        <v>0</v>
      </c>
      <c r="AP118" s="2558"/>
      <c r="AQ118" s="2558">
        <f>+AQ119+AQ120+AQ121</f>
        <v>0</v>
      </c>
      <c r="AR118" s="2558"/>
      <c r="AS118" s="2558">
        <f t="shared" ref="AS118:AS121" si="149">+AO118+AQ118</f>
        <v>0</v>
      </c>
      <c r="AT118" s="2558"/>
      <c r="AU118" s="2558">
        <f>+AU119+AU120+AU121</f>
        <v>0</v>
      </c>
      <c r="AV118" s="2558"/>
      <c r="AW118" s="2558">
        <f t="shared" ref="AW118:AW121" si="150">+AS118+AU118</f>
        <v>0</v>
      </c>
      <c r="AX118" s="2558"/>
      <c r="AY118" s="2558">
        <f>+AY119+AY120+AY121</f>
        <v>0</v>
      </c>
      <c r="AZ118" s="2558"/>
      <c r="BA118" s="2560">
        <f t="shared" si="68"/>
        <v>0</v>
      </c>
      <c r="BB118" s="2558"/>
      <c r="BC118" s="2550">
        <f t="shared" si="70"/>
        <v>0</v>
      </c>
      <c r="BD118" s="2558"/>
      <c r="BE118" s="2397">
        <f t="shared" ref="BE118:BE121" si="151">+AW118+AY118</f>
        <v>0</v>
      </c>
      <c r="BF118" s="1202"/>
      <c r="BH118" s="26"/>
      <c r="BI118" s="26"/>
    </row>
    <row r="119" spans="1:61" hidden="1" x14ac:dyDescent="0.3">
      <c r="B119" s="734" t="s">
        <v>1074</v>
      </c>
      <c r="C119" s="2546" t="s">
        <v>354</v>
      </c>
      <c r="D119" s="2561"/>
      <c r="E119" s="2561"/>
      <c r="F119" s="2561"/>
      <c r="G119" s="2561"/>
      <c r="H119" s="2562"/>
      <c r="I119" s="2562">
        <f t="shared" si="144"/>
        <v>0</v>
      </c>
      <c r="J119" s="2561"/>
      <c r="K119" s="2561"/>
      <c r="L119" s="2561"/>
      <c r="M119" s="2563">
        <f t="shared" si="145"/>
        <v>0</v>
      </c>
      <c r="N119" s="2561"/>
      <c r="O119" s="2561"/>
      <c r="P119" s="2561"/>
      <c r="Q119" s="1630">
        <f t="shared" si="61"/>
        <v>0</v>
      </c>
      <c r="R119" s="2561"/>
      <c r="S119" s="2561"/>
      <c r="T119" s="2561"/>
      <c r="U119" s="2562">
        <f t="shared" si="146"/>
        <v>0</v>
      </c>
      <c r="V119" s="2561"/>
      <c r="W119" s="2561"/>
      <c r="X119" s="2561"/>
      <c r="Y119" s="2563">
        <f t="shared" si="69"/>
        <v>0</v>
      </c>
      <c r="Z119" s="2561"/>
      <c r="AA119" s="2550">
        <f t="shared" si="66"/>
        <v>0</v>
      </c>
      <c r="AB119" s="2561"/>
      <c r="AC119" s="2561"/>
      <c r="AD119" s="2561"/>
      <c r="AE119" s="2549">
        <f t="shared" si="147"/>
        <v>0</v>
      </c>
      <c r="AF119" s="2561"/>
      <c r="AG119" s="2561"/>
      <c r="AH119" s="2561"/>
      <c r="AI119" s="2549">
        <f t="shared" si="148"/>
        <v>0</v>
      </c>
      <c r="AJ119" s="2561"/>
      <c r="AK119" s="2561"/>
      <c r="AL119" s="2561"/>
      <c r="AM119" s="2563">
        <f t="shared" si="75"/>
        <v>0</v>
      </c>
      <c r="AN119" s="2561"/>
      <c r="AO119" s="2549">
        <f t="shared" si="95"/>
        <v>0</v>
      </c>
      <c r="AP119" s="2561"/>
      <c r="AQ119" s="2561"/>
      <c r="AR119" s="2561"/>
      <c r="AS119" s="2549">
        <f t="shared" si="149"/>
        <v>0</v>
      </c>
      <c r="AT119" s="2561"/>
      <c r="AU119" s="2561"/>
      <c r="AV119" s="2561"/>
      <c r="AW119" s="2549">
        <f t="shared" si="150"/>
        <v>0</v>
      </c>
      <c r="AX119" s="2561"/>
      <c r="AY119" s="2561"/>
      <c r="AZ119" s="2561"/>
      <c r="BA119" s="2563">
        <f t="shared" si="68"/>
        <v>0</v>
      </c>
      <c r="BB119" s="2561"/>
      <c r="BC119" s="2550">
        <f t="shared" si="70"/>
        <v>0</v>
      </c>
      <c r="BD119" s="2561"/>
      <c r="BE119" s="179">
        <f t="shared" si="151"/>
        <v>0</v>
      </c>
      <c r="BF119" s="1202"/>
      <c r="BH119" s="26"/>
      <c r="BI119" s="26"/>
    </row>
    <row r="120" spans="1:61" hidden="1" x14ac:dyDescent="0.3">
      <c r="B120" s="734" t="s">
        <v>1075</v>
      </c>
      <c r="C120" s="2546" t="s">
        <v>354</v>
      </c>
      <c r="D120" s="2561"/>
      <c r="E120" s="2561"/>
      <c r="F120" s="2561"/>
      <c r="G120" s="2561"/>
      <c r="H120" s="2562"/>
      <c r="I120" s="2562">
        <f t="shared" si="144"/>
        <v>0</v>
      </c>
      <c r="J120" s="2561"/>
      <c r="K120" s="2561"/>
      <c r="L120" s="2561"/>
      <c r="M120" s="2563">
        <f t="shared" si="145"/>
        <v>0</v>
      </c>
      <c r="N120" s="2561"/>
      <c r="O120" s="2561"/>
      <c r="P120" s="2561"/>
      <c r="Q120" s="1630">
        <f t="shared" si="61"/>
        <v>0</v>
      </c>
      <c r="R120" s="2561"/>
      <c r="S120" s="2561"/>
      <c r="T120" s="2561"/>
      <c r="U120" s="2562">
        <f t="shared" si="146"/>
        <v>0</v>
      </c>
      <c r="V120" s="2561"/>
      <c r="W120" s="2561"/>
      <c r="X120" s="2561"/>
      <c r="Y120" s="2563">
        <f t="shared" si="69"/>
        <v>0</v>
      </c>
      <c r="Z120" s="2561"/>
      <c r="AA120" s="2550">
        <f t="shared" si="66"/>
        <v>0</v>
      </c>
      <c r="AB120" s="2561"/>
      <c r="AC120" s="2561"/>
      <c r="AD120" s="2561"/>
      <c r="AE120" s="2549">
        <f t="shared" si="147"/>
        <v>0</v>
      </c>
      <c r="AF120" s="2561"/>
      <c r="AG120" s="2561"/>
      <c r="AH120" s="2561"/>
      <c r="AI120" s="2549">
        <f t="shared" si="148"/>
        <v>0</v>
      </c>
      <c r="AJ120" s="2561"/>
      <c r="AK120" s="2561"/>
      <c r="AL120" s="2561"/>
      <c r="AM120" s="2563">
        <f t="shared" si="75"/>
        <v>0</v>
      </c>
      <c r="AN120" s="2561"/>
      <c r="AO120" s="2549">
        <f t="shared" si="95"/>
        <v>0</v>
      </c>
      <c r="AP120" s="2561"/>
      <c r="AQ120" s="2561"/>
      <c r="AR120" s="2561"/>
      <c r="AS120" s="2549">
        <f t="shared" si="149"/>
        <v>0</v>
      </c>
      <c r="AT120" s="2561"/>
      <c r="AU120" s="2561"/>
      <c r="AV120" s="2561"/>
      <c r="AW120" s="2549">
        <f t="shared" si="150"/>
        <v>0</v>
      </c>
      <c r="AX120" s="2561"/>
      <c r="AY120" s="2561"/>
      <c r="AZ120" s="2561"/>
      <c r="BA120" s="2563">
        <f t="shared" si="68"/>
        <v>0</v>
      </c>
      <c r="BB120" s="2561"/>
      <c r="BC120" s="2550">
        <f t="shared" si="70"/>
        <v>0</v>
      </c>
      <c r="BD120" s="2561"/>
      <c r="BE120" s="179">
        <f t="shared" si="151"/>
        <v>0</v>
      </c>
      <c r="BF120" s="1202"/>
      <c r="BH120" s="26"/>
      <c r="BI120" s="26"/>
    </row>
    <row r="121" spans="1:61" hidden="1" x14ac:dyDescent="0.3">
      <c r="B121" s="734" t="s">
        <v>1116</v>
      </c>
      <c r="C121" s="2546" t="s">
        <v>354</v>
      </c>
      <c r="D121" s="2561"/>
      <c r="E121" s="2561"/>
      <c r="F121" s="2561"/>
      <c r="G121" s="2561"/>
      <c r="H121" s="2562"/>
      <c r="I121" s="2562">
        <f t="shared" si="144"/>
        <v>0</v>
      </c>
      <c r="J121" s="2561"/>
      <c r="K121" s="2561"/>
      <c r="L121" s="2561"/>
      <c r="M121" s="2563">
        <f t="shared" si="145"/>
        <v>0</v>
      </c>
      <c r="N121" s="2561"/>
      <c r="O121" s="2561"/>
      <c r="P121" s="2561"/>
      <c r="Q121" s="1630">
        <f t="shared" si="61"/>
        <v>0</v>
      </c>
      <c r="R121" s="2561"/>
      <c r="S121" s="2561"/>
      <c r="T121" s="2561"/>
      <c r="U121" s="2562">
        <f t="shared" si="146"/>
        <v>0</v>
      </c>
      <c r="V121" s="2561"/>
      <c r="W121" s="2561"/>
      <c r="X121" s="2561"/>
      <c r="Y121" s="2563">
        <f t="shared" si="69"/>
        <v>0</v>
      </c>
      <c r="Z121" s="2561"/>
      <c r="AA121" s="2550">
        <f t="shared" si="66"/>
        <v>0</v>
      </c>
      <c r="AB121" s="2561"/>
      <c r="AC121" s="2561"/>
      <c r="AD121" s="2561"/>
      <c r="AE121" s="2549">
        <f t="shared" si="147"/>
        <v>0</v>
      </c>
      <c r="AF121" s="2561"/>
      <c r="AG121" s="2561"/>
      <c r="AH121" s="2561"/>
      <c r="AI121" s="2549">
        <f t="shared" si="148"/>
        <v>0</v>
      </c>
      <c r="AJ121" s="2561"/>
      <c r="AK121" s="2561"/>
      <c r="AL121" s="2561"/>
      <c r="AM121" s="2563">
        <f t="shared" si="75"/>
        <v>0</v>
      </c>
      <c r="AN121" s="2561"/>
      <c r="AO121" s="2549">
        <f t="shared" si="95"/>
        <v>0</v>
      </c>
      <c r="AP121" s="2561"/>
      <c r="AQ121" s="2561"/>
      <c r="AR121" s="2561"/>
      <c r="AS121" s="2549">
        <f t="shared" si="149"/>
        <v>0</v>
      </c>
      <c r="AT121" s="2561"/>
      <c r="AU121" s="2561"/>
      <c r="AV121" s="2561"/>
      <c r="AW121" s="2549">
        <f t="shared" si="150"/>
        <v>0</v>
      </c>
      <c r="AX121" s="2561"/>
      <c r="AY121" s="2561"/>
      <c r="AZ121" s="2561"/>
      <c r="BA121" s="2563">
        <f t="shared" si="68"/>
        <v>0</v>
      </c>
      <c r="BB121" s="2561"/>
      <c r="BC121" s="2550">
        <f t="shared" si="70"/>
        <v>0</v>
      </c>
      <c r="BD121" s="2561"/>
      <c r="BE121" s="179">
        <f t="shared" si="151"/>
        <v>0</v>
      </c>
      <c r="BF121" s="1202"/>
      <c r="BH121" s="26"/>
      <c r="BI121" s="26"/>
    </row>
    <row r="122" spans="1:61" hidden="1" x14ac:dyDescent="0.3">
      <c r="B122" s="736" t="s">
        <v>1140</v>
      </c>
      <c r="C122" s="2546"/>
      <c r="D122" s="2561"/>
      <c r="E122" s="2558">
        <f>+E123+E124</f>
        <v>0</v>
      </c>
      <c r="F122" s="2558">
        <f t="shared" ref="F122:AI122" si="152">+F123+F124</f>
        <v>0</v>
      </c>
      <c r="G122" s="2558">
        <f>+G123+G124</f>
        <v>0</v>
      </c>
      <c r="H122" s="2558">
        <f t="shared" si="152"/>
        <v>0</v>
      </c>
      <c r="I122" s="2558">
        <f t="shared" si="152"/>
        <v>0</v>
      </c>
      <c r="J122" s="2558">
        <f t="shared" si="152"/>
        <v>0</v>
      </c>
      <c r="K122" s="2558">
        <f>+K123+K124</f>
        <v>0</v>
      </c>
      <c r="L122" s="2558">
        <f t="shared" si="152"/>
        <v>0</v>
      </c>
      <c r="M122" s="2558">
        <f t="shared" si="152"/>
        <v>0</v>
      </c>
      <c r="N122" s="2558">
        <f t="shared" si="152"/>
        <v>0</v>
      </c>
      <c r="O122" s="2558">
        <f>+O123+O124</f>
        <v>0</v>
      </c>
      <c r="P122" s="2558">
        <f t="shared" si="152"/>
        <v>0</v>
      </c>
      <c r="Q122" s="1630">
        <f t="shared" si="61"/>
        <v>0</v>
      </c>
      <c r="R122" s="2558">
        <f t="shared" si="152"/>
        <v>0</v>
      </c>
      <c r="S122" s="2558">
        <f>+S123+S124</f>
        <v>0</v>
      </c>
      <c r="T122" s="2558">
        <f t="shared" si="152"/>
        <v>0</v>
      </c>
      <c r="U122" s="4922">
        <f t="shared" si="152"/>
        <v>0</v>
      </c>
      <c r="V122" s="2558">
        <f t="shared" si="152"/>
        <v>0</v>
      </c>
      <c r="W122" s="2558">
        <f>+W123+W124</f>
        <v>0</v>
      </c>
      <c r="X122" s="2558">
        <f t="shared" si="152"/>
        <v>0</v>
      </c>
      <c r="Y122" s="2558">
        <f t="shared" si="69"/>
        <v>0</v>
      </c>
      <c r="Z122" s="2558">
        <f t="shared" si="152"/>
        <v>0</v>
      </c>
      <c r="AA122" s="2550">
        <f t="shared" si="66"/>
        <v>0</v>
      </c>
      <c r="AB122" s="2558">
        <f t="shared" si="152"/>
        <v>0</v>
      </c>
      <c r="AC122" s="2558">
        <f>+AC123+AC124</f>
        <v>0</v>
      </c>
      <c r="AD122" s="2558">
        <f t="shared" si="152"/>
        <v>0</v>
      </c>
      <c r="AE122" s="2558">
        <f t="shared" si="152"/>
        <v>0</v>
      </c>
      <c r="AF122" s="2558">
        <f t="shared" si="152"/>
        <v>0</v>
      </c>
      <c r="AG122" s="2558">
        <f>+AG123+AG124</f>
        <v>0</v>
      </c>
      <c r="AH122" s="2558">
        <f t="shared" si="152"/>
        <v>0</v>
      </c>
      <c r="AI122" s="2558">
        <f t="shared" si="152"/>
        <v>0</v>
      </c>
      <c r="AJ122" s="2558">
        <f t="shared" ref="AJ122:AN122" si="153">+AJ123+AJ124</f>
        <v>0</v>
      </c>
      <c r="AK122" s="2558">
        <f>+AK123+AK124</f>
        <v>0</v>
      </c>
      <c r="AL122" s="2558">
        <f t="shared" si="153"/>
        <v>0</v>
      </c>
      <c r="AM122" s="2558">
        <f t="shared" si="75"/>
        <v>0</v>
      </c>
      <c r="AN122" s="2558">
        <f t="shared" si="153"/>
        <v>0</v>
      </c>
      <c r="AO122" s="2558">
        <f t="shared" si="95"/>
        <v>0</v>
      </c>
      <c r="AP122" s="2558">
        <f t="shared" ref="AP122" si="154">+AP123+AP124</f>
        <v>0</v>
      </c>
      <c r="AQ122" s="2558">
        <f>+AQ123+AQ124</f>
        <v>0</v>
      </c>
      <c r="AR122" s="2558">
        <f t="shared" ref="AR122:AS122" si="155">+AR123+AR124</f>
        <v>0</v>
      </c>
      <c r="AS122" s="2558">
        <f t="shared" si="155"/>
        <v>0</v>
      </c>
      <c r="AT122" s="2558">
        <f t="shared" ref="AT122:AW122" si="156">+AT123+AT124</f>
        <v>0</v>
      </c>
      <c r="AU122" s="2558">
        <f>+AU123+AU124</f>
        <v>0</v>
      </c>
      <c r="AV122" s="2558">
        <f t="shared" si="156"/>
        <v>0</v>
      </c>
      <c r="AW122" s="2558">
        <f t="shared" si="156"/>
        <v>0</v>
      </c>
      <c r="AX122" s="2558">
        <f t="shared" ref="AX122" si="157">+AX123+AX124</f>
        <v>0</v>
      </c>
      <c r="AY122" s="2558">
        <f>+AY123+AY124</f>
        <v>0</v>
      </c>
      <c r="AZ122" s="2558">
        <f t="shared" ref="AZ122:BE122" si="158">+AZ123+AZ124</f>
        <v>0</v>
      </c>
      <c r="BA122" s="2558">
        <f t="shared" si="68"/>
        <v>0</v>
      </c>
      <c r="BB122" s="2558">
        <f t="shared" si="158"/>
        <v>0</v>
      </c>
      <c r="BC122" s="2550">
        <f t="shared" si="70"/>
        <v>0</v>
      </c>
      <c r="BD122" s="2558">
        <f t="shared" si="158"/>
        <v>0</v>
      </c>
      <c r="BE122" s="2397">
        <f t="shared" si="158"/>
        <v>0</v>
      </c>
      <c r="BF122" s="1202"/>
      <c r="BH122" s="26"/>
      <c r="BI122" s="26"/>
    </row>
    <row r="123" spans="1:61" hidden="1" x14ac:dyDescent="0.3">
      <c r="B123" s="734" t="s">
        <v>1364</v>
      </c>
      <c r="C123" s="2546" t="s">
        <v>354</v>
      </c>
      <c r="D123" s="2561"/>
      <c r="E123" s="2561"/>
      <c r="F123" s="2561"/>
      <c r="G123" s="2561"/>
      <c r="H123" s="2562"/>
      <c r="I123" s="2562">
        <f t="shared" si="144"/>
        <v>0</v>
      </c>
      <c r="J123" s="2561"/>
      <c r="K123" s="2561"/>
      <c r="L123" s="2561"/>
      <c r="M123" s="2563">
        <f t="shared" si="145"/>
        <v>0</v>
      </c>
      <c r="N123" s="2561"/>
      <c r="O123" s="2561"/>
      <c r="P123" s="2561"/>
      <c r="Q123" s="1630">
        <f t="shared" si="61"/>
        <v>0</v>
      </c>
      <c r="R123" s="2561"/>
      <c r="S123" s="2561"/>
      <c r="T123" s="2561"/>
      <c r="U123" s="2562">
        <f t="shared" si="146"/>
        <v>0</v>
      </c>
      <c r="V123" s="2561"/>
      <c r="W123" s="2561"/>
      <c r="X123" s="2561"/>
      <c r="Y123" s="2563">
        <f t="shared" si="69"/>
        <v>0</v>
      </c>
      <c r="Z123" s="2561"/>
      <c r="AA123" s="2550">
        <f t="shared" si="66"/>
        <v>0</v>
      </c>
      <c r="AB123" s="2561"/>
      <c r="AC123" s="2561"/>
      <c r="AD123" s="2561"/>
      <c r="AE123" s="2549">
        <f t="shared" si="147"/>
        <v>0</v>
      </c>
      <c r="AF123" s="2561"/>
      <c r="AG123" s="2561"/>
      <c r="AH123" s="2561"/>
      <c r="AI123" s="2549">
        <f t="shared" si="148"/>
        <v>0</v>
      </c>
      <c r="AJ123" s="2561"/>
      <c r="AK123" s="2561"/>
      <c r="AL123" s="2561"/>
      <c r="AM123" s="2563">
        <f t="shared" si="75"/>
        <v>0</v>
      </c>
      <c r="AN123" s="2561"/>
      <c r="AO123" s="2549">
        <f t="shared" si="95"/>
        <v>0</v>
      </c>
      <c r="AP123" s="2561"/>
      <c r="AQ123" s="2561"/>
      <c r="AR123" s="2561"/>
      <c r="AS123" s="2549">
        <f t="shared" ref="AS123:AS124" si="159">+AO123+AQ123</f>
        <v>0</v>
      </c>
      <c r="AT123" s="2561"/>
      <c r="AU123" s="2561"/>
      <c r="AV123" s="2561"/>
      <c r="AW123" s="2549">
        <f t="shared" ref="AW123:AW124" si="160">+AS123+AU123</f>
        <v>0</v>
      </c>
      <c r="AX123" s="2561"/>
      <c r="AY123" s="2561"/>
      <c r="AZ123" s="2561"/>
      <c r="BA123" s="2563">
        <f t="shared" si="68"/>
        <v>0</v>
      </c>
      <c r="BB123" s="2561"/>
      <c r="BC123" s="2550">
        <f t="shared" si="70"/>
        <v>0</v>
      </c>
      <c r="BD123" s="2561"/>
      <c r="BE123" s="179">
        <f t="shared" ref="BE123:BE125" si="161">+AW123+AY123</f>
        <v>0</v>
      </c>
      <c r="BF123" s="1202"/>
      <c r="BH123" s="26"/>
      <c r="BI123" s="26"/>
    </row>
    <row r="124" spans="1:61" hidden="1" x14ac:dyDescent="0.3">
      <c r="B124" s="734" t="s">
        <v>1268</v>
      </c>
      <c r="C124" s="2546" t="s">
        <v>354</v>
      </c>
      <c r="D124" s="2561"/>
      <c r="E124" s="2561"/>
      <c r="F124" s="2561"/>
      <c r="G124" s="2561"/>
      <c r="H124" s="2562"/>
      <c r="I124" s="2562">
        <f t="shared" si="144"/>
        <v>0</v>
      </c>
      <c r="J124" s="2561"/>
      <c r="K124" s="2561"/>
      <c r="L124" s="2561"/>
      <c r="M124" s="2563">
        <f t="shared" si="145"/>
        <v>0</v>
      </c>
      <c r="N124" s="2561"/>
      <c r="O124" s="2561"/>
      <c r="P124" s="2561"/>
      <c r="Q124" s="1630">
        <f t="shared" si="61"/>
        <v>0</v>
      </c>
      <c r="R124" s="2561"/>
      <c r="S124" s="2561"/>
      <c r="T124" s="2561"/>
      <c r="U124" s="2562">
        <f t="shared" si="146"/>
        <v>0</v>
      </c>
      <c r="V124" s="2561"/>
      <c r="W124" s="2561"/>
      <c r="X124" s="2561"/>
      <c r="Y124" s="2563">
        <f t="shared" si="69"/>
        <v>0</v>
      </c>
      <c r="Z124" s="2561"/>
      <c r="AA124" s="2550">
        <f t="shared" si="66"/>
        <v>0</v>
      </c>
      <c r="AB124" s="2561"/>
      <c r="AC124" s="2561"/>
      <c r="AD124" s="2561"/>
      <c r="AE124" s="2549">
        <f t="shared" si="147"/>
        <v>0</v>
      </c>
      <c r="AF124" s="2561"/>
      <c r="AG124" s="2561"/>
      <c r="AH124" s="2561"/>
      <c r="AI124" s="2549">
        <f t="shared" si="148"/>
        <v>0</v>
      </c>
      <c r="AJ124" s="2561"/>
      <c r="AK124" s="2561"/>
      <c r="AL124" s="2561"/>
      <c r="AM124" s="2563">
        <f t="shared" si="75"/>
        <v>0</v>
      </c>
      <c r="AN124" s="2561"/>
      <c r="AO124" s="2549">
        <f t="shared" si="95"/>
        <v>0</v>
      </c>
      <c r="AP124" s="2561"/>
      <c r="AQ124" s="2561"/>
      <c r="AR124" s="2561"/>
      <c r="AS124" s="2549">
        <f t="shared" si="159"/>
        <v>0</v>
      </c>
      <c r="AT124" s="2561"/>
      <c r="AU124" s="2561"/>
      <c r="AV124" s="2561"/>
      <c r="AW124" s="2549">
        <f t="shared" si="160"/>
        <v>0</v>
      </c>
      <c r="AX124" s="2561"/>
      <c r="AY124" s="2561"/>
      <c r="AZ124" s="2561"/>
      <c r="BA124" s="2563">
        <f t="shared" si="68"/>
        <v>0</v>
      </c>
      <c r="BB124" s="2561"/>
      <c r="BC124" s="2550">
        <f t="shared" si="70"/>
        <v>0</v>
      </c>
      <c r="BD124" s="2561"/>
      <c r="BE124" s="179">
        <f t="shared" si="161"/>
        <v>0</v>
      </c>
      <c r="BF124" s="1202"/>
      <c r="BH124" s="26"/>
      <c r="BI124" s="26"/>
    </row>
    <row r="125" spans="1:61" x14ac:dyDescent="0.3">
      <c r="B125" s="4903" t="s">
        <v>2058</v>
      </c>
      <c r="C125" s="4814"/>
      <c r="D125" s="4815"/>
      <c r="E125" s="2558"/>
      <c r="F125" s="2558"/>
      <c r="G125" s="2558"/>
      <c r="H125" s="2558"/>
      <c r="I125" s="2558"/>
      <c r="J125" s="2558"/>
      <c r="K125" s="2558">
        <v>2500</v>
      </c>
      <c r="L125" s="2558"/>
      <c r="M125" s="2558">
        <f>I125+K125</f>
        <v>2500</v>
      </c>
      <c r="N125" s="2558"/>
      <c r="O125" s="2558">
        <v>7430</v>
      </c>
      <c r="P125" s="2558"/>
      <c r="Q125" s="1630">
        <f t="shared" si="61"/>
        <v>9930</v>
      </c>
      <c r="R125" s="2558"/>
      <c r="S125" s="2558">
        <v>2070</v>
      </c>
      <c r="T125" s="2558"/>
      <c r="U125" s="1630">
        <f t="shared" si="146"/>
        <v>12000</v>
      </c>
      <c r="V125" s="2558"/>
      <c r="W125" s="2558"/>
      <c r="X125" s="2558"/>
      <c r="Y125" s="2558">
        <f t="shared" ref="Y125" si="162">+O125+S125+W125</f>
        <v>9500</v>
      </c>
      <c r="Z125" s="2558">
        <f t="shared" ref="F125:BE129" si="163">+Z126</f>
        <v>0</v>
      </c>
      <c r="AA125" s="2558">
        <f t="shared" ref="AA125" si="164">M125+Y125</f>
        <v>12000</v>
      </c>
      <c r="AB125" s="2558"/>
      <c r="AC125" s="2558"/>
      <c r="AD125" s="2558"/>
      <c r="AE125" s="2558">
        <f t="shared" si="147"/>
        <v>12000</v>
      </c>
      <c r="AF125" s="2558"/>
      <c r="AG125" s="2558"/>
      <c r="AH125" s="2558"/>
      <c r="AI125" s="2558">
        <f t="shared" si="148"/>
        <v>12000</v>
      </c>
      <c r="AJ125" s="2558"/>
      <c r="AK125" s="2558">
        <v>1500</v>
      </c>
      <c r="AL125" s="2558"/>
      <c r="AM125" s="2558">
        <f t="shared" ref="AM125" si="165">+AC125+AG125+AK125</f>
        <v>1500</v>
      </c>
      <c r="AN125" s="2558">
        <f t="shared" si="163"/>
        <v>0</v>
      </c>
      <c r="AO125" s="2558">
        <f t="shared" ref="AO125" si="166">AI125+AK125</f>
        <v>13500</v>
      </c>
      <c r="AP125" s="2558"/>
      <c r="AQ125" s="2558"/>
      <c r="AR125" s="2558"/>
      <c r="AS125" s="2558">
        <f t="shared" ref="AS125:AS129" si="167">+AO125+AQ125</f>
        <v>13500</v>
      </c>
      <c r="AT125" s="2558"/>
      <c r="AU125" s="2558"/>
      <c r="AV125" s="2558"/>
      <c r="AW125" s="2558">
        <f t="shared" ref="AW125:AW129" si="168">+AS125+AU125</f>
        <v>13500</v>
      </c>
      <c r="AX125" s="2558"/>
      <c r="AY125" s="2558"/>
      <c r="AZ125" s="2558"/>
      <c r="BA125" s="2558">
        <f t="shared" ref="BA125" si="169">+AQ125+AU125+AY125</f>
        <v>0</v>
      </c>
      <c r="BB125" s="2558"/>
      <c r="BC125" s="2558">
        <f t="shared" ref="BC125" si="170">BA125+AM125</f>
        <v>1500</v>
      </c>
      <c r="BD125" s="2558"/>
      <c r="BE125" s="2558">
        <f t="shared" si="161"/>
        <v>13500</v>
      </c>
      <c r="BF125" s="1202"/>
      <c r="BH125" s="26"/>
      <c r="BI125" s="26"/>
    </row>
    <row r="126" spans="1:61" x14ac:dyDescent="0.3">
      <c r="B126" s="736" t="s">
        <v>945</v>
      </c>
      <c r="C126" s="2546" t="s">
        <v>354</v>
      </c>
      <c r="D126" s="2558"/>
      <c r="E126" s="2558">
        <f>+E127</f>
        <v>10.34</v>
      </c>
      <c r="F126" s="2558">
        <f t="shared" si="163"/>
        <v>0</v>
      </c>
      <c r="G126" s="2558">
        <f>+G127</f>
        <v>0</v>
      </c>
      <c r="H126" s="2558">
        <f t="shared" si="163"/>
        <v>0</v>
      </c>
      <c r="I126" s="2558">
        <f t="shared" si="163"/>
        <v>10.34</v>
      </c>
      <c r="J126" s="2558">
        <f t="shared" si="163"/>
        <v>0</v>
      </c>
      <c r="K126" s="2558">
        <f>+K127</f>
        <v>10.38</v>
      </c>
      <c r="L126" s="2558">
        <f t="shared" si="163"/>
        <v>0</v>
      </c>
      <c r="M126" s="2558">
        <f t="shared" si="163"/>
        <v>20.72</v>
      </c>
      <c r="N126" s="2558">
        <f t="shared" si="163"/>
        <v>0</v>
      </c>
      <c r="O126" s="2558">
        <f>+O127</f>
        <v>10.34</v>
      </c>
      <c r="P126" s="2558">
        <f t="shared" si="163"/>
        <v>0</v>
      </c>
      <c r="Q126" s="1630">
        <f t="shared" si="61"/>
        <v>31.06</v>
      </c>
      <c r="R126" s="2558">
        <f t="shared" si="163"/>
        <v>0</v>
      </c>
      <c r="S126" s="2558">
        <f>+S127</f>
        <v>14.13</v>
      </c>
      <c r="T126" s="2558">
        <f t="shared" si="163"/>
        <v>0</v>
      </c>
      <c r="U126" s="1630">
        <f t="shared" si="146"/>
        <v>45.19</v>
      </c>
      <c r="V126" s="2558">
        <f t="shared" si="163"/>
        <v>0</v>
      </c>
      <c r="W126" s="2558">
        <f>+W127</f>
        <v>0</v>
      </c>
      <c r="X126" s="2558">
        <f t="shared" si="163"/>
        <v>0</v>
      </c>
      <c r="Y126" s="2558">
        <f t="shared" si="69"/>
        <v>24.47</v>
      </c>
      <c r="Z126" s="2558">
        <f t="shared" si="163"/>
        <v>0</v>
      </c>
      <c r="AA126" s="2550">
        <f t="shared" si="66"/>
        <v>45.19</v>
      </c>
      <c r="AB126" s="2558">
        <f t="shared" si="163"/>
        <v>0</v>
      </c>
      <c r="AC126" s="2558">
        <f>+AC127</f>
        <v>0</v>
      </c>
      <c r="AD126" s="2558">
        <f t="shared" si="163"/>
        <v>0</v>
      </c>
      <c r="AE126" s="2558">
        <f t="shared" si="163"/>
        <v>45.19</v>
      </c>
      <c r="AF126" s="2558">
        <f t="shared" si="163"/>
        <v>0</v>
      </c>
      <c r="AG126" s="2558">
        <f>+AG127</f>
        <v>0</v>
      </c>
      <c r="AH126" s="2558">
        <f t="shared" si="163"/>
        <v>0</v>
      </c>
      <c r="AI126" s="2558">
        <f t="shared" ref="AI126:AI133" si="171">+AE126+AG126</f>
        <v>45.19</v>
      </c>
      <c r="AJ126" s="2558">
        <f t="shared" si="163"/>
        <v>0</v>
      </c>
      <c r="AK126" s="2558">
        <f>+AK127</f>
        <v>0</v>
      </c>
      <c r="AL126" s="2558">
        <f t="shared" si="163"/>
        <v>0</v>
      </c>
      <c r="AM126" s="2558">
        <f t="shared" si="75"/>
        <v>0</v>
      </c>
      <c r="AN126" s="2558">
        <f t="shared" si="163"/>
        <v>0</v>
      </c>
      <c r="AO126" s="2558">
        <f t="shared" si="95"/>
        <v>45.19</v>
      </c>
      <c r="AP126" s="2558">
        <f t="shared" si="163"/>
        <v>0</v>
      </c>
      <c r="AQ126" s="2558">
        <f>+AQ127</f>
        <v>0</v>
      </c>
      <c r="AR126" s="2558">
        <f t="shared" si="163"/>
        <v>0</v>
      </c>
      <c r="AS126" s="2558">
        <f t="shared" si="163"/>
        <v>45.19</v>
      </c>
      <c r="AT126" s="2558">
        <f t="shared" si="163"/>
        <v>0</v>
      </c>
      <c r="AU126" s="2558">
        <f>+AU127</f>
        <v>0</v>
      </c>
      <c r="AV126" s="2558">
        <f t="shared" si="163"/>
        <v>0</v>
      </c>
      <c r="AW126" s="2558">
        <f t="shared" si="163"/>
        <v>45.19</v>
      </c>
      <c r="AX126" s="2558">
        <f t="shared" si="163"/>
        <v>0</v>
      </c>
      <c r="AY126" s="2558">
        <f>+AY127</f>
        <v>0</v>
      </c>
      <c r="AZ126" s="2558">
        <f t="shared" si="163"/>
        <v>0</v>
      </c>
      <c r="BA126" s="2558">
        <f t="shared" si="68"/>
        <v>0</v>
      </c>
      <c r="BB126" s="2558">
        <f t="shared" si="163"/>
        <v>0</v>
      </c>
      <c r="BC126" s="2550">
        <f t="shared" si="70"/>
        <v>0</v>
      </c>
      <c r="BD126" s="2558">
        <f t="shared" si="163"/>
        <v>0</v>
      </c>
      <c r="BE126" s="2397">
        <f t="shared" si="163"/>
        <v>45.19</v>
      </c>
      <c r="BF126" s="1202"/>
      <c r="BH126" s="26"/>
      <c r="BI126" s="26"/>
    </row>
    <row r="127" spans="1:61" x14ac:dyDescent="0.3">
      <c r="B127" s="8" t="s">
        <v>875</v>
      </c>
      <c r="C127" s="2546" t="s">
        <v>354</v>
      </c>
      <c r="D127" s="2561"/>
      <c r="E127" s="2561">
        <v>10.34</v>
      </c>
      <c r="F127" s="2561"/>
      <c r="G127" s="2561"/>
      <c r="H127" s="2562"/>
      <c r="I127" s="2562">
        <f t="shared" si="144"/>
        <v>10.34</v>
      </c>
      <c r="J127" s="2561"/>
      <c r="K127" s="2561">
        <v>10.38</v>
      </c>
      <c r="L127" s="2561"/>
      <c r="M127" s="2563">
        <f t="shared" si="145"/>
        <v>20.72</v>
      </c>
      <c r="N127" s="2561"/>
      <c r="O127" s="2561">
        <v>10.34</v>
      </c>
      <c r="P127" s="2561"/>
      <c r="Q127" s="1630">
        <f t="shared" si="61"/>
        <v>31.06</v>
      </c>
      <c r="R127" s="2561"/>
      <c r="S127" s="2561">
        <v>14.13</v>
      </c>
      <c r="T127" s="2561"/>
      <c r="U127" s="1630">
        <f t="shared" si="146"/>
        <v>45.19</v>
      </c>
      <c r="V127" s="2561"/>
      <c r="W127" s="2561"/>
      <c r="X127" s="2561"/>
      <c r="Y127" s="2563">
        <f t="shared" si="69"/>
        <v>24.47</v>
      </c>
      <c r="Z127" s="2561"/>
      <c r="AA127" s="2550">
        <f t="shared" si="66"/>
        <v>45.19</v>
      </c>
      <c r="AB127" s="2561"/>
      <c r="AC127" s="2561"/>
      <c r="AD127" s="2561"/>
      <c r="AE127" s="2549">
        <f t="shared" si="147"/>
        <v>45.19</v>
      </c>
      <c r="AF127" s="2561"/>
      <c r="AG127" s="2561"/>
      <c r="AH127" s="2561"/>
      <c r="AI127" s="2549">
        <f t="shared" si="171"/>
        <v>45.19</v>
      </c>
      <c r="AJ127" s="2561"/>
      <c r="AK127" s="2561"/>
      <c r="AL127" s="2561"/>
      <c r="AM127" s="2563">
        <f t="shared" si="75"/>
        <v>0</v>
      </c>
      <c r="AN127" s="2561"/>
      <c r="AO127" s="2549">
        <f t="shared" si="95"/>
        <v>45.19</v>
      </c>
      <c r="AP127" s="2561"/>
      <c r="AQ127" s="2561"/>
      <c r="AR127" s="2561"/>
      <c r="AS127" s="2549">
        <f t="shared" si="167"/>
        <v>45.19</v>
      </c>
      <c r="AT127" s="2561"/>
      <c r="AU127" s="2561"/>
      <c r="AV127" s="2561"/>
      <c r="AW127" s="2549">
        <f t="shared" si="168"/>
        <v>45.19</v>
      </c>
      <c r="AX127" s="2561"/>
      <c r="AY127" s="2561"/>
      <c r="AZ127" s="2561"/>
      <c r="BA127" s="2563">
        <f t="shared" si="68"/>
        <v>0</v>
      </c>
      <c r="BB127" s="2561"/>
      <c r="BC127" s="2550">
        <f t="shared" si="70"/>
        <v>0</v>
      </c>
      <c r="BD127" s="2561"/>
      <c r="BE127" s="179">
        <f t="shared" ref="BE127:BE129" si="172">+AW127+AY127</f>
        <v>45.19</v>
      </c>
      <c r="BF127" s="1202"/>
      <c r="BH127" s="26"/>
      <c r="BI127" s="26"/>
    </row>
    <row r="128" spans="1:61" x14ac:dyDescent="0.3">
      <c r="B128" s="736" t="s">
        <v>672</v>
      </c>
      <c r="C128" s="2546" t="s">
        <v>354</v>
      </c>
      <c r="D128" s="2558"/>
      <c r="E128" s="2558">
        <f>+E129</f>
        <v>0</v>
      </c>
      <c r="F128" s="2558">
        <f t="shared" si="163"/>
        <v>0</v>
      </c>
      <c r="G128" s="2558">
        <f>+G129</f>
        <v>21.759999999999998</v>
      </c>
      <c r="H128" s="2558"/>
      <c r="I128" s="2558">
        <f t="shared" si="144"/>
        <v>21.759999999999998</v>
      </c>
      <c r="J128" s="2558"/>
      <c r="K128" s="2558">
        <f>+K129</f>
        <v>10.97</v>
      </c>
      <c r="L128" s="2558"/>
      <c r="M128" s="2558">
        <f>+M129</f>
        <v>32.729999999999997</v>
      </c>
      <c r="N128" s="2558"/>
      <c r="O128" s="2558">
        <f>+O129</f>
        <v>0</v>
      </c>
      <c r="P128" s="2558"/>
      <c r="Q128" s="1630">
        <f t="shared" si="61"/>
        <v>32.729999999999997</v>
      </c>
      <c r="R128" s="2558"/>
      <c r="S128" s="2558">
        <f>+S129</f>
        <v>8.2799999999999994</v>
      </c>
      <c r="T128" s="2558"/>
      <c r="U128" s="1630">
        <f t="shared" si="146"/>
        <v>41.01</v>
      </c>
      <c r="V128" s="2558"/>
      <c r="W128" s="2558">
        <f>+W129</f>
        <v>0</v>
      </c>
      <c r="X128" s="2558"/>
      <c r="Y128" s="2563">
        <f t="shared" ref="Y128:Y129" si="173">+O128+S128+W128</f>
        <v>8.2799999999999994</v>
      </c>
      <c r="Z128" s="2561"/>
      <c r="AA128" s="2550">
        <f t="shared" ref="AA128:AA129" si="174">M128+Y128</f>
        <v>41.01</v>
      </c>
      <c r="AB128" s="2558"/>
      <c r="AC128" s="2558">
        <f>+AC129</f>
        <v>0</v>
      </c>
      <c r="AD128" s="2558"/>
      <c r="AE128" s="2558">
        <f t="shared" si="147"/>
        <v>41.01</v>
      </c>
      <c r="AF128" s="2558"/>
      <c r="AG128" s="2558">
        <f>+AG129</f>
        <v>0</v>
      </c>
      <c r="AH128" s="2558"/>
      <c r="AI128" s="2558">
        <f t="shared" si="171"/>
        <v>41.01</v>
      </c>
      <c r="AJ128" s="2558"/>
      <c r="AK128" s="2558">
        <f>+AK129</f>
        <v>12.45</v>
      </c>
      <c r="AL128" s="2558"/>
      <c r="AM128" s="2558">
        <f t="shared" ref="AM128:AM129" si="175">+AC128+AG128+AK128</f>
        <v>12.45</v>
      </c>
      <c r="AN128" s="2558">
        <f t="shared" si="163"/>
        <v>0</v>
      </c>
      <c r="AO128" s="2558">
        <f t="shared" ref="AO128:AO129" si="176">AI128+AK128</f>
        <v>53.459999999999994</v>
      </c>
      <c r="AP128" s="2558"/>
      <c r="AQ128" s="2558">
        <f>+AQ129</f>
        <v>0</v>
      </c>
      <c r="AR128" s="2558"/>
      <c r="AS128" s="2558"/>
      <c r="AT128" s="2558"/>
      <c r="AU128" s="2558">
        <f>+AU129</f>
        <v>12.16</v>
      </c>
      <c r="AV128" s="2558"/>
      <c r="AW128" s="2558">
        <f>AW129</f>
        <v>65.61999999999999</v>
      </c>
      <c r="AX128" s="2558"/>
      <c r="AY128" s="2558">
        <f>+AY129</f>
        <v>0</v>
      </c>
      <c r="AZ128" s="2558"/>
      <c r="BA128" s="2558">
        <f t="shared" ref="BA128:BA129" si="177">+AQ128+AU128+AY128</f>
        <v>12.16</v>
      </c>
      <c r="BB128" s="2558"/>
      <c r="BC128" s="2550">
        <f t="shared" ref="BC128:BC129" si="178">BA128+AM128</f>
        <v>24.61</v>
      </c>
      <c r="BD128" s="2558"/>
      <c r="BE128" s="2397">
        <f t="shared" si="172"/>
        <v>65.61999999999999</v>
      </c>
      <c r="BF128" s="1202"/>
      <c r="BH128" s="26"/>
      <c r="BI128" s="26"/>
    </row>
    <row r="129" spans="1:61" x14ac:dyDescent="0.3">
      <c r="B129" s="4442" t="s">
        <v>2026</v>
      </c>
      <c r="C129" s="4814" t="s">
        <v>354</v>
      </c>
      <c r="D129" s="4815"/>
      <c r="E129" s="4815"/>
      <c r="F129" s="4815"/>
      <c r="G129" s="4815">
        <v>21.759999999999998</v>
      </c>
      <c r="H129" s="4816"/>
      <c r="I129" s="2562">
        <f t="shared" si="144"/>
        <v>21.759999999999998</v>
      </c>
      <c r="J129" s="4815"/>
      <c r="K129" s="4815">
        <v>10.97</v>
      </c>
      <c r="L129" s="4815"/>
      <c r="M129" s="2563">
        <f t="shared" si="145"/>
        <v>32.729999999999997</v>
      </c>
      <c r="N129" s="4815"/>
      <c r="O129" s="4815"/>
      <c r="P129" s="4815"/>
      <c r="Q129" s="1630">
        <f t="shared" si="61"/>
        <v>32.729999999999997</v>
      </c>
      <c r="R129" s="4815"/>
      <c r="S129" s="4815">
        <v>8.2799999999999994</v>
      </c>
      <c r="T129" s="4815"/>
      <c r="U129" s="1630">
        <f t="shared" si="146"/>
        <v>41.01</v>
      </c>
      <c r="V129" s="4815"/>
      <c r="W129" s="4815"/>
      <c r="X129" s="4815"/>
      <c r="Y129" s="2563">
        <f t="shared" si="173"/>
        <v>8.2799999999999994</v>
      </c>
      <c r="Z129" s="2561"/>
      <c r="AA129" s="2550">
        <f t="shared" si="174"/>
        <v>41.01</v>
      </c>
      <c r="AB129" s="4815"/>
      <c r="AC129" s="4815"/>
      <c r="AD129" s="4815"/>
      <c r="AE129" s="4819">
        <f t="shared" si="147"/>
        <v>41.01</v>
      </c>
      <c r="AF129" s="4815"/>
      <c r="AG129" s="4815"/>
      <c r="AH129" s="4815"/>
      <c r="AI129" s="4819">
        <f t="shared" si="171"/>
        <v>41.01</v>
      </c>
      <c r="AJ129" s="4815"/>
      <c r="AK129" s="4815">
        <v>12.45</v>
      </c>
      <c r="AL129" s="4815"/>
      <c r="AM129" s="4817">
        <f t="shared" si="175"/>
        <v>12.45</v>
      </c>
      <c r="AN129" s="4815">
        <f t="shared" si="163"/>
        <v>0</v>
      </c>
      <c r="AO129" s="4819">
        <f t="shared" si="176"/>
        <v>53.459999999999994</v>
      </c>
      <c r="AP129" s="4815"/>
      <c r="AQ129" s="4815"/>
      <c r="AR129" s="4815"/>
      <c r="AS129" s="4819">
        <f t="shared" si="167"/>
        <v>53.459999999999994</v>
      </c>
      <c r="AT129" s="4815"/>
      <c r="AU129" s="4815">
        <v>12.16</v>
      </c>
      <c r="AV129" s="4815"/>
      <c r="AW129" s="4819">
        <f t="shared" si="168"/>
        <v>65.61999999999999</v>
      </c>
      <c r="AX129" s="4815"/>
      <c r="AY129" s="4815"/>
      <c r="AZ129" s="4815"/>
      <c r="BA129" s="4817">
        <f t="shared" si="177"/>
        <v>12.16</v>
      </c>
      <c r="BB129" s="4815"/>
      <c r="BC129" s="4818">
        <f t="shared" si="178"/>
        <v>24.61</v>
      </c>
      <c r="BD129" s="4815"/>
      <c r="BE129" s="4820">
        <f t="shared" si="172"/>
        <v>65.61999999999999</v>
      </c>
      <c r="BF129" s="1202"/>
      <c r="BH129" s="26"/>
      <c r="BI129" s="26"/>
    </row>
    <row r="130" spans="1:61" x14ac:dyDescent="0.3">
      <c r="B130" s="736" t="s">
        <v>1315</v>
      </c>
      <c r="C130" s="2546" t="s">
        <v>354</v>
      </c>
      <c r="D130" s="2561"/>
      <c r="E130" s="2558">
        <f>+E131</f>
        <v>0</v>
      </c>
      <c r="F130" s="2558">
        <f t="shared" ref="F130:BE130" si="179">+F131</f>
        <v>0</v>
      </c>
      <c r="G130" s="2558">
        <f>+G131</f>
        <v>0</v>
      </c>
      <c r="H130" s="2558">
        <f t="shared" si="179"/>
        <v>0</v>
      </c>
      <c r="I130" s="2558">
        <f t="shared" si="179"/>
        <v>0</v>
      </c>
      <c r="J130" s="2558">
        <f t="shared" si="179"/>
        <v>0</v>
      </c>
      <c r="K130" s="2558">
        <f>+K131</f>
        <v>0</v>
      </c>
      <c r="L130" s="2558">
        <f t="shared" si="179"/>
        <v>0</v>
      </c>
      <c r="M130" s="2558">
        <f t="shared" si="179"/>
        <v>0</v>
      </c>
      <c r="N130" s="2558">
        <f t="shared" si="179"/>
        <v>0</v>
      </c>
      <c r="O130" s="2558">
        <f>+O131</f>
        <v>0</v>
      </c>
      <c r="P130" s="2558">
        <f t="shared" si="179"/>
        <v>0</v>
      </c>
      <c r="Q130" s="1630">
        <f t="shared" si="61"/>
        <v>0</v>
      </c>
      <c r="R130" s="2558">
        <f t="shared" si="179"/>
        <v>0</v>
      </c>
      <c r="S130" s="2558">
        <f>+S131</f>
        <v>0</v>
      </c>
      <c r="T130" s="2558">
        <f t="shared" si="179"/>
        <v>0</v>
      </c>
      <c r="U130" s="1630">
        <f t="shared" si="146"/>
        <v>0</v>
      </c>
      <c r="V130" s="2558">
        <f t="shared" si="179"/>
        <v>0</v>
      </c>
      <c r="W130" s="2558">
        <f>+W131</f>
        <v>0</v>
      </c>
      <c r="X130" s="2558">
        <f t="shared" si="179"/>
        <v>0</v>
      </c>
      <c r="Y130" s="2558">
        <f t="shared" si="69"/>
        <v>0</v>
      </c>
      <c r="Z130" s="2558">
        <f t="shared" si="179"/>
        <v>0</v>
      </c>
      <c r="AA130" s="2550">
        <f t="shared" si="66"/>
        <v>0</v>
      </c>
      <c r="AB130" s="2558">
        <f t="shared" si="179"/>
        <v>0</v>
      </c>
      <c r="AC130" s="2558">
        <f>+AC131</f>
        <v>0</v>
      </c>
      <c r="AD130" s="2558">
        <f t="shared" si="179"/>
        <v>0</v>
      </c>
      <c r="AE130" s="2558">
        <f t="shared" si="179"/>
        <v>0</v>
      </c>
      <c r="AF130" s="2558">
        <f t="shared" si="179"/>
        <v>0</v>
      </c>
      <c r="AG130" s="2558">
        <f>+AG131</f>
        <v>0</v>
      </c>
      <c r="AH130" s="2558">
        <f t="shared" si="179"/>
        <v>0</v>
      </c>
      <c r="AI130" s="2558">
        <f t="shared" si="171"/>
        <v>0</v>
      </c>
      <c r="AJ130" s="2558">
        <f t="shared" si="179"/>
        <v>0</v>
      </c>
      <c r="AK130" s="2558">
        <f>+AK131</f>
        <v>0</v>
      </c>
      <c r="AL130" s="2558">
        <f t="shared" si="179"/>
        <v>0</v>
      </c>
      <c r="AM130" s="2558">
        <f t="shared" si="75"/>
        <v>0</v>
      </c>
      <c r="AN130" s="2558">
        <f t="shared" si="179"/>
        <v>0</v>
      </c>
      <c r="AO130" s="2558">
        <f t="shared" si="95"/>
        <v>0</v>
      </c>
      <c r="AP130" s="2558">
        <f t="shared" si="179"/>
        <v>0</v>
      </c>
      <c r="AQ130" s="2558">
        <f>+AQ131</f>
        <v>0</v>
      </c>
      <c r="AR130" s="2558">
        <f t="shared" si="179"/>
        <v>0</v>
      </c>
      <c r="AS130" s="2558">
        <f t="shared" si="179"/>
        <v>0</v>
      </c>
      <c r="AT130" s="2558">
        <f t="shared" si="179"/>
        <v>0</v>
      </c>
      <c r="AU130" s="2558">
        <f>+AU131</f>
        <v>916.35</v>
      </c>
      <c r="AV130" s="2558">
        <f t="shared" si="179"/>
        <v>0</v>
      </c>
      <c r="AW130" s="2558">
        <f t="shared" si="179"/>
        <v>916.35</v>
      </c>
      <c r="AX130" s="2558">
        <f t="shared" si="179"/>
        <v>0</v>
      </c>
      <c r="AY130" s="2558">
        <f>+AY131</f>
        <v>207.05</v>
      </c>
      <c r="AZ130" s="2558">
        <f t="shared" si="179"/>
        <v>0</v>
      </c>
      <c r="BA130" s="2558">
        <f t="shared" si="68"/>
        <v>1123.4000000000001</v>
      </c>
      <c r="BB130" s="2558">
        <f t="shared" si="179"/>
        <v>0</v>
      </c>
      <c r="BC130" s="2550">
        <f t="shared" si="70"/>
        <v>1123.4000000000001</v>
      </c>
      <c r="BD130" s="2558">
        <f t="shared" si="179"/>
        <v>0</v>
      </c>
      <c r="BE130" s="2397">
        <f t="shared" si="179"/>
        <v>1123.4000000000001</v>
      </c>
      <c r="BF130" s="1202"/>
      <c r="BH130" s="26"/>
      <c r="BI130" s="26"/>
    </row>
    <row r="131" spans="1:61" x14ac:dyDescent="0.3">
      <c r="B131" s="8" t="s">
        <v>1316</v>
      </c>
      <c r="C131" s="2546" t="s">
        <v>354</v>
      </c>
      <c r="D131" s="2561"/>
      <c r="E131" s="2561"/>
      <c r="F131" s="2561"/>
      <c r="G131" s="2561"/>
      <c r="H131" s="2562"/>
      <c r="I131" s="2562">
        <f t="shared" si="144"/>
        <v>0</v>
      </c>
      <c r="J131" s="2561"/>
      <c r="K131" s="2561"/>
      <c r="L131" s="2561"/>
      <c r="M131" s="2563">
        <f t="shared" si="145"/>
        <v>0</v>
      </c>
      <c r="N131" s="2561"/>
      <c r="O131" s="2561"/>
      <c r="P131" s="2561"/>
      <c r="Q131" s="1630">
        <f t="shared" ref="Q131:Q192" si="180">+M131+O131</f>
        <v>0</v>
      </c>
      <c r="R131" s="2561"/>
      <c r="S131" s="2561"/>
      <c r="T131" s="2561"/>
      <c r="U131" s="1630">
        <f t="shared" si="146"/>
        <v>0</v>
      </c>
      <c r="V131" s="2561"/>
      <c r="W131" s="2561"/>
      <c r="X131" s="2561"/>
      <c r="Y131" s="2563">
        <f t="shared" si="69"/>
        <v>0</v>
      </c>
      <c r="Z131" s="2561"/>
      <c r="AA131" s="2550">
        <f t="shared" si="66"/>
        <v>0</v>
      </c>
      <c r="AB131" s="2561"/>
      <c r="AC131" s="2561"/>
      <c r="AD131" s="2561"/>
      <c r="AE131" s="2549">
        <f t="shared" si="147"/>
        <v>0</v>
      </c>
      <c r="AF131" s="2561"/>
      <c r="AG131" s="2561"/>
      <c r="AH131" s="2561"/>
      <c r="AI131" s="2549">
        <f t="shared" si="171"/>
        <v>0</v>
      </c>
      <c r="AJ131" s="2561"/>
      <c r="AK131" s="2561"/>
      <c r="AL131" s="2561"/>
      <c r="AM131" s="2563">
        <f t="shared" si="75"/>
        <v>0</v>
      </c>
      <c r="AN131" s="2561"/>
      <c r="AO131" s="2549">
        <f t="shared" si="95"/>
        <v>0</v>
      </c>
      <c r="AP131" s="2561"/>
      <c r="AQ131" s="2561"/>
      <c r="AR131" s="2561"/>
      <c r="AS131" s="2549">
        <f t="shared" ref="AS131:AS132" si="181">+AO131+AQ131</f>
        <v>0</v>
      </c>
      <c r="AT131" s="2561"/>
      <c r="AU131" s="2561">
        <v>916.35</v>
      </c>
      <c r="AV131" s="2561"/>
      <c r="AW131" s="2549">
        <f t="shared" ref="AW131:AW132" si="182">+AS131+AU131</f>
        <v>916.35</v>
      </c>
      <c r="AX131" s="2561"/>
      <c r="AY131" s="2561">
        <v>207.05</v>
      </c>
      <c r="AZ131" s="2561"/>
      <c r="BA131" s="2563">
        <f t="shared" si="68"/>
        <v>1123.4000000000001</v>
      </c>
      <c r="BB131" s="2561"/>
      <c r="BC131" s="2550">
        <f t="shared" si="70"/>
        <v>1123.4000000000001</v>
      </c>
      <c r="BD131" s="2561"/>
      <c r="BE131" s="179">
        <f t="shared" ref="BE131:BE132" si="183">+AW131+AY131</f>
        <v>1123.4000000000001</v>
      </c>
      <c r="BF131" s="1202"/>
      <c r="BH131" s="26"/>
      <c r="BI131" s="26"/>
    </row>
    <row r="132" spans="1:61" ht="16.2" thickBot="1" x14ac:dyDescent="0.35">
      <c r="A132" s="146"/>
      <c r="B132" s="736" t="s">
        <v>1076</v>
      </c>
      <c r="C132" s="2546" t="s">
        <v>354</v>
      </c>
      <c r="D132" s="2561"/>
      <c r="E132" s="2564"/>
      <c r="F132" s="2564"/>
      <c r="G132" s="2564">
        <v>8.7800000000000011</v>
      </c>
      <c r="H132" s="2564"/>
      <c r="I132" s="2564">
        <f t="shared" si="144"/>
        <v>8.7800000000000011</v>
      </c>
      <c r="J132" s="2564"/>
      <c r="K132" s="2564"/>
      <c r="L132" s="2564"/>
      <c r="M132" s="2565">
        <f t="shared" si="145"/>
        <v>8.7800000000000011</v>
      </c>
      <c r="N132" s="2564"/>
      <c r="O132" s="2564"/>
      <c r="P132" s="2564"/>
      <c r="Q132" s="1630">
        <f t="shared" si="180"/>
        <v>8.7800000000000011</v>
      </c>
      <c r="R132" s="2564"/>
      <c r="S132" s="2564">
        <v>7.29</v>
      </c>
      <c r="T132" s="2564"/>
      <c r="U132" s="1630">
        <f t="shared" si="146"/>
        <v>16.07</v>
      </c>
      <c r="V132" s="2564"/>
      <c r="W132" s="2564">
        <v>7.8</v>
      </c>
      <c r="X132" s="2564"/>
      <c r="Y132" s="2565">
        <f t="shared" si="69"/>
        <v>15.09</v>
      </c>
      <c r="Z132" s="2564"/>
      <c r="AA132" s="2566">
        <f t="shared" si="66"/>
        <v>23.87</v>
      </c>
      <c r="AB132" s="2564"/>
      <c r="AC132" s="2564"/>
      <c r="AD132" s="2564"/>
      <c r="AE132" s="2564">
        <f t="shared" si="147"/>
        <v>23.87</v>
      </c>
      <c r="AF132" s="2564"/>
      <c r="AG132" s="2564"/>
      <c r="AH132" s="2564"/>
      <c r="AI132" s="2564">
        <f t="shared" si="171"/>
        <v>23.87</v>
      </c>
      <c r="AJ132" s="2564"/>
      <c r="AK132" s="2564">
        <v>14.73</v>
      </c>
      <c r="AL132" s="2564"/>
      <c r="AM132" s="2565">
        <f t="shared" si="75"/>
        <v>14.73</v>
      </c>
      <c r="AN132" s="2564"/>
      <c r="AO132" s="2564">
        <f t="shared" si="95"/>
        <v>38.6</v>
      </c>
      <c r="AP132" s="2564"/>
      <c r="AQ132" s="2564">
        <v>34.56</v>
      </c>
      <c r="AR132" s="2564"/>
      <c r="AS132" s="2564">
        <f t="shared" si="181"/>
        <v>73.16</v>
      </c>
      <c r="AT132" s="2564"/>
      <c r="AU132" s="2564"/>
      <c r="AV132" s="2564"/>
      <c r="AW132" s="2564">
        <f t="shared" si="182"/>
        <v>73.16</v>
      </c>
      <c r="AX132" s="2564"/>
      <c r="AY132" s="2564"/>
      <c r="AZ132" s="2564"/>
      <c r="BA132" s="2565">
        <f t="shared" si="68"/>
        <v>34.56</v>
      </c>
      <c r="BB132" s="2564"/>
      <c r="BC132" s="2566">
        <f t="shared" si="70"/>
        <v>49.290000000000006</v>
      </c>
      <c r="BD132" s="2564"/>
      <c r="BE132" s="2567">
        <f t="shared" si="183"/>
        <v>73.16</v>
      </c>
      <c r="BF132" s="1202"/>
      <c r="BH132" s="26"/>
      <c r="BI132" s="26"/>
    </row>
    <row r="133" spans="1:61" ht="25.2" thickBot="1" x14ac:dyDescent="0.35">
      <c r="A133" s="146"/>
      <c r="B133" s="6006" t="s">
        <v>1079</v>
      </c>
      <c r="C133" s="6007"/>
      <c r="D133" s="1338"/>
      <c r="E133" s="1338">
        <f>+E118+E122+E126+E130+E132+E128+E125</f>
        <v>10.34</v>
      </c>
      <c r="F133" s="1338">
        <f t="shared" ref="F133:H133" si="184">+F118+F122+F126+F130+F132</f>
        <v>0</v>
      </c>
      <c r="G133" s="1338">
        <f>+G118+G122+G126+G130+G132+G128+G125</f>
        <v>30.54</v>
      </c>
      <c r="H133" s="1338">
        <f t="shared" si="184"/>
        <v>0</v>
      </c>
      <c r="I133" s="1338">
        <f>+I118+I122+I126+I130+I132+I128+I125</f>
        <v>40.879999999999995</v>
      </c>
      <c r="J133" s="1338">
        <f t="shared" ref="J133:AL133" si="185">+J118+J122+J126+J130+J132+J128</f>
        <v>0</v>
      </c>
      <c r="K133" s="1338">
        <f>+K118+K122+K126+K130+K132+K128+K125</f>
        <v>2521.35</v>
      </c>
      <c r="L133" s="1338">
        <f t="shared" si="185"/>
        <v>0</v>
      </c>
      <c r="M133" s="1338">
        <f>+M118+M122+M126+M130+M132+M128+M125</f>
        <v>2562.23</v>
      </c>
      <c r="N133" s="1338">
        <f t="shared" si="185"/>
        <v>0</v>
      </c>
      <c r="O133" s="1338">
        <f>+O118+O122+O126+O130+O132+O128+O125</f>
        <v>7440.34</v>
      </c>
      <c r="P133" s="1338">
        <f t="shared" si="185"/>
        <v>0</v>
      </c>
      <c r="Q133" s="1630">
        <f t="shared" si="180"/>
        <v>10002.57</v>
      </c>
      <c r="R133" s="1338">
        <f t="shared" si="185"/>
        <v>0</v>
      </c>
      <c r="S133" s="1338">
        <f>+S118+S122+S126+S130+S132+S128+S125</f>
        <v>2099.6999999999998</v>
      </c>
      <c r="T133" s="1338">
        <f t="shared" si="185"/>
        <v>0</v>
      </c>
      <c r="U133" s="1630">
        <f t="shared" si="146"/>
        <v>12102.27</v>
      </c>
      <c r="V133" s="1338">
        <f t="shared" si="185"/>
        <v>0</v>
      </c>
      <c r="W133" s="1338">
        <f>+W118+W122+W126+W130+W132+W128+W125</f>
        <v>7.8</v>
      </c>
      <c r="X133" s="1338">
        <f t="shared" si="185"/>
        <v>0</v>
      </c>
      <c r="Y133" s="1338">
        <f t="shared" ref="Y133" si="186">+O133+S133+W133</f>
        <v>9547.84</v>
      </c>
      <c r="Z133" s="1338"/>
      <c r="AA133" s="1338">
        <f t="shared" ref="AA133" si="187">M133+Y133</f>
        <v>12110.07</v>
      </c>
      <c r="AB133" s="1338">
        <f t="shared" si="185"/>
        <v>0</v>
      </c>
      <c r="AC133" s="1338">
        <f>+AC118+AC122+AC126+AC130+AC132+AC128+AC125</f>
        <v>0</v>
      </c>
      <c r="AD133" s="1338">
        <f t="shared" si="185"/>
        <v>0</v>
      </c>
      <c r="AE133" s="1338">
        <f t="shared" si="147"/>
        <v>12110.07</v>
      </c>
      <c r="AF133" s="1338">
        <f t="shared" si="185"/>
        <v>0</v>
      </c>
      <c r="AG133" s="1338">
        <f>+AG118+AG122+AG126+AG130+AG132+AG128+AG125</f>
        <v>0</v>
      </c>
      <c r="AH133" s="1338">
        <f t="shared" si="185"/>
        <v>0</v>
      </c>
      <c r="AI133" s="1338">
        <f t="shared" si="171"/>
        <v>12110.07</v>
      </c>
      <c r="AJ133" s="1338">
        <f t="shared" si="185"/>
        <v>0</v>
      </c>
      <c r="AK133" s="1338">
        <f>+AK118+AK122+AK126+AK130+AK132+AK128+AK125</f>
        <v>1527.18</v>
      </c>
      <c r="AL133" s="1338">
        <f t="shared" si="185"/>
        <v>0</v>
      </c>
      <c r="AM133" s="1338">
        <f t="shared" ref="AM133:BE133" si="188">+AM118+AM122+AM126+AM130+AM132+AM128+AM125</f>
        <v>1527.18</v>
      </c>
      <c r="AN133" s="1338">
        <f t="shared" si="188"/>
        <v>0</v>
      </c>
      <c r="AO133" s="1338">
        <f t="shared" si="188"/>
        <v>13637.25</v>
      </c>
      <c r="AP133" s="1338">
        <f t="shared" ref="AP133" si="189">+AP118+AP122+AP126+AP130+AP132+AP128</f>
        <v>0</v>
      </c>
      <c r="AQ133" s="1338">
        <f>+AQ118+AQ122+AQ126+AQ130+AQ132+AQ128+AQ125</f>
        <v>34.56</v>
      </c>
      <c r="AR133" s="1338">
        <f t="shared" si="188"/>
        <v>0</v>
      </c>
      <c r="AS133" s="1338">
        <f t="shared" si="188"/>
        <v>13618.35</v>
      </c>
      <c r="AT133" s="1338">
        <f t="shared" si="188"/>
        <v>0</v>
      </c>
      <c r="AU133" s="1338">
        <f>+AU118+AU122+AU126+AU130+AU132+AU128+AU125</f>
        <v>928.51</v>
      </c>
      <c r="AV133" s="1338">
        <f t="shared" si="188"/>
        <v>0</v>
      </c>
      <c r="AW133" s="1338">
        <f t="shared" si="188"/>
        <v>14600.32</v>
      </c>
      <c r="AX133" s="1338">
        <f t="shared" ref="AX133" si="190">+AX118+AX122+AX126+AX130+AX132+AX128+AX125</f>
        <v>0</v>
      </c>
      <c r="AY133" s="1338">
        <f>+AY118+AY122+AY126+AY130+AY132+AY128+AY125</f>
        <v>207.05</v>
      </c>
      <c r="AZ133" s="1338">
        <f t="shared" si="188"/>
        <v>0</v>
      </c>
      <c r="BA133" s="1338">
        <f t="shared" si="188"/>
        <v>1170.1200000000001</v>
      </c>
      <c r="BB133" s="1338">
        <f t="shared" si="188"/>
        <v>0</v>
      </c>
      <c r="BC133" s="1338">
        <f t="shared" si="188"/>
        <v>2697.3</v>
      </c>
      <c r="BD133" s="1338">
        <f t="shared" si="188"/>
        <v>0</v>
      </c>
      <c r="BE133" s="1338">
        <f t="shared" si="188"/>
        <v>14807.37</v>
      </c>
      <c r="BF133" s="1202"/>
      <c r="BH133" s="26"/>
      <c r="BI133" s="26"/>
    </row>
    <row r="134" spans="1:61" ht="21" thickBot="1" x14ac:dyDescent="0.35">
      <c r="A134" s="14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114"/>
      <c r="P134" s="26"/>
      <c r="Q134" s="1694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1202"/>
      <c r="BH134" s="26"/>
      <c r="BI134" s="26"/>
    </row>
    <row r="135" spans="1:61" ht="25.2" thickBot="1" x14ac:dyDescent="0.35">
      <c r="B135" s="6004" t="s">
        <v>1101</v>
      </c>
      <c r="C135" s="6005"/>
      <c r="D135" s="3204"/>
      <c r="E135" s="1101"/>
      <c r="F135" s="3204"/>
      <c r="G135" s="1101"/>
      <c r="H135" s="3205"/>
      <c r="I135" s="3206"/>
      <c r="J135" s="1692"/>
      <c r="K135" s="1101"/>
      <c r="L135" s="591"/>
      <c r="N135" s="591"/>
      <c r="O135" s="5610"/>
      <c r="P135" s="591"/>
      <c r="Q135" s="1694"/>
      <c r="R135" s="591"/>
      <c r="S135" s="1101"/>
      <c r="U135" s="3206"/>
      <c r="V135" s="591"/>
      <c r="W135" s="1101"/>
      <c r="X135" s="591"/>
      <c r="Z135" s="32"/>
      <c r="AA135" s="32"/>
      <c r="AB135" s="591"/>
      <c r="AC135" s="1101"/>
      <c r="AF135" s="591"/>
      <c r="AG135" s="1101"/>
      <c r="AJ135" s="591"/>
      <c r="AK135" s="1101"/>
      <c r="AL135" s="591"/>
      <c r="AM135" s="149"/>
      <c r="AP135" s="591"/>
      <c r="AQ135" s="1101"/>
      <c r="AT135" s="591"/>
      <c r="AU135" s="1101"/>
      <c r="AW135"/>
      <c r="AX135" s="591"/>
      <c r="AY135" s="1101"/>
      <c r="AZ135" s="32"/>
      <c r="BA135" s="149"/>
      <c r="BB135" s="32"/>
      <c r="BC135" s="32"/>
      <c r="BD135" s="32"/>
      <c r="BE135" s="32"/>
      <c r="BF135" s="1202"/>
      <c r="BH135" s="26"/>
      <c r="BI135" s="26"/>
    </row>
    <row r="136" spans="1:61" ht="22.8" x14ac:dyDescent="0.3">
      <c r="B136" s="1103" t="s">
        <v>690</v>
      </c>
      <c r="C136" s="365"/>
      <c r="D136" s="3119"/>
      <c r="E136" s="2687"/>
      <c r="F136" s="2687"/>
      <c r="G136" s="2687"/>
      <c r="H136" s="3207"/>
      <c r="I136" s="3208"/>
      <c r="J136" s="3196"/>
      <c r="K136" s="2687"/>
      <c r="L136" s="398"/>
      <c r="M136" s="2202"/>
      <c r="N136" s="398"/>
      <c r="O136" s="2687"/>
      <c r="P136" s="398"/>
      <c r="Q136" s="2553">
        <f t="shared" si="180"/>
        <v>0</v>
      </c>
      <c r="R136" s="398"/>
      <c r="S136" s="2687"/>
      <c r="T136" s="591"/>
      <c r="U136" s="3208"/>
      <c r="V136" s="398"/>
      <c r="W136" s="2687"/>
      <c r="X136" s="398"/>
      <c r="Y136" s="2202"/>
      <c r="Z136" s="398"/>
      <c r="AA136" s="517"/>
      <c r="AB136" s="398"/>
      <c r="AC136" s="2687"/>
      <c r="AD136" s="591"/>
      <c r="AE136" s="591"/>
      <c r="AF136" s="398"/>
      <c r="AG136" s="2687"/>
      <c r="AH136" s="591"/>
      <c r="AI136" s="591"/>
      <c r="AJ136" s="398"/>
      <c r="AK136" s="2687"/>
      <c r="AL136" s="398"/>
      <c r="AM136" s="2202"/>
      <c r="AN136" s="591"/>
      <c r="AO136" s="591"/>
      <c r="AP136" s="398"/>
      <c r="AQ136" s="2687"/>
      <c r="AR136" s="591"/>
      <c r="AS136" s="591"/>
      <c r="AT136" s="398"/>
      <c r="AU136" s="2687"/>
      <c r="AV136" s="591"/>
      <c r="AW136" s="591"/>
      <c r="AX136" s="398"/>
      <c r="AY136" s="2687"/>
      <c r="AZ136" s="398"/>
      <c r="BA136" s="2202">
        <f t="shared" si="68"/>
        <v>0</v>
      </c>
      <c r="BB136" s="398"/>
      <c r="BC136" s="517"/>
      <c r="BD136" s="591"/>
      <c r="BE136" s="1121"/>
      <c r="BF136" s="1202"/>
      <c r="BH136" s="26"/>
      <c r="BI136" s="26"/>
    </row>
    <row r="137" spans="1:61" ht="18.75" hidden="1" customHeight="1" x14ac:dyDescent="0.3">
      <c r="B137" s="1699" t="s">
        <v>1294</v>
      </c>
      <c r="C137" s="2546" t="s">
        <v>354</v>
      </c>
      <c r="D137" s="3209"/>
      <c r="E137" s="2561"/>
      <c r="F137" s="2561"/>
      <c r="G137" s="2561"/>
      <c r="H137" s="2562"/>
      <c r="I137" s="3210">
        <f t="shared" si="144"/>
        <v>0</v>
      </c>
      <c r="J137" s="3197"/>
      <c r="K137" s="2561"/>
      <c r="L137" s="592"/>
      <c r="M137" s="1135">
        <f t="shared" ref="M137:M170" si="191">+E137+G137+K137</f>
        <v>0</v>
      </c>
      <c r="N137" s="592"/>
      <c r="O137" s="2561"/>
      <c r="P137" s="592"/>
      <c r="Q137" s="1630">
        <f t="shared" si="180"/>
        <v>0</v>
      </c>
      <c r="R137" s="592"/>
      <c r="S137" s="2561"/>
      <c r="T137" s="398"/>
      <c r="U137" s="3210">
        <f t="shared" si="146"/>
        <v>0</v>
      </c>
      <c r="V137" s="592"/>
      <c r="W137" s="2561"/>
      <c r="X137" s="592"/>
      <c r="Y137" s="1135">
        <f t="shared" si="69"/>
        <v>0</v>
      </c>
      <c r="Z137" s="592"/>
      <c r="AA137" s="517">
        <f t="shared" si="66"/>
        <v>0</v>
      </c>
      <c r="AB137" s="592"/>
      <c r="AC137" s="2561"/>
      <c r="AD137" s="398"/>
      <c r="AE137" s="582">
        <f t="shared" ref="AE137:AE156" si="192">+AA137+AC137</f>
        <v>0</v>
      </c>
      <c r="AF137" s="592"/>
      <c r="AG137" s="2561"/>
      <c r="AH137" s="398"/>
      <c r="AI137" s="582">
        <f t="shared" ref="AI137:AI171" si="193">+AE137+AG137</f>
        <v>0</v>
      </c>
      <c r="AJ137" s="592"/>
      <c r="AK137" s="2561"/>
      <c r="AL137" s="592"/>
      <c r="AM137" s="1135">
        <f t="shared" si="75"/>
        <v>0</v>
      </c>
      <c r="AN137" s="398"/>
      <c r="AO137" s="582">
        <f t="shared" si="95"/>
        <v>0</v>
      </c>
      <c r="AP137" s="592"/>
      <c r="AQ137" s="2561"/>
      <c r="AR137" s="398"/>
      <c r="AS137" s="582">
        <f t="shared" ref="AS137:AS159" si="194">+AO137+AQ137</f>
        <v>0</v>
      </c>
      <c r="AT137" s="592"/>
      <c r="AU137" s="2561"/>
      <c r="AV137" s="398"/>
      <c r="AW137" s="582">
        <f t="shared" ref="AW137:AW170" si="195">+AS137+AU137</f>
        <v>0</v>
      </c>
      <c r="AX137" s="592"/>
      <c r="AY137" s="2561"/>
      <c r="AZ137" s="592"/>
      <c r="BA137" s="1135">
        <f t="shared" si="68"/>
        <v>0</v>
      </c>
      <c r="BB137" s="592"/>
      <c r="BC137" s="517">
        <f t="shared" si="70"/>
        <v>0</v>
      </c>
      <c r="BD137" s="398"/>
      <c r="BE137" s="251">
        <f t="shared" ref="BE137:BE149" si="196">+AW137+AY137</f>
        <v>0</v>
      </c>
      <c r="BF137" s="1202"/>
      <c r="BH137" s="26"/>
      <c r="BI137" s="26"/>
    </row>
    <row r="138" spans="1:61" ht="15.75" hidden="1" customHeight="1" x14ac:dyDescent="0.3">
      <c r="B138" s="1699" t="s">
        <v>1365</v>
      </c>
      <c r="C138" s="2546" t="s">
        <v>354</v>
      </c>
      <c r="D138" s="3209"/>
      <c r="E138" s="2561"/>
      <c r="F138" s="2561"/>
      <c r="G138" s="2561"/>
      <c r="H138" s="2562"/>
      <c r="I138" s="3210">
        <f t="shared" si="144"/>
        <v>0</v>
      </c>
      <c r="J138" s="3197"/>
      <c r="K138" s="2561"/>
      <c r="L138" s="592"/>
      <c r="M138" s="1135">
        <f t="shared" si="191"/>
        <v>0</v>
      </c>
      <c r="N138" s="592"/>
      <c r="O138" s="2561"/>
      <c r="P138" s="592"/>
      <c r="Q138" s="1630">
        <f t="shared" si="180"/>
        <v>0</v>
      </c>
      <c r="R138" s="592"/>
      <c r="S138" s="2561"/>
      <c r="T138" s="592"/>
      <c r="U138" s="3210">
        <f t="shared" si="146"/>
        <v>0</v>
      </c>
      <c r="V138" s="592"/>
      <c r="W138" s="2561"/>
      <c r="X138" s="592"/>
      <c r="Y138" s="1135">
        <f t="shared" ref="Y138:Y192" si="197">+O138+S138+W138</f>
        <v>0</v>
      </c>
      <c r="Z138" s="592"/>
      <c r="AA138" s="517">
        <f t="shared" ref="AA138:AA192" si="198">M138+Y138</f>
        <v>0</v>
      </c>
      <c r="AB138" s="592"/>
      <c r="AC138" s="2561"/>
      <c r="AD138" s="592"/>
      <c r="AE138" s="582">
        <f t="shared" si="192"/>
        <v>0</v>
      </c>
      <c r="AF138" s="592"/>
      <c r="AG138" s="2561"/>
      <c r="AH138" s="592"/>
      <c r="AI138" s="582">
        <f t="shared" si="193"/>
        <v>0</v>
      </c>
      <c r="AJ138" s="592"/>
      <c r="AK138" s="2561"/>
      <c r="AL138" s="592"/>
      <c r="AM138" s="1135">
        <f t="shared" ref="AM138:AM175" si="199">+AC138+AG138+AK138</f>
        <v>0</v>
      </c>
      <c r="AN138" s="592"/>
      <c r="AO138" s="582">
        <f t="shared" si="95"/>
        <v>0</v>
      </c>
      <c r="AP138" s="592"/>
      <c r="AQ138" s="2561"/>
      <c r="AR138" s="592"/>
      <c r="AS138" s="582">
        <f t="shared" si="194"/>
        <v>0</v>
      </c>
      <c r="AT138" s="592"/>
      <c r="AU138" s="2561"/>
      <c r="AV138" s="592"/>
      <c r="AW138" s="582">
        <f t="shared" si="195"/>
        <v>0</v>
      </c>
      <c r="AX138" s="592"/>
      <c r="AY138" s="2561"/>
      <c r="AZ138" s="592"/>
      <c r="BA138" s="1135">
        <f t="shared" ref="BA138:BA175" si="200">+AQ138+AU138+AY138</f>
        <v>0</v>
      </c>
      <c r="BB138" s="592"/>
      <c r="BC138" s="517">
        <f t="shared" si="70"/>
        <v>0</v>
      </c>
      <c r="BD138" s="592"/>
      <c r="BE138" s="251">
        <f t="shared" si="196"/>
        <v>0</v>
      </c>
      <c r="BF138" s="1202"/>
      <c r="BH138" s="26"/>
      <c r="BI138" s="26"/>
    </row>
    <row r="139" spans="1:61" ht="15.75" hidden="1" customHeight="1" x14ac:dyDescent="0.3">
      <c r="B139" s="1699" t="s">
        <v>1411</v>
      </c>
      <c r="C139" s="2546" t="s">
        <v>354</v>
      </c>
      <c r="D139" s="3209"/>
      <c r="E139" s="2561"/>
      <c r="F139" s="2561"/>
      <c r="G139" s="2561"/>
      <c r="H139" s="2562"/>
      <c r="I139" s="3210">
        <f t="shared" si="144"/>
        <v>0</v>
      </c>
      <c r="J139" s="3197"/>
      <c r="K139" s="2561"/>
      <c r="L139" s="592"/>
      <c r="M139" s="1135">
        <f t="shared" si="191"/>
        <v>0</v>
      </c>
      <c r="N139" s="592"/>
      <c r="O139" s="2561"/>
      <c r="P139" s="592"/>
      <c r="Q139" s="1630">
        <f t="shared" si="180"/>
        <v>0</v>
      </c>
      <c r="R139" s="592"/>
      <c r="S139" s="2561"/>
      <c r="T139" s="592"/>
      <c r="U139" s="3210">
        <f t="shared" si="146"/>
        <v>0</v>
      </c>
      <c r="V139" s="592"/>
      <c r="W139" s="2561"/>
      <c r="X139" s="592"/>
      <c r="Y139" s="1135">
        <f t="shared" si="197"/>
        <v>0</v>
      </c>
      <c r="Z139" s="592"/>
      <c r="AA139" s="517">
        <f t="shared" si="198"/>
        <v>0</v>
      </c>
      <c r="AB139" s="592"/>
      <c r="AC139" s="2561"/>
      <c r="AD139" s="592"/>
      <c r="AE139" s="582">
        <f t="shared" si="192"/>
        <v>0</v>
      </c>
      <c r="AF139" s="592"/>
      <c r="AG139" s="2561"/>
      <c r="AH139" s="592"/>
      <c r="AI139" s="582">
        <f t="shared" si="193"/>
        <v>0</v>
      </c>
      <c r="AJ139" s="592"/>
      <c r="AK139" s="2561"/>
      <c r="AL139" s="592"/>
      <c r="AM139" s="1135">
        <f t="shared" si="199"/>
        <v>0</v>
      </c>
      <c r="AN139" s="592"/>
      <c r="AO139" s="582">
        <f t="shared" si="95"/>
        <v>0</v>
      </c>
      <c r="AP139" s="592"/>
      <c r="AQ139" s="2561"/>
      <c r="AR139" s="592"/>
      <c r="AS139" s="582">
        <f t="shared" si="194"/>
        <v>0</v>
      </c>
      <c r="AT139" s="592"/>
      <c r="AU139" s="2561"/>
      <c r="AV139" s="592"/>
      <c r="AW139" s="582">
        <f t="shared" si="195"/>
        <v>0</v>
      </c>
      <c r="AX139" s="592"/>
      <c r="AY139" s="2561"/>
      <c r="AZ139" s="592"/>
      <c r="BA139" s="1135">
        <f t="shared" si="200"/>
        <v>0</v>
      </c>
      <c r="BB139" s="592"/>
      <c r="BC139" s="517">
        <f t="shared" ref="BC139:BC175" si="201">BA139+AM139</f>
        <v>0</v>
      </c>
      <c r="BD139" s="592"/>
      <c r="BE139" s="251">
        <f t="shared" si="196"/>
        <v>0</v>
      </c>
      <c r="BF139" s="1202"/>
      <c r="BH139" s="26"/>
      <c r="BI139" s="26"/>
    </row>
    <row r="140" spans="1:61" hidden="1" x14ac:dyDescent="0.3">
      <c r="B140" s="1699" t="s">
        <v>1412</v>
      </c>
      <c r="C140" s="2546" t="s">
        <v>354</v>
      </c>
      <c r="D140" s="3209"/>
      <c r="E140" s="2561"/>
      <c r="F140" s="2561"/>
      <c r="G140" s="2561"/>
      <c r="H140" s="2562"/>
      <c r="I140" s="3210">
        <f t="shared" si="144"/>
        <v>0</v>
      </c>
      <c r="J140" s="3197"/>
      <c r="K140" s="2561"/>
      <c r="L140" s="592"/>
      <c r="M140" s="1135">
        <f t="shared" si="191"/>
        <v>0</v>
      </c>
      <c r="N140" s="592"/>
      <c r="O140" s="2561"/>
      <c r="P140" s="592"/>
      <c r="Q140" s="1630">
        <f t="shared" si="180"/>
        <v>0</v>
      </c>
      <c r="R140" s="592"/>
      <c r="S140" s="2561"/>
      <c r="T140" s="592"/>
      <c r="U140" s="3210">
        <f t="shared" si="146"/>
        <v>0</v>
      </c>
      <c r="V140" s="592"/>
      <c r="W140" s="2561"/>
      <c r="X140" s="592"/>
      <c r="Y140" s="1135">
        <f t="shared" si="197"/>
        <v>0</v>
      </c>
      <c r="Z140" s="592"/>
      <c r="AA140" s="517">
        <f t="shared" si="198"/>
        <v>0</v>
      </c>
      <c r="AB140" s="592"/>
      <c r="AC140" s="2561"/>
      <c r="AD140" s="592"/>
      <c r="AE140" s="582">
        <f t="shared" si="192"/>
        <v>0</v>
      </c>
      <c r="AF140" s="592"/>
      <c r="AG140" s="2561"/>
      <c r="AH140" s="592"/>
      <c r="AI140" s="582">
        <f t="shared" si="193"/>
        <v>0</v>
      </c>
      <c r="AJ140" s="592"/>
      <c r="AK140" s="2561"/>
      <c r="AL140" s="592"/>
      <c r="AM140" s="1135">
        <f t="shared" si="199"/>
        <v>0</v>
      </c>
      <c r="AN140" s="592"/>
      <c r="AO140" s="582">
        <f t="shared" si="95"/>
        <v>0</v>
      </c>
      <c r="AP140" s="592"/>
      <c r="AQ140" s="2561"/>
      <c r="AR140" s="592"/>
      <c r="AS140" s="582">
        <f t="shared" si="194"/>
        <v>0</v>
      </c>
      <c r="AT140" s="592"/>
      <c r="AU140" s="2561"/>
      <c r="AV140" s="592"/>
      <c r="AW140" s="582">
        <f t="shared" si="195"/>
        <v>0</v>
      </c>
      <c r="AX140" s="592"/>
      <c r="AY140" s="2561"/>
      <c r="AZ140" s="592"/>
      <c r="BA140" s="1135">
        <f t="shared" si="200"/>
        <v>0</v>
      </c>
      <c r="BB140" s="592"/>
      <c r="BC140" s="517">
        <f t="shared" si="201"/>
        <v>0</v>
      </c>
      <c r="BD140" s="592"/>
      <c r="BE140" s="251">
        <f t="shared" si="196"/>
        <v>0</v>
      </c>
      <c r="BF140" s="1202"/>
      <c r="BH140" s="26"/>
      <c r="BI140" s="26"/>
    </row>
    <row r="141" spans="1:61" ht="15.75" customHeight="1" x14ac:dyDescent="0.3">
      <c r="B141" s="1699" t="s">
        <v>2248</v>
      </c>
      <c r="C141" s="2546" t="s">
        <v>354</v>
      </c>
      <c r="D141" s="3209"/>
      <c r="E141" s="2561"/>
      <c r="F141" s="2561"/>
      <c r="G141" s="2561"/>
      <c r="H141" s="2562"/>
      <c r="I141" s="3210">
        <f t="shared" si="144"/>
        <v>0</v>
      </c>
      <c r="J141" s="3197"/>
      <c r="K141" s="2561"/>
      <c r="L141" s="592"/>
      <c r="M141" s="1135">
        <f t="shared" si="191"/>
        <v>0</v>
      </c>
      <c r="N141" s="592"/>
      <c r="O141" s="2561"/>
      <c r="P141" s="592"/>
      <c r="Q141" s="1630">
        <f t="shared" si="180"/>
        <v>0</v>
      </c>
      <c r="R141" s="592"/>
      <c r="S141" s="2561"/>
      <c r="T141" s="592"/>
      <c r="U141" s="3210">
        <f t="shared" si="146"/>
        <v>0</v>
      </c>
      <c r="V141" s="592"/>
      <c r="W141" s="2561"/>
      <c r="X141" s="592"/>
      <c r="Y141" s="1135">
        <f t="shared" ref="Y141:Y149" si="202">+O141+S141+W141</f>
        <v>0</v>
      </c>
      <c r="Z141" s="592"/>
      <c r="AA141" s="517">
        <f t="shared" ref="AA141:AA149" si="203">M141+Y141</f>
        <v>0</v>
      </c>
      <c r="AB141" s="592"/>
      <c r="AC141" s="2561"/>
      <c r="AD141" s="592"/>
      <c r="AE141" s="582">
        <f t="shared" si="192"/>
        <v>0</v>
      </c>
      <c r="AF141" s="592"/>
      <c r="AG141" s="2561">
        <v>1</v>
      </c>
      <c r="AH141" s="592"/>
      <c r="AI141" s="582">
        <f t="shared" si="193"/>
        <v>1</v>
      </c>
      <c r="AJ141" s="592"/>
      <c r="AK141" s="2561"/>
      <c r="AL141" s="592"/>
      <c r="AM141" s="1135">
        <f t="shared" si="199"/>
        <v>1</v>
      </c>
      <c r="AN141" s="592"/>
      <c r="AO141" s="582">
        <f t="shared" si="95"/>
        <v>1</v>
      </c>
      <c r="AP141" s="592"/>
      <c r="AQ141" s="2561"/>
      <c r="AR141" s="592"/>
      <c r="AS141" s="582">
        <f t="shared" si="194"/>
        <v>1</v>
      </c>
      <c r="AT141" s="592"/>
      <c r="AU141" s="2561"/>
      <c r="AV141" s="592"/>
      <c r="AW141" s="582">
        <f t="shared" si="195"/>
        <v>1</v>
      </c>
      <c r="AX141" s="592"/>
      <c r="AY141" s="2561"/>
      <c r="AZ141" s="592"/>
      <c r="BA141" s="1135">
        <f t="shared" si="200"/>
        <v>0</v>
      </c>
      <c r="BB141" s="592"/>
      <c r="BC141" s="517">
        <f t="shared" si="201"/>
        <v>1</v>
      </c>
      <c r="BD141" s="592"/>
      <c r="BE141" s="251">
        <f t="shared" si="196"/>
        <v>1</v>
      </c>
      <c r="BF141" s="1202"/>
      <c r="BH141" s="26"/>
      <c r="BI141" s="26"/>
    </row>
    <row r="142" spans="1:61" ht="15.75" hidden="1" customHeight="1" x14ac:dyDescent="0.3">
      <c r="B142" s="1699" t="s">
        <v>1445</v>
      </c>
      <c r="C142" s="2546" t="s">
        <v>354</v>
      </c>
      <c r="D142" s="3209"/>
      <c r="E142" s="2561"/>
      <c r="F142" s="2561"/>
      <c r="G142" s="2561"/>
      <c r="H142" s="2562"/>
      <c r="I142" s="3210">
        <f t="shared" si="144"/>
        <v>0</v>
      </c>
      <c r="J142" s="3197"/>
      <c r="K142" s="2561"/>
      <c r="L142" s="592"/>
      <c r="M142" s="1135">
        <f t="shared" si="191"/>
        <v>0</v>
      </c>
      <c r="N142" s="592"/>
      <c r="O142" s="2561"/>
      <c r="P142" s="592"/>
      <c r="Q142" s="1630">
        <f t="shared" si="180"/>
        <v>0</v>
      </c>
      <c r="R142" s="592"/>
      <c r="S142" s="2561"/>
      <c r="T142" s="592"/>
      <c r="U142" s="3210">
        <f t="shared" si="146"/>
        <v>0</v>
      </c>
      <c r="V142" s="592"/>
      <c r="W142" s="2561"/>
      <c r="X142" s="592"/>
      <c r="Y142" s="1135">
        <f t="shared" si="202"/>
        <v>0</v>
      </c>
      <c r="Z142" s="592"/>
      <c r="AA142" s="517">
        <f t="shared" si="203"/>
        <v>0</v>
      </c>
      <c r="AB142" s="592"/>
      <c r="AC142" s="2561"/>
      <c r="AD142" s="592"/>
      <c r="AE142" s="582">
        <f t="shared" si="192"/>
        <v>0</v>
      </c>
      <c r="AF142" s="592"/>
      <c r="AG142" s="2561"/>
      <c r="AH142" s="592"/>
      <c r="AI142" s="582">
        <f t="shared" si="193"/>
        <v>0</v>
      </c>
      <c r="AJ142" s="592"/>
      <c r="AK142" s="2561"/>
      <c r="AL142" s="592"/>
      <c r="AM142" s="1135">
        <f t="shared" ref="AM142:AM157" si="204">+AC142+AG142+AK142</f>
        <v>0</v>
      </c>
      <c r="AN142" s="592"/>
      <c r="AO142" s="582">
        <f t="shared" ref="AO142:AO157" si="205">AI142+AK142</f>
        <v>0</v>
      </c>
      <c r="AP142" s="592"/>
      <c r="AQ142" s="2561"/>
      <c r="AR142" s="592"/>
      <c r="AS142" s="582">
        <f t="shared" si="194"/>
        <v>0</v>
      </c>
      <c r="AT142" s="592"/>
      <c r="AU142" s="2561"/>
      <c r="AV142" s="592"/>
      <c r="AW142" s="582">
        <f t="shared" si="195"/>
        <v>0</v>
      </c>
      <c r="AX142" s="592"/>
      <c r="AY142" s="2561"/>
      <c r="AZ142" s="592"/>
      <c r="BA142" s="1135">
        <f t="shared" si="200"/>
        <v>0</v>
      </c>
      <c r="BB142" s="592"/>
      <c r="BC142" s="517">
        <f t="shared" si="201"/>
        <v>0</v>
      </c>
      <c r="BD142" s="592"/>
      <c r="BE142" s="251">
        <f t="shared" si="196"/>
        <v>0</v>
      </c>
      <c r="BF142" s="1202"/>
      <c r="BH142" s="26"/>
      <c r="BI142" s="26"/>
    </row>
    <row r="143" spans="1:61" ht="15.75" customHeight="1" x14ac:dyDescent="0.3">
      <c r="B143" s="1699" t="s">
        <v>1447</v>
      </c>
      <c r="C143" s="2546" t="s">
        <v>354</v>
      </c>
      <c r="D143" s="3209"/>
      <c r="E143" s="2561"/>
      <c r="F143" s="2561"/>
      <c r="G143" s="2561"/>
      <c r="H143" s="2562"/>
      <c r="I143" s="3210">
        <f t="shared" si="144"/>
        <v>0</v>
      </c>
      <c r="J143" s="3197"/>
      <c r="K143" s="2561"/>
      <c r="L143" s="592"/>
      <c r="M143" s="1135">
        <f t="shared" si="191"/>
        <v>0</v>
      </c>
      <c r="N143" s="592"/>
      <c r="O143" s="2561"/>
      <c r="P143" s="592"/>
      <c r="Q143" s="1630">
        <f t="shared" si="180"/>
        <v>0</v>
      </c>
      <c r="R143" s="592"/>
      <c r="S143" s="2561"/>
      <c r="T143" s="592"/>
      <c r="U143" s="3210">
        <f t="shared" si="146"/>
        <v>0</v>
      </c>
      <c r="V143" s="592"/>
      <c r="W143" s="2561"/>
      <c r="X143" s="592"/>
      <c r="Y143" s="1135">
        <f t="shared" si="202"/>
        <v>0</v>
      </c>
      <c r="Z143" s="592"/>
      <c r="AA143" s="517">
        <f t="shared" si="203"/>
        <v>0</v>
      </c>
      <c r="AB143" s="592"/>
      <c r="AC143" s="2561"/>
      <c r="AD143" s="592"/>
      <c r="AE143" s="582">
        <f t="shared" si="192"/>
        <v>0</v>
      </c>
      <c r="AF143" s="592"/>
      <c r="AG143" s="2561">
        <v>3.29</v>
      </c>
      <c r="AH143" s="592"/>
      <c r="AI143" s="582">
        <f t="shared" si="193"/>
        <v>3.29</v>
      </c>
      <c r="AJ143" s="592"/>
      <c r="AK143" s="2561"/>
      <c r="AL143" s="592"/>
      <c r="AM143" s="1135">
        <f t="shared" si="204"/>
        <v>3.29</v>
      </c>
      <c r="AN143" s="592"/>
      <c r="AO143" s="582">
        <f t="shared" si="205"/>
        <v>3.29</v>
      </c>
      <c r="AP143" s="592"/>
      <c r="AQ143" s="2561"/>
      <c r="AR143" s="592"/>
      <c r="AS143" s="582">
        <f t="shared" si="194"/>
        <v>3.29</v>
      </c>
      <c r="AT143" s="592"/>
      <c r="AU143" s="2561"/>
      <c r="AV143" s="592"/>
      <c r="AW143" s="582">
        <f t="shared" si="195"/>
        <v>3.29</v>
      </c>
      <c r="AX143" s="592"/>
      <c r="AY143" s="2561"/>
      <c r="AZ143" s="592"/>
      <c r="BA143" s="1135">
        <f t="shared" si="200"/>
        <v>0</v>
      </c>
      <c r="BB143" s="592"/>
      <c r="BC143" s="517">
        <f t="shared" si="201"/>
        <v>3.29</v>
      </c>
      <c r="BD143" s="592"/>
      <c r="BE143" s="251">
        <f t="shared" si="196"/>
        <v>3.29</v>
      </c>
      <c r="BF143" s="1202"/>
      <c r="BH143" s="26"/>
      <c r="BI143" s="26"/>
    </row>
    <row r="144" spans="1:61" ht="15.75" customHeight="1" x14ac:dyDescent="0.3">
      <c r="B144" s="1699" t="s">
        <v>1490</v>
      </c>
      <c r="C144" s="2546" t="s">
        <v>354</v>
      </c>
      <c r="D144" s="3209"/>
      <c r="E144" s="2561"/>
      <c r="F144" s="2561"/>
      <c r="G144" s="2561"/>
      <c r="H144" s="2562"/>
      <c r="I144" s="3210">
        <f t="shared" si="144"/>
        <v>0</v>
      </c>
      <c r="J144" s="3197"/>
      <c r="K144" s="2561"/>
      <c r="L144" s="592"/>
      <c r="M144" s="1135">
        <f t="shared" si="191"/>
        <v>0</v>
      </c>
      <c r="N144" s="592"/>
      <c r="O144" s="2561"/>
      <c r="P144" s="592"/>
      <c r="Q144" s="1630">
        <f t="shared" si="180"/>
        <v>0</v>
      </c>
      <c r="R144" s="592"/>
      <c r="S144" s="2561"/>
      <c r="T144" s="592"/>
      <c r="U144" s="3210">
        <f t="shared" si="146"/>
        <v>0</v>
      </c>
      <c r="V144" s="592"/>
      <c r="W144" s="2561"/>
      <c r="X144" s="592"/>
      <c r="Y144" s="1135">
        <f t="shared" si="202"/>
        <v>0</v>
      </c>
      <c r="Z144" s="592"/>
      <c r="AA144" s="517">
        <f t="shared" si="203"/>
        <v>0</v>
      </c>
      <c r="AB144" s="592"/>
      <c r="AC144" s="2561"/>
      <c r="AD144" s="592"/>
      <c r="AE144" s="582">
        <f t="shared" si="192"/>
        <v>0</v>
      </c>
      <c r="AF144" s="592"/>
      <c r="AG144" s="2561"/>
      <c r="AH144" s="592"/>
      <c r="AI144" s="582">
        <f t="shared" si="193"/>
        <v>0</v>
      </c>
      <c r="AJ144" s="592"/>
      <c r="AK144" s="2561"/>
      <c r="AL144" s="592"/>
      <c r="AM144" s="1135">
        <f t="shared" si="204"/>
        <v>0</v>
      </c>
      <c r="AN144" s="592"/>
      <c r="AO144" s="582">
        <f t="shared" si="205"/>
        <v>0</v>
      </c>
      <c r="AP144" s="592"/>
      <c r="AQ144" s="2561"/>
      <c r="AR144" s="592"/>
      <c r="AS144" s="582">
        <f t="shared" si="194"/>
        <v>0</v>
      </c>
      <c r="AT144" s="592"/>
      <c r="AU144" s="2561"/>
      <c r="AV144" s="592"/>
      <c r="AW144" s="582">
        <f t="shared" si="195"/>
        <v>0</v>
      </c>
      <c r="AX144" s="592"/>
      <c r="AY144" s="2561">
        <v>16</v>
      </c>
      <c r="AZ144" s="592"/>
      <c r="BA144" s="1135">
        <f t="shared" si="200"/>
        <v>16</v>
      </c>
      <c r="BB144" s="592"/>
      <c r="BC144" s="517">
        <f t="shared" si="201"/>
        <v>16</v>
      </c>
      <c r="BD144" s="592"/>
      <c r="BE144" s="251">
        <f t="shared" si="196"/>
        <v>16</v>
      </c>
      <c r="BF144" s="1202"/>
      <c r="BH144" s="26"/>
      <c r="BI144" s="26"/>
    </row>
    <row r="145" spans="2:61" ht="15.75" customHeight="1" x14ac:dyDescent="0.3">
      <c r="B145" s="5345" t="s">
        <v>2283</v>
      </c>
      <c r="C145" s="5346"/>
      <c r="D145" s="4061"/>
      <c r="E145" s="5347"/>
      <c r="F145" s="5347"/>
      <c r="G145" s="5347"/>
      <c r="H145" s="5348"/>
      <c r="I145" s="5349"/>
      <c r="J145" s="5350"/>
      <c r="K145" s="5347"/>
      <c r="L145" s="5347"/>
      <c r="M145" s="5351"/>
      <c r="N145" s="5347"/>
      <c r="O145" s="5347"/>
      <c r="P145" s="5347"/>
      <c r="Q145" s="5352"/>
      <c r="R145" s="5347"/>
      <c r="S145" s="5347"/>
      <c r="T145" s="5347"/>
      <c r="U145" s="5349"/>
      <c r="V145" s="5347"/>
      <c r="W145" s="5347"/>
      <c r="X145" s="5347"/>
      <c r="Y145" s="5351"/>
      <c r="Z145" s="5347"/>
      <c r="AA145" s="5353"/>
      <c r="AB145" s="5347"/>
      <c r="AC145" s="5347"/>
      <c r="AD145" s="5347"/>
      <c r="AE145" s="5354"/>
      <c r="AF145" s="5347"/>
      <c r="AG145" s="5347"/>
      <c r="AH145" s="5347"/>
      <c r="AI145" s="5354"/>
      <c r="AJ145" s="5347"/>
      <c r="AK145" s="5347"/>
      <c r="AL145" s="5347"/>
      <c r="AM145" s="5351"/>
      <c r="AN145" s="5347"/>
      <c r="AO145" s="5354"/>
      <c r="AP145" s="5347"/>
      <c r="AQ145" s="5347">
        <v>58.4</v>
      </c>
      <c r="AR145" s="5347"/>
      <c r="AS145" s="582">
        <f t="shared" si="194"/>
        <v>58.4</v>
      </c>
      <c r="AT145" s="5347"/>
      <c r="AU145" s="5347">
        <v>40.909999999999997</v>
      </c>
      <c r="AV145" s="5347"/>
      <c r="AW145" s="582">
        <f t="shared" si="195"/>
        <v>99.31</v>
      </c>
      <c r="AX145" s="5347"/>
      <c r="AY145" s="5347"/>
      <c r="AZ145" s="5347"/>
      <c r="BA145" s="1135">
        <f t="shared" ref="BA145" si="206">+AQ145+AU145+AY145</f>
        <v>99.31</v>
      </c>
      <c r="BB145" s="592"/>
      <c r="BC145" s="517">
        <f t="shared" ref="BC145" si="207">BA145+AM145</f>
        <v>99.31</v>
      </c>
      <c r="BD145" s="592"/>
      <c r="BE145" s="251">
        <f t="shared" ref="BE145" si="208">+AW145+AY145</f>
        <v>99.31</v>
      </c>
      <c r="BF145" s="1202"/>
      <c r="BH145" s="26"/>
      <c r="BI145" s="26"/>
    </row>
    <row r="146" spans="2:61" ht="15.75" customHeight="1" x14ac:dyDescent="0.3">
      <c r="B146" s="5345" t="s">
        <v>2317</v>
      </c>
      <c r="C146" s="5346"/>
      <c r="D146" s="4061"/>
      <c r="E146" s="5347"/>
      <c r="F146" s="5347"/>
      <c r="G146" s="5347"/>
      <c r="H146" s="5348"/>
      <c r="I146" s="5349"/>
      <c r="J146" s="5350"/>
      <c r="K146" s="5347"/>
      <c r="L146" s="5347"/>
      <c r="M146" s="5351"/>
      <c r="N146" s="5347"/>
      <c r="O146" s="5347"/>
      <c r="P146" s="5347"/>
      <c r="Q146" s="5352"/>
      <c r="R146" s="5347"/>
      <c r="S146" s="5347"/>
      <c r="T146" s="5347"/>
      <c r="U146" s="5349"/>
      <c r="V146" s="5347"/>
      <c r="W146" s="5347"/>
      <c r="X146" s="5347"/>
      <c r="Y146" s="5351"/>
      <c r="Z146" s="5347"/>
      <c r="AA146" s="5353"/>
      <c r="AB146" s="5347"/>
      <c r="AC146" s="5347"/>
      <c r="AD146" s="5347"/>
      <c r="AE146" s="5354"/>
      <c r="AF146" s="5347"/>
      <c r="AG146" s="5347"/>
      <c r="AH146" s="5347"/>
      <c r="AI146" s="5354"/>
      <c r="AJ146" s="5347"/>
      <c r="AK146" s="5347"/>
      <c r="AL146" s="5347"/>
      <c r="AM146" s="5351"/>
      <c r="AN146" s="5347"/>
      <c r="AO146" s="5354"/>
      <c r="AP146" s="5347"/>
      <c r="AQ146" s="5347"/>
      <c r="AR146" s="5347"/>
      <c r="AS146" s="5354"/>
      <c r="AT146" s="5347"/>
      <c r="AU146" s="5347">
        <v>13.401999999999999</v>
      </c>
      <c r="AV146" s="5347"/>
      <c r="AW146" s="582">
        <f t="shared" si="195"/>
        <v>13.401999999999999</v>
      </c>
      <c r="AX146" s="5347"/>
      <c r="AY146" s="5347"/>
      <c r="AZ146" s="5347"/>
      <c r="BA146" s="1135">
        <f t="shared" ref="BA146" si="209">+AQ146+AU146+AY146</f>
        <v>13.401999999999999</v>
      </c>
      <c r="BB146" s="592"/>
      <c r="BC146" s="517">
        <f t="shared" ref="BC146" si="210">BA146+AM146</f>
        <v>13.401999999999999</v>
      </c>
      <c r="BD146" s="592"/>
      <c r="BE146" s="251">
        <f t="shared" ref="BE146" si="211">+AW146+AY146</f>
        <v>13.401999999999999</v>
      </c>
      <c r="BF146" s="1202"/>
      <c r="BH146" s="26"/>
      <c r="BI146" s="26"/>
    </row>
    <row r="147" spans="2:61" ht="15.75" customHeight="1" x14ac:dyDescent="0.3">
      <c r="B147" s="5345" t="s">
        <v>2286</v>
      </c>
      <c r="C147" s="5346"/>
      <c r="D147" s="4061"/>
      <c r="E147" s="5347"/>
      <c r="F147" s="5347"/>
      <c r="G147" s="5347"/>
      <c r="H147" s="5348"/>
      <c r="I147" s="5349"/>
      <c r="J147" s="5350"/>
      <c r="K147" s="5347"/>
      <c r="L147" s="5347"/>
      <c r="M147" s="5351"/>
      <c r="N147" s="5347"/>
      <c r="O147" s="5347"/>
      <c r="P147" s="5347"/>
      <c r="Q147" s="5352"/>
      <c r="R147" s="5347"/>
      <c r="S147" s="5347"/>
      <c r="T147" s="5347"/>
      <c r="U147" s="5349"/>
      <c r="V147" s="5347"/>
      <c r="W147" s="5347"/>
      <c r="X147" s="5347"/>
      <c r="Y147" s="5351"/>
      <c r="Z147" s="5347"/>
      <c r="AA147" s="5353"/>
      <c r="AB147" s="5347"/>
      <c r="AC147" s="5347"/>
      <c r="AD147" s="5347"/>
      <c r="AE147" s="5354"/>
      <c r="AF147" s="5347"/>
      <c r="AG147" s="5347"/>
      <c r="AH147" s="5347"/>
      <c r="AI147" s="5354"/>
      <c r="AJ147" s="5347"/>
      <c r="AK147" s="5347"/>
      <c r="AL147" s="5347"/>
      <c r="AM147" s="5351"/>
      <c r="AN147" s="5347"/>
      <c r="AO147" s="5354"/>
      <c r="AP147" s="5347"/>
      <c r="AQ147" s="5347">
        <v>2900</v>
      </c>
      <c r="AR147" s="5347"/>
      <c r="AS147" s="582">
        <f t="shared" si="194"/>
        <v>2900</v>
      </c>
      <c r="AT147" s="5347"/>
      <c r="AU147" s="5347"/>
      <c r="AV147" s="5347"/>
      <c r="AW147" s="582">
        <f t="shared" si="195"/>
        <v>2900</v>
      </c>
      <c r="AX147" s="5347"/>
      <c r="AY147" s="5347"/>
      <c r="AZ147" s="5347"/>
      <c r="BA147" s="1135">
        <f t="shared" ref="BA147" si="212">+AQ147+AU147+AY147</f>
        <v>2900</v>
      </c>
      <c r="BB147" s="592"/>
      <c r="BC147" s="517">
        <f t="shared" ref="BC147" si="213">BA147+AM147</f>
        <v>2900</v>
      </c>
      <c r="BD147" s="592"/>
      <c r="BE147" s="251">
        <f t="shared" ref="BE147" si="214">+AW147+AY147</f>
        <v>2900</v>
      </c>
      <c r="BF147" s="1202"/>
      <c r="BH147" s="26"/>
      <c r="BI147" s="26"/>
    </row>
    <row r="148" spans="2:61" x14ac:dyDescent="0.3">
      <c r="B148" s="5345" t="s">
        <v>2285</v>
      </c>
      <c r="C148" s="5346"/>
      <c r="D148" s="4061"/>
      <c r="E148" s="5347"/>
      <c r="F148" s="5347"/>
      <c r="G148" s="5347"/>
      <c r="H148" s="5348"/>
      <c r="I148" s="5349"/>
      <c r="J148" s="5350"/>
      <c r="K148" s="5347"/>
      <c r="L148" s="5347"/>
      <c r="M148" s="5351"/>
      <c r="N148" s="5347"/>
      <c r="O148" s="5347"/>
      <c r="P148" s="5347"/>
      <c r="Q148" s="5352"/>
      <c r="R148" s="5347"/>
      <c r="S148" s="5347"/>
      <c r="T148" s="5347"/>
      <c r="U148" s="5349"/>
      <c r="V148" s="5347"/>
      <c r="W148" s="5347"/>
      <c r="X148" s="5347"/>
      <c r="Y148" s="5351"/>
      <c r="Z148" s="5347"/>
      <c r="AA148" s="5353"/>
      <c r="AB148" s="5347"/>
      <c r="AC148" s="5347"/>
      <c r="AD148" s="5347"/>
      <c r="AE148" s="5354"/>
      <c r="AF148" s="5347"/>
      <c r="AG148" s="5347"/>
      <c r="AH148" s="5347"/>
      <c r="AI148" s="5354"/>
      <c r="AJ148" s="5347"/>
      <c r="AK148" s="5347"/>
      <c r="AL148" s="5347"/>
      <c r="AM148" s="5351"/>
      <c r="AN148" s="5347"/>
      <c r="AO148" s="5354"/>
      <c r="AP148" s="5347"/>
      <c r="AQ148" s="5347">
        <v>46.86</v>
      </c>
      <c r="AR148" s="5347"/>
      <c r="AS148" s="582">
        <f t="shared" si="194"/>
        <v>46.86</v>
      </c>
      <c r="AT148" s="5347"/>
      <c r="AU148" s="5347">
        <v>60</v>
      </c>
      <c r="AV148" s="5347"/>
      <c r="AW148" s="582">
        <f t="shared" si="195"/>
        <v>106.86</v>
      </c>
      <c r="AX148" s="5347"/>
      <c r="AY148" s="5347">
        <v>24.58</v>
      </c>
      <c r="AZ148" s="5347"/>
      <c r="BA148" s="1135">
        <f t="shared" ref="BA148" si="215">+AQ148+AU148+AY148</f>
        <v>131.44</v>
      </c>
      <c r="BB148" s="592"/>
      <c r="BC148" s="517">
        <f t="shared" ref="BC148" si="216">BA148+AM148</f>
        <v>131.44</v>
      </c>
      <c r="BD148" s="592"/>
      <c r="BE148" s="251">
        <f t="shared" ref="BE148" si="217">+AW148+AY148</f>
        <v>131.44</v>
      </c>
      <c r="BF148" s="1202"/>
      <c r="BH148" s="26"/>
      <c r="BI148" s="26"/>
    </row>
    <row r="149" spans="2:61" ht="18.75" customHeight="1" x14ac:dyDescent="0.3">
      <c r="B149" s="1699" t="s">
        <v>2129</v>
      </c>
      <c r="C149" s="2546" t="s">
        <v>354</v>
      </c>
      <c r="D149" s="3209"/>
      <c r="E149" s="2561"/>
      <c r="F149" s="2561"/>
      <c r="G149" s="2561"/>
      <c r="H149" s="2562"/>
      <c r="I149" s="3210">
        <f t="shared" si="144"/>
        <v>0</v>
      </c>
      <c r="J149" s="3197"/>
      <c r="K149" s="2561"/>
      <c r="L149" s="592"/>
      <c r="M149" s="1135">
        <f t="shared" si="191"/>
        <v>0</v>
      </c>
      <c r="N149" s="592"/>
      <c r="O149" s="2561"/>
      <c r="P149" s="592"/>
      <c r="Q149" s="1630">
        <f t="shared" si="180"/>
        <v>0</v>
      </c>
      <c r="R149" s="592"/>
      <c r="S149" s="2561"/>
      <c r="T149" s="592"/>
      <c r="U149" s="3210">
        <f t="shared" si="146"/>
        <v>0</v>
      </c>
      <c r="V149" s="592"/>
      <c r="W149" s="2561">
        <v>9.89</v>
      </c>
      <c r="X149" s="592"/>
      <c r="Y149" s="1135">
        <f t="shared" si="202"/>
        <v>9.89</v>
      </c>
      <c r="Z149" s="592"/>
      <c r="AA149" s="517">
        <f t="shared" si="203"/>
        <v>9.89</v>
      </c>
      <c r="AB149" s="592"/>
      <c r="AC149" s="2561"/>
      <c r="AD149" s="592"/>
      <c r="AE149" s="582">
        <f t="shared" si="192"/>
        <v>9.89</v>
      </c>
      <c r="AF149" s="592"/>
      <c r="AG149" s="2561"/>
      <c r="AH149" s="592"/>
      <c r="AI149" s="582">
        <f t="shared" si="193"/>
        <v>9.89</v>
      </c>
      <c r="AJ149" s="592"/>
      <c r="AK149" s="2561"/>
      <c r="AL149" s="592"/>
      <c r="AM149" s="1135">
        <f t="shared" si="204"/>
        <v>0</v>
      </c>
      <c r="AN149" s="592"/>
      <c r="AO149" s="582">
        <f t="shared" si="205"/>
        <v>9.89</v>
      </c>
      <c r="AP149" s="592"/>
      <c r="AQ149" s="2561"/>
      <c r="AR149" s="592"/>
      <c r="AS149" s="582">
        <f t="shared" si="194"/>
        <v>9.89</v>
      </c>
      <c r="AT149" s="592"/>
      <c r="AU149" s="2561"/>
      <c r="AV149" s="592"/>
      <c r="AW149" s="582">
        <f t="shared" si="195"/>
        <v>9.89</v>
      </c>
      <c r="AX149" s="592"/>
      <c r="AY149" s="2561"/>
      <c r="AZ149" s="592"/>
      <c r="BA149" s="1135">
        <f t="shared" si="200"/>
        <v>0</v>
      </c>
      <c r="BB149" s="592"/>
      <c r="BC149" s="517">
        <f t="shared" si="201"/>
        <v>0</v>
      </c>
      <c r="BD149" s="592"/>
      <c r="BE149" s="251">
        <f t="shared" si="196"/>
        <v>9.89</v>
      </c>
      <c r="BF149" s="1202"/>
      <c r="BH149" s="26"/>
      <c r="BI149" s="26"/>
    </row>
    <row r="150" spans="2:61" x14ac:dyDescent="0.3">
      <c r="B150" s="1699" t="s">
        <v>875</v>
      </c>
      <c r="C150" s="2546" t="s">
        <v>354</v>
      </c>
      <c r="D150" s="3209"/>
      <c r="E150" s="2561"/>
      <c r="F150" s="2561"/>
      <c r="G150" s="2561"/>
      <c r="H150" s="2562"/>
      <c r="I150" s="3210">
        <f t="shared" si="144"/>
        <v>0</v>
      </c>
      <c r="J150" s="3197"/>
      <c r="K150" s="2561"/>
      <c r="L150" s="592"/>
      <c r="M150" s="1135">
        <f t="shared" si="191"/>
        <v>0</v>
      </c>
      <c r="N150" s="592"/>
      <c r="O150" s="2561"/>
      <c r="P150" s="592"/>
      <c r="Q150" s="1630">
        <f t="shared" si="180"/>
        <v>0</v>
      </c>
      <c r="R150" s="592"/>
      <c r="S150" s="2561"/>
      <c r="T150" s="592"/>
      <c r="U150" s="3210">
        <f t="shared" si="146"/>
        <v>0</v>
      </c>
      <c r="V150" s="592"/>
      <c r="W150" s="2561">
        <v>27.2</v>
      </c>
      <c r="X150" s="592"/>
      <c r="Y150" s="1135">
        <f t="shared" si="197"/>
        <v>27.2</v>
      </c>
      <c r="Z150" s="592"/>
      <c r="AA150" s="809">
        <f t="shared" si="198"/>
        <v>27.2</v>
      </c>
      <c r="AB150" s="592"/>
      <c r="AC150" s="2561"/>
      <c r="AD150" s="592"/>
      <c r="AE150" s="582">
        <f t="shared" si="192"/>
        <v>27.2</v>
      </c>
      <c r="AF150" s="592"/>
      <c r="AG150" s="2561"/>
      <c r="AH150" s="592"/>
      <c r="AI150" s="582">
        <f t="shared" si="193"/>
        <v>27.2</v>
      </c>
      <c r="AJ150" s="592"/>
      <c r="AK150" s="2561"/>
      <c r="AL150" s="592"/>
      <c r="AM150" s="1135">
        <f t="shared" si="204"/>
        <v>0</v>
      </c>
      <c r="AN150" s="592"/>
      <c r="AO150" s="582">
        <f t="shared" si="205"/>
        <v>27.2</v>
      </c>
      <c r="AP150" s="592"/>
      <c r="AQ150" s="2561"/>
      <c r="AR150" s="592"/>
      <c r="AS150" s="582">
        <f t="shared" si="194"/>
        <v>27.2</v>
      </c>
      <c r="AT150" s="592"/>
      <c r="AU150" s="2561"/>
      <c r="AV150" s="592"/>
      <c r="AW150" s="582">
        <f t="shared" si="195"/>
        <v>27.2</v>
      </c>
      <c r="AX150" s="592"/>
      <c r="AY150" s="2561"/>
      <c r="AZ150" s="592"/>
      <c r="BA150" s="1135">
        <f t="shared" si="200"/>
        <v>0</v>
      </c>
      <c r="BB150" s="592"/>
      <c r="BC150" s="517">
        <f t="shared" si="201"/>
        <v>0</v>
      </c>
      <c r="BD150" s="592"/>
      <c r="BE150" s="251">
        <f>+AW150+AY150</f>
        <v>27.2</v>
      </c>
      <c r="BF150" s="1202"/>
      <c r="BH150" s="26"/>
      <c r="BI150" s="26"/>
    </row>
    <row r="151" spans="2:61" x14ac:dyDescent="0.3">
      <c r="B151" s="5345" t="s">
        <v>2284</v>
      </c>
      <c r="C151" s="2546" t="s">
        <v>354</v>
      </c>
      <c r="D151" s="4061"/>
      <c r="E151" s="5347"/>
      <c r="F151" s="5347"/>
      <c r="G151" s="5347"/>
      <c r="H151" s="5348"/>
      <c r="I151" s="5349"/>
      <c r="J151" s="5350"/>
      <c r="K151" s="5347"/>
      <c r="L151" s="5347"/>
      <c r="M151" s="5351"/>
      <c r="N151" s="5347"/>
      <c r="O151" s="5347"/>
      <c r="P151" s="5347"/>
      <c r="Q151" s="5352"/>
      <c r="R151" s="5347"/>
      <c r="S151" s="5347"/>
      <c r="T151" s="5347"/>
      <c r="U151" s="5349"/>
      <c r="V151" s="5347"/>
      <c r="W151" s="5347"/>
      <c r="X151" s="5347"/>
      <c r="Y151" s="5351"/>
      <c r="Z151" s="5347"/>
      <c r="AA151" s="5356"/>
      <c r="AB151" s="5347"/>
      <c r="AC151" s="5347"/>
      <c r="AD151" s="5347"/>
      <c r="AE151" s="5354"/>
      <c r="AF151" s="5347"/>
      <c r="AG151" s="5347"/>
      <c r="AH151" s="5347"/>
      <c r="AI151" s="5354"/>
      <c r="AJ151" s="5347"/>
      <c r="AK151" s="5347"/>
      <c r="AL151" s="5347"/>
      <c r="AM151" s="5351"/>
      <c r="AN151" s="5347"/>
      <c r="AO151" s="5354"/>
      <c r="AP151" s="5347"/>
      <c r="AQ151" s="5347">
        <v>2500</v>
      </c>
      <c r="AR151" s="5347"/>
      <c r="AS151" s="582">
        <f t="shared" si="194"/>
        <v>2500</v>
      </c>
      <c r="AT151" s="5347"/>
      <c r="AU151" s="5347">
        <v>499</v>
      </c>
      <c r="AV151" s="5347"/>
      <c r="AW151" s="582">
        <f t="shared" si="195"/>
        <v>2999</v>
      </c>
      <c r="AX151" s="5347"/>
      <c r="AY151" s="5347"/>
      <c r="AZ151" s="5347"/>
      <c r="BA151" s="1135">
        <f t="shared" ref="BA151" si="218">+AQ151+AU151+AY151</f>
        <v>2999</v>
      </c>
      <c r="BB151" s="592"/>
      <c r="BC151" s="517">
        <f t="shared" ref="BC151" si="219">BA151+AM151</f>
        <v>2999</v>
      </c>
      <c r="BD151" s="592"/>
      <c r="BE151" s="251">
        <f>+AW151+AY151</f>
        <v>2999</v>
      </c>
      <c r="BF151" s="1202"/>
      <c r="BH151" s="26"/>
      <c r="BI151" s="26"/>
    </row>
    <row r="152" spans="2:61" x14ac:dyDescent="0.3">
      <c r="B152" s="1699" t="s">
        <v>1446</v>
      </c>
      <c r="C152" s="2546" t="s">
        <v>354</v>
      </c>
      <c r="D152" s="3209"/>
      <c r="E152" s="2561"/>
      <c r="F152" s="2561"/>
      <c r="G152" s="2561"/>
      <c r="H152" s="2562"/>
      <c r="I152" s="3210">
        <f t="shared" si="144"/>
        <v>0</v>
      </c>
      <c r="J152" s="3197"/>
      <c r="K152" s="2561"/>
      <c r="L152" s="592"/>
      <c r="M152" s="1135">
        <f t="shared" si="191"/>
        <v>0</v>
      </c>
      <c r="N152" s="592"/>
      <c r="O152" s="2561"/>
      <c r="P152" s="592"/>
      <c r="Q152" s="1630">
        <f t="shared" si="180"/>
        <v>0</v>
      </c>
      <c r="R152" s="592"/>
      <c r="S152" s="2561"/>
      <c r="T152" s="592"/>
      <c r="U152" s="3210">
        <f t="shared" si="146"/>
        <v>0</v>
      </c>
      <c r="V152" s="592"/>
      <c r="W152" s="2561"/>
      <c r="X152" s="592"/>
      <c r="Y152" s="1135">
        <f t="shared" si="197"/>
        <v>0</v>
      </c>
      <c r="Z152" s="592"/>
      <c r="AA152" s="517">
        <f t="shared" si="198"/>
        <v>0</v>
      </c>
      <c r="AB152" s="592"/>
      <c r="AC152" s="2561"/>
      <c r="AD152" s="592"/>
      <c r="AE152" s="582">
        <f t="shared" si="192"/>
        <v>0</v>
      </c>
      <c r="AF152" s="592"/>
      <c r="AG152" s="2561"/>
      <c r="AH152" s="592"/>
      <c r="AI152" s="582">
        <f t="shared" si="193"/>
        <v>0</v>
      </c>
      <c r="AJ152" s="592"/>
      <c r="AK152" s="2561">
        <v>34.31</v>
      </c>
      <c r="AL152" s="592"/>
      <c r="AM152" s="1135">
        <f t="shared" si="204"/>
        <v>34.31</v>
      </c>
      <c r="AN152" s="592"/>
      <c r="AO152" s="582">
        <f t="shared" si="205"/>
        <v>34.31</v>
      </c>
      <c r="AP152" s="592"/>
      <c r="AQ152" s="2561"/>
      <c r="AR152" s="592"/>
      <c r="AS152" s="582">
        <f t="shared" si="194"/>
        <v>34.31</v>
      </c>
      <c r="AT152" s="592"/>
      <c r="AU152" s="2561"/>
      <c r="AV152" s="592"/>
      <c r="AW152" s="582">
        <f t="shared" si="195"/>
        <v>34.31</v>
      </c>
      <c r="AX152" s="592"/>
      <c r="AY152" s="2561"/>
      <c r="AZ152" s="592"/>
      <c r="BA152" s="1135">
        <f t="shared" si="200"/>
        <v>0</v>
      </c>
      <c r="BB152" s="592"/>
      <c r="BC152" s="517">
        <f t="shared" si="201"/>
        <v>34.31</v>
      </c>
      <c r="BD152" s="592"/>
      <c r="BE152" s="251">
        <f t="shared" ref="BE152:BE170" si="220">+AW152+AY152</f>
        <v>34.31</v>
      </c>
      <c r="BF152" s="1202"/>
      <c r="BH152" s="26"/>
      <c r="BI152" s="26"/>
    </row>
    <row r="153" spans="2:61" x14ac:dyDescent="0.3">
      <c r="B153" s="5345" t="s">
        <v>2057</v>
      </c>
      <c r="C153" s="2546" t="s">
        <v>354</v>
      </c>
      <c r="D153" s="4061"/>
      <c r="E153" s="5347"/>
      <c r="F153" s="5347"/>
      <c r="G153" s="5347"/>
      <c r="H153" s="5348"/>
      <c r="I153" s="5349"/>
      <c r="J153" s="5350"/>
      <c r="K153" s="5347"/>
      <c r="L153" s="5347"/>
      <c r="M153" s="5351"/>
      <c r="N153" s="5347"/>
      <c r="O153" s="5347"/>
      <c r="P153" s="5347"/>
      <c r="Q153" s="5352"/>
      <c r="R153" s="5347"/>
      <c r="S153" s="5347"/>
      <c r="T153" s="5347"/>
      <c r="U153" s="5349"/>
      <c r="V153" s="5347"/>
      <c r="W153" s="5347"/>
      <c r="X153" s="5347"/>
      <c r="Y153" s="5351"/>
      <c r="Z153" s="5347"/>
      <c r="AA153" s="5353"/>
      <c r="AB153" s="5347"/>
      <c r="AC153" s="5347"/>
      <c r="AD153" s="5347"/>
      <c r="AE153" s="5354"/>
      <c r="AF153" s="5347"/>
      <c r="AG153" s="5347"/>
      <c r="AH153" s="5347"/>
      <c r="AI153" s="5354"/>
      <c r="AJ153" s="5347"/>
      <c r="AK153" s="5347"/>
      <c r="AL153" s="5347"/>
      <c r="AM153" s="5351"/>
      <c r="AN153" s="5347"/>
      <c r="AO153" s="5354"/>
      <c r="AP153" s="5347"/>
      <c r="AQ153" s="5347">
        <v>19.36</v>
      </c>
      <c r="AR153" s="5347"/>
      <c r="AS153" s="582">
        <f t="shared" si="194"/>
        <v>19.36</v>
      </c>
      <c r="AT153" s="5347"/>
      <c r="AU153" s="5347"/>
      <c r="AV153" s="5347"/>
      <c r="AW153" s="582">
        <f t="shared" si="195"/>
        <v>19.36</v>
      </c>
      <c r="AX153" s="5347"/>
      <c r="AY153" s="5347"/>
      <c r="AZ153" s="5347"/>
      <c r="BA153" s="1135">
        <f t="shared" ref="BA153" si="221">+AQ153+AU153+AY153</f>
        <v>19.36</v>
      </c>
      <c r="BB153" s="592"/>
      <c r="BC153" s="517">
        <f t="shared" ref="BC153" si="222">BA153+AM153</f>
        <v>19.36</v>
      </c>
      <c r="BD153" s="592"/>
      <c r="BE153" s="251">
        <f t="shared" ref="BE153" si="223">+AW153+AY153</f>
        <v>19.36</v>
      </c>
      <c r="BF153" s="1202"/>
      <c r="BH153" s="26"/>
      <c r="BI153" s="26"/>
    </row>
    <row r="154" spans="2:61" x14ac:dyDescent="0.3">
      <c r="B154" s="1699" t="s">
        <v>1885</v>
      </c>
      <c r="C154" s="2546" t="s">
        <v>354</v>
      </c>
      <c r="D154" s="3209"/>
      <c r="E154" s="2561">
        <v>410</v>
      </c>
      <c r="F154" s="2561"/>
      <c r="G154" s="2561">
        <v>0.41</v>
      </c>
      <c r="H154" s="2562"/>
      <c r="I154" s="3210">
        <f t="shared" si="144"/>
        <v>410.41</v>
      </c>
      <c r="J154" s="3197"/>
      <c r="K154" s="2561">
        <v>0.41</v>
      </c>
      <c r="L154" s="592"/>
      <c r="M154" s="1135">
        <f t="shared" si="191"/>
        <v>410.82000000000005</v>
      </c>
      <c r="N154" s="592"/>
      <c r="O154" s="2561">
        <v>0.41</v>
      </c>
      <c r="P154" s="592"/>
      <c r="Q154" s="1630">
        <f t="shared" si="180"/>
        <v>411.23000000000008</v>
      </c>
      <c r="R154" s="592"/>
      <c r="S154" s="2561">
        <v>0.41</v>
      </c>
      <c r="T154" s="592"/>
      <c r="U154" s="3210">
        <f t="shared" si="146"/>
        <v>411.6400000000001</v>
      </c>
      <c r="V154" s="592"/>
      <c r="W154" s="2561">
        <v>0.41</v>
      </c>
      <c r="X154" s="592"/>
      <c r="Y154" s="1135">
        <f t="shared" si="197"/>
        <v>1.23</v>
      </c>
      <c r="Z154" s="592"/>
      <c r="AA154" s="517">
        <f t="shared" si="198"/>
        <v>412.05000000000007</v>
      </c>
      <c r="AB154" s="592"/>
      <c r="AC154" s="2561"/>
      <c r="AD154" s="592"/>
      <c r="AE154" s="582">
        <f t="shared" si="192"/>
        <v>412.05000000000007</v>
      </c>
      <c r="AF154" s="592"/>
      <c r="AG154" s="2561"/>
      <c r="AH154" s="592"/>
      <c r="AI154" s="582">
        <f t="shared" si="193"/>
        <v>412.05000000000007</v>
      </c>
      <c r="AJ154" s="592"/>
      <c r="AK154" s="2561"/>
      <c r="AL154" s="592"/>
      <c r="AM154" s="1135">
        <f t="shared" si="204"/>
        <v>0</v>
      </c>
      <c r="AN154" s="592"/>
      <c r="AO154" s="582">
        <f t="shared" si="205"/>
        <v>412.05000000000007</v>
      </c>
      <c r="AP154" s="592"/>
      <c r="AQ154" s="2561"/>
      <c r="AR154" s="592"/>
      <c r="AS154" s="582">
        <f t="shared" si="194"/>
        <v>412.05000000000007</v>
      </c>
      <c r="AT154" s="592"/>
      <c r="AU154" s="2561"/>
      <c r="AV154" s="592"/>
      <c r="AW154" s="582">
        <f t="shared" si="195"/>
        <v>412.05000000000007</v>
      </c>
      <c r="AX154" s="592"/>
      <c r="AY154" s="2561"/>
      <c r="AZ154" s="592"/>
      <c r="BA154" s="1135">
        <f t="shared" si="200"/>
        <v>0</v>
      </c>
      <c r="BB154" s="592"/>
      <c r="BC154" s="517">
        <f t="shared" si="201"/>
        <v>0</v>
      </c>
      <c r="BD154" s="592"/>
      <c r="BE154" s="251">
        <f t="shared" si="220"/>
        <v>412.05000000000007</v>
      </c>
      <c r="BF154" s="1202"/>
      <c r="BH154" s="26"/>
      <c r="BI154" s="26"/>
    </row>
    <row r="155" spans="2:61" x14ac:dyDescent="0.3">
      <c r="B155" s="1699" t="s">
        <v>2265</v>
      </c>
      <c r="C155" s="2546" t="s">
        <v>354</v>
      </c>
      <c r="D155" s="3209"/>
      <c r="E155" s="2561"/>
      <c r="F155" s="2561"/>
      <c r="G155" s="2561"/>
      <c r="H155" s="2562"/>
      <c r="I155" s="3210">
        <f t="shared" si="144"/>
        <v>0</v>
      </c>
      <c r="J155" s="3197"/>
      <c r="K155" s="2561"/>
      <c r="L155" s="592"/>
      <c r="M155" s="1135">
        <f t="shared" si="191"/>
        <v>0</v>
      </c>
      <c r="N155" s="592"/>
      <c r="O155" s="2561"/>
      <c r="P155" s="592"/>
      <c r="Q155" s="1630">
        <f t="shared" si="180"/>
        <v>0</v>
      </c>
      <c r="R155" s="592"/>
      <c r="S155" s="2561"/>
      <c r="T155" s="592"/>
      <c r="U155" s="3210">
        <f t="shared" si="146"/>
        <v>0</v>
      </c>
      <c r="V155" s="592"/>
      <c r="W155" s="2561"/>
      <c r="X155" s="592"/>
      <c r="Y155" s="1135">
        <f t="shared" si="197"/>
        <v>0</v>
      </c>
      <c r="Z155" s="592"/>
      <c r="AA155" s="517">
        <f t="shared" si="198"/>
        <v>0</v>
      </c>
      <c r="AB155" s="592"/>
      <c r="AC155" s="2561"/>
      <c r="AD155" s="592"/>
      <c r="AE155" s="582">
        <f t="shared" si="192"/>
        <v>0</v>
      </c>
      <c r="AF155" s="592"/>
      <c r="AG155" s="2561"/>
      <c r="AH155" s="592"/>
      <c r="AI155" s="582">
        <f t="shared" si="193"/>
        <v>0</v>
      </c>
      <c r="AJ155" s="592"/>
      <c r="AK155" s="2561">
        <v>14.68</v>
      </c>
      <c r="AL155" s="592"/>
      <c r="AM155" s="1135">
        <f t="shared" si="204"/>
        <v>14.68</v>
      </c>
      <c r="AN155" s="592"/>
      <c r="AO155" s="582">
        <f t="shared" si="205"/>
        <v>14.68</v>
      </c>
      <c r="AP155" s="592"/>
      <c r="AQ155" s="2561"/>
      <c r="AR155" s="592"/>
      <c r="AS155" s="582">
        <f t="shared" si="194"/>
        <v>14.68</v>
      </c>
      <c r="AT155" s="592"/>
      <c r="AU155" s="2561"/>
      <c r="AV155" s="592"/>
      <c r="AW155" s="582">
        <f t="shared" si="195"/>
        <v>14.68</v>
      </c>
      <c r="AX155" s="592"/>
      <c r="AY155" s="2561"/>
      <c r="AZ155" s="592"/>
      <c r="BA155" s="1135">
        <f t="shared" si="200"/>
        <v>0</v>
      </c>
      <c r="BB155" s="592"/>
      <c r="BC155" s="517">
        <f t="shared" si="201"/>
        <v>14.68</v>
      </c>
      <c r="BD155" s="592"/>
      <c r="BE155" s="251">
        <f t="shared" si="220"/>
        <v>14.68</v>
      </c>
      <c r="BF155" s="1202"/>
      <c r="BH155" s="26"/>
      <c r="BI155" s="26"/>
    </row>
    <row r="156" spans="2:61" x14ac:dyDescent="0.3">
      <c r="B156" s="1699" t="s">
        <v>2130</v>
      </c>
      <c r="C156" s="2546" t="s">
        <v>354</v>
      </c>
      <c r="D156" s="3209"/>
      <c r="E156" s="2561"/>
      <c r="F156" s="2561"/>
      <c r="G156" s="2561"/>
      <c r="H156" s="2562"/>
      <c r="I156" s="3210">
        <f t="shared" si="144"/>
        <v>0</v>
      </c>
      <c r="J156" s="3197"/>
      <c r="K156" s="2561"/>
      <c r="L156" s="592"/>
      <c r="M156" s="1135">
        <f t="shared" si="191"/>
        <v>0</v>
      </c>
      <c r="N156" s="592"/>
      <c r="O156" s="2561"/>
      <c r="P156" s="592"/>
      <c r="Q156" s="1630">
        <f t="shared" si="180"/>
        <v>0</v>
      </c>
      <c r="R156" s="592"/>
      <c r="S156" s="2561"/>
      <c r="T156" s="592"/>
      <c r="U156" s="3210">
        <f t="shared" si="146"/>
        <v>0</v>
      </c>
      <c r="V156" s="592"/>
      <c r="W156" s="2561">
        <v>24.3</v>
      </c>
      <c r="X156" s="592"/>
      <c r="Y156" s="1135">
        <f t="shared" si="197"/>
        <v>24.3</v>
      </c>
      <c r="Z156" s="592"/>
      <c r="AA156" s="517">
        <f t="shared" si="198"/>
        <v>24.3</v>
      </c>
      <c r="AB156" s="592"/>
      <c r="AC156" s="2561">
        <v>69.524000000000001</v>
      </c>
      <c r="AD156" s="592"/>
      <c r="AE156" s="582">
        <f t="shared" si="192"/>
        <v>93.823999999999998</v>
      </c>
      <c r="AF156" s="592"/>
      <c r="AG156" s="2561"/>
      <c r="AH156" s="592"/>
      <c r="AI156" s="582">
        <f t="shared" si="193"/>
        <v>93.823999999999998</v>
      </c>
      <c r="AJ156" s="592"/>
      <c r="AK156" s="2561">
        <v>96.010999999999996</v>
      </c>
      <c r="AL156" s="592"/>
      <c r="AM156" s="1135">
        <f t="shared" si="204"/>
        <v>165.535</v>
      </c>
      <c r="AN156" s="592"/>
      <c r="AO156" s="582">
        <f t="shared" si="205"/>
        <v>189.83499999999998</v>
      </c>
      <c r="AP156" s="592"/>
      <c r="AQ156" s="2561">
        <v>93.967999999999989</v>
      </c>
      <c r="AR156" s="592"/>
      <c r="AS156" s="582">
        <f t="shared" si="194"/>
        <v>283.803</v>
      </c>
      <c r="AT156" s="592"/>
      <c r="AU156" s="2561"/>
      <c r="AV156" s="592"/>
      <c r="AW156" s="582">
        <f t="shared" si="195"/>
        <v>283.803</v>
      </c>
      <c r="AX156" s="592"/>
      <c r="AY156" s="2561"/>
      <c r="AZ156" s="592"/>
      <c r="BA156" s="1135">
        <f t="shared" si="200"/>
        <v>93.967999999999989</v>
      </c>
      <c r="BB156" s="592"/>
      <c r="BC156" s="517">
        <f t="shared" si="201"/>
        <v>259.50299999999999</v>
      </c>
      <c r="BD156" s="592"/>
      <c r="BE156" s="251">
        <f t="shared" si="220"/>
        <v>283.803</v>
      </c>
      <c r="BF156" s="1202"/>
      <c r="BH156" s="26"/>
      <c r="BI156" s="26"/>
    </row>
    <row r="157" spans="2:61" x14ac:dyDescent="0.3">
      <c r="B157" s="1699" t="s">
        <v>2128</v>
      </c>
      <c r="C157" s="2546" t="s">
        <v>354</v>
      </c>
      <c r="D157" s="3209"/>
      <c r="E157" s="2561"/>
      <c r="F157" s="2561"/>
      <c r="G157" s="2561"/>
      <c r="H157" s="2562"/>
      <c r="I157" s="3210">
        <f t="shared" si="144"/>
        <v>0</v>
      </c>
      <c r="J157" s="3197"/>
      <c r="K157" s="2561"/>
      <c r="L157" s="592"/>
      <c r="M157" s="1135">
        <f t="shared" si="191"/>
        <v>0</v>
      </c>
      <c r="N157" s="592"/>
      <c r="O157" s="2561"/>
      <c r="P157" s="592"/>
      <c r="Q157" s="1630">
        <f t="shared" si="180"/>
        <v>0</v>
      </c>
      <c r="R157" s="592"/>
      <c r="S157" s="2561"/>
      <c r="T157" s="592"/>
      <c r="U157" s="3210">
        <f t="shared" si="146"/>
        <v>0</v>
      </c>
      <c r="V157" s="592"/>
      <c r="W157" s="2561">
        <v>19.77</v>
      </c>
      <c r="X157" s="592"/>
      <c r="Y157" s="1135">
        <f t="shared" si="197"/>
        <v>19.77</v>
      </c>
      <c r="Z157" s="592"/>
      <c r="AA157" s="517">
        <f t="shared" si="198"/>
        <v>19.77</v>
      </c>
      <c r="AB157" s="592"/>
      <c r="AC157" s="2561"/>
      <c r="AD157" s="592"/>
      <c r="AE157" s="582">
        <f t="shared" ref="AE157" si="224">+AA157+AC157</f>
        <v>19.77</v>
      </c>
      <c r="AF157" s="592"/>
      <c r="AG157" s="2561"/>
      <c r="AH157" s="592"/>
      <c r="AI157" s="582">
        <f t="shared" si="193"/>
        <v>19.77</v>
      </c>
      <c r="AJ157" s="592"/>
      <c r="AK157" s="2561"/>
      <c r="AL157" s="592"/>
      <c r="AM157" s="1135">
        <f t="shared" si="204"/>
        <v>0</v>
      </c>
      <c r="AN157" s="592"/>
      <c r="AO157" s="582">
        <f t="shared" si="205"/>
        <v>19.77</v>
      </c>
      <c r="AP157" s="592"/>
      <c r="AQ157" s="2561"/>
      <c r="AR157" s="592"/>
      <c r="AS157" s="582">
        <f t="shared" si="194"/>
        <v>19.77</v>
      </c>
      <c r="AT157" s="592"/>
      <c r="AU157" s="2561">
        <v>14.41</v>
      </c>
      <c r="AV157" s="592"/>
      <c r="AW157" s="582">
        <f t="shared" si="195"/>
        <v>34.18</v>
      </c>
      <c r="AX157" s="592"/>
      <c r="AY157" s="2561"/>
      <c r="AZ157" s="592"/>
      <c r="BA157" s="1135">
        <f t="shared" si="200"/>
        <v>14.41</v>
      </c>
      <c r="BB157" s="592"/>
      <c r="BC157" s="517">
        <f t="shared" si="201"/>
        <v>14.41</v>
      </c>
      <c r="BD157" s="592"/>
      <c r="BE157" s="251">
        <f t="shared" si="220"/>
        <v>34.18</v>
      </c>
      <c r="BF157" s="1202"/>
      <c r="BH157" s="26"/>
      <c r="BI157" s="26"/>
    </row>
    <row r="158" spans="2:61" x14ac:dyDescent="0.3">
      <c r="B158" s="5345" t="s">
        <v>2336</v>
      </c>
      <c r="C158" s="5346"/>
      <c r="D158" s="4061"/>
      <c r="E158" s="5347"/>
      <c r="F158" s="5347"/>
      <c r="G158" s="5347"/>
      <c r="H158" s="5348"/>
      <c r="I158" s="5349"/>
      <c r="J158" s="5350"/>
      <c r="K158" s="5347"/>
      <c r="L158" s="5347"/>
      <c r="M158" s="5351"/>
      <c r="N158" s="5347"/>
      <c r="O158" s="5347"/>
      <c r="P158" s="5347"/>
      <c r="Q158" s="5352"/>
      <c r="R158" s="5347"/>
      <c r="S158" s="5347"/>
      <c r="T158" s="5347"/>
      <c r="U158" s="5349"/>
      <c r="V158" s="5347"/>
      <c r="W158" s="5347"/>
      <c r="X158" s="5347"/>
      <c r="Y158" s="5351"/>
      <c r="Z158" s="5347"/>
      <c r="AA158" s="5353"/>
      <c r="AB158" s="5347"/>
      <c r="AC158" s="5347"/>
      <c r="AD158" s="5347"/>
      <c r="AE158" s="5354"/>
      <c r="AF158" s="5347"/>
      <c r="AG158" s="5347"/>
      <c r="AH158" s="5347"/>
      <c r="AI158" s="5354"/>
      <c r="AJ158" s="5347"/>
      <c r="AK158" s="5347"/>
      <c r="AL158" s="5347"/>
      <c r="AM158" s="5351"/>
      <c r="AN158" s="5347"/>
      <c r="AO158" s="5354"/>
      <c r="AP158" s="5347"/>
      <c r="AQ158" s="5347"/>
      <c r="AR158" s="5347"/>
      <c r="AS158" s="5354"/>
      <c r="AT158" s="5347"/>
      <c r="AU158" s="5347"/>
      <c r="AV158" s="5347"/>
      <c r="AW158" s="5354"/>
      <c r="AX158" s="5347"/>
      <c r="AY158" s="5347">
        <v>1</v>
      </c>
      <c r="AZ158" s="5347"/>
      <c r="BA158" s="1135">
        <f t="shared" ref="BA158" si="225">+AQ158+AU158+AY158</f>
        <v>1</v>
      </c>
      <c r="BB158" s="592"/>
      <c r="BC158" s="517">
        <f t="shared" ref="BC158" si="226">BA158+AM158</f>
        <v>1</v>
      </c>
      <c r="BD158" s="592"/>
      <c r="BE158" s="251">
        <f t="shared" ref="BE158" si="227">+AW158+AY158</f>
        <v>1</v>
      </c>
      <c r="BF158" s="1202"/>
      <c r="BH158" s="26"/>
      <c r="BI158" s="26"/>
    </row>
    <row r="159" spans="2:61" x14ac:dyDescent="0.3">
      <c r="B159" s="1699" t="s">
        <v>1262</v>
      </c>
      <c r="C159" s="2546" t="s">
        <v>354</v>
      </c>
      <c r="D159" s="3209"/>
      <c r="E159" s="2561"/>
      <c r="F159" s="2561"/>
      <c r="G159" s="2561"/>
      <c r="H159" s="2562"/>
      <c r="I159" s="3210">
        <f t="shared" si="144"/>
        <v>0</v>
      </c>
      <c r="J159" s="3197"/>
      <c r="K159" s="2561"/>
      <c r="L159" s="592"/>
      <c r="M159" s="1135">
        <f t="shared" si="191"/>
        <v>0</v>
      </c>
      <c r="N159" s="592"/>
      <c r="O159" s="2561"/>
      <c r="P159" s="592"/>
      <c r="Q159" s="1630">
        <f t="shared" si="180"/>
        <v>0</v>
      </c>
      <c r="R159" s="1337"/>
      <c r="S159" s="2561">
        <v>990.53</v>
      </c>
      <c r="T159" s="592"/>
      <c r="U159" s="3210">
        <f t="shared" si="146"/>
        <v>990.53</v>
      </c>
      <c r="V159" s="1337"/>
      <c r="W159" s="2561">
        <v>881.71</v>
      </c>
      <c r="X159" s="592"/>
      <c r="Y159" s="1135">
        <f t="shared" si="197"/>
        <v>1872.24</v>
      </c>
      <c r="Z159" s="592"/>
      <c r="AA159" s="517">
        <f t="shared" si="198"/>
        <v>1872.24</v>
      </c>
      <c r="AB159" s="1337"/>
      <c r="AC159" s="2561">
        <v>98.21</v>
      </c>
      <c r="AD159" s="592"/>
      <c r="AE159" s="582">
        <f t="shared" ref="AE159:AE170" si="228">+AA159+AC159</f>
        <v>1970.45</v>
      </c>
      <c r="AF159" s="1337"/>
      <c r="AG159" s="2561">
        <v>377.04</v>
      </c>
      <c r="AH159" s="592"/>
      <c r="AI159" s="582">
        <f t="shared" si="193"/>
        <v>2347.4900000000002</v>
      </c>
      <c r="AJ159" s="1337"/>
      <c r="AK159" s="2561"/>
      <c r="AL159" s="1337"/>
      <c r="AM159" s="1135">
        <f t="shared" si="199"/>
        <v>475.25</v>
      </c>
      <c r="AN159" s="592"/>
      <c r="AO159" s="582">
        <f t="shared" ref="AO159:AO175" si="229">AI159+AK159</f>
        <v>2347.4900000000002</v>
      </c>
      <c r="AP159" s="1337"/>
      <c r="AQ159" s="2561"/>
      <c r="AR159" s="592"/>
      <c r="AS159" s="582">
        <f t="shared" si="194"/>
        <v>2347.4900000000002</v>
      </c>
      <c r="AT159" s="1337"/>
      <c r="AU159" s="2561"/>
      <c r="AV159" s="592"/>
      <c r="AW159" s="582">
        <f t="shared" si="195"/>
        <v>2347.4900000000002</v>
      </c>
      <c r="AX159" s="1337"/>
      <c r="AY159" s="2561"/>
      <c r="AZ159" s="1337"/>
      <c r="BA159" s="1135">
        <f t="shared" si="200"/>
        <v>0</v>
      </c>
      <c r="BB159" s="592"/>
      <c r="BC159" s="517">
        <f t="shared" si="201"/>
        <v>475.25</v>
      </c>
      <c r="BD159" s="592"/>
      <c r="BE159" s="251">
        <f t="shared" si="220"/>
        <v>2347.4900000000002</v>
      </c>
      <c r="BF159" s="1202"/>
      <c r="BH159" s="26"/>
      <c r="BI159" s="26"/>
    </row>
    <row r="160" spans="2:61" x14ac:dyDescent="0.3">
      <c r="B160" s="3211" t="s">
        <v>1078</v>
      </c>
      <c r="C160" s="2886" t="s">
        <v>354</v>
      </c>
      <c r="D160" s="2558"/>
      <c r="E160" s="2558">
        <f>+E161+E162</f>
        <v>1998.23</v>
      </c>
      <c r="F160" s="2558"/>
      <c r="G160" s="2558">
        <f>+G161+G162</f>
        <v>2363.3899999999994</v>
      </c>
      <c r="H160" s="2559"/>
      <c r="I160" s="3212">
        <f t="shared" ref="I160:I170" si="230">+E160+G160</f>
        <v>4361.619999999999</v>
      </c>
      <c r="J160" s="3198"/>
      <c r="K160" s="2558">
        <f>+K161+K162</f>
        <v>1740.03</v>
      </c>
      <c r="L160" s="1337"/>
      <c r="M160" s="2196">
        <f t="shared" si="191"/>
        <v>6101.6499999999987</v>
      </c>
      <c r="N160" s="1337"/>
      <c r="O160" s="2558">
        <f>+O161+O162</f>
        <v>1795.7100000000003</v>
      </c>
      <c r="P160" s="1337"/>
      <c r="Q160" s="1630">
        <f t="shared" si="180"/>
        <v>7897.3599999999988</v>
      </c>
      <c r="R160" s="592"/>
      <c r="S160" s="2558">
        <f>+S161+S162</f>
        <v>2242.7199999999998</v>
      </c>
      <c r="T160" s="1337"/>
      <c r="U160" s="3210">
        <f t="shared" si="146"/>
        <v>10140.079999999998</v>
      </c>
      <c r="V160" s="592"/>
      <c r="W160" s="2558">
        <f>+W161+W162</f>
        <v>2195.0300000000002</v>
      </c>
      <c r="X160" s="1337"/>
      <c r="Y160" s="2196">
        <f t="shared" si="197"/>
        <v>6233.4600000000009</v>
      </c>
      <c r="Z160" s="197"/>
      <c r="AA160" s="517">
        <f t="shared" si="198"/>
        <v>12335.11</v>
      </c>
      <c r="AB160" s="592"/>
      <c r="AC160" s="2558">
        <f>+AC161+AC162</f>
        <v>1789.28</v>
      </c>
      <c r="AD160" s="1337"/>
      <c r="AE160" s="1337">
        <f t="shared" si="228"/>
        <v>14124.390000000001</v>
      </c>
      <c r="AF160" s="592"/>
      <c r="AG160" s="2558">
        <f>+AG161+AG162</f>
        <v>2248.61</v>
      </c>
      <c r="AH160" s="1337"/>
      <c r="AI160" s="1337">
        <f t="shared" si="193"/>
        <v>16373.000000000002</v>
      </c>
      <c r="AJ160" s="592"/>
      <c r="AK160" s="2558">
        <f>+AK161+AK162</f>
        <v>2496.41</v>
      </c>
      <c r="AL160" s="592"/>
      <c r="AM160" s="2196">
        <f t="shared" si="199"/>
        <v>6534.3</v>
      </c>
      <c r="AN160" s="1337"/>
      <c r="AO160" s="1337">
        <f t="shared" si="229"/>
        <v>18869.410000000003</v>
      </c>
      <c r="AP160" s="592"/>
      <c r="AQ160" s="2558">
        <f>+AQ161+AQ162</f>
        <v>2182.02</v>
      </c>
      <c r="AR160" s="1337"/>
      <c r="AS160" s="1337">
        <f t="shared" ref="AS160:AS170" si="231">+AO160+AQ160</f>
        <v>21051.430000000004</v>
      </c>
      <c r="AT160" s="592"/>
      <c r="AU160" s="2558">
        <f>+AU161+AU162</f>
        <v>2194.7799999999993</v>
      </c>
      <c r="AV160" s="1337"/>
      <c r="AW160" s="1337">
        <f t="shared" si="195"/>
        <v>23246.210000000003</v>
      </c>
      <c r="AX160" s="592"/>
      <c r="AY160" s="2558">
        <f>+AY161+AY162</f>
        <v>2484.5900000000006</v>
      </c>
      <c r="AZ160" s="592"/>
      <c r="BA160" s="2196">
        <f t="shared" si="200"/>
        <v>6861.3899999999994</v>
      </c>
      <c r="BB160" s="197"/>
      <c r="BC160" s="517">
        <f t="shared" si="201"/>
        <v>13395.689999999999</v>
      </c>
      <c r="BD160" s="1337"/>
      <c r="BE160" s="1337">
        <f t="shared" si="220"/>
        <v>25730.800000000003</v>
      </c>
      <c r="BF160" s="1202"/>
      <c r="BH160" s="26"/>
      <c r="BI160" s="26"/>
    </row>
    <row r="161" spans="1:61" x14ac:dyDescent="0.3">
      <c r="B161" s="1794" t="s">
        <v>1102</v>
      </c>
      <c r="C161" s="2546" t="s">
        <v>354</v>
      </c>
      <c r="D161" s="1290"/>
      <c r="E161" s="2561">
        <v>1998.23</v>
      </c>
      <c r="F161" s="2561"/>
      <c r="G161" s="2561">
        <v>2316.2999999999993</v>
      </c>
      <c r="H161" s="2562"/>
      <c r="I161" s="3210">
        <f t="shared" si="230"/>
        <v>4314.5299999999988</v>
      </c>
      <c r="J161" s="3197"/>
      <c r="K161" s="2561">
        <v>1493.97</v>
      </c>
      <c r="L161" s="592"/>
      <c r="M161" s="1135">
        <f t="shared" si="191"/>
        <v>5808.4999999999991</v>
      </c>
      <c r="N161" s="592"/>
      <c r="O161" s="2561">
        <v>1795.7100000000003</v>
      </c>
      <c r="P161" s="592"/>
      <c r="Q161" s="1630">
        <f t="shared" si="180"/>
        <v>7604.2099999999991</v>
      </c>
      <c r="R161" s="1121"/>
      <c r="S161" s="2561">
        <v>1943.35</v>
      </c>
      <c r="T161" s="592"/>
      <c r="U161" s="3210">
        <f t="shared" si="146"/>
        <v>9547.56</v>
      </c>
      <c r="V161" s="1121"/>
      <c r="W161" s="2561">
        <v>2195.0300000000002</v>
      </c>
      <c r="X161" s="592"/>
      <c r="Y161" s="1135">
        <f t="shared" si="197"/>
        <v>5934.09</v>
      </c>
      <c r="Z161" s="592"/>
      <c r="AA161" s="517">
        <f t="shared" si="198"/>
        <v>11742.59</v>
      </c>
      <c r="AB161" s="1121"/>
      <c r="AC161" s="2561">
        <v>1789.28</v>
      </c>
      <c r="AD161" s="592"/>
      <c r="AE161" s="582">
        <f t="shared" si="228"/>
        <v>13531.87</v>
      </c>
      <c r="AF161" s="1121"/>
      <c r="AG161" s="2561">
        <v>1948.72</v>
      </c>
      <c r="AH161" s="592"/>
      <c r="AI161" s="582">
        <f t="shared" si="193"/>
        <v>15480.59</v>
      </c>
      <c r="AJ161" s="1121"/>
      <c r="AK161" s="2561">
        <v>2496.41</v>
      </c>
      <c r="AL161" s="1121"/>
      <c r="AM161" s="1135">
        <f t="shared" si="199"/>
        <v>6234.41</v>
      </c>
      <c r="AN161" s="592"/>
      <c r="AO161" s="582">
        <f t="shared" si="229"/>
        <v>17977</v>
      </c>
      <c r="AP161" s="1121"/>
      <c r="AQ161" s="2561">
        <v>2182.02</v>
      </c>
      <c r="AR161" s="592"/>
      <c r="AS161" s="582">
        <f t="shared" si="231"/>
        <v>20159.02</v>
      </c>
      <c r="AT161" s="1121"/>
      <c r="AU161" s="2561">
        <v>2194.7799999999993</v>
      </c>
      <c r="AV161" s="592"/>
      <c r="AW161" s="582">
        <f t="shared" si="195"/>
        <v>22353.8</v>
      </c>
      <c r="AX161" s="1121"/>
      <c r="AY161" s="2561">
        <v>2484.5900000000006</v>
      </c>
      <c r="AZ161" s="1121"/>
      <c r="BA161" s="1135">
        <f t="shared" si="200"/>
        <v>6861.3899999999994</v>
      </c>
      <c r="BB161" s="592"/>
      <c r="BC161" s="517">
        <f t="shared" si="201"/>
        <v>13095.8</v>
      </c>
      <c r="BD161" s="592"/>
      <c r="BE161" s="251">
        <f t="shared" si="220"/>
        <v>24838.39</v>
      </c>
      <c r="BF161" s="1202"/>
      <c r="BH161" s="26"/>
      <c r="BI161" s="26"/>
    </row>
    <row r="162" spans="1:61" x14ac:dyDescent="0.3">
      <c r="B162" s="1794" t="s">
        <v>1103</v>
      </c>
      <c r="C162" s="2546" t="s">
        <v>354</v>
      </c>
      <c r="D162" s="1290"/>
      <c r="E162" s="2891"/>
      <c r="F162" s="2891"/>
      <c r="G162" s="2891">
        <v>47.09</v>
      </c>
      <c r="H162" s="2559"/>
      <c r="I162" s="3212">
        <f t="shared" si="230"/>
        <v>47.09</v>
      </c>
      <c r="J162" s="1896"/>
      <c r="K162" s="2891">
        <v>246.06</v>
      </c>
      <c r="L162" s="1121"/>
      <c r="M162" s="1135">
        <f t="shared" si="191"/>
        <v>293.14999999999998</v>
      </c>
      <c r="N162" s="1121"/>
      <c r="O162" s="2891"/>
      <c r="P162" s="1121"/>
      <c r="Q162" s="1630">
        <f t="shared" si="180"/>
        <v>293.14999999999998</v>
      </c>
      <c r="R162" s="346"/>
      <c r="S162" s="2891">
        <v>299.37</v>
      </c>
      <c r="T162" s="1121"/>
      <c r="U162" s="3210">
        <f t="shared" si="146"/>
        <v>592.52</v>
      </c>
      <c r="V162" s="346"/>
      <c r="W162" s="2891"/>
      <c r="X162" s="1121"/>
      <c r="Y162" s="1135">
        <f t="shared" si="197"/>
        <v>299.37</v>
      </c>
      <c r="Z162" s="592"/>
      <c r="AA162" s="517">
        <f t="shared" si="198"/>
        <v>592.52</v>
      </c>
      <c r="AB162" s="346"/>
      <c r="AC162" s="2891"/>
      <c r="AD162" s="1121"/>
      <c r="AE162" s="582">
        <f t="shared" si="228"/>
        <v>592.52</v>
      </c>
      <c r="AF162" s="346"/>
      <c r="AG162" s="2891">
        <v>299.89</v>
      </c>
      <c r="AH162" s="1121"/>
      <c r="AI162" s="582">
        <f t="shared" si="193"/>
        <v>892.41</v>
      </c>
      <c r="AJ162" s="346"/>
      <c r="AK162" s="2891"/>
      <c r="AL162" s="346"/>
      <c r="AM162" s="1135">
        <f t="shared" si="199"/>
        <v>299.89</v>
      </c>
      <c r="AN162" s="1121"/>
      <c r="AO162" s="582">
        <f t="shared" si="229"/>
        <v>892.41</v>
      </c>
      <c r="AP162" s="346"/>
      <c r="AQ162" s="2891"/>
      <c r="AR162" s="1121"/>
      <c r="AS162" s="582">
        <f t="shared" si="231"/>
        <v>892.41</v>
      </c>
      <c r="AT162" s="346"/>
      <c r="AU162" s="2891"/>
      <c r="AV162" s="1121"/>
      <c r="AW162" s="582">
        <f t="shared" si="195"/>
        <v>892.41</v>
      </c>
      <c r="AX162" s="346"/>
      <c r="AY162" s="2891"/>
      <c r="AZ162" s="346"/>
      <c r="BA162" s="1135">
        <f t="shared" si="200"/>
        <v>0</v>
      </c>
      <c r="BB162" s="592"/>
      <c r="BC162" s="517">
        <f t="shared" si="201"/>
        <v>299.89</v>
      </c>
      <c r="BD162" s="1121"/>
      <c r="BE162" s="251">
        <f t="shared" si="220"/>
        <v>892.41</v>
      </c>
      <c r="BF162" s="1202"/>
      <c r="BH162" s="26"/>
      <c r="BI162" s="26"/>
    </row>
    <row r="163" spans="1:61" x14ac:dyDescent="0.3">
      <c r="B163" s="5449" t="s">
        <v>2335</v>
      </c>
      <c r="C163" s="2546" t="s">
        <v>354</v>
      </c>
      <c r="D163" s="1290"/>
      <c r="E163" s="5369"/>
      <c r="F163" s="5369"/>
      <c r="G163" s="5369"/>
      <c r="H163" s="5358"/>
      <c r="I163" s="5446"/>
      <c r="J163" s="5447"/>
      <c r="K163" s="5369"/>
      <c r="L163" s="5369"/>
      <c r="M163" s="5351"/>
      <c r="N163" s="5369"/>
      <c r="O163" s="5369"/>
      <c r="P163" s="5369"/>
      <c r="Q163" s="5352"/>
      <c r="R163" s="5448"/>
      <c r="S163" s="5369"/>
      <c r="T163" s="5369"/>
      <c r="U163" s="5349"/>
      <c r="V163" s="5448"/>
      <c r="W163" s="5369"/>
      <c r="X163" s="5369"/>
      <c r="Y163" s="5351"/>
      <c r="Z163" s="5347"/>
      <c r="AA163" s="5353"/>
      <c r="AB163" s="5448"/>
      <c r="AC163" s="5369"/>
      <c r="AD163" s="5369"/>
      <c r="AE163" s="5354"/>
      <c r="AF163" s="5448"/>
      <c r="AG163" s="5369"/>
      <c r="AH163" s="5369"/>
      <c r="AI163" s="5354"/>
      <c r="AJ163" s="5448"/>
      <c r="AK163" s="5369"/>
      <c r="AL163" s="5448"/>
      <c r="AM163" s="5351"/>
      <c r="AN163" s="5369"/>
      <c r="AO163" s="5354"/>
      <c r="AP163" s="5448"/>
      <c r="AQ163" s="5369"/>
      <c r="AR163" s="5369"/>
      <c r="AS163" s="5354"/>
      <c r="AT163" s="5448"/>
      <c r="AU163" s="5369"/>
      <c r="AV163" s="5369"/>
      <c r="AW163" s="5354"/>
      <c r="AX163" s="5448"/>
      <c r="AY163" s="5369">
        <v>139.88</v>
      </c>
      <c r="AZ163" s="5448"/>
      <c r="BA163" s="1135">
        <f t="shared" ref="BA163" si="232">+AQ163+AU163+AY163</f>
        <v>139.88</v>
      </c>
      <c r="BB163" s="592"/>
      <c r="BC163" s="517">
        <f t="shared" ref="BC163" si="233">BA163+AM163</f>
        <v>139.88</v>
      </c>
      <c r="BD163" s="1121"/>
      <c r="BE163" s="251">
        <f t="shared" ref="BE163" si="234">+AW163+AY163</f>
        <v>139.88</v>
      </c>
      <c r="BF163" s="1202"/>
      <c r="BH163" s="26"/>
      <c r="BI163" s="26"/>
    </row>
    <row r="164" spans="1:61" x14ac:dyDescent="0.3">
      <c r="B164" s="3324" t="s">
        <v>2334</v>
      </c>
      <c r="C164" s="2546" t="s">
        <v>354</v>
      </c>
      <c r="D164" s="1290"/>
      <c r="E164" s="2891"/>
      <c r="F164" s="2891"/>
      <c r="G164" s="2891"/>
      <c r="H164" s="2559"/>
      <c r="I164" s="3213">
        <f t="shared" si="230"/>
        <v>0</v>
      </c>
      <c r="J164" s="1896"/>
      <c r="K164" s="2891"/>
      <c r="L164" s="1121"/>
      <c r="M164" s="1135">
        <f t="shared" si="191"/>
        <v>0</v>
      </c>
      <c r="N164" s="1121"/>
      <c r="O164" s="2891">
        <v>29.34</v>
      </c>
      <c r="P164" s="1121"/>
      <c r="Q164" s="1630">
        <f t="shared" si="180"/>
        <v>29.34</v>
      </c>
      <c r="R164" s="346"/>
      <c r="S164" s="2891"/>
      <c r="T164" s="1121"/>
      <c r="U164" s="3210">
        <f t="shared" si="146"/>
        <v>29.34</v>
      </c>
      <c r="V164" s="346"/>
      <c r="W164" s="2891"/>
      <c r="X164" s="1121"/>
      <c r="Y164" s="1135">
        <f t="shared" si="197"/>
        <v>29.34</v>
      </c>
      <c r="Z164" s="592"/>
      <c r="AA164" s="517">
        <f t="shared" si="198"/>
        <v>29.34</v>
      </c>
      <c r="AB164" s="346"/>
      <c r="AC164" s="2891"/>
      <c r="AD164" s="1121"/>
      <c r="AE164" s="582">
        <f t="shared" si="228"/>
        <v>29.34</v>
      </c>
      <c r="AF164" s="346"/>
      <c r="AG164" s="2891"/>
      <c r="AH164" s="1121"/>
      <c r="AI164" s="582">
        <f t="shared" si="193"/>
        <v>29.34</v>
      </c>
      <c r="AJ164" s="346"/>
      <c r="AK164" s="2891"/>
      <c r="AL164" s="346"/>
      <c r="AM164" s="1135">
        <f t="shared" si="199"/>
        <v>0</v>
      </c>
      <c r="AN164" s="1121"/>
      <c r="AO164" s="582">
        <f t="shared" si="229"/>
        <v>29.34</v>
      </c>
      <c r="AP164" s="346"/>
      <c r="AQ164" s="2891"/>
      <c r="AR164" s="1121"/>
      <c r="AS164" s="582">
        <f t="shared" si="231"/>
        <v>29.34</v>
      </c>
      <c r="AT164" s="346"/>
      <c r="AU164" s="2891"/>
      <c r="AV164" s="1121"/>
      <c r="AW164" s="582">
        <f t="shared" si="195"/>
        <v>29.34</v>
      </c>
      <c r="AX164" s="346"/>
      <c r="AY164" s="2891"/>
      <c r="AZ164" s="346"/>
      <c r="BA164" s="1135">
        <f t="shared" si="200"/>
        <v>0</v>
      </c>
      <c r="BB164" s="592"/>
      <c r="BC164" s="517">
        <f t="shared" si="201"/>
        <v>0</v>
      </c>
      <c r="BD164" s="1121"/>
      <c r="BE164" s="251">
        <f t="shared" si="220"/>
        <v>29.34</v>
      </c>
      <c r="BF164" s="1202"/>
      <c r="BH164" s="26"/>
      <c r="BI164" s="26"/>
    </row>
    <row r="165" spans="1:61" x14ac:dyDescent="0.3">
      <c r="B165" s="1699" t="s">
        <v>2073</v>
      </c>
      <c r="C165" s="2546" t="s">
        <v>354</v>
      </c>
      <c r="D165" s="1290"/>
      <c r="E165" s="2710"/>
      <c r="F165" s="2710"/>
      <c r="G165" s="2710"/>
      <c r="H165" s="3214"/>
      <c r="I165" s="3213">
        <f t="shared" si="230"/>
        <v>0</v>
      </c>
      <c r="J165" s="3199"/>
      <c r="K165" s="2710"/>
      <c r="L165" s="346"/>
      <c r="M165" s="1135">
        <f t="shared" si="191"/>
        <v>0</v>
      </c>
      <c r="N165" s="346"/>
      <c r="O165" s="2632">
        <v>30</v>
      </c>
      <c r="P165" s="346"/>
      <c r="Q165" s="1630">
        <f t="shared" si="180"/>
        <v>30</v>
      </c>
      <c r="R165" s="1118"/>
      <c r="S165" s="2710"/>
      <c r="T165" s="346"/>
      <c r="U165" s="3210">
        <f t="shared" si="146"/>
        <v>30</v>
      </c>
      <c r="V165" s="1118"/>
      <c r="W165" s="2710"/>
      <c r="X165" s="346"/>
      <c r="Y165" s="1135">
        <f t="shared" si="197"/>
        <v>30</v>
      </c>
      <c r="Z165" s="592"/>
      <c r="AA165" s="517">
        <f t="shared" si="198"/>
        <v>30</v>
      </c>
      <c r="AB165" s="1118"/>
      <c r="AC165" s="2710"/>
      <c r="AD165" s="346"/>
      <c r="AE165" s="582">
        <f t="shared" si="228"/>
        <v>30</v>
      </c>
      <c r="AF165" s="1118"/>
      <c r="AG165" s="2710"/>
      <c r="AH165" s="346"/>
      <c r="AI165" s="582">
        <f t="shared" si="193"/>
        <v>30</v>
      </c>
      <c r="AJ165" s="1118"/>
      <c r="AK165" s="2710"/>
      <c r="AL165" s="1118"/>
      <c r="AM165" s="1135">
        <f t="shared" si="199"/>
        <v>0</v>
      </c>
      <c r="AN165" s="346"/>
      <c r="AO165" s="582">
        <f t="shared" si="229"/>
        <v>30</v>
      </c>
      <c r="AP165" s="1118"/>
      <c r="AQ165" s="2710"/>
      <c r="AR165" s="346"/>
      <c r="AS165" s="582">
        <f t="shared" si="231"/>
        <v>30</v>
      </c>
      <c r="AT165" s="1118"/>
      <c r="AU165" s="2710"/>
      <c r="AV165" s="346"/>
      <c r="AW165" s="582">
        <f t="shared" si="195"/>
        <v>30</v>
      </c>
      <c r="AX165" s="1118"/>
      <c r="AY165" s="2710"/>
      <c r="AZ165" s="1118"/>
      <c r="BA165" s="1135">
        <f t="shared" si="200"/>
        <v>0</v>
      </c>
      <c r="BB165" s="592"/>
      <c r="BC165" s="517">
        <f t="shared" si="201"/>
        <v>0</v>
      </c>
      <c r="BD165" s="346"/>
      <c r="BE165" s="251">
        <f t="shared" si="220"/>
        <v>30</v>
      </c>
      <c r="BF165" s="1202"/>
      <c r="BH165" s="26"/>
      <c r="BI165" s="26"/>
    </row>
    <row r="166" spans="1:61" x14ac:dyDescent="0.3">
      <c r="B166" s="5345" t="s">
        <v>2337</v>
      </c>
      <c r="C166" s="5346"/>
      <c r="D166" s="1290"/>
      <c r="E166" s="5448"/>
      <c r="F166" s="5448"/>
      <c r="G166" s="5448"/>
      <c r="H166" s="5417"/>
      <c r="I166" s="5450"/>
      <c r="J166" s="5451"/>
      <c r="K166" s="5448"/>
      <c r="L166" s="5448"/>
      <c r="M166" s="5351"/>
      <c r="N166" s="5448"/>
      <c r="O166" s="5611"/>
      <c r="P166" s="5448"/>
      <c r="Q166" s="5352"/>
      <c r="R166" s="5308"/>
      <c r="S166" s="5448"/>
      <c r="T166" s="5448"/>
      <c r="U166" s="5349"/>
      <c r="V166" s="5308"/>
      <c r="W166" s="5448"/>
      <c r="X166" s="5448"/>
      <c r="Y166" s="5351"/>
      <c r="Z166" s="5347"/>
      <c r="AA166" s="5353"/>
      <c r="AB166" s="5308"/>
      <c r="AC166" s="5448"/>
      <c r="AD166" s="5448"/>
      <c r="AE166" s="5354"/>
      <c r="AF166" s="5308"/>
      <c r="AG166" s="5448"/>
      <c r="AH166" s="5448"/>
      <c r="AI166" s="5354"/>
      <c r="AJ166" s="5308"/>
      <c r="AK166" s="5448"/>
      <c r="AL166" s="5308"/>
      <c r="AM166" s="5351"/>
      <c r="AN166" s="5448"/>
      <c r="AO166" s="5354"/>
      <c r="AP166" s="5308"/>
      <c r="AQ166" s="5448"/>
      <c r="AR166" s="5448"/>
      <c r="AS166" s="5354"/>
      <c r="AT166" s="5308"/>
      <c r="AU166" s="5448"/>
      <c r="AV166" s="5448"/>
      <c r="AW166" s="5354"/>
      <c r="AX166" s="5308"/>
      <c r="AY166" s="5448">
        <v>3</v>
      </c>
      <c r="AZ166" s="5308"/>
      <c r="BA166" s="1135">
        <f t="shared" si="200"/>
        <v>3</v>
      </c>
      <c r="BB166" s="5347"/>
      <c r="BC166" s="517">
        <f t="shared" si="201"/>
        <v>3</v>
      </c>
      <c r="BD166" s="5448"/>
      <c r="BE166" s="251">
        <f t="shared" si="220"/>
        <v>3</v>
      </c>
      <c r="BF166" s="1202"/>
      <c r="BH166" s="26"/>
      <c r="BI166" s="26"/>
    </row>
    <row r="167" spans="1:61" x14ac:dyDescent="0.3">
      <c r="B167" s="1699" t="s">
        <v>2072</v>
      </c>
      <c r="C167" s="2546" t="s">
        <v>354</v>
      </c>
      <c r="D167" s="1290"/>
      <c r="E167" s="2710"/>
      <c r="F167" s="2710"/>
      <c r="G167" s="2710"/>
      <c r="H167" s="3214"/>
      <c r="I167" s="3213">
        <f t="shared" si="230"/>
        <v>0</v>
      </c>
      <c r="J167" s="3199"/>
      <c r="K167" s="2710"/>
      <c r="L167" s="2526"/>
      <c r="M167" s="1135">
        <f t="shared" si="191"/>
        <v>0</v>
      </c>
      <c r="N167" s="2526"/>
      <c r="O167" s="2632">
        <v>9.8800000000000008</v>
      </c>
      <c r="P167" s="2526"/>
      <c r="Q167" s="1630">
        <f t="shared" si="180"/>
        <v>9.8800000000000008</v>
      </c>
      <c r="R167" s="2422"/>
      <c r="S167" s="2710"/>
      <c r="T167" s="2526"/>
      <c r="U167" s="3210">
        <f t="shared" si="146"/>
        <v>9.8800000000000008</v>
      </c>
      <c r="V167" s="2422"/>
      <c r="W167" s="2710"/>
      <c r="X167" s="2526"/>
      <c r="Y167" s="2440">
        <f t="shared" si="197"/>
        <v>9.8800000000000008</v>
      </c>
      <c r="Z167" s="592"/>
      <c r="AA167" s="517">
        <f t="shared" si="198"/>
        <v>9.8800000000000008</v>
      </c>
      <c r="AB167" s="2422"/>
      <c r="AC167" s="2710"/>
      <c r="AD167" s="2526"/>
      <c r="AE167" s="582">
        <f t="shared" si="228"/>
        <v>9.8800000000000008</v>
      </c>
      <c r="AF167" s="2422"/>
      <c r="AG167" s="2710"/>
      <c r="AH167" s="2526"/>
      <c r="AI167" s="2439">
        <f t="shared" si="193"/>
        <v>9.8800000000000008</v>
      </c>
      <c r="AJ167" s="2422"/>
      <c r="AK167" s="2710"/>
      <c r="AL167" s="2422"/>
      <c r="AM167" s="2440">
        <f t="shared" si="199"/>
        <v>0</v>
      </c>
      <c r="AN167" s="2526"/>
      <c r="AO167" s="582">
        <f t="shared" si="229"/>
        <v>9.8800000000000008</v>
      </c>
      <c r="AP167" s="2422"/>
      <c r="AQ167" s="2710"/>
      <c r="AR167" s="2526"/>
      <c r="AS167" s="582">
        <f t="shared" si="231"/>
        <v>9.8800000000000008</v>
      </c>
      <c r="AT167" s="2422"/>
      <c r="AU167" s="2710"/>
      <c r="AV167" s="2526"/>
      <c r="AW167" s="582">
        <f t="shared" si="195"/>
        <v>9.8800000000000008</v>
      </c>
      <c r="AX167" s="2422"/>
      <c r="AY167" s="2710"/>
      <c r="AZ167" s="2422"/>
      <c r="BA167" s="2440">
        <f t="shared" si="200"/>
        <v>0</v>
      </c>
      <c r="BB167" s="592"/>
      <c r="BC167" s="517">
        <f t="shared" ref="BC167" si="235">BA167+AM167</f>
        <v>0</v>
      </c>
      <c r="BD167" s="346"/>
      <c r="BE167" s="251">
        <f t="shared" ref="BE167" si="236">+AW167+AY167</f>
        <v>9.8800000000000008</v>
      </c>
      <c r="BF167" s="1202"/>
      <c r="BH167" s="26"/>
      <c r="BI167" s="26"/>
    </row>
    <row r="168" spans="1:61" x14ac:dyDescent="0.3">
      <c r="B168" s="1699" t="s">
        <v>1448</v>
      </c>
      <c r="C168" s="2546" t="s">
        <v>354</v>
      </c>
      <c r="D168" s="1290"/>
      <c r="E168" s="2599"/>
      <c r="F168" s="2599"/>
      <c r="G168" s="2599"/>
      <c r="H168" s="3215"/>
      <c r="I168" s="3213">
        <f t="shared" si="230"/>
        <v>0</v>
      </c>
      <c r="J168" s="2198"/>
      <c r="K168" s="2599"/>
      <c r="L168" s="1118"/>
      <c r="M168" s="1135">
        <f t="shared" si="191"/>
        <v>0</v>
      </c>
      <c r="N168" s="1118"/>
      <c r="O168" s="2599"/>
      <c r="P168" s="1118"/>
      <c r="Q168" s="1630">
        <f t="shared" si="180"/>
        <v>0</v>
      </c>
      <c r="R168" s="1118"/>
      <c r="S168" s="2599">
        <v>3.49</v>
      </c>
      <c r="T168" s="1118"/>
      <c r="U168" s="3210">
        <f t="shared" si="146"/>
        <v>3.49</v>
      </c>
      <c r="V168" s="1118"/>
      <c r="W168" s="2599"/>
      <c r="X168" s="1118"/>
      <c r="Y168" s="1135">
        <f t="shared" si="197"/>
        <v>3.49</v>
      </c>
      <c r="Z168" s="592"/>
      <c r="AA168" s="517">
        <f t="shared" si="198"/>
        <v>3.49</v>
      </c>
      <c r="AB168" s="1118"/>
      <c r="AC168" s="2599"/>
      <c r="AD168" s="1118"/>
      <c r="AE168" s="582">
        <f t="shared" si="228"/>
        <v>3.49</v>
      </c>
      <c r="AF168" s="1118"/>
      <c r="AG168" s="2599"/>
      <c r="AH168" s="1118"/>
      <c r="AI168" s="582">
        <f t="shared" si="193"/>
        <v>3.49</v>
      </c>
      <c r="AJ168" s="1118"/>
      <c r="AK168" s="2599"/>
      <c r="AL168" s="1118"/>
      <c r="AM168" s="1135">
        <f t="shared" si="199"/>
        <v>0</v>
      </c>
      <c r="AN168" s="1118"/>
      <c r="AO168" s="582">
        <f t="shared" si="229"/>
        <v>3.49</v>
      </c>
      <c r="AP168" s="1118"/>
      <c r="AQ168" s="2599"/>
      <c r="AR168" s="1118"/>
      <c r="AS168" s="582">
        <f t="shared" si="231"/>
        <v>3.49</v>
      </c>
      <c r="AT168" s="1118"/>
      <c r="AU168" s="2599"/>
      <c r="AV168" s="1118"/>
      <c r="AW168" s="582">
        <f t="shared" si="195"/>
        <v>3.49</v>
      </c>
      <c r="AX168" s="1118"/>
      <c r="AY168" s="2599"/>
      <c r="AZ168" s="1118"/>
      <c r="BA168" s="1135">
        <f t="shared" si="200"/>
        <v>0</v>
      </c>
      <c r="BB168" s="592"/>
      <c r="BC168" s="517">
        <f t="shared" si="201"/>
        <v>0</v>
      </c>
      <c r="BD168" s="1118"/>
      <c r="BE168" s="251">
        <f t="shared" si="220"/>
        <v>3.49</v>
      </c>
      <c r="BF168" s="1202"/>
      <c r="BH168" s="26"/>
      <c r="BI168" s="26"/>
    </row>
    <row r="169" spans="1:61" ht="16.2" thickBot="1" x14ac:dyDescent="0.35">
      <c r="B169" s="1699" t="s">
        <v>2105</v>
      </c>
      <c r="C169" s="2546" t="s">
        <v>354</v>
      </c>
      <c r="D169" s="1290"/>
      <c r="E169" s="2599"/>
      <c r="F169" s="2599"/>
      <c r="G169" s="2599"/>
      <c r="H169" s="3215"/>
      <c r="I169" s="3216">
        <f t="shared" si="230"/>
        <v>0</v>
      </c>
      <c r="J169" s="2198"/>
      <c r="K169" s="2599"/>
      <c r="L169" s="1118"/>
      <c r="M169" s="1135">
        <f t="shared" si="191"/>
        <v>0</v>
      </c>
      <c r="N169" s="1118"/>
      <c r="O169" s="2599"/>
      <c r="P169" s="1118"/>
      <c r="Q169" s="1630">
        <f t="shared" si="180"/>
        <v>0</v>
      </c>
      <c r="R169" s="1626"/>
      <c r="S169" s="2599">
        <v>8.86</v>
      </c>
      <c r="T169" s="1118"/>
      <c r="U169" s="3210">
        <f t="shared" si="146"/>
        <v>8.86</v>
      </c>
      <c r="V169" s="1626"/>
      <c r="W169" s="2599"/>
      <c r="X169" s="1118"/>
      <c r="Y169" s="1135">
        <f t="shared" si="197"/>
        <v>8.86</v>
      </c>
      <c r="Z169" s="592"/>
      <c r="AA169" s="517">
        <f t="shared" si="198"/>
        <v>8.86</v>
      </c>
      <c r="AB169" s="1626"/>
      <c r="AC169" s="2599"/>
      <c r="AD169" s="1118"/>
      <c r="AE169" s="582">
        <f t="shared" si="228"/>
        <v>8.86</v>
      </c>
      <c r="AF169" s="1626"/>
      <c r="AG169" s="2599"/>
      <c r="AH169" s="1118"/>
      <c r="AI169" s="582">
        <f t="shared" si="193"/>
        <v>8.86</v>
      </c>
      <c r="AJ169" s="1626"/>
      <c r="AK169" s="2599"/>
      <c r="AL169" s="1626"/>
      <c r="AM169" s="1135">
        <f t="shared" si="199"/>
        <v>0</v>
      </c>
      <c r="AN169" s="1118"/>
      <c r="AO169" s="582">
        <f t="shared" si="229"/>
        <v>8.86</v>
      </c>
      <c r="AP169" s="1626"/>
      <c r="AQ169" s="2599"/>
      <c r="AR169" s="1118"/>
      <c r="AS169" s="582">
        <f t="shared" si="231"/>
        <v>8.86</v>
      </c>
      <c r="AT169" s="1626"/>
      <c r="AU169" s="2599"/>
      <c r="AV169" s="1118"/>
      <c r="AW169" s="582">
        <f t="shared" si="195"/>
        <v>8.86</v>
      </c>
      <c r="AX169" s="1626"/>
      <c r="AY169" s="2599"/>
      <c r="AZ169" s="1626"/>
      <c r="BA169" s="1135">
        <f t="shared" si="200"/>
        <v>0</v>
      </c>
      <c r="BB169" s="592"/>
      <c r="BC169" s="517">
        <f t="shared" si="201"/>
        <v>0</v>
      </c>
      <c r="BD169" s="1118"/>
      <c r="BE169" s="251">
        <f t="shared" si="220"/>
        <v>8.86</v>
      </c>
      <c r="BF169" s="1202"/>
      <c r="BH169" s="26"/>
      <c r="BI169" s="26"/>
    </row>
    <row r="170" spans="1:61" ht="21" thickBot="1" x14ac:dyDescent="0.35">
      <c r="A170" s="146"/>
      <c r="B170" s="1716" t="s">
        <v>1104</v>
      </c>
      <c r="C170" s="3010" t="s">
        <v>354</v>
      </c>
      <c r="D170" s="3217"/>
      <c r="E170" s="1626">
        <v>119.56</v>
      </c>
      <c r="F170" s="1626"/>
      <c r="G170" s="1626">
        <v>155.13999999999999</v>
      </c>
      <c r="H170" s="1635"/>
      <c r="I170" s="1635">
        <f t="shared" si="230"/>
        <v>274.7</v>
      </c>
      <c r="J170" s="3200"/>
      <c r="K170" s="1626">
        <v>95.71</v>
      </c>
      <c r="L170" s="1626"/>
      <c r="M170" s="2196">
        <f t="shared" si="191"/>
        <v>370.40999999999997</v>
      </c>
      <c r="N170" s="1626"/>
      <c r="O170" s="1626">
        <v>119.42999999999999</v>
      </c>
      <c r="P170" s="1626"/>
      <c r="Q170" s="1630">
        <f t="shared" si="180"/>
        <v>489.84</v>
      </c>
      <c r="R170" s="1338"/>
      <c r="S170" s="1626">
        <v>148.55000000000001</v>
      </c>
      <c r="T170" s="1626"/>
      <c r="U170" s="3210">
        <f t="shared" si="146"/>
        <v>638.39</v>
      </c>
      <c r="V170" s="1338"/>
      <c r="W170" s="1626">
        <v>157.19</v>
      </c>
      <c r="X170" s="1626"/>
      <c r="Y170" s="2196">
        <f t="shared" si="197"/>
        <v>425.17</v>
      </c>
      <c r="Z170" s="592"/>
      <c r="AA170" s="2529">
        <f t="shared" si="198"/>
        <v>795.57999999999993</v>
      </c>
      <c r="AB170" s="1338"/>
      <c r="AC170" s="1626">
        <v>128.69999999999999</v>
      </c>
      <c r="AD170" s="1626"/>
      <c r="AE170" s="1684">
        <f t="shared" si="228"/>
        <v>924.28</v>
      </c>
      <c r="AF170" s="1338"/>
      <c r="AG170" s="1626">
        <v>122.87</v>
      </c>
      <c r="AH170" s="1626"/>
      <c r="AI170" s="1684">
        <f t="shared" si="193"/>
        <v>1047.1500000000001</v>
      </c>
      <c r="AJ170" s="1338"/>
      <c r="AK170" s="1626">
        <v>110.17</v>
      </c>
      <c r="AL170" s="1338"/>
      <c r="AM170" s="2196">
        <f t="shared" si="199"/>
        <v>361.74</v>
      </c>
      <c r="AN170" s="1626"/>
      <c r="AO170" s="1684">
        <f t="shared" si="229"/>
        <v>1157.3200000000002</v>
      </c>
      <c r="AP170" s="1338"/>
      <c r="AQ170" s="1626">
        <v>134.59</v>
      </c>
      <c r="AR170" s="1626"/>
      <c r="AS170" s="1684">
        <f t="shared" si="231"/>
        <v>1291.9100000000001</v>
      </c>
      <c r="AT170" s="1338"/>
      <c r="AU170" s="1626">
        <v>96.22</v>
      </c>
      <c r="AV170" s="1626"/>
      <c r="AW170" s="1684">
        <f t="shared" si="195"/>
        <v>1388.13</v>
      </c>
      <c r="AX170" s="1338"/>
      <c r="AY170" s="1626">
        <v>133.66999999999999</v>
      </c>
      <c r="AZ170" s="1338"/>
      <c r="BA170" s="2196">
        <f t="shared" si="200"/>
        <v>364.48</v>
      </c>
      <c r="BB170" s="592"/>
      <c r="BC170" s="2529">
        <f t="shared" si="201"/>
        <v>726.22</v>
      </c>
      <c r="BD170" s="1626"/>
      <c r="BE170" s="1684">
        <f t="shared" si="220"/>
        <v>1521.8000000000002</v>
      </c>
      <c r="BF170" s="1202"/>
      <c r="BH170" s="26"/>
      <c r="BI170" s="26"/>
    </row>
    <row r="171" spans="1:61" ht="25.2" thickBot="1" x14ac:dyDescent="0.4">
      <c r="A171" s="526"/>
      <c r="B171" s="2386" t="s">
        <v>1238</v>
      </c>
      <c r="C171" s="2387" t="s">
        <v>354</v>
      </c>
      <c r="D171" s="2388"/>
      <c r="E171" s="2389">
        <f t="shared" ref="E171:P171" si="237">+SUM(E137:E170)-E160</f>
        <v>2527.7900000000004</v>
      </c>
      <c r="F171" s="2389">
        <f t="shared" si="237"/>
        <v>0</v>
      </c>
      <c r="G171" s="2389">
        <f t="shared" si="237"/>
        <v>2518.9399999999996</v>
      </c>
      <c r="H171" s="2389">
        <f t="shared" si="237"/>
        <v>0</v>
      </c>
      <c r="I171" s="2389">
        <f t="shared" si="237"/>
        <v>5046.7299999999996</v>
      </c>
      <c r="J171" s="3201">
        <f t="shared" si="237"/>
        <v>0</v>
      </c>
      <c r="K171" s="2389">
        <f t="shared" si="237"/>
        <v>1836.1499999999999</v>
      </c>
      <c r="L171" s="2389">
        <f t="shared" si="237"/>
        <v>0</v>
      </c>
      <c r="M171" s="2390">
        <f t="shared" si="237"/>
        <v>6882.8799999999983</v>
      </c>
      <c r="N171" s="2389">
        <f t="shared" si="237"/>
        <v>0</v>
      </c>
      <c r="O171" s="2389">
        <f t="shared" si="237"/>
        <v>1984.7700000000007</v>
      </c>
      <c r="P171" s="2389">
        <f t="shared" si="237"/>
        <v>0</v>
      </c>
      <c r="Q171" s="1630">
        <f t="shared" si="180"/>
        <v>8867.65</v>
      </c>
      <c r="R171" s="2389">
        <f>+SUM(R137:R170)-R160</f>
        <v>0</v>
      </c>
      <c r="S171" s="2389">
        <f>+SUM(S137:S170)-S160</f>
        <v>3394.56</v>
      </c>
      <c r="T171" s="2389">
        <f>+SUM(T137:T170)-T160</f>
        <v>0</v>
      </c>
      <c r="U171" s="3210">
        <f t="shared" ref="U171:U192" si="238">+Q171+S171</f>
        <v>12262.21</v>
      </c>
      <c r="V171" s="2389">
        <f>+SUM(V137:V170)-V160</f>
        <v>0</v>
      </c>
      <c r="W171" s="2389">
        <f>+SUM(W137:W170)-W160</f>
        <v>3315.4999999999995</v>
      </c>
      <c r="X171" s="2389">
        <f>+SUM(X137:X170)-X160</f>
        <v>0</v>
      </c>
      <c r="Y171" s="2390">
        <f t="shared" si="197"/>
        <v>8694.83</v>
      </c>
      <c r="Z171" s="2389">
        <f>+SUM(Z137:Z170)-Z160</f>
        <v>0</v>
      </c>
      <c r="AA171" s="2530">
        <f t="shared" si="198"/>
        <v>15577.71</v>
      </c>
      <c r="AB171" s="2389">
        <f t="shared" ref="AB171:AH171" si="239">+SUM(AB137:AB170)-AB160</f>
        <v>0</v>
      </c>
      <c r="AC171" s="2389">
        <f t="shared" si="239"/>
        <v>2085.7139999999999</v>
      </c>
      <c r="AD171" s="2389">
        <f t="shared" si="239"/>
        <v>0</v>
      </c>
      <c r="AE171" s="2389">
        <f t="shared" si="239"/>
        <v>17663.424000000006</v>
      </c>
      <c r="AF171" s="2389">
        <f t="shared" si="239"/>
        <v>0</v>
      </c>
      <c r="AG171" s="2389">
        <f t="shared" si="239"/>
        <v>2752.81</v>
      </c>
      <c r="AH171" s="2389">
        <f t="shared" si="239"/>
        <v>0</v>
      </c>
      <c r="AI171" s="2389">
        <f t="shared" si="193"/>
        <v>20416.234000000008</v>
      </c>
      <c r="AJ171" s="2389">
        <f>+SUM(AJ137:AJ170)-AJ160</f>
        <v>0</v>
      </c>
      <c r="AK171" s="2389">
        <f>+SUM(AK137:AK170)-AK160</f>
        <v>2751.5810000000001</v>
      </c>
      <c r="AL171" s="2389">
        <f>+SUM(AL137:AL170)-AL160</f>
        <v>0</v>
      </c>
      <c r="AM171" s="2390">
        <f t="shared" si="199"/>
        <v>7590.1049999999996</v>
      </c>
      <c r="AN171" s="2389">
        <f>+SUM(AN137:AN170)-AN160</f>
        <v>0</v>
      </c>
      <c r="AO171" s="2389">
        <f t="shared" si="229"/>
        <v>23167.81500000001</v>
      </c>
      <c r="AP171" s="2389">
        <f t="shared" ref="AP171:AZ171" si="240">+SUM(AP137:AP170)-AP160</f>
        <v>0</v>
      </c>
      <c r="AQ171" s="2389">
        <f t="shared" si="240"/>
        <v>7935.1980000000003</v>
      </c>
      <c r="AR171" s="2389">
        <f t="shared" si="240"/>
        <v>0</v>
      </c>
      <c r="AS171" s="2389">
        <f t="shared" si="240"/>
        <v>31103.012999999995</v>
      </c>
      <c r="AT171" s="2389">
        <f t="shared" si="240"/>
        <v>0</v>
      </c>
      <c r="AU171" s="2389">
        <f t="shared" si="240"/>
        <v>2918.7220000000002</v>
      </c>
      <c r="AV171" s="2389">
        <f t="shared" si="240"/>
        <v>0</v>
      </c>
      <c r="AW171" s="2389">
        <f t="shared" si="240"/>
        <v>34021.735000000001</v>
      </c>
      <c r="AX171" s="2389">
        <f t="shared" si="240"/>
        <v>0</v>
      </c>
      <c r="AY171" s="2389">
        <f t="shared" si="240"/>
        <v>2802.7200000000007</v>
      </c>
      <c r="AZ171" s="2389">
        <f t="shared" si="240"/>
        <v>0</v>
      </c>
      <c r="BA171" s="2390">
        <f t="shared" si="200"/>
        <v>13656.640000000001</v>
      </c>
      <c r="BB171" s="2389">
        <f>+SUM(BB137:BB170)-BB160</f>
        <v>0</v>
      </c>
      <c r="BC171" s="2530">
        <f t="shared" si="201"/>
        <v>21246.745000000003</v>
      </c>
      <c r="BD171" s="2389">
        <f>+SUM(BD137:BD170)-BD160</f>
        <v>0</v>
      </c>
      <c r="BE171" s="2389">
        <f>+SUM(BE137:BE170)-BE160</f>
        <v>36824.454999999994</v>
      </c>
      <c r="BF171" s="1202"/>
      <c r="BH171" s="26"/>
      <c r="BI171" s="26"/>
    </row>
    <row r="172" spans="1:61" ht="22.8" x14ac:dyDescent="0.3">
      <c r="B172" s="2391" t="s">
        <v>689</v>
      </c>
      <c r="C172" s="201"/>
      <c r="D172" s="2392"/>
      <c r="E172" s="1682"/>
      <c r="F172" s="1682"/>
      <c r="G172" s="1682"/>
      <c r="H172" s="2393"/>
      <c r="I172" s="3218"/>
      <c r="J172" s="3202"/>
      <c r="K172" s="1682"/>
      <c r="L172" s="1682"/>
      <c r="M172" s="2394"/>
      <c r="N172" s="1682"/>
      <c r="O172" s="1044"/>
      <c r="P172" s="1682"/>
      <c r="Q172" s="1630">
        <f t="shared" si="180"/>
        <v>0</v>
      </c>
      <c r="R172" s="2395"/>
      <c r="S172" s="1682"/>
      <c r="T172" s="1682"/>
      <c r="U172" s="3210">
        <f t="shared" si="238"/>
        <v>0</v>
      </c>
      <c r="V172" s="2395"/>
      <c r="W172" s="1682"/>
      <c r="X172" s="1682"/>
      <c r="Y172" s="2394"/>
      <c r="Z172" s="2515"/>
      <c r="AA172" s="2515"/>
      <c r="AB172" s="2395"/>
      <c r="AC172" s="1682"/>
      <c r="AD172" s="1682"/>
      <c r="AE172" s="1682"/>
      <c r="AF172" s="2395"/>
      <c r="AG172" s="1682"/>
      <c r="AH172" s="1682"/>
      <c r="AI172" s="2396"/>
      <c r="AJ172" s="2395"/>
      <c r="AK172" s="1682"/>
      <c r="AL172" s="1682"/>
      <c r="AM172" s="2394"/>
      <c r="AN172" s="1682"/>
      <c r="AO172" s="2396"/>
      <c r="AP172" s="2395"/>
      <c r="AQ172" s="1682"/>
      <c r="AR172" s="1682"/>
      <c r="AS172" s="2396"/>
      <c r="AT172" s="2395"/>
      <c r="AU172" s="1682"/>
      <c r="AV172" s="1682"/>
      <c r="AW172" s="2396"/>
      <c r="AX172" s="2395"/>
      <c r="AY172" s="1682"/>
      <c r="AZ172" s="2515"/>
      <c r="BA172" s="2394"/>
      <c r="BB172" s="2515"/>
      <c r="BC172" s="2515"/>
      <c r="BD172" s="2515"/>
      <c r="BE172" s="2515"/>
      <c r="BF172" s="1202"/>
      <c r="BH172" s="26"/>
      <c r="BI172" s="26"/>
    </row>
    <row r="173" spans="1:61" ht="17.399999999999999" x14ac:dyDescent="0.3">
      <c r="B173" s="525" t="s">
        <v>60</v>
      </c>
      <c r="C173" s="3219" t="s">
        <v>354</v>
      </c>
      <c r="D173" s="2558"/>
      <c r="E173" s="2558">
        <f>SUM(E174:E175)</f>
        <v>9995.39</v>
      </c>
      <c r="F173" s="2558"/>
      <c r="G173" s="2558">
        <f>SUM(G174:G175)</f>
        <v>0</v>
      </c>
      <c r="H173" s="2559"/>
      <c r="I173" s="3212">
        <f t="shared" ref="I173:I178" si="241">+E173+G173</f>
        <v>9995.39</v>
      </c>
      <c r="J173" s="3198"/>
      <c r="K173" s="2558">
        <f>SUM(K174:K175)</f>
        <v>0</v>
      </c>
      <c r="L173" s="1337"/>
      <c r="M173" s="793">
        <f t="shared" ref="M173:M192" si="242">+E173+G173+K173</f>
        <v>9995.39</v>
      </c>
      <c r="N173" s="1337"/>
      <c r="O173" s="2558">
        <f>SUM(O174:O175)</f>
        <v>0</v>
      </c>
      <c r="P173" s="1337"/>
      <c r="Q173" s="1630">
        <f t="shared" si="180"/>
        <v>9995.39</v>
      </c>
      <c r="R173" s="591"/>
      <c r="S173" s="2558">
        <f>SUM(S174:S175)</f>
        <v>0</v>
      </c>
      <c r="T173" s="1337"/>
      <c r="U173" s="3210">
        <f t="shared" si="238"/>
        <v>9995.39</v>
      </c>
      <c r="V173" s="591"/>
      <c r="W173" s="2558">
        <f>SUM(W174:W175)</f>
        <v>10521.720000000001</v>
      </c>
      <c r="X173" s="1337"/>
      <c r="Y173" s="793">
        <f t="shared" si="197"/>
        <v>10521.720000000001</v>
      </c>
      <c r="Z173" s="591"/>
      <c r="AA173" s="2531">
        <f t="shared" si="198"/>
        <v>20517.11</v>
      </c>
      <c r="AB173" s="591"/>
      <c r="AC173" s="2558">
        <f>SUM(AC174:AC175)</f>
        <v>0</v>
      </c>
      <c r="AD173" s="1337"/>
      <c r="AE173" s="1337">
        <f t="shared" ref="AE173:AE192" si="243">+AA173+AC173</f>
        <v>20517.11</v>
      </c>
      <c r="AF173" s="591"/>
      <c r="AG173" s="2558">
        <f>SUM(AG174:AG175)</f>
        <v>0</v>
      </c>
      <c r="AH173" s="1337"/>
      <c r="AI173" s="2397">
        <f t="shared" ref="AI173:AI192" si="244">+AE173+AG173</f>
        <v>20517.11</v>
      </c>
      <c r="AJ173" s="591"/>
      <c r="AK173" s="2558">
        <f>SUM(AK174:AK175)</f>
        <v>0</v>
      </c>
      <c r="AL173" s="591"/>
      <c r="AM173" s="793">
        <f t="shared" si="199"/>
        <v>0</v>
      </c>
      <c r="AN173" s="1337"/>
      <c r="AO173" s="2397">
        <f t="shared" si="229"/>
        <v>20517.11</v>
      </c>
      <c r="AP173" s="591"/>
      <c r="AQ173" s="2558">
        <f>SUM(AQ174:AQ175)</f>
        <v>3358.47</v>
      </c>
      <c r="AR173" s="1337"/>
      <c r="AS173" s="2397">
        <f t="shared" ref="AS173:AS192" si="245">+AO173+AQ173</f>
        <v>23875.58</v>
      </c>
      <c r="AT173" s="591"/>
      <c r="AU173" s="2558">
        <f>SUM(AU174:AU175)</f>
        <v>7172.4400000000005</v>
      </c>
      <c r="AV173" s="1337"/>
      <c r="AW173" s="2397">
        <f t="shared" ref="AW173:AW195" si="246">+AS173+AU173</f>
        <v>31048.020000000004</v>
      </c>
      <c r="AX173" s="591"/>
      <c r="AY173" s="2558">
        <f>SUM(AY174:AY175)</f>
        <v>0</v>
      </c>
      <c r="AZ173" s="591"/>
      <c r="BA173" s="793">
        <f t="shared" si="200"/>
        <v>10530.91</v>
      </c>
      <c r="BB173" s="591"/>
      <c r="BC173" s="2531">
        <f t="shared" si="201"/>
        <v>10530.91</v>
      </c>
      <c r="BD173" s="1337"/>
      <c r="BE173" s="2397">
        <f t="shared" ref="BE173:BE179" si="247">+AW173+AY173</f>
        <v>31048.020000000004</v>
      </c>
      <c r="BF173" s="1202"/>
      <c r="BH173" s="26"/>
      <c r="BI173" s="26"/>
    </row>
    <row r="174" spans="1:61" hidden="1" x14ac:dyDescent="0.3">
      <c r="B174" s="8" t="s">
        <v>946</v>
      </c>
      <c r="C174" s="2546" t="s">
        <v>354</v>
      </c>
      <c r="D174" s="2623"/>
      <c r="E174" s="2623"/>
      <c r="F174" s="2623"/>
      <c r="G174" s="2623"/>
      <c r="H174" s="2562"/>
      <c r="I174" s="3210">
        <f t="shared" si="241"/>
        <v>0</v>
      </c>
      <c r="J174" s="1692"/>
      <c r="K174" s="2623"/>
      <c r="L174" s="591"/>
      <c r="M174" s="793">
        <f t="shared" si="242"/>
        <v>0</v>
      </c>
      <c r="N174" s="591"/>
      <c r="O174" s="2623"/>
      <c r="P174" s="591"/>
      <c r="Q174" s="1630">
        <f t="shared" si="180"/>
        <v>0</v>
      </c>
      <c r="R174" s="591"/>
      <c r="S174" s="2623"/>
      <c r="T174" s="591"/>
      <c r="U174" s="3210">
        <f t="shared" si="238"/>
        <v>0</v>
      </c>
      <c r="V174" s="591"/>
      <c r="W174" s="2623"/>
      <c r="X174" s="591"/>
      <c r="Y174" s="793">
        <f t="shared" si="197"/>
        <v>0</v>
      </c>
      <c r="Z174" s="591"/>
      <c r="AA174" s="2531">
        <f t="shared" si="198"/>
        <v>0</v>
      </c>
      <c r="AB174" s="591"/>
      <c r="AC174" s="2623"/>
      <c r="AD174" s="591"/>
      <c r="AE174" s="582">
        <f t="shared" si="243"/>
        <v>0</v>
      </c>
      <c r="AF174" s="591"/>
      <c r="AG174" s="2623"/>
      <c r="AH174" s="591"/>
      <c r="AI174" s="1165">
        <f t="shared" si="244"/>
        <v>0</v>
      </c>
      <c r="AJ174" s="591"/>
      <c r="AK174" s="2623"/>
      <c r="AL174" s="591"/>
      <c r="AM174" s="793">
        <f t="shared" si="199"/>
        <v>0</v>
      </c>
      <c r="AN174" s="591"/>
      <c r="AO174" s="1165">
        <f t="shared" si="229"/>
        <v>0</v>
      </c>
      <c r="AP174" s="591"/>
      <c r="AQ174" s="2623"/>
      <c r="AR174" s="591"/>
      <c r="AS174" s="1165">
        <f t="shared" si="245"/>
        <v>0</v>
      </c>
      <c r="AT174" s="591"/>
      <c r="AU174" s="2623"/>
      <c r="AV174" s="591"/>
      <c r="AW174" s="1165">
        <f t="shared" si="246"/>
        <v>0</v>
      </c>
      <c r="AX174" s="591"/>
      <c r="AY174" s="2623"/>
      <c r="AZ174" s="591"/>
      <c r="BA174" s="793">
        <f t="shared" si="200"/>
        <v>0</v>
      </c>
      <c r="BB174" s="591"/>
      <c r="BC174" s="2531">
        <f t="shared" si="201"/>
        <v>0</v>
      </c>
      <c r="BD174" s="591"/>
      <c r="BE174" s="179">
        <f t="shared" si="247"/>
        <v>0</v>
      </c>
      <c r="BF174" s="1202"/>
      <c r="BH174" s="26"/>
      <c r="BI174" s="26"/>
    </row>
    <row r="175" spans="1:61" x14ac:dyDescent="0.3">
      <c r="B175" s="8" t="s">
        <v>838</v>
      </c>
      <c r="C175" s="2546" t="s">
        <v>354</v>
      </c>
      <c r="D175" s="2623"/>
      <c r="E175" s="2623">
        <v>9995.39</v>
      </c>
      <c r="F175" s="2623"/>
      <c r="G175" s="2623"/>
      <c r="H175" s="2562"/>
      <c r="I175" s="3210">
        <f t="shared" si="241"/>
        <v>9995.39</v>
      </c>
      <c r="J175" s="1692"/>
      <c r="K175" s="2623"/>
      <c r="L175" s="591"/>
      <c r="M175" s="793">
        <f t="shared" si="242"/>
        <v>9995.39</v>
      </c>
      <c r="N175" s="591"/>
      <c r="O175" s="2623"/>
      <c r="P175" s="591"/>
      <c r="Q175" s="1630">
        <f t="shared" si="180"/>
        <v>9995.39</v>
      </c>
      <c r="R175" s="591"/>
      <c r="S175" s="2623"/>
      <c r="T175" s="591"/>
      <c r="U175" s="3210">
        <f t="shared" si="238"/>
        <v>9995.39</v>
      </c>
      <c r="V175" s="591"/>
      <c r="W175" s="2623">
        <v>10521.720000000001</v>
      </c>
      <c r="X175" s="591"/>
      <c r="Y175" s="793">
        <f t="shared" si="197"/>
        <v>10521.720000000001</v>
      </c>
      <c r="Z175" s="591"/>
      <c r="AA175" s="2531">
        <f t="shared" si="198"/>
        <v>20517.11</v>
      </c>
      <c r="AB175" s="591"/>
      <c r="AC175" s="2623"/>
      <c r="AD175" s="591"/>
      <c r="AE175" s="582">
        <f t="shared" si="243"/>
        <v>20517.11</v>
      </c>
      <c r="AF175" s="591"/>
      <c r="AG175" s="2623"/>
      <c r="AH175" s="591"/>
      <c r="AI175" s="179">
        <f t="shared" si="244"/>
        <v>20517.11</v>
      </c>
      <c r="AJ175" s="591"/>
      <c r="AK175" s="2623"/>
      <c r="AL175" s="591"/>
      <c r="AM175" s="793">
        <f t="shared" si="199"/>
        <v>0</v>
      </c>
      <c r="AN175" s="591"/>
      <c r="AO175" s="1165">
        <f t="shared" si="229"/>
        <v>20517.11</v>
      </c>
      <c r="AP175" s="591"/>
      <c r="AQ175" s="2623">
        <v>3358.47</v>
      </c>
      <c r="AR175" s="591"/>
      <c r="AS175" s="1165">
        <f t="shared" si="245"/>
        <v>23875.58</v>
      </c>
      <c r="AT175" s="591"/>
      <c r="AU175" s="2623">
        <v>7172.4400000000005</v>
      </c>
      <c r="AV175" s="591"/>
      <c r="AW175" s="1165">
        <f t="shared" si="246"/>
        <v>31048.020000000004</v>
      </c>
      <c r="AX175" s="591"/>
      <c r="AY175" s="2623"/>
      <c r="AZ175" s="591"/>
      <c r="BA175" s="793">
        <f t="shared" si="200"/>
        <v>10530.91</v>
      </c>
      <c r="BB175" s="591"/>
      <c r="BC175" s="2531">
        <f t="shared" si="201"/>
        <v>10530.91</v>
      </c>
      <c r="BD175" s="591"/>
      <c r="BE175" s="179">
        <f t="shared" si="247"/>
        <v>31048.020000000004</v>
      </c>
      <c r="BF175" s="1202"/>
      <c r="BH175" s="26"/>
      <c r="BI175" s="26"/>
    </row>
    <row r="176" spans="1:61" hidden="1" x14ac:dyDescent="0.3">
      <c r="B176" s="8" t="s">
        <v>839</v>
      </c>
      <c r="C176" s="4060"/>
      <c r="D176" s="4064"/>
      <c r="E176" s="4064"/>
      <c r="F176" s="4064"/>
      <c r="G176" s="4064"/>
      <c r="H176" s="4063"/>
      <c r="I176" s="3210"/>
      <c r="J176" s="4065"/>
      <c r="K176" s="4064"/>
      <c r="L176" s="4064"/>
      <c r="M176" s="4066"/>
      <c r="N176" s="4064"/>
      <c r="O176" s="4064"/>
      <c r="P176" s="4064"/>
      <c r="Q176" s="1630">
        <f t="shared" si="180"/>
        <v>0</v>
      </c>
      <c r="R176" s="4064"/>
      <c r="S176" s="4064"/>
      <c r="T176" s="4064"/>
      <c r="U176" s="3210">
        <f t="shared" si="238"/>
        <v>0</v>
      </c>
      <c r="V176" s="4064"/>
      <c r="W176" s="4064"/>
      <c r="X176" s="4064"/>
      <c r="Y176" s="4066"/>
      <c r="Z176" s="4064"/>
      <c r="AA176" s="2531"/>
      <c r="AB176" s="4064"/>
      <c r="AC176" s="4064"/>
      <c r="AD176" s="4064"/>
      <c r="AE176" s="582">
        <f t="shared" si="243"/>
        <v>0</v>
      </c>
      <c r="AF176" s="4064"/>
      <c r="AG176" s="4064"/>
      <c r="AH176" s="4064"/>
      <c r="AI176" s="179">
        <f t="shared" si="244"/>
        <v>0</v>
      </c>
      <c r="AJ176" s="4064"/>
      <c r="AK176" s="4064"/>
      <c r="AL176" s="4064"/>
      <c r="AM176" s="793">
        <f t="shared" ref="AM176:AM192" si="248">+AC176+AG176+AK176</f>
        <v>0</v>
      </c>
      <c r="AN176" s="591"/>
      <c r="AO176" s="1165">
        <f t="shared" ref="AO176:AO192" si="249">AI176+AK176</f>
        <v>0</v>
      </c>
      <c r="AP176" s="4064"/>
      <c r="AQ176" s="4064"/>
      <c r="AR176" s="4064"/>
      <c r="AS176" s="1165">
        <f t="shared" si="245"/>
        <v>0</v>
      </c>
      <c r="AT176" s="4064"/>
      <c r="AU176" s="4064"/>
      <c r="AV176" s="4064"/>
      <c r="AW176" s="1165">
        <f t="shared" si="246"/>
        <v>0</v>
      </c>
      <c r="AX176" s="4064"/>
      <c r="AY176" s="4064"/>
      <c r="AZ176" s="4064"/>
      <c r="BA176" s="793">
        <f t="shared" ref="BA176:BA182" si="250">+AQ176+AU176+AY176</f>
        <v>0</v>
      </c>
      <c r="BB176" s="591"/>
      <c r="BC176" s="2531">
        <f t="shared" ref="BC176:BC179" si="251">BA176+AM176</f>
        <v>0</v>
      </c>
      <c r="BD176" s="4064"/>
      <c r="BE176" s="179">
        <f t="shared" si="247"/>
        <v>0</v>
      </c>
      <c r="BF176" s="1202"/>
      <c r="BH176" s="26"/>
      <c r="BI176" s="26"/>
    </row>
    <row r="177" spans="2:61" x14ac:dyDescent="0.3">
      <c r="B177" s="1163" t="s">
        <v>2001</v>
      </c>
      <c r="C177" s="2546" t="s">
        <v>354</v>
      </c>
      <c r="D177" s="2623"/>
      <c r="E177" s="2623">
        <v>133.4</v>
      </c>
      <c r="F177" s="2623"/>
      <c r="G177" s="2623"/>
      <c r="H177" s="2562"/>
      <c r="I177" s="3210">
        <f t="shared" si="241"/>
        <v>133.4</v>
      </c>
      <c r="J177" s="1692"/>
      <c r="K177" s="2623"/>
      <c r="L177" s="2441"/>
      <c r="M177" s="793">
        <f t="shared" si="242"/>
        <v>133.4</v>
      </c>
      <c r="N177" s="2441"/>
      <c r="O177" s="2623"/>
      <c r="P177" s="2441"/>
      <c r="Q177" s="1630">
        <f t="shared" si="180"/>
        <v>133.4</v>
      </c>
      <c r="R177" s="2441"/>
      <c r="S177" s="2623"/>
      <c r="T177" s="2441"/>
      <c r="U177" s="3210">
        <f t="shared" si="238"/>
        <v>133.4</v>
      </c>
      <c r="V177" s="2441"/>
      <c r="W177" s="2623"/>
      <c r="X177" s="2441"/>
      <c r="Y177" s="793">
        <f t="shared" si="197"/>
        <v>0</v>
      </c>
      <c r="Z177" s="2441"/>
      <c r="AA177" s="2531">
        <f t="shared" si="198"/>
        <v>133.4</v>
      </c>
      <c r="AB177" s="2441"/>
      <c r="AC177" s="2623"/>
      <c r="AD177" s="2441"/>
      <c r="AE177" s="582">
        <f t="shared" si="243"/>
        <v>133.4</v>
      </c>
      <c r="AF177" s="2441"/>
      <c r="AG177" s="2623"/>
      <c r="AH177" s="2441"/>
      <c r="AI177" s="179">
        <f t="shared" si="244"/>
        <v>133.4</v>
      </c>
      <c r="AJ177" s="2441"/>
      <c r="AK177" s="2623"/>
      <c r="AL177" s="2441"/>
      <c r="AM177" s="793">
        <f t="shared" si="248"/>
        <v>0</v>
      </c>
      <c r="AN177" s="591"/>
      <c r="AO177" s="1165">
        <f t="shared" si="249"/>
        <v>133.4</v>
      </c>
      <c r="AP177" s="2441"/>
      <c r="AQ177" s="2623"/>
      <c r="AR177" s="2441"/>
      <c r="AS177" s="1165">
        <f t="shared" si="245"/>
        <v>133.4</v>
      </c>
      <c r="AT177" s="2441"/>
      <c r="AU177" s="2623"/>
      <c r="AV177" s="2441"/>
      <c r="AW177" s="1165">
        <f t="shared" si="246"/>
        <v>133.4</v>
      </c>
      <c r="AX177" s="2441"/>
      <c r="AY177" s="2623"/>
      <c r="AZ177" s="2441"/>
      <c r="BA177" s="793">
        <f t="shared" si="250"/>
        <v>0</v>
      </c>
      <c r="BB177" s="591"/>
      <c r="BC177" s="2531">
        <f t="shared" si="251"/>
        <v>0</v>
      </c>
      <c r="BD177" s="2441"/>
      <c r="BE177" s="179">
        <f t="shared" si="247"/>
        <v>133.4</v>
      </c>
      <c r="BF177" s="1202"/>
      <c r="BH177" s="26"/>
      <c r="BI177" s="26"/>
    </row>
    <row r="178" spans="2:61" ht="17.399999999999999" x14ac:dyDescent="0.3">
      <c r="B178" s="1163" t="s">
        <v>2104</v>
      </c>
      <c r="C178" s="3219" t="s">
        <v>354</v>
      </c>
      <c r="D178" s="2548"/>
      <c r="E178" s="2548"/>
      <c r="F178" s="2548"/>
      <c r="G178" s="2548"/>
      <c r="H178" s="3220"/>
      <c r="I178" s="3221">
        <f t="shared" si="241"/>
        <v>0</v>
      </c>
      <c r="J178" s="733"/>
      <c r="K178" s="2548"/>
      <c r="L178" s="616"/>
      <c r="M178" s="793">
        <f t="shared" si="242"/>
        <v>0</v>
      </c>
      <c r="N178" s="616"/>
      <c r="O178" s="2548"/>
      <c r="P178" s="616"/>
      <c r="Q178" s="1630">
        <f t="shared" si="180"/>
        <v>0</v>
      </c>
      <c r="R178" s="616"/>
      <c r="S178" s="2548">
        <v>1453.58</v>
      </c>
      <c r="T178" s="616"/>
      <c r="U178" s="3210">
        <f t="shared" si="238"/>
        <v>1453.58</v>
      </c>
      <c r="V178" s="616"/>
      <c r="W178" s="2548">
        <v>965.44</v>
      </c>
      <c r="X178" s="616"/>
      <c r="Y178" s="793">
        <f t="shared" si="197"/>
        <v>2419.02</v>
      </c>
      <c r="Z178" s="616"/>
      <c r="AA178" s="2531">
        <f t="shared" si="198"/>
        <v>2419.02</v>
      </c>
      <c r="AB178" s="616"/>
      <c r="AC178" s="2548">
        <v>1928.54</v>
      </c>
      <c r="AD178" s="616"/>
      <c r="AE178" s="582">
        <f t="shared" si="243"/>
        <v>4347.5599999999995</v>
      </c>
      <c r="AF178" s="616"/>
      <c r="AG178" s="2548"/>
      <c r="AH178" s="616"/>
      <c r="AI178" s="179">
        <f t="shared" si="244"/>
        <v>4347.5599999999995</v>
      </c>
      <c r="AJ178" s="616"/>
      <c r="AK178" s="2548">
        <v>384.66</v>
      </c>
      <c r="AL178" s="616"/>
      <c r="AM178" s="793">
        <f t="shared" si="248"/>
        <v>2313.1999999999998</v>
      </c>
      <c r="AN178" s="591"/>
      <c r="AO178" s="1165">
        <f t="shared" si="249"/>
        <v>4732.2199999999993</v>
      </c>
      <c r="AP178" s="616"/>
      <c r="AQ178" s="2548">
        <v>644.4</v>
      </c>
      <c r="AR178" s="616"/>
      <c r="AS178" s="1165">
        <f t="shared" si="245"/>
        <v>5376.619999999999</v>
      </c>
      <c r="AT178" s="616"/>
      <c r="AU178" s="2548"/>
      <c r="AV178" s="616"/>
      <c r="AW178" s="1165">
        <f t="shared" si="246"/>
        <v>5376.619999999999</v>
      </c>
      <c r="AX178" s="616"/>
      <c r="AY178" s="2548"/>
      <c r="AZ178" s="616"/>
      <c r="BA178" s="793">
        <f t="shared" si="250"/>
        <v>644.4</v>
      </c>
      <c r="BB178" s="591"/>
      <c r="BC178" s="2531">
        <f t="shared" si="251"/>
        <v>2957.6</v>
      </c>
      <c r="BD178" s="616"/>
      <c r="BE178" s="179">
        <f t="shared" si="247"/>
        <v>5376.619999999999</v>
      </c>
      <c r="BF178" s="1202"/>
      <c r="BH178" s="26"/>
      <c r="BI178" s="26"/>
    </row>
    <row r="179" spans="2:61" ht="17.399999999999999" x14ac:dyDescent="0.3">
      <c r="B179" s="1163" t="s">
        <v>2148</v>
      </c>
      <c r="C179" s="3219" t="s">
        <v>354</v>
      </c>
      <c r="D179" s="2548"/>
      <c r="E179" s="2548">
        <f t="shared" ref="E179:G179" si="252">E180+E181</f>
        <v>363.05999999999995</v>
      </c>
      <c r="F179" s="2548">
        <f t="shared" si="252"/>
        <v>0</v>
      </c>
      <c r="G179" s="2548">
        <f t="shared" si="252"/>
        <v>485.28000000000003</v>
      </c>
      <c r="H179" s="3220"/>
      <c r="I179" s="3221">
        <f>+E179+G179</f>
        <v>848.33999999999992</v>
      </c>
      <c r="J179" s="733"/>
      <c r="K179" s="2548">
        <f>K180+K181</f>
        <v>341.38</v>
      </c>
      <c r="L179" s="616"/>
      <c r="M179" s="793">
        <f t="shared" si="242"/>
        <v>1189.7199999999998</v>
      </c>
      <c r="N179" s="616"/>
      <c r="O179" s="2548"/>
      <c r="P179" s="616"/>
      <c r="Q179" s="1630">
        <f t="shared" si="180"/>
        <v>1189.7199999999998</v>
      </c>
      <c r="R179" s="616"/>
      <c r="S179" s="2548"/>
      <c r="T179" s="616"/>
      <c r="U179" s="3210">
        <f t="shared" si="238"/>
        <v>1189.7199999999998</v>
      </c>
      <c r="V179" s="616">
        <f>V180+V181</f>
        <v>0</v>
      </c>
      <c r="W179" s="2548">
        <f>W180+W181</f>
        <v>710.6</v>
      </c>
      <c r="X179" s="2548">
        <f>X180+X181</f>
        <v>0</v>
      </c>
      <c r="Y179" s="793">
        <f t="shared" si="197"/>
        <v>710.6</v>
      </c>
      <c r="Z179" s="616"/>
      <c r="AA179" s="2531">
        <f t="shared" si="198"/>
        <v>1900.3199999999997</v>
      </c>
      <c r="AB179" s="616">
        <f>AB180+AB181</f>
        <v>0</v>
      </c>
      <c r="AC179" s="2548">
        <f t="shared" ref="AC179:AD179" si="253">AC180+AC181</f>
        <v>246.74</v>
      </c>
      <c r="AD179" s="616">
        <f t="shared" si="253"/>
        <v>0</v>
      </c>
      <c r="AE179" s="582">
        <f t="shared" si="243"/>
        <v>2147.0599999999995</v>
      </c>
      <c r="AF179" s="616">
        <f t="shared" ref="AF179:AH179" si="254">AF180+AF181</f>
        <v>0</v>
      </c>
      <c r="AG179" s="2548">
        <f t="shared" si="254"/>
        <v>554.14</v>
      </c>
      <c r="AH179" s="616">
        <f t="shared" si="254"/>
        <v>0</v>
      </c>
      <c r="AI179" s="179">
        <f t="shared" si="244"/>
        <v>2701.1999999999994</v>
      </c>
      <c r="AJ179" s="616">
        <f t="shared" ref="AJ179:AL179" si="255">AJ180+AJ181</f>
        <v>0</v>
      </c>
      <c r="AK179" s="2548">
        <f t="shared" si="255"/>
        <v>0</v>
      </c>
      <c r="AL179" s="616">
        <f t="shared" si="255"/>
        <v>0</v>
      </c>
      <c r="AM179" s="793">
        <f t="shared" si="248"/>
        <v>800.88</v>
      </c>
      <c r="AN179" s="591">
        <f>AN180+AN181</f>
        <v>0</v>
      </c>
      <c r="AO179" s="1165">
        <f t="shared" si="249"/>
        <v>2701.1999999999994</v>
      </c>
      <c r="AP179" s="616">
        <f t="shared" ref="AP179:AR179" si="256">AP180+AP181</f>
        <v>0</v>
      </c>
      <c r="AQ179" s="2548">
        <f t="shared" si="256"/>
        <v>445.67999999999995</v>
      </c>
      <c r="AR179" s="616">
        <f t="shared" si="256"/>
        <v>0</v>
      </c>
      <c r="AS179" s="1165">
        <f t="shared" si="245"/>
        <v>3146.8799999999992</v>
      </c>
      <c r="AT179" s="616">
        <f t="shared" ref="AT179:AV179" si="257">AT180+AT181</f>
        <v>0</v>
      </c>
      <c r="AU179" s="2548">
        <f t="shared" si="257"/>
        <v>385.56</v>
      </c>
      <c r="AV179" s="616">
        <f t="shared" si="257"/>
        <v>0</v>
      </c>
      <c r="AW179" s="1165">
        <f t="shared" si="246"/>
        <v>3532.4399999999991</v>
      </c>
      <c r="AX179" s="616">
        <f t="shared" ref="AX179:AZ179" si="258">AX180+AX181</f>
        <v>0</v>
      </c>
      <c r="AY179" s="2548">
        <f t="shared" si="258"/>
        <v>308.97999999999996</v>
      </c>
      <c r="AZ179" s="616">
        <f t="shared" si="258"/>
        <v>0</v>
      </c>
      <c r="BA179" s="793">
        <f t="shared" si="250"/>
        <v>1140.22</v>
      </c>
      <c r="BB179" s="591"/>
      <c r="BC179" s="2531">
        <f t="shared" si="251"/>
        <v>1941.1</v>
      </c>
      <c r="BD179" s="616"/>
      <c r="BE179" s="179">
        <f t="shared" si="247"/>
        <v>3841.4199999999992</v>
      </c>
      <c r="BF179" s="1202"/>
      <c r="BH179" s="26"/>
      <c r="BI179" s="26"/>
    </row>
    <row r="180" spans="2:61" ht="17.399999999999999" x14ac:dyDescent="0.3">
      <c r="B180" s="5771" t="s">
        <v>1579</v>
      </c>
      <c r="C180" s="3219" t="s">
        <v>354</v>
      </c>
      <c r="D180" s="5407"/>
      <c r="E180" s="5407"/>
      <c r="F180" s="5407"/>
      <c r="G180" s="5407"/>
      <c r="H180" s="5408"/>
      <c r="I180" s="5425"/>
      <c r="J180" s="3203"/>
      <c r="K180" s="5407"/>
      <c r="L180" s="5407"/>
      <c r="M180" s="5508">
        <f t="shared" si="242"/>
        <v>0</v>
      </c>
      <c r="N180" s="5407"/>
      <c r="O180" s="5407"/>
      <c r="P180" s="5407"/>
      <c r="Q180" s="5509">
        <f t="shared" si="180"/>
        <v>0</v>
      </c>
      <c r="R180" s="5407"/>
      <c r="S180" s="5407"/>
      <c r="T180" s="5407"/>
      <c r="U180" s="5349">
        <f t="shared" si="238"/>
        <v>0</v>
      </c>
      <c r="V180" s="5407"/>
      <c r="W180" s="5407"/>
      <c r="X180" s="5407"/>
      <c r="Y180" s="5508">
        <f t="shared" si="197"/>
        <v>0</v>
      </c>
      <c r="Z180" s="5407"/>
      <c r="AA180" s="5410">
        <f t="shared" si="198"/>
        <v>0</v>
      </c>
      <c r="AB180" s="5407"/>
      <c r="AC180" s="2548">
        <v>246.74</v>
      </c>
      <c r="AD180" s="5407"/>
      <c r="AE180" s="5685">
        <f t="shared" si="243"/>
        <v>246.74</v>
      </c>
      <c r="AF180" s="5407"/>
      <c r="AG180" s="2548"/>
      <c r="AH180" s="5407"/>
      <c r="AI180" s="4820">
        <f t="shared" si="244"/>
        <v>246.74</v>
      </c>
      <c r="AJ180" s="5407"/>
      <c r="AK180" s="5407"/>
      <c r="AL180" s="5407"/>
      <c r="AM180" s="5508">
        <f t="shared" si="248"/>
        <v>246.74</v>
      </c>
      <c r="AN180" s="5677"/>
      <c r="AO180" s="5366">
        <f t="shared" si="249"/>
        <v>246.74</v>
      </c>
      <c r="AP180" s="5407"/>
      <c r="AQ180" s="5407"/>
      <c r="AR180" s="5407"/>
      <c r="AS180" s="5366">
        <f t="shared" si="245"/>
        <v>246.74</v>
      </c>
      <c r="AT180" s="5407"/>
      <c r="AU180" s="5407"/>
      <c r="AV180" s="5407"/>
      <c r="AW180" s="5366">
        <f t="shared" si="246"/>
        <v>246.74</v>
      </c>
      <c r="AX180" s="5407"/>
      <c r="AY180" s="5407"/>
      <c r="AZ180" s="5407"/>
      <c r="BA180" s="5508">
        <f t="shared" ref="BA180:BA181" si="259">+AQ180+AU180+AY180</f>
        <v>0</v>
      </c>
      <c r="BB180" s="5677"/>
      <c r="BC180" s="5410">
        <f t="shared" ref="BC180:BC181" si="260">BA180+AM180</f>
        <v>246.74</v>
      </c>
      <c r="BD180" s="5511"/>
      <c r="BE180" s="4820">
        <f t="shared" ref="BE180:BE181" si="261">+AW180+AY180</f>
        <v>246.74</v>
      </c>
      <c r="BF180" s="1202"/>
      <c r="BH180" s="26"/>
      <c r="BI180" s="26"/>
    </row>
    <row r="181" spans="2:61" ht="17.399999999999999" x14ac:dyDescent="0.3">
      <c r="B181" s="5771" t="s">
        <v>2357</v>
      </c>
      <c r="C181" s="3219" t="s">
        <v>354</v>
      </c>
      <c r="D181" s="5407"/>
      <c r="E181" s="5407">
        <v>363.05999999999995</v>
      </c>
      <c r="F181" s="5407"/>
      <c r="G181" s="5407">
        <v>485.28000000000003</v>
      </c>
      <c r="H181" s="5408"/>
      <c r="I181" s="5425"/>
      <c r="J181" s="3203"/>
      <c r="K181" s="2548">
        <v>341.38</v>
      </c>
      <c r="L181" s="5407"/>
      <c r="M181" s="5508">
        <f t="shared" si="242"/>
        <v>1189.7199999999998</v>
      </c>
      <c r="N181" s="5407"/>
      <c r="O181" s="5407"/>
      <c r="P181" s="5407"/>
      <c r="Q181" s="5509">
        <f t="shared" si="180"/>
        <v>1189.7199999999998</v>
      </c>
      <c r="R181" s="5407"/>
      <c r="S181" s="5407"/>
      <c r="T181" s="5407"/>
      <c r="U181" s="5349">
        <f t="shared" si="238"/>
        <v>1189.7199999999998</v>
      </c>
      <c r="V181" s="5407"/>
      <c r="W181" s="5407">
        <v>710.6</v>
      </c>
      <c r="X181" s="5407"/>
      <c r="Y181" s="5508">
        <f t="shared" si="197"/>
        <v>710.6</v>
      </c>
      <c r="Z181" s="5407"/>
      <c r="AA181" s="5410">
        <f t="shared" si="198"/>
        <v>1900.3199999999997</v>
      </c>
      <c r="AB181" s="5407"/>
      <c r="AC181" s="5407"/>
      <c r="AD181" s="5407"/>
      <c r="AE181" s="5685">
        <f t="shared" si="243"/>
        <v>1900.3199999999997</v>
      </c>
      <c r="AF181" s="5407"/>
      <c r="AG181" s="2548">
        <v>554.14</v>
      </c>
      <c r="AH181" s="5407"/>
      <c r="AI181" s="4820">
        <f t="shared" si="244"/>
        <v>2454.4599999999996</v>
      </c>
      <c r="AJ181" s="5407"/>
      <c r="AK181" s="5407"/>
      <c r="AL181" s="5407"/>
      <c r="AM181" s="5508">
        <f t="shared" si="248"/>
        <v>554.14</v>
      </c>
      <c r="AN181" s="5677"/>
      <c r="AO181" s="5366">
        <f t="shared" si="249"/>
        <v>2454.4599999999996</v>
      </c>
      <c r="AP181" s="5407"/>
      <c r="AQ181" s="2548">
        <v>445.67999999999995</v>
      </c>
      <c r="AR181" s="5407"/>
      <c r="AS181" s="5366">
        <f t="shared" si="245"/>
        <v>2900.1399999999994</v>
      </c>
      <c r="AT181" s="5407"/>
      <c r="AU181" s="2548">
        <v>385.56</v>
      </c>
      <c r="AV181" s="5407"/>
      <c r="AW181" s="5366">
        <f t="shared" si="246"/>
        <v>3285.6999999999994</v>
      </c>
      <c r="AX181" s="5407"/>
      <c r="AY181" s="2548">
        <v>308.97999999999996</v>
      </c>
      <c r="AZ181" s="5407"/>
      <c r="BA181" s="5508">
        <f t="shared" si="259"/>
        <v>1140.22</v>
      </c>
      <c r="BB181" s="5677"/>
      <c r="BC181" s="5410">
        <f t="shared" si="260"/>
        <v>1694.3600000000001</v>
      </c>
      <c r="BD181" s="5511"/>
      <c r="BE181" s="4820">
        <f t="shared" si="261"/>
        <v>3594.6799999999994</v>
      </c>
      <c r="BF181" s="1202"/>
      <c r="BH181" s="26"/>
      <c r="BI181" s="26"/>
    </row>
    <row r="182" spans="2:61" ht="17.399999999999999" x14ac:dyDescent="0.3">
      <c r="B182" s="2442" t="s">
        <v>1315</v>
      </c>
      <c r="C182" s="3219" t="s">
        <v>354</v>
      </c>
      <c r="D182" s="2760"/>
      <c r="E182" s="2760">
        <f>E183+E184+E185+E186+E187+E190</f>
        <v>0</v>
      </c>
      <c r="F182" s="2760"/>
      <c r="G182" s="2760">
        <f t="shared" ref="G182:BB182" si="262">G183+G184+G185+G186+G187+G190</f>
        <v>0</v>
      </c>
      <c r="H182" s="2761">
        <f t="shared" si="262"/>
        <v>0</v>
      </c>
      <c r="I182" s="3221">
        <f t="shared" si="262"/>
        <v>0</v>
      </c>
      <c r="J182" s="3203">
        <f t="shared" si="262"/>
        <v>0</v>
      </c>
      <c r="K182" s="2760">
        <f t="shared" si="262"/>
        <v>0</v>
      </c>
      <c r="L182" s="2760">
        <f t="shared" si="262"/>
        <v>0</v>
      </c>
      <c r="M182" s="793">
        <f t="shared" si="242"/>
        <v>0</v>
      </c>
      <c r="N182" s="2760">
        <f t="shared" si="262"/>
        <v>0</v>
      </c>
      <c r="O182" s="2760">
        <f t="shared" si="262"/>
        <v>64.099999999999994</v>
      </c>
      <c r="P182" s="2760">
        <f t="shared" si="262"/>
        <v>0</v>
      </c>
      <c r="Q182" s="1630">
        <f t="shared" si="180"/>
        <v>64.099999999999994</v>
      </c>
      <c r="R182" s="2760">
        <f t="shared" si="262"/>
        <v>0</v>
      </c>
      <c r="S182" s="2760">
        <f t="shared" si="262"/>
        <v>1485.1599999999999</v>
      </c>
      <c r="T182" s="2760">
        <f t="shared" si="262"/>
        <v>0</v>
      </c>
      <c r="U182" s="3210">
        <f t="shared" si="238"/>
        <v>1549.2599999999998</v>
      </c>
      <c r="V182" s="2760">
        <f t="shared" si="262"/>
        <v>0</v>
      </c>
      <c r="W182" s="2760">
        <f t="shared" si="262"/>
        <v>693.72</v>
      </c>
      <c r="X182" s="2760">
        <f t="shared" si="262"/>
        <v>0</v>
      </c>
      <c r="Y182" s="793">
        <f t="shared" si="197"/>
        <v>2242.9799999999996</v>
      </c>
      <c r="Z182" s="2760">
        <f t="shared" si="262"/>
        <v>0</v>
      </c>
      <c r="AA182" s="2531">
        <f t="shared" si="198"/>
        <v>2242.9799999999996</v>
      </c>
      <c r="AB182" s="2760">
        <f t="shared" si="262"/>
        <v>0</v>
      </c>
      <c r="AC182" s="2760">
        <f t="shared" si="262"/>
        <v>747.81999999999994</v>
      </c>
      <c r="AD182" s="2760">
        <f t="shared" si="262"/>
        <v>0</v>
      </c>
      <c r="AE182" s="582">
        <f t="shared" si="243"/>
        <v>2990.7999999999993</v>
      </c>
      <c r="AF182" s="2760">
        <f t="shared" si="262"/>
        <v>0</v>
      </c>
      <c r="AG182" s="2760">
        <f t="shared" si="262"/>
        <v>0</v>
      </c>
      <c r="AH182" s="2760">
        <f t="shared" si="262"/>
        <v>0</v>
      </c>
      <c r="AI182" s="179">
        <f t="shared" si="244"/>
        <v>2990.7999999999993</v>
      </c>
      <c r="AJ182" s="2760">
        <f t="shared" si="262"/>
        <v>0</v>
      </c>
      <c r="AK182" s="2760">
        <f t="shared" si="262"/>
        <v>244.1</v>
      </c>
      <c r="AL182" s="2760">
        <f t="shared" si="262"/>
        <v>0</v>
      </c>
      <c r="AM182" s="793">
        <f t="shared" si="248"/>
        <v>991.92</v>
      </c>
      <c r="AN182" s="591">
        <f t="shared" si="262"/>
        <v>0</v>
      </c>
      <c r="AO182" s="1165">
        <f t="shared" si="249"/>
        <v>3234.8999999999992</v>
      </c>
      <c r="AP182" s="2760">
        <f t="shared" si="262"/>
        <v>0</v>
      </c>
      <c r="AQ182" s="2760">
        <f t="shared" si="262"/>
        <v>0</v>
      </c>
      <c r="AR182" s="2760">
        <f t="shared" si="262"/>
        <v>0</v>
      </c>
      <c r="AS182" s="1165">
        <f t="shared" si="245"/>
        <v>3234.8999999999992</v>
      </c>
      <c r="AT182" s="2760">
        <f t="shared" si="262"/>
        <v>0</v>
      </c>
      <c r="AU182" s="2760">
        <f t="shared" si="262"/>
        <v>311.56</v>
      </c>
      <c r="AV182" s="2760">
        <f t="shared" si="262"/>
        <v>0</v>
      </c>
      <c r="AW182" s="1165">
        <f t="shared" si="246"/>
        <v>3546.4599999999991</v>
      </c>
      <c r="AX182" s="2760">
        <f t="shared" si="262"/>
        <v>0</v>
      </c>
      <c r="AY182" s="2760">
        <f t="shared" si="262"/>
        <v>0</v>
      </c>
      <c r="AZ182" s="2760">
        <f t="shared" si="262"/>
        <v>0</v>
      </c>
      <c r="BA182" s="793">
        <f t="shared" si="250"/>
        <v>311.56</v>
      </c>
      <c r="BB182" s="591" t="e">
        <f t="shared" si="262"/>
        <v>#REF!</v>
      </c>
      <c r="BC182" s="2531">
        <f t="shared" ref="BC182" si="263">BA182+AM182</f>
        <v>1303.48</v>
      </c>
      <c r="BD182" s="616"/>
      <c r="BE182" s="179">
        <f t="shared" ref="BE182" si="264">+AW182+AY182</f>
        <v>3546.4599999999991</v>
      </c>
      <c r="BF182" s="1202"/>
      <c r="BH182" s="26"/>
      <c r="BI182" s="26"/>
    </row>
    <row r="183" spans="2:61" ht="18" x14ac:dyDescent="0.3">
      <c r="B183" s="1793" t="s">
        <v>2358</v>
      </c>
      <c r="C183" s="2687" t="s">
        <v>354</v>
      </c>
      <c r="D183" s="5680"/>
      <c r="E183" s="5680"/>
      <c r="F183" s="5680"/>
      <c r="G183" s="5680"/>
      <c r="H183" s="5681"/>
      <c r="I183" s="5682"/>
      <c r="J183" s="5683"/>
      <c r="K183" s="5680"/>
      <c r="L183" s="5680"/>
      <c r="M183" s="5498">
        <f t="shared" si="242"/>
        <v>0</v>
      </c>
      <c r="N183" s="5680"/>
      <c r="O183" s="5680"/>
      <c r="P183" s="5680"/>
      <c r="Q183" s="5509">
        <f t="shared" si="180"/>
        <v>0</v>
      </c>
      <c r="R183" s="5680"/>
      <c r="S183" s="5680">
        <v>189.18</v>
      </c>
      <c r="T183" s="5680"/>
      <c r="U183" s="5349">
        <f t="shared" si="238"/>
        <v>189.18</v>
      </c>
      <c r="V183" s="5680"/>
      <c r="W183" s="5680"/>
      <c r="X183" s="5680"/>
      <c r="Y183" s="5498">
        <f t="shared" si="197"/>
        <v>189.18</v>
      </c>
      <c r="Z183" s="5680"/>
      <c r="AA183" s="5684">
        <f t="shared" si="198"/>
        <v>189.18</v>
      </c>
      <c r="AB183" s="5680"/>
      <c r="AC183" s="5680"/>
      <c r="AD183" s="5680"/>
      <c r="AE183" s="5685">
        <f t="shared" si="243"/>
        <v>189.18</v>
      </c>
      <c r="AF183" s="5680"/>
      <c r="AG183" s="5680"/>
      <c r="AH183" s="5680"/>
      <c r="AI183" s="5366">
        <f t="shared" si="244"/>
        <v>189.18</v>
      </c>
      <c r="AJ183" s="5680"/>
      <c r="AK183" s="5680"/>
      <c r="AL183" s="5680"/>
      <c r="AM183" s="5498">
        <f t="shared" si="248"/>
        <v>0</v>
      </c>
      <c r="AN183" s="5677"/>
      <c r="AO183" s="5366">
        <f t="shared" si="249"/>
        <v>189.18</v>
      </c>
      <c r="AP183" s="5680"/>
      <c r="AQ183" s="5680"/>
      <c r="AR183" s="5680"/>
      <c r="AS183" s="5366">
        <f t="shared" si="245"/>
        <v>189.18</v>
      </c>
      <c r="AT183" s="5680"/>
      <c r="AU183" s="5680"/>
      <c r="AV183" s="5680"/>
      <c r="AW183" s="5366">
        <f t="shared" si="246"/>
        <v>189.18</v>
      </c>
      <c r="AX183" s="5680"/>
      <c r="AY183" s="5680"/>
      <c r="AZ183" s="5680"/>
      <c r="BA183" s="570">
        <f t="shared" ref="BA183:BA186" si="265">+AQ183+AU183+AY183</f>
        <v>0</v>
      </c>
      <c r="BB183" s="591" t="e">
        <f t="shared" ref="BB183:BB184" si="266">BB184+BB185+BB186+BB187+BB188+BB191</f>
        <v>#REF!</v>
      </c>
      <c r="BC183" s="1148">
        <f t="shared" ref="BC183:BC186" si="267">BA183+AM183</f>
        <v>0</v>
      </c>
      <c r="BD183" s="3398"/>
      <c r="BE183" s="1165">
        <f t="shared" ref="BE183:BE186" si="268">+AW183+AY183</f>
        <v>189.18</v>
      </c>
      <c r="BF183" s="1202"/>
      <c r="BH183" s="26"/>
      <c r="BI183" s="26"/>
    </row>
    <row r="184" spans="2:61" ht="18" x14ac:dyDescent="0.3">
      <c r="B184" s="1793" t="s">
        <v>2359</v>
      </c>
      <c r="C184" s="2687" t="s">
        <v>354</v>
      </c>
      <c r="D184" s="5680"/>
      <c r="E184" s="5680"/>
      <c r="F184" s="5680"/>
      <c r="G184" s="5680"/>
      <c r="H184" s="5681"/>
      <c r="I184" s="5682"/>
      <c r="J184" s="5683"/>
      <c r="K184" s="5680"/>
      <c r="L184" s="5680"/>
      <c r="M184" s="5498">
        <f t="shared" si="242"/>
        <v>0</v>
      </c>
      <c r="N184" s="5680"/>
      <c r="O184" s="5680"/>
      <c r="P184" s="5680"/>
      <c r="Q184" s="5509">
        <f t="shared" si="180"/>
        <v>0</v>
      </c>
      <c r="R184" s="5680"/>
      <c r="S184" s="5680">
        <v>185.9</v>
      </c>
      <c r="T184" s="5680"/>
      <c r="U184" s="5349">
        <f t="shared" si="238"/>
        <v>185.9</v>
      </c>
      <c r="V184" s="5680"/>
      <c r="W184" s="5680"/>
      <c r="X184" s="5680"/>
      <c r="Y184" s="5498">
        <f t="shared" si="197"/>
        <v>185.9</v>
      </c>
      <c r="Z184" s="5680"/>
      <c r="AA184" s="5684">
        <f t="shared" si="198"/>
        <v>185.9</v>
      </c>
      <c r="AB184" s="5680"/>
      <c r="AC184" s="5680"/>
      <c r="AD184" s="5680"/>
      <c r="AE184" s="5685">
        <f t="shared" si="243"/>
        <v>185.9</v>
      </c>
      <c r="AF184" s="5680"/>
      <c r="AG184" s="5680"/>
      <c r="AH184" s="5680"/>
      <c r="AI184" s="5366">
        <f t="shared" si="244"/>
        <v>185.9</v>
      </c>
      <c r="AJ184" s="5680"/>
      <c r="AK184" s="5680"/>
      <c r="AL184" s="5680"/>
      <c r="AM184" s="5498">
        <f t="shared" si="248"/>
        <v>0</v>
      </c>
      <c r="AN184" s="5677"/>
      <c r="AO184" s="5366">
        <f t="shared" si="249"/>
        <v>185.9</v>
      </c>
      <c r="AP184" s="5680"/>
      <c r="AQ184" s="5680"/>
      <c r="AR184" s="5680"/>
      <c r="AS184" s="5366">
        <f t="shared" si="245"/>
        <v>185.9</v>
      </c>
      <c r="AT184" s="5680"/>
      <c r="AU184" s="5680"/>
      <c r="AV184" s="5680"/>
      <c r="AW184" s="5366">
        <f t="shared" si="246"/>
        <v>185.9</v>
      </c>
      <c r="AX184" s="5680"/>
      <c r="AY184" s="5680"/>
      <c r="AZ184" s="5680"/>
      <c r="BA184" s="570">
        <f t="shared" si="265"/>
        <v>0</v>
      </c>
      <c r="BB184" s="591" t="e">
        <f t="shared" si="266"/>
        <v>#REF!</v>
      </c>
      <c r="BC184" s="1148">
        <f t="shared" si="267"/>
        <v>0</v>
      </c>
      <c r="BD184" s="3398"/>
      <c r="BE184" s="1165">
        <f t="shared" si="268"/>
        <v>185.9</v>
      </c>
      <c r="BF184" s="1202"/>
      <c r="BH184" s="26"/>
      <c r="BI184" s="26"/>
    </row>
    <row r="185" spans="2:61" ht="18" x14ac:dyDescent="0.3">
      <c r="B185" s="1793" t="s">
        <v>2360</v>
      </c>
      <c r="C185" s="2687" t="s">
        <v>354</v>
      </c>
      <c r="D185" s="5680"/>
      <c r="E185" s="5680"/>
      <c r="F185" s="5680"/>
      <c r="G185" s="5680"/>
      <c r="H185" s="5681"/>
      <c r="I185" s="5682"/>
      <c r="J185" s="5683"/>
      <c r="K185" s="5680"/>
      <c r="L185" s="5680"/>
      <c r="M185" s="5498">
        <f t="shared" si="242"/>
        <v>0</v>
      </c>
      <c r="N185" s="5680"/>
      <c r="O185" s="5680"/>
      <c r="P185" s="5680"/>
      <c r="Q185" s="5509">
        <f t="shared" si="180"/>
        <v>0</v>
      </c>
      <c r="R185" s="5680"/>
      <c r="S185" s="5680">
        <v>123.32</v>
      </c>
      <c r="T185" s="5680"/>
      <c r="U185" s="5349">
        <f t="shared" si="238"/>
        <v>123.32</v>
      </c>
      <c r="V185" s="5680"/>
      <c r="W185" s="5680"/>
      <c r="X185" s="5680"/>
      <c r="Y185" s="5498">
        <f t="shared" si="197"/>
        <v>123.32</v>
      </c>
      <c r="Z185" s="5680"/>
      <c r="AA185" s="5684">
        <f t="shared" si="198"/>
        <v>123.32</v>
      </c>
      <c r="AB185" s="5680"/>
      <c r="AC185" s="5680"/>
      <c r="AD185" s="5680"/>
      <c r="AE185" s="5685">
        <f t="shared" si="243"/>
        <v>123.32</v>
      </c>
      <c r="AF185" s="5680"/>
      <c r="AG185" s="5680"/>
      <c r="AH185" s="5680"/>
      <c r="AI185" s="5366">
        <f t="shared" si="244"/>
        <v>123.32</v>
      </c>
      <c r="AJ185" s="5680"/>
      <c r="AK185" s="5680"/>
      <c r="AL185" s="5680"/>
      <c r="AM185" s="5498">
        <f t="shared" si="248"/>
        <v>0</v>
      </c>
      <c r="AN185" s="5677"/>
      <c r="AO185" s="5366">
        <f t="shared" si="249"/>
        <v>123.32</v>
      </c>
      <c r="AP185" s="5680"/>
      <c r="AQ185" s="5680"/>
      <c r="AR185" s="5680"/>
      <c r="AS185" s="5366">
        <f t="shared" si="245"/>
        <v>123.32</v>
      </c>
      <c r="AT185" s="5680"/>
      <c r="AU185" s="5680"/>
      <c r="AV185" s="5680"/>
      <c r="AW185" s="5366">
        <f t="shared" si="246"/>
        <v>123.32</v>
      </c>
      <c r="AX185" s="5680"/>
      <c r="AY185" s="5680"/>
      <c r="AZ185" s="5680"/>
      <c r="BA185" s="570">
        <f t="shared" si="265"/>
        <v>0</v>
      </c>
      <c r="BB185" s="591" t="e">
        <f>BB186+BB187+BB188+BB189+BB190+#REF!</f>
        <v>#REF!</v>
      </c>
      <c r="BC185" s="1148">
        <f t="shared" si="267"/>
        <v>0</v>
      </c>
      <c r="BD185" s="3398"/>
      <c r="BE185" s="1165">
        <f t="shared" si="268"/>
        <v>123.32</v>
      </c>
      <c r="BF185" s="1202"/>
      <c r="BH185" s="26"/>
      <c r="BI185" s="26"/>
    </row>
    <row r="186" spans="2:61" ht="18" x14ac:dyDescent="0.3">
      <c r="B186" s="1793" t="s">
        <v>2361</v>
      </c>
      <c r="C186" s="2687" t="s">
        <v>354</v>
      </c>
      <c r="D186" s="5680"/>
      <c r="E186" s="5680"/>
      <c r="F186" s="5680"/>
      <c r="G186" s="5680"/>
      <c r="H186" s="5681"/>
      <c r="I186" s="5682"/>
      <c r="J186" s="5683"/>
      <c r="K186" s="5680"/>
      <c r="L186" s="5680"/>
      <c r="M186" s="5498">
        <f t="shared" si="242"/>
        <v>0</v>
      </c>
      <c r="N186" s="5680"/>
      <c r="O186" s="5680"/>
      <c r="P186" s="5680"/>
      <c r="Q186" s="5509">
        <f t="shared" si="180"/>
        <v>0</v>
      </c>
      <c r="R186" s="5680"/>
      <c r="S186" s="5680">
        <v>124.96000000000001</v>
      </c>
      <c r="T186" s="5680"/>
      <c r="U186" s="5349">
        <f t="shared" si="238"/>
        <v>124.96000000000001</v>
      </c>
      <c r="V186" s="5680"/>
      <c r="W186" s="5680">
        <v>128.78</v>
      </c>
      <c r="X186" s="5680"/>
      <c r="Y186" s="5498">
        <f t="shared" si="197"/>
        <v>253.74</v>
      </c>
      <c r="Z186" s="5680"/>
      <c r="AA186" s="5684">
        <f t="shared" si="198"/>
        <v>253.74</v>
      </c>
      <c r="AB186" s="5680"/>
      <c r="AC186" s="5680">
        <v>124.53999999999999</v>
      </c>
      <c r="AD186" s="5680"/>
      <c r="AE186" s="5685">
        <f t="shared" si="243"/>
        <v>378.28</v>
      </c>
      <c r="AF186" s="5680"/>
      <c r="AG186" s="5680"/>
      <c r="AH186" s="5680"/>
      <c r="AI186" s="5366">
        <f t="shared" si="244"/>
        <v>378.28</v>
      </c>
      <c r="AJ186" s="5680"/>
      <c r="AK186" s="5680"/>
      <c r="AL186" s="5680"/>
      <c r="AM186" s="5498">
        <f t="shared" si="248"/>
        <v>124.53999999999999</v>
      </c>
      <c r="AN186" s="5677"/>
      <c r="AO186" s="5366">
        <f t="shared" si="249"/>
        <v>378.28</v>
      </c>
      <c r="AP186" s="5680"/>
      <c r="AQ186" s="5680"/>
      <c r="AR186" s="5680"/>
      <c r="AS186" s="5366">
        <f t="shared" si="245"/>
        <v>378.28</v>
      </c>
      <c r="AT186" s="5680"/>
      <c r="AU186" s="5680"/>
      <c r="AV186" s="5680"/>
      <c r="AW186" s="5366">
        <f t="shared" si="246"/>
        <v>378.28</v>
      </c>
      <c r="AX186" s="5680"/>
      <c r="AY186" s="5680"/>
      <c r="AZ186" s="5680"/>
      <c r="BA186" s="570">
        <f t="shared" si="265"/>
        <v>0</v>
      </c>
      <c r="BB186" s="591" t="e">
        <f>BB187+BB188+BB189+BB190+BB191+#REF!</f>
        <v>#REF!</v>
      </c>
      <c r="BC186" s="1148">
        <f t="shared" si="267"/>
        <v>124.53999999999999</v>
      </c>
      <c r="BD186" s="3398"/>
      <c r="BE186" s="1165">
        <f t="shared" si="268"/>
        <v>378.28</v>
      </c>
      <c r="BF186" s="1202"/>
      <c r="BH186" s="26"/>
      <c r="BI186" s="26"/>
    </row>
    <row r="187" spans="2:61" ht="18" x14ac:dyDescent="0.3">
      <c r="B187" s="1793" t="s">
        <v>2355</v>
      </c>
      <c r="C187" s="2687" t="s">
        <v>354</v>
      </c>
      <c r="D187" s="5680"/>
      <c r="E187" s="5407">
        <f>E188+E189</f>
        <v>0</v>
      </c>
      <c r="F187" s="5407"/>
      <c r="G187" s="5407">
        <f t="shared" ref="G187:BE187" si="269">G188+G189</f>
        <v>0</v>
      </c>
      <c r="H187" s="5408">
        <f t="shared" si="269"/>
        <v>0</v>
      </c>
      <c r="I187" s="5425">
        <f t="shared" si="269"/>
        <v>0</v>
      </c>
      <c r="J187" s="3203">
        <f t="shared" si="269"/>
        <v>0</v>
      </c>
      <c r="K187" s="5407">
        <f t="shared" si="269"/>
        <v>0</v>
      </c>
      <c r="L187" s="5407">
        <f t="shared" si="269"/>
        <v>0</v>
      </c>
      <c r="M187" s="5508">
        <f t="shared" si="242"/>
        <v>0</v>
      </c>
      <c r="N187" s="5407">
        <f t="shared" si="269"/>
        <v>0</v>
      </c>
      <c r="O187" s="5407">
        <f t="shared" si="269"/>
        <v>0</v>
      </c>
      <c r="P187" s="5407">
        <f t="shared" si="269"/>
        <v>0</v>
      </c>
      <c r="Q187" s="5678">
        <f t="shared" si="180"/>
        <v>0</v>
      </c>
      <c r="R187" s="5407">
        <f t="shared" si="269"/>
        <v>0</v>
      </c>
      <c r="S187" s="5407">
        <f t="shared" si="269"/>
        <v>490.26</v>
      </c>
      <c r="T187" s="5407">
        <f t="shared" si="269"/>
        <v>0</v>
      </c>
      <c r="U187" s="5446">
        <f t="shared" si="238"/>
        <v>490.26</v>
      </c>
      <c r="V187" s="5407">
        <f t="shared" si="269"/>
        <v>0</v>
      </c>
      <c r="W187" s="5407">
        <f t="shared" si="269"/>
        <v>317.08000000000004</v>
      </c>
      <c r="X187" s="5407">
        <f t="shared" si="269"/>
        <v>0</v>
      </c>
      <c r="Y187" s="5508">
        <f t="shared" si="197"/>
        <v>807.34</v>
      </c>
      <c r="Z187" s="5407">
        <f t="shared" si="269"/>
        <v>0</v>
      </c>
      <c r="AA187" s="5410">
        <f t="shared" si="198"/>
        <v>807.34</v>
      </c>
      <c r="AB187" s="5407">
        <f t="shared" si="269"/>
        <v>0</v>
      </c>
      <c r="AC187" s="5407">
        <f t="shared" si="269"/>
        <v>312.26</v>
      </c>
      <c r="AD187" s="5407">
        <f t="shared" si="269"/>
        <v>0</v>
      </c>
      <c r="AE187" s="5676">
        <f t="shared" si="243"/>
        <v>1119.5999999999999</v>
      </c>
      <c r="AF187" s="5407">
        <f t="shared" si="269"/>
        <v>0</v>
      </c>
      <c r="AG187" s="5407">
        <f t="shared" si="269"/>
        <v>0</v>
      </c>
      <c r="AH187" s="5407">
        <f t="shared" si="269"/>
        <v>0</v>
      </c>
      <c r="AI187" s="4820">
        <f t="shared" si="244"/>
        <v>1119.5999999999999</v>
      </c>
      <c r="AJ187" s="5407">
        <f t="shared" si="269"/>
        <v>0</v>
      </c>
      <c r="AK187" s="5407">
        <f t="shared" si="269"/>
        <v>0</v>
      </c>
      <c r="AL187" s="5407">
        <f t="shared" si="269"/>
        <v>0</v>
      </c>
      <c r="AM187" s="5508">
        <f t="shared" si="248"/>
        <v>312.26</v>
      </c>
      <c r="AN187" s="5679">
        <f t="shared" si="269"/>
        <v>0</v>
      </c>
      <c r="AO187" s="4820">
        <f t="shared" si="249"/>
        <v>1119.5999999999999</v>
      </c>
      <c r="AP187" s="5407">
        <f t="shared" si="269"/>
        <v>0</v>
      </c>
      <c r="AQ187" s="5407">
        <f t="shared" si="269"/>
        <v>0</v>
      </c>
      <c r="AR187" s="5407">
        <f t="shared" si="269"/>
        <v>0</v>
      </c>
      <c r="AS187" s="4820">
        <f t="shared" si="245"/>
        <v>1119.5999999999999</v>
      </c>
      <c r="AT187" s="5407">
        <f t="shared" si="269"/>
        <v>0</v>
      </c>
      <c r="AU187" s="5407">
        <f t="shared" si="269"/>
        <v>0</v>
      </c>
      <c r="AV187" s="5407">
        <f t="shared" si="269"/>
        <v>0</v>
      </c>
      <c r="AW187" s="4820">
        <f t="shared" si="246"/>
        <v>1119.5999999999999</v>
      </c>
      <c r="AX187" s="5407">
        <f t="shared" si="269"/>
        <v>0</v>
      </c>
      <c r="AY187" s="5407">
        <f t="shared" si="269"/>
        <v>0</v>
      </c>
      <c r="AZ187" s="5407">
        <f t="shared" si="269"/>
        <v>0</v>
      </c>
      <c r="BA187" s="5508">
        <f t="shared" si="269"/>
        <v>0</v>
      </c>
      <c r="BB187" s="5679" t="e">
        <f t="shared" si="269"/>
        <v>#REF!</v>
      </c>
      <c r="BC187" s="5410">
        <f t="shared" si="269"/>
        <v>312.26</v>
      </c>
      <c r="BD187" s="5407">
        <f t="shared" si="269"/>
        <v>0</v>
      </c>
      <c r="BE187" s="4820">
        <f t="shared" si="269"/>
        <v>1119.6000000000001</v>
      </c>
      <c r="BF187" s="1202"/>
      <c r="BH187" s="26"/>
      <c r="BI187" s="26"/>
    </row>
    <row r="188" spans="2:61" ht="18" x14ac:dyDescent="0.3">
      <c r="B188" s="1793" t="s">
        <v>1579</v>
      </c>
      <c r="C188" s="3219" t="s">
        <v>354</v>
      </c>
      <c r="D188" s="5680"/>
      <c r="E188" s="5680"/>
      <c r="F188" s="5680"/>
      <c r="G188" s="5680"/>
      <c r="H188" s="5681"/>
      <c r="I188" s="5682"/>
      <c r="J188" s="5683"/>
      <c r="K188" s="5680"/>
      <c r="L188" s="5680"/>
      <c r="M188" s="5498">
        <f t="shared" si="242"/>
        <v>0</v>
      </c>
      <c r="N188" s="5680"/>
      <c r="O188" s="5680"/>
      <c r="P188" s="5680"/>
      <c r="Q188" s="5509">
        <f t="shared" si="180"/>
        <v>0</v>
      </c>
      <c r="R188" s="5680"/>
      <c r="S188" s="5680">
        <v>125.22</v>
      </c>
      <c r="T188" s="5680"/>
      <c r="U188" s="5349">
        <f t="shared" si="238"/>
        <v>125.22</v>
      </c>
      <c r="V188" s="5680"/>
      <c r="W188" s="5680">
        <v>317.08000000000004</v>
      </c>
      <c r="X188" s="5680"/>
      <c r="Y188" s="5498">
        <f t="shared" si="197"/>
        <v>442.30000000000007</v>
      </c>
      <c r="Z188" s="5680"/>
      <c r="AA188" s="5684">
        <f t="shared" si="198"/>
        <v>442.30000000000007</v>
      </c>
      <c r="AB188" s="5680"/>
      <c r="AC188" s="5680">
        <v>312.26</v>
      </c>
      <c r="AD188" s="5680"/>
      <c r="AE188" s="5685">
        <f t="shared" si="243"/>
        <v>754.56000000000006</v>
      </c>
      <c r="AF188" s="5680"/>
      <c r="AG188" s="5680"/>
      <c r="AH188" s="5680"/>
      <c r="AI188" s="5366">
        <f t="shared" si="244"/>
        <v>754.56000000000006</v>
      </c>
      <c r="AJ188" s="5680"/>
      <c r="AK188" s="5680"/>
      <c r="AL188" s="5680"/>
      <c r="AM188" s="5498">
        <f t="shared" si="248"/>
        <v>312.26</v>
      </c>
      <c r="AN188" s="5677"/>
      <c r="AO188" s="5366">
        <f t="shared" si="249"/>
        <v>754.56000000000006</v>
      </c>
      <c r="AP188" s="5680"/>
      <c r="AQ188" s="5680"/>
      <c r="AR188" s="5680"/>
      <c r="AS188" s="5366">
        <f t="shared" si="245"/>
        <v>754.56000000000006</v>
      </c>
      <c r="AT188" s="5680"/>
      <c r="AU188" s="5680"/>
      <c r="AV188" s="5680"/>
      <c r="AW188" s="5366">
        <f t="shared" si="246"/>
        <v>754.56000000000006</v>
      </c>
      <c r="AX188" s="5680"/>
      <c r="AY188" s="5680"/>
      <c r="AZ188" s="5680"/>
      <c r="BA188" s="570">
        <f t="shared" ref="BA188:BA189" si="270">+AQ188+AU188+AY188</f>
        <v>0</v>
      </c>
      <c r="BB188" s="591" t="e">
        <f>BB189+BB190+BB191+BB192+#REF!+BB195</f>
        <v>#REF!</v>
      </c>
      <c r="BC188" s="1148">
        <f t="shared" ref="BC188:BC189" si="271">BA188+AM188</f>
        <v>312.26</v>
      </c>
      <c r="BD188" s="3398"/>
      <c r="BE188" s="1165">
        <f t="shared" ref="BE188:BE189" si="272">+AW188+AY188</f>
        <v>754.56000000000006</v>
      </c>
      <c r="BF188" s="1202"/>
      <c r="BH188" s="26"/>
      <c r="BI188" s="26"/>
    </row>
    <row r="189" spans="2:61" ht="18" x14ac:dyDescent="0.3">
      <c r="B189" s="1793" t="s">
        <v>2357</v>
      </c>
      <c r="C189" s="3219" t="s">
        <v>354</v>
      </c>
      <c r="D189" s="5680"/>
      <c r="E189" s="5680"/>
      <c r="F189" s="5680"/>
      <c r="G189" s="5680"/>
      <c r="H189" s="5681"/>
      <c r="I189" s="5682"/>
      <c r="J189" s="5683"/>
      <c r="K189" s="5680"/>
      <c r="L189" s="5680"/>
      <c r="M189" s="5498">
        <f t="shared" si="242"/>
        <v>0</v>
      </c>
      <c r="N189" s="5680"/>
      <c r="O189" s="5680"/>
      <c r="P189" s="5680"/>
      <c r="Q189" s="5509">
        <f t="shared" si="180"/>
        <v>0</v>
      </c>
      <c r="R189" s="5680"/>
      <c r="S189" s="5680">
        <v>365.04</v>
      </c>
      <c r="T189" s="5680"/>
      <c r="U189" s="5349">
        <f t="shared" si="238"/>
        <v>365.04</v>
      </c>
      <c r="V189" s="5680"/>
      <c r="W189" s="5680"/>
      <c r="X189" s="5680"/>
      <c r="Y189" s="5498">
        <f t="shared" si="197"/>
        <v>365.04</v>
      </c>
      <c r="Z189" s="5680"/>
      <c r="AA189" s="5684">
        <f t="shared" si="198"/>
        <v>365.04</v>
      </c>
      <c r="AB189" s="5680"/>
      <c r="AC189" s="5680"/>
      <c r="AD189" s="5680"/>
      <c r="AE189" s="5685">
        <f t="shared" si="243"/>
        <v>365.04</v>
      </c>
      <c r="AF189" s="5680"/>
      <c r="AG189" s="5680"/>
      <c r="AH189" s="5680"/>
      <c r="AI189" s="5366">
        <f t="shared" si="244"/>
        <v>365.04</v>
      </c>
      <c r="AJ189" s="5680"/>
      <c r="AK189" s="5680"/>
      <c r="AL189" s="5680"/>
      <c r="AM189" s="5498">
        <f t="shared" si="248"/>
        <v>0</v>
      </c>
      <c r="AN189" s="5677"/>
      <c r="AO189" s="5366">
        <f t="shared" si="249"/>
        <v>365.04</v>
      </c>
      <c r="AP189" s="5680"/>
      <c r="AQ189" s="5680"/>
      <c r="AR189" s="5680"/>
      <c r="AS189" s="5366">
        <f t="shared" si="245"/>
        <v>365.04</v>
      </c>
      <c r="AT189" s="5680"/>
      <c r="AU189" s="5680"/>
      <c r="AV189" s="5680"/>
      <c r="AW189" s="5366">
        <f t="shared" si="246"/>
        <v>365.04</v>
      </c>
      <c r="AX189" s="5680"/>
      <c r="AY189" s="5680"/>
      <c r="AZ189" s="5680"/>
      <c r="BA189" s="570">
        <f t="shared" si="270"/>
        <v>0</v>
      </c>
      <c r="BB189" s="591" t="e">
        <f>BB190+BB191+BB192+#REF!+#REF!+BB196</f>
        <v>#REF!</v>
      </c>
      <c r="BC189" s="1148">
        <f t="shared" si="271"/>
        <v>0</v>
      </c>
      <c r="BD189" s="3398"/>
      <c r="BE189" s="1165">
        <f t="shared" si="272"/>
        <v>365.04</v>
      </c>
      <c r="BF189" s="1202"/>
      <c r="BH189" s="26"/>
      <c r="BI189" s="26"/>
    </row>
    <row r="190" spans="2:61" ht="17.399999999999999" x14ac:dyDescent="0.3">
      <c r="B190" s="1793" t="s">
        <v>2356</v>
      </c>
      <c r="C190" s="3219" t="s">
        <v>354</v>
      </c>
      <c r="D190" s="5407"/>
      <c r="E190" s="5407">
        <f>E191+E192</f>
        <v>0</v>
      </c>
      <c r="F190" s="5407"/>
      <c r="G190" s="5407">
        <f t="shared" ref="G190:BE190" si="273">G191+G192</f>
        <v>0</v>
      </c>
      <c r="H190" s="5408">
        <f t="shared" si="273"/>
        <v>0</v>
      </c>
      <c r="I190" s="5425">
        <f t="shared" si="273"/>
        <v>0</v>
      </c>
      <c r="J190" s="3203">
        <f t="shared" si="273"/>
        <v>0</v>
      </c>
      <c r="K190" s="5407">
        <f t="shared" si="273"/>
        <v>0</v>
      </c>
      <c r="L190" s="5407">
        <f t="shared" si="273"/>
        <v>0</v>
      </c>
      <c r="M190" s="5508">
        <f t="shared" si="242"/>
        <v>0</v>
      </c>
      <c r="N190" s="5407">
        <f t="shared" si="273"/>
        <v>0</v>
      </c>
      <c r="O190" s="5407">
        <f t="shared" si="273"/>
        <v>64.099999999999994</v>
      </c>
      <c r="P190" s="5407">
        <f t="shared" si="273"/>
        <v>0</v>
      </c>
      <c r="Q190" s="5509">
        <f t="shared" si="180"/>
        <v>64.099999999999994</v>
      </c>
      <c r="R190" s="5407">
        <f t="shared" si="273"/>
        <v>0</v>
      </c>
      <c r="S190" s="5407">
        <f t="shared" si="273"/>
        <v>371.54</v>
      </c>
      <c r="T190" s="5407">
        <f t="shared" si="273"/>
        <v>0</v>
      </c>
      <c r="U190" s="5349">
        <f t="shared" si="238"/>
        <v>435.64</v>
      </c>
      <c r="V190" s="5407">
        <f t="shared" si="273"/>
        <v>0</v>
      </c>
      <c r="W190" s="5407">
        <f t="shared" si="273"/>
        <v>247.86</v>
      </c>
      <c r="X190" s="5407">
        <f t="shared" si="273"/>
        <v>0</v>
      </c>
      <c r="Y190" s="5508">
        <f t="shared" si="197"/>
        <v>683.5</v>
      </c>
      <c r="Z190" s="5407">
        <f t="shared" si="273"/>
        <v>0</v>
      </c>
      <c r="AA190" s="5410">
        <f t="shared" si="198"/>
        <v>683.5</v>
      </c>
      <c r="AB190" s="5407">
        <f t="shared" si="273"/>
        <v>0</v>
      </c>
      <c r="AC190" s="5407">
        <f t="shared" si="273"/>
        <v>311.02</v>
      </c>
      <c r="AD190" s="5407">
        <f t="shared" si="273"/>
        <v>0</v>
      </c>
      <c r="AE190" s="5676">
        <f t="shared" si="243"/>
        <v>994.52</v>
      </c>
      <c r="AF190" s="5407">
        <f t="shared" si="273"/>
        <v>0</v>
      </c>
      <c r="AG190" s="5407">
        <f t="shared" si="273"/>
        <v>0</v>
      </c>
      <c r="AH190" s="5407">
        <f t="shared" si="273"/>
        <v>0</v>
      </c>
      <c r="AI190" s="4820">
        <f t="shared" si="244"/>
        <v>994.52</v>
      </c>
      <c r="AJ190" s="5407">
        <f t="shared" si="273"/>
        <v>0</v>
      </c>
      <c r="AK190" s="5407">
        <f t="shared" si="273"/>
        <v>244.1</v>
      </c>
      <c r="AL190" s="5407">
        <f t="shared" si="273"/>
        <v>0</v>
      </c>
      <c r="AM190" s="5508">
        <f t="shared" si="248"/>
        <v>555.12</v>
      </c>
      <c r="AN190" s="5677">
        <f t="shared" si="273"/>
        <v>0</v>
      </c>
      <c r="AO190" s="5366">
        <f t="shared" si="249"/>
        <v>1238.6199999999999</v>
      </c>
      <c r="AP190" s="5407">
        <f t="shared" si="273"/>
        <v>0</v>
      </c>
      <c r="AQ190" s="5407">
        <f t="shared" si="273"/>
        <v>0</v>
      </c>
      <c r="AR190" s="5407">
        <f t="shared" si="273"/>
        <v>0</v>
      </c>
      <c r="AS190" s="5366">
        <f t="shared" si="245"/>
        <v>1238.6199999999999</v>
      </c>
      <c r="AT190" s="5407">
        <f t="shared" si="273"/>
        <v>0</v>
      </c>
      <c r="AU190" s="5407">
        <f t="shared" si="273"/>
        <v>311.56</v>
      </c>
      <c r="AV190" s="5407">
        <f t="shared" si="273"/>
        <v>0</v>
      </c>
      <c r="AW190" s="5366">
        <f t="shared" si="246"/>
        <v>1550.1799999999998</v>
      </c>
      <c r="AX190" s="5407">
        <f t="shared" si="273"/>
        <v>0</v>
      </c>
      <c r="AY190" s="5407">
        <f t="shared" si="273"/>
        <v>0</v>
      </c>
      <c r="AZ190" s="5407">
        <f t="shared" si="273"/>
        <v>0</v>
      </c>
      <c r="BA190" s="5508">
        <f t="shared" si="273"/>
        <v>311.56</v>
      </c>
      <c r="BB190" s="5677" t="e">
        <f t="shared" si="273"/>
        <v>#REF!</v>
      </c>
      <c r="BC190" s="5410">
        <f t="shared" si="273"/>
        <v>866.68000000000006</v>
      </c>
      <c r="BD190" s="5407">
        <f t="shared" si="273"/>
        <v>0</v>
      </c>
      <c r="BE190" s="4820">
        <f t="shared" si="273"/>
        <v>1550.18</v>
      </c>
      <c r="BF190" s="1202"/>
      <c r="BH190" s="26"/>
      <c r="BI190" s="26"/>
    </row>
    <row r="191" spans="2:61" ht="18" x14ac:dyDescent="0.3">
      <c r="B191" s="1793" t="s">
        <v>1579</v>
      </c>
      <c r="C191" s="3219" t="s">
        <v>354</v>
      </c>
      <c r="D191" s="5680"/>
      <c r="E191" s="5680"/>
      <c r="F191" s="5680"/>
      <c r="G191" s="5680"/>
      <c r="H191" s="5681"/>
      <c r="I191" s="5682"/>
      <c r="J191" s="5683"/>
      <c r="K191" s="5680"/>
      <c r="L191" s="5680"/>
      <c r="M191" s="5498">
        <f t="shared" si="242"/>
        <v>0</v>
      </c>
      <c r="N191" s="5680"/>
      <c r="O191" s="5680">
        <v>64.099999999999994</v>
      </c>
      <c r="P191" s="5680"/>
      <c r="Q191" s="5509">
        <f t="shared" si="180"/>
        <v>64.099999999999994</v>
      </c>
      <c r="R191" s="5680"/>
      <c r="S191" s="5680">
        <v>125.38</v>
      </c>
      <c r="T191" s="5680"/>
      <c r="U191" s="5349">
        <f t="shared" si="238"/>
        <v>189.48</v>
      </c>
      <c r="V191" s="5680"/>
      <c r="W191" s="5680">
        <v>247.86</v>
      </c>
      <c r="X191" s="5680"/>
      <c r="Y191" s="5498">
        <f t="shared" si="197"/>
        <v>437.34000000000003</v>
      </c>
      <c r="Z191" s="5680"/>
      <c r="AA191" s="5684">
        <f t="shared" si="198"/>
        <v>437.34000000000003</v>
      </c>
      <c r="AB191" s="5680"/>
      <c r="AC191" s="5680">
        <v>311.02</v>
      </c>
      <c r="AD191" s="5680"/>
      <c r="AE191" s="5685">
        <f t="shared" si="243"/>
        <v>748.36</v>
      </c>
      <c r="AF191" s="5680"/>
      <c r="AG191" s="5680"/>
      <c r="AH191" s="5680"/>
      <c r="AI191" s="5366">
        <f t="shared" si="244"/>
        <v>748.36</v>
      </c>
      <c r="AJ191" s="5680"/>
      <c r="AK191" s="5680">
        <v>244.1</v>
      </c>
      <c r="AL191" s="5680"/>
      <c r="AM191" s="5498">
        <f t="shared" si="248"/>
        <v>555.12</v>
      </c>
      <c r="AN191" s="5677"/>
      <c r="AO191" s="5366">
        <f t="shared" si="249"/>
        <v>992.46</v>
      </c>
      <c r="AP191" s="5680"/>
      <c r="AQ191" s="5680"/>
      <c r="AR191" s="5680"/>
      <c r="AS191" s="5366">
        <f t="shared" si="245"/>
        <v>992.46</v>
      </c>
      <c r="AT191" s="5680"/>
      <c r="AU191" s="5680">
        <v>311.56</v>
      </c>
      <c r="AV191" s="5680"/>
      <c r="AW191" s="5366">
        <f t="shared" si="246"/>
        <v>1304.02</v>
      </c>
      <c r="AX191" s="5680"/>
      <c r="AY191" s="5680"/>
      <c r="AZ191" s="5680"/>
      <c r="BA191" s="570">
        <f t="shared" ref="BA191:BA192" si="274">+AQ191+AU191+AY191</f>
        <v>311.56</v>
      </c>
      <c r="BB191" s="591" t="e">
        <f>BB192+#REF!+#REF!+BB194+BB195+BB198</f>
        <v>#REF!</v>
      </c>
      <c r="BC191" s="1148">
        <f t="shared" ref="BC191:BC192" si="275">BA191+AM191</f>
        <v>866.68000000000006</v>
      </c>
      <c r="BD191" s="3398"/>
      <c r="BE191" s="1165">
        <f t="shared" ref="BE191:BE192" si="276">+AW191+AY191</f>
        <v>1304.02</v>
      </c>
      <c r="BF191" s="1202"/>
      <c r="BH191" s="26"/>
      <c r="BI191" s="26"/>
    </row>
    <row r="192" spans="2:61" ht="18" x14ac:dyDescent="0.3">
      <c r="B192" s="1793" t="s">
        <v>2357</v>
      </c>
      <c r="C192" s="3219" t="s">
        <v>354</v>
      </c>
      <c r="D192" s="5680"/>
      <c r="E192" s="5680"/>
      <c r="F192" s="5680"/>
      <c r="G192" s="5680"/>
      <c r="H192" s="5681"/>
      <c r="I192" s="5682"/>
      <c r="J192" s="5683"/>
      <c r="K192" s="5680"/>
      <c r="L192" s="5680"/>
      <c r="M192" s="5498">
        <f t="shared" si="242"/>
        <v>0</v>
      </c>
      <c r="N192" s="5680"/>
      <c r="O192" s="5680"/>
      <c r="P192" s="5680"/>
      <c r="Q192" s="5509">
        <f t="shared" si="180"/>
        <v>0</v>
      </c>
      <c r="R192" s="5680"/>
      <c r="S192" s="5680">
        <v>246.16000000000003</v>
      </c>
      <c r="T192" s="5680"/>
      <c r="U192" s="5349">
        <f t="shared" si="238"/>
        <v>246.16000000000003</v>
      </c>
      <c r="V192" s="5680"/>
      <c r="W192" s="5680"/>
      <c r="X192" s="5680"/>
      <c r="Y192" s="5498">
        <f t="shared" si="197"/>
        <v>246.16000000000003</v>
      </c>
      <c r="Z192" s="5680"/>
      <c r="AA192" s="5684">
        <f t="shared" si="198"/>
        <v>246.16000000000003</v>
      </c>
      <c r="AB192" s="5680"/>
      <c r="AC192" s="5680"/>
      <c r="AD192" s="5680"/>
      <c r="AE192" s="5685">
        <f t="shared" si="243"/>
        <v>246.16000000000003</v>
      </c>
      <c r="AF192" s="5680"/>
      <c r="AG192" s="5680"/>
      <c r="AH192" s="5680"/>
      <c r="AI192" s="5366">
        <f t="shared" si="244"/>
        <v>246.16000000000003</v>
      </c>
      <c r="AJ192" s="5680"/>
      <c r="AK192" s="5680"/>
      <c r="AL192" s="5680"/>
      <c r="AM192" s="5498">
        <f t="shared" si="248"/>
        <v>0</v>
      </c>
      <c r="AN192" s="5677"/>
      <c r="AO192" s="5366">
        <f t="shared" si="249"/>
        <v>246.16000000000003</v>
      </c>
      <c r="AP192" s="5680"/>
      <c r="AQ192" s="5680"/>
      <c r="AR192" s="5680"/>
      <c r="AS192" s="5366">
        <f t="shared" si="245"/>
        <v>246.16000000000003</v>
      </c>
      <c r="AT192" s="5680"/>
      <c r="AU192" s="5680"/>
      <c r="AV192" s="5680"/>
      <c r="AW192" s="5366">
        <f t="shared" si="246"/>
        <v>246.16000000000003</v>
      </c>
      <c r="AX192" s="5680"/>
      <c r="AY192" s="5680"/>
      <c r="AZ192" s="5680"/>
      <c r="BA192" s="570">
        <f t="shared" si="274"/>
        <v>0</v>
      </c>
      <c r="BB192" s="591" t="e">
        <f>#REF!+#REF!+BB194+BB195+BB196+BB199</f>
        <v>#REF!</v>
      </c>
      <c r="BC192" s="1148">
        <f t="shared" si="275"/>
        <v>0</v>
      </c>
      <c r="BD192" s="3398"/>
      <c r="BE192" s="1165">
        <f t="shared" si="276"/>
        <v>246.16000000000003</v>
      </c>
      <c r="BF192" s="1202"/>
      <c r="BH192" s="26"/>
      <c r="BI192" s="26"/>
    </row>
    <row r="193" spans="1:61" s="32" customFormat="1" ht="20.399999999999999" x14ac:dyDescent="0.3">
      <c r="B193" s="5761" t="s">
        <v>2366</v>
      </c>
      <c r="C193" s="5760"/>
      <c r="D193" s="5407"/>
      <c r="E193" s="5407">
        <f>+E194+E195</f>
        <v>0</v>
      </c>
      <c r="F193" s="5407">
        <f t="shared" ref="F193:BE193" si="277">+F194+F195</f>
        <v>0</v>
      </c>
      <c r="G193" s="5407">
        <f t="shared" si="277"/>
        <v>0</v>
      </c>
      <c r="H193" s="5407">
        <f t="shared" si="277"/>
        <v>0</v>
      </c>
      <c r="I193" s="5407">
        <f t="shared" si="277"/>
        <v>0</v>
      </c>
      <c r="J193" s="5407">
        <f t="shared" si="277"/>
        <v>0</v>
      </c>
      <c r="K193" s="5407">
        <f t="shared" si="277"/>
        <v>0</v>
      </c>
      <c r="L193" s="5407">
        <f t="shared" si="277"/>
        <v>0</v>
      </c>
      <c r="M193" s="5407">
        <f t="shared" si="277"/>
        <v>0</v>
      </c>
      <c r="N193" s="5407">
        <f t="shared" si="277"/>
        <v>0</v>
      </c>
      <c r="O193" s="5407">
        <f t="shared" si="277"/>
        <v>0</v>
      </c>
      <c r="P193" s="5407">
        <f t="shared" si="277"/>
        <v>0</v>
      </c>
      <c r="Q193" s="5407">
        <f t="shared" si="277"/>
        <v>0</v>
      </c>
      <c r="R193" s="5407">
        <f t="shared" si="277"/>
        <v>0</v>
      </c>
      <c r="S193" s="5407">
        <f t="shared" si="277"/>
        <v>0</v>
      </c>
      <c r="T193" s="5407">
        <f t="shared" si="277"/>
        <v>0</v>
      </c>
      <c r="U193" s="5407">
        <f t="shared" si="277"/>
        <v>0</v>
      </c>
      <c r="V193" s="5407">
        <f t="shared" si="277"/>
        <v>0</v>
      </c>
      <c r="W193" s="5407">
        <f t="shared" si="277"/>
        <v>0</v>
      </c>
      <c r="X193" s="5407">
        <f t="shared" si="277"/>
        <v>0</v>
      </c>
      <c r="Y193" s="5407">
        <f t="shared" si="277"/>
        <v>0</v>
      </c>
      <c r="Z193" s="5407">
        <f t="shared" si="277"/>
        <v>0</v>
      </c>
      <c r="AA193" s="5407">
        <f t="shared" si="277"/>
        <v>0</v>
      </c>
      <c r="AB193" s="5407">
        <f t="shared" si="277"/>
        <v>0</v>
      </c>
      <c r="AC193" s="5407">
        <f t="shared" si="277"/>
        <v>0</v>
      </c>
      <c r="AD193" s="5407">
        <f t="shared" si="277"/>
        <v>0</v>
      </c>
      <c r="AE193" s="5407">
        <f t="shared" si="277"/>
        <v>0</v>
      </c>
      <c r="AF193" s="5407">
        <f t="shared" si="277"/>
        <v>0</v>
      </c>
      <c r="AG193" s="5407">
        <f t="shared" si="277"/>
        <v>0</v>
      </c>
      <c r="AH193" s="5407">
        <f t="shared" si="277"/>
        <v>0</v>
      </c>
      <c r="AI193" s="5407">
        <f t="shared" si="277"/>
        <v>0</v>
      </c>
      <c r="AJ193" s="5407">
        <f t="shared" si="277"/>
        <v>0</v>
      </c>
      <c r="AK193" s="5407">
        <f t="shared" si="277"/>
        <v>0</v>
      </c>
      <c r="AL193" s="5407">
        <f t="shared" si="277"/>
        <v>0</v>
      </c>
      <c r="AM193" s="5407">
        <f t="shared" si="277"/>
        <v>0</v>
      </c>
      <c r="AN193" s="5407">
        <f t="shared" si="277"/>
        <v>0</v>
      </c>
      <c r="AO193" s="5407">
        <f t="shared" si="277"/>
        <v>0</v>
      </c>
      <c r="AP193" s="5407">
        <f t="shared" si="277"/>
        <v>0</v>
      </c>
      <c r="AQ193" s="5407">
        <f t="shared" si="277"/>
        <v>0</v>
      </c>
      <c r="AR193" s="5407">
        <f t="shared" si="277"/>
        <v>0</v>
      </c>
      <c r="AS193" s="5407">
        <f t="shared" si="277"/>
        <v>0</v>
      </c>
      <c r="AT193" s="5407">
        <f t="shared" si="277"/>
        <v>0</v>
      </c>
      <c r="AU193" s="5407">
        <f t="shared" si="277"/>
        <v>2022.0800000000002</v>
      </c>
      <c r="AV193" s="5407">
        <f t="shared" si="277"/>
        <v>0</v>
      </c>
      <c r="AW193" s="5407">
        <f t="shared" si="277"/>
        <v>2022.0800000000002</v>
      </c>
      <c r="AX193" s="5407">
        <f t="shared" si="277"/>
        <v>0</v>
      </c>
      <c r="AY193" s="5407">
        <f t="shared" si="277"/>
        <v>2066.8999999999996</v>
      </c>
      <c r="AZ193" s="5407">
        <f t="shared" si="277"/>
        <v>0</v>
      </c>
      <c r="BA193" s="5407">
        <f t="shared" si="277"/>
        <v>4088.9799999999996</v>
      </c>
      <c r="BB193" s="5407">
        <f t="shared" si="277"/>
        <v>0</v>
      </c>
      <c r="BC193" s="5407">
        <f t="shared" si="277"/>
        <v>4088.9799999999996</v>
      </c>
      <c r="BD193" s="5407">
        <f t="shared" si="277"/>
        <v>0</v>
      </c>
      <c r="BE193" s="5407">
        <f t="shared" si="277"/>
        <v>4088.9799999999996</v>
      </c>
      <c r="BF193" s="5763"/>
      <c r="BH193" s="5764"/>
      <c r="BI193" s="5764"/>
    </row>
    <row r="194" spans="1:61" ht="17.399999999999999" x14ac:dyDescent="0.3">
      <c r="B194" s="5762" t="s">
        <v>2332</v>
      </c>
      <c r="C194" s="2759" t="s">
        <v>354</v>
      </c>
      <c r="D194" s="5407"/>
      <c r="E194" s="5407"/>
      <c r="F194" s="5407"/>
      <c r="G194" s="5407"/>
      <c r="H194" s="5408"/>
      <c r="I194" s="5349"/>
      <c r="J194" s="3203"/>
      <c r="K194" s="5407"/>
      <c r="L194" s="5407"/>
      <c r="M194" s="5409"/>
      <c r="N194" s="5407"/>
      <c r="O194" s="5407"/>
      <c r="P194" s="5407"/>
      <c r="Q194" s="5352"/>
      <c r="R194" s="5407"/>
      <c r="S194" s="5407"/>
      <c r="T194" s="5407"/>
      <c r="U194" s="5349"/>
      <c r="V194" s="5407"/>
      <c r="W194" s="5407"/>
      <c r="X194" s="5407"/>
      <c r="Y194" s="5409"/>
      <c r="Z194" s="5407"/>
      <c r="AA194" s="5410"/>
      <c r="AB194" s="5407"/>
      <c r="AC194" s="5407"/>
      <c r="AD194" s="5407"/>
      <c r="AE194" s="5355"/>
      <c r="AF194" s="5407"/>
      <c r="AG194" s="5407"/>
      <c r="AH194" s="5407"/>
      <c r="AI194" s="4820"/>
      <c r="AJ194" s="5407"/>
      <c r="AK194" s="5407"/>
      <c r="AL194" s="5407"/>
      <c r="AM194" s="5409"/>
      <c r="AN194" s="5363"/>
      <c r="AO194" s="5366"/>
      <c r="AP194" s="5407"/>
      <c r="AQ194" s="5407"/>
      <c r="AR194" s="5407"/>
      <c r="AS194" s="5366"/>
      <c r="AT194" s="5407"/>
      <c r="AU194" s="5407">
        <v>441.44</v>
      </c>
      <c r="AV194" s="5407"/>
      <c r="AW194" s="1165">
        <f t="shared" si="246"/>
        <v>441.44</v>
      </c>
      <c r="AX194" s="5407"/>
      <c r="AY194" s="5407">
        <v>296.89999999999998</v>
      </c>
      <c r="AZ194" s="5407"/>
      <c r="BA194" s="793">
        <f t="shared" ref="BA194:BA195" si="278">+AQ194+AU194+AY194</f>
        <v>738.33999999999992</v>
      </c>
      <c r="BB194" s="591"/>
      <c r="BC194" s="2531">
        <f t="shared" ref="BC194:BC195" si="279">BA194+AM194</f>
        <v>738.33999999999992</v>
      </c>
      <c r="BD194" s="2443"/>
      <c r="BE194" s="179">
        <f t="shared" ref="BE194:BE195" si="280">+AW194+AY194</f>
        <v>738.33999999999992</v>
      </c>
      <c r="BF194" s="1202"/>
      <c r="BH194" s="26"/>
      <c r="BI194" s="26"/>
    </row>
    <row r="195" spans="1:61" ht="17.399999999999999" x14ac:dyDescent="0.3">
      <c r="B195" s="5762" t="s">
        <v>2333</v>
      </c>
      <c r="C195" s="2759" t="s">
        <v>354</v>
      </c>
      <c r="D195" s="5407"/>
      <c r="E195" s="5407"/>
      <c r="F195" s="5407"/>
      <c r="G195" s="5407"/>
      <c r="H195" s="5408"/>
      <c r="I195" s="5349"/>
      <c r="J195" s="3203"/>
      <c r="K195" s="5407"/>
      <c r="L195" s="5407"/>
      <c r="M195" s="5409"/>
      <c r="N195" s="5407"/>
      <c r="O195" s="5407"/>
      <c r="P195" s="5407"/>
      <c r="Q195" s="5352"/>
      <c r="R195" s="5407"/>
      <c r="S195" s="5407"/>
      <c r="T195" s="5407"/>
      <c r="U195" s="5349"/>
      <c r="V195" s="5407"/>
      <c r="W195" s="5407"/>
      <c r="X195" s="5407"/>
      <c r="Y195" s="5409"/>
      <c r="Z195" s="5407"/>
      <c r="AA195" s="5410"/>
      <c r="AB195" s="5407"/>
      <c r="AC195" s="5407"/>
      <c r="AD195" s="5407"/>
      <c r="AE195" s="5355"/>
      <c r="AF195" s="5407"/>
      <c r="AG195" s="5407"/>
      <c r="AH195" s="5407"/>
      <c r="AI195" s="4820"/>
      <c r="AJ195" s="5407"/>
      <c r="AK195" s="5407"/>
      <c r="AL195" s="5407"/>
      <c r="AM195" s="5409"/>
      <c r="AN195" s="5363"/>
      <c r="AO195" s="5366"/>
      <c r="AP195" s="5407"/>
      <c r="AQ195" s="5407"/>
      <c r="AR195" s="5407"/>
      <c r="AS195" s="5366"/>
      <c r="AT195" s="5407"/>
      <c r="AU195" s="5407">
        <v>1580.64</v>
      </c>
      <c r="AV195" s="5407"/>
      <c r="AW195" s="1165">
        <f t="shared" si="246"/>
        <v>1580.64</v>
      </c>
      <c r="AX195" s="5407"/>
      <c r="AY195" s="5407">
        <v>1769.9999999999998</v>
      </c>
      <c r="AZ195" s="5407"/>
      <c r="BA195" s="793">
        <f t="shared" si="278"/>
        <v>3350.64</v>
      </c>
      <c r="BB195" s="591"/>
      <c r="BC195" s="2531">
        <f t="shared" si="279"/>
        <v>3350.64</v>
      </c>
      <c r="BD195" s="2443"/>
      <c r="BE195" s="179">
        <f t="shared" si="280"/>
        <v>3350.64</v>
      </c>
      <c r="BF195" s="1202"/>
      <c r="BH195" s="26"/>
      <c r="BI195" s="26"/>
    </row>
    <row r="196" spans="1:61" ht="16.2" thickBot="1" x14ac:dyDescent="0.35">
      <c r="A196" s="146"/>
      <c r="B196" s="331"/>
      <c r="C196" s="146"/>
      <c r="D196" s="147"/>
      <c r="AA196" s="26"/>
      <c r="AM196" s="149"/>
      <c r="AW196"/>
      <c r="BA196" s="149"/>
      <c r="BC196" s="26"/>
      <c r="BE196" s="26"/>
      <c r="BF196" s="1202"/>
      <c r="BH196" s="26"/>
      <c r="BI196" s="26"/>
    </row>
    <row r="197" spans="1:61" ht="25.5" customHeight="1" x14ac:dyDescent="0.3">
      <c r="A197" s="146"/>
      <c r="B197" s="6002" t="s">
        <v>1105</v>
      </c>
      <c r="C197" s="6003"/>
      <c r="D197" s="1571"/>
      <c r="E197" s="2653"/>
      <c r="F197" s="2653"/>
      <c r="G197" s="2653"/>
      <c r="H197" s="2653"/>
      <c r="I197" s="2653"/>
      <c r="J197" s="2653"/>
      <c r="K197" s="2653"/>
      <c r="L197" s="2653"/>
      <c r="M197" s="2654"/>
      <c r="N197" s="2653"/>
      <c r="O197" s="5612"/>
      <c r="P197" s="2653"/>
      <c r="Q197" s="2653"/>
      <c r="R197" s="971"/>
      <c r="S197" s="2653"/>
      <c r="T197" s="2653"/>
      <c r="U197" s="2653"/>
      <c r="V197" s="971"/>
      <c r="W197" s="2653"/>
      <c r="X197" s="2653"/>
      <c r="Y197" s="2654"/>
      <c r="Z197" s="971"/>
      <c r="AA197" s="971"/>
      <c r="AB197" s="971"/>
      <c r="AC197" s="2653"/>
      <c r="AD197" s="2653"/>
      <c r="AE197" s="2655"/>
      <c r="AF197" s="971"/>
      <c r="AG197" s="2653"/>
      <c r="AH197" s="2653"/>
      <c r="AI197" s="2655"/>
      <c r="AJ197" s="971"/>
      <c r="AK197" s="2653"/>
      <c r="AL197" s="2653"/>
      <c r="AM197" s="2654"/>
      <c r="AN197" s="2653"/>
      <c r="AO197" s="2655"/>
      <c r="AP197" s="971"/>
      <c r="AQ197" s="2653"/>
      <c r="AR197" s="2653"/>
      <c r="AS197" s="2655"/>
      <c r="AT197" s="971"/>
      <c r="AU197" s="2653"/>
      <c r="AV197" s="2653"/>
      <c r="AW197" s="2655"/>
      <c r="AX197" s="971"/>
      <c r="AY197" s="2653"/>
      <c r="AZ197" s="971"/>
      <c r="BA197" s="2654"/>
      <c r="BB197" s="971"/>
      <c r="BC197" s="971"/>
      <c r="BD197" s="2653"/>
      <c r="BE197" s="2656"/>
      <c r="BF197" s="1202"/>
      <c r="BH197" s="26"/>
      <c r="BI197" s="26"/>
    </row>
    <row r="198" spans="1:61" ht="18.75" customHeight="1" x14ac:dyDescent="0.3">
      <c r="A198" s="146"/>
      <c r="B198" s="4432" t="s">
        <v>342</v>
      </c>
      <c r="C198" s="4433" t="s">
        <v>354</v>
      </c>
      <c r="D198" s="4434"/>
      <c r="E198" s="4435">
        <f>E199+E200+E201+E202</f>
        <v>0</v>
      </c>
      <c r="F198" s="4435">
        <v>0</v>
      </c>
      <c r="G198" s="4435">
        <f t="shared" ref="G198:AZ198" si="281">G199+G200+G201+G202</f>
        <v>2078.5</v>
      </c>
      <c r="H198" s="4436">
        <f t="shared" si="281"/>
        <v>0</v>
      </c>
      <c r="I198" s="3221">
        <f t="shared" si="281"/>
        <v>2078.5</v>
      </c>
      <c r="J198" s="4435">
        <f t="shared" si="281"/>
        <v>0</v>
      </c>
      <c r="K198" s="4435">
        <f t="shared" si="281"/>
        <v>0</v>
      </c>
      <c r="L198" s="4435">
        <f t="shared" si="281"/>
        <v>0</v>
      </c>
      <c r="M198" s="4437">
        <f t="shared" si="281"/>
        <v>2078.5</v>
      </c>
      <c r="N198" s="4435">
        <f t="shared" si="281"/>
        <v>0</v>
      </c>
      <c r="O198" s="4435">
        <f t="shared" si="281"/>
        <v>0</v>
      </c>
      <c r="P198" s="4435">
        <f t="shared" si="281"/>
        <v>0</v>
      </c>
      <c r="Q198" s="1630">
        <f t="shared" si="281"/>
        <v>2078.5</v>
      </c>
      <c r="R198" s="4438">
        <f t="shared" si="281"/>
        <v>0</v>
      </c>
      <c r="S198" s="4435">
        <f t="shared" si="281"/>
        <v>2542.38</v>
      </c>
      <c r="T198" s="4435">
        <f t="shared" si="281"/>
        <v>0</v>
      </c>
      <c r="U198" s="1630">
        <f t="shared" si="281"/>
        <v>4620.88</v>
      </c>
      <c r="V198" s="4438">
        <f t="shared" si="281"/>
        <v>0</v>
      </c>
      <c r="W198" s="4435">
        <f t="shared" ref="W198" si="282">W199+W200+W201+W202</f>
        <v>9859.31</v>
      </c>
      <c r="X198" s="4435">
        <f t="shared" si="281"/>
        <v>0</v>
      </c>
      <c r="Y198" s="4437">
        <f t="shared" ref="Y198:Y233" si="283">+O198+S198+W198</f>
        <v>12401.689999999999</v>
      </c>
      <c r="Z198" s="4439"/>
      <c r="AA198" s="4440">
        <f t="shared" ref="AA198:AA233" si="284">M198+Y198</f>
        <v>14480.189999999999</v>
      </c>
      <c r="AB198" s="4438">
        <f t="shared" si="281"/>
        <v>0</v>
      </c>
      <c r="AC198" s="4435">
        <f t="shared" si="281"/>
        <v>4508.43</v>
      </c>
      <c r="AD198" s="4435">
        <f t="shared" si="281"/>
        <v>0</v>
      </c>
      <c r="AE198" s="4441">
        <f t="shared" ref="AE198:AE233" si="285">+AA198+AC198</f>
        <v>18988.62</v>
      </c>
      <c r="AF198" s="4438">
        <f t="shared" si="281"/>
        <v>0</v>
      </c>
      <c r="AG198" s="4435">
        <f t="shared" ref="AG198" si="286">AG199+AG200+AG201+AG202</f>
        <v>17443.419999999998</v>
      </c>
      <c r="AH198" s="4435">
        <f t="shared" si="281"/>
        <v>0</v>
      </c>
      <c r="AI198" s="4441">
        <f t="shared" ref="AI198:AI233" si="287">+AE198+AG198</f>
        <v>36432.039999999994</v>
      </c>
      <c r="AJ198" s="4438">
        <f t="shared" si="281"/>
        <v>0</v>
      </c>
      <c r="AK198" s="4435">
        <f t="shared" si="281"/>
        <v>22244.52</v>
      </c>
      <c r="AL198" s="4439">
        <f t="shared" si="281"/>
        <v>0</v>
      </c>
      <c r="AM198" s="4437">
        <f>AK198+AC198+AG198</f>
        <v>44196.369999999995</v>
      </c>
      <c r="AN198" s="4435">
        <f t="shared" si="281"/>
        <v>0</v>
      </c>
      <c r="AO198" s="4441">
        <f t="shared" ref="AO198:AO233" si="288">AI198+AK198</f>
        <v>58676.56</v>
      </c>
      <c r="AP198" s="4438">
        <f t="shared" ref="AP198:AQ198" si="289">AP199+AP200+AP201+AP202</f>
        <v>0</v>
      </c>
      <c r="AQ198" s="4435">
        <f t="shared" si="289"/>
        <v>13342.22</v>
      </c>
      <c r="AR198" s="4435">
        <f t="shared" si="281"/>
        <v>0</v>
      </c>
      <c r="AS198" s="4441">
        <f t="shared" si="281"/>
        <v>72018.78</v>
      </c>
      <c r="AT198" s="4438">
        <f t="shared" si="281"/>
        <v>0</v>
      </c>
      <c r="AU198" s="4435">
        <f t="shared" si="281"/>
        <v>15686.539999999999</v>
      </c>
      <c r="AV198" s="4435">
        <f t="shared" si="281"/>
        <v>0</v>
      </c>
      <c r="AW198" s="4441">
        <f t="shared" si="281"/>
        <v>87705.32</v>
      </c>
      <c r="AX198" s="4438">
        <f t="shared" ref="AX198:AY198" si="290">AX199+AX200+AX201+AX202</f>
        <v>0</v>
      </c>
      <c r="AY198" s="4435">
        <f t="shared" si="290"/>
        <v>10769.009999999993</v>
      </c>
      <c r="AZ198" s="4439">
        <f t="shared" si="281"/>
        <v>0</v>
      </c>
      <c r="BA198" s="4437">
        <f t="shared" ref="BA198:BA233" si="291">+AQ198+AU198+AY198</f>
        <v>39797.76999999999</v>
      </c>
      <c r="BB198" s="4439"/>
      <c r="BC198" s="4440">
        <f t="shared" ref="BC198:BC233" si="292">BA198+AM198</f>
        <v>83994.139999999985</v>
      </c>
      <c r="BD198" s="4435"/>
      <c r="BE198" s="4441">
        <f t="shared" ref="BE198:BE233" si="293">+AW198+AY198</f>
        <v>98474.33</v>
      </c>
      <c r="BF198" s="1202"/>
      <c r="BH198" s="26"/>
      <c r="BI198" s="26"/>
    </row>
    <row r="199" spans="1:61" ht="15.75" customHeight="1" x14ac:dyDescent="0.3">
      <c r="A199" s="146"/>
      <c r="B199" s="4442" t="s">
        <v>839</v>
      </c>
      <c r="C199" s="4443" t="s">
        <v>354</v>
      </c>
      <c r="D199" s="4443"/>
      <c r="E199" s="4439"/>
      <c r="F199" s="4439"/>
      <c r="G199" s="4439">
        <v>2078.5</v>
      </c>
      <c r="H199" s="4444"/>
      <c r="I199" s="3221">
        <f t="shared" ref="I199:I237" si="294">+E199+G199</f>
        <v>2078.5</v>
      </c>
      <c r="J199" s="4439"/>
      <c r="K199" s="4439"/>
      <c r="L199" s="4439"/>
      <c r="M199" s="4437">
        <f t="shared" ref="M199:M233" si="295">I199+K199</f>
        <v>2078.5</v>
      </c>
      <c r="N199" s="4439"/>
      <c r="O199" s="4439"/>
      <c r="P199" s="4439"/>
      <c r="Q199" s="1630">
        <f t="shared" ref="Q199:Q233" si="296">+M199+O199</f>
        <v>2078.5</v>
      </c>
      <c r="R199" s="4438"/>
      <c r="S199" s="4439">
        <v>0</v>
      </c>
      <c r="T199" s="4439"/>
      <c r="U199" s="1630">
        <f t="shared" ref="U199:U233" si="297">+Q199+S199</f>
        <v>2078.5</v>
      </c>
      <c r="V199" s="4438"/>
      <c r="W199" s="4439"/>
      <c r="X199" s="4439"/>
      <c r="Y199" s="4437">
        <f t="shared" si="283"/>
        <v>0</v>
      </c>
      <c r="Z199" s="4439"/>
      <c r="AA199" s="4445">
        <f t="shared" si="284"/>
        <v>2078.5</v>
      </c>
      <c r="AB199" s="4438"/>
      <c r="AC199" s="4439">
        <v>4508.43</v>
      </c>
      <c r="AD199" s="4439"/>
      <c r="AE199" s="4446">
        <f t="shared" si="285"/>
        <v>6586.93</v>
      </c>
      <c r="AF199" s="4438"/>
      <c r="AG199" s="4439">
        <v>15128.48</v>
      </c>
      <c r="AH199" s="4439"/>
      <c r="AI199" s="4446">
        <f t="shared" si="287"/>
        <v>21715.41</v>
      </c>
      <c r="AJ199" s="4438"/>
      <c r="AK199" s="4439">
        <v>10865.68</v>
      </c>
      <c r="AL199" s="4439"/>
      <c r="AM199" s="4437">
        <f t="shared" ref="AM199:AM237" si="298">AK199+AC199+AG199</f>
        <v>30502.59</v>
      </c>
      <c r="AN199" s="4439"/>
      <c r="AO199" s="4446">
        <f t="shared" si="288"/>
        <v>32581.09</v>
      </c>
      <c r="AP199" s="4438"/>
      <c r="AQ199" s="4439">
        <v>13342.22</v>
      </c>
      <c r="AR199" s="4439"/>
      <c r="AS199" s="4446">
        <f t="shared" ref="AS199:AS202" si="299">+AO199+AQ199</f>
        <v>45923.31</v>
      </c>
      <c r="AT199" s="4438"/>
      <c r="AU199" s="4439">
        <v>13546.23</v>
      </c>
      <c r="AV199" s="4439"/>
      <c r="AW199" s="4446">
        <f t="shared" ref="AW199:AW202" si="300">+AS199+AU199</f>
        <v>59469.539999999994</v>
      </c>
      <c r="AX199" s="4438"/>
      <c r="AY199" s="4439">
        <v>10769.009999999993</v>
      </c>
      <c r="AZ199" s="4439"/>
      <c r="BA199" s="4437">
        <f t="shared" si="291"/>
        <v>37657.459999999992</v>
      </c>
      <c r="BB199" s="4439"/>
      <c r="BC199" s="4445">
        <f t="shared" si="292"/>
        <v>68160.049999999988</v>
      </c>
      <c r="BD199" s="4439"/>
      <c r="BE199" s="4447">
        <f t="shared" si="293"/>
        <v>70238.549999999988</v>
      </c>
      <c r="BF199" s="1202"/>
      <c r="BH199" s="26"/>
      <c r="BI199" s="26"/>
    </row>
    <row r="200" spans="1:61" ht="15.75" customHeight="1" x14ac:dyDescent="0.3">
      <c r="A200" s="146"/>
      <c r="B200" s="4442" t="s">
        <v>838</v>
      </c>
      <c r="C200" s="4443" t="s">
        <v>354</v>
      </c>
      <c r="D200" s="4443"/>
      <c r="E200" s="4439"/>
      <c r="F200" s="4439"/>
      <c r="G200" s="4439"/>
      <c r="H200" s="4444"/>
      <c r="I200" s="3221">
        <f t="shared" si="294"/>
        <v>0</v>
      </c>
      <c r="J200" s="4439"/>
      <c r="K200" s="4439"/>
      <c r="L200" s="4439"/>
      <c r="M200" s="4437">
        <f t="shared" si="295"/>
        <v>0</v>
      </c>
      <c r="N200" s="4439"/>
      <c r="O200" s="4439"/>
      <c r="P200" s="4439"/>
      <c r="Q200" s="1630">
        <f t="shared" si="296"/>
        <v>0</v>
      </c>
      <c r="R200" s="4438"/>
      <c r="S200" s="4439"/>
      <c r="T200" s="4439"/>
      <c r="U200" s="1630">
        <f t="shared" si="297"/>
        <v>0</v>
      </c>
      <c r="V200" s="4438"/>
      <c r="W200" s="4439">
        <v>4878.29</v>
      </c>
      <c r="X200" s="4439"/>
      <c r="Y200" s="4437">
        <f t="shared" si="283"/>
        <v>4878.29</v>
      </c>
      <c r="Z200" s="4439"/>
      <c r="AA200" s="4445">
        <f t="shared" si="284"/>
        <v>4878.29</v>
      </c>
      <c r="AB200" s="4438"/>
      <c r="AC200" s="4439"/>
      <c r="AD200" s="4439"/>
      <c r="AE200" s="4446">
        <f t="shared" si="285"/>
        <v>4878.29</v>
      </c>
      <c r="AF200" s="4438"/>
      <c r="AG200" s="4439"/>
      <c r="AH200" s="4439"/>
      <c r="AI200" s="4446">
        <f t="shared" si="287"/>
        <v>4878.29</v>
      </c>
      <c r="AJ200" s="4438"/>
      <c r="AK200" s="4439">
        <v>9344.0400000000009</v>
      </c>
      <c r="AL200" s="4439"/>
      <c r="AM200" s="4437">
        <f t="shared" si="298"/>
        <v>9344.0400000000009</v>
      </c>
      <c r="AN200" s="4439"/>
      <c r="AO200" s="4446">
        <f t="shared" si="288"/>
        <v>14222.330000000002</v>
      </c>
      <c r="AP200" s="4438"/>
      <c r="AQ200" s="4439"/>
      <c r="AR200" s="4439"/>
      <c r="AS200" s="4446">
        <f t="shared" si="299"/>
        <v>14222.330000000002</v>
      </c>
      <c r="AT200" s="4438"/>
      <c r="AU200" s="4439"/>
      <c r="AV200" s="4439"/>
      <c r="AW200" s="4446">
        <f t="shared" si="300"/>
        <v>14222.330000000002</v>
      </c>
      <c r="AX200" s="4438"/>
      <c r="AY200" s="4439"/>
      <c r="AZ200" s="4439"/>
      <c r="BA200" s="4437">
        <f t="shared" si="291"/>
        <v>0</v>
      </c>
      <c r="BB200" s="4439"/>
      <c r="BC200" s="4445">
        <f t="shared" si="292"/>
        <v>9344.0400000000009</v>
      </c>
      <c r="BD200" s="4439"/>
      <c r="BE200" s="4447">
        <f t="shared" si="293"/>
        <v>14222.330000000002</v>
      </c>
      <c r="BF200" s="1202"/>
      <c r="BH200" s="26"/>
      <c r="BI200" s="26"/>
    </row>
    <row r="201" spans="1:61" ht="15.75" customHeight="1" x14ac:dyDescent="0.3">
      <c r="A201" s="146"/>
      <c r="B201" s="4442" t="s">
        <v>946</v>
      </c>
      <c r="C201" s="4443" t="s">
        <v>354</v>
      </c>
      <c r="D201" s="4443"/>
      <c r="E201" s="4439"/>
      <c r="F201" s="4439"/>
      <c r="G201" s="4439"/>
      <c r="H201" s="4439"/>
      <c r="I201" s="3221">
        <f t="shared" si="294"/>
        <v>0</v>
      </c>
      <c r="J201" s="4439"/>
      <c r="K201" s="4439"/>
      <c r="L201" s="4439"/>
      <c r="M201" s="4437">
        <f t="shared" si="295"/>
        <v>0</v>
      </c>
      <c r="N201" s="4439"/>
      <c r="O201" s="4439"/>
      <c r="P201" s="4439"/>
      <c r="Q201" s="1630">
        <f t="shared" si="296"/>
        <v>0</v>
      </c>
      <c r="R201" s="4438"/>
      <c r="S201" s="4439"/>
      <c r="T201" s="4439"/>
      <c r="U201" s="1630">
        <f t="shared" si="297"/>
        <v>0</v>
      </c>
      <c r="V201" s="4438"/>
      <c r="W201" s="4439">
        <v>2391.88</v>
      </c>
      <c r="X201" s="4439"/>
      <c r="Y201" s="4437">
        <f t="shared" si="283"/>
        <v>2391.88</v>
      </c>
      <c r="Z201" s="4439"/>
      <c r="AA201" s="4445">
        <f t="shared" si="284"/>
        <v>2391.88</v>
      </c>
      <c r="AB201" s="4438"/>
      <c r="AC201" s="4439"/>
      <c r="AD201" s="4439"/>
      <c r="AE201" s="4446">
        <f t="shared" si="285"/>
        <v>2391.88</v>
      </c>
      <c r="AF201" s="4438"/>
      <c r="AG201" s="4439"/>
      <c r="AH201" s="4439"/>
      <c r="AI201" s="4446">
        <f t="shared" si="287"/>
        <v>2391.88</v>
      </c>
      <c r="AJ201" s="4438"/>
      <c r="AK201" s="4439"/>
      <c r="AL201" s="4439"/>
      <c r="AM201" s="4437">
        <f t="shared" si="298"/>
        <v>0</v>
      </c>
      <c r="AN201" s="4439"/>
      <c r="AO201" s="4446">
        <f t="shared" si="288"/>
        <v>2391.88</v>
      </c>
      <c r="AP201" s="4438"/>
      <c r="AQ201" s="4439"/>
      <c r="AR201" s="4439"/>
      <c r="AS201" s="4446">
        <f t="shared" si="299"/>
        <v>2391.88</v>
      </c>
      <c r="AT201" s="4438"/>
      <c r="AU201" s="4439"/>
      <c r="AV201" s="4439"/>
      <c r="AW201" s="4446">
        <f t="shared" si="300"/>
        <v>2391.88</v>
      </c>
      <c r="AX201" s="4438"/>
      <c r="AY201" s="4439"/>
      <c r="AZ201" s="4439"/>
      <c r="BA201" s="4437">
        <f t="shared" si="291"/>
        <v>0</v>
      </c>
      <c r="BB201" s="4439"/>
      <c r="BC201" s="4445">
        <f t="shared" si="292"/>
        <v>0</v>
      </c>
      <c r="BD201" s="4439"/>
      <c r="BE201" s="4447">
        <f t="shared" si="293"/>
        <v>2391.88</v>
      </c>
      <c r="BF201" s="1202"/>
      <c r="BH201" s="26"/>
      <c r="BI201" s="26"/>
    </row>
    <row r="202" spans="1:61" ht="15.75" customHeight="1" x14ac:dyDescent="0.3">
      <c r="A202" s="146"/>
      <c r="B202" s="4442" t="s">
        <v>1636</v>
      </c>
      <c r="C202" s="4443"/>
      <c r="D202" s="4443"/>
      <c r="E202" s="4439"/>
      <c r="F202" s="4439"/>
      <c r="G202" s="4439">
        <v>0</v>
      </c>
      <c r="H202" s="4439"/>
      <c r="I202" s="3221">
        <f t="shared" si="294"/>
        <v>0</v>
      </c>
      <c r="J202" s="4439"/>
      <c r="K202" s="4439"/>
      <c r="L202" s="4439"/>
      <c r="M202" s="4437">
        <f t="shared" si="295"/>
        <v>0</v>
      </c>
      <c r="N202" s="4439"/>
      <c r="O202" s="4439"/>
      <c r="P202" s="4439"/>
      <c r="Q202" s="1630">
        <f t="shared" si="296"/>
        <v>0</v>
      </c>
      <c r="R202" s="4438"/>
      <c r="S202" s="4439">
        <v>2542.38</v>
      </c>
      <c r="T202" s="4439"/>
      <c r="U202" s="1630">
        <f t="shared" si="297"/>
        <v>2542.38</v>
      </c>
      <c r="V202" s="4438"/>
      <c r="W202" s="4439">
        <v>2589.14</v>
      </c>
      <c r="X202" s="4439"/>
      <c r="Y202" s="4437">
        <f t="shared" si="283"/>
        <v>5131.5200000000004</v>
      </c>
      <c r="Z202" s="4439"/>
      <c r="AA202" s="4445">
        <f t="shared" si="284"/>
        <v>5131.5200000000004</v>
      </c>
      <c r="AB202" s="4438"/>
      <c r="AC202" s="4439"/>
      <c r="AD202" s="4439"/>
      <c r="AE202" s="4446">
        <f t="shared" si="285"/>
        <v>5131.5200000000004</v>
      </c>
      <c r="AF202" s="4438"/>
      <c r="AG202" s="4439">
        <v>2314.94</v>
      </c>
      <c r="AH202" s="4439"/>
      <c r="AI202" s="4446">
        <f t="shared" si="287"/>
        <v>7446.4600000000009</v>
      </c>
      <c r="AJ202" s="4438"/>
      <c r="AK202" s="4439">
        <v>2034.8</v>
      </c>
      <c r="AL202" s="4439"/>
      <c r="AM202" s="4437">
        <f t="shared" si="298"/>
        <v>4349.74</v>
      </c>
      <c r="AN202" s="4439"/>
      <c r="AO202" s="4446">
        <f t="shared" si="288"/>
        <v>9481.26</v>
      </c>
      <c r="AP202" s="4438"/>
      <c r="AQ202" s="4439"/>
      <c r="AR202" s="4439"/>
      <c r="AS202" s="4446">
        <f t="shared" si="299"/>
        <v>9481.26</v>
      </c>
      <c r="AT202" s="4438"/>
      <c r="AU202" s="4439">
        <v>2140.31</v>
      </c>
      <c r="AV202" s="4439"/>
      <c r="AW202" s="4446">
        <f t="shared" si="300"/>
        <v>11621.57</v>
      </c>
      <c r="AX202" s="4438"/>
      <c r="AY202" s="4439"/>
      <c r="AZ202" s="4439"/>
      <c r="BA202" s="4437">
        <f t="shared" si="291"/>
        <v>2140.31</v>
      </c>
      <c r="BB202" s="4439"/>
      <c r="BC202" s="4445">
        <f t="shared" si="292"/>
        <v>6490.0499999999993</v>
      </c>
      <c r="BD202" s="4439"/>
      <c r="BE202" s="4447">
        <f t="shared" si="293"/>
        <v>11621.57</v>
      </c>
      <c r="BF202" s="1202"/>
      <c r="BH202" s="26"/>
      <c r="BI202" s="26"/>
    </row>
    <row r="203" spans="1:61" ht="18.75" customHeight="1" x14ac:dyDescent="0.3">
      <c r="A203" s="146"/>
      <c r="B203" s="4432" t="s">
        <v>26</v>
      </c>
      <c r="C203" s="4443"/>
      <c r="D203" s="4443"/>
      <c r="E203" s="4435">
        <f t="shared" ref="E203:AJ203" si="301">E204+E205+E206</f>
        <v>0</v>
      </c>
      <c r="F203" s="4439">
        <f t="shared" si="301"/>
        <v>0</v>
      </c>
      <c r="G203" s="4435">
        <f t="shared" si="301"/>
        <v>0</v>
      </c>
      <c r="H203" s="4439">
        <f t="shared" si="301"/>
        <v>0</v>
      </c>
      <c r="I203" s="3221">
        <f t="shared" si="301"/>
        <v>0</v>
      </c>
      <c r="J203" s="4439">
        <f t="shared" si="301"/>
        <v>0</v>
      </c>
      <c r="K203" s="4435">
        <f t="shared" si="301"/>
        <v>0</v>
      </c>
      <c r="L203" s="4439">
        <f t="shared" si="301"/>
        <v>0</v>
      </c>
      <c r="M203" s="4437">
        <f t="shared" si="301"/>
        <v>0</v>
      </c>
      <c r="N203" s="4439">
        <f t="shared" si="301"/>
        <v>0</v>
      </c>
      <c r="O203" s="4435">
        <f t="shared" si="301"/>
        <v>2771.29</v>
      </c>
      <c r="P203" s="4439">
        <f t="shared" si="301"/>
        <v>0</v>
      </c>
      <c r="Q203" s="1630">
        <f t="shared" si="301"/>
        <v>2771.29</v>
      </c>
      <c r="R203" s="4438">
        <f t="shared" si="301"/>
        <v>0</v>
      </c>
      <c r="S203" s="4435">
        <f t="shared" si="301"/>
        <v>0</v>
      </c>
      <c r="T203" s="4439">
        <f t="shared" si="301"/>
        <v>0</v>
      </c>
      <c r="U203" s="1630">
        <f t="shared" si="301"/>
        <v>2771.29</v>
      </c>
      <c r="V203" s="4438">
        <f t="shared" si="301"/>
        <v>0</v>
      </c>
      <c r="W203" s="4435">
        <f t="shared" si="301"/>
        <v>3223</v>
      </c>
      <c r="X203" s="4439">
        <f t="shared" si="301"/>
        <v>0</v>
      </c>
      <c r="Y203" s="4437">
        <f t="shared" si="301"/>
        <v>5994.29</v>
      </c>
      <c r="Z203" s="4439">
        <f t="shared" si="301"/>
        <v>0</v>
      </c>
      <c r="AA203" s="4445">
        <f t="shared" si="301"/>
        <v>5994.29</v>
      </c>
      <c r="AB203" s="4438">
        <f t="shared" si="301"/>
        <v>0</v>
      </c>
      <c r="AC203" s="4435">
        <f t="shared" si="301"/>
        <v>0</v>
      </c>
      <c r="AD203" s="4439">
        <f t="shared" si="301"/>
        <v>0</v>
      </c>
      <c r="AE203" s="4446">
        <f t="shared" si="301"/>
        <v>5994.29</v>
      </c>
      <c r="AF203" s="4438">
        <f t="shared" si="301"/>
        <v>0</v>
      </c>
      <c r="AG203" s="4435">
        <f t="shared" si="301"/>
        <v>2863.49</v>
      </c>
      <c r="AH203" s="4439">
        <f t="shared" si="301"/>
        <v>0</v>
      </c>
      <c r="AI203" s="4446">
        <f t="shared" si="301"/>
        <v>8857.7799999999988</v>
      </c>
      <c r="AJ203" s="4438">
        <f t="shared" si="301"/>
        <v>0</v>
      </c>
      <c r="AK203" s="4435">
        <f>AK204+AK205+AK206</f>
        <v>3698.75</v>
      </c>
      <c r="AL203" s="4439">
        <f t="shared" ref="AL203:AZ203" si="302">AL204+AL205+AL206</f>
        <v>0</v>
      </c>
      <c r="AM203" s="4437">
        <f t="shared" si="298"/>
        <v>6562.24</v>
      </c>
      <c r="AN203" s="4439">
        <f t="shared" si="302"/>
        <v>0</v>
      </c>
      <c r="AO203" s="4446">
        <f t="shared" si="302"/>
        <v>12556.529999999999</v>
      </c>
      <c r="AP203" s="4438">
        <f t="shared" si="302"/>
        <v>0</v>
      </c>
      <c r="AQ203" s="4435">
        <f>AQ204+AQ205+AQ206</f>
        <v>2673.7</v>
      </c>
      <c r="AR203" s="4439">
        <f t="shared" si="302"/>
        <v>0</v>
      </c>
      <c r="AS203" s="4455">
        <f t="shared" si="302"/>
        <v>15230.229999999998</v>
      </c>
      <c r="AT203" s="4438">
        <f t="shared" si="302"/>
        <v>0</v>
      </c>
      <c r="AU203" s="4435">
        <f>AU204+AU205+AU206</f>
        <v>0</v>
      </c>
      <c r="AV203" s="4439">
        <f t="shared" si="302"/>
        <v>0</v>
      </c>
      <c r="AW203" s="4446">
        <f t="shared" si="302"/>
        <v>15230.229999999998</v>
      </c>
      <c r="AX203" s="4438">
        <f t="shared" ref="AX203" si="303">AX204+AX205+AX206</f>
        <v>0</v>
      </c>
      <c r="AY203" s="4435">
        <f>AY204+AY205+AY206</f>
        <v>0</v>
      </c>
      <c r="AZ203" s="4439">
        <f t="shared" si="302"/>
        <v>0</v>
      </c>
      <c r="BA203" s="4437">
        <f t="shared" si="291"/>
        <v>2673.7</v>
      </c>
      <c r="BB203" s="4439"/>
      <c r="BC203" s="4445">
        <f t="shared" si="292"/>
        <v>9235.9399999999987</v>
      </c>
      <c r="BD203" s="4439"/>
      <c r="BE203" s="4447">
        <f t="shared" si="293"/>
        <v>15230.229999999998</v>
      </c>
      <c r="BF203" s="1202"/>
      <c r="BH203" s="26"/>
      <c r="BI203" s="26"/>
    </row>
    <row r="204" spans="1:61" ht="15.75" hidden="1" customHeight="1" x14ac:dyDescent="0.3">
      <c r="A204" s="146"/>
      <c r="B204" s="4442" t="s">
        <v>839</v>
      </c>
      <c r="C204" s="4443" t="s">
        <v>354</v>
      </c>
      <c r="D204" s="4443"/>
      <c r="E204" s="4439"/>
      <c r="F204" s="4439"/>
      <c r="G204" s="4439"/>
      <c r="H204" s="4439"/>
      <c r="I204" s="3221">
        <f t="shared" si="294"/>
        <v>0</v>
      </c>
      <c r="J204" s="4439"/>
      <c r="K204" s="4439"/>
      <c r="L204" s="4439"/>
      <c r="M204" s="4437">
        <f t="shared" si="295"/>
        <v>0</v>
      </c>
      <c r="N204" s="4439"/>
      <c r="O204" s="4439"/>
      <c r="P204" s="4439"/>
      <c r="Q204" s="1630">
        <f t="shared" si="296"/>
        <v>0</v>
      </c>
      <c r="R204" s="4438"/>
      <c r="S204" s="4439"/>
      <c r="T204" s="4439"/>
      <c r="U204" s="1630">
        <f t="shared" si="297"/>
        <v>0</v>
      </c>
      <c r="V204" s="4438"/>
      <c r="W204" s="4439"/>
      <c r="X204" s="4439"/>
      <c r="Y204" s="4437">
        <f t="shared" si="283"/>
        <v>0</v>
      </c>
      <c r="Z204" s="4439"/>
      <c r="AA204" s="4445">
        <f t="shared" si="284"/>
        <v>0</v>
      </c>
      <c r="AB204" s="4438"/>
      <c r="AC204" s="4439"/>
      <c r="AD204" s="4439"/>
      <c r="AE204" s="4446">
        <f t="shared" si="285"/>
        <v>0</v>
      </c>
      <c r="AF204" s="4438"/>
      <c r="AG204" s="4439"/>
      <c r="AH204" s="4439"/>
      <c r="AI204" s="4446">
        <f t="shared" si="287"/>
        <v>0</v>
      </c>
      <c r="AJ204" s="4438"/>
      <c r="AK204" s="4439"/>
      <c r="AL204" s="4439"/>
      <c r="AM204" s="4437">
        <f t="shared" si="298"/>
        <v>0</v>
      </c>
      <c r="AN204" s="4439"/>
      <c r="AO204" s="4446">
        <f t="shared" si="288"/>
        <v>0</v>
      </c>
      <c r="AP204" s="4438"/>
      <c r="AQ204" s="4439"/>
      <c r="AR204" s="4439"/>
      <c r="AS204" s="4446">
        <f t="shared" ref="AS204:AS206" si="304">+AO204+AQ204</f>
        <v>0</v>
      </c>
      <c r="AT204" s="4438"/>
      <c r="AU204" s="4439">
        <v>0</v>
      </c>
      <c r="AV204" s="4439"/>
      <c r="AW204" s="4446">
        <f t="shared" ref="AW204:AW206" si="305">+AS204+AU204</f>
        <v>0</v>
      </c>
      <c r="AX204" s="4438"/>
      <c r="AY204" s="4439"/>
      <c r="AZ204" s="4439"/>
      <c r="BA204" s="4437">
        <f t="shared" si="291"/>
        <v>0</v>
      </c>
      <c r="BB204" s="4439"/>
      <c r="BC204" s="4445">
        <f t="shared" si="292"/>
        <v>0</v>
      </c>
      <c r="BD204" s="4439"/>
      <c r="BE204" s="4447">
        <f t="shared" si="293"/>
        <v>0</v>
      </c>
      <c r="BF204" s="1202"/>
      <c r="BH204" s="26"/>
      <c r="BI204" s="26"/>
    </row>
    <row r="205" spans="1:61" ht="15.75" customHeight="1" x14ac:dyDescent="0.3">
      <c r="A205" s="146"/>
      <c r="B205" s="4442" t="s">
        <v>838</v>
      </c>
      <c r="C205" s="4443" t="s">
        <v>354</v>
      </c>
      <c r="D205" s="4443"/>
      <c r="E205" s="4439"/>
      <c r="F205" s="4439"/>
      <c r="G205" s="4439"/>
      <c r="H205" s="4439"/>
      <c r="I205" s="3221">
        <f t="shared" si="294"/>
        <v>0</v>
      </c>
      <c r="J205" s="4439"/>
      <c r="K205" s="4439"/>
      <c r="L205" s="4439"/>
      <c r="M205" s="4437">
        <f t="shared" si="295"/>
        <v>0</v>
      </c>
      <c r="N205" s="4439"/>
      <c r="O205" s="4439">
        <v>2771.29</v>
      </c>
      <c r="P205" s="4439"/>
      <c r="Q205" s="1630">
        <f t="shared" si="296"/>
        <v>2771.29</v>
      </c>
      <c r="R205" s="4438"/>
      <c r="S205" s="4439"/>
      <c r="T205" s="4439"/>
      <c r="U205" s="1630">
        <f t="shared" si="297"/>
        <v>2771.29</v>
      </c>
      <c r="V205" s="4438"/>
      <c r="W205" s="4439">
        <v>3223</v>
      </c>
      <c r="X205" s="4439"/>
      <c r="Y205" s="4437">
        <f t="shared" si="283"/>
        <v>5994.29</v>
      </c>
      <c r="Z205" s="4439"/>
      <c r="AA205" s="4445">
        <f t="shared" si="284"/>
        <v>5994.29</v>
      </c>
      <c r="AB205" s="4438"/>
      <c r="AC205" s="4439"/>
      <c r="AD205" s="4439"/>
      <c r="AE205" s="4446">
        <f t="shared" si="285"/>
        <v>5994.29</v>
      </c>
      <c r="AF205" s="4438"/>
      <c r="AG205" s="4439">
        <v>2863.49</v>
      </c>
      <c r="AH205" s="4439"/>
      <c r="AI205" s="4446">
        <f t="shared" si="287"/>
        <v>8857.7799999999988</v>
      </c>
      <c r="AJ205" s="4438"/>
      <c r="AK205" s="4439">
        <v>262.06</v>
      </c>
      <c r="AL205" s="4439"/>
      <c r="AM205" s="4437">
        <f t="shared" si="298"/>
        <v>3125.5499999999997</v>
      </c>
      <c r="AN205" s="4439"/>
      <c r="AO205" s="4446">
        <f t="shared" si="288"/>
        <v>9119.8399999999983</v>
      </c>
      <c r="AP205" s="4438"/>
      <c r="AQ205" s="4439"/>
      <c r="AR205" s="4439"/>
      <c r="AS205" s="4446">
        <f t="shared" si="304"/>
        <v>9119.8399999999983</v>
      </c>
      <c r="AT205" s="4438"/>
      <c r="AU205" s="4439">
        <v>0</v>
      </c>
      <c r="AV205" s="4439"/>
      <c r="AW205" s="4446">
        <f t="shared" si="305"/>
        <v>9119.8399999999983</v>
      </c>
      <c r="AX205" s="4438"/>
      <c r="AY205" s="4439"/>
      <c r="AZ205" s="4439"/>
      <c r="BA205" s="4437">
        <f t="shared" si="291"/>
        <v>0</v>
      </c>
      <c r="BB205" s="4439"/>
      <c r="BC205" s="4445">
        <f t="shared" si="292"/>
        <v>3125.5499999999997</v>
      </c>
      <c r="BD205" s="4439"/>
      <c r="BE205" s="4447">
        <f t="shared" si="293"/>
        <v>9119.8399999999983</v>
      </c>
      <c r="BF205" s="1202"/>
      <c r="BH205" s="26"/>
      <c r="BI205" s="26"/>
    </row>
    <row r="206" spans="1:61" ht="15.75" customHeight="1" x14ac:dyDescent="0.3">
      <c r="A206" s="146"/>
      <c r="B206" s="4442" t="s">
        <v>1106</v>
      </c>
      <c r="C206" s="4443"/>
      <c r="D206" s="4443"/>
      <c r="E206" s="4439"/>
      <c r="F206" s="4439"/>
      <c r="G206" s="4439"/>
      <c r="H206" s="4439"/>
      <c r="I206" s="3221">
        <f t="shared" si="294"/>
        <v>0</v>
      </c>
      <c r="J206" s="4439"/>
      <c r="K206" s="4439"/>
      <c r="L206" s="4439"/>
      <c r="M206" s="4437">
        <f t="shared" si="295"/>
        <v>0</v>
      </c>
      <c r="N206" s="4439"/>
      <c r="O206" s="4439"/>
      <c r="P206" s="4439"/>
      <c r="Q206" s="1630">
        <f t="shared" si="296"/>
        <v>0</v>
      </c>
      <c r="R206" s="4438"/>
      <c r="S206" s="4439"/>
      <c r="T206" s="4439"/>
      <c r="U206" s="1630">
        <f t="shared" si="297"/>
        <v>0</v>
      </c>
      <c r="V206" s="4438"/>
      <c r="W206" s="4439"/>
      <c r="X206" s="4439"/>
      <c r="Y206" s="4437">
        <f t="shared" si="283"/>
        <v>0</v>
      </c>
      <c r="Z206" s="4439"/>
      <c r="AA206" s="4445">
        <f t="shared" si="284"/>
        <v>0</v>
      </c>
      <c r="AB206" s="4438"/>
      <c r="AC206" s="4439"/>
      <c r="AD206" s="4439"/>
      <c r="AE206" s="4446">
        <f t="shared" si="285"/>
        <v>0</v>
      </c>
      <c r="AF206" s="4438"/>
      <c r="AG206" s="4439"/>
      <c r="AH206" s="4439"/>
      <c r="AI206" s="4446">
        <f t="shared" si="287"/>
        <v>0</v>
      </c>
      <c r="AJ206" s="4438"/>
      <c r="AK206" s="4439">
        <v>3436.69</v>
      </c>
      <c r="AL206" s="4439"/>
      <c r="AM206" s="4437">
        <f t="shared" si="298"/>
        <v>3436.69</v>
      </c>
      <c r="AN206" s="4439"/>
      <c r="AO206" s="4446">
        <f t="shared" si="288"/>
        <v>3436.69</v>
      </c>
      <c r="AP206" s="4438"/>
      <c r="AQ206" s="4439">
        <v>2673.7</v>
      </c>
      <c r="AR206" s="4439"/>
      <c r="AS206" s="4446">
        <f t="shared" si="304"/>
        <v>6110.3899999999994</v>
      </c>
      <c r="AT206" s="4438"/>
      <c r="AU206" s="4439">
        <v>0</v>
      </c>
      <c r="AV206" s="4439"/>
      <c r="AW206" s="4446">
        <f t="shared" si="305"/>
        <v>6110.3899999999994</v>
      </c>
      <c r="AX206" s="4438"/>
      <c r="AY206" s="4439"/>
      <c r="AZ206" s="4439"/>
      <c r="BA206" s="4437">
        <f t="shared" si="291"/>
        <v>2673.7</v>
      </c>
      <c r="BB206" s="4439"/>
      <c r="BC206" s="4445">
        <f t="shared" si="292"/>
        <v>6110.3899999999994</v>
      </c>
      <c r="BD206" s="4439"/>
      <c r="BE206" s="4447">
        <f t="shared" si="293"/>
        <v>6110.3899999999994</v>
      </c>
      <c r="BF206" s="1202"/>
      <c r="BH206" s="26"/>
      <c r="BI206" s="26"/>
    </row>
    <row r="207" spans="1:61" ht="15.75" hidden="1" customHeight="1" x14ac:dyDescent="0.3">
      <c r="A207" s="146"/>
      <c r="B207" s="4432" t="s">
        <v>1348</v>
      </c>
      <c r="C207" s="4433"/>
      <c r="D207" s="4434"/>
      <c r="E207" s="4435">
        <v>0</v>
      </c>
      <c r="F207" s="4435">
        <v>0</v>
      </c>
      <c r="G207" s="4435">
        <v>0</v>
      </c>
      <c r="H207" s="4436">
        <v>0</v>
      </c>
      <c r="I207" s="3221">
        <f t="shared" si="294"/>
        <v>0</v>
      </c>
      <c r="J207" s="4435">
        <v>0</v>
      </c>
      <c r="K207" s="4435">
        <v>0</v>
      </c>
      <c r="L207" s="4435"/>
      <c r="M207" s="4437">
        <f t="shared" si="295"/>
        <v>0</v>
      </c>
      <c r="N207" s="4435"/>
      <c r="O207" s="4435">
        <v>0</v>
      </c>
      <c r="P207" s="4435">
        <v>0</v>
      </c>
      <c r="Q207" s="1630">
        <f t="shared" si="296"/>
        <v>0</v>
      </c>
      <c r="R207" s="4438">
        <v>0</v>
      </c>
      <c r="S207" s="4435">
        <v>0</v>
      </c>
      <c r="T207" s="4435">
        <v>0</v>
      </c>
      <c r="U207" s="1630">
        <f t="shared" si="297"/>
        <v>0</v>
      </c>
      <c r="V207" s="4438">
        <v>0</v>
      </c>
      <c r="W207" s="4435">
        <v>0</v>
      </c>
      <c r="X207" s="4435"/>
      <c r="Y207" s="4437">
        <f t="shared" si="283"/>
        <v>0</v>
      </c>
      <c r="Z207" s="4439"/>
      <c r="AA207" s="4440">
        <f t="shared" si="284"/>
        <v>0</v>
      </c>
      <c r="AB207" s="4438"/>
      <c r="AC207" s="4435">
        <v>0</v>
      </c>
      <c r="AD207" s="4435">
        <v>0</v>
      </c>
      <c r="AE207" s="4441">
        <f t="shared" si="285"/>
        <v>0</v>
      </c>
      <c r="AF207" s="4438">
        <v>0</v>
      </c>
      <c r="AG207" s="4435">
        <v>0</v>
      </c>
      <c r="AH207" s="4435">
        <v>0</v>
      </c>
      <c r="AI207" s="4441">
        <f t="shared" si="287"/>
        <v>0</v>
      </c>
      <c r="AJ207" s="4438">
        <v>0</v>
      </c>
      <c r="AK207" s="4435">
        <v>0</v>
      </c>
      <c r="AL207" s="4439"/>
      <c r="AM207" s="4437">
        <f t="shared" si="298"/>
        <v>0</v>
      </c>
      <c r="AN207" s="4439"/>
      <c r="AO207" s="4446">
        <f t="shared" si="288"/>
        <v>0</v>
      </c>
      <c r="AP207" s="4438">
        <v>0</v>
      </c>
      <c r="AQ207" s="4435">
        <v>0</v>
      </c>
      <c r="AR207" s="4435"/>
      <c r="AS207" s="4441">
        <v>0</v>
      </c>
      <c r="AT207" s="4438"/>
      <c r="AU207" s="4435">
        <v>0</v>
      </c>
      <c r="AV207" s="4435"/>
      <c r="AW207" s="4441">
        <v>0</v>
      </c>
      <c r="AX207" s="4438"/>
      <c r="AY207" s="4435">
        <v>0</v>
      </c>
      <c r="AZ207" s="4439"/>
      <c r="BA207" s="4437">
        <f t="shared" si="291"/>
        <v>0</v>
      </c>
      <c r="BB207" s="4439"/>
      <c r="BC207" s="4440">
        <f t="shared" si="292"/>
        <v>0</v>
      </c>
      <c r="BD207" s="4435"/>
      <c r="BE207" s="4441">
        <f t="shared" si="293"/>
        <v>0</v>
      </c>
      <c r="BF207" s="1202"/>
      <c r="BH207" s="26"/>
      <c r="BI207" s="26"/>
    </row>
    <row r="208" spans="1:61" ht="15.75" hidden="1" customHeight="1" x14ac:dyDescent="0.3">
      <c r="A208" s="146"/>
      <c r="B208" s="4442" t="s">
        <v>1636</v>
      </c>
      <c r="C208" s="4443" t="s">
        <v>354</v>
      </c>
      <c r="D208" s="4443"/>
      <c r="E208" s="4439"/>
      <c r="F208" s="4439"/>
      <c r="G208" s="4439"/>
      <c r="H208" s="4439"/>
      <c r="I208" s="3221">
        <f t="shared" si="294"/>
        <v>0</v>
      </c>
      <c r="J208" s="4439"/>
      <c r="K208" s="4439"/>
      <c r="L208" s="4439"/>
      <c r="M208" s="4437">
        <f t="shared" si="295"/>
        <v>0</v>
      </c>
      <c r="N208" s="4439"/>
      <c r="O208" s="4439"/>
      <c r="P208" s="4439"/>
      <c r="Q208" s="1630">
        <f t="shared" si="296"/>
        <v>0</v>
      </c>
      <c r="R208" s="4438"/>
      <c r="S208" s="4439"/>
      <c r="T208" s="4439"/>
      <c r="U208" s="1630">
        <f t="shared" si="297"/>
        <v>0</v>
      </c>
      <c r="V208" s="4438"/>
      <c r="W208" s="4439"/>
      <c r="X208" s="4439"/>
      <c r="Y208" s="4437">
        <f t="shared" si="283"/>
        <v>0</v>
      </c>
      <c r="Z208" s="4439"/>
      <c r="AA208" s="4445">
        <f t="shared" si="284"/>
        <v>0</v>
      </c>
      <c r="AB208" s="4438"/>
      <c r="AC208" s="4439"/>
      <c r="AD208" s="4439"/>
      <c r="AE208" s="4446">
        <f t="shared" si="285"/>
        <v>0</v>
      </c>
      <c r="AF208" s="4438"/>
      <c r="AG208" s="4439"/>
      <c r="AH208" s="4439"/>
      <c r="AI208" s="4446">
        <f t="shared" si="287"/>
        <v>0</v>
      </c>
      <c r="AJ208" s="4438"/>
      <c r="AK208" s="4439"/>
      <c r="AL208" s="4439"/>
      <c r="AM208" s="4437">
        <f t="shared" si="298"/>
        <v>0</v>
      </c>
      <c r="AN208" s="4439"/>
      <c r="AO208" s="4446">
        <f t="shared" si="288"/>
        <v>0</v>
      </c>
      <c r="AP208" s="4438"/>
      <c r="AQ208" s="4439"/>
      <c r="AR208" s="4439"/>
      <c r="AS208" s="4446">
        <v>0</v>
      </c>
      <c r="AT208" s="4438"/>
      <c r="AU208" s="4439"/>
      <c r="AV208" s="4439"/>
      <c r="AW208" s="4446">
        <v>0</v>
      </c>
      <c r="AX208" s="4438"/>
      <c r="AY208" s="4439"/>
      <c r="AZ208" s="4439"/>
      <c r="BA208" s="4437">
        <f t="shared" si="291"/>
        <v>0</v>
      </c>
      <c r="BB208" s="4439"/>
      <c r="BC208" s="4445">
        <f t="shared" si="292"/>
        <v>0</v>
      </c>
      <c r="BD208" s="4439"/>
      <c r="BE208" s="4447">
        <f t="shared" si="293"/>
        <v>0</v>
      </c>
      <c r="BF208" s="1202"/>
      <c r="BH208" s="26"/>
      <c r="BI208" s="26"/>
    </row>
    <row r="209" spans="1:61" ht="15.75" customHeight="1" x14ac:dyDescent="0.3">
      <c r="A209" s="146"/>
      <c r="B209" s="4432" t="s">
        <v>2063</v>
      </c>
      <c r="C209" s="4433"/>
      <c r="D209" s="4434"/>
      <c r="E209" s="4435">
        <f>SUM(E210:E213)</f>
        <v>0</v>
      </c>
      <c r="F209" s="4435">
        <v>0</v>
      </c>
      <c r="G209" s="4435">
        <f>SUM(G210:G213)</f>
        <v>154.88999999999999</v>
      </c>
      <c r="H209" s="4436">
        <v>0</v>
      </c>
      <c r="I209" s="3221">
        <f t="shared" si="294"/>
        <v>154.88999999999999</v>
      </c>
      <c r="J209" s="4435">
        <v>0</v>
      </c>
      <c r="K209" s="4435">
        <f>SUM(K210:K213)</f>
        <v>174.21</v>
      </c>
      <c r="L209" s="4435"/>
      <c r="M209" s="4437">
        <f t="shared" si="295"/>
        <v>329.1</v>
      </c>
      <c r="N209" s="4435"/>
      <c r="O209" s="4435">
        <f>SUM(O210:O213)</f>
        <v>0</v>
      </c>
      <c r="P209" s="4435">
        <v>0</v>
      </c>
      <c r="Q209" s="1630">
        <f t="shared" si="296"/>
        <v>329.1</v>
      </c>
      <c r="R209" s="4438">
        <v>0</v>
      </c>
      <c r="S209" s="4435">
        <f>SUM(S210:S213)</f>
        <v>0</v>
      </c>
      <c r="T209" s="4435">
        <v>0</v>
      </c>
      <c r="U209" s="1630">
        <f t="shared" si="297"/>
        <v>329.1</v>
      </c>
      <c r="V209" s="4438">
        <v>0</v>
      </c>
      <c r="W209" s="4435">
        <f>SUM(W210:W213)</f>
        <v>0</v>
      </c>
      <c r="X209" s="4435"/>
      <c r="Y209" s="4437">
        <f t="shared" si="283"/>
        <v>0</v>
      </c>
      <c r="Z209" s="4439"/>
      <c r="AA209" s="4440">
        <f t="shared" si="284"/>
        <v>329.1</v>
      </c>
      <c r="AB209" s="4438"/>
      <c r="AC209" s="4435">
        <f>SUM(AC210:AC213)</f>
        <v>0</v>
      </c>
      <c r="AD209" s="4435">
        <v>0</v>
      </c>
      <c r="AE209" s="4441">
        <f t="shared" si="285"/>
        <v>329.1</v>
      </c>
      <c r="AF209" s="4438">
        <v>0</v>
      </c>
      <c r="AG209" s="4435">
        <f>SUM(AG210:AG213)</f>
        <v>0</v>
      </c>
      <c r="AH209" s="4435">
        <v>0</v>
      </c>
      <c r="AI209" s="4441">
        <f t="shared" si="287"/>
        <v>329.1</v>
      </c>
      <c r="AJ209" s="4438">
        <v>0</v>
      </c>
      <c r="AK209" s="4435">
        <f>SUM(AK210:AK213)</f>
        <v>0</v>
      </c>
      <c r="AL209" s="4439"/>
      <c r="AM209" s="4437">
        <f t="shared" si="298"/>
        <v>0</v>
      </c>
      <c r="AN209" s="4439"/>
      <c r="AO209" s="4455">
        <f t="shared" si="288"/>
        <v>329.1</v>
      </c>
      <c r="AP209" s="4438">
        <v>0</v>
      </c>
      <c r="AQ209" s="4435">
        <f>SUM(AQ210:AQ213)</f>
        <v>0</v>
      </c>
      <c r="AR209" s="4435"/>
      <c r="AS209" s="4455">
        <f>AS212+AS213</f>
        <v>329.1</v>
      </c>
      <c r="AT209" s="4438"/>
      <c r="AU209" s="4435">
        <f>SUM(AU210:AU213)</f>
        <v>0</v>
      </c>
      <c r="AV209" s="4435"/>
      <c r="AW209" s="4441">
        <f>SUM(AW210:AW213)</f>
        <v>329.1</v>
      </c>
      <c r="AX209" s="4438"/>
      <c r="AY209" s="4435">
        <f>SUM(AY210:AY213)</f>
        <v>0</v>
      </c>
      <c r="AZ209" s="4439"/>
      <c r="BA209" s="4437">
        <f t="shared" si="291"/>
        <v>0</v>
      </c>
      <c r="BB209" s="4439"/>
      <c r="BC209" s="4440">
        <f t="shared" si="292"/>
        <v>0</v>
      </c>
      <c r="BD209" s="4435"/>
      <c r="BE209" s="4441">
        <f t="shared" si="293"/>
        <v>329.1</v>
      </c>
      <c r="BF209" s="1202"/>
      <c r="BH209" s="26"/>
      <c r="BI209" s="26"/>
    </row>
    <row r="210" spans="1:61" ht="15.75" hidden="1" customHeight="1" x14ac:dyDescent="0.3">
      <c r="A210" s="146"/>
      <c r="B210" s="4442" t="s">
        <v>946</v>
      </c>
      <c r="C210" s="4443" t="s">
        <v>354</v>
      </c>
      <c r="D210" s="4443"/>
      <c r="E210" s="4439"/>
      <c r="F210" s="4439"/>
      <c r="G210" s="4439"/>
      <c r="H210" s="4439"/>
      <c r="I210" s="3221">
        <f t="shared" si="294"/>
        <v>0</v>
      </c>
      <c r="J210" s="4439"/>
      <c r="K210" s="4439"/>
      <c r="L210" s="4439"/>
      <c r="M210" s="4437">
        <f t="shared" si="295"/>
        <v>0</v>
      </c>
      <c r="N210" s="4439"/>
      <c r="O210" s="4439"/>
      <c r="P210" s="4439"/>
      <c r="Q210" s="1630">
        <f t="shared" si="296"/>
        <v>0</v>
      </c>
      <c r="R210" s="4438"/>
      <c r="S210" s="4439"/>
      <c r="T210" s="4439"/>
      <c r="U210" s="1630">
        <f t="shared" si="297"/>
        <v>0</v>
      </c>
      <c r="V210" s="4438"/>
      <c r="W210" s="4439"/>
      <c r="X210" s="4439"/>
      <c r="Y210" s="4437">
        <f t="shared" si="283"/>
        <v>0</v>
      </c>
      <c r="Z210" s="4439"/>
      <c r="AA210" s="4445">
        <f t="shared" si="284"/>
        <v>0</v>
      </c>
      <c r="AB210" s="4438"/>
      <c r="AC210" s="4439"/>
      <c r="AD210" s="4439"/>
      <c r="AE210" s="4446">
        <f t="shared" si="285"/>
        <v>0</v>
      </c>
      <c r="AF210" s="4438"/>
      <c r="AG210" s="4439"/>
      <c r="AH210" s="4439"/>
      <c r="AI210" s="4446">
        <f t="shared" si="287"/>
        <v>0</v>
      </c>
      <c r="AJ210" s="4438"/>
      <c r="AK210" s="4439"/>
      <c r="AL210" s="4439"/>
      <c r="AM210" s="4437">
        <f t="shared" si="298"/>
        <v>0</v>
      </c>
      <c r="AN210" s="4439"/>
      <c r="AO210" s="4446">
        <f t="shared" si="288"/>
        <v>0</v>
      </c>
      <c r="AP210" s="4438"/>
      <c r="AQ210" s="4439"/>
      <c r="AR210" s="4439"/>
      <c r="AS210" s="4446">
        <v>0</v>
      </c>
      <c r="AT210" s="4438"/>
      <c r="AU210" s="4439"/>
      <c r="AV210" s="4439"/>
      <c r="AW210" s="4446">
        <v>0</v>
      </c>
      <c r="AX210" s="4438"/>
      <c r="AY210" s="4439"/>
      <c r="AZ210" s="4439"/>
      <c r="BA210" s="4437">
        <f t="shared" si="291"/>
        <v>0</v>
      </c>
      <c r="BB210" s="4439"/>
      <c r="BC210" s="4445">
        <f t="shared" si="292"/>
        <v>0</v>
      </c>
      <c r="BD210" s="4439"/>
      <c r="BE210" s="4447">
        <f t="shared" si="293"/>
        <v>0</v>
      </c>
      <c r="BF210" s="1202"/>
      <c r="BH210" s="26"/>
      <c r="BI210" s="26"/>
    </row>
    <row r="211" spans="1:61" ht="15.75" hidden="1" customHeight="1" x14ac:dyDescent="0.3">
      <c r="A211" s="146"/>
      <c r="B211" s="4442" t="s">
        <v>838</v>
      </c>
      <c r="C211" s="4443"/>
      <c r="D211" s="4443"/>
      <c r="E211" s="4439"/>
      <c r="F211" s="4439"/>
      <c r="G211" s="4439"/>
      <c r="H211" s="4439"/>
      <c r="I211" s="3221">
        <f t="shared" si="294"/>
        <v>0</v>
      </c>
      <c r="J211" s="4439"/>
      <c r="K211" s="4439"/>
      <c r="L211" s="4439"/>
      <c r="M211" s="4437">
        <f t="shared" si="295"/>
        <v>0</v>
      </c>
      <c r="N211" s="4439"/>
      <c r="O211" s="4439"/>
      <c r="P211" s="4439"/>
      <c r="Q211" s="1630">
        <f t="shared" si="296"/>
        <v>0</v>
      </c>
      <c r="R211" s="4438"/>
      <c r="S211" s="4439"/>
      <c r="T211" s="4439"/>
      <c r="U211" s="1630">
        <f t="shared" si="297"/>
        <v>0</v>
      </c>
      <c r="V211" s="4438"/>
      <c r="W211" s="4439"/>
      <c r="X211" s="4439"/>
      <c r="Y211" s="4437">
        <f t="shared" si="283"/>
        <v>0</v>
      </c>
      <c r="Z211" s="4439"/>
      <c r="AA211" s="4445">
        <f t="shared" si="284"/>
        <v>0</v>
      </c>
      <c r="AB211" s="4438"/>
      <c r="AC211" s="4439"/>
      <c r="AD211" s="4439"/>
      <c r="AE211" s="4446">
        <f t="shared" si="285"/>
        <v>0</v>
      </c>
      <c r="AF211" s="4438"/>
      <c r="AG211" s="4439"/>
      <c r="AH211" s="4439"/>
      <c r="AI211" s="4446">
        <f t="shared" si="287"/>
        <v>0</v>
      </c>
      <c r="AJ211" s="4438"/>
      <c r="AK211" s="4439"/>
      <c r="AL211" s="4439"/>
      <c r="AM211" s="4437">
        <f t="shared" si="298"/>
        <v>0</v>
      </c>
      <c r="AN211" s="4439"/>
      <c r="AO211" s="4446">
        <f t="shared" si="288"/>
        <v>0</v>
      </c>
      <c r="AP211" s="4438"/>
      <c r="AQ211" s="4439"/>
      <c r="AR211" s="4439"/>
      <c r="AS211" s="4446">
        <v>0</v>
      </c>
      <c r="AT211" s="4438"/>
      <c r="AU211" s="4439"/>
      <c r="AV211" s="4439"/>
      <c r="AW211" s="4446">
        <v>0</v>
      </c>
      <c r="AX211" s="4438"/>
      <c r="AY211" s="4439"/>
      <c r="AZ211" s="4439"/>
      <c r="BA211" s="4437">
        <f t="shared" si="291"/>
        <v>0</v>
      </c>
      <c r="BB211" s="4439"/>
      <c r="BC211" s="4445">
        <f t="shared" si="292"/>
        <v>0</v>
      </c>
      <c r="BD211" s="4439"/>
      <c r="BE211" s="4447">
        <f t="shared" si="293"/>
        <v>0</v>
      </c>
      <c r="BF211" s="1202"/>
      <c r="BH211" s="26"/>
      <c r="BI211" s="26"/>
    </row>
    <row r="212" spans="1:61" ht="15.75" customHeight="1" x14ac:dyDescent="0.3">
      <c r="A212" s="146"/>
      <c r="B212" s="4442" t="s">
        <v>1636</v>
      </c>
      <c r="C212" s="4443"/>
      <c r="D212" s="4443"/>
      <c r="E212" s="4439"/>
      <c r="F212" s="4439"/>
      <c r="G212" s="4439"/>
      <c r="H212" s="4439"/>
      <c r="I212" s="3221">
        <f t="shared" si="294"/>
        <v>0</v>
      </c>
      <c r="J212" s="4439"/>
      <c r="K212" s="4439">
        <v>147.49</v>
      </c>
      <c r="L212" s="4439"/>
      <c r="M212" s="4437">
        <f t="shared" si="295"/>
        <v>147.49</v>
      </c>
      <c r="N212" s="4439"/>
      <c r="O212" s="4439"/>
      <c r="P212" s="4439"/>
      <c r="Q212" s="1630">
        <f t="shared" si="296"/>
        <v>147.49</v>
      </c>
      <c r="R212" s="4438"/>
      <c r="S212" s="4439"/>
      <c r="T212" s="4439"/>
      <c r="U212" s="1630">
        <f t="shared" si="297"/>
        <v>147.49</v>
      </c>
      <c r="V212" s="4438"/>
      <c r="W212" s="4439"/>
      <c r="X212" s="4439"/>
      <c r="Y212" s="4437">
        <f t="shared" si="283"/>
        <v>0</v>
      </c>
      <c r="Z212" s="4439"/>
      <c r="AA212" s="4445">
        <f t="shared" si="284"/>
        <v>147.49</v>
      </c>
      <c r="AB212" s="4438"/>
      <c r="AC212" s="4439"/>
      <c r="AD212" s="4439"/>
      <c r="AE212" s="4446">
        <f t="shared" si="285"/>
        <v>147.49</v>
      </c>
      <c r="AF212" s="4438"/>
      <c r="AG212" s="4439"/>
      <c r="AH212" s="4439"/>
      <c r="AI212" s="4446">
        <f t="shared" si="287"/>
        <v>147.49</v>
      </c>
      <c r="AJ212" s="4438"/>
      <c r="AK212" s="4439"/>
      <c r="AL212" s="4439"/>
      <c r="AM212" s="4437">
        <f t="shared" si="298"/>
        <v>0</v>
      </c>
      <c r="AN212" s="4439"/>
      <c r="AO212" s="4446">
        <f t="shared" si="288"/>
        <v>147.49</v>
      </c>
      <c r="AP212" s="4438"/>
      <c r="AQ212" s="4439"/>
      <c r="AR212" s="4439"/>
      <c r="AS212" s="4446">
        <f t="shared" ref="AS212:AS213" si="306">+AO212+AQ212</f>
        <v>147.49</v>
      </c>
      <c r="AT212" s="4438"/>
      <c r="AU212" s="4439"/>
      <c r="AV212" s="4439"/>
      <c r="AW212" s="4446">
        <f t="shared" ref="AW212:AW213" si="307">+AS212+AU212</f>
        <v>147.49</v>
      </c>
      <c r="AX212" s="4438"/>
      <c r="AY212" s="4439"/>
      <c r="AZ212" s="4439"/>
      <c r="BA212" s="4437">
        <f t="shared" si="291"/>
        <v>0</v>
      </c>
      <c r="BB212" s="4439"/>
      <c r="BC212" s="4445">
        <f t="shared" si="292"/>
        <v>0</v>
      </c>
      <c r="BD212" s="4439"/>
      <c r="BE212" s="4447">
        <f t="shared" si="293"/>
        <v>147.49</v>
      </c>
      <c r="BF212" s="1202"/>
      <c r="BH212" s="26"/>
      <c r="BI212" s="26"/>
    </row>
    <row r="213" spans="1:61" ht="15.75" customHeight="1" x14ac:dyDescent="0.3">
      <c r="A213" s="146"/>
      <c r="B213" s="4442" t="s">
        <v>839</v>
      </c>
      <c r="C213" s="4443"/>
      <c r="D213" s="4443"/>
      <c r="E213" s="4439"/>
      <c r="F213" s="4439"/>
      <c r="G213" s="4439">
        <v>154.88999999999999</v>
      </c>
      <c r="H213" s="4439"/>
      <c r="I213" s="3221">
        <f t="shared" si="294"/>
        <v>154.88999999999999</v>
      </c>
      <c r="J213" s="4439"/>
      <c r="K213" s="4439">
        <v>26.72</v>
      </c>
      <c r="L213" s="4439"/>
      <c r="M213" s="4437">
        <f t="shared" si="295"/>
        <v>181.60999999999999</v>
      </c>
      <c r="N213" s="4439"/>
      <c r="O213" s="4439"/>
      <c r="P213" s="4439"/>
      <c r="Q213" s="1630">
        <f t="shared" si="296"/>
        <v>181.60999999999999</v>
      </c>
      <c r="R213" s="4438"/>
      <c r="S213" s="4439"/>
      <c r="T213" s="4439"/>
      <c r="U213" s="1630">
        <f t="shared" si="297"/>
        <v>181.60999999999999</v>
      </c>
      <c r="V213" s="4438"/>
      <c r="W213" s="4439"/>
      <c r="X213" s="4439"/>
      <c r="Y213" s="4437">
        <f t="shared" si="283"/>
        <v>0</v>
      </c>
      <c r="Z213" s="4439"/>
      <c r="AA213" s="4445">
        <f t="shared" si="284"/>
        <v>181.60999999999999</v>
      </c>
      <c r="AB213" s="4438"/>
      <c r="AC213" s="4439"/>
      <c r="AD213" s="4439"/>
      <c r="AE213" s="4446">
        <f t="shared" si="285"/>
        <v>181.60999999999999</v>
      </c>
      <c r="AF213" s="4438"/>
      <c r="AG213" s="4439"/>
      <c r="AH213" s="4439"/>
      <c r="AI213" s="4446">
        <f t="shared" si="287"/>
        <v>181.60999999999999</v>
      </c>
      <c r="AJ213" s="4438"/>
      <c r="AK213" s="4439"/>
      <c r="AL213" s="4439"/>
      <c r="AM213" s="4437">
        <f t="shared" si="298"/>
        <v>0</v>
      </c>
      <c r="AN213" s="4439"/>
      <c r="AO213" s="4446">
        <f t="shared" si="288"/>
        <v>181.60999999999999</v>
      </c>
      <c r="AP213" s="4438"/>
      <c r="AQ213" s="4439"/>
      <c r="AR213" s="4439"/>
      <c r="AS213" s="4446">
        <f t="shared" si="306"/>
        <v>181.60999999999999</v>
      </c>
      <c r="AT213" s="4438"/>
      <c r="AU213" s="4439"/>
      <c r="AV213" s="4439"/>
      <c r="AW213" s="4446">
        <f t="shared" si="307"/>
        <v>181.60999999999999</v>
      </c>
      <c r="AX213" s="4438"/>
      <c r="AY213" s="4439"/>
      <c r="AZ213" s="4439"/>
      <c r="BA213" s="4437">
        <f t="shared" si="291"/>
        <v>0</v>
      </c>
      <c r="BB213" s="4439"/>
      <c r="BC213" s="4445">
        <f t="shared" si="292"/>
        <v>0</v>
      </c>
      <c r="BD213" s="4439"/>
      <c r="BE213" s="4447">
        <f t="shared" si="293"/>
        <v>181.60999999999999</v>
      </c>
      <c r="BF213" s="1202"/>
      <c r="BH213" s="26"/>
      <c r="BI213" s="26"/>
    </row>
    <row r="214" spans="1:61" ht="15.75" hidden="1" customHeight="1" x14ac:dyDescent="0.3">
      <c r="A214" s="146"/>
      <c r="B214" s="4432" t="s">
        <v>1635</v>
      </c>
      <c r="C214" s="4433"/>
      <c r="D214" s="4434"/>
      <c r="E214" s="4435">
        <v>0</v>
      </c>
      <c r="F214" s="4435">
        <v>0</v>
      </c>
      <c r="G214" s="4435">
        <v>0</v>
      </c>
      <c r="H214" s="4436">
        <v>0</v>
      </c>
      <c r="I214" s="3221">
        <f t="shared" si="294"/>
        <v>0</v>
      </c>
      <c r="J214" s="4435">
        <v>0</v>
      </c>
      <c r="K214" s="4435">
        <v>0</v>
      </c>
      <c r="L214" s="4435"/>
      <c r="M214" s="4437">
        <f t="shared" si="295"/>
        <v>0</v>
      </c>
      <c r="N214" s="4435"/>
      <c r="O214" s="4435">
        <v>0</v>
      </c>
      <c r="P214" s="4435">
        <v>0</v>
      </c>
      <c r="Q214" s="1630">
        <f t="shared" si="296"/>
        <v>0</v>
      </c>
      <c r="R214" s="4438">
        <v>0</v>
      </c>
      <c r="S214" s="4435">
        <v>0</v>
      </c>
      <c r="T214" s="4435">
        <v>0</v>
      </c>
      <c r="U214" s="1630">
        <f t="shared" si="297"/>
        <v>0</v>
      </c>
      <c r="V214" s="4438">
        <v>0</v>
      </c>
      <c r="W214" s="4435">
        <v>0</v>
      </c>
      <c r="X214" s="4435"/>
      <c r="Y214" s="4437">
        <f t="shared" si="283"/>
        <v>0</v>
      </c>
      <c r="Z214" s="4439"/>
      <c r="AA214" s="4440">
        <f t="shared" si="284"/>
        <v>0</v>
      </c>
      <c r="AB214" s="4438"/>
      <c r="AC214" s="4435">
        <v>0</v>
      </c>
      <c r="AD214" s="4435">
        <v>0</v>
      </c>
      <c r="AE214" s="4441">
        <f t="shared" si="285"/>
        <v>0</v>
      </c>
      <c r="AF214" s="4438">
        <v>0</v>
      </c>
      <c r="AG214" s="4435">
        <v>0</v>
      </c>
      <c r="AH214" s="4435">
        <v>0</v>
      </c>
      <c r="AI214" s="4441">
        <f t="shared" si="287"/>
        <v>0</v>
      </c>
      <c r="AJ214" s="4438">
        <v>0</v>
      </c>
      <c r="AK214" s="4435">
        <v>0</v>
      </c>
      <c r="AL214" s="4439"/>
      <c r="AM214" s="4437">
        <f t="shared" si="298"/>
        <v>0</v>
      </c>
      <c r="AN214" s="4439"/>
      <c r="AO214" s="4446">
        <f t="shared" si="288"/>
        <v>0</v>
      </c>
      <c r="AP214" s="4438">
        <v>0</v>
      </c>
      <c r="AQ214" s="4435">
        <v>0</v>
      </c>
      <c r="AR214" s="4435"/>
      <c r="AS214" s="4441">
        <v>0</v>
      </c>
      <c r="AT214" s="4438"/>
      <c r="AU214" s="4435">
        <v>0</v>
      </c>
      <c r="AV214" s="4435"/>
      <c r="AW214" s="4441">
        <f>AW215</f>
        <v>0</v>
      </c>
      <c r="AX214" s="4438"/>
      <c r="AY214" s="4435"/>
      <c r="AZ214" s="4439"/>
      <c r="BA214" s="4437">
        <f t="shared" si="291"/>
        <v>0</v>
      </c>
      <c r="BB214" s="4439"/>
      <c r="BC214" s="4440">
        <f t="shared" si="292"/>
        <v>0</v>
      </c>
      <c r="BD214" s="4435"/>
      <c r="BE214" s="4441">
        <f t="shared" si="293"/>
        <v>0</v>
      </c>
      <c r="BF214" s="1202"/>
      <c r="BH214" s="26"/>
      <c r="BI214" s="26"/>
    </row>
    <row r="215" spans="1:61" ht="15.75" hidden="1" customHeight="1" x14ac:dyDescent="0.3">
      <c r="A215" s="146"/>
      <c r="B215" s="4442" t="s">
        <v>1636</v>
      </c>
      <c r="C215" s="4443" t="s">
        <v>354</v>
      </c>
      <c r="D215" s="4443"/>
      <c r="E215" s="4439"/>
      <c r="F215" s="4439"/>
      <c r="G215" s="4439"/>
      <c r="H215" s="4439"/>
      <c r="I215" s="3221">
        <f t="shared" si="294"/>
        <v>0</v>
      </c>
      <c r="J215" s="4439"/>
      <c r="K215" s="4439"/>
      <c r="L215" s="4439"/>
      <c r="M215" s="4437">
        <f t="shared" si="295"/>
        <v>0</v>
      </c>
      <c r="N215" s="4439"/>
      <c r="O215" s="4439"/>
      <c r="P215" s="4439"/>
      <c r="Q215" s="1630">
        <f t="shared" si="296"/>
        <v>0</v>
      </c>
      <c r="R215" s="4438"/>
      <c r="S215" s="4439"/>
      <c r="T215" s="4439"/>
      <c r="U215" s="1630">
        <f t="shared" si="297"/>
        <v>0</v>
      </c>
      <c r="V215" s="4438"/>
      <c r="W215" s="4439"/>
      <c r="X215" s="4439"/>
      <c r="Y215" s="4437">
        <f t="shared" si="283"/>
        <v>0</v>
      </c>
      <c r="Z215" s="4439"/>
      <c r="AA215" s="4445">
        <f t="shared" si="284"/>
        <v>0</v>
      </c>
      <c r="AB215" s="4438"/>
      <c r="AC215" s="4439"/>
      <c r="AD215" s="4439"/>
      <c r="AE215" s="4446">
        <f t="shared" si="285"/>
        <v>0</v>
      </c>
      <c r="AF215" s="4438"/>
      <c r="AG215" s="4439"/>
      <c r="AH215" s="4439"/>
      <c r="AI215" s="4446">
        <f t="shared" si="287"/>
        <v>0</v>
      </c>
      <c r="AJ215" s="4438"/>
      <c r="AK215" s="4439"/>
      <c r="AL215" s="4439"/>
      <c r="AM215" s="4437">
        <f t="shared" si="298"/>
        <v>0</v>
      </c>
      <c r="AN215" s="4439"/>
      <c r="AO215" s="4446">
        <f t="shared" si="288"/>
        <v>0</v>
      </c>
      <c r="AP215" s="4438"/>
      <c r="AQ215" s="4439"/>
      <c r="AR215" s="4439"/>
      <c r="AS215" s="4446">
        <v>0</v>
      </c>
      <c r="AT215" s="4438"/>
      <c r="AU215" s="4439"/>
      <c r="AV215" s="4439"/>
      <c r="AW215" s="4446">
        <v>0</v>
      </c>
      <c r="AX215" s="4438"/>
      <c r="AY215" s="4439"/>
      <c r="AZ215" s="4439"/>
      <c r="BA215" s="4437">
        <f t="shared" si="291"/>
        <v>0</v>
      </c>
      <c r="BB215" s="4439"/>
      <c r="BC215" s="4445">
        <f t="shared" si="292"/>
        <v>0</v>
      </c>
      <c r="BD215" s="4439"/>
      <c r="BE215" s="4447">
        <f t="shared" si="293"/>
        <v>0</v>
      </c>
      <c r="BF215" s="1202"/>
      <c r="BH215" s="26"/>
      <c r="BI215" s="26"/>
    </row>
    <row r="216" spans="1:61" ht="18.75" customHeight="1" x14ac:dyDescent="0.3">
      <c r="B216" s="4432" t="s">
        <v>1249</v>
      </c>
      <c r="C216" s="4448"/>
      <c r="D216" s="4449"/>
      <c r="E216" s="4439"/>
      <c r="F216" s="4439"/>
      <c r="G216" s="4439"/>
      <c r="H216" s="4439"/>
      <c r="I216" s="3221">
        <f t="shared" si="294"/>
        <v>0</v>
      </c>
      <c r="J216" s="4439"/>
      <c r="K216" s="4439"/>
      <c r="L216" s="4439"/>
      <c r="M216" s="4437">
        <f t="shared" si="295"/>
        <v>0</v>
      </c>
      <c r="N216" s="4439"/>
      <c r="O216" s="4439"/>
      <c r="P216" s="4439"/>
      <c r="Q216" s="1630">
        <f t="shared" si="296"/>
        <v>0</v>
      </c>
      <c r="R216" s="4438"/>
      <c r="S216" s="4439"/>
      <c r="T216" s="4439"/>
      <c r="U216" s="1630">
        <f t="shared" si="297"/>
        <v>0</v>
      </c>
      <c r="V216" s="4438"/>
      <c r="W216" s="4439"/>
      <c r="X216" s="4439"/>
      <c r="Y216" s="4437">
        <f t="shared" si="283"/>
        <v>0</v>
      </c>
      <c r="Z216" s="4439"/>
      <c r="AA216" s="4445">
        <f t="shared" si="284"/>
        <v>0</v>
      </c>
      <c r="AB216" s="4438"/>
      <c r="AC216" s="4439"/>
      <c r="AD216" s="4439"/>
      <c r="AE216" s="4446">
        <f t="shared" si="285"/>
        <v>0</v>
      </c>
      <c r="AF216" s="4438"/>
      <c r="AG216" s="4439"/>
      <c r="AH216" s="4439"/>
      <c r="AI216" s="4446">
        <f t="shared" si="287"/>
        <v>0</v>
      </c>
      <c r="AJ216" s="4438"/>
      <c r="AK216" s="4439"/>
      <c r="AL216" s="4439"/>
      <c r="AM216" s="4437">
        <f t="shared" si="298"/>
        <v>0</v>
      </c>
      <c r="AN216" s="4439"/>
      <c r="AO216" s="4446">
        <f t="shared" si="288"/>
        <v>0</v>
      </c>
      <c r="AP216" s="4438"/>
      <c r="AQ216" s="4439"/>
      <c r="AR216" s="4439"/>
      <c r="AS216" s="4446">
        <v>0</v>
      </c>
      <c r="AT216" s="4438"/>
      <c r="AU216" s="4435">
        <f>AU217</f>
        <v>114.96</v>
      </c>
      <c r="AV216" s="4439"/>
      <c r="AW216" s="4441">
        <f t="shared" ref="AW216:AW217" si="308">+AS216+AU216</f>
        <v>114.96</v>
      </c>
      <c r="AX216" s="4438"/>
      <c r="AY216" s="4435">
        <f>AY217</f>
        <v>0</v>
      </c>
      <c r="AZ216" s="4439"/>
      <c r="BA216" s="4437">
        <f t="shared" si="291"/>
        <v>114.96</v>
      </c>
      <c r="BB216" s="4439"/>
      <c r="BC216" s="4445">
        <f t="shared" si="292"/>
        <v>114.96</v>
      </c>
      <c r="BD216" s="4439"/>
      <c r="BE216" s="4447">
        <f t="shared" si="293"/>
        <v>114.96</v>
      </c>
      <c r="BF216" s="1202"/>
      <c r="BH216" s="26"/>
      <c r="BI216" s="26"/>
    </row>
    <row r="217" spans="1:61" ht="15.75" customHeight="1" x14ac:dyDescent="0.3">
      <c r="B217" s="4442" t="s">
        <v>839</v>
      </c>
      <c r="C217" s="4443" t="s">
        <v>354</v>
      </c>
      <c r="D217" s="4443"/>
      <c r="E217" s="4439">
        <v>0</v>
      </c>
      <c r="F217" s="4439"/>
      <c r="G217" s="4439">
        <v>0</v>
      </c>
      <c r="H217" s="4439"/>
      <c r="I217" s="3221">
        <f t="shared" si="294"/>
        <v>0</v>
      </c>
      <c r="J217" s="4439"/>
      <c r="K217" s="4439">
        <v>0</v>
      </c>
      <c r="L217" s="4439"/>
      <c r="M217" s="4437">
        <f t="shared" si="295"/>
        <v>0</v>
      </c>
      <c r="N217" s="4439"/>
      <c r="O217" s="4439">
        <v>0</v>
      </c>
      <c r="P217" s="4439"/>
      <c r="Q217" s="1630">
        <f t="shared" si="296"/>
        <v>0</v>
      </c>
      <c r="R217" s="4438"/>
      <c r="S217" s="4439">
        <v>0</v>
      </c>
      <c r="T217" s="4439"/>
      <c r="U217" s="1630">
        <f t="shared" si="297"/>
        <v>0</v>
      </c>
      <c r="V217" s="4438"/>
      <c r="W217" s="4439">
        <v>0</v>
      </c>
      <c r="X217" s="4439"/>
      <c r="Y217" s="4437">
        <f t="shared" si="283"/>
        <v>0</v>
      </c>
      <c r="Z217" s="4439"/>
      <c r="AA217" s="4445">
        <f t="shared" si="284"/>
        <v>0</v>
      </c>
      <c r="AB217" s="4438"/>
      <c r="AC217" s="4439">
        <v>0</v>
      </c>
      <c r="AD217" s="4439"/>
      <c r="AE217" s="4446">
        <f t="shared" si="285"/>
        <v>0</v>
      </c>
      <c r="AF217" s="4438"/>
      <c r="AG217" s="4439">
        <v>0</v>
      </c>
      <c r="AH217" s="4439"/>
      <c r="AI217" s="4446">
        <f t="shared" si="287"/>
        <v>0</v>
      </c>
      <c r="AJ217" s="4438"/>
      <c r="AK217" s="4439">
        <v>0</v>
      </c>
      <c r="AL217" s="4439"/>
      <c r="AM217" s="4437">
        <f t="shared" si="298"/>
        <v>0</v>
      </c>
      <c r="AN217" s="4439"/>
      <c r="AO217" s="4446">
        <f t="shared" si="288"/>
        <v>0</v>
      </c>
      <c r="AP217" s="4438"/>
      <c r="AQ217" s="4439">
        <v>0</v>
      </c>
      <c r="AR217" s="4439"/>
      <c r="AS217" s="4446">
        <v>0</v>
      </c>
      <c r="AT217" s="4438"/>
      <c r="AU217" s="4439">
        <v>114.96</v>
      </c>
      <c r="AV217" s="4439"/>
      <c r="AW217" s="4446">
        <f t="shared" si="308"/>
        <v>114.96</v>
      </c>
      <c r="AX217" s="4438"/>
      <c r="AY217" s="4439"/>
      <c r="AZ217" s="4439"/>
      <c r="BA217" s="4437">
        <f t="shared" si="291"/>
        <v>114.96</v>
      </c>
      <c r="BB217" s="4439"/>
      <c r="BC217" s="4445">
        <f t="shared" si="292"/>
        <v>114.96</v>
      </c>
      <c r="BD217" s="4439"/>
      <c r="BE217" s="4447">
        <f t="shared" si="293"/>
        <v>114.96</v>
      </c>
      <c r="BF217" s="1202"/>
      <c r="BH217" s="26"/>
      <c r="BI217" s="26"/>
    </row>
    <row r="218" spans="1:61" ht="18.75" customHeight="1" x14ac:dyDescent="0.3">
      <c r="B218" s="4432" t="s">
        <v>1262</v>
      </c>
      <c r="C218" s="4433"/>
      <c r="D218" s="4434"/>
      <c r="E218" s="4435">
        <f>E219</f>
        <v>0</v>
      </c>
      <c r="F218" s="4435">
        <v>0</v>
      </c>
      <c r="G218" s="4435">
        <f t="shared" ref="G218:AZ218" si="309">G219</f>
        <v>0</v>
      </c>
      <c r="H218" s="4436">
        <f t="shared" si="309"/>
        <v>0</v>
      </c>
      <c r="I218" s="3221">
        <f t="shared" si="309"/>
        <v>0</v>
      </c>
      <c r="J218" s="4435">
        <f t="shared" si="309"/>
        <v>0</v>
      </c>
      <c r="K218" s="4435">
        <f t="shared" si="309"/>
        <v>0</v>
      </c>
      <c r="L218" s="4435">
        <f t="shared" si="309"/>
        <v>0</v>
      </c>
      <c r="M218" s="4437">
        <f t="shared" si="309"/>
        <v>0</v>
      </c>
      <c r="N218" s="4435">
        <f t="shared" si="309"/>
        <v>0</v>
      </c>
      <c r="O218" s="4435">
        <f t="shared" si="309"/>
        <v>184.69</v>
      </c>
      <c r="P218" s="4435">
        <f t="shared" si="309"/>
        <v>0</v>
      </c>
      <c r="Q218" s="1630">
        <f t="shared" si="309"/>
        <v>184.69</v>
      </c>
      <c r="R218" s="4438">
        <f t="shared" si="309"/>
        <v>0</v>
      </c>
      <c r="S218" s="4435">
        <f t="shared" si="309"/>
        <v>0</v>
      </c>
      <c r="T218" s="4435">
        <f t="shared" si="309"/>
        <v>0</v>
      </c>
      <c r="U218" s="1630">
        <f t="shared" si="297"/>
        <v>184.69</v>
      </c>
      <c r="V218" s="4438">
        <f t="shared" si="309"/>
        <v>0</v>
      </c>
      <c r="W218" s="4435">
        <f t="shared" si="309"/>
        <v>0</v>
      </c>
      <c r="X218" s="4435">
        <f t="shared" si="309"/>
        <v>0</v>
      </c>
      <c r="Y218" s="4437">
        <f t="shared" si="283"/>
        <v>184.69</v>
      </c>
      <c r="Z218" s="4439"/>
      <c r="AA218" s="4440">
        <f t="shared" si="284"/>
        <v>184.69</v>
      </c>
      <c r="AB218" s="4438">
        <f t="shared" si="309"/>
        <v>0</v>
      </c>
      <c r="AC218" s="4435">
        <f t="shared" si="309"/>
        <v>0</v>
      </c>
      <c r="AD218" s="4435">
        <f t="shared" si="309"/>
        <v>0</v>
      </c>
      <c r="AE218" s="4441">
        <f t="shared" si="285"/>
        <v>184.69</v>
      </c>
      <c r="AF218" s="4438">
        <f t="shared" si="309"/>
        <v>0</v>
      </c>
      <c r="AG218" s="4435">
        <f t="shared" si="309"/>
        <v>0</v>
      </c>
      <c r="AH218" s="4435">
        <f t="shared" si="309"/>
        <v>0</v>
      </c>
      <c r="AI218" s="4441">
        <f t="shared" si="287"/>
        <v>184.69</v>
      </c>
      <c r="AJ218" s="4438">
        <f t="shared" si="309"/>
        <v>0</v>
      </c>
      <c r="AK218" s="4435">
        <f t="shared" si="309"/>
        <v>0</v>
      </c>
      <c r="AL218" s="4439">
        <f t="shared" si="309"/>
        <v>0</v>
      </c>
      <c r="AM218" s="4437">
        <f t="shared" si="298"/>
        <v>0</v>
      </c>
      <c r="AN218" s="4439">
        <f t="shared" si="309"/>
        <v>0</v>
      </c>
      <c r="AO218" s="4446">
        <f t="shared" si="288"/>
        <v>184.69</v>
      </c>
      <c r="AP218" s="4438">
        <f t="shared" si="309"/>
        <v>0</v>
      </c>
      <c r="AQ218" s="4435">
        <f t="shared" si="309"/>
        <v>0</v>
      </c>
      <c r="AR218" s="4435">
        <f t="shared" si="309"/>
        <v>0</v>
      </c>
      <c r="AS218" s="4441">
        <f t="shared" si="309"/>
        <v>184.69</v>
      </c>
      <c r="AT218" s="4438">
        <f t="shared" si="309"/>
        <v>0</v>
      </c>
      <c r="AU218" s="4435">
        <f>AU219+AU221+AU220</f>
        <v>3557.53</v>
      </c>
      <c r="AV218" s="4435">
        <f t="shared" ref="AV218:AY218" si="310">AV219+AV221+AV220</f>
        <v>0</v>
      </c>
      <c r="AW218" s="4435">
        <f t="shared" si="310"/>
        <v>3742.2200000000003</v>
      </c>
      <c r="AX218" s="4435">
        <f t="shared" si="310"/>
        <v>0</v>
      </c>
      <c r="AY218" s="4435">
        <f t="shared" si="310"/>
        <v>136.72</v>
      </c>
      <c r="AZ218" s="4439">
        <f t="shared" si="309"/>
        <v>0</v>
      </c>
      <c r="BA218" s="4437">
        <f t="shared" si="291"/>
        <v>3694.25</v>
      </c>
      <c r="BB218" s="4439"/>
      <c r="BC218" s="4440">
        <f t="shared" si="292"/>
        <v>3694.25</v>
      </c>
      <c r="BD218" s="4435"/>
      <c r="BE218" s="4441">
        <f t="shared" si="293"/>
        <v>3878.94</v>
      </c>
      <c r="BF218" s="1202"/>
      <c r="BH218" s="26"/>
      <c r="BI218" s="26"/>
    </row>
    <row r="219" spans="1:61" ht="18.75" customHeight="1" x14ac:dyDescent="0.3">
      <c r="B219" s="4442" t="s">
        <v>839</v>
      </c>
      <c r="C219" s="4443" t="s">
        <v>354</v>
      </c>
      <c r="D219" s="4443"/>
      <c r="E219" s="4439"/>
      <c r="F219" s="4439">
        <v>0</v>
      </c>
      <c r="G219" s="4439"/>
      <c r="H219" s="4439">
        <v>0</v>
      </c>
      <c r="I219" s="3221">
        <f t="shared" si="294"/>
        <v>0</v>
      </c>
      <c r="J219" s="4439">
        <v>0</v>
      </c>
      <c r="K219" s="4439"/>
      <c r="L219" s="4439"/>
      <c r="M219" s="4437">
        <f t="shared" si="295"/>
        <v>0</v>
      </c>
      <c r="N219" s="4439"/>
      <c r="O219" s="4439">
        <v>184.69</v>
      </c>
      <c r="P219" s="4439"/>
      <c r="Q219" s="1630">
        <f t="shared" si="296"/>
        <v>184.69</v>
      </c>
      <c r="R219" s="4450"/>
      <c r="S219" s="4439"/>
      <c r="T219" s="4439"/>
      <c r="U219" s="1630">
        <f t="shared" si="297"/>
        <v>184.69</v>
      </c>
      <c r="V219" s="4450"/>
      <c r="W219" s="4439"/>
      <c r="X219" s="4439"/>
      <c r="Y219" s="4437">
        <f t="shared" si="283"/>
        <v>184.69</v>
      </c>
      <c r="Z219" s="4439"/>
      <c r="AA219" s="4445">
        <f t="shared" si="284"/>
        <v>184.69</v>
      </c>
      <c r="AB219" s="4450"/>
      <c r="AC219" s="4439"/>
      <c r="AD219" s="4439"/>
      <c r="AE219" s="4446">
        <f t="shared" si="285"/>
        <v>184.69</v>
      </c>
      <c r="AF219" s="4450"/>
      <c r="AG219" s="4439"/>
      <c r="AH219" s="4439"/>
      <c r="AI219" s="4446">
        <f t="shared" si="287"/>
        <v>184.69</v>
      </c>
      <c r="AJ219" s="4450"/>
      <c r="AK219" s="4439"/>
      <c r="AL219" s="4435"/>
      <c r="AM219" s="4437">
        <f t="shared" si="298"/>
        <v>0</v>
      </c>
      <c r="AN219" s="4439"/>
      <c r="AO219" s="4446">
        <f t="shared" si="288"/>
        <v>184.69</v>
      </c>
      <c r="AP219" s="4450"/>
      <c r="AQ219" s="4439">
        <v>0</v>
      </c>
      <c r="AR219" s="4439"/>
      <c r="AS219" s="4446">
        <f t="shared" ref="AS219" si="311">+AO219+AQ219</f>
        <v>184.69</v>
      </c>
      <c r="AT219" s="4450"/>
      <c r="AU219" s="4439">
        <v>76.38000000000001</v>
      </c>
      <c r="AV219" s="4439"/>
      <c r="AW219" s="4446">
        <f t="shared" ref="AW219:AW221" si="312">+AS219+AU219</f>
        <v>261.07</v>
      </c>
      <c r="AX219" s="4450"/>
      <c r="AY219" s="4439"/>
      <c r="AZ219" s="4435"/>
      <c r="BA219" s="4437">
        <f t="shared" si="291"/>
        <v>76.38000000000001</v>
      </c>
      <c r="BB219" s="4439"/>
      <c r="BC219" s="4445">
        <f t="shared" si="292"/>
        <v>76.38000000000001</v>
      </c>
      <c r="BD219" s="4439"/>
      <c r="BE219" s="4447">
        <f t="shared" si="293"/>
        <v>261.07</v>
      </c>
      <c r="BF219" s="1202"/>
      <c r="BH219" s="26"/>
      <c r="BI219" s="26"/>
    </row>
    <row r="220" spans="1:61" ht="18.75" customHeight="1" x14ac:dyDescent="0.3">
      <c r="B220" s="4442" t="s">
        <v>838</v>
      </c>
      <c r="C220" s="4443" t="s">
        <v>354</v>
      </c>
      <c r="D220" s="5462"/>
      <c r="E220" s="5458"/>
      <c r="F220" s="5458"/>
      <c r="G220" s="5458"/>
      <c r="H220" s="5458"/>
      <c r="I220" s="5425"/>
      <c r="J220" s="5458"/>
      <c r="K220" s="5458"/>
      <c r="L220" s="5458"/>
      <c r="M220" s="5508"/>
      <c r="N220" s="5458"/>
      <c r="O220" s="5458"/>
      <c r="P220" s="5458"/>
      <c r="Q220" s="5509"/>
      <c r="R220" s="5510"/>
      <c r="S220" s="5458"/>
      <c r="T220" s="5458"/>
      <c r="U220" s="5509"/>
      <c r="V220" s="5510"/>
      <c r="W220" s="5458"/>
      <c r="X220" s="5458"/>
      <c r="Y220" s="5508"/>
      <c r="Z220" s="5458"/>
      <c r="AA220" s="4445"/>
      <c r="AB220" s="5510"/>
      <c r="AC220" s="5458"/>
      <c r="AD220" s="5458"/>
      <c r="AE220" s="4446"/>
      <c r="AF220" s="5510"/>
      <c r="AG220" s="5458"/>
      <c r="AH220" s="5458"/>
      <c r="AI220" s="4446"/>
      <c r="AJ220" s="5510"/>
      <c r="AK220" s="5458"/>
      <c r="AL220" s="5511"/>
      <c r="AM220" s="5508"/>
      <c r="AN220" s="5458"/>
      <c r="AO220" s="4446"/>
      <c r="AP220" s="5510"/>
      <c r="AQ220" s="5458"/>
      <c r="AR220" s="5458"/>
      <c r="AS220" s="4446"/>
      <c r="AT220" s="5510"/>
      <c r="AU220" s="5458"/>
      <c r="AV220" s="5458"/>
      <c r="AW220" s="4446"/>
      <c r="AX220" s="5510"/>
      <c r="AY220" s="5458">
        <v>136.72</v>
      </c>
      <c r="AZ220" s="5511"/>
      <c r="BA220" s="4437">
        <f t="shared" si="291"/>
        <v>136.72</v>
      </c>
      <c r="BB220" s="5458"/>
      <c r="BC220" s="4445">
        <f t="shared" si="292"/>
        <v>136.72</v>
      </c>
      <c r="BD220" s="5458"/>
      <c r="BE220" s="4447">
        <f t="shared" si="293"/>
        <v>136.72</v>
      </c>
      <c r="BF220" s="1202"/>
      <c r="BH220" s="26"/>
      <c r="BI220" s="26"/>
    </row>
    <row r="221" spans="1:61" ht="18.75" customHeight="1" x14ac:dyDescent="0.3">
      <c r="B221" s="4442" t="s">
        <v>1636</v>
      </c>
      <c r="C221" s="4443" t="s">
        <v>354</v>
      </c>
      <c r="D221" s="5346"/>
      <c r="E221" s="5308"/>
      <c r="F221" s="5308"/>
      <c r="G221" s="5308"/>
      <c r="H221" s="5308"/>
      <c r="I221" s="5425"/>
      <c r="J221" s="5308"/>
      <c r="K221" s="5308"/>
      <c r="L221" s="5308"/>
      <c r="M221" s="5409"/>
      <c r="N221" s="5308"/>
      <c r="O221" s="5308"/>
      <c r="P221" s="5308"/>
      <c r="Q221" s="5352"/>
      <c r="R221" s="5426"/>
      <c r="S221" s="5308"/>
      <c r="T221" s="5308"/>
      <c r="U221" s="5352"/>
      <c r="V221" s="5426"/>
      <c r="W221" s="5308"/>
      <c r="X221" s="5308"/>
      <c r="Y221" s="5409"/>
      <c r="Z221" s="5308"/>
      <c r="AA221" s="4445"/>
      <c r="AB221" s="5426"/>
      <c r="AC221" s="5308"/>
      <c r="AD221" s="5308"/>
      <c r="AE221" s="4446"/>
      <c r="AF221" s="5426"/>
      <c r="AG221" s="5308"/>
      <c r="AH221" s="5308"/>
      <c r="AI221" s="4446"/>
      <c r="AJ221" s="5426"/>
      <c r="AK221" s="5308"/>
      <c r="AL221" s="5427"/>
      <c r="AM221" s="5409"/>
      <c r="AN221" s="5308"/>
      <c r="AO221" s="4446"/>
      <c r="AP221" s="5426"/>
      <c r="AQ221" s="5308"/>
      <c r="AR221" s="5308"/>
      <c r="AS221" s="4446"/>
      <c r="AT221" s="5426"/>
      <c r="AU221" s="5308">
        <v>3481.15</v>
      </c>
      <c r="AV221" s="5308"/>
      <c r="AW221" s="4446">
        <f t="shared" si="312"/>
        <v>3481.15</v>
      </c>
      <c r="AX221" s="5426"/>
      <c r="AY221" s="5308"/>
      <c r="AZ221" s="5427"/>
      <c r="BA221" s="5409">
        <f t="shared" si="291"/>
        <v>3481.15</v>
      </c>
      <c r="BB221" s="5308"/>
      <c r="BC221" s="4445">
        <f t="shared" si="292"/>
        <v>3481.15</v>
      </c>
      <c r="BD221" s="5308"/>
      <c r="BE221" s="4447">
        <f t="shared" si="293"/>
        <v>3481.15</v>
      </c>
      <c r="BF221" s="1202"/>
      <c r="BH221" s="26"/>
      <c r="BI221" s="26"/>
    </row>
    <row r="222" spans="1:61" ht="18.75" hidden="1" customHeight="1" x14ac:dyDescent="0.3">
      <c r="B222" s="4432" t="s">
        <v>1194</v>
      </c>
      <c r="C222" s="4433" t="s">
        <v>354</v>
      </c>
      <c r="D222" s="4434"/>
      <c r="E222" s="4435">
        <v>0</v>
      </c>
      <c r="F222" s="4435"/>
      <c r="G222" s="4435">
        <v>0</v>
      </c>
      <c r="H222" s="4436"/>
      <c r="I222" s="3221">
        <f t="shared" si="294"/>
        <v>0</v>
      </c>
      <c r="J222" s="4435"/>
      <c r="K222" s="4435">
        <v>0</v>
      </c>
      <c r="L222" s="4435"/>
      <c r="M222" s="4437">
        <f t="shared" si="295"/>
        <v>0</v>
      </c>
      <c r="N222" s="4435"/>
      <c r="O222" s="4435">
        <v>0</v>
      </c>
      <c r="P222" s="4435"/>
      <c r="Q222" s="1630">
        <f t="shared" si="296"/>
        <v>0</v>
      </c>
      <c r="R222" s="4438"/>
      <c r="S222" s="4435">
        <v>0</v>
      </c>
      <c r="T222" s="4435"/>
      <c r="U222" s="1630">
        <f t="shared" si="297"/>
        <v>0</v>
      </c>
      <c r="V222" s="4438"/>
      <c r="W222" s="4435">
        <v>0</v>
      </c>
      <c r="X222" s="4435"/>
      <c r="Y222" s="4437">
        <f t="shared" si="283"/>
        <v>0</v>
      </c>
      <c r="Z222" s="4439"/>
      <c r="AA222" s="4440">
        <f t="shared" si="284"/>
        <v>0</v>
      </c>
      <c r="AB222" s="4438"/>
      <c r="AC222" s="4435">
        <v>0</v>
      </c>
      <c r="AD222" s="4435"/>
      <c r="AE222" s="4441">
        <f t="shared" si="285"/>
        <v>0</v>
      </c>
      <c r="AF222" s="4438"/>
      <c r="AG222" s="4435">
        <v>0</v>
      </c>
      <c r="AH222" s="4435"/>
      <c r="AI222" s="4441">
        <f t="shared" si="287"/>
        <v>0</v>
      </c>
      <c r="AJ222" s="4438"/>
      <c r="AK222" s="4435">
        <v>0</v>
      </c>
      <c r="AL222" s="4439"/>
      <c r="AM222" s="4437">
        <f t="shared" si="298"/>
        <v>0</v>
      </c>
      <c r="AN222" s="4439"/>
      <c r="AO222" s="4446">
        <f t="shared" si="288"/>
        <v>0</v>
      </c>
      <c r="AP222" s="4438"/>
      <c r="AQ222" s="4435">
        <v>0</v>
      </c>
      <c r="AR222" s="4435"/>
      <c r="AS222" s="4441">
        <v>0</v>
      </c>
      <c r="AT222" s="4438"/>
      <c r="AU222" s="4435">
        <v>0</v>
      </c>
      <c r="AV222" s="4435"/>
      <c r="AW222" s="4441">
        <v>0</v>
      </c>
      <c r="AX222" s="4438"/>
      <c r="AY222" s="4435">
        <v>0</v>
      </c>
      <c r="AZ222" s="4439"/>
      <c r="BA222" s="4437">
        <f t="shared" si="291"/>
        <v>0</v>
      </c>
      <c r="BB222" s="4439"/>
      <c r="BC222" s="4440">
        <f t="shared" si="292"/>
        <v>0</v>
      </c>
      <c r="BD222" s="4435"/>
      <c r="BE222" s="4441">
        <f t="shared" si="293"/>
        <v>0</v>
      </c>
      <c r="BF222" s="1202"/>
      <c r="BH222" s="26"/>
      <c r="BI222" s="26"/>
    </row>
    <row r="223" spans="1:61" ht="15.75" hidden="1" customHeight="1" x14ac:dyDescent="0.3">
      <c r="B223" s="4442" t="s">
        <v>838</v>
      </c>
      <c r="C223" s="4443" t="s">
        <v>354</v>
      </c>
      <c r="D223" s="4449"/>
      <c r="E223" s="4439"/>
      <c r="F223" s="4439"/>
      <c r="G223" s="4439"/>
      <c r="H223" s="4439"/>
      <c r="I223" s="3221">
        <f t="shared" si="294"/>
        <v>0</v>
      </c>
      <c r="J223" s="4439"/>
      <c r="K223" s="4439"/>
      <c r="L223" s="4439"/>
      <c r="M223" s="4437">
        <f t="shared" si="295"/>
        <v>0</v>
      </c>
      <c r="N223" s="4439"/>
      <c r="O223" s="4439"/>
      <c r="P223" s="4439"/>
      <c r="Q223" s="1630">
        <f t="shared" si="296"/>
        <v>0</v>
      </c>
      <c r="R223" s="4438"/>
      <c r="S223" s="4439"/>
      <c r="T223" s="4439"/>
      <c r="U223" s="1630">
        <f t="shared" si="297"/>
        <v>0</v>
      </c>
      <c r="V223" s="4438"/>
      <c r="W223" s="4439"/>
      <c r="X223" s="4439"/>
      <c r="Y223" s="4437">
        <f t="shared" si="283"/>
        <v>0</v>
      </c>
      <c r="Z223" s="4439"/>
      <c r="AA223" s="4445">
        <f t="shared" si="284"/>
        <v>0</v>
      </c>
      <c r="AB223" s="4438"/>
      <c r="AC223" s="4439"/>
      <c r="AD223" s="4439"/>
      <c r="AE223" s="4446">
        <f t="shared" si="285"/>
        <v>0</v>
      </c>
      <c r="AF223" s="4438"/>
      <c r="AG223" s="4439"/>
      <c r="AH223" s="4439"/>
      <c r="AI223" s="4446">
        <f t="shared" si="287"/>
        <v>0</v>
      </c>
      <c r="AJ223" s="4438"/>
      <c r="AK223" s="4439"/>
      <c r="AL223" s="4439"/>
      <c r="AM223" s="4437">
        <f t="shared" si="298"/>
        <v>0</v>
      </c>
      <c r="AN223" s="4439"/>
      <c r="AO223" s="4446">
        <f t="shared" si="288"/>
        <v>0</v>
      </c>
      <c r="AP223" s="4438"/>
      <c r="AQ223" s="4439"/>
      <c r="AR223" s="4439"/>
      <c r="AS223" s="4446">
        <v>0</v>
      </c>
      <c r="AT223" s="4438"/>
      <c r="AU223" s="4439"/>
      <c r="AV223" s="4439"/>
      <c r="AW223" s="4446">
        <v>0</v>
      </c>
      <c r="AX223" s="4438"/>
      <c r="AY223" s="4439"/>
      <c r="AZ223" s="4439"/>
      <c r="BA223" s="4437">
        <f t="shared" si="291"/>
        <v>0</v>
      </c>
      <c r="BB223" s="4439"/>
      <c r="BC223" s="4445">
        <f t="shared" si="292"/>
        <v>0</v>
      </c>
      <c r="BD223" s="4439"/>
      <c r="BE223" s="4447">
        <f t="shared" si="293"/>
        <v>0</v>
      </c>
      <c r="BF223" s="1202"/>
      <c r="BH223" s="26"/>
      <c r="BI223" s="26"/>
    </row>
    <row r="224" spans="1:61" ht="15.75" hidden="1" customHeight="1" x14ac:dyDescent="0.3">
      <c r="B224" s="4442" t="s">
        <v>946</v>
      </c>
      <c r="C224" s="4443" t="s">
        <v>354</v>
      </c>
      <c r="D224" s="4443"/>
      <c r="E224" s="4439"/>
      <c r="F224" s="4439"/>
      <c r="G224" s="4439"/>
      <c r="H224" s="4439"/>
      <c r="I224" s="3221">
        <f t="shared" si="294"/>
        <v>0</v>
      </c>
      <c r="J224" s="4439"/>
      <c r="K224" s="4439"/>
      <c r="L224" s="4439"/>
      <c r="M224" s="4437">
        <f t="shared" si="295"/>
        <v>0</v>
      </c>
      <c r="N224" s="4439"/>
      <c r="O224" s="4439"/>
      <c r="P224" s="4439"/>
      <c r="Q224" s="1630">
        <f t="shared" si="296"/>
        <v>0</v>
      </c>
      <c r="R224" s="4438"/>
      <c r="S224" s="4439"/>
      <c r="T224" s="4439"/>
      <c r="U224" s="1630">
        <f t="shared" si="297"/>
        <v>0</v>
      </c>
      <c r="V224" s="4438"/>
      <c r="W224" s="4439"/>
      <c r="X224" s="4439"/>
      <c r="Y224" s="4437">
        <f t="shared" si="283"/>
        <v>0</v>
      </c>
      <c r="Z224" s="4439"/>
      <c r="AA224" s="4445">
        <f t="shared" si="284"/>
        <v>0</v>
      </c>
      <c r="AB224" s="4438"/>
      <c r="AC224" s="4439"/>
      <c r="AD224" s="4439"/>
      <c r="AE224" s="4446">
        <f t="shared" si="285"/>
        <v>0</v>
      </c>
      <c r="AF224" s="4438"/>
      <c r="AG224" s="4439"/>
      <c r="AH224" s="4439"/>
      <c r="AI224" s="4446">
        <f t="shared" si="287"/>
        <v>0</v>
      </c>
      <c r="AJ224" s="4438"/>
      <c r="AK224" s="4439"/>
      <c r="AL224" s="4439"/>
      <c r="AM224" s="4437">
        <f t="shared" si="298"/>
        <v>0</v>
      </c>
      <c r="AN224" s="4439"/>
      <c r="AO224" s="4446">
        <f t="shared" si="288"/>
        <v>0</v>
      </c>
      <c r="AP224" s="4438"/>
      <c r="AQ224" s="4439"/>
      <c r="AR224" s="4439"/>
      <c r="AS224" s="4446">
        <v>0</v>
      </c>
      <c r="AT224" s="4438"/>
      <c r="AU224" s="4439"/>
      <c r="AV224" s="4439"/>
      <c r="AW224" s="4446">
        <v>0</v>
      </c>
      <c r="AX224" s="4438"/>
      <c r="AY224" s="4439"/>
      <c r="AZ224" s="4439"/>
      <c r="BA224" s="4437">
        <f t="shared" si="291"/>
        <v>0</v>
      </c>
      <c r="BB224" s="4439"/>
      <c r="BC224" s="4445">
        <f t="shared" si="292"/>
        <v>0</v>
      </c>
      <c r="BD224" s="4439"/>
      <c r="BE224" s="4447">
        <f t="shared" si="293"/>
        <v>0</v>
      </c>
      <c r="BF224" s="1202"/>
      <c r="BH224" s="26"/>
      <c r="BI224" s="26"/>
    </row>
    <row r="225" spans="2:61" ht="18.75" hidden="1" customHeight="1" x14ac:dyDescent="0.3">
      <c r="B225" s="4432" t="s">
        <v>1898</v>
      </c>
      <c r="C225" s="4433"/>
      <c r="D225" s="4434"/>
      <c r="E225" s="4435">
        <v>0</v>
      </c>
      <c r="F225" s="4435">
        <v>0</v>
      </c>
      <c r="G225" s="4435">
        <v>0</v>
      </c>
      <c r="H225" s="4436">
        <v>0</v>
      </c>
      <c r="I225" s="3221">
        <f t="shared" si="294"/>
        <v>0</v>
      </c>
      <c r="J225" s="4435">
        <v>0</v>
      </c>
      <c r="K225" s="4435">
        <v>0</v>
      </c>
      <c r="L225" s="4435"/>
      <c r="M225" s="4437">
        <f t="shared" si="295"/>
        <v>0</v>
      </c>
      <c r="N225" s="4435"/>
      <c r="O225" s="4435">
        <v>0</v>
      </c>
      <c r="P225" s="4435">
        <v>0</v>
      </c>
      <c r="Q225" s="1630">
        <f t="shared" si="296"/>
        <v>0</v>
      </c>
      <c r="R225" s="4438">
        <v>0</v>
      </c>
      <c r="S225" s="4435">
        <v>0</v>
      </c>
      <c r="T225" s="4435">
        <v>0</v>
      </c>
      <c r="U225" s="1630">
        <f t="shared" si="297"/>
        <v>0</v>
      </c>
      <c r="V225" s="4438">
        <v>0</v>
      </c>
      <c r="W225" s="4435">
        <v>0</v>
      </c>
      <c r="X225" s="4435"/>
      <c r="Y225" s="4437">
        <f t="shared" si="283"/>
        <v>0</v>
      </c>
      <c r="Z225" s="4439"/>
      <c r="AA225" s="4440">
        <f t="shared" si="284"/>
        <v>0</v>
      </c>
      <c r="AB225" s="4438"/>
      <c r="AC225" s="4435">
        <v>0</v>
      </c>
      <c r="AD225" s="4435">
        <v>0</v>
      </c>
      <c r="AE225" s="4441">
        <f t="shared" si="285"/>
        <v>0</v>
      </c>
      <c r="AF225" s="4438">
        <v>0</v>
      </c>
      <c r="AG225" s="4435">
        <v>0</v>
      </c>
      <c r="AH225" s="4435">
        <v>0</v>
      </c>
      <c r="AI225" s="4441">
        <f t="shared" si="287"/>
        <v>0</v>
      </c>
      <c r="AJ225" s="4438">
        <v>0</v>
      </c>
      <c r="AK225" s="4435">
        <v>0</v>
      </c>
      <c r="AL225" s="4439"/>
      <c r="AM225" s="4437">
        <f t="shared" si="298"/>
        <v>0</v>
      </c>
      <c r="AN225" s="4439"/>
      <c r="AO225" s="4446">
        <f t="shared" si="288"/>
        <v>0</v>
      </c>
      <c r="AP225" s="4438">
        <v>0</v>
      </c>
      <c r="AQ225" s="4435">
        <v>0</v>
      </c>
      <c r="AR225" s="4435"/>
      <c r="AS225" s="4441">
        <f t="shared" ref="AS225" si="313">+AO225+AQ225</f>
        <v>0</v>
      </c>
      <c r="AT225" s="4438"/>
      <c r="AU225" s="4435">
        <v>0</v>
      </c>
      <c r="AV225" s="4435"/>
      <c r="AW225" s="4441">
        <f t="shared" ref="AW225:AW228" si="314">+AS225+AU225</f>
        <v>0</v>
      </c>
      <c r="AX225" s="4438"/>
      <c r="AY225" s="4435"/>
      <c r="AZ225" s="4439"/>
      <c r="BA225" s="4437">
        <f t="shared" si="291"/>
        <v>0</v>
      </c>
      <c r="BB225" s="4439"/>
      <c r="BC225" s="4440">
        <f t="shared" si="292"/>
        <v>0</v>
      </c>
      <c r="BD225" s="4435"/>
      <c r="BE225" s="4441">
        <f t="shared" si="293"/>
        <v>0</v>
      </c>
      <c r="BF225" s="1202"/>
      <c r="BH225" s="26"/>
      <c r="BI225" s="26"/>
    </row>
    <row r="226" spans="2:61" ht="15.75" hidden="1" customHeight="1" x14ac:dyDescent="0.3">
      <c r="B226" s="4442" t="s">
        <v>946</v>
      </c>
      <c r="C226" s="4443" t="s">
        <v>354</v>
      </c>
      <c r="D226" s="4451"/>
      <c r="E226" s="4439"/>
      <c r="F226" s="4439"/>
      <c r="G226" s="4439"/>
      <c r="H226" s="4439"/>
      <c r="I226" s="3221">
        <f t="shared" si="294"/>
        <v>0</v>
      </c>
      <c r="J226" s="4439"/>
      <c r="K226" s="4439"/>
      <c r="L226" s="4439"/>
      <c r="M226" s="4437">
        <f t="shared" si="295"/>
        <v>0</v>
      </c>
      <c r="N226" s="4439"/>
      <c r="O226" s="4439"/>
      <c r="P226" s="4439"/>
      <c r="Q226" s="1630">
        <f t="shared" si="296"/>
        <v>0</v>
      </c>
      <c r="R226" s="4452"/>
      <c r="S226" s="4439"/>
      <c r="T226" s="4439"/>
      <c r="U226" s="1630">
        <f t="shared" si="297"/>
        <v>0</v>
      </c>
      <c r="V226" s="4452"/>
      <c r="W226" s="4439"/>
      <c r="X226" s="4439"/>
      <c r="Y226" s="4437">
        <f t="shared" si="283"/>
        <v>0</v>
      </c>
      <c r="Z226" s="4439"/>
      <c r="AA226" s="4445">
        <f t="shared" si="284"/>
        <v>0</v>
      </c>
      <c r="AB226" s="4452"/>
      <c r="AC226" s="4439"/>
      <c r="AD226" s="4439"/>
      <c r="AE226" s="4446">
        <f t="shared" si="285"/>
        <v>0</v>
      </c>
      <c r="AF226" s="4452"/>
      <c r="AG226" s="4439"/>
      <c r="AH226" s="4439"/>
      <c r="AI226" s="4446">
        <f t="shared" si="287"/>
        <v>0</v>
      </c>
      <c r="AJ226" s="4452"/>
      <c r="AK226" s="4439"/>
      <c r="AL226" s="4453"/>
      <c r="AM226" s="4437">
        <f t="shared" si="298"/>
        <v>0</v>
      </c>
      <c r="AN226" s="4439"/>
      <c r="AO226" s="4446">
        <f t="shared" si="288"/>
        <v>0</v>
      </c>
      <c r="AP226" s="4452"/>
      <c r="AQ226" s="4439"/>
      <c r="AR226" s="4439"/>
      <c r="AS226" s="4446">
        <f t="shared" ref="AS226:AS227" si="315">+AO226+AQ226</f>
        <v>0</v>
      </c>
      <c r="AT226" s="4452"/>
      <c r="AU226" s="4439"/>
      <c r="AV226" s="4439"/>
      <c r="AW226" s="4446">
        <f t="shared" si="314"/>
        <v>0</v>
      </c>
      <c r="AX226" s="4452"/>
      <c r="AY226" s="4439"/>
      <c r="AZ226" s="4453"/>
      <c r="BA226" s="4437">
        <f t="shared" si="291"/>
        <v>0</v>
      </c>
      <c r="BB226" s="4439"/>
      <c r="BC226" s="4445">
        <f t="shared" si="292"/>
        <v>0</v>
      </c>
      <c r="BD226" s="4439"/>
      <c r="BE226" s="4447">
        <f t="shared" si="293"/>
        <v>0</v>
      </c>
      <c r="BF226" s="1202"/>
      <c r="BH226" s="26"/>
      <c r="BI226" s="26"/>
    </row>
    <row r="227" spans="2:61" ht="18.75" hidden="1" customHeight="1" x14ac:dyDescent="0.3">
      <c r="B227" s="4432" t="s">
        <v>1633</v>
      </c>
      <c r="C227" s="4433"/>
      <c r="D227" s="4434"/>
      <c r="E227" s="4435">
        <v>0</v>
      </c>
      <c r="F227" s="4435">
        <v>0</v>
      </c>
      <c r="G227" s="4435">
        <v>0</v>
      </c>
      <c r="H227" s="4436">
        <v>0</v>
      </c>
      <c r="I227" s="3221">
        <f t="shared" si="294"/>
        <v>0</v>
      </c>
      <c r="J227" s="4435">
        <v>0</v>
      </c>
      <c r="K227" s="4435">
        <v>0</v>
      </c>
      <c r="L227" s="4435"/>
      <c r="M227" s="4437">
        <f t="shared" si="295"/>
        <v>0</v>
      </c>
      <c r="N227" s="4435"/>
      <c r="O227" s="4435">
        <v>0</v>
      </c>
      <c r="P227" s="4435">
        <v>0</v>
      </c>
      <c r="Q227" s="1630">
        <f t="shared" si="296"/>
        <v>0</v>
      </c>
      <c r="R227" s="4438">
        <v>0</v>
      </c>
      <c r="S227" s="4435">
        <v>0</v>
      </c>
      <c r="T227" s="4435">
        <v>0</v>
      </c>
      <c r="U227" s="1630">
        <f t="shared" si="297"/>
        <v>0</v>
      </c>
      <c r="V227" s="4438">
        <v>0</v>
      </c>
      <c r="W227" s="4435">
        <v>0</v>
      </c>
      <c r="X227" s="4435"/>
      <c r="Y227" s="4437">
        <f t="shared" si="283"/>
        <v>0</v>
      </c>
      <c r="Z227" s="4439"/>
      <c r="AA227" s="4440">
        <f t="shared" si="284"/>
        <v>0</v>
      </c>
      <c r="AB227" s="4438"/>
      <c r="AC227" s="4435">
        <v>0</v>
      </c>
      <c r="AD227" s="4435">
        <v>0</v>
      </c>
      <c r="AE227" s="4441">
        <f t="shared" si="285"/>
        <v>0</v>
      </c>
      <c r="AF227" s="4438">
        <v>0</v>
      </c>
      <c r="AG227" s="4435">
        <v>0</v>
      </c>
      <c r="AH227" s="4435">
        <v>0</v>
      </c>
      <c r="AI227" s="4441">
        <f t="shared" si="287"/>
        <v>0</v>
      </c>
      <c r="AJ227" s="4438">
        <v>0</v>
      </c>
      <c r="AK227" s="4435">
        <v>0</v>
      </c>
      <c r="AL227" s="4439"/>
      <c r="AM227" s="4437">
        <f t="shared" si="298"/>
        <v>0</v>
      </c>
      <c r="AN227" s="4439"/>
      <c r="AO227" s="4446">
        <f t="shared" si="288"/>
        <v>0</v>
      </c>
      <c r="AP227" s="4438">
        <v>0</v>
      </c>
      <c r="AQ227" s="4435">
        <v>0</v>
      </c>
      <c r="AR227" s="4435"/>
      <c r="AS227" s="4441">
        <f t="shared" si="315"/>
        <v>0</v>
      </c>
      <c r="AT227" s="4438"/>
      <c r="AU227" s="4435">
        <v>0</v>
      </c>
      <c r="AV227" s="4435"/>
      <c r="AW227" s="4441">
        <f t="shared" si="314"/>
        <v>0</v>
      </c>
      <c r="AX227" s="4438"/>
      <c r="AY227" s="4435"/>
      <c r="AZ227" s="4439"/>
      <c r="BA227" s="4437">
        <f t="shared" si="291"/>
        <v>0</v>
      </c>
      <c r="BB227" s="4439"/>
      <c r="BC227" s="4440">
        <f t="shared" si="292"/>
        <v>0</v>
      </c>
      <c r="BD227" s="4435"/>
      <c r="BE227" s="4441">
        <f t="shared" si="293"/>
        <v>0</v>
      </c>
      <c r="BF227" s="1202"/>
      <c r="BH227" s="26"/>
      <c r="BI227" s="26"/>
    </row>
    <row r="228" spans="2:61" ht="15.75" hidden="1" customHeight="1" x14ac:dyDescent="0.3">
      <c r="B228" s="4442" t="s">
        <v>1897</v>
      </c>
      <c r="C228" s="4443" t="s">
        <v>354</v>
      </c>
      <c r="D228" s="4443"/>
      <c r="E228" s="4439"/>
      <c r="F228" s="4439"/>
      <c r="G228" s="4439"/>
      <c r="H228" s="4439"/>
      <c r="I228" s="3221">
        <f t="shared" si="294"/>
        <v>0</v>
      </c>
      <c r="J228" s="4439"/>
      <c r="K228" s="4439"/>
      <c r="L228" s="4439"/>
      <c r="M228" s="4437">
        <f t="shared" si="295"/>
        <v>0</v>
      </c>
      <c r="N228" s="4439"/>
      <c r="O228" s="4439"/>
      <c r="P228" s="4439"/>
      <c r="Q228" s="1630">
        <f t="shared" si="296"/>
        <v>0</v>
      </c>
      <c r="R228" s="4438"/>
      <c r="S228" s="4439"/>
      <c r="T228" s="4439"/>
      <c r="U228" s="1630">
        <f t="shared" si="297"/>
        <v>0</v>
      </c>
      <c r="V228" s="4438"/>
      <c r="W228" s="4439"/>
      <c r="X228" s="4439"/>
      <c r="Y228" s="4437">
        <f t="shared" si="283"/>
        <v>0</v>
      </c>
      <c r="Z228" s="4439"/>
      <c r="AA228" s="4445">
        <f t="shared" si="284"/>
        <v>0</v>
      </c>
      <c r="AB228" s="4438"/>
      <c r="AC228" s="4439"/>
      <c r="AD228" s="4439"/>
      <c r="AE228" s="4446">
        <f t="shared" si="285"/>
        <v>0</v>
      </c>
      <c r="AF228" s="4438"/>
      <c r="AG228" s="4439"/>
      <c r="AH228" s="4439"/>
      <c r="AI228" s="4446">
        <f t="shared" si="287"/>
        <v>0</v>
      </c>
      <c r="AJ228" s="4438"/>
      <c r="AK228" s="4439"/>
      <c r="AL228" s="4439"/>
      <c r="AM228" s="4437">
        <f t="shared" si="298"/>
        <v>0</v>
      </c>
      <c r="AN228" s="4439"/>
      <c r="AO228" s="4446">
        <f t="shared" si="288"/>
        <v>0</v>
      </c>
      <c r="AP228" s="4438"/>
      <c r="AQ228" s="4439"/>
      <c r="AR228" s="4439"/>
      <c r="AS228" s="4446">
        <f t="shared" ref="AS228" si="316">+AO228+AQ228</f>
        <v>0</v>
      </c>
      <c r="AT228" s="4438"/>
      <c r="AU228" s="4439"/>
      <c r="AV228" s="4439"/>
      <c r="AW228" s="4446">
        <f t="shared" si="314"/>
        <v>0</v>
      </c>
      <c r="AX228" s="4438"/>
      <c r="AY228" s="4439"/>
      <c r="AZ228" s="4439"/>
      <c r="BA228" s="4437">
        <f t="shared" si="291"/>
        <v>0</v>
      </c>
      <c r="BB228" s="4439"/>
      <c r="BC228" s="4445">
        <f t="shared" si="292"/>
        <v>0</v>
      </c>
      <c r="BD228" s="4439"/>
      <c r="BE228" s="4447">
        <f t="shared" si="293"/>
        <v>0</v>
      </c>
      <c r="BF228" s="1202"/>
      <c r="BH228" s="26"/>
      <c r="BI228" s="26"/>
    </row>
    <row r="229" spans="2:61" ht="18.75" customHeight="1" x14ac:dyDescent="0.3">
      <c r="B229" s="4432" t="s">
        <v>1285</v>
      </c>
      <c r="C229" s="4433"/>
      <c r="D229" s="4434"/>
      <c r="E229" s="4435">
        <f>E230</f>
        <v>0</v>
      </c>
      <c r="F229" s="4435">
        <v>0</v>
      </c>
      <c r="G229" s="4435">
        <f t="shared" ref="G229:AZ229" si="317">G230</f>
        <v>0</v>
      </c>
      <c r="H229" s="4436">
        <f t="shared" si="317"/>
        <v>0</v>
      </c>
      <c r="I229" s="3221">
        <f t="shared" si="317"/>
        <v>0</v>
      </c>
      <c r="J229" s="4435">
        <f t="shared" si="317"/>
        <v>0</v>
      </c>
      <c r="K229" s="4435">
        <f t="shared" si="317"/>
        <v>0</v>
      </c>
      <c r="L229" s="4435">
        <f t="shared" si="317"/>
        <v>0</v>
      </c>
      <c r="M229" s="4437">
        <f t="shared" si="317"/>
        <v>0</v>
      </c>
      <c r="N229" s="4435">
        <f t="shared" si="317"/>
        <v>0</v>
      </c>
      <c r="O229" s="4435">
        <f t="shared" si="317"/>
        <v>3850.4</v>
      </c>
      <c r="P229" s="4435">
        <f t="shared" si="317"/>
        <v>0</v>
      </c>
      <c r="Q229" s="1630">
        <f t="shared" si="317"/>
        <v>3850.4</v>
      </c>
      <c r="R229" s="4438">
        <f t="shared" si="317"/>
        <v>0</v>
      </c>
      <c r="S229" s="4435">
        <f t="shared" si="317"/>
        <v>3852.88</v>
      </c>
      <c r="T229" s="4435">
        <f t="shared" si="317"/>
        <v>0</v>
      </c>
      <c r="U229" s="1630">
        <f t="shared" si="297"/>
        <v>7703.2800000000007</v>
      </c>
      <c r="V229" s="4438">
        <f t="shared" si="317"/>
        <v>0</v>
      </c>
      <c r="W229" s="4435">
        <f t="shared" si="317"/>
        <v>0</v>
      </c>
      <c r="X229" s="4435">
        <f t="shared" si="317"/>
        <v>0</v>
      </c>
      <c r="Y229" s="4437">
        <f t="shared" si="283"/>
        <v>7703.2800000000007</v>
      </c>
      <c r="Z229" s="4439"/>
      <c r="AA229" s="4440">
        <f t="shared" si="284"/>
        <v>7703.2800000000007</v>
      </c>
      <c r="AB229" s="4438">
        <f t="shared" si="317"/>
        <v>0</v>
      </c>
      <c r="AC229" s="4435">
        <f t="shared" si="317"/>
        <v>0</v>
      </c>
      <c r="AD229" s="4435">
        <f t="shared" si="317"/>
        <v>0</v>
      </c>
      <c r="AE229" s="4441">
        <f t="shared" si="285"/>
        <v>7703.2800000000007</v>
      </c>
      <c r="AF229" s="4438">
        <f t="shared" si="317"/>
        <v>0</v>
      </c>
      <c r="AG229" s="4435">
        <f t="shared" si="317"/>
        <v>3817.47</v>
      </c>
      <c r="AH229" s="4435">
        <f t="shared" si="317"/>
        <v>0</v>
      </c>
      <c r="AI229" s="4441">
        <f t="shared" si="287"/>
        <v>11520.75</v>
      </c>
      <c r="AJ229" s="4438">
        <f t="shared" si="317"/>
        <v>0</v>
      </c>
      <c r="AK229" s="4435">
        <f t="shared" si="317"/>
        <v>0</v>
      </c>
      <c r="AL229" s="4439">
        <f t="shared" si="317"/>
        <v>0</v>
      </c>
      <c r="AM229" s="4437">
        <f t="shared" si="298"/>
        <v>3817.47</v>
      </c>
      <c r="AN229" s="4435">
        <f t="shared" si="317"/>
        <v>0</v>
      </c>
      <c r="AO229" s="4441">
        <f t="shared" si="288"/>
        <v>11520.75</v>
      </c>
      <c r="AP229" s="4438">
        <f t="shared" si="317"/>
        <v>0</v>
      </c>
      <c r="AQ229" s="4435">
        <f t="shared" si="317"/>
        <v>0</v>
      </c>
      <c r="AR229" s="4435">
        <f t="shared" si="317"/>
        <v>0</v>
      </c>
      <c r="AS229" s="4441">
        <f t="shared" si="317"/>
        <v>11520.75</v>
      </c>
      <c r="AT229" s="4438">
        <f t="shared" si="317"/>
        <v>0</v>
      </c>
      <c r="AU229" s="4435">
        <f t="shared" si="317"/>
        <v>0</v>
      </c>
      <c r="AV229" s="4435">
        <f t="shared" si="317"/>
        <v>0</v>
      </c>
      <c r="AW229" s="4441">
        <f t="shared" si="317"/>
        <v>11520.75</v>
      </c>
      <c r="AX229" s="4438">
        <f t="shared" si="317"/>
        <v>0</v>
      </c>
      <c r="AY229" s="4435">
        <f t="shared" si="317"/>
        <v>0</v>
      </c>
      <c r="AZ229" s="4439">
        <f t="shared" si="317"/>
        <v>0</v>
      </c>
      <c r="BA229" s="4437">
        <f t="shared" si="291"/>
        <v>0</v>
      </c>
      <c r="BB229" s="4439"/>
      <c r="BC229" s="4440">
        <f t="shared" si="292"/>
        <v>3817.47</v>
      </c>
      <c r="BD229" s="4435"/>
      <c r="BE229" s="4441">
        <f t="shared" si="293"/>
        <v>11520.75</v>
      </c>
      <c r="BF229" s="1202"/>
      <c r="BH229" s="26"/>
      <c r="BI229" s="26"/>
    </row>
    <row r="230" spans="2:61" ht="18.75" customHeight="1" x14ac:dyDescent="0.3">
      <c r="B230" s="4442" t="s">
        <v>946</v>
      </c>
      <c r="C230" s="4443" t="s">
        <v>354</v>
      </c>
      <c r="D230" s="4443"/>
      <c r="E230" s="4439"/>
      <c r="F230" s="4439"/>
      <c r="G230" s="4439"/>
      <c r="H230" s="4439"/>
      <c r="I230" s="3221">
        <f t="shared" si="294"/>
        <v>0</v>
      </c>
      <c r="J230" s="4439"/>
      <c r="K230" s="4439"/>
      <c r="L230" s="4439"/>
      <c r="M230" s="4437">
        <f t="shared" si="295"/>
        <v>0</v>
      </c>
      <c r="N230" s="4439"/>
      <c r="O230" s="4439">
        <v>3850.4</v>
      </c>
      <c r="P230" s="4439"/>
      <c r="Q230" s="1630">
        <f t="shared" si="296"/>
        <v>3850.4</v>
      </c>
      <c r="R230" s="4450"/>
      <c r="S230" s="4439">
        <v>3852.88</v>
      </c>
      <c r="T230" s="4439"/>
      <c r="U230" s="1630">
        <f t="shared" si="297"/>
        <v>7703.2800000000007</v>
      </c>
      <c r="V230" s="4450"/>
      <c r="W230" s="4439"/>
      <c r="X230" s="4439"/>
      <c r="Y230" s="4437">
        <f t="shared" si="283"/>
        <v>7703.2800000000007</v>
      </c>
      <c r="Z230" s="4439"/>
      <c r="AA230" s="4445">
        <f t="shared" si="284"/>
        <v>7703.2800000000007</v>
      </c>
      <c r="AB230" s="4450"/>
      <c r="AC230" s="4439"/>
      <c r="AD230" s="4439"/>
      <c r="AE230" s="4446">
        <f t="shared" si="285"/>
        <v>7703.2800000000007</v>
      </c>
      <c r="AF230" s="4450"/>
      <c r="AG230" s="4439">
        <v>3817.47</v>
      </c>
      <c r="AH230" s="4439"/>
      <c r="AI230" s="4446">
        <f t="shared" si="287"/>
        <v>11520.75</v>
      </c>
      <c r="AJ230" s="4450"/>
      <c r="AK230" s="4439"/>
      <c r="AL230" s="4435"/>
      <c r="AM230" s="4437">
        <f t="shared" si="298"/>
        <v>3817.47</v>
      </c>
      <c r="AN230" s="4439"/>
      <c r="AO230" s="4446">
        <f t="shared" si="288"/>
        <v>11520.75</v>
      </c>
      <c r="AP230" s="4450"/>
      <c r="AQ230" s="4439">
        <v>0</v>
      </c>
      <c r="AR230" s="4439"/>
      <c r="AS230" s="4446">
        <f t="shared" ref="AS230" si="318">+AO230+AQ230</f>
        <v>11520.75</v>
      </c>
      <c r="AT230" s="4450"/>
      <c r="AU230" s="4439">
        <v>0</v>
      </c>
      <c r="AV230" s="4439"/>
      <c r="AW230" s="4446">
        <f t="shared" ref="AW230" si="319">+AS230+AU230</f>
        <v>11520.75</v>
      </c>
      <c r="AX230" s="4450"/>
      <c r="AY230" s="4439"/>
      <c r="AZ230" s="4435"/>
      <c r="BA230" s="4437">
        <f t="shared" si="291"/>
        <v>0</v>
      </c>
      <c r="BB230" s="4439"/>
      <c r="BC230" s="4445">
        <f t="shared" si="292"/>
        <v>3817.47</v>
      </c>
      <c r="BD230" s="4439"/>
      <c r="BE230" s="4447">
        <f t="shared" si="293"/>
        <v>11520.75</v>
      </c>
      <c r="BF230" s="1202"/>
      <c r="BH230" s="26"/>
      <c r="BI230" s="26"/>
    </row>
    <row r="231" spans="2:61" ht="18.75" customHeight="1" x14ac:dyDescent="0.3">
      <c r="B231" s="4432" t="s">
        <v>1270</v>
      </c>
      <c r="C231" s="4785"/>
      <c r="D231" s="4434"/>
      <c r="E231" s="4435">
        <f>E233+E232</f>
        <v>4150.7</v>
      </c>
      <c r="F231" s="4435"/>
      <c r="G231" s="4435">
        <f t="shared" ref="G231:AZ231" si="320">G233+G232</f>
        <v>0</v>
      </c>
      <c r="H231" s="4436">
        <f t="shared" si="320"/>
        <v>0</v>
      </c>
      <c r="I231" s="3221">
        <f t="shared" si="320"/>
        <v>4150.7</v>
      </c>
      <c r="J231" s="4435">
        <f t="shared" si="320"/>
        <v>0</v>
      </c>
      <c r="K231" s="4435">
        <f t="shared" si="320"/>
        <v>0</v>
      </c>
      <c r="L231" s="4435">
        <f t="shared" si="320"/>
        <v>0</v>
      </c>
      <c r="M231" s="4437">
        <f t="shared" si="320"/>
        <v>4150.7</v>
      </c>
      <c r="N231" s="4435">
        <f t="shared" si="320"/>
        <v>0</v>
      </c>
      <c r="O231" s="4435">
        <f t="shared" si="320"/>
        <v>4110.7</v>
      </c>
      <c r="P231" s="4435">
        <f t="shared" si="320"/>
        <v>0</v>
      </c>
      <c r="Q231" s="1630">
        <f t="shared" si="320"/>
        <v>8261.4</v>
      </c>
      <c r="R231" s="4438">
        <f t="shared" si="320"/>
        <v>0</v>
      </c>
      <c r="S231" s="4435">
        <f t="shared" ref="S231" si="321">S233+S232</f>
        <v>0</v>
      </c>
      <c r="T231" s="4435">
        <f t="shared" si="320"/>
        <v>0</v>
      </c>
      <c r="U231" s="1630">
        <f t="shared" si="297"/>
        <v>8261.4</v>
      </c>
      <c r="V231" s="4438">
        <f t="shared" si="320"/>
        <v>0</v>
      </c>
      <c r="W231" s="4435">
        <f t="shared" si="320"/>
        <v>0</v>
      </c>
      <c r="X231" s="4435">
        <f t="shared" si="320"/>
        <v>0</v>
      </c>
      <c r="Y231" s="4437">
        <f t="shared" si="283"/>
        <v>4110.7</v>
      </c>
      <c r="Z231" s="4439"/>
      <c r="AA231" s="4440">
        <f t="shared" si="284"/>
        <v>8261.4</v>
      </c>
      <c r="AB231" s="4438">
        <f t="shared" si="320"/>
        <v>0</v>
      </c>
      <c r="AC231" s="4435">
        <f t="shared" ref="AC231" si="322">AC233+AC232</f>
        <v>4139.5200000000004</v>
      </c>
      <c r="AD231" s="4435">
        <f t="shared" si="320"/>
        <v>0</v>
      </c>
      <c r="AE231" s="4441">
        <f t="shared" si="285"/>
        <v>12400.92</v>
      </c>
      <c r="AF231" s="4438">
        <f t="shared" si="320"/>
        <v>0</v>
      </c>
      <c r="AG231" s="4435">
        <f t="shared" si="320"/>
        <v>4143.88</v>
      </c>
      <c r="AH231" s="4435">
        <f t="shared" si="320"/>
        <v>0</v>
      </c>
      <c r="AI231" s="4441">
        <f t="shared" si="287"/>
        <v>16544.8</v>
      </c>
      <c r="AJ231" s="4438">
        <f t="shared" si="320"/>
        <v>0</v>
      </c>
      <c r="AK231" s="4435">
        <f t="shared" ref="AK231" si="323">AK233+AK232</f>
        <v>0</v>
      </c>
      <c r="AL231" s="4439">
        <f t="shared" si="320"/>
        <v>0</v>
      </c>
      <c r="AM231" s="4437">
        <f t="shared" si="298"/>
        <v>8283.4000000000015</v>
      </c>
      <c r="AN231" s="4435">
        <f t="shared" si="320"/>
        <v>0</v>
      </c>
      <c r="AO231" s="4441">
        <f t="shared" si="288"/>
        <v>16544.8</v>
      </c>
      <c r="AP231" s="4438">
        <f t="shared" ref="AP231:AQ231" si="324">AP233+AP232</f>
        <v>0</v>
      </c>
      <c r="AQ231" s="4435">
        <f t="shared" si="324"/>
        <v>4013.23</v>
      </c>
      <c r="AR231" s="4435">
        <f t="shared" si="320"/>
        <v>0</v>
      </c>
      <c r="AS231" s="4441">
        <f t="shared" si="320"/>
        <v>20558.03</v>
      </c>
      <c r="AT231" s="4438">
        <f t="shared" si="320"/>
        <v>0</v>
      </c>
      <c r="AU231" s="4435">
        <f t="shared" si="320"/>
        <v>0</v>
      </c>
      <c r="AV231" s="4435">
        <f t="shared" si="320"/>
        <v>0</v>
      </c>
      <c r="AW231" s="4441">
        <f t="shared" si="320"/>
        <v>20558.03</v>
      </c>
      <c r="AX231" s="4438">
        <f t="shared" ref="AX231:AY231" si="325">AX233+AX232</f>
        <v>0</v>
      </c>
      <c r="AY231" s="4435">
        <f t="shared" si="325"/>
        <v>0</v>
      </c>
      <c r="AZ231" s="4439">
        <f t="shared" si="320"/>
        <v>0</v>
      </c>
      <c r="BA231" s="4437">
        <f t="shared" si="291"/>
        <v>4013.23</v>
      </c>
      <c r="BB231" s="4439"/>
      <c r="BC231" s="4440">
        <f t="shared" si="292"/>
        <v>12296.630000000001</v>
      </c>
      <c r="BD231" s="4435"/>
      <c r="BE231" s="4441">
        <f t="shared" si="293"/>
        <v>20558.03</v>
      </c>
      <c r="BF231" s="1202"/>
      <c r="BH231" s="26"/>
      <c r="BI231" s="26"/>
    </row>
    <row r="232" spans="2:61" ht="15.75" hidden="1" customHeight="1" x14ac:dyDescent="0.3">
      <c r="B232" s="4442" t="s">
        <v>946</v>
      </c>
      <c r="C232" s="4443" t="s">
        <v>354</v>
      </c>
      <c r="D232" s="4448"/>
      <c r="E232" s="4439"/>
      <c r="F232" s="4439"/>
      <c r="G232" s="4439"/>
      <c r="H232" s="4439"/>
      <c r="I232" s="3221">
        <f t="shared" si="294"/>
        <v>0</v>
      </c>
      <c r="J232" s="4439"/>
      <c r="K232" s="4439"/>
      <c r="L232" s="4439"/>
      <c r="M232" s="4437">
        <f t="shared" si="295"/>
        <v>0</v>
      </c>
      <c r="N232" s="4439"/>
      <c r="O232" s="4439"/>
      <c r="P232" s="4439"/>
      <c r="Q232" s="1630">
        <f t="shared" si="296"/>
        <v>0</v>
      </c>
      <c r="R232" s="4438"/>
      <c r="S232" s="4439"/>
      <c r="T232" s="4439"/>
      <c r="U232" s="1630">
        <f t="shared" si="297"/>
        <v>0</v>
      </c>
      <c r="V232" s="4438"/>
      <c r="W232" s="4439"/>
      <c r="X232" s="4439"/>
      <c r="Y232" s="4454">
        <f t="shared" si="283"/>
        <v>0</v>
      </c>
      <c r="Z232" s="4439"/>
      <c r="AA232" s="4445">
        <f t="shared" si="284"/>
        <v>0</v>
      </c>
      <c r="AB232" s="4438"/>
      <c r="AC232" s="4439"/>
      <c r="AD232" s="4439"/>
      <c r="AE232" s="4446">
        <f t="shared" si="285"/>
        <v>0</v>
      </c>
      <c r="AF232" s="4438"/>
      <c r="AG232" s="4439"/>
      <c r="AH232" s="4439"/>
      <c r="AI232" s="4446">
        <f t="shared" si="287"/>
        <v>0</v>
      </c>
      <c r="AJ232" s="4438"/>
      <c r="AK232" s="4439"/>
      <c r="AL232" s="4439"/>
      <c r="AM232" s="4437">
        <f t="shared" si="298"/>
        <v>0</v>
      </c>
      <c r="AN232" s="4439"/>
      <c r="AO232" s="4446">
        <f t="shared" si="288"/>
        <v>0</v>
      </c>
      <c r="AP232" s="4438"/>
      <c r="AQ232" s="4439"/>
      <c r="AR232" s="4439"/>
      <c r="AS232" s="4446">
        <v>0</v>
      </c>
      <c r="AT232" s="4438"/>
      <c r="AU232" s="4439"/>
      <c r="AV232" s="4439"/>
      <c r="AW232" s="4446">
        <v>0</v>
      </c>
      <c r="AX232" s="4438"/>
      <c r="AY232" s="4439"/>
      <c r="AZ232" s="4439"/>
      <c r="BA232" s="4454">
        <f t="shared" si="291"/>
        <v>0</v>
      </c>
      <c r="BB232" s="4439"/>
      <c r="BC232" s="4445">
        <f t="shared" si="292"/>
        <v>0</v>
      </c>
      <c r="BD232" s="4439"/>
      <c r="BE232" s="4447">
        <f t="shared" si="293"/>
        <v>0</v>
      </c>
      <c r="BF232" s="1202"/>
      <c r="BH232" s="26"/>
      <c r="BI232" s="26"/>
    </row>
    <row r="233" spans="2:61" ht="15.75" customHeight="1" x14ac:dyDescent="0.3">
      <c r="B233" s="4442" t="s">
        <v>1807</v>
      </c>
      <c r="C233" s="4443" t="s">
        <v>354</v>
      </c>
      <c r="D233" s="4443"/>
      <c r="E233" s="4439">
        <v>4150.7</v>
      </c>
      <c r="F233" s="4439"/>
      <c r="G233" s="4439"/>
      <c r="H233" s="4439"/>
      <c r="I233" s="3221">
        <f t="shared" si="294"/>
        <v>4150.7</v>
      </c>
      <c r="J233" s="4439"/>
      <c r="K233" s="4439"/>
      <c r="L233" s="4439"/>
      <c r="M233" s="4437">
        <f t="shared" si="295"/>
        <v>4150.7</v>
      </c>
      <c r="N233" s="4439"/>
      <c r="O233" s="4439">
        <v>4110.7</v>
      </c>
      <c r="P233" s="4439"/>
      <c r="Q233" s="1630">
        <f t="shared" si="296"/>
        <v>8261.4</v>
      </c>
      <c r="R233" s="4438"/>
      <c r="S233" s="4439"/>
      <c r="T233" s="4439"/>
      <c r="U233" s="1630">
        <f t="shared" si="297"/>
        <v>8261.4</v>
      </c>
      <c r="V233" s="4438"/>
      <c r="W233" s="4439"/>
      <c r="X233" s="4439"/>
      <c r="Y233" s="4437">
        <f t="shared" si="283"/>
        <v>4110.7</v>
      </c>
      <c r="Z233" s="4439"/>
      <c r="AA233" s="4445">
        <f t="shared" si="284"/>
        <v>8261.4</v>
      </c>
      <c r="AB233" s="4438"/>
      <c r="AC233" s="4439">
        <v>4139.5200000000004</v>
      </c>
      <c r="AD233" s="4439"/>
      <c r="AE233" s="4446">
        <f t="shared" si="285"/>
        <v>12400.92</v>
      </c>
      <c r="AF233" s="4438"/>
      <c r="AG233" s="4439">
        <v>4143.88</v>
      </c>
      <c r="AH233" s="4439"/>
      <c r="AI233" s="4446">
        <f t="shared" si="287"/>
        <v>16544.8</v>
      </c>
      <c r="AJ233" s="26"/>
      <c r="AK233" s="4439"/>
      <c r="AM233" s="4437">
        <f t="shared" si="298"/>
        <v>8283.4000000000015</v>
      </c>
      <c r="AN233" s="4439"/>
      <c r="AO233" s="4446">
        <f t="shared" si="288"/>
        <v>16544.8</v>
      </c>
      <c r="AP233" s="26"/>
      <c r="AQ233" s="4439">
        <v>4013.23</v>
      </c>
      <c r="AR233" s="4439"/>
      <c r="AS233" s="4446">
        <f t="shared" ref="AS233" si="326">+AO233+AQ233</f>
        <v>20558.03</v>
      </c>
      <c r="AT233" s="4438"/>
      <c r="AU233" s="4439"/>
      <c r="AV233" s="4439"/>
      <c r="AW233" s="4446">
        <f t="shared" ref="AW233" si="327">+AS233+AU233</f>
        <v>20558.03</v>
      </c>
      <c r="AX233" s="4438"/>
      <c r="AY233" s="4439"/>
      <c r="AZ233" s="5151"/>
      <c r="BA233" s="5409">
        <f t="shared" si="291"/>
        <v>4013.23</v>
      </c>
      <c r="BB233" s="5308"/>
      <c r="BC233" s="5415">
        <f t="shared" si="292"/>
        <v>12296.630000000001</v>
      </c>
      <c r="BD233" s="5308"/>
      <c r="BE233" s="5416">
        <f t="shared" si="293"/>
        <v>20558.03</v>
      </c>
      <c r="BF233" s="1202"/>
      <c r="BH233" s="26"/>
      <c r="BI233" s="26"/>
    </row>
    <row r="234" spans="2:61" ht="18.75" hidden="1" customHeight="1" x14ac:dyDescent="0.3">
      <c r="B234" s="4432" t="s">
        <v>1310</v>
      </c>
      <c r="C234" s="4433"/>
      <c r="D234" s="4434"/>
      <c r="E234" s="4435"/>
      <c r="F234" s="4435"/>
      <c r="G234" s="4435"/>
      <c r="H234" s="4435"/>
      <c r="I234" s="3221">
        <f t="shared" si="294"/>
        <v>0</v>
      </c>
      <c r="J234" s="4435"/>
      <c r="K234" s="4435"/>
      <c r="L234" s="4435"/>
      <c r="M234" s="4437">
        <v>0</v>
      </c>
      <c r="N234" s="4435"/>
      <c r="O234" s="4435"/>
      <c r="P234" s="4435"/>
      <c r="Q234" s="4435">
        <v>0</v>
      </c>
      <c r="R234" s="4438"/>
      <c r="S234" s="4435"/>
      <c r="T234" s="4435"/>
      <c r="U234" s="4924">
        <v>0</v>
      </c>
      <c r="V234" s="4438"/>
      <c r="W234" s="4435"/>
      <c r="X234" s="4435"/>
      <c r="Y234" s="4437">
        <v>0</v>
      </c>
      <c r="Z234" s="4439">
        <v>0</v>
      </c>
      <c r="AA234" s="4440">
        <v>0</v>
      </c>
      <c r="AB234" s="4438"/>
      <c r="AC234" s="4435"/>
      <c r="AD234" s="4435"/>
      <c r="AE234" s="4455"/>
      <c r="AF234" s="4438"/>
      <c r="AG234" s="4435"/>
      <c r="AH234" s="4435"/>
      <c r="AI234" s="4455"/>
      <c r="AJ234" s="4438"/>
      <c r="AK234" s="4435"/>
      <c r="AL234" s="4439"/>
      <c r="AM234" s="4437">
        <f t="shared" si="298"/>
        <v>0</v>
      </c>
      <c r="AN234" s="4435"/>
      <c r="AO234" s="4455"/>
      <c r="AP234" s="4438"/>
      <c r="AQ234" s="4435"/>
      <c r="AR234" s="4435"/>
      <c r="AS234" s="4455"/>
      <c r="AT234" s="4438"/>
      <c r="AU234" s="4435"/>
      <c r="AV234" s="4435"/>
      <c r="AW234" s="4455"/>
      <c r="AX234" s="4438"/>
      <c r="AY234" s="4435"/>
      <c r="AZ234" s="4439"/>
      <c r="BA234" s="4437">
        <v>0</v>
      </c>
      <c r="BB234" s="4439">
        <v>0</v>
      </c>
      <c r="BC234" s="4440">
        <v>0</v>
      </c>
      <c r="BD234" s="4435"/>
      <c r="BE234" s="4455"/>
      <c r="BF234" s="1202"/>
    </row>
    <row r="235" spans="2:61" ht="15.75" hidden="1" customHeight="1" x14ac:dyDescent="0.3">
      <c r="B235" s="4442" t="s">
        <v>839</v>
      </c>
      <c r="C235" s="4443" t="s">
        <v>354</v>
      </c>
      <c r="D235" s="4443"/>
      <c r="E235" s="4439">
        <v>0</v>
      </c>
      <c r="F235" s="4439"/>
      <c r="G235" s="4439">
        <v>0</v>
      </c>
      <c r="H235" s="4439"/>
      <c r="I235" s="3221">
        <f t="shared" si="294"/>
        <v>0</v>
      </c>
      <c r="J235" s="4439"/>
      <c r="K235" s="4439">
        <v>0</v>
      </c>
      <c r="L235" s="4439"/>
      <c r="M235" s="4437">
        <v>0</v>
      </c>
      <c r="N235" s="4439"/>
      <c r="O235" s="4439">
        <v>0</v>
      </c>
      <c r="P235" s="4439"/>
      <c r="Q235" s="4439">
        <v>0</v>
      </c>
      <c r="R235" s="4439"/>
      <c r="S235" s="4439">
        <v>0</v>
      </c>
      <c r="T235" s="4439"/>
      <c r="U235" s="4439">
        <v>0</v>
      </c>
      <c r="V235" s="4439"/>
      <c r="W235" s="4439"/>
      <c r="X235" s="4439"/>
      <c r="Y235" s="4437">
        <v>0</v>
      </c>
      <c r="Z235" s="4453"/>
      <c r="AA235" s="2532">
        <v>0</v>
      </c>
      <c r="AC235" s="4439"/>
      <c r="AD235" s="4439"/>
      <c r="AE235" s="4439"/>
      <c r="AF235" s="4439"/>
      <c r="AG235" s="4439"/>
      <c r="AH235" s="4439"/>
      <c r="AI235" s="4439"/>
      <c r="AJ235" s="4439"/>
      <c r="AK235" s="4439"/>
      <c r="AL235" s="4439"/>
      <c r="AM235" s="4437">
        <f t="shared" si="298"/>
        <v>0</v>
      </c>
      <c r="AN235" s="4439"/>
      <c r="AO235" s="4439"/>
      <c r="AP235" s="4439"/>
      <c r="AQ235" s="4439"/>
      <c r="AR235" s="4439"/>
      <c r="AS235" s="1728"/>
      <c r="AT235" s="4439"/>
      <c r="AU235" s="4439"/>
      <c r="AV235" s="4439"/>
      <c r="AW235" s="2516"/>
      <c r="AX235" s="4439"/>
      <c r="AY235" s="4439"/>
      <c r="AZ235" s="4439"/>
      <c r="BA235" s="4437">
        <v>0</v>
      </c>
      <c r="BB235" s="4453"/>
      <c r="BC235" s="2532">
        <v>0</v>
      </c>
      <c r="BD235" s="4439"/>
      <c r="BE235" s="2516"/>
      <c r="BF235" s="1202"/>
    </row>
    <row r="236" spans="2:61" ht="18" hidden="1" x14ac:dyDescent="0.3">
      <c r="B236" s="4432" t="s">
        <v>1472</v>
      </c>
      <c r="C236" s="4433" t="s">
        <v>354</v>
      </c>
      <c r="D236" s="4434"/>
      <c r="E236" s="4435">
        <v>0</v>
      </c>
      <c r="F236" s="4435"/>
      <c r="G236" s="4435">
        <v>0</v>
      </c>
      <c r="H236" s="4436"/>
      <c r="I236" s="3221">
        <f t="shared" si="294"/>
        <v>0</v>
      </c>
      <c r="J236" s="4435"/>
      <c r="K236" s="4435">
        <v>0</v>
      </c>
      <c r="L236" s="4435"/>
      <c r="M236" s="4437">
        <v>0</v>
      </c>
      <c r="N236" s="4435"/>
      <c r="O236" s="4435">
        <v>0</v>
      </c>
      <c r="P236" s="4435"/>
      <c r="Q236" s="4436">
        <v>0</v>
      </c>
      <c r="R236" s="4438"/>
      <c r="S236" s="4435">
        <v>0</v>
      </c>
      <c r="T236" s="4435"/>
      <c r="U236" s="4923">
        <v>0</v>
      </c>
      <c r="V236" s="4438"/>
      <c r="W236" s="4435">
        <v>0</v>
      </c>
      <c r="X236" s="4435"/>
      <c r="Y236" s="4437">
        <v>0</v>
      </c>
      <c r="Z236" s="4439"/>
      <c r="AA236" s="4440">
        <v>0</v>
      </c>
      <c r="AB236" s="4438"/>
      <c r="AC236" s="4435">
        <v>0</v>
      </c>
      <c r="AD236" s="4435"/>
      <c r="AE236" s="4441">
        <v>0</v>
      </c>
      <c r="AF236" s="4438"/>
      <c r="AG236" s="4435">
        <v>0</v>
      </c>
      <c r="AH236" s="4435"/>
      <c r="AI236" s="4441">
        <v>0</v>
      </c>
      <c r="AJ236" s="4438"/>
      <c r="AK236" s="4435">
        <v>0</v>
      </c>
      <c r="AL236" s="4439"/>
      <c r="AM236" s="4437">
        <f t="shared" si="298"/>
        <v>0</v>
      </c>
      <c r="AN236" s="4435"/>
      <c r="AO236" s="4441">
        <v>0</v>
      </c>
      <c r="AP236" s="4438"/>
      <c r="AQ236" s="4435">
        <v>0</v>
      </c>
      <c r="AR236" s="4435"/>
      <c r="AS236" s="4441">
        <v>0</v>
      </c>
      <c r="AT236" s="4438"/>
      <c r="AU236" s="4435">
        <v>0</v>
      </c>
      <c r="AV236" s="4435"/>
      <c r="AW236" s="4441">
        <v>0</v>
      </c>
      <c r="AX236" s="4438"/>
      <c r="AY236" s="4435">
        <v>0</v>
      </c>
      <c r="AZ236" s="4439"/>
      <c r="BA236" s="4437">
        <v>0</v>
      </c>
      <c r="BB236" s="4439"/>
      <c r="BC236" s="4440">
        <v>0</v>
      </c>
      <c r="BD236" s="4435"/>
      <c r="BE236" s="4441">
        <v>0</v>
      </c>
      <c r="BF236" s="1202"/>
    </row>
    <row r="237" spans="2:61" ht="18" hidden="1" thickBot="1" x14ac:dyDescent="0.35">
      <c r="B237" s="4456" t="s">
        <v>946</v>
      </c>
      <c r="C237" s="4457" t="s">
        <v>354</v>
      </c>
      <c r="D237" s="4457"/>
      <c r="E237" s="4458">
        <v>0</v>
      </c>
      <c r="F237" s="4458"/>
      <c r="G237" s="4458">
        <v>0</v>
      </c>
      <c r="H237" s="4458"/>
      <c r="I237" s="3221">
        <f t="shared" si="294"/>
        <v>0</v>
      </c>
      <c r="J237" s="4458"/>
      <c r="K237" s="4458">
        <v>0</v>
      </c>
      <c r="L237" s="4458"/>
      <c r="M237" s="4459">
        <v>0</v>
      </c>
      <c r="N237" s="4458"/>
      <c r="O237" s="4458">
        <v>0</v>
      </c>
      <c r="P237" s="4458"/>
      <c r="Q237" s="4458">
        <v>0</v>
      </c>
      <c r="R237" s="4458"/>
      <c r="S237" s="4458">
        <v>0</v>
      </c>
      <c r="T237" s="4458"/>
      <c r="U237" s="4458">
        <v>0</v>
      </c>
      <c r="V237" s="4458"/>
      <c r="W237" s="4458"/>
      <c r="X237" s="4458"/>
      <c r="Y237" s="4459">
        <v>0</v>
      </c>
      <c r="Z237" s="4439"/>
      <c r="AA237" s="4445">
        <v>0</v>
      </c>
      <c r="AB237" s="2412"/>
      <c r="AC237" s="4458"/>
      <c r="AD237" s="4458"/>
      <c r="AE237" s="4446">
        <v>0</v>
      </c>
      <c r="AF237" s="4458"/>
      <c r="AG237" s="4458"/>
      <c r="AH237" s="4458"/>
      <c r="AI237" s="4446">
        <v>0</v>
      </c>
      <c r="AJ237" s="4458"/>
      <c r="AK237" s="4458"/>
      <c r="AL237" s="4458"/>
      <c r="AM237" s="4437">
        <f t="shared" si="298"/>
        <v>0</v>
      </c>
      <c r="AN237" s="4435"/>
      <c r="AO237" s="4446">
        <v>0</v>
      </c>
      <c r="AP237" s="4458"/>
      <c r="AQ237" s="4458"/>
      <c r="AR237" s="4458"/>
      <c r="AS237" s="4446">
        <v>0</v>
      </c>
      <c r="AT237" s="4458"/>
      <c r="AU237" s="4458"/>
      <c r="AV237" s="4458"/>
      <c r="AW237" s="4447">
        <v>0</v>
      </c>
      <c r="AX237" s="4458"/>
      <c r="AY237" s="4458"/>
      <c r="AZ237" s="4458"/>
      <c r="BA237" s="4459">
        <v>0</v>
      </c>
      <c r="BB237" s="4439"/>
      <c r="BC237" s="4445">
        <v>0</v>
      </c>
      <c r="BD237" s="4458"/>
      <c r="BE237" s="4447">
        <v>0</v>
      </c>
      <c r="BF237" s="1202"/>
    </row>
    <row r="238" spans="2:61" x14ac:dyDescent="0.3">
      <c r="AJ238" s="26"/>
    </row>
    <row r="239" spans="2:61" ht="14.4" x14ac:dyDescent="0.3"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114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Y239" s="26"/>
      <c r="BA239" s="26"/>
      <c r="BC239" s="26"/>
      <c r="BE239" s="26"/>
    </row>
    <row r="240" spans="2:61" x14ac:dyDescent="0.3">
      <c r="AU240" s="1202"/>
    </row>
  </sheetData>
  <mergeCells count="34"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L3:AM3"/>
    <mergeCell ref="AN3:AO3"/>
    <mergeCell ref="B197:C197"/>
    <mergeCell ref="B135:C135"/>
    <mergeCell ref="B133:C133"/>
    <mergeCell ref="B114:C114"/>
  </mergeCells>
  <conditionalFormatting sqref="B65:B66">
    <cfRule type="duplicateValues" dxfId="1" priority="1"/>
  </conditionalFormatting>
  <conditionalFormatting sqref="B67:B97 B58:B63">
    <cfRule type="duplicateValues" dxfId="0" priority="44"/>
  </conditionalFormatting>
  <pageMargins left="0.7" right="0.7" top="0.75" bottom="0.75" header="0.3" footer="0.3"/>
  <pageSetup paperSize="9" scale="2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6699"/>
    <pageSetUpPr fitToPage="1"/>
  </sheetPr>
  <dimension ref="B2:BL25"/>
  <sheetViews>
    <sheetView workbookViewId="0">
      <pane xSplit="4" ySplit="2" topLeftCell="AM3" activePane="bottomRight" state="frozen"/>
      <selection pane="topRight" activeCell="E1" sqref="E1"/>
      <selection pane="bottomLeft" activeCell="A2" sqref="A2"/>
      <selection pane="bottomRight" activeCell="BF20" sqref="BF20"/>
    </sheetView>
  </sheetViews>
  <sheetFormatPr defaultColWidth="9.109375" defaultRowHeight="18" x14ac:dyDescent="0.35"/>
  <cols>
    <col min="1" max="1" width="9.109375" style="4"/>
    <col min="2" max="2" width="41.6640625" style="3532" bestFit="1" customWidth="1"/>
    <col min="3" max="3" width="16.109375" style="3532" bestFit="1" customWidth="1"/>
    <col min="4" max="4" width="12.109375" style="3533" customWidth="1"/>
    <col min="5" max="5" width="14.88671875" style="3532" customWidth="1"/>
    <col min="6" max="6" width="12.6640625" style="3532" customWidth="1"/>
    <col min="7" max="7" width="12.88671875" style="3532" customWidth="1"/>
    <col min="8" max="8" width="12.5546875" style="3532" customWidth="1"/>
    <col min="9" max="9" width="10.5546875" style="3532" hidden="1" customWidth="1"/>
    <col min="10" max="10" width="11.33203125" style="3532" hidden="1" customWidth="1"/>
    <col min="11" max="12" width="10.44140625" style="3532" customWidth="1"/>
    <col min="13" max="13" width="9" style="3532" customWidth="1"/>
    <col min="14" max="14" width="10.44140625" style="3532" customWidth="1"/>
    <col min="15" max="15" width="9" style="4" customWidth="1"/>
    <col min="16" max="16" width="10.44140625" style="4" customWidth="1"/>
    <col min="17" max="17" width="10.33203125" style="4" hidden="1" customWidth="1"/>
    <col min="18" max="18" width="10.44140625" style="4" hidden="1" customWidth="1"/>
    <col min="19" max="20" width="10.33203125" style="4" customWidth="1"/>
    <col min="21" max="22" width="10.33203125" style="4" hidden="1" customWidth="1"/>
    <col min="23" max="24" width="10.44140625" style="4" customWidth="1"/>
    <col min="25" max="25" width="9.88671875" style="4" customWidth="1"/>
    <col min="26" max="26" width="10.44140625" style="4" customWidth="1"/>
    <col min="27" max="28" width="10.33203125" style="4" customWidth="1"/>
    <col min="29" max="30" width="10.44140625" style="4" customWidth="1"/>
    <col min="31" max="32" width="11.33203125" style="4" hidden="1" customWidth="1"/>
    <col min="33" max="34" width="10.44140625" style="4" customWidth="1"/>
    <col min="35" max="36" width="11.33203125" style="4" hidden="1" customWidth="1"/>
    <col min="37" max="37" width="10" style="4" customWidth="1"/>
    <col min="38" max="38" width="10.44140625" style="4" customWidth="1"/>
    <col min="39" max="39" width="9" style="4" customWidth="1"/>
    <col min="40" max="40" width="10.44140625" style="4" customWidth="1"/>
    <col min="41" max="42" width="10.33203125" style="4" hidden="1" customWidth="1"/>
    <col min="43" max="44" width="10" style="4" customWidth="1"/>
    <col min="45" max="46" width="11.33203125" style="4" hidden="1" customWidth="1"/>
    <col min="47" max="48" width="10" style="4" customWidth="1"/>
    <col min="49" max="50" width="11.33203125" style="4" hidden="1" customWidth="1"/>
    <col min="51" max="54" width="9.88671875" style="4" customWidth="1"/>
    <col min="55" max="58" width="11.33203125" style="4" customWidth="1"/>
    <col min="59" max="60" width="9.109375" style="4" customWidth="1"/>
    <col min="61" max="16384" width="9.109375" style="4"/>
  </cols>
  <sheetData>
    <row r="2" spans="2:64" ht="17.399999999999999" x14ac:dyDescent="0.3">
      <c r="B2" s="6026" t="s">
        <v>990</v>
      </c>
      <c r="C2" s="6026"/>
      <c r="D2" s="6026"/>
      <c r="E2" s="6026"/>
      <c r="F2" s="6026"/>
      <c r="G2" s="6026"/>
      <c r="H2" s="6026"/>
      <c r="I2" s="6026"/>
      <c r="J2" s="6026"/>
      <c r="K2" s="6026"/>
      <c r="L2" s="6026"/>
      <c r="M2" s="6026"/>
      <c r="N2" s="6026"/>
      <c r="O2" s="6026"/>
      <c r="P2" s="6026"/>
      <c r="Q2" s="6026"/>
      <c r="R2" s="6026"/>
      <c r="S2" s="6026"/>
      <c r="T2" s="6026"/>
      <c r="U2" s="6026"/>
      <c r="V2" s="6026"/>
    </row>
    <row r="3" spans="2:64" ht="18.600000000000001" thickBot="1" x14ac:dyDescent="0.4"/>
    <row r="4" spans="2:64" thickBot="1" x14ac:dyDescent="0.3">
      <c r="B4" s="6027" t="s">
        <v>171</v>
      </c>
      <c r="C4" s="6029" t="s">
        <v>172</v>
      </c>
      <c r="D4" s="6034" t="s">
        <v>1965</v>
      </c>
      <c r="E4" s="6018" t="s">
        <v>1962</v>
      </c>
      <c r="F4" s="6019"/>
      <c r="G4" s="6018" t="s">
        <v>2013</v>
      </c>
      <c r="H4" s="6019"/>
      <c r="I4" s="6031" t="s">
        <v>14</v>
      </c>
      <c r="J4" s="6032"/>
      <c r="K4" s="6018" t="s">
        <v>2044</v>
      </c>
      <c r="L4" s="6018"/>
      <c r="M4" s="6022" t="s">
        <v>641</v>
      </c>
      <c r="N4" s="6023"/>
      <c r="O4" s="6018" t="s">
        <v>2066</v>
      </c>
      <c r="P4" s="6019"/>
      <c r="Q4" s="6033" t="s">
        <v>651</v>
      </c>
      <c r="R4" s="6021"/>
      <c r="S4" s="6018" t="s">
        <v>2068</v>
      </c>
      <c r="T4" s="6019"/>
      <c r="U4" s="6020" t="s">
        <v>830</v>
      </c>
      <c r="V4" s="6021"/>
      <c r="W4" s="6018" t="s">
        <v>2110</v>
      </c>
      <c r="X4" s="6018"/>
      <c r="Y4" s="6022" t="s">
        <v>660</v>
      </c>
      <c r="Z4" s="6023"/>
      <c r="AA4" s="6024" t="s">
        <v>657</v>
      </c>
      <c r="AB4" s="6025"/>
      <c r="AC4" s="6018" t="s">
        <v>2135</v>
      </c>
      <c r="AD4" s="6019"/>
      <c r="AE4" s="6020" t="s">
        <v>1090</v>
      </c>
      <c r="AF4" s="6021"/>
      <c r="AG4" s="6018" t="s">
        <v>2238</v>
      </c>
      <c r="AH4" s="6019"/>
      <c r="AI4" s="6020" t="s">
        <v>1599</v>
      </c>
      <c r="AJ4" s="6021"/>
      <c r="AK4" s="6018" t="s">
        <v>2262</v>
      </c>
      <c r="AL4" s="6018"/>
      <c r="AM4" s="6022" t="s">
        <v>662</v>
      </c>
      <c r="AN4" s="6023"/>
      <c r="AO4" s="6020" t="s">
        <v>1613</v>
      </c>
      <c r="AP4" s="6021"/>
      <c r="AQ4" s="6018" t="s">
        <v>2274</v>
      </c>
      <c r="AR4" s="6019"/>
      <c r="AS4" s="6020" t="s">
        <v>1631</v>
      </c>
      <c r="AT4" s="6021"/>
      <c r="AU4" s="6018" t="s">
        <v>2311</v>
      </c>
      <c r="AV4" s="6019"/>
      <c r="AW4" s="6020" t="s">
        <v>1637</v>
      </c>
      <c r="AX4" s="6021"/>
      <c r="AY4" s="6018" t="s">
        <v>2329</v>
      </c>
      <c r="AZ4" s="6019"/>
      <c r="BA4" s="6022" t="s">
        <v>663</v>
      </c>
      <c r="BB4" s="6023"/>
      <c r="BC4" s="6024" t="s">
        <v>670</v>
      </c>
      <c r="BD4" s="6025"/>
      <c r="BE4" s="6020" t="s">
        <v>2041</v>
      </c>
      <c r="BF4" s="6021"/>
    </row>
    <row r="5" spans="2:64" ht="17.399999999999999" x14ac:dyDescent="0.25">
      <c r="B5" s="6028"/>
      <c r="C5" s="6030"/>
      <c r="D5" s="6035"/>
      <c r="E5" s="577" t="s">
        <v>173</v>
      </c>
      <c r="F5" s="578" t="s">
        <v>174</v>
      </c>
      <c r="G5" s="577" t="s">
        <v>173</v>
      </c>
      <c r="H5" s="578" t="s">
        <v>174</v>
      </c>
      <c r="I5" s="1200" t="s">
        <v>173</v>
      </c>
      <c r="J5" s="1341" t="s">
        <v>174</v>
      </c>
      <c r="K5" s="577" t="s">
        <v>173</v>
      </c>
      <c r="L5" s="2165" t="s">
        <v>174</v>
      </c>
      <c r="M5" s="2354" t="s">
        <v>173</v>
      </c>
      <c r="N5" s="2355" t="s">
        <v>174</v>
      </c>
      <c r="O5" s="577" t="s">
        <v>173</v>
      </c>
      <c r="P5" s="578" t="s">
        <v>174</v>
      </c>
      <c r="Q5" s="1183" t="s">
        <v>173</v>
      </c>
      <c r="R5" s="1184" t="s">
        <v>174</v>
      </c>
      <c r="S5" s="577" t="s">
        <v>173</v>
      </c>
      <c r="T5" s="578" t="s">
        <v>174</v>
      </c>
      <c r="U5" s="1183" t="s">
        <v>173</v>
      </c>
      <c r="V5" s="1184" t="s">
        <v>174</v>
      </c>
      <c r="W5" s="577" t="s">
        <v>173</v>
      </c>
      <c r="X5" s="2165" t="s">
        <v>174</v>
      </c>
      <c r="Y5" s="2354" t="s">
        <v>173</v>
      </c>
      <c r="Z5" s="2355" t="s">
        <v>174</v>
      </c>
      <c r="AA5" s="2356" t="s">
        <v>173</v>
      </c>
      <c r="AB5" s="2357" t="s">
        <v>174</v>
      </c>
      <c r="AC5" s="577" t="s">
        <v>173</v>
      </c>
      <c r="AD5" s="578" t="s">
        <v>174</v>
      </c>
      <c r="AE5" s="1183" t="s">
        <v>173</v>
      </c>
      <c r="AF5" s="1184" t="s">
        <v>174</v>
      </c>
      <c r="AG5" s="577" t="s">
        <v>173</v>
      </c>
      <c r="AH5" s="578" t="s">
        <v>174</v>
      </c>
      <c r="AI5" s="1183" t="s">
        <v>173</v>
      </c>
      <c r="AJ5" s="1184" t="s">
        <v>174</v>
      </c>
      <c r="AK5" s="577" t="s">
        <v>173</v>
      </c>
      <c r="AL5" s="2165" t="s">
        <v>174</v>
      </c>
      <c r="AM5" s="2354" t="s">
        <v>173</v>
      </c>
      <c r="AN5" s="2355" t="s">
        <v>174</v>
      </c>
      <c r="AO5" s="1183" t="s">
        <v>173</v>
      </c>
      <c r="AP5" s="1184" t="s">
        <v>174</v>
      </c>
      <c r="AQ5" s="577" t="s">
        <v>173</v>
      </c>
      <c r="AR5" s="578" t="s">
        <v>174</v>
      </c>
      <c r="AS5" s="1183" t="s">
        <v>173</v>
      </c>
      <c r="AT5" s="1184" t="s">
        <v>174</v>
      </c>
      <c r="AU5" s="577" t="s">
        <v>173</v>
      </c>
      <c r="AV5" s="578" t="s">
        <v>174</v>
      </c>
      <c r="AW5" s="1183" t="s">
        <v>173</v>
      </c>
      <c r="AX5" s="1184" t="s">
        <v>174</v>
      </c>
      <c r="AY5" s="577" t="s">
        <v>173</v>
      </c>
      <c r="AZ5" s="578" t="s">
        <v>174</v>
      </c>
      <c r="BA5" s="2354" t="s">
        <v>173</v>
      </c>
      <c r="BB5" s="2355" t="s">
        <v>174</v>
      </c>
      <c r="BC5" s="2356" t="s">
        <v>173</v>
      </c>
      <c r="BD5" s="2357" t="s">
        <v>174</v>
      </c>
      <c r="BE5" s="1183" t="s">
        <v>173</v>
      </c>
      <c r="BF5" s="1184" t="s">
        <v>174</v>
      </c>
    </row>
    <row r="6" spans="2:64" x14ac:dyDescent="0.35">
      <c r="B6" s="1342" t="s">
        <v>947</v>
      </c>
      <c r="C6" s="2015" t="s">
        <v>66</v>
      </c>
      <c r="D6" s="6036" t="s">
        <v>1969</v>
      </c>
      <c r="E6" s="3398">
        <f>+'B-FCE'!E6</f>
        <v>252000</v>
      </c>
      <c r="F6" s="3398">
        <f>+'B-FCE'!F6</f>
        <v>226125.59999999995</v>
      </c>
      <c r="G6" s="3398">
        <f>+'B-FCE'!G6</f>
        <v>260000</v>
      </c>
      <c r="H6" s="3398">
        <f>+'B-FCE'!H6</f>
        <v>255730.90000000002</v>
      </c>
      <c r="I6" s="2100">
        <f>E6+G6</f>
        <v>512000</v>
      </c>
      <c r="J6" s="2100">
        <f>F6+H6</f>
        <v>481856.5</v>
      </c>
      <c r="K6" s="3398">
        <f>+'B-FCE'!K6</f>
        <v>252000</v>
      </c>
      <c r="L6" s="3398">
        <f>+'B-FCE'!L6</f>
        <v>261489.89999999997</v>
      </c>
      <c r="M6" s="1115">
        <f>+'B-FCE'!M6</f>
        <v>764000</v>
      </c>
      <c r="N6" s="3535">
        <f t="shared" ref="N6:N9" si="0">F6+H6+L6</f>
        <v>743346.39999999991</v>
      </c>
      <c r="O6" s="3398">
        <f>+'B-FCE'!O6</f>
        <v>255000</v>
      </c>
      <c r="P6" s="3398">
        <f>+'B-FCE'!P6</f>
        <v>268142.30000000005</v>
      </c>
      <c r="Q6" s="2100">
        <f t="shared" ref="Q6:V6" si="1">M6+O6</f>
        <v>1019000</v>
      </c>
      <c r="R6" s="2100">
        <f t="shared" si="1"/>
        <v>1011488.7</v>
      </c>
      <c r="S6" s="3398">
        <f>+'B-FCE'!S6</f>
        <v>255000</v>
      </c>
      <c r="T6" s="3398">
        <f>+'B-FCE'!T6</f>
        <v>253263.6</v>
      </c>
      <c r="U6" s="2100">
        <f t="shared" si="1"/>
        <v>1274000</v>
      </c>
      <c r="V6" s="2100">
        <f t="shared" si="1"/>
        <v>1264752.3</v>
      </c>
      <c r="W6" s="3398">
        <f>+'B-FCE'!W6</f>
        <v>140000</v>
      </c>
      <c r="X6" s="3398">
        <f>+'B-FCE'!X6</f>
        <v>243297.40000000002</v>
      </c>
      <c r="Y6" s="1115">
        <f>+'B-FCE'!Y6</f>
        <v>650000</v>
      </c>
      <c r="Z6" s="245">
        <f>+'B-FCE'!Z6</f>
        <v>764703.3</v>
      </c>
      <c r="AA6" s="1117">
        <f>+'B-FCE'!AA6</f>
        <v>1414000</v>
      </c>
      <c r="AB6" s="2358">
        <f>+'B-FCE'!AB6</f>
        <v>1508049.7</v>
      </c>
      <c r="AC6" s="3398">
        <f>+'B-FCE'!AC6</f>
        <v>260000</v>
      </c>
      <c r="AD6" s="3398">
        <f>+'B-FCE'!AD6</f>
        <v>202962.09999999998</v>
      </c>
      <c r="AE6" s="2100">
        <f>AA6+AC6</f>
        <v>1674000</v>
      </c>
      <c r="AF6" s="2100">
        <f>AB6+AD6</f>
        <v>1711011.7999999998</v>
      </c>
      <c r="AG6" s="3398">
        <f>+'B-FCE'!AG6</f>
        <v>252000</v>
      </c>
      <c r="AH6" s="3398">
        <f>+'B-FCE'!AH6</f>
        <v>244148.19999999998</v>
      </c>
      <c r="AI6" s="2100">
        <f>AE6+AG6</f>
        <v>1926000</v>
      </c>
      <c r="AJ6" s="2100">
        <f>AF6+AH6</f>
        <v>1955159.9999999998</v>
      </c>
      <c r="AK6" s="3398">
        <f>+'B-FCE'!AK6</f>
        <v>260000</v>
      </c>
      <c r="AL6" s="3398">
        <f>+'B-FCE'!AL6</f>
        <v>251560.99999999997</v>
      </c>
      <c r="AM6" s="1115">
        <f>AC6+AG6+AK6</f>
        <v>772000</v>
      </c>
      <c r="AN6" s="1115">
        <f>AD6+AH6+AL6</f>
        <v>698671.29999999993</v>
      </c>
      <c r="AO6" s="2100">
        <f>AI6+AK6</f>
        <v>2186000</v>
      </c>
      <c r="AP6" s="2100">
        <f>AJ6+AL6</f>
        <v>2206720.9999999995</v>
      </c>
      <c r="AQ6" s="3398">
        <f>+'B-FCE'!AQ6</f>
        <v>264000</v>
      </c>
      <c r="AR6" s="3398">
        <f>+'B-FCE'!AR6</f>
        <v>244851.4</v>
      </c>
      <c r="AS6" s="2100">
        <f>AO6+AQ6</f>
        <v>2450000</v>
      </c>
      <c r="AT6" s="2100">
        <f>AP6+AR6</f>
        <v>2451572.3999999994</v>
      </c>
      <c r="AU6" s="3398">
        <f>+'B-FCE'!AU6</f>
        <v>236000</v>
      </c>
      <c r="AV6" s="3398">
        <f>+'B-FCE'!AV6</f>
        <v>196575.3</v>
      </c>
      <c r="AW6" s="2100">
        <f>AS6+AU6</f>
        <v>2686000</v>
      </c>
      <c r="AX6" s="2100">
        <f>AT6+AV6</f>
        <v>2648147.6999999993</v>
      </c>
      <c r="AY6" s="3398">
        <f>+'B-FCE'!AY6</f>
        <v>264000</v>
      </c>
      <c r="AZ6" s="3398">
        <f>+'B-FCE'!AZ6</f>
        <v>251871.70000000004</v>
      </c>
      <c r="BA6" s="3534">
        <f>AQ6+AU6+AY6</f>
        <v>764000</v>
      </c>
      <c r="BB6" s="3534">
        <f>AR6+AV6+AZ6</f>
        <v>693298.4</v>
      </c>
      <c r="BC6" s="3536">
        <f>AM6+BA6</f>
        <v>1536000</v>
      </c>
      <c r="BD6" s="3537">
        <f>AN6+BB6</f>
        <v>1391969.7</v>
      </c>
      <c r="BE6" s="3396">
        <f>AW6+AY6</f>
        <v>2950000</v>
      </c>
      <c r="BF6" s="3396">
        <f>AX6+AZ6</f>
        <v>2900019.3999999994</v>
      </c>
      <c r="BG6" s="2445"/>
      <c r="BH6" s="2445"/>
      <c r="BI6" s="2445"/>
      <c r="BJ6" s="2445"/>
      <c r="BK6" s="2445"/>
      <c r="BL6" s="2445"/>
    </row>
    <row r="7" spans="2:64" x14ac:dyDescent="0.35">
      <c r="B7" s="1450"/>
      <c r="C7" s="939"/>
      <c r="D7" s="6037"/>
      <c r="E7" s="939"/>
      <c r="F7" s="939"/>
      <c r="G7" s="939"/>
      <c r="H7" s="939"/>
      <c r="I7" s="3538"/>
      <c r="J7" s="3538"/>
      <c r="K7" s="939"/>
      <c r="L7" s="939"/>
      <c r="M7" s="3539"/>
      <c r="N7" s="3540"/>
      <c r="O7" s="939"/>
      <c r="P7" s="939"/>
      <c r="Q7" s="3538"/>
      <c r="R7" s="3538"/>
      <c r="S7" s="939"/>
      <c r="T7" s="939"/>
      <c r="U7" s="3538"/>
      <c r="V7" s="3538"/>
      <c r="W7" s="939"/>
      <c r="X7" s="939"/>
      <c r="Y7" s="3539"/>
      <c r="Z7" s="3540"/>
      <c r="AA7" s="3541"/>
      <c r="AB7" s="3542"/>
      <c r="AC7" s="939"/>
      <c r="AD7" s="939"/>
      <c r="AE7" s="3538"/>
      <c r="AF7" s="3538"/>
      <c r="AG7" s="939"/>
      <c r="AH7" s="939"/>
      <c r="AI7" s="3538"/>
      <c r="AJ7" s="3538"/>
      <c r="AK7" s="939"/>
      <c r="AL7" s="939"/>
      <c r="AM7" s="3539"/>
      <c r="AN7" s="3540"/>
      <c r="AO7" s="940"/>
      <c r="AP7" s="940"/>
      <c r="AQ7" s="939"/>
      <c r="AR7" s="939"/>
      <c r="AS7" s="940"/>
      <c r="AT7" s="940"/>
      <c r="AU7" s="939"/>
      <c r="AV7" s="939"/>
      <c r="AW7" s="940"/>
      <c r="AX7" s="940"/>
      <c r="AY7" s="939"/>
      <c r="AZ7" s="939"/>
      <c r="BA7" s="3539"/>
      <c r="BB7" s="3540"/>
      <c r="BC7" s="3541"/>
      <c r="BD7" s="3542"/>
      <c r="BE7" s="940"/>
      <c r="BF7" s="940"/>
      <c r="BG7" s="2445"/>
      <c r="BH7" s="2445"/>
      <c r="BI7" s="2445"/>
      <c r="BJ7" s="2445"/>
      <c r="BK7" s="2445"/>
      <c r="BL7" s="2445"/>
    </row>
    <row r="8" spans="2:64" x14ac:dyDescent="0.35">
      <c r="B8" s="1450" t="s">
        <v>948</v>
      </c>
      <c r="C8" s="2015" t="s">
        <v>66</v>
      </c>
      <c r="D8" s="6037"/>
      <c r="E8" s="2382">
        <f>+'B-FCE'!E23</f>
        <v>89712</v>
      </c>
      <c r="F8" s="2382">
        <f>+'B-FCE'!F23</f>
        <v>78684.817500000019</v>
      </c>
      <c r="G8" s="2382">
        <f>+'B-FCE'!G23</f>
        <v>92560</v>
      </c>
      <c r="H8" s="2382">
        <f>+'B-FCE'!H23</f>
        <v>88475.2503</v>
      </c>
      <c r="I8" s="2100">
        <f t="shared" ref="I8:I12" si="2">E8+G8</f>
        <v>182272</v>
      </c>
      <c r="J8" s="2100">
        <f t="shared" ref="J8:J12" si="3">F8+H8</f>
        <v>167160.06780000002</v>
      </c>
      <c r="K8" s="2382">
        <f>+'B-FCE'!K23</f>
        <v>89712</v>
      </c>
      <c r="L8" s="2382">
        <f>+'B-FCE'!L23</f>
        <v>91104.908899999995</v>
      </c>
      <c r="M8" s="3534">
        <f>+'B-FCE'!M23</f>
        <v>271984</v>
      </c>
      <c r="N8" s="3535">
        <f t="shared" si="0"/>
        <v>258264.9767</v>
      </c>
      <c r="O8" s="2382">
        <f>+'B-FCE'!O23</f>
        <v>90780</v>
      </c>
      <c r="P8" s="2382">
        <f>+'B-FCE'!P23</f>
        <v>97220.250600000014</v>
      </c>
      <c r="Q8" s="2100">
        <f t="shared" ref="Q8:Q12" si="4">M8+O8</f>
        <v>362764</v>
      </c>
      <c r="R8" s="2100">
        <f t="shared" ref="R8:R12" si="5">N8+P8</f>
        <v>355485.22730000003</v>
      </c>
      <c r="S8" s="2382">
        <f>+'B-FCE'!S23</f>
        <v>90780</v>
      </c>
      <c r="T8" s="2382">
        <f>+'B-FCE'!T23</f>
        <v>92678.77111999999</v>
      </c>
      <c r="U8" s="2100">
        <f t="shared" ref="U8:U12" si="6">Q8+S8</f>
        <v>453544</v>
      </c>
      <c r="V8" s="2100">
        <f t="shared" ref="V8:V12" si="7">R8+T8</f>
        <v>448163.99842000002</v>
      </c>
      <c r="W8" s="2382">
        <f>+'B-FCE'!W23</f>
        <v>53620</v>
      </c>
      <c r="X8" s="2382">
        <f>+'B-FCE'!X23</f>
        <v>94980.636339999997</v>
      </c>
      <c r="Y8" s="3534">
        <f>+'B-FCE'!Y23</f>
        <v>235180</v>
      </c>
      <c r="Z8" s="3535">
        <f>+'B-FCE'!Z23</f>
        <v>284879.65805999999</v>
      </c>
      <c r="AA8" s="3536">
        <f>+'B-FCE'!AA23</f>
        <v>507164</v>
      </c>
      <c r="AB8" s="3537">
        <f>+'B-FCE'!AB23</f>
        <v>543144.63476000004</v>
      </c>
      <c r="AC8" s="2382">
        <f>+'B-FCE'!AC23</f>
        <v>92040</v>
      </c>
      <c r="AD8" s="2382">
        <f>+'B-FCE'!AD23</f>
        <v>82612.429080000002</v>
      </c>
      <c r="AE8" s="2100">
        <f t="shared" ref="AE8:AE12" si="8">AA8+AC8</f>
        <v>599204</v>
      </c>
      <c r="AF8" s="2100">
        <f t="shared" ref="AF8:AF12" si="9">AB8+AD8</f>
        <v>625757.06384000008</v>
      </c>
      <c r="AG8" s="2382">
        <f>+'B-FCE'!AG23</f>
        <v>89208</v>
      </c>
      <c r="AH8" s="2382">
        <f>+'B-FCE'!AH23</f>
        <v>89431</v>
      </c>
      <c r="AI8" s="2100">
        <f t="shared" ref="AI8:AI12" si="10">AE8+AG8</f>
        <v>688412</v>
      </c>
      <c r="AJ8" s="2100">
        <f t="shared" ref="AJ8:AJ12" si="11">AF8+AH8</f>
        <v>715188.06384000008</v>
      </c>
      <c r="AK8" s="2382">
        <f>+'B-FCE'!AK23</f>
        <v>92040</v>
      </c>
      <c r="AL8" s="2382">
        <f>+'B-FCE'!AL23</f>
        <v>95439.613600000026</v>
      </c>
      <c r="AM8" s="1115">
        <f t="shared" ref="AM8:AM12" si="12">AC8+AG8+AK8</f>
        <v>273288</v>
      </c>
      <c r="AN8" s="1115">
        <f t="shared" ref="AN8:AN12" si="13">AD8+AH8+AL8</f>
        <v>267483.04268000001</v>
      </c>
      <c r="AO8" s="2100">
        <f t="shared" ref="AO8:AO12" si="14">AI8+AK8</f>
        <v>780452</v>
      </c>
      <c r="AP8" s="2100">
        <f t="shared" ref="AP8:AP12" si="15">AJ8+AL8</f>
        <v>810627.67744000012</v>
      </c>
      <c r="AQ8" s="2382">
        <f>+'B-FCE'!AQ23</f>
        <v>93456</v>
      </c>
      <c r="AR8" s="2382">
        <f>+'B-FCE'!AR23</f>
        <v>94365.280469999998</v>
      </c>
      <c r="AS8" s="2100">
        <f t="shared" ref="AS8:AS12" si="16">AO8+AQ8</f>
        <v>873908</v>
      </c>
      <c r="AT8" s="2100">
        <f t="shared" ref="AT8:AT12" si="17">AP8+AR8</f>
        <v>904992.95791000011</v>
      </c>
      <c r="AU8" s="2382">
        <f>+'B-FCE'!AU23</f>
        <v>83544</v>
      </c>
      <c r="AV8" s="2382">
        <f>+'B-FCE'!AV23</f>
        <v>84493.69425</v>
      </c>
      <c r="AW8" s="2100">
        <f t="shared" ref="AW8:AW12" si="18">AS8+AU8</f>
        <v>957452</v>
      </c>
      <c r="AX8" s="2100">
        <f t="shared" ref="AX8:AX12" si="19">AT8+AV8</f>
        <v>989486.65216000006</v>
      </c>
      <c r="AY8" s="2382">
        <f>+'B-FCE'!AY23</f>
        <v>93456</v>
      </c>
      <c r="AZ8" s="2382">
        <f>+'B-FCE'!AZ23</f>
        <v>92471.241399999999</v>
      </c>
      <c r="BA8" s="3534">
        <f t="shared" ref="BA8:BA11" si="20">AQ8+AU8+AY8</f>
        <v>270456</v>
      </c>
      <c r="BB8" s="3534">
        <f t="shared" ref="BB8:BB11" si="21">AR8+AV8+AZ8</f>
        <v>271330.21612</v>
      </c>
      <c r="BC8" s="3536">
        <f t="shared" ref="BC8:BC12" si="22">AM8+BA8</f>
        <v>543744</v>
      </c>
      <c r="BD8" s="3537">
        <f t="shared" ref="BD8:BD12" si="23">AN8+BB8</f>
        <v>538813.25879999995</v>
      </c>
      <c r="BE8" s="3396">
        <f t="shared" ref="BE8:BE12" si="24">AW8+AY8</f>
        <v>1050908</v>
      </c>
      <c r="BF8" s="3396">
        <f t="shared" ref="BF8:BF12" si="25">AX8+AZ8</f>
        <v>1081957.89356</v>
      </c>
      <c r="BG8" s="2445"/>
      <c r="BH8" s="2445"/>
      <c r="BI8" s="2445"/>
      <c r="BJ8" s="2445"/>
      <c r="BK8" s="2445"/>
      <c r="BL8" s="2445"/>
    </row>
    <row r="9" spans="2:64" x14ac:dyDescent="0.35">
      <c r="B9" s="1450" t="s">
        <v>949</v>
      </c>
      <c r="C9" s="2015" t="s">
        <v>66</v>
      </c>
      <c r="D9" s="6037"/>
      <c r="E9" s="2382">
        <f>+'B-FCE'!E24</f>
        <v>7308</v>
      </c>
      <c r="F9" s="2382">
        <f>+'B-FCE'!F24</f>
        <v>6494.4988000000003</v>
      </c>
      <c r="G9" s="2382">
        <f>+'B-FCE'!G24</f>
        <v>7540</v>
      </c>
      <c r="H9" s="2382">
        <f>+'B-FCE'!H24</f>
        <v>7479.2059999999992</v>
      </c>
      <c r="I9" s="2100">
        <f t="shared" si="2"/>
        <v>14848</v>
      </c>
      <c r="J9" s="2100">
        <f t="shared" si="3"/>
        <v>13973.7048</v>
      </c>
      <c r="K9" s="2382">
        <f>+'B-FCE'!K24</f>
        <v>7308</v>
      </c>
      <c r="L9" s="2382">
        <f>+'B-FCE'!L24</f>
        <v>8335.2548999999999</v>
      </c>
      <c r="M9" s="3534">
        <f>+'B-FCE'!M24</f>
        <v>22156</v>
      </c>
      <c r="N9" s="3535">
        <f t="shared" si="0"/>
        <v>22308.959699999999</v>
      </c>
      <c r="O9" s="2382">
        <f>+'B-FCE'!O24</f>
        <v>7395</v>
      </c>
      <c r="P9" s="2382">
        <f>+'B-FCE'!P24</f>
        <v>10931.993400000003</v>
      </c>
      <c r="Q9" s="2100">
        <f t="shared" si="4"/>
        <v>29551</v>
      </c>
      <c r="R9" s="2100">
        <f t="shared" si="5"/>
        <v>33240.953099999999</v>
      </c>
      <c r="S9" s="2382">
        <f>+'B-FCE'!S24</f>
        <v>7395</v>
      </c>
      <c r="T9" s="2382">
        <f>+'B-FCE'!T24</f>
        <v>9434.9160300000003</v>
      </c>
      <c r="U9" s="2100">
        <f t="shared" si="6"/>
        <v>36946</v>
      </c>
      <c r="V9" s="2100">
        <f t="shared" si="7"/>
        <v>42675.869129999999</v>
      </c>
      <c r="W9" s="2382">
        <f>+'B-FCE'!W24</f>
        <v>3920</v>
      </c>
      <c r="X9" s="2382">
        <f>+'B-FCE'!X24</f>
        <v>8937.2429000000029</v>
      </c>
      <c r="Y9" s="3534">
        <f>+'B-FCE'!Y24</f>
        <v>18710</v>
      </c>
      <c r="Z9" s="3535">
        <f>+'B-FCE'!Z24</f>
        <v>29304.152330000008</v>
      </c>
      <c r="AA9" s="3536">
        <f>+'B-FCE'!AA24</f>
        <v>40866</v>
      </c>
      <c r="AB9" s="3537">
        <f>+'B-FCE'!AB24</f>
        <v>51613.112030000004</v>
      </c>
      <c r="AC9" s="2382">
        <f>+'B-FCE'!AC24</f>
        <v>7540</v>
      </c>
      <c r="AD9" s="2382">
        <f>+'B-FCE'!AD24</f>
        <v>6146.5302000000011</v>
      </c>
      <c r="AE9" s="2100">
        <f t="shared" si="8"/>
        <v>48406</v>
      </c>
      <c r="AF9" s="2100">
        <f t="shared" si="9"/>
        <v>57759.642230000005</v>
      </c>
      <c r="AG9" s="2382">
        <f>+'B-FCE'!AG24</f>
        <v>7308</v>
      </c>
      <c r="AH9" s="2382">
        <f>+'B-FCE'!AH24</f>
        <v>9215</v>
      </c>
      <c r="AI9" s="2100">
        <f t="shared" si="10"/>
        <v>55714</v>
      </c>
      <c r="AJ9" s="2100">
        <f t="shared" si="11"/>
        <v>66974.642229999998</v>
      </c>
      <c r="AK9" s="2382">
        <f>+'B-FCE'!AK24</f>
        <v>7540</v>
      </c>
      <c r="AL9" s="2382">
        <f>+'B-FCE'!AL24</f>
        <v>8963.0492999999988</v>
      </c>
      <c r="AM9" s="1115">
        <f t="shared" si="12"/>
        <v>22388</v>
      </c>
      <c r="AN9" s="1115">
        <f t="shared" si="13"/>
        <v>24324.5795</v>
      </c>
      <c r="AO9" s="2100">
        <f t="shared" si="14"/>
        <v>63254</v>
      </c>
      <c r="AP9" s="2100">
        <f t="shared" si="15"/>
        <v>75937.691529999996</v>
      </c>
      <c r="AQ9" s="2382">
        <f>+'B-FCE'!AQ24</f>
        <v>7656</v>
      </c>
      <c r="AR9" s="2382">
        <f>+'B-FCE'!AR24</f>
        <v>7792.9575640000003</v>
      </c>
      <c r="AS9" s="2100">
        <f t="shared" si="16"/>
        <v>70910</v>
      </c>
      <c r="AT9" s="2100">
        <f t="shared" si="17"/>
        <v>83730.649093999993</v>
      </c>
      <c r="AU9" s="2382">
        <f>+'B-FCE'!AU24</f>
        <v>6844</v>
      </c>
      <c r="AV9" s="2382">
        <f>+'B-FCE'!AV24</f>
        <v>5861.8010599999998</v>
      </c>
      <c r="AW9" s="2100">
        <f t="shared" si="18"/>
        <v>77754</v>
      </c>
      <c r="AX9" s="2100">
        <f t="shared" si="19"/>
        <v>89592.450153999991</v>
      </c>
      <c r="AY9" s="2382">
        <f>+'B-FCE'!AY24</f>
        <v>7656</v>
      </c>
      <c r="AZ9" s="2382">
        <f>+'B-FCE'!AZ24</f>
        <v>8283.8433999999997</v>
      </c>
      <c r="BA9" s="3534">
        <f t="shared" si="20"/>
        <v>22156</v>
      </c>
      <c r="BB9" s="3534">
        <f t="shared" si="21"/>
        <v>21938.602024</v>
      </c>
      <c r="BC9" s="3536">
        <f t="shared" si="22"/>
        <v>44544</v>
      </c>
      <c r="BD9" s="3537">
        <f t="shared" si="23"/>
        <v>46263.181524</v>
      </c>
      <c r="BE9" s="3396">
        <f t="shared" si="24"/>
        <v>85410</v>
      </c>
      <c r="BF9" s="3396">
        <f t="shared" si="25"/>
        <v>97876.293553999989</v>
      </c>
      <c r="BG9" s="2445"/>
      <c r="BH9" s="2445"/>
      <c r="BI9" s="2445"/>
      <c r="BJ9" s="2445"/>
      <c r="BK9" s="2445"/>
      <c r="BL9" s="2445"/>
    </row>
    <row r="10" spans="2:64" x14ac:dyDescent="0.35">
      <c r="B10" s="1450" t="s">
        <v>950</v>
      </c>
      <c r="C10" s="2015" t="s">
        <v>66</v>
      </c>
      <c r="D10" s="6037"/>
      <c r="E10" s="2382">
        <f>+'B-FCE'!E65</f>
        <v>10780</v>
      </c>
      <c r="F10" s="2382">
        <f>+'B-FCE'!F65</f>
        <v>10099.894</v>
      </c>
      <c r="G10" s="2382">
        <f>+'B-FCE'!G65</f>
        <v>11122.222222222219</v>
      </c>
      <c r="H10" s="2382">
        <f>+'B-FCE'!H65</f>
        <v>11375.684999999999</v>
      </c>
      <c r="I10" s="2100">
        <f t="shared" si="2"/>
        <v>21902.222222222219</v>
      </c>
      <c r="J10" s="2100">
        <f t="shared" si="3"/>
        <v>21475.578999999998</v>
      </c>
      <c r="K10" s="2382">
        <f>+'B-FCE'!K65</f>
        <v>10780</v>
      </c>
      <c r="L10" s="2382">
        <f>+'B-FCE'!L65</f>
        <v>11847.7976</v>
      </c>
      <c r="M10" s="3534">
        <f>+'B-FCE'!M65</f>
        <v>32682.222222222219</v>
      </c>
      <c r="N10" s="3535">
        <f>F10+H10+L10</f>
        <v>33323.376599999996</v>
      </c>
      <c r="O10" s="2382">
        <f>+'B-FCE'!O65</f>
        <v>10908.333333333328</v>
      </c>
      <c r="P10" s="2382">
        <f>+'B-FCE'!P65</f>
        <v>13053.6016</v>
      </c>
      <c r="Q10" s="2100">
        <f t="shared" si="4"/>
        <v>43590.555555555547</v>
      </c>
      <c r="R10" s="2100">
        <f t="shared" si="5"/>
        <v>46376.978199999998</v>
      </c>
      <c r="S10" s="2382">
        <f>+'B-FCE'!S65</f>
        <v>10908.333333333328</v>
      </c>
      <c r="T10" s="2382">
        <f>+'B-FCE'!T65</f>
        <v>12613.0455</v>
      </c>
      <c r="U10" s="2100">
        <f t="shared" si="6"/>
        <v>54498.888888888876</v>
      </c>
      <c r="V10" s="2100">
        <f t="shared" si="7"/>
        <v>58990.023699999998</v>
      </c>
      <c r="W10" s="2382">
        <f>+'B-FCE'!W65</f>
        <v>6393.3333333333285</v>
      </c>
      <c r="X10" s="2382">
        <f>+'B-FCE'!X65</f>
        <v>12861.105600000001</v>
      </c>
      <c r="Y10" s="3534">
        <f>+'B-FCE'!Y65</f>
        <v>28209.999999999985</v>
      </c>
      <c r="Z10" s="3535">
        <f>+'B-FCE'!Z65</f>
        <v>38527.752700000005</v>
      </c>
      <c r="AA10" s="3536">
        <f>+'B-FCE'!AA65</f>
        <v>60892.222222222204</v>
      </c>
      <c r="AB10" s="3537">
        <f>+'B-FCE'!AB65</f>
        <v>71851.129300000001</v>
      </c>
      <c r="AC10" s="2382">
        <f>+'B-FCE'!AC65</f>
        <v>11064.444444444438</v>
      </c>
      <c r="AD10" s="2382">
        <f>+'B-FCE'!AD65</f>
        <v>12145.35</v>
      </c>
      <c r="AE10" s="2100">
        <f t="shared" si="8"/>
        <v>71956.666666666642</v>
      </c>
      <c r="AF10" s="2100">
        <f t="shared" si="9"/>
        <v>83996.479300000006</v>
      </c>
      <c r="AG10" s="2382">
        <f>+'B-FCE'!AG65</f>
        <v>10724</v>
      </c>
      <c r="AH10" s="2382">
        <f>+'B-FCE'!AH65</f>
        <v>11554.65</v>
      </c>
      <c r="AI10" s="2100">
        <f t="shared" si="10"/>
        <v>82680.666666666642</v>
      </c>
      <c r="AJ10" s="2100">
        <f t="shared" si="11"/>
        <v>95551.129300000001</v>
      </c>
      <c r="AK10" s="2382">
        <f>+'B-FCE'!AK65</f>
        <v>11064.444444444438</v>
      </c>
      <c r="AL10" s="2382">
        <f>+'B-FCE'!AL65</f>
        <v>10852.704</v>
      </c>
      <c r="AM10" s="1115">
        <f t="shared" si="12"/>
        <v>32852.888888888876</v>
      </c>
      <c r="AN10" s="1115">
        <f t="shared" si="13"/>
        <v>34552.703999999998</v>
      </c>
      <c r="AO10" s="2100">
        <f t="shared" si="14"/>
        <v>93745.11111111108</v>
      </c>
      <c r="AP10" s="2100">
        <f t="shared" si="15"/>
        <v>106403.8333</v>
      </c>
      <c r="AQ10" s="2382">
        <f>+'B-FCE'!AQ65</f>
        <v>11234.666666666657</v>
      </c>
      <c r="AR10" s="2382">
        <f>+'B-FCE'!AR65</f>
        <v>9568.2595999999994</v>
      </c>
      <c r="AS10" s="2100">
        <f t="shared" si="16"/>
        <v>104979.77777777774</v>
      </c>
      <c r="AT10" s="2100">
        <f t="shared" si="17"/>
        <v>115972.0929</v>
      </c>
      <c r="AU10" s="2382">
        <f>+'B-FCE'!AU65</f>
        <v>10043.111111111109</v>
      </c>
      <c r="AV10" s="2382">
        <f>+'B-FCE'!AV65</f>
        <v>12336.7</v>
      </c>
      <c r="AW10" s="2100">
        <f t="shared" si="18"/>
        <v>115022.88888888885</v>
      </c>
      <c r="AX10" s="2100">
        <f t="shared" si="19"/>
        <v>128308.7929</v>
      </c>
      <c r="AY10" s="2382">
        <f>+'B-FCE'!AY65</f>
        <v>11234.666666666657</v>
      </c>
      <c r="AZ10" s="2382">
        <f>+'B-FCE'!AZ65</f>
        <v>11656.3968</v>
      </c>
      <c r="BA10" s="3534">
        <f t="shared" si="20"/>
        <v>32512.444444444423</v>
      </c>
      <c r="BB10" s="3534">
        <f t="shared" si="21"/>
        <v>33561.356400000004</v>
      </c>
      <c r="BC10" s="3536">
        <f t="shared" si="22"/>
        <v>65365.333333333299</v>
      </c>
      <c r="BD10" s="3537">
        <f t="shared" si="23"/>
        <v>68114.060400000002</v>
      </c>
      <c r="BE10" s="3396">
        <f t="shared" si="24"/>
        <v>126257.5555555555</v>
      </c>
      <c r="BF10" s="3396">
        <f t="shared" si="25"/>
        <v>139965.18969999999</v>
      </c>
      <c r="BG10" s="2445"/>
      <c r="BH10" s="2445"/>
      <c r="BI10" s="2445"/>
      <c r="BJ10" s="2445"/>
      <c r="BK10" s="2445"/>
      <c r="BL10" s="2445"/>
    </row>
    <row r="11" spans="2:64" x14ac:dyDescent="0.35">
      <c r="B11" s="1450" t="s">
        <v>952</v>
      </c>
      <c r="C11" s="2015" t="s">
        <v>66</v>
      </c>
      <c r="D11" s="6037"/>
      <c r="E11" s="2382">
        <f>+'B-FCE'!E33</f>
        <v>0</v>
      </c>
      <c r="F11" s="2382">
        <f>+'B-FCE'!F33</f>
        <v>0</v>
      </c>
      <c r="G11" s="2382">
        <f>+'B-FCE'!G33</f>
        <v>0</v>
      </c>
      <c r="H11" s="2382">
        <f>+'B-FCE'!H33</f>
        <v>0</v>
      </c>
      <c r="I11" s="2100">
        <f t="shared" si="2"/>
        <v>0</v>
      </c>
      <c r="J11" s="2100">
        <f t="shared" si="3"/>
        <v>0</v>
      </c>
      <c r="K11" s="2382">
        <f>+'B-FCE'!K33</f>
        <v>0</v>
      </c>
      <c r="L11" s="2382">
        <f>+'B-FCE'!L33</f>
        <v>0</v>
      </c>
      <c r="M11" s="3534">
        <f>+'B-FCE'!M33</f>
        <v>0</v>
      </c>
      <c r="N11" s="3535">
        <f>F11+H11+L11</f>
        <v>0</v>
      </c>
      <c r="O11" s="2382">
        <f>+'B-FCE'!O33</f>
        <v>0</v>
      </c>
      <c r="P11" s="2382">
        <f>+'B-FCE'!P33</f>
        <v>0</v>
      </c>
      <c r="Q11" s="2100">
        <f t="shared" si="4"/>
        <v>0</v>
      </c>
      <c r="R11" s="2100">
        <f t="shared" si="5"/>
        <v>0</v>
      </c>
      <c r="S11" s="2382">
        <f>+'B-FCE'!S33</f>
        <v>0</v>
      </c>
      <c r="T11" s="2382">
        <f>+'B-FCE'!T33</f>
        <v>0</v>
      </c>
      <c r="U11" s="2100">
        <f t="shared" si="6"/>
        <v>0</v>
      </c>
      <c r="V11" s="2100">
        <f t="shared" si="7"/>
        <v>0</v>
      </c>
      <c r="W11" s="2382">
        <f>+'B-FCE'!W33</f>
        <v>8000</v>
      </c>
      <c r="X11" s="2382">
        <f>+'B-FCE'!X33</f>
        <v>0</v>
      </c>
      <c r="Y11" s="3534">
        <f>+'B-FCE'!Y33</f>
        <v>8000</v>
      </c>
      <c r="Z11" s="3535">
        <f>+'B-FCE'!Z33</f>
        <v>0</v>
      </c>
      <c r="AA11" s="3536">
        <f>+'B-FCE'!AA33</f>
        <v>8000</v>
      </c>
      <c r="AB11" s="3537">
        <f>+'B-FCE'!AB33</f>
        <v>0</v>
      </c>
      <c r="AC11" s="2382">
        <f>+'B-FCE'!AC33</f>
        <v>0</v>
      </c>
      <c r="AD11" s="2382">
        <f>+'B-FCE'!AD33</f>
        <v>6298.5</v>
      </c>
      <c r="AE11" s="2100">
        <f t="shared" si="8"/>
        <v>8000</v>
      </c>
      <c r="AF11" s="2100">
        <f t="shared" si="9"/>
        <v>6298.5</v>
      </c>
      <c r="AG11" s="2382">
        <f>+'B-FCE'!AG33</f>
        <v>0</v>
      </c>
      <c r="AH11" s="2382">
        <f>+'B-FCE'!AH33</f>
        <v>678</v>
      </c>
      <c r="AI11" s="2100">
        <f t="shared" si="10"/>
        <v>8000</v>
      </c>
      <c r="AJ11" s="2100">
        <f t="shared" si="11"/>
        <v>6976.5</v>
      </c>
      <c r="AK11" s="2382">
        <f>+'B-FCE'!AK33</f>
        <v>0</v>
      </c>
      <c r="AL11" s="2382">
        <f>+'B-FCE'!AL33</f>
        <v>775</v>
      </c>
      <c r="AM11" s="1115">
        <f t="shared" si="12"/>
        <v>0</v>
      </c>
      <c r="AN11" s="1115">
        <f t="shared" si="13"/>
        <v>7751.5</v>
      </c>
      <c r="AO11" s="2100">
        <f t="shared" si="14"/>
        <v>8000</v>
      </c>
      <c r="AP11" s="2100">
        <f t="shared" si="15"/>
        <v>7751.5</v>
      </c>
      <c r="AQ11" s="2382">
        <f>+'B-FCE'!AQ33</f>
        <v>0</v>
      </c>
      <c r="AR11" s="2382">
        <f>+'B-FCE'!AR33</f>
        <v>0</v>
      </c>
      <c r="AS11" s="2100">
        <f t="shared" si="16"/>
        <v>8000</v>
      </c>
      <c r="AT11" s="2100">
        <f t="shared" si="17"/>
        <v>7751.5</v>
      </c>
      <c r="AU11" s="2382">
        <f>+'B-FCE'!AU33</f>
        <v>0</v>
      </c>
      <c r="AV11" s="2382">
        <f>+'B-FCE'!AV33</f>
        <v>0</v>
      </c>
      <c r="AW11" s="2100">
        <f t="shared" si="18"/>
        <v>8000</v>
      </c>
      <c r="AX11" s="2100">
        <f t="shared" si="19"/>
        <v>7751.5</v>
      </c>
      <c r="AY11" s="2382">
        <f>+'B-FCE'!AY33</f>
        <v>0</v>
      </c>
      <c r="AZ11" s="2382">
        <f>+'B-FCE'!AZ33</f>
        <v>0</v>
      </c>
      <c r="BA11" s="3534">
        <f t="shared" si="20"/>
        <v>0</v>
      </c>
      <c r="BB11" s="3534">
        <f t="shared" si="21"/>
        <v>0</v>
      </c>
      <c r="BC11" s="3536">
        <f t="shared" si="22"/>
        <v>0</v>
      </c>
      <c r="BD11" s="3537">
        <f t="shared" si="23"/>
        <v>7751.5</v>
      </c>
      <c r="BE11" s="3396">
        <f t="shared" si="24"/>
        <v>8000</v>
      </c>
      <c r="BF11" s="3396">
        <f t="shared" si="25"/>
        <v>7751.5</v>
      </c>
      <c r="BG11" s="2445"/>
      <c r="BH11" s="2445"/>
      <c r="BI11" s="2445"/>
      <c r="BJ11" s="2445"/>
      <c r="BK11" s="2445"/>
      <c r="BL11" s="2445"/>
    </row>
    <row r="12" spans="2:64" x14ac:dyDescent="0.35">
      <c r="B12" s="1450" t="s">
        <v>951</v>
      </c>
      <c r="C12" s="2015" t="s">
        <v>66</v>
      </c>
      <c r="D12" s="6037"/>
      <c r="E12" s="2382">
        <f t="shared" ref="E12:AB12" si="26">SUM(E8:E11)</f>
        <v>107800</v>
      </c>
      <c r="F12" s="2382">
        <f t="shared" si="26"/>
        <v>95279.210300000021</v>
      </c>
      <c r="G12" s="2382">
        <f t="shared" ref="G12:H12" si="27">SUM(G8:G11)</f>
        <v>111222.22222222222</v>
      </c>
      <c r="H12" s="2382">
        <f t="shared" si="27"/>
        <v>107330.1413</v>
      </c>
      <c r="I12" s="2100">
        <f t="shared" si="2"/>
        <v>219022.22222222222</v>
      </c>
      <c r="J12" s="2100">
        <f t="shared" si="3"/>
        <v>202609.35160000002</v>
      </c>
      <c r="K12" s="2382">
        <f t="shared" ref="K12:L12" si="28">SUM(K8:K11)</f>
        <v>107800</v>
      </c>
      <c r="L12" s="2382">
        <f t="shared" si="28"/>
        <v>111287.9614</v>
      </c>
      <c r="M12" s="3534">
        <f t="shared" ref="M12" si="29">SUM(M8:M11)</f>
        <v>326822.22222222225</v>
      </c>
      <c r="N12" s="3535">
        <f>F12+H12+L12</f>
        <v>313897.31300000002</v>
      </c>
      <c r="O12" s="2382">
        <f t="shared" ref="O12:P12" si="30">SUM(O8:O11)</f>
        <v>109083.33333333333</v>
      </c>
      <c r="P12" s="2382">
        <f t="shared" si="30"/>
        <v>121205.84560000002</v>
      </c>
      <c r="Q12" s="2100">
        <f t="shared" si="4"/>
        <v>435905.55555555556</v>
      </c>
      <c r="R12" s="2100">
        <f t="shared" si="5"/>
        <v>435103.15860000002</v>
      </c>
      <c r="S12" s="2382">
        <f t="shared" ref="S12:T12" si="31">SUM(S8:S11)</f>
        <v>109083.33333333333</v>
      </c>
      <c r="T12" s="2382">
        <f t="shared" si="31"/>
        <v>114726.73264999999</v>
      </c>
      <c r="U12" s="2100">
        <f t="shared" si="6"/>
        <v>544988.88888888888</v>
      </c>
      <c r="V12" s="2100">
        <f t="shared" si="7"/>
        <v>549829.89124999999</v>
      </c>
      <c r="W12" s="2382">
        <f t="shared" ref="W12:X12" si="32">SUM(W8:W11)</f>
        <v>71933.333333333328</v>
      </c>
      <c r="X12" s="2382">
        <f t="shared" si="32"/>
        <v>116778.98483999999</v>
      </c>
      <c r="Y12" s="3534">
        <f t="shared" ref="Y12:Z12" si="33">SUM(Y8:Y11)</f>
        <v>290100</v>
      </c>
      <c r="Z12" s="3535">
        <f t="shared" si="33"/>
        <v>352711.56309000001</v>
      </c>
      <c r="AA12" s="3536">
        <f t="shared" si="26"/>
        <v>616922.22222222225</v>
      </c>
      <c r="AB12" s="3537">
        <f t="shared" si="26"/>
        <v>666608.87609000003</v>
      </c>
      <c r="AC12" s="2382">
        <f t="shared" ref="AC12:AD12" si="34">SUM(AC8:AC11)</f>
        <v>110644.44444444444</v>
      </c>
      <c r="AD12" s="2382">
        <f t="shared" si="34"/>
        <v>107202.80928000002</v>
      </c>
      <c r="AE12" s="2100">
        <f t="shared" si="8"/>
        <v>727566.66666666674</v>
      </c>
      <c r="AF12" s="2100">
        <f t="shared" si="9"/>
        <v>773811.68537000008</v>
      </c>
      <c r="AG12" s="2382">
        <f t="shared" ref="AG12:AH12" si="35">SUM(AG8:AG11)</f>
        <v>107240</v>
      </c>
      <c r="AH12" s="2382">
        <f t="shared" si="35"/>
        <v>110878.65</v>
      </c>
      <c r="AI12" s="2100">
        <f t="shared" si="10"/>
        <v>834806.66666666674</v>
      </c>
      <c r="AJ12" s="2100">
        <f t="shared" si="11"/>
        <v>884690.3353700001</v>
      </c>
      <c r="AK12" s="2382">
        <f t="shared" ref="AK12:AL12" si="36">SUM(AK8:AK11)</f>
        <v>110644.44444444444</v>
      </c>
      <c r="AL12" s="2382">
        <f t="shared" si="36"/>
        <v>116030.36690000002</v>
      </c>
      <c r="AM12" s="1115">
        <f t="shared" si="12"/>
        <v>328528.88888888888</v>
      </c>
      <c r="AN12" s="1115">
        <f t="shared" si="13"/>
        <v>334111.82618000003</v>
      </c>
      <c r="AO12" s="2100">
        <f t="shared" si="14"/>
        <v>945451.11111111124</v>
      </c>
      <c r="AP12" s="2100">
        <f t="shared" si="15"/>
        <v>1000720.7022700001</v>
      </c>
      <c r="AQ12" s="2382">
        <f t="shared" ref="AQ12:AR12" si="37">SUM(AQ8:AQ11)</f>
        <v>112346.66666666666</v>
      </c>
      <c r="AR12" s="2382">
        <f t="shared" si="37"/>
        <v>111726.497634</v>
      </c>
      <c r="AS12" s="2100">
        <f t="shared" si="16"/>
        <v>1057797.777777778</v>
      </c>
      <c r="AT12" s="2100">
        <f t="shared" si="17"/>
        <v>1112447.1999040002</v>
      </c>
      <c r="AU12" s="2382">
        <f t="shared" ref="AU12:AV12" si="38">SUM(AU8:AU11)</f>
        <v>100431.11111111111</v>
      </c>
      <c r="AV12" s="2382">
        <f t="shared" si="38"/>
        <v>102692.19531</v>
      </c>
      <c r="AW12" s="2100">
        <f t="shared" si="18"/>
        <v>1158228.888888889</v>
      </c>
      <c r="AX12" s="2100">
        <f t="shared" si="19"/>
        <v>1215139.3952140003</v>
      </c>
      <c r="AY12" s="2382">
        <f t="shared" ref="AY12:AZ12" si="39">SUM(AY8:AY11)</f>
        <v>112346.66666666666</v>
      </c>
      <c r="AZ12" s="2382">
        <f t="shared" si="39"/>
        <v>112411.4816</v>
      </c>
      <c r="BA12" s="3534">
        <f>AQ12+AU12+AY12</f>
        <v>325124.44444444438</v>
      </c>
      <c r="BB12" s="3534">
        <f>AR12+AV12+AZ12</f>
        <v>326830.17454400001</v>
      </c>
      <c r="BC12" s="3536">
        <f t="shared" si="22"/>
        <v>653653.33333333326</v>
      </c>
      <c r="BD12" s="3537">
        <f t="shared" si="23"/>
        <v>660942.00072400004</v>
      </c>
      <c r="BE12" s="3396">
        <f t="shared" si="24"/>
        <v>1270575.5555555557</v>
      </c>
      <c r="BF12" s="3396">
        <f t="shared" si="25"/>
        <v>1327550.8768140003</v>
      </c>
      <c r="BG12" s="2445"/>
      <c r="BH12" s="2445"/>
      <c r="BI12" s="2445"/>
      <c r="BJ12" s="2445"/>
      <c r="BK12" s="2445"/>
      <c r="BL12" s="2445"/>
    </row>
    <row r="13" spans="2:64" x14ac:dyDescent="0.35">
      <c r="B13" s="1450" t="s">
        <v>834</v>
      </c>
      <c r="C13" s="2381" t="s">
        <v>49</v>
      </c>
      <c r="D13" s="6037"/>
      <c r="E13" s="3543">
        <f>+'Maj Techno Summ'!E5</f>
        <v>70</v>
      </c>
      <c r="F13" s="3543">
        <f>+'Maj Techno Summ'!F5</f>
        <v>70</v>
      </c>
      <c r="G13" s="3543">
        <f>+'Maj Techno Summ'!G5</f>
        <v>70</v>
      </c>
      <c r="H13" s="3543">
        <f>+'Maj Techno Summ'!H5</f>
        <v>70</v>
      </c>
      <c r="I13" s="3544">
        <f>+'Maj Techno Summ'!I5</f>
        <v>70</v>
      </c>
      <c r="J13" s="3544">
        <f>+'Maj Techno Summ'!J5</f>
        <v>70</v>
      </c>
      <c r="K13" s="3543">
        <f>+'Maj Techno Summ'!K5</f>
        <v>70</v>
      </c>
      <c r="L13" s="3543">
        <f>+'Maj Techno Summ'!L5</f>
        <v>70</v>
      </c>
      <c r="M13" s="3545">
        <f>+'Maj Techno Summ'!M5</f>
        <v>70</v>
      </c>
      <c r="N13" s="3546">
        <f>+'Maj Techno Summ'!N5</f>
        <v>70</v>
      </c>
      <c r="O13" s="3543">
        <f>+'Maj Techno Summ'!O5</f>
        <v>70</v>
      </c>
      <c r="P13" s="3543">
        <f>+'Maj Techno Summ'!P5</f>
        <v>69.999999999999986</v>
      </c>
      <c r="Q13" s="3544">
        <f>+'Maj Techno Summ'!Q5</f>
        <v>70</v>
      </c>
      <c r="R13" s="3544">
        <f>+'Maj Techno Summ'!R5</f>
        <v>70</v>
      </c>
      <c r="S13" s="3543">
        <f>+'Maj Techno Summ'!S5</f>
        <v>70</v>
      </c>
      <c r="T13" s="3543">
        <f>+'Maj Techno Summ'!T5</f>
        <v>70</v>
      </c>
      <c r="U13" s="3544">
        <f>+'Maj Techno Summ'!U5</f>
        <v>70</v>
      </c>
      <c r="V13" s="3544">
        <f>+'Maj Techno Summ'!V5</f>
        <v>70</v>
      </c>
      <c r="W13" s="3543">
        <f>+'Maj Techno Summ'!W5</f>
        <v>70</v>
      </c>
      <c r="X13" s="3543">
        <f>+'Maj Techno Summ'!X5</f>
        <v>69.49295404013472</v>
      </c>
      <c r="Y13" s="3545">
        <f>+'Maj Techno Summ'!Y5</f>
        <v>70</v>
      </c>
      <c r="Z13" s="3546">
        <f>+'Maj Techno Summ'!Z5</f>
        <v>69.834649220880394</v>
      </c>
      <c r="AA13" s="3547">
        <f>+'Maj Techno Summ'!AA5</f>
        <v>70</v>
      </c>
      <c r="AB13" s="3548">
        <f>+'Maj Techno Summ'!AB5</f>
        <v>69.916418515767404</v>
      </c>
      <c r="AC13" s="3543">
        <f>+'Maj Techno Summ'!AC5</f>
        <v>70</v>
      </c>
      <c r="AD13" s="3543">
        <f>+'Maj Techno Summ'!AD5</f>
        <v>69.7</v>
      </c>
      <c r="AE13" s="3544">
        <f>+'Maj Techno Summ'!AE5</f>
        <v>70</v>
      </c>
      <c r="AF13" s="3544">
        <f>+'Maj Techno Summ'!AF5</f>
        <v>69.885349858057893</v>
      </c>
      <c r="AG13" s="3543">
        <f>+'Maj Techno Summ'!AG5</f>
        <v>70</v>
      </c>
      <c r="AH13" s="3543">
        <f>+'Maj Techno Summ'!AH5</f>
        <v>69.5</v>
      </c>
      <c r="AI13" s="3544">
        <f>+'Maj Techno Summ'!AI5</f>
        <v>70</v>
      </c>
      <c r="AJ13" s="3544">
        <f>+'Maj Techno Summ'!AJ5</f>
        <v>69.837720177923799</v>
      </c>
      <c r="AK13" s="3543">
        <f>+'Maj Techno Summ'!AK5</f>
        <v>70</v>
      </c>
      <c r="AL13" s="3543">
        <f>+'Maj Techno Summ'!AL5</f>
        <v>69.5</v>
      </c>
      <c r="AM13" s="3545">
        <f>+'Maj Techno Summ'!AM5</f>
        <v>70</v>
      </c>
      <c r="AN13" s="3546">
        <f>+'Maj Techno Summ'!AN5</f>
        <v>69.56670356431259</v>
      </c>
      <c r="AO13" s="3544">
        <f>+'Maj Techno Summ'!AO5</f>
        <v>70</v>
      </c>
      <c r="AP13" s="3544">
        <f>+'Maj Techno Summ'!AP5</f>
        <v>69.799445474505504</v>
      </c>
      <c r="AQ13" s="3543">
        <f>+'Maj Techno Summ'!AQ5</f>
        <v>70</v>
      </c>
      <c r="AR13" s="3543">
        <f>+'Maj Techno Summ'!AR5</f>
        <v>69.5</v>
      </c>
      <c r="AS13" s="3544">
        <f>+'Maj Techno Summ'!AS5</f>
        <v>70</v>
      </c>
      <c r="AT13" s="3544">
        <f>+'Maj Techno Summ'!AT5</f>
        <v>69.769204900340156</v>
      </c>
      <c r="AU13" s="3543">
        <f>+'Maj Techno Summ'!AU5</f>
        <v>70</v>
      </c>
      <c r="AV13" s="3543">
        <f>+'Maj Techno Summ'!AV5</f>
        <v>69.5</v>
      </c>
      <c r="AW13" s="3544">
        <f>+'Maj Techno Summ'!AW5</f>
        <v>70</v>
      </c>
      <c r="AX13" s="3544">
        <f>+'Maj Techno Summ'!AX5</f>
        <v>69.746667159354615</v>
      </c>
      <c r="AY13" s="3543">
        <f>+'Maj Techno Summ'!AY5</f>
        <v>70</v>
      </c>
      <c r="AZ13" s="3543">
        <f>+'Maj Techno Summ'!AZ5</f>
        <v>69.499999999999986</v>
      </c>
      <c r="BA13" s="3545">
        <f>+'Maj Techno Summ'!BA5</f>
        <v>70</v>
      </c>
      <c r="BB13" s="3546">
        <f>+'Maj Techno Summ'!BB5</f>
        <v>69.5</v>
      </c>
      <c r="BC13" s="3547">
        <f>+'Maj Techno Summ'!BC5</f>
        <v>70</v>
      </c>
      <c r="BD13" s="3548">
        <f>+'Maj Techno Summ'!BD5</f>
        <v>69.53371754700089</v>
      </c>
      <c r="BE13" s="3544">
        <f>+'Maj Techno Summ'!BE5</f>
        <v>70</v>
      </c>
      <c r="BF13" s="3544">
        <f>+'Maj Techno Summ'!BF5</f>
        <v>69.72561784308084</v>
      </c>
      <c r="BG13" s="2445"/>
      <c r="BH13" s="2445"/>
      <c r="BI13" s="2445"/>
      <c r="BJ13" s="2445"/>
      <c r="BK13" s="2445"/>
      <c r="BL13" s="2445"/>
    </row>
    <row r="14" spans="2:64" x14ac:dyDescent="0.35">
      <c r="B14" s="1450" t="s">
        <v>835</v>
      </c>
      <c r="C14" s="2015" t="s">
        <v>66</v>
      </c>
      <c r="D14" s="6037"/>
      <c r="E14" s="2382">
        <f t="shared" ref="E14:F14" si="40">+E12*100/E13</f>
        <v>154000</v>
      </c>
      <c r="F14" s="2382">
        <f t="shared" si="40"/>
        <v>136113.1575714286</v>
      </c>
      <c r="G14" s="2382">
        <f t="shared" ref="G14:H14" si="41">+G12*100/G13</f>
        <v>158888.88888888888</v>
      </c>
      <c r="H14" s="2382">
        <f t="shared" si="41"/>
        <v>153328.7732857143</v>
      </c>
      <c r="I14" s="2100">
        <f t="shared" ref="I14:I19" si="42">E14+G14</f>
        <v>312888.88888888888</v>
      </c>
      <c r="J14" s="2100">
        <f t="shared" ref="J14:J19" si="43">F14+H14</f>
        <v>289441.9308571429</v>
      </c>
      <c r="K14" s="2382">
        <f t="shared" ref="K14:L14" si="44">+K12*100/K13</f>
        <v>154000</v>
      </c>
      <c r="L14" s="2382">
        <f t="shared" si="44"/>
        <v>158982.802</v>
      </c>
      <c r="M14" s="3534">
        <f t="shared" ref="M14" si="45">+M12*100/M13</f>
        <v>466888.88888888893</v>
      </c>
      <c r="N14" s="3535">
        <f>F14+H14+L14</f>
        <v>448424.73285714292</v>
      </c>
      <c r="O14" s="2382">
        <f t="shared" ref="O14:P14" si="46">+O12*100/O13</f>
        <v>155833.33333333331</v>
      </c>
      <c r="P14" s="2382">
        <f t="shared" si="46"/>
        <v>173151.20800000007</v>
      </c>
      <c r="Q14" s="2100">
        <f t="shared" ref="Q14:Q19" si="47">M14+O14</f>
        <v>622722.22222222225</v>
      </c>
      <c r="R14" s="2100">
        <f t="shared" ref="R14:R19" si="48">N14+P14</f>
        <v>621575.94085714302</v>
      </c>
      <c r="S14" s="2382">
        <f t="shared" ref="S14:T14" si="49">+S12*100/S13</f>
        <v>155833.33333333331</v>
      </c>
      <c r="T14" s="2382">
        <f t="shared" si="49"/>
        <v>163895.33235714285</v>
      </c>
      <c r="U14" s="2100">
        <f t="shared" ref="U14:U19" si="50">Q14+S14</f>
        <v>778555.5555555555</v>
      </c>
      <c r="V14" s="2100">
        <f t="shared" ref="V14:V19" si="51">R14+T14</f>
        <v>785471.27321428584</v>
      </c>
      <c r="W14" s="2382">
        <f t="shared" ref="W14:X14" si="52">+W12*100/W13</f>
        <v>102761.90476190476</v>
      </c>
      <c r="X14" s="2382">
        <f t="shared" si="52"/>
        <v>168044.3527736004</v>
      </c>
      <c r="Y14" s="3535">
        <f>W14+S14+O14</f>
        <v>414428.57142857136</v>
      </c>
      <c r="Z14" s="3535">
        <f>X14+T14+P14</f>
        <v>505090.89313074329</v>
      </c>
      <c r="AA14" s="3536">
        <f>Y14+M14</f>
        <v>881317.46031746035</v>
      </c>
      <c r="AB14" s="3536">
        <f>Z14+N14</f>
        <v>953515.62598788622</v>
      </c>
      <c r="AC14" s="2382">
        <f t="shared" ref="AC14:AD14" si="53">+AC12*100/AC13</f>
        <v>158063.49206349207</v>
      </c>
      <c r="AD14" s="2382">
        <f t="shared" si="53"/>
        <v>153806.03913916787</v>
      </c>
      <c r="AE14" s="2100">
        <f t="shared" ref="AE14:AE19" si="54">AA14+AC14</f>
        <v>1039380.9523809524</v>
      </c>
      <c r="AF14" s="2100">
        <f t="shared" ref="AF14:AF19" si="55">AB14+AD14</f>
        <v>1107321.6651270541</v>
      </c>
      <c r="AG14" s="2382">
        <f t="shared" ref="AG14:AH14" si="56">+AG12*100/AG13</f>
        <v>153200</v>
      </c>
      <c r="AH14" s="2382">
        <f t="shared" si="56"/>
        <v>159537.62589928057</v>
      </c>
      <c r="AI14" s="2100">
        <f t="shared" ref="AI14:AI19" si="57">AE14+AG14</f>
        <v>1192580.9523809524</v>
      </c>
      <c r="AJ14" s="2100">
        <f t="shared" ref="AJ14:AJ19" si="58">AF14+AH14</f>
        <v>1266859.2910263347</v>
      </c>
      <c r="AK14" s="2382">
        <f t="shared" ref="AK14:AL14" si="59">+AK12*100/AK13</f>
        <v>158063.49206349207</v>
      </c>
      <c r="AL14" s="2382">
        <f t="shared" si="59"/>
        <v>166950.16820143888</v>
      </c>
      <c r="AM14" s="1115">
        <f t="shared" ref="AM14:AM19" si="60">AC14+AG14+AK14</f>
        <v>469326.98412698414</v>
      </c>
      <c r="AN14" s="1115">
        <f t="shared" ref="AN14:AN19" si="61">AD14+AH14+AL14</f>
        <v>480293.83323988726</v>
      </c>
      <c r="AO14" s="2100">
        <f t="shared" ref="AO14:AO19" si="62">AI14+AK14</f>
        <v>1350644.4444444445</v>
      </c>
      <c r="AP14" s="2100">
        <f t="shared" ref="AP14:AP19" si="63">AJ14+AL14</f>
        <v>1433809.4592277736</v>
      </c>
      <c r="AQ14" s="2382">
        <f t="shared" ref="AQ14:AR14" si="64">+AQ12*100/AQ13</f>
        <v>160495.23809523808</v>
      </c>
      <c r="AR14" s="2382">
        <f t="shared" si="64"/>
        <v>160757.55055251799</v>
      </c>
      <c r="AS14" s="2100">
        <f t="shared" ref="AS14:AS19" si="65">AO14+AQ14</f>
        <v>1511139.6825396826</v>
      </c>
      <c r="AT14" s="2100">
        <f t="shared" ref="AT14:AT19" si="66">AP14+AR14</f>
        <v>1594567.0097802915</v>
      </c>
      <c r="AU14" s="2382">
        <f t="shared" ref="AU14:AV14" si="67">+AU12*100/AU13</f>
        <v>143473.01587301586</v>
      </c>
      <c r="AV14" s="2382">
        <f t="shared" si="67"/>
        <v>147758.55440287769</v>
      </c>
      <c r="AW14" s="2100">
        <f t="shared" ref="AW14:AW19" si="68">AS14+AU14</f>
        <v>1654612.6984126985</v>
      </c>
      <c r="AX14" s="2100">
        <f t="shared" ref="AX14:AX19" si="69">AT14+AV14</f>
        <v>1742325.564183169</v>
      </c>
      <c r="AY14" s="2382">
        <f t="shared" ref="AY14:AZ14" si="70">+AY12*100/AY13</f>
        <v>160495.23809523808</v>
      </c>
      <c r="AZ14" s="2382">
        <f t="shared" si="70"/>
        <v>161743.13899280579</v>
      </c>
      <c r="BA14" s="3534">
        <f t="shared" ref="BA14:BA19" si="71">AQ14+AU14+AY14</f>
        <v>464463.49206349207</v>
      </c>
      <c r="BB14" s="3534">
        <f t="shared" ref="BB14:BB19" si="72">AR14+AV14+AZ14</f>
        <v>470259.24394820147</v>
      </c>
      <c r="BC14" s="3536">
        <f t="shared" ref="BC14:BC19" si="73">AM14+BA14</f>
        <v>933790.47619047621</v>
      </c>
      <c r="BD14" s="3537">
        <f t="shared" ref="BD14:BD19" si="74">AN14+BB14</f>
        <v>950553.07718808879</v>
      </c>
      <c r="BE14" s="3396">
        <f t="shared" ref="BE14:BE19" si="75">AW14+AY14</f>
        <v>1815107.9365079366</v>
      </c>
      <c r="BF14" s="3396">
        <f t="shared" ref="BF14:BF19" si="76">AX14+AZ14</f>
        <v>1904068.7031759748</v>
      </c>
      <c r="BG14" s="2445"/>
      <c r="BH14" s="2445"/>
      <c r="BI14" s="2445"/>
      <c r="BJ14" s="2445"/>
      <c r="BK14" s="2445"/>
      <c r="BL14" s="2445"/>
    </row>
    <row r="15" spans="2:64" x14ac:dyDescent="0.35">
      <c r="B15" s="1450" t="s">
        <v>836</v>
      </c>
      <c r="C15" s="2015" t="s">
        <v>66</v>
      </c>
      <c r="D15" s="6037"/>
      <c r="E15" s="2382">
        <f>+E14*100/(100-'COKE OVENS'!E197)</f>
        <v>171022.22307645899</v>
      </c>
      <c r="F15" s="2382">
        <f>+F14*100/(100-'COKE OVENS'!F197)</f>
        <v>149046.81733309693</v>
      </c>
      <c r="G15" s="2382">
        <f>+G14*100/(100-'COKE OVENS'!G197)</f>
        <v>176451.49999952115</v>
      </c>
      <c r="H15" s="2382">
        <f>+H14*100/(100-'COKE OVENS'!H197)</f>
        <v>167952.39540788063</v>
      </c>
      <c r="I15" s="2100">
        <f t="shared" si="42"/>
        <v>347473.72307598015</v>
      </c>
      <c r="J15" s="2100">
        <f t="shared" si="43"/>
        <v>316999.21274097753</v>
      </c>
      <c r="K15" s="2382">
        <f>+K14*100/(100-'COKE OVENS'!K197)</f>
        <v>171022.22307645899</v>
      </c>
      <c r="L15" s="2382">
        <f>+L14*100/(100-'COKE OVENS'!L197)</f>
        <v>175091.19162995595</v>
      </c>
      <c r="M15" s="3534">
        <f>+M14*100/(100-'COKE OVENS'!M197)</f>
        <v>518495.94615243922</v>
      </c>
      <c r="N15" s="3535">
        <f t="shared" ref="N15:N19" si="77">F15+H15+L15</f>
        <v>492090.40437093348</v>
      </c>
      <c r="O15" s="2382">
        <f>+O14*100/(100-'COKE OVENS'!O197)</f>
        <v>173058.20192260729</v>
      </c>
      <c r="P15" s="2382">
        <f>+P14*100/(100-'COKE OVENS'!P197)</f>
        <v>193719.96392331299</v>
      </c>
      <c r="Q15" s="2100">
        <f t="shared" si="47"/>
        <v>691554.14807504648</v>
      </c>
      <c r="R15" s="2100">
        <f t="shared" si="48"/>
        <v>685810.36829424649</v>
      </c>
      <c r="S15" s="2382">
        <f>+S14*100/(100-'COKE OVENS'!S197)</f>
        <v>173058.20192260729</v>
      </c>
      <c r="T15" s="2382">
        <f>+T14*100/(100-'COKE OVENS'!T197)</f>
        <v>183150.34572515375</v>
      </c>
      <c r="U15" s="2100">
        <f t="shared" si="50"/>
        <v>864612.34999765374</v>
      </c>
      <c r="V15" s="2100">
        <f t="shared" si="51"/>
        <v>868960.7140194003</v>
      </c>
      <c r="W15" s="2382">
        <f>+W14*100/(100-'COKE OVENS'!W197)</f>
        <v>114120.58051917084</v>
      </c>
      <c r="X15" s="2382">
        <f>+X14*100/(100-'COKE OVENS'!X197)</f>
        <v>187505.05730081178</v>
      </c>
      <c r="Y15" s="3535">
        <f t="shared" ref="Y15:Y19" si="78">W15+S15+O15</f>
        <v>460236.98436438537</v>
      </c>
      <c r="Z15" s="3535">
        <f t="shared" ref="Z15:Z19" si="79">X15+T15+P15</f>
        <v>564375.36694927851</v>
      </c>
      <c r="AA15" s="3536">
        <f t="shared" ref="AA15:AA19" si="80">Y15+M15</f>
        <v>978732.93051682459</v>
      </c>
      <c r="AB15" s="3536">
        <f t="shared" ref="AB15:AB19" si="81">Z15+N15</f>
        <v>1056465.7713202119</v>
      </c>
      <c r="AC15" s="2382">
        <f>+AC14*100/(100-'COKE OVENS'!AC197)</f>
        <v>175534.86883069249</v>
      </c>
      <c r="AD15" s="2382">
        <f>+AD14*100/(100-'COKE OVENS'!AD197)</f>
        <v>170854.69388536835</v>
      </c>
      <c r="AE15" s="2100">
        <f t="shared" si="54"/>
        <v>1154267.7993475171</v>
      </c>
      <c r="AF15" s="2100">
        <f t="shared" si="55"/>
        <v>1227320.4652055802</v>
      </c>
      <c r="AG15" s="2382">
        <f>+AG14*100/(100-'COKE OVENS'!AG197)</f>
        <v>170133.79594359428</v>
      </c>
      <c r="AH15" s="2382">
        <f>+AH14*100/(100-'COKE OVENS'!AH197)</f>
        <v>176074.26357326037</v>
      </c>
      <c r="AI15" s="2100">
        <f t="shared" si="57"/>
        <v>1324401.5952911114</v>
      </c>
      <c r="AJ15" s="2100">
        <f t="shared" si="58"/>
        <v>1403394.7287788405</v>
      </c>
      <c r="AK15" s="2382">
        <f>+AK14*100/(100-'COKE OVENS'!AK197)</f>
        <v>175534.86883069249</v>
      </c>
      <c r="AL15" s="2382">
        <f>+AL14*100/(100-'COKE OVENS'!AL197)</f>
        <v>182985.65148846683</v>
      </c>
      <c r="AM15" s="1115">
        <f t="shared" si="60"/>
        <v>521203.53360497928</v>
      </c>
      <c r="AN15" s="1115">
        <f t="shared" si="61"/>
        <v>529914.60894709546</v>
      </c>
      <c r="AO15" s="2100">
        <f t="shared" si="62"/>
        <v>1499936.4641218039</v>
      </c>
      <c r="AP15" s="2100">
        <f t="shared" si="63"/>
        <v>1586380.3802673074</v>
      </c>
      <c r="AQ15" s="2382">
        <f>+AQ14*100/(100-'COKE OVENS'!AQ197)</f>
        <v>178235.40527424158</v>
      </c>
      <c r="AR15" s="2382">
        <f>+AR14*100/(100-'COKE OVENS'!AR197)</f>
        <v>176054.79073239345</v>
      </c>
      <c r="AS15" s="2100">
        <f t="shared" si="65"/>
        <v>1678171.8693960453</v>
      </c>
      <c r="AT15" s="2100">
        <f t="shared" si="66"/>
        <v>1762435.1709997009</v>
      </c>
      <c r="AU15" s="2382">
        <f>+AU14*100/(100-'COKE OVENS'!AU197)</f>
        <v>159331.65016939779</v>
      </c>
      <c r="AV15" s="2382">
        <f>+AV14*100/(100-'COKE OVENS'!AV197)</f>
        <v>161400.8185419261</v>
      </c>
      <c r="AW15" s="2100">
        <f t="shared" si="68"/>
        <v>1837503.519565443</v>
      </c>
      <c r="AX15" s="2100">
        <f t="shared" si="69"/>
        <v>1923835.989541627</v>
      </c>
      <c r="AY15" s="2382">
        <f>+AY14*100/(100-'COKE OVENS'!AY197)</f>
        <v>178235.40527424158</v>
      </c>
      <c r="AZ15" s="2382">
        <f>+AZ14*100/(100-'COKE OVENS'!AZ197)</f>
        <v>176679.89270716073</v>
      </c>
      <c r="BA15" s="3534">
        <f t="shared" si="71"/>
        <v>515802.46071788098</v>
      </c>
      <c r="BB15" s="3534">
        <f t="shared" si="72"/>
        <v>514135.50198148028</v>
      </c>
      <c r="BC15" s="3536">
        <f t="shared" si="73"/>
        <v>1037005.9943228603</v>
      </c>
      <c r="BD15" s="3537">
        <f t="shared" si="74"/>
        <v>1044050.1109285757</v>
      </c>
      <c r="BE15" s="3396">
        <f t="shared" si="75"/>
        <v>2015738.9248396847</v>
      </c>
      <c r="BF15" s="3396">
        <f t="shared" si="76"/>
        <v>2100515.8822487877</v>
      </c>
      <c r="BG15" s="2445"/>
      <c r="BH15" s="2445"/>
      <c r="BI15" s="2445"/>
      <c r="BJ15" s="2445"/>
      <c r="BK15" s="2445"/>
      <c r="BL15" s="2445"/>
    </row>
    <row r="16" spans="2:64" x14ac:dyDescent="0.35">
      <c r="B16" s="1450" t="s">
        <v>1379</v>
      </c>
      <c r="C16" s="2015" t="s">
        <v>66</v>
      </c>
      <c r="D16" s="6037"/>
      <c r="E16" s="2382">
        <f>+E15*100/(100-'COKE OVENS'!E199)</f>
        <v>175407.40828354767</v>
      </c>
      <c r="F16" s="2382">
        <f>+F15*100/(100-'COKE OVENS'!F199)</f>
        <v>152868.53059804815</v>
      </c>
      <c r="G16" s="2382">
        <f>+G15*100/(100-'COKE OVENS'!G199)</f>
        <v>180975.89743540631</v>
      </c>
      <c r="H16" s="2382">
        <f>+H15*100/(100-'COKE OVENS'!H199)</f>
        <v>172258.86708500577</v>
      </c>
      <c r="I16" s="2100">
        <f t="shared" si="42"/>
        <v>356383.30571895395</v>
      </c>
      <c r="J16" s="2100">
        <f t="shared" si="43"/>
        <v>325127.39768305392</v>
      </c>
      <c r="K16" s="2382">
        <f>+K15*100/(100-'COKE OVENS'!K199)</f>
        <v>175407.40828354767</v>
      </c>
      <c r="L16" s="2382">
        <f>+L15*100/(100-'COKE OVENS'!L199)</f>
        <v>179580.7093640574</v>
      </c>
      <c r="M16" s="3534">
        <f>+M15*100/(100-'COKE OVENS'!M199)</f>
        <v>531790.71400250169</v>
      </c>
      <c r="N16" s="3535">
        <f t="shared" si="77"/>
        <v>504708.10704711132</v>
      </c>
      <c r="O16" s="2382">
        <f>+O15*100/(100-'COKE OVENS'!O199)</f>
        <v>177495.59171549464</v>
      </c>
      <c r="P16" s="2382">
        <f>+P15*100/(100-'COKE OVENS'!P199)</f>
        <v>198687.14248544921</v>
      </c>
      <c r="Q16" s="2100">
        <f t="shared" si="47"/>
        <v>709286.30571799632</v>
      </c>
      <c r="R16" s="2100">
        <f t="shared" si="48"/>
        <v>703395.24953256059</v>
      </c>
      <c r="S16" s="2382">
        <f>+S15*100/(100-'COKE OVENS'!S199)</f>
        <v>177495.59171549464</v>
      </c>
      <c r="T16" s="2382">
        <f>+T15*100/(100-'COKE OVENS'!T199)</f>
        <v>187846.50843605513</v>
      </c>
      <c r="U16" s="2100">
        <f t="shared" si="50"/>
        <v>886781.89743349096</v>
      </c>
      <c r="V16" s="2100">
        <f t="shared" si="51"/>
        <v>891241.75796861574</v>
      </c>
      <c r="W16" s="2382">
        <f>+W15*100/(100-'COKE OVENS'!W199)</f>
        <v>117046.74925043163</v>
      </c>
      <c r="X16" s="2382">
        <f>+X15*100/(100-'COKE OVENS'!X199)</f>
        <v>192312.87928288389</v>
      </c>
      <c r="Y16" s="3535">
        <f t="shared" si="78"/>
        <v>472037.93268142093</v>
      </c>
      <c r="Z16" s="3535">
        <f t="shared" si="79"/>
        <v>578846.5302043882</v>
      </c>
      <c r="AA16" s="3536">
        <f t="shared" si="80"/>
        <v>1003828.6466839226</v>
      </c>
      <c r="AB16" s="3536">
        <f t="shared" si="81"/>
        <v>1083554.6372514996</v>
      </c>
      <c r="AC16" s="2382">
        <f>+AC15*100/(100-'COKE OVENS'!AC199)</f>
        <v>180035.76290327433</v>
      </c>
      <c r="AD16" s="2382">
        <f>+AD15*100/(100-'COKE OVENS'!AD199)</f>
        <v>175235.5834721727</v>
      </c>
      <c r="AE16" s="2100">
        <f t="shared" si="54"/>
        <v>1183864.409587197</v>
      </c>
      <c r="AF16" s="2100">
        <f t="shared" si="55"/>
        <v>1258790.2207236723</v>
      </c>
      <c r="AG16" s="2382">
        <f>+AG15*100/(100-'COKE OVENS'!AG199)</f>
        <v>174496.20096778902</v>
      </c>
      <c r="AH16" s="2382">
        <f>+AH15*100/(100-'COKE OVENS'!AH199)</f>
        <v>180588.98828026705</v>
      </c>
      <c r="AI16" s="2100">
        <f t="shared" si="57"/>
        <v>1358360.6105549859</v>
      </c>
      <c r="AJ16" s="2100">
        <f t="shared" si="58"/>
        <v>1439379.2090039393</v>
      </c>
      <c r="AK16" s="2382">
        <f>+AK15*100/(100-'COKE OVENS'!AK199)</f>
        <v>180035.76290327433</v>
      </c>
      <c r="AL16" s="2382">
        <f>+AL15*100/(100-'COKE OVENS'!AL199)</f>
        <v>187677.59127022239</v>
      </c>
      <c r="AM16" s="1115">
        <f t="shared" si="60"/>
        <v>534567.7267743377</v>
      </c>
      <c r="AN16" s="1115">
        <f t="shared" si="61"/>
        <v>543502.16302266205</v>
      </c>
      <c r="AO16" s="2100">
        <f t="shared" si="62"/>
        <v>1538396.3734582602</v>
      </c>
      <c r="AP16" s="2100">
        <f t="shared" si="63"/>
        <v>1627056.8002741616</v>
      </c>
      <c r="AQ16" s="2382">
        <f>+AQ15*100/(100-'COKE OVENS'!AQ199)</f>
        <v>182805.543871017</v>
      </c>
      <c r="AR16" s="2382">
        <f>+AR15*100/(100-'COKE OVENS'!AR199)</f>
        <v>180569.01613578814</v>
      </c>
      <c r="AS16" s="2100">
        <f t="shared" si="65"/>
        <v>1721201.9173292771</v>
      </c>
      <c r="AT16" s="2100">
        <f t="shared" si="66"/>
        <v>1807625.8164099497</v>
      </c>
      <c r="AU16" s="2382">
        <f>+AU15*100/(100-'COKE OVENS'!AU199)</f>
        <v>163417.07709681825</v>
      </c>
      <c r="AV16" s="2382">
        <f>+AV15*100/(100-'COKE OVENS'!AV199)</f>
        <v>165539.30106864218</v>
      </c>
      <c r="AW16" s="2100">
        <f t="shared" si="68"/>
        <v>1884618.9944260954</v>
      </c>
      <c r="AX16" s="2100">
        <f t="shared" si="69"/>
        <v>1973165.1174785919</v>
      </c>
      <c r="AY16" s="2382">
        <f>+AY15*100/(100-'COKE OVENS'!AY199)</f>
        <v>182805.543871017</v>
      </c>
      <c r="AZ16" s="2382">
        <f>+AZ15*100/(100-'COKE OVENS'!AZ199)</f>
        <v>181210.14636631872</v>
      </c>
      <c r="BA16" s="3534">
        <f t="shared" si="71"/>
        <v>529028.16483885224</v>
      </c>
      <c r="BB16" s="3534">
        <f t="shared" si="72"/>
        <v>527318.46357074904</v>
      </c>
      <c r="BC16" s="3536">
        <f t="shared" si="73"/>
        <v>1063595.8916131901</v>
      </c>
      <c r="BD16" s="3537">
        <f t="shared" si="74"/>
        <v>1070820.626593411</v>
      </c>
      <c r="BE16" s="3396">
        <f t="shared" si="75"/>
        <v>2067424.5382971123</v>
      </c>
      <c r="BF16" s="3396">
        <f t="shared" si="76"/>
        <v>2154375.2638449105</v>
      </c>
      <c r="BG16" s="2445"/>
      <c r="BH16" s="2445"/>
      <c r="BI16" s="2445"/>
      <c r="BJ16" s="2445"/>
      <c r="BK16" s="2445"/>
      <c r="BL16" s="2445"/>
    </row>
    <row r="17" spans="2:64" x14ac:dyDescent="0.35">
      <c r="B17" s="1450" t="s">
        <v>953</v>
      </c>
      <c r="C17" s="2015" t="s">
        <v>66</v>
      </c>
      <c r="D17" s="6037"/>
      <c r="E17" s="3397">
        <f>+'B-FCE'!E25/((100-$C$24)/100)</f>
        <v>41978.182027858114</v>
      </c>
      <c r="F17" s="2382">
        <f>+'B-FCE'!F102</f>
        <v>37497.146483516481</v>
      </c>
      <c r="G17" s="3397">
        <f>+'B-FCE'!G25/((100-$C$24)/100)</f>
        <v>43310.822727155195</v>
      </c>
      <c r="H17" s="2382">
        <f>+'B-FCE'!H102</f>
        <v>43820.499780219783</v>
      </c>
      <c r="I17" s="2100">
        <f t="shared" si="42"/>
        <v>85289.004755013302</v>
      </c>
      <c r="J17" s="2100">
        <f t="shared" si="43"/>
        <v>81317.646263736271</v>
      </c>
      <c r="K17" s="3397">
        <f>+'B-FCE'!K25/((100-$C$24)/100)</f>
        <v>41978.182027858114</v>
      </c>
      <c r="L17" s="2382">
        <f>+'B-FCE'!L102</f>
        <v>44610.065274725261</v>
      </c>
      <c r="M17" s="3534">
        <f>+'B-FCE'!M25/((100-$C$24)/100)</f>
        <v>127267.18678287142</v>
      </c>
      <c r="N17" s="3535">
        <f t="shared" si="77"/>
        <v>125927.71153846153</v>
      </c>
      <c r="O17" s="3397">
        <f>+'B-FCE'!O25/((100-$C$24)/100)</f>
        <v>42477.922290094517</v>
      </c>
      <c r="P17" s="2382">
        <f>+'B-FCE'!P102</f>
        <v>42070.860109890105</v>
      </c>
      <c r="Q17" s="2100">
        <f t="shared" si="47"/>
        <v>169745.10907296592</v>
      </c>
      <c r="R17" s="2100">
        <f t="shared" si="48"/>
        <v>167998.57164835164</v>
      </c>
      <c r="S17" s="3397">
        <f>+'B-FCE'!S25/((100-$C$24)/100)</f>
        <v>42477.922290094517</v>
      </c>
      <c r="T17" s="2382">
        <f>+'B-FCE'!T102</f>
        <v>39478.498549450553</v>
      </c>
      <c r="U17" s="2100">
        <f t="shared" si="50"/>
        <v>212223.03136306044</v>
      </c>
      <c r="V17" s="2100">
        <f t="shared" si="51"/>
        <v>207477.07019780221</v>
      </c>
      <c r="W17" s="3397">
        <f>+'B-FCE'!W25/((100-$C$24)/100)</f>
        <v>18812.444538410487</v>
      </c>
      <c r="X17" s="2382">
        <f>+'B-FCE'!X102</f>
        <v>34369.631934065947</v>
      </c>
      <c r="Y17" s="3535">
        <f t="shared" si="78"/>
        <v>103768.28911859952</v>
      </c>
      <c r="Z17" s="3535">
        <f t="shared" si="79"/>
        <v>115918.9905934066</v>
      </c>
      <c r="AA17" s="3536">
        <f t="shared" si="80"/>
        <v>231035.47590147093</v>
      </c>
      <c r="AB17" s="3536">
        <f t="shared" si="81"/>
        <v>241846.70213186814</v>
      </c>
      <c r="AC17" s="3397">
        <f>+'B-FCE'!AC25/((100-$C$24)/100)</f>
        <v>43888.300363517264</v>
      </c>
      <c r="AD17" s="2382">
        <f>+'B-FCE'!AD102</f>
        <v>27983.437582417573</v>
      </c>
      <c r="AE17" s="2100">
        <f t="shared" si="54"/>
        <v>274923.77626498818</v>
      </c>
      <c r="AF17" s="2100">
        <f t="shared" si="55"/>
        <v>269830.13971428573</v>
      </c>
      <c r="AG17" s="3397">
        <f>+'B-FCE'!AG25/((100-$C$24)/100)</f>
        <v>42537.89112156289</v>
      </c>
      <c r="AH17" s="2382">
        <f>+'B-FCE'!AH102</f>
        <v>36662.43483516483</v>
      </c>
      <c r="AI17" s="2100">
        <f t="shared" si="57"/>
        <v>317461.66738655104</v>
      </c>
      <c r="AJ17" s="2100">
        <f t="shared" si="58"/>
        <v>306492.57454945054</v>
      </c>
      <c r="AK17" s="3397">
        <f>+'B-FCE'!AK25/((100-$C$24)/100)</f>
        <v>43888.300363517264</v>
      </c>
      <c r="AL17" s="2382">
        <f>+'B-FCE'!AL102</f>
        <v>36176.249340659349</v>
      </c>
      <c r="AM17" s="1115">
        <f t="shared" si="60"/>
        <v>130314.49184859742</v>
      </c>
      <c r="AN17" s="1115">
        <f t="shared" si="61"/>
        <v>100822.12175824176</v>
      </c>
      <c r="AO17" s="2100">
        <f t="shared" si="62"/>
        <v>361349.96775006829</v>
      </c>
      <c r="AP17" s="2100">
        <f t="shared" si="63"/>
        <v>342668.8238901099</v>
      </c>
      <c r="AQ17" s="3397">
        <f>+'B-FCE'!AQ25/((100-$C$24)/100)</f>
        <v>44563.504984494451</v>
      </c>
      <c r="AR17" s="2382">
        <f>+'B-FCE'!AR102</f>
        <v>34931.323340659335</v>
      </c>
      <c r="AS17" s="2100">
        <f t="shared" si="65"/>
        <v>405913.47273456276</v>
      </c>
      <c r="AT17" s="2100">
        <f t="shared" si="66"/>
        <v>377600.14723076922</v>
      </c>
      <c r="AU17" s="3397">
        <f>+'B-FCE'!AU25/((100-$C$24)/100)</f>
        <v>39837.072637654135</v>
      </c>
      <c r="AV17" s="2382">
        <f>+'B-FCE'!AV102</f>
        <v>19267.00813186813</v>
      </c>
      <c r="AW17" s="2100">
        <f t="shared" si="68"/>
        <v>445750.5453722169</v>
      </c>
      <c r="AX17" s="2100">
        <f t="shared" si="69"/>
        <v>396867.15536263736</v>
      </c>
      <c r="AY17" s="3397">
        <f>+'B-FCE'!AY25/((100-$C$24)/100)</f>
        <v>44563.504984494451</v>
      </c>
      <c r="AZ17" s="2382">
        <f>+'B-FCE'!AZ102</f>
        <v>37482.176813186823</v>
      </c>
      <c r="BA17" s="3534">
        <f t="shared" si="71"/>
        <v>128964.08260664303</v>
      </c>
      <c r="BB17" s="3534">
        <f t="shared" si="72"/>
        <v>91680.508285714284</v>
      </c>
      <c r="BC17" s="3536">
        <f t="shared" si="73"/>
        <v>259278.57445524045</v>
      </c>
      <c r="BD17" s="3537">
        <f t="shared" si="74"/>
        <v>192502.63004395604</v>
      </c>
      <c r="BE17" s="3396">
        <f t="shared" si="75"/>
        <v>490314.05035671138</v>
      </c>
      <c r="BF17" s="3396">
        <f t="shared" si="76"/>
        <v>434349.33217582421</v>
      </c>
      <c r="BG17" s="2445"/>
      <c r="BH17" s="2445"/>
      <c r="BI17" s="2445"/>
      <c r="BJ17" s="2445"/>
      <c r="BK17" s="2445"/>
      <c r="BL17" s="2445"/>
    </row>
    <row r="18" spans="2:64" x14ac:dyDescent="0.35">
      <c r="B18" s="1450" t="s">
        <v>1378</v>
      </c>
      <c r="C18" s="2015" t="s">
        <v>66</v>
      </c>
      <c r="D18" s="6037"/>
      <c r="E18" s="2382">
        <f t="shared" ref="E18:F18" si="82">+E17/((100-$C$25)/100)</f>
        <v>43054.545669598068</v>
      </c>
      <c r="F18" s="2382">
        <f t="shared" si="82"/>
        <v>38458.61177796562</v>
      </c>
      <c r="G18" s="2382">
        <f t="shared" ref="G18:H18" si="83">+G17/((100-$C$25)/100)</f>
        <v>44421.356643236097</v>
      </c>
      <c r="H18" s="2382">
        <f t="shared" si="83"/>
        <v>44944.102338686957</v>
      </c>
      <c r="I18" s="2100">
        <f t="shared" si="42"/>
        <v>87475.902312834165</v>
      </c>
      <c r="J18" s="2100">
        <f t="shared" si="43"/>
        <v>83402.714116652583</v>
      </c>
      <c r="K18" s="2382">
        <f t="shared" ref="K18:L18" si="84">+K17/((100-$C$25)/100)</f>
        <v>43054.545669598068</v>
      </c>
      <c r="L18" s="2382">
        <f t="shared" si="84"/>
        <v>45753.91310228232</v>
      </c>
      <c r="M18" s="3534">
        <f t="shared" ref="M18" si="85">+M17/((100-$C$25)/100)</f>
        <v>130530.44798243222</v>
      </c>
      <c r="N18" s="3535">
        <f t="shared" si="77"/>
        <v>129156.62721893491</v>
      </c>
      <c r="O18" s="2382">
        <f t="shared" ref="O18:P18" si="86">+O17/((100-$C$25)/100)</f>
        <v>43567.099784712329</v>
      </c>
      <c r="P18" s="2382">
        <f t="shared" si="86"/>
        <v>43149.600112707798</v>
      </c>
      <c r="Q18" s="2100">
        <f t="shared" si="47"/>
        <v>174097.54776714454</v>
      </c>
      <c r="R18" s="2100">
        <f t="shared" si="48"/>
        <v>172306.2273316427</v>
      </c>
      <c r="S18" s="2382">
        <f t="shared" ref="S18:T18" si="87">+S17/((100-$C$25)/100)</f>
        <v>43567.099784712329</v>
      </c>
      <c r="T18" s="2382">
        <f t="shared" si="87"/>
        <v>40490.767743026212</v>
      </c>
      <c r="U18" s="2100">
        <f t="shared" si="50"/>
        <v>217664.64755185688</v>
      </c>
      <c r="V18" s="2100">
        <f t="shared" si="51"/>
        <v>212796.9950746689</v>
      </c>
      <c r="W18" s="2382">
        <f t="shared" ref="W18:X18" si="88">+W17/((100-$C$25)/100)</f>
        <v>19294.814911190246</v>
      </c>
      <c r="X18" s="2382">
        <f t="shared" si="88"/>
        <v>35250.904547759943</v>
      </c>
      <c r="Y18" s="3535">
        <f t="shared" si="78"/>
        <v>106429.0144806149</v>
      </c>
      <c r="Z18" s="3535">
        <f t="shared" si="79"/>
        <v>118891.27240349396</v>
      </c>
      <c r="AA18" s="3536">
        <f t="shared" si="80"/>
        <v>236959.46246304712</v>
      </c>
      <c r="AB18" s="3536">
        <f t="shared" si="81"/>
        <v>248047.89962242887</v>
      </c>
      <c r="AC18" s="2382">
        <f t="shared" ref="AC18:AD18" si="89">+AC17/((100-$C$25)/100)</f>
        <v>45013.641398479245</v>
      </c>
      <c r="AD18" s="2382">
        <f t="shared" si="89"/>
        <v>28700.961622992385</v>
      </c>
      <c r="AE18" s="2100">
        <f t="shared" si="54"/>
        <v>281973.10386152635</v>
      </c>
      <c r="AF18" s="2100">
        <f t="shared" si="55"/>
        <v>276748.86124542123</v>
      </c>
      <c r="AG18" s="2382">
        <f t="shared" ref="AG18:AH18" si="90">+AG17/((100-$C$25)/100)</f>
        <v>43628.606278526044</v>
      </c>
      <c r="AH18" s="2382">
        <f t="shared" si="90"/>
        <v>37602.497266835722</v>
      </c>
      <c r="AI18" s="2100">
        <f t="shared" si="57"/>
        <v>325601.71014005237</v>
      </c>
      <c r="AJ18" s="2100">
        <f t="shared" si="58"/>
        <v>314351.35851225693</v>
      </c>
      <c r="AK18" s="2382">
        <f t="shared" ref="AK18:AL18" si="91">+AK17/((100-$C$25)/100)</f>
        <v>45013.641398479245</v>
      </c>
      <c r="AL18" s="2382">
        <f t="shared" si="91"/>
        <v>37103.84547759933</v>
      </c>
      <c r="AM18" s="1115">
        <f t="shared" si="60"/>
        <v>133655.88907548453</v>
      </c>
      <c r="AN18" s="1115">
        <f t="shared" si="61"/>
        <v>103407.30436742744</v>
      </c>
      <c r="AO18" s="2100">
        <f t="shared" si="62"/>
        <v>370615.3515385316</v>
      </c>
      <c r="AP18" s="2100">
        <f t="shared" si="63"/>
        <v>351455.20398985629</v>
      </c>
      <c r="AQ18" s="2382">
        <f t="shared" ref="AQ18:AR18" si="92">+AQ17/((100-$C$25)/100)</f>
        <v>45706.158958455846</v>
      </c>
      <c r="AR18" s="2382">
        <f t="shared" si="92"/>
        <v>35826.998298112143</v>
      </c>
      <c r="AS18" s="2100">
        <f t="shared" si="65"/>
        <v>416321.51049698744</v>
      </c>
      <c r="AT18" s="2100">
        <f t="shared" si="66"/>
        <v>387282.20228796842</v>
      </c>
      <c r="AU18" s="2382">
        <f t="shared" ref="AU18:AV18" si="93">+AU17/((100-$C$25)/100)</f>
        <v>40858.536038619626</v>
      </c>
      <c r="AV18" s="2382">
        <f t="shared" si="93"/>
        <v>19761.033981403209</v>
      </c>
      <c r="AW18" s="2100">
        <f t="shared" si="68"/>
        <v>457180.04653560708</v>
      </c>
      <c r="AX18" s="2100">
        <f t="shared" si="69"/>
        <v>407043.23626937164</v>
      </c>
      <c r="AY18" s="2382">
        <f t="shared" ref="AY18:AZ18" si="94">+AY17/((100-$C$25)/100)</f>
        <v>45706.158958455846</v>
      </c>
      <c r="AZ18" s="2382">
        <f t="shared" si="94"/>
        <v>38443.258269935206</v>
      </c>
      <c r="BA18" s="3534">
        <f t="shared" si="71"/>
        <v>132270.85395553132</v>
      </c>
      <c r="BB18" s="3534">
        <f t="shared" si="72"/>
        <v>94031.290549450554</v>
      </c>
      <c r="BC18" s="3536">
        <f t="shared" si="73"/>
        <v>265926.74303101585</v>
      </c>
      <c r="BD18" s="3537">
        <f t="shared" si="74"/>
        <v>197438.59491687798</v>
      </c>
      <c r="BE18" s="3396">
        <f t="shared" si="75"/>
        <v>502886.20549406292</v>
      </c>
      <c r="BF18" s="3396">
        <f t="shared" si="76"/>
        <v>445486.49453930685</v>
      </c>
      <c r="BG18" s="2445"/>
      <c r="BH18" s="2445"/>
      <c r="BI18" s="2445"/>
      <c r="BJ18" s="2445"/>
      <c r="BK18" s="2445"/>
      <c r="BL18" s="2445"/>
    </row>
    <row r="19" spans="2:64" ht="18.600000000000001" thickBot="1" x14ac:dyDescent="0.4">
      <c r="B19" s="1450" t="s">
        <v>954</v>
      </c>
      <c r="C19" s="2015" t="s">
        <v>66</v>
      </c>
      <c r="D19" s="6037"/>
      <c r="E19" s="3549">
        <f t="shared" ref="E19:F19" si="95">+E16+E18</f>
        <v>218461.95395314574</v>
      </c>
      <c r="F19" s="3549">
        <f t="shared" si="95"/>
        <v>191327.14237601377</v>
      </c>
      <c r="G19" s="3549">
        <f t="shared" ref="G19:H19" si="96">+G16+G18</f>
        <v>225397.25407864241</v>
      </c>
      <c r="H19" s="3549">
        <f t="shared" si="96"/>
        <v>217202.96942369273</v>
      </c>
      <c r="I19" s="2100">
        <f t="shared" si="42"/>
        <v>443859.20803178812</v>
      </c>
      <c r="J19" s="2100">
        <f t="shared" si="43"/>
        <v>408530.11179970647</v>
      </c>
      <c r="K19" s="3549">
        <f t="shared" ref="K19:L19" si="97">+K16+K18</f>
        <v>218461.95395314574</v>
      </c>
      <c r="L19" s="3549">
        <f t="shared" si="97"/>
        <v>225334.62246633973</v>
      </c>
      <c r="M19" s="3550">
        <f t="shared" ref="M19" si="98">+M16+M18</f>
        <v>662321.16198493389</v>
      </c>
      <c r="N19" s="3535">
        <f t="shared" si="77"/>
        <v>633864.7342660462</v>
      </c>
      <c r="O19" s="3549">
        <f t="shared" ref="O19:P19" si="99">+O16+O18</f>
        <v>221062.69150020697</v>
      </c>
      <c r="P19" s="3549">
        <f t="shared" si="99"/>
        <v>241836.742598157</v>
      </c>
      <c r="Q19" s="2100">
        <f t="shared" si="47"/>
        <v>883383.85348514083</v>
      </c>
      <c r="R19" s="2100">
        <f t="shared" si="48"/>
        <v>875701.47686420323</v>
      </c>
      <c r="S19" s="3549">
        <f t="shared" ref="S19:T19" si="100">+S16+S18</f>
        <v>221062.69150020697</v>
      </c>
      <c r="T19" s="3549">
        <f t="shared" si="100"/>
        <v>228337.27617908135</v>
      </c>
      <c r="U19" s="2100">
        <f t="shared" si="50"/>
        <v>1104446.5449853479</v>
      </c>
      <c r="V19" s="2100">
        <f t="shared" si="51"/>
        <v>1104038.7530432846</v>
      </c>
      <c r="W19" s="3549">
        <f t="shared" ref="W19:X19" si="101">+W16+W18</f>
        <v>136341.56416162188</v>
      </c>
      <c r="X19" s="3549">
        <f t="shared" si="101"/>
        <v>227563.78383064384</v>
      </c>
      <c r="Y19" s="3535">
        <f t="shared" si="78"/>
        <v>578466.94716203585</v>
      </c>
      <c r="Z19" s="3535">
        <f t="shared" si="79"/>
        <v>697737.80260788219</v>
      </c>
      <c r="AA19" s="3536">
        <f t="shared" si="80"/>
        <v>1240788.1091469699</v>
      </c>
      <c r="AB19" s="3536">
        <f t="shared" si="81"/>
        <v>1331602.5368739283</v>
      </c>
      <c r="AC19" s="3549">
        <f t="shared" ref="AC19:AD19" si="102">+AC16+AC18</f>
        <v>225049.40430175356</v>
      </c>
      <c r="AD19" s="3549">
        <f t="shared" si="102"/>
        <v>203936.54509516509</v>
      </c>
      <c r="AE19" s="2100">
        <f t="shared" si="54"/>
        <v>1465837.5134487234</v>
      </c>
      <c r="AF19" s="2100">
        <f t="shared" si="55"/>
        <v>1535539.0819690933</v>
      </c>
      <c r="AG19" s="3549">
        <f t="shared" ref="AG19:AH19" si="103">+AG16+AG18</f>
        <v>218124.80724631506</v>
      </c>
      <c r="AH19" s="3549">
        <f t="shared" si="103"/>
        <v>218191.48554710275</v>
      </c>
      <c r="AI19" s="2100">
        <f t="shared" si="57"/>
        <v>1683962.3206950384</v>
      </c>
      <c r="AJ19" s="2100">
        <f t="shared" si="58"/>
        <v>1753730.5675161961</v>
      </c>
      <c r="AK19" s="3549">
        <f t="shared" ref="AK19:AL19" si="104">+AK16+AK18</f>
        <v>225049.40430175356</v>
      </c>
      <c r="AL19" s="3549">
        <f t="shared" si="104"/>
        <v>224781.43674782172</v>
      </c>
      <c r="AM19" s="1115">
        <f t="shared" si="60"/>
        <v>668223.61584982218</v>
      </c>
      <c r="AN19" s="1115">
        <f t="shared" si="61"/>
        <v>646909.46739008953</v>
      </c>
      <c r="AO19" s="2100">
        <f t="shared" si="62"/>
        <v>1909011.7249967919</v>
      </c>
      <c r="AP19" s="2100">
        <f t="shared" si="63"/>
        <v>1978512.0042640178</v>
      </c>
      <c r="AQ19" s="3549">
        <f t="shared" ref="AQ19:AR19" si="105">+AQ16+AQ18</f>
        <v>228511.70282947284</v>
      </c>
      <c r="AR19" s="3549">
        <f t="shared" si="105"/>
        <v>216396.0144339003</v>
      </c>
      <c r="AS19" s="2100">
        <f t="shared" si="65"/>
        <v>2137523.4278262649</v>
      </c>
      <c r="AT19" s="2100">
        <f t="shared" si="66"/>
        <v>2194908.0186979179</v>
      </c>
      <c r="AU19" s="3549">
        <f t="shared" ref="AU19:AV19" si="106">+AU16+AU18</f>
        <v>204275.61313543789</v>
      </c>
      <c r="AV19" s="3549">
        <f t="shared" si="106"/>
        <v>185300.3350500454</v>
      </c>
      <c r="AW19" s="2100">
        <f t="shared" si="68"/>
        <v>2341799.0409617028</v>
      </c>
      <c r="AX19" s="2100">
        <f t="shared" si="69"/>
        <v>2380208.3537479634</v>
      </c>
      <c r="AY19" s="3549">
        <f t="shared" ref="AY19:AZ19" si="107">+AY16+AY18</f>
        <v>228511.70282947284</v>
      </c>
      <c r="AZ19" s="3549">
        <f t="shared" si="107"/>
        <v>219653.40463625392</v>
      </c>
      <c r="BA19" s="3534">
        <f t="shared" si="71"/>
        <v>661299.01879438362</v>
      </c>
      <c r="BB19" s="3534">
        <f t="shared" si="72"/>
        <v>621349.75412019959</v>
      </c>
      <c r="BC19" s="3536">
        <f t="shared" si="73"/>
        <v>1329522.6346442057</v>
      </c>
      <c r="BD19" s="3537">
        <f t="shared" si="74"/>
        <v>1268259.2215102892</v>
      </c>
      <c r="BE19" s="3396">
        <f t="shared" si="75"/>
        <v>2570310.7437911755</v>
      </c>
      <c r="BF19" s="3396">
        <f t="shared" si="76"/>
        <v>2599861.7583842175</v>
      </c>
      <c r="BG19" s="2445"/>
      <c r="BH19" s="2445"/>
      <c r="BI19" s="2445"/>
      <c r="BJ19" s="2445"/>
      <c r="BK19" s="2445"/>
      <c r="BL19" s="2445"/>
    </row>
    <row r="20" spans="2:64" thickBot="1" x14ac:dyDescent="0.35">
      <c r="B20" s="3551" t="s">
        <v>955</v>
      </c>
      <c r="C20" s="3552" t="s">
        <v>242</v>
      </c>
      <c r="D20" s="6038"/>
      <c r="E20" s="3553">
        <f t="shared" ref="E20:AF20" si="108">+E19*1000/E6</f>
        <v>866.91251568708628</v>
      </c>
      <c r="F20" s="3554">
        <f t="shared" si="108"/>
        <v>846.11004846869969</v>
      </c>
      <c r="G20" s="3553">
        <f t="shared" ref="G20:H20" si="109">+G19*1000/G6</f>
        <v>866.91251568708617</v>
      </c>
      <c r="H20" s="3554">
        <f t="shared" si="109"/>
        <v>849.34190363265725</v>
      </c>
      <c r="I20" s="3555">
        <f t="shared" ref="I20:L20" si="110">+I19*1000/I6</f>
        <v>866.91251568708617</v>
      </c>
      <c r="J20" s="3556">
        <f t="shared" si="110"/>
        <v>847.82525876418902</v>
      </c>
      <c r="K20" s="3553">
        <f t="shared" si="110"/>
        <v>866.91251568708628</v>
      </c>
      <c r="L20" s="3554">
        <f t="shared" si="110"/>
        <v>861.73356013497948</v>
      </c>
      <c r="M20" s="3557">
        <f t="shared" ref="M20:R20" si="111">+M19*1000/M6</f>
        <v>866.91251568708617</v>
      </c>
      <c r="N20" s="3558">
        <f t="shared" si="111"/>
        <v>852.7178368874138</v>
      </c>
      <c r="O20" s="3553">
        <f t="shared" si="111"/>
        <v>866.91251568708617</v>
      </c>
      <c r="P20" s="3554">
        <f t="shared" si="111"/>
        <v>901.89702481912377</v>
      </c>
      <c r="Q20" s="3555">
        <f t="shared" si="111"/>
        <v>866.91251568708617</v>
      </c>
      <c r="R20" s="3556">
        <f t="shared" si="111"/>
        <v>865.75507651662667</v>
      </c>
      <c r="S20" s="3553">
        <f t="shared" ref="S20:T20" si="112">+S19*1000/S6</f>
        <v>866.91251568708617</v>
      </c>
      <c r="T20" s="3554">
        <f t="shared" si="112"/>
        <v>901.57952496561427</v>
      </c>
      <c r="U20" s="3555">
        <f t="shared" ref="U20:X20" si="113">+U19*1000/U6</f>
        <v>866.91251568708628</v>
      </c>
      <c r="V20" s="3556">
        <f t="shared" si="113"/>
        <v>872.92883598099377</v>
      </c>
      <c r="W20" s="3553">
        <f t="shared" si="113"/>
        <v>973.86831544015615</v>
      </c>
      <c r="X20" s="3554">
        <f t="shared" si="113"/>
        <v>935.33175377395651</v>
      </c>
      <c r="Y20" s="3557">
        <f t="shared" ref="Y20:Z20" si="114">+Y19*1000/Y6</f>
        <v>889.9491494800551</v>
      </c>
      <c r="Z20" s="3558">
        <f t="shared" si="114"/>
        <v>912.42943846048797</v>
      </c>
      <c r="AA20" s="3559">
        <f t="shared" si="108"/>
        <v>877.50219883095463</v>
      </c>
      <c r="AB20" s="3560">
        <f t="shared" si="108"/>
        <v>882.99645354786935</v>
      </c>
      <c r="AC20" s="3553">
        <f t="shared" si="108"/>
        <v>865.57463192982129</v>
      </c>
      <c r="AD20" s="3554">
        <f t="shared" si="108"/>
        <v>1004.8011185101312</v>
      </c>
      <c r="AE20" s="3555">
        <f t="shared" si="108"/>
        <v>875.64964961094586</v>
      </c>
      <c r="AF20" s="3556">
        <f t="shared" si="108"/>
        <v>897.4450567606217</v>
      </c>
      <c r="AG20" s="3553">
        <f t="shared" ref="AG20:AH20" si="115">+AG19*1000/AG6</f>
        <v>865.57463192982163</v>
      </c>
      <c r="AH20" s="3554">
        <f t="shared" si="115"/>
        <v>893.68459627022753</v>
      </c>
      <c r="AI20" s="3555">
        <f t="shared" ref="AI20:AL20" si="116">+AI19*1000/AI6</f>
        <v>874.33142299846224</v>
      </c>
      <c r="AJ20" s="3556">
        <f t="shared" si="116"/>
        <v>896.97547388254475</v>
      </c>
      <c r="AK20" s="3553">
        <f t="shared" si="116"/>
        <v>865.57463192982129</v>
      </c>
      <c r="AL20" s="3554">
        <f t="shared" si="116"/>
        <v>893.54644300118753</v>
      </c>
      <c r="AM20" s="3557">
        <f t="shared" ref="AM20:AR20" si="117">+AM19*1000/AM6</f>
        <v>865.57463192982141</v>
      </c>
      <c r="AN20" s="3558">
        <f t="shared" si="117"/>
        <v>925.91389883925331</v>
      </c>
      <c r="AO20" s="3556">
        <f t="shared" si="117"/>
        <v>873.28990164537595</v>
      </c>
      <c r="AP20" s="3556">
        <f t="shared" si="117"/>
        <v>896.58457243304349</v>
      </c>
      <c r="AQ20" s="3553">
        <f t="shared" si="117"/>
        <v>865.57463192982141</v>
      </c>
      <c r="AR20" s="3554">
        <f t="shared" si="117"/>
        <v>883.78508121211598</v>
      </c>
      <c r="AS20" s="3556">
        <f t="shared" ref="AS20:AV20" si="118">+AS19*1000/AS6</f>
        <v>872.45854196990399</v>
      </c>
      <c r="AT20" s="3556">
        <f t="shared" si="118"/>
        <v>895.30622008059743</v>
      </c>
      <c r="AU20" s="3553">
        <f t="shared" si="118"/>
        <v>865.57463192982152</v>
      </c>
      <c r="AV20" s="3554">
        <f t="shared" si="118"/>
        <v>942.64302305551826</v>
      </c>
      <c r="AW20" s="3556">
        <f t="shared" ref="AW20:AZ20" si="119">+AW19*1000/AW6</f>
        <v>871.85370102818422</v>
      </c>
      <c r="AX20" s="3556">
        <f t="shared" si="119"/>
        <v>898.82008988696668</v>
      </c>
      <c r="AY20" s="3553">
        <f t="shared" si="119"/>
        <v>865.57463192982141</v>
      </c>
      <c r="AZ20" s="3554">
        <f t="shared" si="119"/>
        <v>872.08449633783346</v>
      </c>
      <c r="BA20" s="3557">
        <f t="shared" ref="BA20:BF20" si="120">+BA19*1000/BA6</f>
        <v>865.57463192982152</v>
      </c>
      <c r="BB20" s="3558">
        <f t="shared" si="120"/>
        <v>896.22268581638082</v>
      </c>
      <c r="BC20" s="3559">
        <f t="shared" si="120"/>
        <v>865.57463192982129</v>
      </c>
      <c r="BD20" s="3560">
        <f t="shared" si="120"/>
        <v>911.12559526998984</v>
      </c>
      <c r="BE20" s="3556">
        <f t="shared" si="120"/>
        <v>871.29177755633066</v>
      </c>
      <c r="BF20" s="3556">
        <f t="shared" si="120"/>
        <v>896.49805735238124</v>
      </c>
      <c r="BG20" s="2445"/>
      <c r="BH20" s="2445"/>
      <c r="BI20" s="2445"/>
      <c r="BJ20" s="2445"/>
      <c r="BK20" s="2445"/>
      <c r="BL20" s="2445"/>
    </row>
    <row r="21" spans="2:64" x14ac:dyDescent="0.35">
      <c r="M21" s="3561"/>
      <c r="Y21" s="3561"/>
      <c r="Z21" s="3532"/>
    </row>
    <row r="22" spans="2:64" x14ac:dyDescent="0.35">
      <c r="H22" s="3561"/>
      <c r="I22" s="3561"/>
      <c r="L22" s="3561"/>
    </row>
    <row r="23" spans="2:64" x14ac:dyDescent="0.35">
      <c r="I23" s="3561"/>
      <c r="J23" s="3561"/>
    </row>
    <row r="24" spans="2:64" x14ac:dyDescent="0.35">
      <c r="B24" s="3562" t="s">
        <v>1421</v>
      </c>
      <c r="C24" s="4787">
        <v>9.9532229029959769</v>
      </c>
    </row>
    <row r="25" spans="2:64" x14ac:dyDescent="0.35">
      <c r="B25" s="3562" t="s">
        <v>1422</v>
      </c>
      <c r="C25" s="3562">
        <v>2.5</v>
      </c>
    </row>
  </sheetData>
  <mergeCells count="32"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  <mergeCell ref="D4:D5"/>
    <mergeCell ref="D6:D20"/>
    <mergeCell ref="W4:X4"/>
    <mergeCell ref="Y4:Z4"/>
    <mergeCell ref="AA4:AB4"/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5" tint="-0.249977111117893"/>
    <pageSetUpPr fitToPage="1"/>
  </sheetPr>
  <dimension ref="A1:BS594"/>
  <sheetViews>
    <sheetView topLeftCell="B1" zoomScaleNormal="100" workbookViewId="0">
      <pane xSplit="3" topLeftCell="AM1" activePane="topRight" state="frozen"/>
      <selection activeCell="B94" sqref="B94"/>
      <selection pane="topRight" activeCell="B155" sqref="B155"/>
    </sheetView>
  </sheetViews>
  <sheetFormatPr defaultColWidth="9.109375" defaultRowHeight="14.4" x14ac:dyDescent="0.3"/>
  <cols>
    <col min="1" max="1" width="0.88671875" hidden="1" customWidth="1"/>
    <col min="2" max="2" width="55.33203125" bestFit="1" customWidth="1"/>
    <col min="3" max="3" width="32.44140625" bestFit="1" customWidth="1"/>
    <col min="4" max="4" width="13.6640625" customWidth="1"/>
    <col min="5" max="8" width="7.88671875" customWidth="1"/>
    <col min="9" max="10" width="7.88671875" style="623" hidden="1" customWidth="1"/>
    <col min="11" max="12" width="7.88671875" customWidth="1"/>
    <col min="13" max="14" width="7.88671875" style="4181" customWidth="1"/>
    <col min="15" max="16" width="7.88671875" customWidth="1"/>
    <col min="17" max="17" width="7.88671875" style="623" hidden="1" customWidth="1"/>
    <col min="18" max="18" width="7.44140625" style="623" hidden="1" customWidth="1"/>
    <col min="19" max="20" width="7.88671875" customWidth="1"/>
    <col min="21" max="21" width="9" style="623" hidden="1" customWidth="1"/>
    <col min="22" max="22" width="8.44140625" style="623" hidden="1" customWidth="1"/>
    <col min="23" max="24" width="7.88671875" customWidth="1"/>
    <col min="25" max="26" width="7.88671875" style="4181" customWidth="1"/>
    <col min="27" max="27" width="9" style="448" customWidth="1"/>
    <col min="28" max="28" width="8.44140625" style="448" customWidth="1"/>
    <col min="29" max="30" width="7.88671875" customWidth="1"/>
    <col min="31" max="31" width="9" style="623" hidden="1" customWidth="1"/>
    <col min="32" max="32" width="8.44140625" style="623" hidden="1" customWidth="1"/>
    <col min="33" max="34" width="7.88671875" customWidth="1"/>
    <col min="35" max="36" width="9" style="623" hidden="1" customWidth="1"/>
    <col min="37" max="38" width="7.88671875" customWidth="1"/>
    <col min="39" max="40" width="7.88671875" style="4181" customWidth="1"/>
    <col min="41" max="42" width="9" style="623" hidden="1" customWidth="1"/>
    <col min="43" max="44" width="10" customWidth="1"/>
    <col min="45" max="46" width="11.44140625" style="623" hidden="1" customWidth="1"/>
    <col min="47" max="48" width="10" customWidth="1"/>
    <col min="49" max="50" width="11.44140625" style="623" hidden="1" customWidth="1"/>
    <col min="51" max="52" width="10" customWidth="1"/>
    <col min="53" max="54" width="10" style="4181" customWidth="1"/>
    <col min="55" max="56" width="11.44140625" style="448" customWidth="1"/>
    <col min="57" max="58" width="11.44140625" style="623" customWidth="1"/>
    <col min="59" max="59" width="23.109375" hidden="1" customWidth="1"/>
    <col min="60" max="60" width="9.109375" hidden="1" customWidth="1"/>
    <col min="61" max="67" width="0" hidden="1" customWidth="1"/>
  </cols>
  <sheetData>
    <row r="1" spans="1:63" x14ac:dyDescent="0.3">
      <c r="A1" s="151"/>
      <c r="B1" s="3400" t="s">
        <v>372</v>
      </c>
      <c r="C1" s="522"/>
      <c r="G1" s="6134"/>
      <c r="H1" s="6134"/>
    </row>
    <row r="2" spans="1:63" x14ac:dyDescent="0.3">
      <c r="A2" s="151"/>
      <c r="B2" s="522"/>
      <c r="C2" s="522"/>
    </row>
    <row r="3" spans="1:63" x14ac:dyDescent="0.3">
      <c r="A3" s="92"/>
      <c r="B3" s="6141" t="s">
        <v>171</v>
      </c>
      <c r="C3" s="6041" t="s">
        <v>172</v>
      </c>
      <c r="D3" s="6133" t="s">
        <v>1963</v>
      </c>
      <c r="E3" s="6133" t="s">
        <v>1962</v>
      </c>
      <c r="F3" s="6133"/>
      <c r="G3" s="6133" t="s">
        <v>2013</v>
      </c>
      <c r="H3" s="6133"/>
      <c r="I3" s="6132" t="s">
        <v>658</v>
      </c>
      <c r="J3" s="6132"/>
      <c r="K3" s="6133" t="s">
        <v>2044</v>
      </c>
      <c r="L3" s="6133"/>
      <c r="M3" s="6122" t="s">
        <v>1430</v>
      </c>
      <c r="N3" s="6122"/>
      <c r="O3" s="6133" t="s">
        <v>2066</v>
      </c>
      <c r="P3" s="6133"/>
      <c r="Q3" s="6132" t="s">
        <v>651</v>
      </c>
      <c r="R3" s="6132"/>
      <c r="S3" s="6133" t="s">
        <v>2068</v>
      </c>
      <c r="T3" s="6133"/>
      <c r="U3" s="6132" t="s">
        <v>830</v>
      </c>
      <c r="V3" s="6132"/>
      <c r="W3" s="6133" t="s">
        <v>2111</v>
      </c>
      <c r="X3" s="6133"/>
      <c r="Y3" s="6122" t="s">
        <v>1571</v>
      </c>
      <c r="Z3" s="6122"/>
      <c r="AA3" s="6123" t="s">
        <v>512</v>
      </c>
      <c r="AB3" s="6123"/>
      <c r="AC3" s="6133" t="s">
        <v>2135</v>
      </c>
      <c r="AD3" s="6133"/>
      <c r="AE3" s="6132" t="s">
        <v>1090</v>
      </c>
      <c r="AF3" s="6132"/>
      <c r="AG3" s="5884" t="s">
        <v>2238</v>
      </c>
      <c r="AH3" s="6129"/>
      <c r="AI3" s="6130" t="s">
        <v>1599</v>
      </c>
      <c r="AJ3" s="6131"/>
      <c r="AK3" s="6133" t="s">
        <v>2262</v>
      </c>
      <c r="AL3" s="6133"/>
      <c r="AM3" s="6122" t="s">
        <v>1614</v>
      </c>
      <c r="AN3" s="6122"/>
      <c r="AO3" s="6132" t="s">
        <v>908</v>
      </c>
      <c r="AP3" s="6132"/>
      <c r="AQ3" s="5884" t="s">
        <v>2274</v>
      </c>
      <c r="AR3" s="6129"/>
      <c r="AS3" s="6130" t="s">
        <v>1631</v>
      </c>
      <c r="AT3" s="6131"/>
      <c r="AU3" s="5884" t="s">
        <v>2311</v>
      </c>
      <c r="AV3" s="6129"/>
      <c r="AW3" s="6130" t="s">
        <v>1637</v>
      </c>
      <c r="AX3" s="6131"/>
      <c r="AY3" s="5884" t="s">
        <v>2329</v>
      </c>
      <c r="AZ3" s="6129"/>
      <c r="BA3" s="6122" t="s">
        <v>1654</v>
      </c>
      <c r="BB3" s="6122"/>
      <c r="BC3" s="6123" t="s">
        <v>550</v>
      </c>
      <c r="BD3" s="6123"/>
      <c r="BE3" s="6130" t="s">
        <v>2041</v>
      </c>
      <c r="BF3" s="6131"/>
    </row>
    <row r="4" spans="1:63" x14ac:dyDescent="0.3">
      <c r="A4" s="92"/>
      <c r="B4" s="6141"/>
      <c r="C4" s="6041"/>
      <c r="D4" s="6133"/>
      <c r="E4" s="701" t="s">
        <v>173</v>
      </c>
      <c r="F4" s="701" t="s">
        <v>174</v>
      </c>
      <c r="G4" s="701" t="s">
        <v>173</v>
      </c>
      <c r="H4" s="701" t="s">
        <v>174</v>
      </c>
      <c r="I4" s="702" t="s">
        <v>173</v>
      </c>
      <c r="J4" s="702" t="s">
        <v>174</v>
      </c>
      <c r="K4" s="701" t="s">
        <v>173</v>
      </c>
      <c r="L4" s="701" t="s">
        <v>174</v>
      </c>
      <c r="M4" s="703" t="s">
        <v>173</v>
      </c>
      <c r="N4" s="703" t="s">
        <v>174</v>
      </c>
      <c r="O4" s="701" t="s">
        <v>173</v>
      </c>
      <c r="P4" s="701" t="s">
        <v>174</v>
      </c>
      <c r="Q4" s="702" t="s">
        <v>173</v>
      </c>
      <c r="R4" s="702" t="s">
        <v>174</v>
      </c>
      <c r="S4" s="701" t="s">
        <v>173</v>
      </c>
      <c r="T4" s="701" t="s">
        <v>174</v>
      </c>
      <c r="U4" s="702" t="s">
        <v>173</v>
      </c>
      <c r="V4" s="702" t="s">
        <v>174</v>
      </c>
      <c r="W4" s="701" t="s">
        <v>173</v>
      </c>
      <c r="X4" s="701" t="s">
        <v>174</v>
      </c>
      <c r="Y4" s="703" t="s">
        <v>173</v>
      </c>
      <c r="Z4" s="703" t="s">
        <v>174</v>
      </c>
      <c r="AA4" s="792" t="s">
        <v>173</v>
      </c>
      <c r="AB4" s="792" t="s">
        <v>174</v>
      </c>
      <c r="AC4" s="701" t="s">
        <v>173</v>
      </c>
      <c r="AD4" s="701" t="s">
        <v>174</v>
      </c>
      <c r="AE4" s="702" t="s">
        <v>173</v>
      </c>
      <c r="AF4" s="702" t="s">
        <v>174</v>
      </c>
      <c r="AG4" s="701" t="s">
        <v>173</v>
      </c>
      <c r="AH4" s="701" t="s">
        <v>174</v>
      </c>
      <c r="AI4" s="702" t="s">
        <v>173</v>
      </c>
      <c r="AJ4" s="702" t="s">
        <v>174</v>
      </c>
      <c r="AK4" s="701" t="s">
        <v>173</v>
      </c>
      <c r="AL4" s="701" t="s">
        <v>174</v>
      </c>
      <c r="AM4" s="703" t="s">
        <v>173</v>
      </c>
      <c r="AN4" s="703" t="s">
        <v>174</v>
      </c>
      <c r="AO4" s="702" t="s">
        <v>173</v>
      </c>
      <c r="AP4" s="702" t="s">
        <v>174</v>
      </c>
      <c r="AQ4" s="701" t="s">
        <v>173</v>
      </c>
      <c r="AR4" s="701" t="s">
        <v>174</v>
      </c>
      <c r="AS4" s="702" t="s">
        <v>173</v>
      </c>
      <c r="AT4" s="702" t="s">
        <v>174</v>
      </c>
      <c r="AU4" s="701" t="s">
        <v>173</v>
      </c>
      <c r="AV4" s="701" t="s">
        <v>174</v>
      </c>
      <c r="AW4" s="702" t="s">
        <v>173</v>
      </c>
      <c r="AX4" s="702" t="s">
        <v>174</v>
      </c>
      <c r="AY4" s="701" t="s">
        <v>173</v>
      </c>
      <c r="AZ4" s="701" t="s">
        <v>174</v>
      </c>
      <c r="BA4" s="703" t="s">
        <v>173</v>
      </c>
      <c r="BB4" s="703" t="s">
        <v>174</v>
      </c>
      <c r="BC4" s="792" t="s">
        <v>173</v>
      </c>
      <c r="BD4" s="792" t="s">
        <v>174</v>
      </c>
      <c r="BE4" s="702" t="s">
        <v>173</v>
      </c>
      <c r="BF4" s="702" t="s">
        <v>174</v>
      </c>
    </row>
    <row r="5" spans="1:63" x14ac:dyDescent="0.3">
      <c r="A5" s="151"/>
      <c r="B5" s="853" t="s">
        <v>317</v>
      </c>
      <c r="C5" s="3529"/>
      <c r="D5" s="853"/>
      <c r="E5" s="853"/>
      <c r="F5" s="853"/>
      <c r="G5" s="853"/>
      <c r="H5" s="853"/>
      <c r="I5" s="5689"/>
      <c r="J5" s="5689"/>
      <c r="K5" s="853"/>
      <c r="L5" s="853"/>
      <c r="M5" s="5700"/>
      <c r="N5" s="5700"/>
      <c r="O5" s="853"/>
      <c r="P5" s="853"/>
      <c r="Q5" s="5689"/>
      <c r="R5" s="5689"/>
      <c r="S5" s="853"/>
      <c r="T5" s="853"/>
      <c r="U5" s="5689"/>
      <c r="V5" s="5689"/>
      <c r="W5" s="853"/>
      <c r="X5" s="853"/>
      <c r="Y5" s="5700"/>
      <c r="Z5" s="5700"/>
      <c r="AA5" s="5709"/>
      <c r="AB5" s="5709"/>
      <c r="AC5" s="853"/>
      <c r="AD5" s="853"/>
      <c r="AE5" s="5689"/>
      <c r="AF5" s="5689"/>
      <c r="AG5" s="853"/>
      <c r="AH5" s="853"/>
      <c r="AI5" s="5689"/>
      <c r="AJ5" s="5689"/>
      <c r="AK5" s="853"/>
      <c r="AL5" s="853"/>
      <c r="AM5" s="5700"/>
      <c r="AN5" s="5700"/>
      <c r="AO5" s="5689"/>
      <c r="AP5" s="5689"/>
      <c r="AQ5" s="853"/>
      <c r="AR5" s="853"/>
      <c r="AS5" s="5689"/>
      <c r="AT5" s="5689"/>
      <c r="AU5" s="853"/>
      <c r="AV5" s="853"/>
      <c r="AW5" s="5689"/>
      <c r="AX5" s="5689"/>
      <c r="AY5" s="853"/>
      <c r="AZ5" s="853"/>
      <c r="BA5" s="5700"/>
      <c r="BB5" s="5700"/>
      <c r="BC5" s="5709"/>
      <c r="BD5" s="5709"/>
      <c r="BE5" s="5689"/>
      <c r="BF5" s="5689"/>
    </row>
    <row r="6" spans="1:63" x14ac:dyDescent="0.3">
      <c r="A6" s="151"/>
      <c r="B6" s="3401" t="s">
        <v>114</v>
      </c>
      <c r="C6" s="5767"/>
      <c r="D6" s="3401"/>
      <c r="E6" s="3401"/>
      <c r="F6" s="3401"/>
      <c r="G6" s="3401"/>
      <c r="H6" s="3401"/>
      <c r="I6" s="3470"/>
      <c r="J6" s="3470"/>
      <c r="K6" s="3401"/>
      <c r="L6" s="3401"/>
      <c r="M6" s="3471"/>
      <c r="N6" s="3471"/>
      <c r="O6" s="3401"/>
      <c r="P6" s="3401"/>
      <c r="Q6" s="3470"/>
      <c r="R6" s="3470"/>
      <c r="S6" s="3401"/>
      <c r="T6" s="3401"/>
      <c r="U6" s="3470"/>
      <c r="V6" s="3470"/>
      <c r="W6" s="3401"/>
      <c r="X6" s="3401"/>
      <c r="Y6" s="3471"/>
      <c r="Z6" s="3471"/>
      <c r="AA6" s="3523"/>
      <c r="AB6" s="3523"/>
      <c r="AC6" s="3401"/>
      <c r="AD6" s="3401"/>
      <c r="AE6" s="3470"/>
      <c r="AF6" s="3470"/>
      <c r="AG6" s="3401"/>
      <c r="AH6" s="3401"/>
      <c r="AI6" s="3470"/>
      <c r="AJ6" s="3470"/>
      <c r="AK6" s="3401"/>
      <c r="AL6" s="3401"/>
      <c r="AM6" s="3471"/>
      <c r="AN6" s="3471"/>
      <c r="AO6" s="3470"/>
      <c r="AP6" s="3470"/>
      <c r="AQ6" s="3401"/>
      <c r="AR6" s="3401"/>
      <c r="AS6" s="3470"/>
      <c r="AT6" s="3470"/>
      <c r="AU6" s="3401"/>
      <c r="AV6" s="3401"/>
      <c r="AW6" s="3470"/>
      <c r="AX6" s="3470"/>
      <c r="AY6" s="3401"/>
      <c r="AZ6" s="3401"/>
      <c r="BA6" s="3471"/>
      <c r="BB6" s="3471"/>
      <c r="BC6" s="3523"/>
      <c r="BD6" s="3523"/>
      <c r="BE6" s="3470"/>
      <c r="BF6" s="3470"/>
    </row>
    <row r="7" spans="1:63" x14ac:dyDescent="0.3">
      <c r="A7" s="92"/>
      <c r="B7" s="1009" t="s">
        <v>75</v>
      </c>
      <c r="C7" s="156" t="s">
        <v>50</v>
      </c>
      <c r="D7" s="6124">
        <v>439000</v>
      </c>
      <c r="E7" s="6124">
        <f>'Maj Production Summ'!E30-E9-E11-E12</f>
        <v>36962.121212121208</v>
      </c>
      <c r="F7" s="1185">
        <v>23033.659999999996</v>
      </c>
      <c r="G7" s="6124">
        <f>'Maj Production Summ'!G30-G9-G11-G12</f>
        <v>38462.454545454544</v>
      </c>
      <c r="H7" s="1185">
        <v>24090.429999999997</v>
      </c>
      <c r="I7" s="6127">
        <f>E7+G7</f>
        <v>75424.575757575745</v>
      </c>
      <c r="J7" s="775">
        <f>F7+H7</f>
        <v>47124.09</v>
      </c>
      <c r="K7" s="6124">
        <f>'Maj Production Summ'!K30-K9-K11-K12</f>
        <v>36962.454545454544</v>
      </c>
      <c r="L7" s="1185">
        <v>18572.96</v>
      </c>
      <c r="M7" s="5898">
        <f>I7+K7</f>
        <v>112387.03030303029</v>
      </c>
      <c r="N7" s="774">
        <f>J7+L7</f>
        <v>65697.049999999988</v>
      </c>
      <c r="O7" s="6124">
        <f>'Maj Production Summ'!O30-O9-O11-O12</f>
        <v>38462.454545454544</v>
      </c>
      <c r="P7" s="1185">
        <v>24892.11</v>
      </c>
      <c r="Q7" s="6127">
        <f>M7+O7</f>
        <v>150849.48484848483</v>
      </c>
      <c r="R7" s="775">
        <f>N7+P7</f>
        <v>90589.159999999989</v>
      </c>
      <c r="S7" s="6124">
        <f>'Maj Production Summ'!S30-S9-S11-S12</f>
        <v>38462.121212121208</v>
      </c>
      <c r="T7" s="1185">
        <v>29255.510000000002</v>
      </c>
      <c r="U7" s="6127">
        <f>Q7+S7</f>
        <v>189311.60606060605</v>
      </c>
      <c r="V7" s="775">
        <f>R7+T7</f>
        <v>119844.66999999998</v>
      </c>
      <c r="W7" s="6124">
        <f>'Maj Production Summ'!W30-W9-W11-W12</f>
        <v>24916.666666666668</v>
      </c>
      <c r="X7" s="1185">
        <v>26158.520000000008</v>
      </c>
      <c r="Y7" s="5898">
        <f>O7+S7+W7</f>
        <v>101841.24242424242</v>
      </c>
      <c r="Z7" s="774">
        <f>P7+T7+X7</f>
        <v>80306.140000000014</v>
      </c>
      <c r="AA7" s="5919">
        <f>M7+Y7</f>
        <v>214228.27272727271</v>
      </c>
      <c r="AB7" s="460">
        <f>N7+Z7</f>
        <v>146003.19</v>
      </c>
      <c r="AC7" s="6124">
        <f>'Maj Production Summ'!AC30-AC9-AC11-AC12</f>
        <v>36962.121212121208</v>
      </c>
      <c r="AD7" s="1185">
        <v>18883.36</v>
      </c>
      <c r="AE7" s="6127">
        <f>AA7+AC7</f>
        <v>251190.39393939392</v>
      </c>
      <c r="AF7" s="775">
        <f>AB7+AD7</f>
        <v>164886.54999999999</v>
      </c>
      <c r="AG7" s="6124">
        <f>'Maj Production Summ'!AG30-AG9-AG11-AG12</f>
        <v>36962.121212121208</v>
      </c>
      <c r="AH7" s="1185">
        <v>28535.9</v>
      </c>
      <c r="AI7" s="6128">
        <f>AE7+AG7</f>
        <v>288152.51515151514</v>
      </c>
      <c r="AJ7" s="775">
        <f>AF7+AH7</f>
        <v>193422.44999999998</v>
      </c>
      <c r="AK7" s="6124">
        <f>'Maj Production Summ'!AK30-AK9-AK11-AK12</f>
        <v>38462.121212121208</v>
      </c>
      <c r="AL7" s="1185">
        <v>32807.97</v>
      </c>
      <c r="AM7" s="5898">
        <f>AC7+AG7+AK7</f>
        <v>112386.36363636362</v>
      </c>
      <c r="AN7" s="774">
        <f>AD7+AH7+AL7</f>
        <v>80227.23000000001</v>
      </c>
      <c r="AO7" s="6127">
        <f>AI7+AK7</f>
        <v>326614.63636363635</v>
      </c>
      <c r="AP7" s="775">
        <f>AJ7+AL7</f>
        <v>226230.41999999998</v>
      </c>
      <c r="AQ7" s="6124">
        <f>'Maj Production Summ'!AQ30-AQ9-AQ11-AQ12</f>
        <v>38962.121212121208</v>
      </c>
      <c r="AR7" s="1185">
        <v>37133.179999999993</v>
      </c>
      <c r="AS7" s="6128">
        <f>AO7+AQ7</f>
        <v>365576.75757575757</v>
      </c>
      <c r="AT7" s="775">
        <f>AP7+AR7</f>
        <v>263363.59999999998</v>
      </c>
      <c r="AU7" s="6124">
        <f>'Maj Production Summ'!AU30-AU9-AU11-AU12</f>
        <v>34462.121212121208</v>
      </c>
      <c r="AV7" s="1185">
        <v>41871.839999999997</v>
      </c>
      <c r="AW7" s="6128">
        <f>AS7+AU7</f>
        <v>400038.87878787878</v>
      </c>
      <c r="AX7" s="775">
        <f>AT7+AV7</f>
        <v>305235.43999999994</v>
      </c>
      <c r="AY7" s="6124">
        <f>'Maj Production Summ'!AY30-AY9-AY11-AY12</f>
        <v>38962.121212121208</v>
      </c>
      <c r="AZ7" s="1185">
        <v>46456.479999999996</v>
      </c>
      <c r="BA7" s="5898">
        <f>AQ7+AU7+AY7</f>
        <v>112386.36363636362</v>
      </c>
      <c r="BB7" s="774">
        <f>AR7+AV7+AZ7</f>
        <v>125461.49999999999</v>
      </c>
      <c r="BC7" s="5919">
        <f>AM7+BA7</f>
        <v>224772.72727272724</v>
      </c>
      <c r="BD7" s="460">
        <f>AN7+BB7</f>
        <v>205688.72999999998</v>
      </c>
      <c r="BE7" s="6128">
        <f>AW7+AY7</f>
        <v>439001</v>
      </c>
      <c r="BF7" s="775">
        <f>AX7+AZ7</f>
        <v>351691.91999999993</v>
      </c>
      <c r="BG7" s="26">
        <f>AY7+AU7+AQ7+AK7+AG7+AC7+W7+S7+O7+K7+G7+E7-BE7</f>
        <v>0</v>
      </c>
      <c r="BH7" s="26">
        <f>AZ7+AV7+AR7+AL7+AH7+AD7+X7+T7+P7+L7+H7+F7-BF7</f>
        <v>0</v>
      </c>
      <c r="BI7" s="26"/>
      <c r="BJ7" s="26">
        <f>AY7+AU7+AQ7+AK7+AG7+AC7-BC7</f>
        <v>0</v>
      </c>
      <c r="BK7" s="26">
        <f>AZ7+AV7+AR7+AL7+AH7+AD7-BD7</f>
        <v>0</v>
      </c>
    </row>
    <row r="8" spans="1:63" x14ac:dyDescent="0.3">
      <c r="A8" s="92"/>
      <c r="B8" s="1009" t="s">
        <v>76</v>
      </c>
      <c r="C8" s="156" t="s">
        <v>50</v>
      </c>
      <c r="D8" s="6124"/>
      <c r="E8" s="6124"/>
      <c r="F8" s="1118">
        <v>10258.599999999999</v>
      </c>
      <c r="G8" s="6124"/>
      <c r="H8" s="1118">
        <v>15162.2</v>
      </c>
      <c r="I8" s="6127"/>
      <c r="J8" s="775">
        <f t="shared" ref="J8:J69" si="0">F8+H8</f>
        <v>25420.799999999999</v>
      </c>
      <c r="K8" s="6124"/>
      <c r="L8" s="1118">
        <v>18935.100000000002</v>
      </c>
      <c r="M8" s="5898"/>
      <c r="N8" s="774">
        <f t="shared" ref="N8:N69" si="1">J8+L8</f>
        <v>44355.9</v>
      </c>
      <c r="O8" s="6124"/>
      <c r="P8" s="1118">
        <v>19202.140000000003</v>
      </c>
      <c r="Q8" s="6127"/>
      <c r="R8" s="775">
        <f t="shared" ref="R8:R69" si="2">N8+P8</f>
        <v>63558.040000000008</v>
      </c>
      <c r="S8" s="6124"/>
      <c r="T8" s="1118">
        <v>11312.240000000002</v>
      </c>
      <c r="U8" s="6127"/>
      <c r="V8" s="775">
        <f t="shared" ref="V8:V69" si="3">R8+T8</f>
        <v>74870.280000000013</v>
      </c>
      <c r="W8" s="6124"/>
      <c r="X8" s="1118">
        <v>10134.56</v>
      </c>
      <c r="Y8" s="5898"/>
      <c r="Z8" s="774">
        <f t="shared" ref="Z8:Z69" si="4">P8+T8+X8</f>
        <v>40648.94</v>
      </c>
      <c r="AA8" s="5919"/>
      <c r="AB8" s="460">
        <f t="shared" ref="AB8:AB69" si="5">N8+Z8</f>
        <v>85004.84</v>
      </c>
      <c r="AC8" s="6124"/>
      <c r="AD8" s="1118">
        <v>12148.939999999999</v>
      </c>
      <c r="AE8" s="6127"/>
      <c r="AF8" s="775">
        <f t="shared" ref="AF8:AF69" si="6">AB8+AD8</f>
        <v>97153.78</v>
      </c>
      <c r="AG8" s="6124"/>
      <c r="AH8" s="1118">
        <v>9679.6260000000002</v>
      </c>
      <c r="AI8" s="6126"/>
      <c r="AJ8" s="775">
        <f t="shared" ref="AJ8:AJ68" si="7">AF8+AH8</f>
        <v>106833.406</v>
      </c>
      <c r="AK8" s="6124"/>
      <c r="AL8" s="1118">
        <v>8131.62</v>
      </c>
      <c r="AM8" s="5898"/>
      <c r="AN8" s="774">
        <f t="shared" ref="AN8:AN69" si="8">AD8+AH8+AL8</f>
        <v>29960.185999999998</v>
      </c>
      <c r="AO8" s="6127"/>
      <c r="AP8" s="775">
        <f t="shared" ref="AP8:AP69" si="9">AJ8+AL8</f>
        <v>114965.026</v>
      </c>
      <c r="AQ8" s="6124"/>
      <c r="AR8" s="1118">
        <v>2619.3810000000003</v>
      </c>
      <c r="AS8" s="6126"/>
      <c r="AT8" s="775">
        <f t="shared" ref="AT8:AT69" si="10">AP8+AR8</f>
        <v>117584.40699999999</v>
      </c>
      <c r="AU8" s="6124"/>
      <c r="AV8" s="1118"/>
      <c r="AW8" s="6126"/>
      <c r="AX8" s="775">
        <f t="shared" ref="AX8:AX69" si="11">AT8+AV8</f>
        <v>117584.40699999999</v>
      </c>
      <c r="AY8" s="6124"/>
      <c r="AZ8" s="1118">
        <v>0</v>
      </c>
      <c r="BA8" s="5898"/>
      <c r="BB8" s="774">
        <f t="shared" ref="BB8:BB69" si="12">AR8+AV8+AZ8</f>
        <v>2619.3810000000003</v>
      </c>
      <c r="BC8" s="5919"/>
      <c r="BD8" s="460">
        <f t="shared" ref="BD8:BD69" si="13">AN8+BB8</f>
        <v>32579.566999999999</v>
      </c>
      <c r="BE8" s="6126"/>
      <c r="BF8" s="775">
        <f t="shared" ref="BF8:BF69" si="14">AX8+AZ8</f>
        <v>117584.40699999999</v>
      </c>
      <c r="BG8" s="26">
        <f t="shared" ref="BG8:BG82" si="15">AY8+AU8+AQ8+AK8+AG8+AC8+W8+S8+O8+K8+G8+E8-BE8</f>
        <v>0</v>
      </c>
      <c r="BH8" s="26">
        <f t="shared" ref="BH8:BH82" si="16">AZ8+AV8+AR8+AL8+AH8+AD8+X8+T8+P8+L8+H8+F8-BF8</f>
        <v>0</v>
      </c>
      <c r="BI8" s="26"/>
      <c r="BJ8" s="26">
        <f t="shared" ref="BJ8:BJ82" si="17">AY8+AU8+AQ8+AK8+AG8+AC8-BC8</f>
        <v>0</v>
      </c>
      <c r="BK8" s="26">
        <f t="shared" ref="BK8:BK82" si="18">AZ8+AV8+AR8+AL8+AH8+AD8-BD8</f>
        <v>0</v>
      </c>
    </row>
    <row r="9" spans="1:63" x14ac:dyDescent="0.3">
      <c r="A9" s="92"/>
      <c r="B9" s="1009" t="s">
        <v>137</v>
      </c>
      <c r="C9" s="156" t="s">
        <v>50</v>
      </c>
      <c r="D9" s="1118">
        <v>60000.000000000007</v>
      </c>
      <c r="E9" s="1118">
        <v>5454.545454545455</v>
      </c>
      <c r="F9" s="1185">
        <v>40.54</v>
      </c>
      <c r="G9" s="1118">
        <v>5454.545454545455</v>
      </c>
      <c r="H9" s="1185">
        <v>114.39</v>
      </c>
      <c r="I9" s="775">
        <f>E9+G9</f>
        <v>10909.09090909091</v>
      </c>
      <c r="J9" s="775">
        <f t="shared" si="0"/>
        <v>154.93</v>
      </c>
      <c r="K9" s="1118">
        <v>5454.545454545455</v>
      </c>
      <c r="L9" s="1185">
        <v>0</v>
      </c>
      <c r="M9" s="774">
        <f>I9+K9</f>
        <v>16363.636363636364</v>
      </c>
      <c r="N9" s="774">
        <f t="shared" si="1"/>
        <v>154.93</v>
      </c>
      <c r="O9" s="1118">
        <v>5454.545454545455</v>
      </c>
      <c r="P9" s="1185">
        <v>38.94</v>
      </c>
      <c r="Q9" s="775">
        <f>M9+O9</f>
        <v>21818.18181818182</v>
      </c>
      <c r="R9" s="775">
        <f t="shared" si="2"/>
        <v>193.87</v>
      </c>
      <c r="S9" s="1118">
        <v>5454.545454545455</v>
      </c>
      <c r="T9" s="1185">
        <v>158.79</v>
      </c>
      <c r="U9" s="775">
        <f>Q9+S9</f>
        <v>27272.727272727276</v>
      </c>
      <c r="V9" s="775">
        <f t="shared" si="3"/>
        <v>352.65999999999997</v>
      </c>
      <c r="W9" s="1118">
        <v>0</v>
      </c>
      <c r="X9" s="1185">
        <v>39.89</v>
      </c>
      <c r="Y9" s="774">
        <f>O9+S9+W9</f>
        <v>10909.09090909091</v>
      </c>
      <c r="Z9" s="774">
        <f t="shared" si="4"/>
        <v>237.62</v>
      </c>
      <c r="AA9" s="460">
        <f>M9+Y9</f>
        <v>27272.727272727272</v>
      </c>
      <c r="AB9" s="460">
        <f t="shared" si="5"/>
        <v>392.55</v>
      </c>
      <c r="AC9" s="1118">
        <v>5454.545454545455</v>
      </c>
      <c r="AD9" s="1185"/>
      <c r="AE9" s="775">
        <f>AA9+AC9</f>
        <v>32727.272727272728</v>
      </c>
      <c r="AF9" s="775">
        <f t="shared" si="6"/>
        <v>392.55</v>
      </c>
      <c r="AG9" s="1118">
        <v>5454.545454545455</v>
      </c>
      <c r="AH9" s="1185">
        <v>119.21</v>
      </c>
      <c r="AI9" s="775">
        <f>AE9+AG9</f>
        <v>38181.818181818184</v>
      </c>
      <c r="AJ9" s="775">
        <f t="shared" si="7"/>
        <v>511.76</v>
      </c>
      <c r="AK9" s="1118">
        <v>5454.545454545455</v>
      </c>
      <c r="AL9" s="1185">
        <v>248.22</v>
      </c>
      <c r="AM9" s="774">
        <f>AC9+AG9+AK9</f>
        <v>16363.636363636364</v>
      </c>
      <c r="AN9" s="774">
        <f t="shared" si="8"/>
        <v>367.43</v>
      </c>
      <c r="AO9" s="775">
        <f>AI9+AK9</f>
        <v>43636.36363636364</v>
      </c>
      <c r="AP9" s="775">
        <f t="shared" si="9"/>
        <v>759.98</v>
      </c>
      <c r="AQ9" s="1118">
        <v>5454.545454545455</v>
      </c>
      <c r="AR9" s="1185">
        <v>0</v>
      </c>
      <c r="AS9" s="775">
        <f>AO9+AQ9</f>
        <v>49090.909090909096</v>
      </c>
      <c r="AT9" s="775">
        <f t="shared" si="10"/>
        <v>759.98</v>
      </c>
      <c r="AU9" s="1118">
        <v>5454.545454545455</v>
      </c>
      <c r="AV9" s="1185"/>
      <c r="AW9" s="775">
        <f>AS9+AU9</f>
        <v>54545.454545454551</v>
      </c>
      <c r="AX9" s="775">
        <f t="shared" si="11"/>
        <v>759.98</v>
      </c>
      <c r="AY9" s="1118">
        <v>5454.545454545455</v>
      </c>
      <c r="AZ9" s="1185">
        <v>1616.84</v>
      </c>
      <c r="BA9" s="774">
        <f>AQ9+AU9+AY9</f>
        <v>16363.636363636364</v>
      </c>
      <c r="BB9" s="774">
        <f t="shared" si="12"/>
        <v>1616.84</v>
      </c>
      <c r="BC9" s="460">
        <f t="shared" ref="BC9:BC12" si="19">AM9+BA9</f>
        <v>32727.272727272728</v>
      </c>
      <c r="BD9" s="460">
        <f t="shared" si="13"/>
        <v>1984.27</v>
      </c>
      <c r="BE9" s="775">
        <f>AW9+AY9</f>
        <v>60000.000000000007</v>
      </c>
      <c r="BF9" s="775">
        <f t="shared" si="14"/>
        <v>2376.8199999999997</v>
      </c>
      <c r="BG9" s="26">
        <f t="shared" si="15"/>
        <v>0</v>
      </c>
      <c r="BH9" s="26">
        <f t="shared" si="16"/>
        <v>0</v>
      </c>
      <c r="BI9" s="26"/>
      <c r="BJ9" s="26">
        <f t="shared" si="17"/>
        <v>0</v>
      </c>
      <c r="BK9" s="26">
        <f t="shared" si="18"/>
        <v>0</v>
      </c>
    </row>
    <row r="10" spans="1:63" x14ac:dyDescent="0.3">
      <c r="A10" s="92"/>
      <c r="B10" s="5687" t="s">
        <v>2365</v>
      </c>
      <c r="C10" s="5462" t="s">
        <v>50</v>
      </c>
      <c r="D10" s="5458"/>
      <c r="E10" s="5458">
        <v>0</v>
      </c>
      <c r="F10" s="5453">
        <v>0</v>
      </c>
      <c r="G10" s="5458">
        <v>0</v>
      </c>
      <c r="H10" s="5453">
        <v>0</v>
      </c>
      <c r="I10" s="775">
        <f>E10+G10</f>
        <v>0</v>
      </c>
      <c r="J10" s="775">
        <f t="shared" ref="J10" si="20">F10+H10</f>
        <v>0</v>
      </c>
      <c r="K10" s="5458">
        <v>0</v>
      </c>
      <c r="L10" s="5453">
        <v>0</v>
      </c>
      <c r="M10" s="774">
        <f>I10+K10</f>
        <v>0</v>
      </c>
      <c r="N10" s="774">
        <f t="shared" ref="N10" si="21">J10+L10</f>
        <v>0</v>
      </c>
      <c r="O10" s="5458">
        <v>0</v>
      </c>
      <c r="P10" s="5453">
        <v>0</v>
      </c>
      <c r="Q10" s="775">
        <f>M10+O10</f>
        <v>0</v>
      </c>
      <c r="R10" s="775">
        <f t="shared" ref="R10" si="22">N10+P10</f>
        <v>0</v>
      </c>
      <c r="S10" s="5458"/>
      <c r="T10" s="5453"/>
      <c r="U10" s="775">
        <f>Q10+S10</f>
        <v>0</v>
      </c>
      <c r="V10" s="775">
        <f t="shared" ref="V10" si="23">R10+T10</f>
        <v>0</v>
      </c>
      <c r="W10" s="5458"/>
      <c r="X10" s="5453"/>
      <c r="Y10" s="774">
        <f>O10+S10+W10</f>
        <v>0</v>
      </c>
      <c r="Z10" s="774">
        <f t="shared" ref="Z10" si="24">P10+T10+X10</f>
        <v>0</v>
      </c>
      <c r="AA10" s="460">
        <f>M10+Y10</f>
        <v>0</v>
      </c>
      <c r="AB10" s="460">
        <f t="shared" ref="AB10" si="25">N10+Z10</f>
        <v>0</v>
      </c>
      <c r="AC10" s="5453">
        <v>0</v>
      </c>
      <c r="AD10" s="5453">
        <v>0</v>
      </c>
      <c r="AE10" s="775">
        <f>AA10+AC10</f>
        <v>0</v>
      </c>
      <c r="AF10" s="775">
        <f t="shared" ref="AF10" si="26">AB10+AD10</f>
        <v>0</v>
      </c>
      <c r="AG10" s="5453">
        <v>0</v>
      </c>
      <c r="AH10" s="5453">
        <v>0</v>
      </c>
      <c r="AI10" s="775">
        <f>AE10+AG10</f>
        <v>0</v>
      </c>
      <c r="AJ10" s="775">
        <f t="shared" ref="AJ10" si="27">AF10+AH10</f>
        <v>0</v>
      </c>
      <c r="AK10" s="5453">
        <v>0</v>
      </c>
      <c r="AL10" s="5453">
        <v>0</v>
      </c>
      <c r="AM10" s="774">
        <f>AC10+AG10+AK10</f>
        <v>0</v>
      </c>
      <c r="AN10" s="774">
        <f t="shared" ref="AN10" si="28">AD10+AH10+AL10</f>
        <v>0</v>
      </c>
      <c r="AO10" s="775">
        <f>AI10+AK10</f>
        <v>0</v>
      </c>
      <c r="AP10" s="775">
        <f t="shared" ref="AP10" si="29">AJ10+AL10</f>
        <v>0</v>
      </c>
      <c r="AQ10" s="5453">
        <v>0</v>
      </c>
      <c r="AR10" s="5453">
        <v>0</v>
      </c>
      <c r="AS10" s="775">
        <f>AO10+AQ10</f>
        <v>0</v>
      </c>
      <c r="AT10" s="775">
        <f t="shared" ref="AT10" si="30">AP10+AR10</f>
        <v>0</v>
      </c>
      <c r="AU10" s="5453">
        <v>0</v>
      </c>
      <c r="AV10" s="5453">
        <v>0</v>
      </c>
      <c r="AW10" s="775">
        <f>AS10+AU10</f>
        <v>0</v>
      </c>
      <c r="AX10" s="775">
        <f t="shared" ref="AX10" si="31">AT10+AV10</f>
        <v>0</v>
      </c>
      <c r="AY10" s="5453">
        <v>0</v>
      </c>
      <c r="AZ10" s="5453">
        <v>0</v>
      </c>
      <c r="BA10" s="774">
        <f>AQ10+AU10+AY10</f>
        <v>0</v>
      </c>
      <c r="BB10" s="774">
        <f t="shared" ref="BB10" si="32">AR10+AV10+AZ10</f>
        <v>0</v>
      </c>
      <c r="BC10" s="460">
        <f t="shared" ref="BC10" si="33">AM10+BA10</f>
        <v>0</v>
      </c>
      <c r="BD10" s="460">
        <f t="shared" ref="BD10" si="34">AN10+BB10</f>
        <v>0</v>
      </c>
      <c r="BE10" s="775">
        <f>AW10+AY10</f>
        <v>0</v>
      </c>
      <c r="BF10" s="775">
        <f t="shared" ref="BF10" si="35">AX10+AZ10</f>
        <v>0</v>
      </c>
      <c r="BG10" s="26"/>
      <c r="BH10" s="26"/>
      <c r="BI10" s="26"/>
      <c r="BJ10" s="26"/>
      <c r="BK10" s="26"/>
    </row>
    <row r="11" spans="1:63" x14ac:dyDescent="0.3">
      <c r="A11" s="92"/>
      <c r="B11" s="1009" t="s">
        <v>2363</v>
      </c>
      <c r="C11" s="156" t="s">
        <v>50</v>
      </c>
      <c r="D11" s="1185">
        <v>0</v>
      </c>
      <c r="E11" s="1185">
        <v>0</v>
      </c>
      <c r="F11" s="1185">
        <v>0</v>
      </c>
      <c r="G11" s="1185"/>
      <c r="H11" s="1185">
        <v>0</v>
      </c>
      <c r="I11" s="775">
        <f>E11+G11</f>
        <v>0</v>
      </c>
      <c r="J11" s="775">
        <f t="shared" si="0"/>
        <v>0</v>
      </c>
      <c r="K11" s="1185">
        <v>0</v>
      </c>
      <c r="L11" s="1185">
        <v>0</v>
      </c>
      <c r="M11" s="774">
        <f>I11+K11</f>
        <v>0</v>
      </c>
      <c r="N11" s="774">
        <f t="shared" si="1"/>
        <v>0</v>
      </c>
      <c r="O11" s="1185">
        <v>0</v>
      </c>
      <c r="P11" s="1185">
        <v>64.099999999999994</v>
      </c>
      <c r="Q11" s="775">
        <f>M11+O11</f>
        <v>0</v>
      </c>
      <c r="R11" s="775">
        <f t="shared" si="2"/>
        <v>64.099999999999994</v>
      </c>
      <c r="S11" s="1185"/>
      <c r="T11" s="1185">
        <v>1485.1599999999999</v>
      </c>
      <c r="U11" s="775">
        <f>Q11+S11</f>
        <v>0</v>
      </c>
      <c r="V11" s="775">
        <f t="shared" si="3"/>
        <v>1549.2599999999998</v>
      </c>
      <c r="W11" s="1185"/>
      <c r="X11" s="1185">
        <v>693.72</v>
      </c>
      <c r="Y11" s="774">
        <f t="shared" ref="Y11:Y12" si="36">O11+S11+W11</f>
        <v>0</v>
      </c>
      <c r="Z11" s="774">
        <f t="shared" si="4"/>
        <v>2242.9799999999996</v>
      </c>
      <c r="AA11" s="460">
        <f>M11+Y11</f>
        <v>0</v>
      </c>
      <c r="AB11" s="460">
        <f t="shared" si="5"/>
        <v>2242.9799999999996</v>
      </c>
      <c r="AC11" s="1185"/>
      <c r="AD11" s="1185">
        <v>747.82</v>
      </c>
      <c r="AE11" s="775">
        <f>AA11+AC11</f>
        <v>0</v>
      </c>
      <c r="AF11" s="775">
        <f t="shared" si="6"/>
        <v>2990.7999999999997</v>
      </c>
      <c r="AG11" s="1185"/>
      <c r="AH11" s="1185"/>
      <c r="AI11" s="775">
        <f>AE11+AG11</f>
        <v>0</v>
      </c>
      <c r="AJ11" s="775">
        <f t="shared" si="7"/>
        <v>2990.7999999999997</v>
      </c>
      <c r="AK11" s="1185"/>
      <c r="AL11" s="1185">
        <v>244.1</v>
      </c>
      <c r="AM11" s="774">
        <f t="shared" ref="AM11:AM12" si="37">AC11+AG11+AK11</f>
        <v>0</v>
      </c>
      <c r="AN11" s="774">
        <f t="shared" si="8"/>
        <v>991.92000000000007</v>
      </c>
      <c r="AO11" s="775">
        <f t="shared" ref="AO11:AO13" si="38">AI11+AK11</f>
        <v>0</v>
      </c>
      <c r="AP11" s="775">
        <f t="shared" si="9"/>
        <v>3234.8999999999996</v>
      </c>
      <c r="AQ11" s="1185">
        <v>0</v>
      </c>
      <c r="AR11" s="1185">
        <v>0</v>
      </c>
      <c r="AS11" s="775">
        <f>AO11+AQ11</f>
        <v>0</v>
      </c>
      <c r="AT11" s="775">
        <f t="shared" si="10"/>
        <v>3234.8999999999996</v>
      </c>
      <c r="AU11" s="1185">
        <v>0</v>
      </c>
      <c r="AV11" s="1185">
        <v>311.56</v>
      </c>
      <c r="AW11" s="775">
        <f>AS11+AU11</f>
        <v>0</v>
      </c>
      <c r="AX11" s="775">
        <f t="shared" si="11"/>
        <v>3546.4599999999996</v>
      </c>
      <c r="AY11" s="1185"/>
      <c r="AZ11" s="1185">
        <v>0</v>
      </c>
      <c r="BA11" s="774">
        <f t="shared" ref="BA11:BA12" si="39">AQ11+AU11+AY11</f>
        <v>0</v>
      </c>
      <c r="BB11" s="774">
        <f t="shared" si="12"/>
        <v>311.56</v>
      </c>
      <c r="BC11" s="460">
        <f t="shared" si="19"/>
        <v>0</v>
      </c>
      <c r="BD11" s="460">
        <f t="shared" si="13"/>
        <v>1303.48</v>
      </c>
      <c r="BE11" s="775">
        <f>AW11+AY11</f>
        <v>0</v>
      </c>
      <c r="BF11" s="775">
        <f t="shared" si="14"/>
        <v>3546.4599999999996</v>
      </c>
      <c r="BG11" s="26">
        <f t="shared" si="15"/>
        <v>0</v>
      </c>
      <c r="BH11" s="26">
        <f t="shared" si="16"/>
        <v>0</v>
      </c>
      <c r="BI11" s="26"/>
      <c r="BJ11" s="26">
        <f>AY11+AU11+AQ11+AK11+AG11+AC11-BC11</f>
        <v>0</v>
      </c>
      <c r="BK11" s="26">
        <f t="shared" si="18"/>
        <v>0</v>
      </c>
    </row>
    <row r="12" spans="1:63" x14ac:dyDescent="0.3">
      <c r="A12" s="92"/>
      <c r="B12" s="1009" t="s">
        <v>2364</v>
      </c>
      <c r="C12" s="156" t="s">
        <v>50</v>
      </c>
      <c r="D12" s="3402">
        <v>1000.0000000000001</v>
      </c>
      <c r="E12" s="3402">
        <v>83.333333333333329</v>
      </c>
      <c r="F12" s="1185">
        <v>0</v>
      </c>
      <c r="G12" s="3402">
        <v>83</v>
      </c>
      <c r="H12" s="1185">
        <v>0</v>
      </c>
      <c r="I12" s="775">
        <f t="shared" ref="I12:I13" si="40">E12+G12</f>
        <v>166.33333333333331</v>
      </c>
      <c r="J12" s="775">
        <f t="shared" si="0"/>
        <v>0</v>
      </c>
      <c r="K12" s="3402">
        <v>83</v>
      </c>
      <c r="L12" s="1185">
        <v>0</v>
      </c>
      <c r="M12" s="774">
        <f t="shared" ref="M12" si="41">I12+K12</f>
        <v>249.33333333333331</v>
      </c>
      <c r="N12" s="774">
        <f t="shared" si="1"/>
        <v>0</v>
      </c>
      <c r="O12" s="3402">
        <v>83</v>
      </c>
      <c r="P12" s="1185">
        <v>0</v>
      </c>
      <c r="Q12" s="775">
        <f t="shared" ref="Q12:Q13" si="42">M12+O12</f>
        <v>332.33333333333331</v>
      </c>
      <c r="R12" s="775">
        <f t="shared" si="2"/>
        <v>0</v>
      </c>
      <c r="S12" s="3402">
        <v>83.333333333333329</v>
      </c>
      <c r="T12" s="1185">
        <v>0</v>
      </c>
      <c r="U12" s="775">
        <f t="shared" ref="U12:U13" si="43">Q12+S12</f>
        <v>415.66666666666663</v>
      </c>
      <c r="V12" s="775">
        <f t="shared" si="3"/>
        <v>0</v>
      </c>
      <c r="W12" s="3402">
        <v>83.333333333333329</v>
      </c>
      <c r="X12" s="1185"/>
      <c r="Y12" s="774">
        <f t="shared" si="36"/>
        <v>249.66666666666663</v>
      </c>
      <c r="Z12" s="774">
        <f t="shared" si="4"/>
        <v>0</v>
      </c>
      <c r="AA12" s="460">
        <f>M12+Y12</f>
        <v>498.99999999999994</v>
      </c>
      <c r="AB12" s="460">
        <f t="shared" si="5"/>
        <v>0</v>
      </c>
      <c r="AC12" s="3402">
        <v>83.333333333333329</v>
      </c>
      <c r="AD12" s="1185"/>
      <c r="AE12" s="775">
        <f t="shared" ref="AE12:AE13" si="44">AA12+AC12</f>
        <v>582.33333333333326</v>
      </c>
      <c r="AF12" s="775">
        <f t="shared" si="6"/>
        <v>0</v>
      </c>
      <c r="AG12" s="3402">
        <v>83.333333333333329</v>
      </c>
      <c r="AH12" s="1185"/>
      <c r="AI12" s="775">
        <f t="shared" ref="AI12:AI13" si="45">AE12+AG12</f>
        <v>665.66666666666663</v>
      </c>
      <c r="AJ12" s="775">
        <f t="shared" si="7"/>
        <v>0</v>
      </c>
      <c r="AK12" s="3402">
        <v>83.333333333333329</v>
      </c>
      <c r="AL12" s="1185">
        <v>0</v>
      </c>
      <c r="AM12" s="774">
        <f t="shared" si="37"/>
        <v>250</v>
      </c>
      <c r="AN12" s="774">
        <f t="shared" si="8"/>
        <v>0</v>
      </c>
      <c r="AO12" s="775">
        <f t="shared" si="38"/>
        <v>749</v>
      </c>
      <c r="AP12" s="775">
        <f t="shared" si="9"/>
        <v>0</v>
      </c>
      <c r="AQ12" s="3402">
        <v>83.333333333333329</v>
      </c>
      <c r="AR12" s="1185">
        <v>0</v>
      </c>
      <c r="AS12" s="775">
        <f t="shared" ref="AS12:AS13" si="46">AO12+AQ12</f>
        <v>832.33333333333337</v>
      </c>
      <c r="AT12" s="775">
        <f t="shared" si="10"/>
        <v>0</v>
      </c>
      <c r="AU12" s="3402">
        <v>83.333333333333329</v>
      </c>
      <c r="AV12" s="1185"/>
      <c r="AW12" s="775">
        <f t="shared" ref="AW12:AW13" si="47">AS12+AU12</f>
        <v>915.66666666666674</v>
      </c>
      <c r="AX12" s="775">
        <f t="shared" si="11"/>
        <v>0</v>
      </c>
      <c r="AY12" s="3402">
        <v>83.333333333333329</v>
      </c>
      <c r="AZ12" s="1185">
        <v>0</v>
      </c>
      <c r="BA12" s="774">
        <f t="shared" si="39"/>
        <v>250</v>
      </c>
      <c r="BB12" s="774">
        <f t="shared" si="12"/>
        <v>0</v>
      </c>
      <c r="BC12" s="460">
        <f t="shared" si="19"/>
        <v>500</v>
      </c>
      <c r="BD12" s="460">
        <f t="shared" si="13"/>
        <v>0</v>
      </c>
      <c r="BE12" s="775">
        <f t="shared" ref="BE12:BE13" si="48">AW12+AY12</f>
        <v>999.00000000000011</v>
      </c>
      <c r="BF12" s="775">
        <f t="shared" si="14"/>
        <v>0</v>
      </c>
      <c r="BG12" s="26">
        <f t="shared" si="15"/>
        <v>0</v>
      </c>
      <c r="BH12" s="26">
        <f t="shared" si="16"/>
        <v>0</v>
      </c>
      <c r="BI12" s="26"/>
      <c r="BJ12" s="26">
        <f t="shared" si="17"/>
        <v>0</v>
      </c>
      <c r="BK12" s="26">
        <f t="shared" si="18"/>
        <v>0</v>
      </c>
    </row>
    <row r="13" spans="1:63" ht="21.15" customHeight="1" x14ac:dyDescent="0.3">
      <c r="A13" s="92"/>
      <c r="B13" s="3403" t="s">
        <v>2</v>
      </c>
      <c r="C13" s="156" t="s">
        <v>50</v>
      </c>
      <c r="D13" s="1720">
        <f>SUM(D7:D12)</f>
        <v>500000</v>
      </c>
      <c r="E13" s="1720">
        <f t="shared" ref="E13:F13" si="49">SUM(E7:E12)</f>
        <v>42500</v>
      </c>
      <c r="F13" s="1720">
        <f t="shared" si="49"/>
        <v>33332.799999999996</v>
      </c>
      <c r="G13" s="1720">
        <f t="shared" ref="G13:H13" si="50">SUM(G7:G12)</f>
        <v>44000</v>
      </c>
      <c r="H13" s="1720">
        <f t="shared" si="50"/>
        <v>39367.019999999997</v>
      </c>
      <c r="I13" s="371">
        <f t="shared" si="40"/>
        <v>86500</v>
      </c>
      <c r="J13" s="775">
        <f t="shared" si="0"/>
        <v>72699.819999999992</v>
      </c>
      <c r="K13" s="1720">
        <f t="shared" ref="K13:L13" si="51">SUM(K7:K12)</f>
        <v>42500</v>
      </c>
      <c r="L13" s="1720">
        <f t="shared" si="51"/>
        <v>37508.06</v>
      </c>
      <c r="M13" s="373">
        <f>E13+G13+K13</f>
        <v>129000</v>
      </c>
      <c r="N13" s="774">
        <f t="shared" si="1"/>
        <v>110207.87999999999</v>
      </c>
      <c r="O13" s="1720">
        <f t="shared" ref="O13:P13" si="52">SUM(O7:O12)</f>
        <v>44000</v>
      </c>
      <c r="P13" s="1720">
        <f t="shared" si="52"/>
        <v>44197.29</v>
      </c>
      <c r="Q13" s="371">
        <f t="shared" si="42"/>
        <v>173000</v>
      </c>
      <c r="R13" s="775">
        <f t="shared" si="2"/>
        <v>154405.16999999998</v>
      </c>
      <c r="S13" s="1720">
        <f t="shared" ref="S13:T13" si="53">SUM(S7:S12)</f>
        <v>44000</v>
      </c>
      <c r="T13" s="1720">
        <f t="shared" si="53"/>
        <v>42211.7</v>
      </c>
      <c r="U13" s="371">
        <f t="shared" si="43"/>
        <v>217000</v>
      </c>
      <c r="V13" s="775">
        <f t="shared" si="3"/>
        <v>196616.87</v>
      </c>
      <c r="W13" s="1720">
        <f t="shared" ref="W13:X13" si="54">SUM(W7:W12)</f>
        <v>25000</v>
      </c>
      <c r="X13" s="1720">
        <f t="shared" si="54"/>
        <v>37026.69000000001</v>
      </c>
      <c r="Y13" s="373">
        <f>O13+S13+W13</f>
        <v>113000</v>
      </c>
      <c r="Z13" s="774">
        <f t="shared" si="4"/>
        <v>123435.68</v>
      </c>
      <c r="AA13" s="539">
        <f>M13+Y13</f>
        <v>242000</v>
      </c>
      <c r="AB13" s="460">
        <f t="shared" si="5"/>
        <v>233643.56</v>
      </c>
      <c r="AC13" s="1720">
        <f t="shared" ref="AC13:AD13" si="55">SUM(AC7:AC12)</f>
        <v>42500</v>
      </c>
      <c r="AD13" s="1720">
        <f t="shared" si="55"/>
        <v>31780.12</v>
      </c>
      <c r="AE13" s="371">
        <f t="shared" si="44"/>
        <v>284500</v>
      </c>
      <c r="AF13" s="775">
        <f t="shared" si="6"/>
        <v>265423.68</v>
      </c>
      <c r="AG13" s="1720">
        <f t="shared" ref="AG13:AH13" si="56">SUM(AG7:AG12)</f>
        <v>42500</v>
      </c>
      <c r="AH13" s="1720">
        <f t="shared" si="56"/>
        <v>38334.735999999997</v>
      </c>
      <c r="AI13" s="371">
        <f t="shared" si="45"/>
        <v>327000</v>
      </c>
      <c r="AJ13" s="775">
        <f t="shared" si="7"/>
        <v>303758.41599999997</v>
      </c>
      <c r="AK13" s="1720">
        <f t="shared" ref="AK13:AL13" si="57">SUM(AK7:AK12)</f>
        <v>44000</v>
      </c>
      <c r="AL13" s="1720">
        <f t="shared" si="57"/>
        <v>41431.910000000003</v>
      </c>
      <c r="AM13" s="373">
        <f>AC13+AG13+AK13</f>
        <v>129000</v>
      </c>
      <c r="AN13" s="774">
        <f t="shared" si="8"/>
        <v>111546.766</v>
      </c>
      <c r="AO13" s="371">
        <f t="shared" si="38"/>
        <v>371000</v>
      </c>
      <c r="AP13" s="775">
        <f t="shared" si="9"/>
        <v>345190.326</v>
      </c>
      <c r="AQ13" s="1720">
        <f t="shared" ref="AQ13:AR13" si="58">SUM(AQ7:AQ12)</f>
        <v>44500</v>
      </c>
      <c r="AR13" s="1720">
        <f t="shared" si="58"/>
        <v>39752.560999999994</v>
      </c>
      <c r="AS13" s="371">
        <f t="shared" si="46"/>
        <v>415500</v>
      </c>
      <c r="AT13" s="775">
        <f t="shared" si="10"/>
        <v>384942.88699999999</v>
      </c>
      <c r="AU13" s="1720">
        <f t="shared" ref="AU13:AV13" si="59">SUM(AU7:AU12)</f>
        <v>40000</v>
      </c>
      <c r="AV13" s="1720">
        <f t="shared" si="59"/>
        <v>42183.399999999994</v>
      </c>
      <c r="AW13" s="371">
        <f t="shared" si="47"/>
        <v>455500</v>
      </c>
      <c r="AX13" s="775">
        <f t="shared" si="11"/>
        <v>427126.28700000001</v>
      </c>
      <c r="AY13" s="1720">
        <f t="shared" ref="AY13:AZ13" si="60">SUM(AY7:AY12)</f>
        <v>44500</v>
      </c>
      <c r="AZ13" s="1720">
        <f t="shared" si="60"/>
        <v>48073.319999999992</v>
      </c>
      <c r="BA13" s="373">
        <f>AQ13+AU13+AY13</f>
        <v>129000</v>
      </c>
      <c r="BB13" s="373">
        <f t="shared" si="12"/>
        <v>130009.28099999997</v>
      </c>
      <c r="BC13" s="539">
        <f>AM13+BA13</f>
        <v>258000</v>
      </c>
      <c r="BD13" s="539">
        <f t="shared" si="13"/>
        <v>241556.04699999996</v>
      </c>
      <c r="BE13" s="371">
        <f t="shared" si="48"/>
        <v>500000</v>
      </c>
      <c r="BF13" s="371">
        <f t="shared" si="14"/>
        <v>475199.60700000002</v>
      </c>
      <c r="BG13" s="26">
        <f t="shared" si="15"/>
        <v>0</v>
      </c>
      <c r="BH13" s="26">
        <f t="shared" si="16"/>
        <v>0</v>
      </c>
      <c r="BI13" s="26"/>
      <c r="BJ13" s="26">
        <f t="shared" si="17"/>
        <v>0</v>
      </c>
      <c r="BK13" s="26">
        <f t="shared" si="18"/>
        <v>0</v>
      </c>
    </row>
    <row r="14" spans="1:63" x14ac:dyDescent="0.3">
      <c r="A14" s="146"/>
      <c r="B14" s="3401" t="s">
        <v>95</v>
      </c>
      <c r="C14" s="436"/>
      <c r="D14" s="436"/>
      <c r="E14" s="436"/>
      <c r="F14" s="436"/>
      <c r="G14" s="436"/>
      <c r="H14" s="436"/>
      <c r="I14" s="611"/>
      <c r="J14" s="775"/>
      <c r="K14" s="436"/>
      <c r="L14" s="436"/>
      <c r="M14" s="612"/>
      <c r="N14" s="774"/>
      <c r="O14" s="436"/>
      <c r="P14" s="436"/>
      <c r="Q14" s="611"/>
      <c r="R14" s="775"/>
      <c r="S14" s="436"/>
      <c r="T14" s="436"/>
      <c r="U14" s="611"/>
      <c r="V14" s="775"/>
      <c r="W14" s="436"/>
      <c r="X14" s="436"/>
      <c r="Y14" s="612"/>
      <c r="Z14" s="774"/>
      <c r="AA14" s="5710"/>
      <c r="AB14" s="460"/>
      <c r="AC14" s="436"/>
      <c r="AD14" s="436"/>
      <c r="AE14" s="611"/>
      <c r="AF14" s="775"/>
      <c r="AG14" s="436"/>
      <c r="AH14" s="436"/>
      <c r="AI14" s="611"/>
      <c r="AJ14" s="775"/>
      <c r="AK14" s="436"/>
      <c r="AL14" s="436"/>
      <c r="AM14" s="612"/>
      <c r="AN14" s="774"/>
      <c r="AO14" s="611"/>
      <c r="AP14" s="775"/>
      <c r="AQ14" s="436"/>
      <c r="AR14" s="436"/>
      <c r="AS14" s="611"/>
      <c r="AT14" s="775"/>
      <c r="AU14" s="436"/>
      <c r="AV14" s="436"/>
      <c r="AW14" s="611"/>
      <c r="AX14" s="775"/>
      <c r="AY14" s="436"/>
      <c r="AZ14" s="436"/>
      <c r="BA14" s="612"/>
      <c r="BB14" s="774"/>
      <c r="BC14" s="5710"/>
      <c r="BD14" s="460"/>
      <c r="BE14" s="611"/>
      <c r="BF14" s="775"/>
      <c r="BG14" s="26"/>
      <c r="BH14" s="26"/>
      <c r="BI14" s="26"/>
      <c r="BJ14" s="26"/>
      <c r="BK14" s="26"/>
    </row>
    <row r="15" spans="1:63" x14ac:dyDescent="0.3">
      <c r="A15" s="92"/>
      <c r="B15" s="1009" t="s">
        <v>75</v>
      </c>
      <c r="C15" s="156" t="s">
        <v>50</v>
      </c>
      <c r="D15" s="6124">
        <v>895000</v>
      </c>
      <c r="E15" s="6124">
        <f>'Maj Production Summ'!E31-E17-E19-E20</f>
        <v>75545.454545454544</v>
      </c>
      <c r="F15" s="1185">
        <v>33652.829999999987</v>
      </c>
      <c r="G15" s="6124">
        <f>'Maj Production Summ'!G31-G17-G19-G20</f>
        <v>78545.454545454544</v>
      </c>
      <c r="H15" s="1185">
        <v>32188.05999999999</v>
      </c>
      <c r="I15" s="6127">
        <f>E15+G15</f>
        <v>154090.90909090909</v>
      </c>
      <c r="J15" s="775">
        <f t="shared" si="0"/>
        <v>65840.889999999985</v>
      </c>
      <c r="K15" s="6124">
        <f>'Maj Production Summ'!K31-K17-K19-K20</f>
        <v>75545.454545454544</v>
      </c>
      <c r="L15" s="1185">
        <v>28567.620000000006</v>
      </c>
      <c r="M15" s="5898">
        <f>I15+K15</f>
        <v>229636.36363636365</v>
      </c>
      <c r="N15" s="774">
        <f t="shared" si="1"/>
        <v>94408.51</v>
      </c>
      <c r="O15" s="6124">
        <f>'Maj Production Summ'!O31-O17-O19-O20</f>
        <v>78545.454545454544</v>
      </c>
      <c r="P15" s="1185">
        <v>33905.25</v>
      </c>
      <c r="Q15" s="6127">
        <f>M15+O15</f>
        <v>308181.81818181818</v>
      </c>
      <c r="R15" s="775">
        <f t="shared" si="2"/>
        <v>128313.76</v>
      </c>
      <c r="S15" s="6124">
        <f>'Maj Production Summ'!S31-S17-S19-S20</f>
        <v>78545.454545454544</v>
      </c>
      <c r="T15" s="1185">
        <v>36439.46</v>
      </c>
      <c r="U15" s="6127">
        <f>Q15+S15</f>
        <v>386727.27272727271</v>
      </c>
      <c r="V15" s="775">
        <f t="shared" si="3"/>
        <v>164753.22</v>
      </c>
      <c r="W15" s="6124">
        <f>'Maj Production Summ'!W31-W17-W19-W20</f>
        <v>47500</v>
      </c>
      <c r="X15" s="1185">
        <v>31398.73</v>
      </c>
      <c r="Y15" s="5898">
        <f t="shared" ref="Y15:Y20" si="61">O15+S15+W15</f>
        <v>204590.90909090909</v>
      </c>
      <c r="Z15" s="774">
        <f t="shared" si="4"/>
        <v>101743.43999999999</v>
      </c>
      <c r="AA15" s="5919">
        <f>M15+Y15</f>
        <v>434227.27272727271</v>
      </c>
      <c r="AB15" s="460">
        <f t="shared" si="5"/>
        <v>196151.94999999998</v>
      </c>
      <c r="AC15" s="6124">
        <f>'Maj Production Summ'!AC31-AC17-AC19-AC20</f>
        <v>77545.454545454544</v>
      </c>
      <c r="AD15" s="1185">
        <v>19803.409999999996</v>
      </c>
      <c r="AE15" s="6127">
        <f>AA15+AC15</f>
        <v>511772.72727272724</v>
      </c>
      <c r="AF15" s="775">
        <f t="shared" si="6"/>
        <v>215955.36</v>
      </c>
      <c r="AG15" s="6124">
        <f>'Maj Production Summ'!AG31-AG17-AG19-AG20</f>
        <v>75545.454545454544</v>
      </c>
      <c r="AH15" s="1185">
        <v>32435.45</v>
      </c>
      <c r="AI15" s="6128">
        <f>AE15+AG15</f>
        <v>587318.18181818177</v>
      </c>
      <c r="AJ15" s="775">
        <f t="shared" si="7"/>
        <v>248390.81</v>
      </c>
      <c r="AK15" s="6124">
        <f>'Maj Production Summ'!AK31-AK17-AK19-AK20</f>
        <v>78545.454545454544</v>
      </c>
      <c r="AL15" s="1185">
        <v>48310.77</v>
      </c>
      <c r="AM15" s="5898">
        <f t="shared" ref="AM15:AM20" si="62">AC15+AG15+AK15</f>
        <v>231636.36363636365</v>
      </c>
      <c r="AN15" s="774">
        <f t="shared" si="8"/>
        <v>100549.63</v>
      </c>
      <c r="AO15" s="6127">
        <f>AI15+AK15</f>
        <v>665863.63636363635</v>
      </c>
      <c r="AP15" s="775">
        <f t="shared" si="9"/>
        <v>296701.58</v>
      </c>
      <c r="AQ15" s="6124">
        <f>'Maj Production Summ'!AQ31-AQ17-AQ19-AQ20</f>
        <v>78545.454545454544</v>
      </c>
      <c r="AR15" s="1185">
        <v>45557.57</v>
      </c>
      <c r="AS15" s="6128">
        <f>AO15+AQ15</f>
        <v>744409.09090909094</v>
      </c>
      <c r="AT15" s="775">
        <f t="shared" si="10"/>
        <v>342259.15</v>
      </c>
      <c r="AU15" s="6124">
        <f>'Maj Production Summ'!AU31-AU17-AU19-AU20</f>
        <v>71045.454545454544</v>
      </c>
      <c r="AV15" s="1185">
        <v>52298.890000000014</v>
      </c>
      <c r="AW15" s="6128">
        <f>AS15+AU15</f>
        <v>815454.54545454553</v>
      </c>
      <c r="AX15" s="775">
        <f t="shared" si="11"/>
        <v>394558.04000000004</v>
      </c>
      <c r="AY15" s="6124">
        <f>'Maj Production Summ'!AY31-AY17-AY19-AY20</f>
        <v>79545.454545454544</v>
      </c>
      <c r="AZ15" s="1185">
        <v>43927.470000000008</v>
      </c>
      <c r="BA15" s="5898">
        <f t="shared" ref="BA15:BA20" si="63">AQ15+AU15+AY15</f>
        <v>229136.36363636365</v>
      </c>
      <c r="BB15" s="774">
        <f t="shared" si="12"/>
        <v>141783.93000000002</v>
      </c>
      <c r="BC15" s="5919">
        <f>AM15+BA15</f>
        <v>460772.72727272729</v>
      </c>
      <c r="BD15" s="460">
        <f t="shared" si="13"/>
        <v>242333.56000000003</v>
      </c>
      <c r="BE15" s="6128">
        <f>AW15+AY15</f>
        <v>895000.00000000012</v>
      </c>
      <c r="BF15" s="775">
        <f t="shared" si="14"/>
        <v>438485.51000000007</v>
      </c>
      <c r="BG15" s="26">
        <f t="shared" si="15"/>
        <v>0</v>
      </c>
      <c r="BH15" s="26">
        <f t="shared" si="16"/>
        <v>0</v>
      </c>
      <c r="BI15" s="26"/>
      <c r="BJ15" s="26">
        <f t="shared" si="17"/>
        <v>0</v>
      </c>
      <c r="BK15" s="26">
        <f t="shared" si="18"/>
        <v>0</v>
      </c>
    </row>
    <row r="16" spans="1:63" x14ac:dyDescent="0.3">
      <c r="A16" s="92"/>
      <c r="B16" s="1009" t="s">
        <v>76</v>
      </c>
      <c r="C16" s="156" t="s">
        <v>50</v>
      </c>
      <c r="D16" s="6124"/>
      <c r="E16" s="6124"/>
      <c r="F16" s="1118">
        <v>26358.380000000005</v>
      </c>
      <c r="G16" s="6124"/>
      <c r="H16" s="1118">
        <v>35159.839999999997</v>
      </c>
      <c r="I16" s="6127"/>
      <c r="J16" s="775">
        <f t="shared" si="0"/>
        <v>61518.22</v>
      </c>
      <c r="K16" s="6124"/>
      <c r="L16" s="1118">
        <v>44608.009999999987</v>
      </c>
      <c r="M16" s="5898"/>
      <c r="N16" s="774">
        <f t="shared" si="1"/>
        <v>106126.22999999998</v>
      </c>
      <c r="O16" s="6124"/>
      <c r="P16" s="1118">
        <v>50197.250000000015</v>
      </c>
      <c r="Q16" s="6127"/>
      <c r="R16" s="775">
        <f t="shared" si="2"/>
        <v>156323.47999999998</v>
      </c>
      <c r="S16" s="6124"/>
      <c r="T16" s="1118">
        <v>50466.469999999994</v>
      </c>
      <c r="U16" s="6127"/>
      <c r="V16" s="775">
        <f t="shared" si="3"/>
        <v>206789.94999999998</v>
      </c>
      <c r="W16" s="6124"/>
      <c r="X16" s="1118">
        <v>37241.360000000008</v>
      </c>
      <c r="Y16" s="5898">
        <f t="shared" si="61"/>
        <v>0</v>
      </c>
      <c r="Z16" s="774">
        <f t="shared" si="4"/>
        <v>137905.08000000002</v>
      </c>
      <c r="AA16" s="5919"/>
      <c r="AB16" s="460">
        <f t="shared" si="5"/>
        <v>244031.31</v>
      </c>
      <c r="AC16" s="6124"/>
      <c r="AD16" s="1118">
        <v>32457.000000000011</v>
      </c>
      <c r="AE16" s="6127"/>
      <c r="AF16" s="775">
        <f t="shared" si="6"/>
        <v>276488.31</v>
      </c>
      <c r="AG16" s="6124"/>
      <c r="AH16" s="1118">
        <v>37655.719000000005</v>
      </c>
      <c r="AI16" s="6126"/>
      <c r="AJ16" s="775">
        <f t="shared" si="7"/>
        <v>314144.02899999998</v>
      </c>
      <c r="AK16" s="6124"/>
      <c r="AL16" s="1118">
        <v>34926.51</v>
      </c>
      <c r="AM16" s="5898">
        <f t="shared" si="62"/>
        <v>0</v>
      </c>
      <c r="AN16" s="774">
        <f t="shared" si="8"/>
        <v>105039.22900000002</v>
      </c>
      <c r="AO16" s="6127"/>
      <c r="AP16" s="775">
        <f t="shared" si="9"/>
        <v>349070.53899999999</v>
      </c>
      <c r="AQ16" s="6124"/>
      <c r="AR16" s="1118">
        <v>33978.500000000007</v>
      </c>
      <c r="AS16" s="6126"/>
      <c r="AT16" s="775">
        <f t="shared" si="10"/>
        <v>383049.03899999999</v>
      </c>
      <c r="AU16" s="6124"/>
      <c r="AV16" s="1118">
        <v>25260.400000000001</v>
      </c>
      <c r="AW16" s="6126"/>
      <c r="AX16" s="775">
        <f t="shared" si="11"/>
        <v>408309.43900000001</v>
      </c>
      <c r="AY16" s="6124"/>
      <c r="AZ16" s="1118">
        <v>37714.839999999997</v>
      </c>
      <c r="BA16" s="5898">
        <f t="shared" si="63"/>
        <v>0</v>
      </c>
      <c r="BB16" s="774">
        <f t="shared" si="12"/>
        <v>96953.74</v>
      </c>
      <c r="BC16" s="5919"/>
      <c r="BD16" s="460">
        <f t="shared" si="13"/>
        <v>201992.96900000004</v>
      </c>
      <c r="BE16" s="6126"/>
      <c r="BF16" s="775">
        <f t="shared" si="14"/>
        <v>446024.27899999998</v>
      </c>
      <c r="BG16" s="26">
        <f t="shared" si="15"/>
        <v>0</v>
      </c>
      <c r="BH16" s="26">
        <f t="shared" si="16"/>
        <v>0</v>
      </c>
      <c r="BI16" s="26"/>
      <c r="BJ16" s="26">
        <f t="shared" si="17"/>
        <v>0</v>
      </c>
      <c r="BK16" s="26">
        <f t="shared" si="18"/>
        <v>0</v>
      </c>
    </row>
    <row r="17" spans="1:68" x14ac:dyDescent="0.3">
      <c r="A17" s="92"/>
      <c r="B17" s="1009" t="s">
        <v>137</v>
      </c>
      <c r="C17" s="156" t="s">
        <v>50</v>
      </c>
      <c r="D17" s="1118">
        <v>5000.0000000000009</v>
      </c>
      <c r="E17" s="1118">
        <v>454.54545454545456</v>
      </c>
      <c r="F17" s="1185"/>
      <c r="G17" s="1118">
        <v>454.54545454545456</v>
      </c>
      <c r="H17" s="1185"/>
      <c r="I17" s="775">
        <f t="shared" ref="I17:I21" si="64">E17+G17</f>
        <v>909.09090909090912</v>
      </c>
      <c r="J17" s="775">
        <f t="shared" si="0"/>
        <v>0</v>
      </c>
      <c r="K17" s="1118">
        <v>454.54545454545456</v>
      </c>
      <c r="L17" s="1185"/>
      <c r="M17" s="774">
        <f t="shared" ref="M17:M20" si="65">I17+K17</f>
        <v>1363.6363636363637</v>
      </c>
      <c r="N17" s="774">
        <f t="shared" si="1"/>
        <v>0</v>
      </c>
      <c r="O17" s="1118">
        <v>454.54545454545456</v>
      </c>
      <c r="P17" s="1185"/>
      <c r="Q17" s="775">
        <f t="shared" ref="Q17:Q21" si="66">M17+O17</f>
        <v>1818.1818181818182</v>
      </c>
      <c r="R17" s="775">
        <f t="shared" si="2"/>
        <v>0</v>
      </c>
      <c r="S17" s="1118">
        <v>454.54545454545456</v>
      </c>
      <c r="T17" s="1185"/>
      <c r="U17" s="775">
        <f t="shared" ref="U17:U21" si="67">Q17+S17</f>
        <v>2272.727272727273</v>
      </c>
      <c r="V17" s="775">
        <f t="shared" si="3"/>
        <v>0</v>
      </c>
      <c r="W17" s="1118"/>
      <c r="X17" s="1185">
        <v>49.900000000000006</v>
      </c>
      <c r="Y17" s="774">
        <f t="shared" si="61"/>
        <v>909.09090909090912</v>
      </c>
      <c r="Z17" s="774">
        <f t="shared" si="4"/>
        <v>49.900000000000006</v>
      </c>
      <c r="AA17" s="460">
        <f>M17+Y17</f>
        <v>2272.727272727273</v>
      </c>
      <c r="AB17" s="460">
        <f t="shared" si="5"/>
        <v>49.900000000000006</v>
      </c>
      <c r="AC17" s="1118">
        <v>454.54545454545456</v>
      </c>
      <c r="AD17" s="1185"/>
      <c r="AE17" s="775">
        <f t="shared" ref="AE17:AE21" si="68">AA17+AC17</f>
        <v>2727.2727272727275</v>
      </c>
      <c r="AF17" s="775">
        <f t="shared" si="6"/>
        <v>49.900000000000006</v>
      </c>
      <c r="AG17" s="1118">
        <v>454.54545454545456</v>
      </c>
      <c r="AH17" s="1185"/>
      <c r="AI17" s="775">
        <f t="shared" ref="AI17:AI21" si="69">AE17+AG17</f>
        <v>3181.818181818182</v>
      </c>
      <c r="AJ17" s="775">
        <f t="shared" si="7"/>
        <v>49.900000000000006</v>
      </c>
      <c r="AK17" s="1118">
        <v>454.54545454545456</v>
      </c>
      <c r="AL17" s="1185"/>
      <c r="AM17" s="774">
        <f t="shared" si="62"/>
        <v>1363.6363636363637</v>
      </c>
      <c r="AN17" s="774">
        <f t="shared" si="8"/>
        <v>0</v>
      </c>
      <c r="AO17" s="775">
        <f>AI17+AK17</f>
        <v>3636.3636363636365</v>
      </c>
      <c r="AP17" s="775">
        <f t="shared" si="9"/>
        <v>49.900000000000006</v>
      </c>
      <c r="AQ17" s="1118">
        <v>454.54545454545456</v>
      </c>
      <c r="AR17" s="1185">
        <v>0</v>
      </c>
      <c r="AS17" s="775">
        <f t="shared" ref="AS17:AS21" si="70">AO17+AQ17</f>
        <v>4090.909090909091</v>
      </c>
      <c r="AT17" s="775">
        <f t="shared" si="10"/>
        <v>49.900000000000006</v>
      </c>
      <c r="AU17" s="1118">
        <v>454.54545454545456</v>
      </c>
      <c r="AV17" s="1185"/>
      <c r="AW17" s="775">
        <f t="shared" ref="AW17:AW21" si="71">AS17+AU17</f>
        <v>4545.454545454546</v>
      </c>
      <c r="AX17" s="775">
        <f t="shared" si="11"/>
        <v>49.900000000000006</v>
      </c>
      <c r="AY17" s="1118">
        <v>454.54545454545456</v>
      </c>
      <c r="AZ17" s="1185">
        <v>0</v>
      </c>
      <c r="BA17" s="774">
        <f t="shared" si="63"/>
        <v>1363.6363636363637</v>
      </c>
      <c r="BB17" s="774">
        <f t="shared" si="12"/>
        <v>0</v>
      </c>
      <c r="BC17" s="460">
        <f t="shared" ref="BC17:BC20" si="72">AM17+BA17</f>
        <v>2727.2727272727275</v>
      </c>
      <c r="BD17" s="460">
        <f t="shared" si="13"/>
        <v>0</v>
      </c>
      <c r="BE17" s="775">
        <f t="shared" ref="BE17:BE21" si="73">AW17+AY17</f>
        <v>5000.0000000000009</v>
      </c>
      <c r="BF17" s="775">
        <f t="shared" si="14"/>
        <v>49.900000000000006</v>
      </c>
      <c r="BG17" s="26">
        <f t="shared" si="15"/>
        <v>0</v>
      </c>
      <c r="BH17" s="26">
        <f t="shared" si="16"/>
        <v>0</v>
      </c>
      <c r="BI17" s="26"/>
      <c r="BJ17" s="26">
        <f t="shared" si="17"/>
        <v>0</v>
      </c>
      <c r="BK17" s="26">
        <f t="shared" si="18"/>
        <v>0</v>
      </c>
    </row>
    <row r="18" spans="1:68" x14ac:dyDescent="0.3">
      <c r="A18" s="92"/>
      <c r="B18" s="5687" t="s">
        <v>2365</v>
      </c>
      <c r="C18" s="5462" t="s">
        <v>50</v>
      </c>
      <c r="D18" s="5458"/>
      <c r="E18" s="5458">
        <v>0</v>
      </c>
      <c r="F18" s="5453">
        <v>0</v>
      </c>
      <c r="G18" s="5458">
        <v>0</v>
      </c>
      <c r="H18" s="5453">
        <v>0</v>
      </c>
      <c r="I18" s="775">
        <f t="shared" ref="I18" si="74">E18+G18</f>
        <v>0</v>
      </c>
      <c r="J18" s="775">
        <f t="shared" ref="J18" si="75">F18+H18</f>
        <v>0</v>
      </c>
      <c r="K18" s="5458">
        <v>0</v>
      </c>
      <c r="L18" s="5453">
        <v>0</v>
      </c>
      <c r="M18" s="774">
        <f t="shared" ref="M18" si="76">I18+K18</f>
        <v>0</v>
      </c>
      <c r="N18" s="774">
        <f t="shared" ref="N18" si="77">J18+L18</f>
        <v>0</v>
      </c>
      <c r="O18" s="5458">
        <v>0</v>
      </c>
      <c r="P18" s="5453">
        <v>0</v>
      </c>
      <c r="Q18" s="775">
        <f t="shared" ref="Q18" si="78">M18+O18</f>
        <v>0</v>
      </c>
      <c r="R18" s="775">
        <f t="shared" ref="R18" si="79">N18+P18</f>
        <v>0</v>
      </c>
      <c r="S18" s="5458">
        <v>0</v>
      </c>
      <c r="T18" s="5453">
        <v>0</v>
      </c>
      <c r="U18" s="775">
        <f t="shared" ref="U18" si="80">Q18+S18</f>
        <v>0</v>
      </c>
      <c r="V18" s="775">
        <f t="shared" ref="V18" si="81">R18+T18</f>
        <v>0</v>
      </c>
      <c r="W18" s="5458">
        <v>0</v>
      </c>
      <c r="X18" s="5453">
        <v>0</v>
      </c>
      <c r="Y18" s="774">
        <f t="shared" ref="Y18" si="82">O18+S18+W18</f>
        <v>0</v>
      </c>
      <c r="Z18" s="774">
        <f t="shared" ref="Z18" si="83">P18+T18+X18</f>
        <v>0</v>
      </c>
      <c r="AA18" s="460">
        <f>M18+Y18</f>
        <v>0</v>
      </c>
      <c r="AB18" s="460">
        <f t="shared" ref="AB18" si="84">N18+Z18</f>
        <v>0</v>
      </c>
      <c r="AC18" s="5458">
        <v>0</v>
      </c>
      <c r="AD18" s="5453">
        <v>0</v>
      </c>
      <c r="AE18" s="775">
        <f t="shared" ref="AE18" si="85">AA18+AC18</f>
        <v>0</v>
      </c>
      <c r="AF18" s="775">
        <f t="shared" ref="AF18" si="86">AB18+AD18</f>
        <v>0</v>
      </c>
      <c r="AG18" s="5458">
        <v>0</v>
      </c>
      <c r="AH18" s="5453">
        <v>0</v>
      </c>
      <c r="AI18" s="775">
        <f t="shared" ref="AI18" si="87">AE18+AG18</f>
        <v>0</v>
      </c>
      <c r="AJ18" s="775">
        <f t="shared" ref="AJ18" si="88">AF18+AH18</f>
        <v>0</v>
      </c>
      <c r="AK18" s="5458">
        <v>0</v>
      </c>
      <c r="AL18" s="5453">
        <v>0</v>
      </c>
      <c r="AM18" s="774">
        <f t="shared" ref="AM18" si="89">AC18+AG18+AK18</f>
        <v>0</v>
      </c>
      <c r="AN18" s="774">
        <f t="shared" ref="AN18" si="90">AD18+AH18+AL18</f>
        <v>0</v>
      </c>
      <c r="AO18" s="775">
        <f>AI18+AK18</f>
        <v>0</v>
      </c>
      <c r="AP18" s="775">
        <f t="shared" ref="AP18" si="91">AJ18+AL18</f>
        <v>0</v>
      </c>
      <c r="AQ18" s="5458">
        <v>0</v>
      </c>
      <c r="AR18" s="5453">
        <v>0</v>
      </c>
      <c r="AS18" s="775">
        <f t="shared" ref="AS18" si="92">AO18+AQ18</f>
        <v>0</v>
      </c>
      <c r="AT18" s="775">
        <f t="shared" ref="AT18" si="93">AP18+AR18</f>
        <v>0</v>
      </c>
      <c r="AU18" s="5458">
        <v>0</v>
      </c>
      <c r="AV18" s="5453">
        <v>0</v>
      </c>
      <c r="AW18" s="775">
        <f t="shared" ref="AW18" si="94">AS18+AU18</f>
        <v>0</v>
      </c>
      <c r="AX18" s="775">
        <f t="shared" ref="AX18" si="95">AT18+AV18</f>
        <v>0</v>
      </c>
      <c r="AY18" s="5458"/>
      <c r="AZ18" s="5453"/>
      <c r="BA18" s="774">
        <f t="shared" ref="BA18" si="96">AQ18+AU18+AY18</f>
        <v>0</v>
      </c>
      <c r="BB18" s="774">
        <f t="shared" ref="BB18" si="97">AR18+AV18+AZ18</f>
        <v>0</v>
      </c>
      <c r="BC18" s="460">
        <f t="shared" ref="BC18" si="98">AM18+BA18</f>
        <v>0</v>
      </c>
      <c r="BD18" s="460">
        <f t="shared" ref="BD18" si="99">AN18+BB18</f>
        <v>0</v>
      </c>
      <c r="BE18" s="775">
        <f t="shared" ref="BE18" si="100">AW18+AY18</f>
        <v>0</v>
      </c>
      <c r="BF18" s="775">
        <f t="shared" ref="BF18" si="101">AX18+AZ18</f>
        <v>0</v>
      </c>
      <c r="BG18" s="26"/>
      <c r="BH18" s="26"/>
      <c r="BI18" s="26"/>
      <c r="BJ18" s="26"/>
      <c r="BK18" s="26"/>
    </row>
    <row r="19" spans="1:68" x14ac:dyDescent="0.3">
      <c r="A19" s="92"/>
      <c r="B19" s="1009" t="s">
        <v>2363</v>
      </c>
      <c r="C19" s="156" t="s">
        <v>50</v>
      </c>
      <c r="D19" s="1185">
        <v>0</v>
      </c>
      <c r="E19" s="1185">
        <v>0</v>
      </c>
      <c r="F19" s="1185"/>
      <c r="G19" s="1185">
        <v>0</v>
      </c>
      <c r="H19" s="1185"/>
      <c r="I19" s="775">
        <f t="shared" si="64"/>
        <v>0</v>
      </c>
      <c r="J19" s="775">
        <f t="shared" si="0"/>
        <v>0</v>
      </c>
      <c r="K19" s="1185">
        <v>0</v>
      </c>
      <c r="L19" s="1185"/>
      <c r="M19" s="774">
        <f t="shared" si="65"/>
        <v>0</v>
      </c>
      <c r="N19" s="774">
        <f t="shared" si="1"/>
        <v>0</v>
      </c>
      <c r="O19" s="1185">
        <v>0</v>
      </c>
      <c r="P19" s="1185"/>
      <c r="Q19" s="775">
        <f t="shared" si="66"/>
        <v>0</v>
      </c>
      <c r="R19" s="775">
        <f t="shared" si="2"/>
        <v>0</v>
      </c>
      <c r="S19" s="1185"/>
      <c r="T19" s="1185"/>
      <c r="U19" s="775">
        <f t="shared" si="67"/>
        <v>0</v>
      </c>
      <c r="V19" s="775">
        <f t="shared" si="3"/>
        <v>0</v>
      </c>
      <c r="W19" s="1185"/>
      <c r="X19" s="1185"/>
      <c r="Y19" s="774">
        <f t="shared" si="61"/>
        <v>0</v>
      </c>
      <c r="Z19" s="774">
        <f t="shared" si="4"/>
        <v>0</v>
      </c>
      <c r="AA19" s="460">
        <f>M19+Y19</f>
        <v>0</v>
      </c>
      <c r="AB19" s="460">
        <f t="shared" si="5"/>
        <v>0</v>
      </c>
      <c r="AC19" s="1185"/>
      <c r="AD19" s="1185"/>
      <c r="AE19" s="775">
        <f t="shared" si="68"/>
        <v>0</v>
      </c>
      <c r="AF19" s="775">
        <f t="shared" si="6"/>
        <v>0</v>
      </c>
      <c r="AG19" s="1185">
        <v>0</v>
      </c>
      <c r="AH19" s="1185"/>
      <c r="AI19" s="775">
        <f t="shared" si="69"/>
        <v>0</v>
      </c>
      <c r="AJ19" s="775">
        <f t="shared" si="7"/>
        <v>0</v>
      </c>
      <c r="AK19" s="1185"/>
      <c r="AL19" s="1185"/>
      <c r="AM19" s="774">
        <f t="shared" si="62"/>
        <v>0</v>
      </c>
      <c r="AN19" s="774">
        <f t="shared" si="8"/>
        <v>0</v>
      </c>
      <c r="AO19" s="775">
        <f t="shared" ref="AO19:AO21" si="102">AI19+AK19</f>
        <v>0</v>
      </c>
      <c r="AP19" s="775">
        <f t="shared" si="9"/>
        <v>0</v>
      </c>
      <c r="AQ19" s="1185">
        <v>0</v>
      </c>
      <c r="AR19" s="1185">
        <v>0</v>
      </c>
      <c r="AS19" s="775">
        <f t="shared" si="70"/>
        <v>0</v>
      </c>
      <c r="AT19" s="775">
        <f t="shared" si="10"/>
        <v>0</v>
      </c>
      <c r="AU19" s="1185"/>
      <c r="AV19" s="1185"/>
      <c r="AW19" s="775">
        <f t="shared" si="71"/>
        <v>0</v>
      </c>
      <c r="AX19" s="775">
        <f t="shared" si="11"/>
        <v>0</v>
      </c>
      <c r="AY19" s="1185"/>
      <c r="AZ19" s="1185">
        <v>0</v>
      </c>
      <c r="BA19" s="774">
        <f t="shared" si="63"/>
        <v>0</v>
      </c>
      <c r="BB19" s="774">
        <f t="shared" si="12"/>
        <v>0</v>
      </c>
      <c r="BC19" s="460">
        <f t="shared" si="72"/>
        <v>0</v>
      </c>
      <c r="BD19" s="460">
        <f t="shared" si="13"/>
        <v>0</v>
      </c>
      <c r="BE19" s="775">
        <f t="shared" si="73"/>
        <v>0</v>
      </c>
      <c r="BF19" s="775">
        <f t="shared" si="14"/>
        <v>0</v>
      </c>
      <c r="BG19" s="26">
        <f t="shared" si="15"/>
        <v>0</v>
      </c>
      <c r="BH19" s="26">
        <f t="shared" si="16"/>
        <v>0</v>
      </c>
      <c r="BI19" s="26"/>
      <c r="BJ19" s="26">
        <f t="shared" si="17"/>
        <v>0</v>
      </c>
      <c r="BK19" s="26">
        <f t="shared" si="18"/>
        <v>0</v>
      </c>
    </row>
    <row r="20" spans="1:68" x14ac:dyDescent="0.3">
      <c r="A20" s="92"/>
      <c r="B20" s="1009" t="s">
        <v>2364</v>
      </c>
      <c r="C20" s="156" t="s">
        <v>50</v>
      </c>
      <c r="D20" s="1118">
        <v>0</v>
      </c>
      <c r="E20" s="1118">
        <v>0</v>
      </c>
      <c r="F20" s="1185"/>
      <c r="G20" s="1118">
        <v>0</v>
      </c>
      <c r="H20" s="1185"/>
      <c r="I20" s="775">
        <f t="shared" si="64"/>
        <v>0</v>
      </c>
      <c r="J20" s="775">
        <f t="shared" si="0"/>
        <v>0</v>
      </c>
      <c r="K20" s="1118">
        <v>0</v>
      </c>
      <c r="L20" s="1185"/>
      <c r="M20" s="774">
        <f t="shared" si="65"/>
        <v>0</v>
      </c>
      <c r="N20" s="774">
        <f t="shared" si="1"/>
        <v>0</v>
      </c>
      <c r="O20" s="1118">
        <v>0</v>
      </c>
      <c r="P20" s="1185"/>
      <c r="Q20" s="775">
        <f t="shared" si="66"/>
        <v>0</v>
      </c>
      <c r="R20" s="775">
        <f t="shared" si="2"/>
        <v>0</v>
      </c>
      <c r="S20" s="1118"/>
      <c r="T20" s="1185"/>
      <c r="U20" s="775">
        <f t="shared" si="67"/>
        <v>0</v>
      </c>
      <c r="V20" s="775">
        <f t="shared" si="3"/>
        <v>0</v>
      </c>
      <c r="W20" s="1118"/>
      <c r="X20" s="1185"/>
      <c r="Y20" s="774">
        <f t="shared" si="61"/>
        <v>0</v>
      </c>
      <c r="Z20" s="774">
        <f t="shared" si="4"/>
        <v>0</v>
      </c>
      <c r="AA20" s="460">
        <f>M20+Y20</f>
        <v>0</v>
      </c>
      <c r="AB20" s="460">
        <f t="shared" si="5"/>
        <v>0</v>
      </c>
      <c r="AC20" s="1118"/>
      <c r="AD20" s="1185"/>
      <c r="AE20" s="775">
        <f t="shared" si="68"/>
        <v>0</v>
      </c>
      <c r="AF20" s="775">
        <f t="shared" si="6"/>
        <v>0</v>
      </c>
      <c r="AG20" s="1118">
        <v>0</v>
      </c>
      <c r="AH20" s="1185"/>
      <c r="AI20" s="775">
        <f t="shared" si="69"/>
        <v>0</v>
      </c>
      <c r="AJ20" s="775">
        <f t="shared" si="7"/>
        <v>0</v>
      </c>
      <c r="AK20" s="1118"/>
      <c r="AL20" s="1185"/>
      <c r="AM20" s="774">
        <f t="shared" si="62"/>
        <v>0</v>
      </c>
      <c r="AN20" s="774">
        <f t="shared" si="8"/>
        <v>0</v>
      </c>
      <c r="AO20" s="775">
        <f t="shared" si="102"/>
        <v>0</v>
      </c>
      <c r="AP20" s="775">
        <f t="shared" si="9"/>
        <v>0</v>
      </c>
      <c r="AQ20" s="1118">
        <v>0</v>
      </c>
      <c r="AR20" s="1185">
        <v>0</v>
      </c>
      <c r="AS20" s="775">
        <f t="shared" si="70"/>
        <v>0</v>
      </c>
      <c r="AT20" s="775">
        <f t="shared" si="10"/>
        <v>0</v>
      </c>
      <c r="AU20" s="1118"/>
      <c r="AV20" s="1185"/>
      <c r="AW20" s="775">
        <f t="shared" si="71"/>
        <v>0</v>
      </c>
      <c r="AX20" s="775">
        <f t="shared" si="11"/>
        <v>0</v>
      </c>
      <c r="AY20" s="1118"/>
      <c r="AZ20" s="1185">
        <v>0</v>
      </c>
      <c r="BA20" s="774">
        <f t="shared" si="63"/>
        <v>0</v>
      </c>
      <c r="BB20" s="774">
        <f t="shared" si="12"/>
        <v>0</v>
      </c>
      <c r="BC20" s="460">
        <f t="shared" si="72"/>
        <v>0</v>
      </c>
      <c r="BD20" s="460">
        <f t="shared" si="13"/>
        <v>0</v>
      </c>
      <c r="BE20" s="775">
        <f t="shared" si="73"/>
        <v>0</v>
      </c>
      <c r="BF20" s="775">
        <f t="shared" si="14"/>
        <v>0</v>
      </c>
      <c r="BG20" s="26">
        <f t="shared" si="15"/>
        <v>0</v>
      </c>
      <c r="BH20" s="26">
        <f t="shared" si="16"/>
        <v>0</v>
      </c>
      <c r="BI20" s="26"/>
      <c r="BJ20" s="26">
        <f t="shared" si="17"/>
        <v>0</v>
      </c>
      <c r="BK20" s="26">
        <f t="shared" si="18"/>
        <v>0</v>
      </c>
    </row>
    <row r="21" spans="1:68" ht="21.15" customHeight="1" x14ac:dyDescent="0.3">
      <c r="A21" s="92"/>
      <c r="B21" s="3403" t="s">
        <v>2</v>
      </c>
      <c r="C21" s="156" t="s">
        <v>50</v>
      </c>
      <c r="D21" s="1720">
        <f>SUM(D15:D20)</f>
        <v>900000</v>
      </c>
      <c r="E21" s="1720">
        <f t="shared" ref="E21:F21" si="103">SUM(E15:E20)</f>
        <v>76000</v>
      </c>
      <c r="F21" s="1720">
        <f t="shared" si="103"/>
        <v>60011.209999999992</v>
      </c>
      <c r="G21" s="1720">
        <f t="shared" ref="G21:H21" si="104">SUM(G15:G20)</f>
        <v>79000</v>
      </c>
      <c r="H21" s="1720">
        <f t="shared" si="104"/>
        <v>67347.899999999994</v>
      </c>
      <c r="I21" s="371">
        <f t="shared" si="64"/>
        <v>155000</v>
      </c>
      <c r="J21" s="775">
        <f t="shared" si="0"/>
        <v>127359.10999999999</v>
      </c>
      <c r="K21" s="1720">
        <f t="shared" ref="K21:L21" si="105">SUM(K15:K20)</f>
        <v>76000</v>
      </c>
      <c r="L21" s="1720">
        <f t="shared" si="105"/>
        <v>73175.62999999999</v>
      </c>
      <c r="M21" s="373">
        <f>E21+G21+K21</f>
        <v>231000</v>
      </c>
      <c r="N21" s="774">
        <f t="shared" si="1"/>
        <v>200534.74</v>
      </c>
      <c r="O21" s="1720">
        <f t="shared" ref="O21:P21" si="106">SUM(O15:O20)</f>
        <v>79000</v>
      </c>
      <c r="P21" s="1720">
        <f t="shared" si="106"/>
        <v>84102.500000000015</v>
      </c>
      <c r="Q21" s="371">
        <f t="shared" si="66"/>
        <v>310000</v>
      </c>
      <c r="R21" s="775">
        <f t="shared" si="2"/>
        <v>284637.24</v>
      </c>
      <c r="S21" s="1720">
        <f t="shared" ref="S21:T21" si="107">SUM(S15:S20)</f>
        <v>79000</v>
      </c>
      <c r="T21" s="1720">
        <f t="shared" si="107"/>
        <v>86905.93</v>
      </c>
      <c r="U21" s="371">
        <f t="shared" si="67"/>
        <v>389000</v>
      </c>
      <c r="V21" s="775">
        <f t="shared" si="3"/>
        <v>371543.17</v>
      </c>
      <c r="W21" s="1720">
        <f t="shared" ref="W21:X21" si="108">SUM(W15:W20)</f>
        <v>47500</v>
      </c>
      <c r="X21" s="1720">
        <f t="shared" si="108"/>
        <v>68689.990000000005</v>
      </c>
      <c r="Y21" s="373">
        <f>O21+S21+W21</f>
        <v>205500</v>
      </c>
      <c r="Z21" s="774">
        <f t="shared" si="4"/>
        <v>239698.41999999998</v>
      </c>
      <c r="AA21" s="539">
        <f>M21+Y21</f>
        <v>436500</v>
      </c>
      <c r="AB21" s="460">
        <f t="shared" si="5"/>
        <v>440233.16</v>
      </c>
      <c r="AC21" s="1720">
        <f t="shared" ref="AC21:AD21" si="109">SUM(AC15:AC20)</f>
        <v>78000</v>
      </c>
      <c r="AD21" s="1720">
        <f t="shared" si="109"/>
        <v>52260.41</v>
      </c>
      <c r="AE21" s="371">
        <f t="shared" si="68"/>
        <v>514500</v>
      </c>
      <c r="AF21" s="775">
        <f t="shared" si="6"/>
        <v>492493.56999999995</v>
      </c>
      <c r="AG21" s="1720">
        <f t="shared" ref="AG21:AH21" si="110">SUM(AG15:AG20)</f>
        <v>76000</v>
      </c>
      <c r="AH21" s="1720">
        <f t="shared" si="110"/>
        <v>70091.169000000009</v>
      </c>
      <c r="AI21" s="371">
        <f t="shared" si="69"/>
        <v>590500</v>
      </c>
      <c r="AJ21" s="775">
        <f t="shared" si="7"/>
        <v>562584.73899999994</v>
      </c>
      <c r="AK21" s="1720">
        <f t="shared" ref="AK21:AL21" si="111">SUM(AK15:AK20)</f>
        <v>79000</v>
      </c>
      <c r="AL21" s="1720">
        <f t="shared" si="111"/>
        <v>83237.279999999999</v>
      </c>
      <c r="AM21" s="373">
        <f>AC21+AG21+AK21</f>
        <v>233000</v>
      </c>
      <c r="AN21" s="774">
        <f t="shared" si="8"/>
        <v>205588.859</v>
      </c>
      <c r="AO21" s="371">
        <f t="shared" si="102"/>
        <v>669500</v>
      </c>
      <c r="AP21" s="775">
        <f t="shared" si="9"/>
        <v>645822.01899999997</v>
      </c>
      <c r="AQ21" s="1720">
        <f t="shared" ref="AQ21:AR21" si="112">SUM(AQ15:AQ20)</f>
        <v>79000</v>
      </c>
      <c r="AR21" s="1720">
        <f t="shared" si="112"/>
        <v>79536.070000000007</v>
      </c>
      <c r="AS21" s="371">
        <f t="shared" si="70"/>
        <v>748500</v>
      </c>
      <c r="AT21" s="775">
        <f t="shared" si="10"/>
        <v>725358.08899999992</v>
      </c>
      <c r="AU21" s="1720">
        <f t="shared" ref="AU21:AV21" si="113">SUM(AU15:AU20)</f>
        <v>71500</v>
      </c>
      <c r="AV21" s="1720">
        <f t="shared" si="113"/>
        <v>77559.290000000008</v>
      </c>
      <c r="AW21" s="371">
        <f t="shared" si="71"/>
        <v>820000</v>
      </c>
      <c r="AX21" s="775">
        <f t="shared" si="11"/>
        <v>802917.37899999996</v>
      </c>
      <c r="AY21" s="1720">
        <f t="shared" ref="AY21:AZ21" si="114">SUM(AY15:AY20)</f>
        <v>80000</v>
      </c>
      <c r="AZ21" s="1720">
        <f t="shared" si="114"/>
        <v>81642.31</v>
      </c>
      <c r="BA21" s="373">
        <f>AQ21+AU21+AY21</f>
        <v>230500</v>
      </c>
      <c r="BB21" s="373">
        <f t="shared" si="12"/>
        <v>238737.67</v>
      </c>
      <c r="BC21" s="539">
        <f>AM21+BA21</f>
        <v>463500</v>
      </c>
      <c r="BD21" s="539">
        <f t="shared" si="13"/>
        <v>444326.52899999998</v>
      </c>
      <c r="BE21" s="371">
        <f t="shared" si="73"/>
        <v>900000</v>
      </c>
      <c r="BF21" s="371">
        <f t="shared" si="14"/>
        <v>884559.68900000001</v>
      </c>
      <c r="BG21" s="26">
        <f t="shared" si="15"/>
        <v>0</v>
      </c>
      <c r="BH21" s="26">
        <f t="shared" si="16"/>
        <v>0</v>
      </c>
      <c r="BI21" s="26"/>
      <c r="BJ21" s="26">
        <f t="shared" si="17"/>
        <v>0</v>
      </c>
      <c r="BK21" s="26">
        <f t="shared" si="18"/>
        <v>0</v>
      </c>
    </row>
    <row r="22" spans="1:68" x14ac:dyDescent="0.3">
      <c r="A22" s="151"/>
      <c r="B22" s="3401" t="s">
        <v>115</v>
      </c>
      <c r="C22" s="5767"/>
      <c r="D22" s="3401"/>
      <c r="E22" s="3404"/>
      <c r="F22" s="3404"/>
      <c r="G22" s="3404"/>
      <c r="H22" s="3404"/>
      <c r="I22" s="5690"/>
      <c r="J22" s="775">
        <f t="shared" si="0"/>
        <v>0</v>
      </c>
      <c r="K22" s="3404"/>
      <c r="L22" s="3404"/>
      <c r="M22" s="5701"/>
      <c r="N22" s="774">
        <f t="shared" si="1"/>
        <v>0</v>
      </c>
      <c r="O22" s="3404"/>
      <c r="P22" s="3404"/>
      <c r="Q22" s="5690"/>
      <c r="R22" s="775">
        <f t="shared" si="2"/>
        <v>0</v>
      </c>
      <c r="S22" s="3404"/>
      <c r="T22" s="3404"/>
      <c r="U22" s="5690"/>
      <c r="V22" s="775">
        <f t="shared" si="3"/>
        <v>0</v>
      </c>
      <c r="W22" s="3404"/>
      <c r="X22" s="3404"/>
      <c r="Y22" s="5701"/>
      <c r="Z22" s="774">
        <f t="shared" si="4"/>
        <v>0</v>
      </c>
      <c r="AA22" s="5711"/>
      <c r="AB22" s="460">
        <f t="shared" si="5"/>
        <v>0</v>
      </c>
      <c r="AC22" s="3404"/>
      <c r="AD22" s="3404"/>
      <c r="AE22" s="5690"/>
      <c r="AF22" s="775">
        <f t="shared" si="6"/>
        <v>0</v>
      </c>
      <c r="AG22" s="3404"/>
      <c r="AH22" s="3404"/>
      <c r="AI22" s="5690"/>
      <c r="AJ22" s="775">
        <f t="shared" si="7"/>
        <v>0</v>
      </c>
      <c r="AK22" s="3404"/>
      <c r="AL22" s="3404"/>
      <c r="AM22" s="5701"/>
      <c r="AN22" s="774">
        <f t="shared" si="8"/>
        <v>0</v>
      </c>
      <c r="AO22" s="5690"/>
      <c r="AP22" s="775">
        <f t="shared" si="9"/>
        <v>0</v>
      </c>
      <c r="AQ22" s="3404"/>
      <c r="AR22" s="3404"/>
      <c r="AS22" s="5690"/>
      <c r="AT22" s="775">
        <f t="shared" si="10"/>
        <v>0</v>
      </c>
      <c r="AU22" s="3404"/>
      <c r="AV22" s="3404"/>
      <c r="AW22" s="5690"/>
      <c r="AX22" s="775">
        <f t="shared" si="11"/>
        <v>0</v>
      </c>
      <c r="AY22" s="3404"/>
      <c r="AZ22" s="3404"/>
      <c r="BA22" s="5701"/>
      <c r="BB22" s="774">
        <f t="shared" si="12"/>
        <v>0</v>
      </c>
      <c r="BC22" s="5711"/>
      <c r="BD22" s="460">
        <f t="shared" si="13"/>
        <v>0</v>
      </c>
      <c r="BE22" s="5690"/>
      <c r="BF22" s="775">
        <f t="shared" si="14"/>
        <v>0</v>
      </c>
      <c r="BG22" s="26">
        <f t="shared" si="15"/>
        <v>0</v>
      </c>
      <c r="BH22" s="26">
        <f t="shared" si="16"/>
        <v>0</v>
      </c>
      <c r="BI22" s="26"/>
      <c r="BJ22" s="26">
        <f t="shared" si="17"/>
        <v>0</v>
      </c>
      <c r="BK22" s="26">
        <f t="shared" si="18"/>
        <v>0</v>
      </c>
    </row>
    <row r="23" spans="1:68" x14ac:dyDescent="0.3">
      <c r="A23" s="92"/>
      <c r="B23" s="1009" t="s">
        <v>75</v>
      </c>
      <c r="C23" s="156" t="s">
        <v>50</v>
      </c>
      <c r="D23" s="6124">
        <v>747000</v>
      </c>
      <c r="E23" s="6124">
        <f>'Maj Production Summ'!E32-E25-E27-E28</f>
        <v>61727.272727272728</v>
      </c>
      <c r="F23" s="1118">
        <v>38167.229999999996</v>
      </c>
      <c r="G23" s="6124">
        <f>'Maj Production Summ'!G32-G25-G27-G28</f>
        <v>64727.272727272728</v>
      </c>
      <c r="H23" s="1118">
        <v>44981.819999999985</v>
      </c>
      <c r="I23" s="6127">
        <f>E23+G23</f>
        <v>126454.54545454546</v>
      </c>
      <c r="J23" s="775">
        <f t="shared" si="0"/>
        <v>83149.049999999988</v>
      </c>
      <c r="K23" s="6124">
        <f>'Maj Production Summ'!K32-K25-K27-K28</f>
        <v>62227.272727272728</v>
      </c>
      <c r="L23" s="1118">
        <v>36834.609999999993</v>
      </c>
      <c r="M23" s="5898">
        <f>E23+G23+K23</f>
        <v>188681.81818181818</v>
      </c>
      <c r="N23" s="774">
        <f t="shared" si="1"/>
        <v>119983.65999999997</v>
      </c>
      <c r="O23" s="6124">
        <f>'Maj Production Summ'!O32-O25-O27-O28</f>
        <v>64727.272727272728</v>
      </c>
      <c r="P23" s="1118">
        <v>30785.22</v>
      </c>
      <c r="Q23" s="6127">
        <f>M23+O23</f>
        <v>253409.09090909091</v>
      </c>
      <c r="R23" s="775">
        <f t="shared" si="2"/>
        <v>150768.87999999998</v>
      </c>
      <c r="S23" s="6124">
        <f>'Maj Production Summ'!S32-S25-S27-S28</f>
        <v>64727.272727272728</v>
      </c>
      <c r="T23" s="1118">
        <v>29637.02</v>
      </c>
      <c r="U23" s="6127">
        <f>Q23+S23</f>
        <v>318136.36363636365</v>
      </c>
      <c r="V23" s="775">
        <f t="shared" si="3"/>
        <v>180405.89999999997</v>
      </c>
      <c r="W23" s="6124">
        <f>'Maj Production Summ'!W32-W25-W27-W28</f>
        <v>33500</v>
      </c>
      <c r="X23" s="1118">
        <v>23845.7</v>
      </c>
      <c r="Y23" s="5898">
        <f>O23+S23+W23</f>
        <v>162954.54545454547</v>
      </c>
      <c r="Z23" s="774">
        <f t="shared" si="4"/>
        <v>84267.94</v>
      </c>
      <c r="AA23" s="5919">
        <f>M23+Y23</f>
        <v>351636.36363636365</v>
      </c>
      <c r="AB23" s="460">
        <f t="shared" si="5"/>
        <v>204251.59999999998</v>
      </c>
      <c r="AC23" s="6124">
        <f>'Maj Production Summ'!AC32-AC25-AC27-AC28</f>
        <v>66727.272727272721</v>
      </c>
      <c r="AD23" s="1118">
        <v>16156.139999999998</v>
      </c>
      <c r="AE23" s="6127">
        <f>AA23+AC23</f>
        <v>418363.63636363635</v>
      </c>
      <c r="AF23" s="775">
        <f t="shared" si="6"/>
        <v>220407.73999999996</v>
      </c>
      <c r="AG23" s="6124">
        <f>'Maj Production Summ'!AG32-AG25-AG27-AG28</f>
        <v>64727.272727272728</v>
      </c>
      <c r="AH23" s="1118">
        <v>34807.689999999995</v>
      </c>
      <c r="AI23" s="6128">
        <f>AE23+AG23</f>
        <v>483090.90909090906</v>
      </c>
      <c r="AJ23" s="775">
        <f t="shared" si="7"/>
        <v>255215.42999999996</v>
      </c>
      <c r="AK23" s="6124">
        <f>'Maj Production Summ'!AK32-AK25-AK27-AK28</f>
        <v>67227.272727272721</v>
      </c>
      <c r="AL23" s="1118">
        <v>36493.989999999991</v>
      </c>
      <c r="AM23" s="5898">
        <f>AC23+AG23+AK23</f>
        <v>198681.81818181818</v>
      </c>
      <c r="AN23" s="774">
        <f t="shared" si="8"/>
        <v>87457.819999999978</v>
      </c>
      <c r="AO23" s="6127">
        <f>AI23+AK23</f>
        <v>550318.18181818177</v>
      </c>
      <c r="AP23" s="775">
        <f t="shared" si="9"/>
        <v>291709.41999999993</v>
      </c>
      <c r="AQ23" s="6124">
        <f>'Maj Production Summ'!AQ32-AQ25-AQ27-AQ28</f>
        <v>67727.272727272721</v>
      </c>
      <c r="AR23" s="1118">
        <v>44383.76</v>
      </c>
      <c r="AS23" s="6128">
        <f>AO23+AQ23</f>
        <v>618045.45454545447</v>
      </c>
      <c r="AT23" s="775">
        <f t="shared" si="10"/>
        <v>336093.17999999993</v>
      </c>
      <c r="AU23" s="6124">
        <f>'Maj Production Summ'!AU32-AU25-AU27-AU28</f>
        <v>60727.272727272728</v>
      </c>
      <c r="AV23" s="1118">
        <v>41420.55999999999</v>
      </c>
      <c r="AW23" s="6128">
        <f>AS23+AU23</f>
        <v>678772.72727272718</v>
      </c>
      <c r="AX23" s="775">
        <f t="shared" si="11"/>
        <v>377513.73999999993</v>
      </c>
      <c r="AY23" s="6124">
        <f>'Maj Production Summ'!AY32-AY25-AY27-AY28</f>
        <v>68227.272727272721</v>
      </c>
      <c r="AZ23" s="1118">
        <v>44274.44</v>
      </c>
      <c r="BA23" s="5898">
        <f>AQ23+AU23+AY23</f>
        <v>196681.81818181818</v>
      </c>
      <c r="BB23" s="774">
        <f t="shared" si="12"/>
        <v>130078.76</v>
      </c>
      <c r="BC23" s="5919">
        <f>AM23+BA23</f>
        <v>395363.63636363635</v>
      </c>
      <c r="BD23" s="460">
        <f t="shared" si="13"/>
        <v>217536.57999999996</v>
      </c>
      <c r="BE23" s="6128">
        <f>AW23+AY23</f>
        <v>746999.99999999988</v>
      </c>
      <c r="BF23" s="775">
        <f t="shared" si="14"/>
        <v>421788.17999999993</v>
      </c>
      <c r="BG23" s="26">
        <f t="shared" si="15"/>
        <v>0</v>
      </c>
      <c r="BH23" s="26">
        <f t="shared" si="16"/>
        <v>0</v>
      </c>
      <c r="BI23" s="26"/>
      <c r="BJ23" s="26">
        <f t="shared" si="17"/>
        <v>0</v>
      </c>
      <c r="BK23" s="26">
        <f t="shared" si="18"/>
        <v>0</v>
      </c>
    </row>
    <row r="24" spans="1:68" x14ac:dyDescent="0.3">
      <c r="A24" s="92"/>
      <c r="B24" s="1009" t="s">
        <v>76</v>
      </c>
      <c r="C24" s="156" t="s">
        <v>50</v>
      </c>
      <c r="D24" s="6124"/>
      <c r="E24" s="6124"/>
      <c r="F24" s="1118">
        <v>5955.4700000000012</v>
      </c>
      <c r="G24" s="6124"/>
      <c r="H24" s="1118">
        <v>12734.180000000004</v>
      </c>
      <c r="I24" s="6127"/>
      <c r="J24" s="775">
        <f t="shared" si="0"/>
        <v>18689.650000000005</v>
      </c>
      <c r="K24" s="6124"/>
      <c r="L24" s="1118">
        <v>19850.170000000002</v>
      </c>
      <c r="M24" s="5898"/>
      <c r="N24" s="774">
        <f t="shared" si="1"/>
        <v>38539.820000000007</v>
      </c>
      <c r="O24" s="6124"/>
      <c r="P24" s="1118">
        <v>26479.61</v>
      </c>
      <c r="Q24" s="6127"/>
      <c r="R24" s="775">
        <f t="shared" si="2"/>
        <v>65019.430000000008</v>
      </c>
      <c r="S24" s="6124"/>
      <c r="T24" s="1118">
        <v>17587.119999999995</v>
      </c>
      <c r="U24" s="6127"/>
      <c r="V24" s="775">
        <f t="shared" si="3"/>
        <v>82606.55</v>
      </c>
      <c r="W24" s="6124"/>
      <c r="X24" s="1118">
        <v>22102.42</v>
      </c>
      <c r="Y24" s="5898"/>
      <c r="Z24" s="774">
        <f t="shared" si="4"/>
        <v>66169.149999999994</v>
      </c>
      <c r="AA24" s="5919"/>
      <c r="AB24" s="460">
        <f t="shared" si="5"/>
        <v>104708.97</v>
      </c>
      <c r="AC24" s="6124"/>
      <c r="AD24" s="1118">
        <v>14059.74</v>
      </c>
      <c r="AE24" s="6127"/>
      <c r="AF24" s="775">
        <f t="shared" si="6"/>
        <v>118768.71</v>
      </c>
      <c r="AG24" s="6124"/>
      <c r="AH24" s="1118">
        <v>14637.060000000001</v>
      </c>
      <c r="AI24" s="6126"/>
      <c r="AJ24" s="775">
        <f t="shared" si="7"/>
        <v>133405.77000000002</v>
      </c>
      <c r="AK24" s="6124"/>
      <c r="AL24" s="1118">
        <v>15044.891</v>
      </c>
      <c r="AM24" s="5898"/>
      <c r="AN24" s="774">
        <f t="shared" si="8"/>
        <v>43741.691000000006</v>
      </c>
      <c r="AO24" s="6127"/>
      <c r="AP24" s="775">
        <f t="shared" si="9"/>
        <v>148450.66100000002</v>
      </c>
      <c r="AQ24" s="6124"/>
      <c r="AR24" s="1118">
        <v>11013.179999999998</v>
      </c>
      <c r="AS24" s="6126"/>
      <c r="AT24" s="775">
        <f t="shared" si="10"/>
        <v>159463.84100000001</v>
      </c>
      <c r="AU24" s="6124"/>
      <c r="AV24" s="1118">
        <v>11650.930000000002</v>
      </c>
      <c r="AW24" s="6126"/>
      <c r="AX24" s="775">
        <f t="shared" si="11"/>
        <v>171114.77100000001</v>
      </c>
      <c r="AY24" s="6124"/>
      <c r="AZ24" s="1118">
        <v>14525.771999999999</v>
      </c>
      <c r="BA24" s="5898"/>
      <c r="BB24" s="774">
        <f t="shared" si="12"/>
        <v>37189.881999999998</v>
      </c>
      <c r="BC24" s="5919"/>
      <c r="BD24" s="460">
        <f t="shared" si="13"/>
        <v>80931.573000000004</v>
      </c>
      <c r="BE24" s="6126"/>
      <c r="BF24" s="775">
        <f t="shared" si="14"/>
        <v>185640.54300000001</v>
      </c>
      <c r="BG24" s="26">
        <f t="shared" si="15"/>
        <v>0</v>
      </c>
      <c r="BH24" s="26">
        <f t="shared" si="16"/>
        <v>0</v>
      </c>
      <c r="BI24" s="26"/>
      <c r="BJ24" s="26">
        <f t="shared" si="17"/>
        <v>0</v>
      </c>
      <c r="BK24" s="26">
        <f t="shared" si="18"/>
        <v>0</v>
      </c>
    </row>
    <row r="25" spans="1:68" x14ac:dyDescent="0.3">
      <c r="A25" s="92"/>
      <c r="B25" s="1009" t="s">
        <v>137</v>
      </c>
      <c r="C25" s="156" t="s">
        <v>50</v>
      </c>
      <c r="D25" s="1118">
        <v>3000.0000000000009</v>
      </c>
      <c r="E25" s="1118">
        <v>272.72727272727275</v>
      </c>
      <c r="F25" s="1118"/>
      <c r="G25" s="1118">
        <v>272.72727272727275</v>
      </c>
      <c r="H25" s="1118"/>
      <c r="I25" s="775">
        <f t="shared" ref="I25:I29" si="115">E25+G25</f>
        <v>545.4545454545455</v>
      </c>
      <c r="J25" s="775">
        <f t="shared" si="0"/>
        <v>0</v>
      </c>
      <c r="K25" s="1118">
        <v>272.72727272727275</v>
      </c>
      <c r="L25" s="1118">
        <v>35.9</v>
      </c>
      <c r="M25" s="774">
        <f>E25+G25+K25</f>
        <v>818.18181818181824</v>
      </c>
      <c r="N25" s="774">
        <f t="shared" si="1"/>
        <v>35.9</v>
      </c>
      <c r="O25" s="1118">
        <v>272.72727272727275</v>
      </c>
      <c r="P25" s="1118"/>
      <c r="Q25" s="775">
        <f t="shared" ref="Q25:Q29" si="116">M25+O25</f>
        <v>1090.909090909091</v>
      </c>
      <c r="R25" s="775">
        <f t="shared" si="2"/>
        <v>35.9</v>
      </c>
      <c r="S25" s="1118">
        <v>272.72727272727275</v>
      </c>
      <c r="T25" s="1118"/>
      <c r="U25" s="775">
        <f t="shared" ref="U25:U29" si="117">Q25+S25</f>
        <v>1363.6363636363637</v>
      </c>
      <c r="V25" s="775">
        <f t="shared" si="3"/>
        <v>35.9</v>
      </c>
      <c r="W25" s="1118"/>
      <c r="X25" s="1118"/>
      <c r="Y25" s="774">
        <f>O25+S25+W25</f>
        <v>545.4545454545455</v>
      </c>
      <c r="Z25" s="774">
        <f t="shared" si="4"/>
        <v>0</v>
      </c>
      <c r="AA25" s="460">
        <f>M25+Y25</f>
        <v>1363.6363636363637</v>
      </c>
      <c r="AB25" s="460">
        <f t="shared" si="5"/>
        <v>35.9</v>
      </c>
      <c r="AC25" s="1118">
        <v>272.72727272727275</v>
      </c>
      <c r="AD25" s="1118"/>
      <c r="AE25" s="775">
        <f t="shared" ref="AE25:AE29" si="118">AA25+AC25</f>
        <v>1636.3636363636365</v>
      </c>
      <c r="AF25" s="775">
        <f t="shared" si="6"/>
        <v>35.9</v>
      </c>
      <c r="AG25" s="1118">
        <v>272.72727272727275</v>
      </c>
      <c r="AH25" s="1118"/>
      <c r="AI25" s="775">
        <f t="shared" ref="AI25:AI29" si="119">AE25+AG25</f>
        <v>1909.0909090909092</v>
      </c>
      <c r="AJ25" s="775">
        <f t="shared" si="7"/>
        <v>35.9</v>
      </c>
      <c r="AK25" s="1118">
        <v>272.72727272727275</v>
      </c>
      <c r="AL25" s="1118"/>
      <c r="AM25" s="774">
        <f>AC25+AG25+AK25</f>
        <v>818.18181818181824</v>
      </c>
      <c r="AN25" s="774">
        <f t="shared" si="8"/>
        <v>0</v>
      </c>
      <c r="AO25" s="775">
        <f>AI25+AK25</f>
        <v>2181.818181818182</v>
      </c>
      <c r="AP25" s="775">
        <f t="shared" si="9"/>
        <v>35.9</v>
      </c>
      <c r="AQ25" s="1118">
        <v>272.72727272727275</v>
      </c>
      <c r="AR25" s="1118">
        <v>0</v>
      </c>
      <c r="AS25" s="775">
        <f t="shared" ref="AS25:AS29" si="120">AO25+AQ25</f>
        <v>2454.545454545455</v>
      </c>
      <c r="AT25" s="775">
        <f t="shared" si="10"/>
        <v>35.9</v>
      </c>
      <c r="AU25" s="1118">
        <v>272.72727272727275</v>
      </c>
      <c r="AV25" s="1118"/>
      <c r="AW25" s="775">
        <f t="shared" ref="AW25:AW29" si="121">AS25+AU25</f>
        <v>2727.2727272727279</v>
      </c>
      <c r="AX25" s="775">
        <f t="shared" si="11"/>
        <v>35.9</v>
      </c>
      <c r="AY25" s="1118">
        <v>272.72727272727275</v>
      </c>
      <c r="AZ25" s="1118">
        <v>0</v>
      </c>
      <c r="BA25" s="774">
        <f>AQ25+AU25+AY25</f>
        <v>818.18181818181824</v>
      </c>
      <c r="BB25" s="774">
        <f t="shared" si="12"/>
        <v>0</v>
      </c>
      <c r="BC25" s="460">
        <f t="shared" ref="BC25:BC28" si="122">AM25+BA25</f>
        <v>1636.3636363636365</v>
      </c>
      <c r="BD25" s="460">
        <f t="shared" si="13"/>
        <v>0</v>
      </c>
      <c r="BE25" s="775">
        <f t="shared" ref="BE25:BE29" si="123">AW25+AY25</f>
        <v>3000.0000000000009</v>
      </c>
      <c r="BF25" s="775">
        <f t="shared" si="14"/>
        <v>35.9</v>
      </c>
      <c r="BG25" s="26">
        <f t="shared" si="15"/>
        <v>0</v>
      </c>
      <c r="BH25" s="26">
        <f t="shared" si="16"/>
        <v>0</v>
      </c>
      <c r="BI25" s="26"/>
      <c r="BJ25" s="26">
        <f t="shared" si="17"/>
        <v>0</v>
      </c>
      <c r="BK25" s="26">
        <f t="shared" si="18"/>
        <v>0</v>
      </c>
    </row>
    <row r="26" spans="1:68" x14ac:dyDescent="0.3">
      <c r="A26" s="92"/>
      <c r="B26" s="5687" t="s">
        <v>2365</v>
      </c>
      <c r="C26" s="156" t="s">
        <v>50</v>
      </c>
      <c r="D26" s="5458">
        <v>0</v>
      </c>
      <c r="E26" s="5458">
        <v>0</v>
      </c>
      <c r="F26" s="5458">
        <v>0</v>
      </c>
      <c r="G26" s="5458">
        <v>0</v>
      </c>
      <c r="H26" s="5458">
        <v>0</v>
      </c>
      <c r="I26" s="775">
        <f t="shared" ref="I26" si="124">E26+G26</f>
        <v>0</v>
      </c>
      <c r="J26" s="775">
        <f t="shared" ref="J26" si="125">F26+H26</f>
        <v>0</v>
      </c>
      <c r="K26" s="5458">
        <v>0</v>
      </c>
      <c r="L26" s="5458">
        <v>0</v>
      </c>
      <c r="M26" s="774">
        <f>E26+G26+K26</f>
        <v>0</v>
      </c>
      <c r="N26" s="774">
        <f t="shared" ref="N26" si="126">J26+L26</f>
        <v>0</v>
      </c>
      <c r="O26" s="5458">
        <v>0</v>
      </c>
      <c r="P26" s="5458">
        <v>0</v>
      </c>
      <c r="Q26" s="775">
        <f t="shared" ref="Q26" si="127">M26+O26</f>
        <v>0</v>
      </c>
      <c r="R26" s="775">
        <f t="shared" ref="R26" si="128">N26+P26</f>
        <v>0</v>
      </c>
      <c r="S26" s="5458">
        <v>0</v>
      </c>
      <c r="T26" s="5458">
        <v>0</v>
      </c>
      <c r="U26" s="775">
        <f t="shared" ref="U26" si="129">Q26+S26</f>
        <v>0</v>
      </c>
      <c r="V26" s="775">
        <f t="shared" ref="V26" si="130">R26+T26</f>
        <v>0</v>
      </c>
      <c r="W26" s="5458">
        <v>0</v>
      </c>
      <c r="X26" s="5458">
        <v>0</v>
      </c>
      <c r="Y26" s="774">
        <f>O26+S26+W26</f>
        <v>0</v>
      </c>
      <c r="Z26" s="774">
        <f t="shared" ref="Z26" si="131">P26+T26+X26</f>
        <v>0</v>
      </c>
      <c r="AA26" s="460">
        <f>M26+Y26</f>
        <v>0</v>
      </c>
      <c r="AB26" s="460">
        <f t="shared" ref="AB26" si="132">N26+Z26</f>
        <v>0</v>
      </c>
      <c r="AC26" s="5458">
        <v>0</v>
      </c>
      <c r="AD26" s="5458">
        <v>0</v>
      </c>
      <c r="AE26" s="775">
        <f t="shared" ref="AE26" si="133">AA26+AC26</f>
        <v>0</v>
      </c>
      <c r="AF26" s="775">
        <f t="shared" ref="AF26" si="134">AB26+AD26</f>
        <v>0</v>
      </c>
      <c r="AG26" s="5458">
        <v>0</v>
      </c>
      <c r="AH26" s="5458">
        <v>0</v>
      </c>
      <c r="AI26" s="775">
        <f t="shared" ref="AI26" si="135">AE26+AG26</f>
        <v>0</v>
      </c>
      <c r="AJ26" s="775">
        <f t="shared" ref="AJ26" si="136">AF26+AH26</f>
        <v>0</v>
      </c>
      <c r="AK26" s="5458">
        <v>0</v>
      </c>
      <c r="AL26" s="5458">
        <v>0</v>
      </c>
      <c r="AM26" s="774">
        <f>AC26+AG26+AK26</f>
        <v>0</v>
      </c>
      <c r="AN26" s="774">
        <f t="shared" ref="AN26" si="137">AD26+AH26+AL26</f>
        <v>0</v>
      </c>
      <c r="AO26" s="775">
        <f>AI26+AK26</f>
        <v>0</v>
      </c>
      <c r="AP26" s="775">
        <f t="shared" ref="AP26" si="138">AJ26+AL26</f>
        <v>0</v>
      </c>
      <c r="AQ26" s="5458">
        <v>0</v>
      </c>
      <c r="AR26" s="5458">
        <v>0</v>
      </c>
      <c r="AS26" s="775">
        <f t="shared" ref="AS26" si="139">AO26+AQ26</f>
        <v>0</v>
      </c>
      <c r="AT26" s="775">
        <f t="shared" ref="AT26" si="140">AP26+AR26</f>
        <v>0</v>
      </c>
      <c r="AU26" s="5458">
        <v>0</v>
      </c>
      <c r="AV26" s="5458">
        <v>0</v>
      </c>
      <c r="AW26" s="775">
        <f t="shared" ref="AW26" si="141">AS26+AU26</f>
        <v>0</v>
      </c>
      <c r="AX26" s="775">
        <f t="shared" ref="AX26" si="142">AT26+AV26</f>
        <v>0</v>
      </c>
      <c r="AY26" s="5458">
        <v>0</v>
      </c>
      <c r="AZ26" s="5458">
        <v>0</v>
      </c>
      <c r="BA26" s="774">
        <f>AQ26+AU26+AY26</f>
        <v>0</v>
      </c>
      <c r="BB26" s="774">
        <f t="shared" ref="BB26" si="143">AR26+AV26+AZ26</f>
        <v>0</v>
      </c>
      <c r="BC26" s="460">
        <f t="shared" ref="BC26" si="144">AM26+BA26</f>
        <v>0</v>
      </c>
      <c r="BD26" s="460">
        <f t="shared" ref="BD26" si="145">AN26+BB26</f>
        <v>0</v>
      </c>
      <c r="BE26" s="775">
        <f t="shared" ref="BE26" si="146">AW26+AY26</f>
        <v>0</v>
      </c>
      <c r="BF26" s="775">
        <f t="shared" ref="BF26" si="147">AX26+AZ26</f>
        <v>0</v>
      </c>
      <c r="BG26" s="26"/>
      <c r="BH26" s="26"/>
      <c r="BI26" s="26"/>
      <c r="BJ26" s="26"/>
      <c r="BK26" s="26"/>
    </row>
    <row r="27" spans="1:68" x14ac:dyDescent="0.3">
      <c r="A27" s="92"/>
      <c r="B27" s="1009" t="s">
        <v>2363</v>
      </c>
      <c r="C27" s="156" t="s">
        <v>50</v>
      </c>
      <c r="D27" s="1185"/>
      <c r="E27" s="1118"/>
      <c r="F27" s="1118"/>
      <c r="G27" s="1118"/>
      <c r="H27" s="1118"/>
      <c r="I27" s="775">
        <f t="shared" si="115"/>
        <v>0</v>
      </c>
      <c r="J27" s="775">
        <f t="shared" si="0"/>
        <v>0</v>
      </c>
      <c r="K27" s="1118"/>
      <c r="L27" s="1118"/>
      <c r="M27" s="774">
        <f t="shared" ref="M27:M28" si="148">E27+G27+K27</f>
        <v>0</v>
      </c>
      <c r="N27" s="774">
        <f t="shared" si="1"/>
        <v>0</v>
      </c>
      <c r="O27" s="1118">
        <v>0</v>
      </c>
      <c r="P27" s="1118"/>
      <c r="Q27" s="775">
        <f t="shared" si="116"/>
        <v>0</v>
      </c>
      <c r="R27" s="775">
        <f t="shared" si="2"/>
        <v>0</v>
      </c>
      <c r="S27" s="1118"/>
      <c r="T27" s="1118"/>
      <c r="U27" s="775">
        <f t="shared" si="117"/>
        <v>0</v>
      </c>
      <c r="V27" s="775">
        <f t="shared" si="3"/>
        <v>0</v>
      </c>
      <c r="W27" s="1118"/>
      <c r="X27" s="1118"/>
      <c r="Y27" s="774">
        <f t="shared" ref="Y27:Y28" si="149">O27+S27+W27</f>
        <v>0</v>
      </c>
      <c r="Z27" s="774">
        <f t="shared" si="4"/>
        <v>0</v>
      </c>
      <c r="AA27" s="460">
        <f>M27+Y27</f>
        <v>0</v>
      </c>
      <c r="AB27" s="460">
        <f t="shared" si="5"/>
        <v>0</v>
      </c>
      <c r="AC27" s="1118"/>
      <c r="AD27" s="1118"/>
      <c r="AE27" s="775">
        <f t="shared" si="118"/>
        <v>0</v>
      </c>
      <c r="AF27" s="775">
        <f t="shared" si="6"/>
        <v>0</v>
      </c>
      <c r="AG27" s="1118">
        <v>0</v>
      </c>
      <c r="AH27" s="1118"/>
      <c r="AI27" s="775">
        <f t="shared" si="119"/>
        <v>0</v>
      </c>
      <c r="AJ27" s="775">
        <f t="shared" si="7"/>
        <v>0</v>
      </c>
      <c r="AK27" s="1118"/>
      <c r="AL27" s="1118"/>
      <c r="AM27" s="774">
        <f t="shared" ref="AM27:AM28" si="150">AC27+AG27+AK27</f>
        <v>0</v>
      </c>
      <c r="AN27" s="774">
        <f t="shared" si="8"/>
        <v>0</v>
      </c>
      <c r="AO27" s="775">
        <f t="shared" ref="AO27:AO29" si="151">AI27+AK27</f>
        <v>0</v>
      </c>
      <c r="AP27" s="775">
        <f t="shared" si="9"/>
        <v>0</v>
      </c>
      <c r="AQ27" s="1118">
        <v>0</v>
      </c>
      <c r="AR27" s="1118">
        <v>0</v>
      </c>
      <c r="AS27" s="775">
        <f t="shared" si="120"/>
        <v>0</v>
      </c>
      <c r="AT27" s="775">
        <f t="shared" si="10"/>
        <v>0</v>
      </c>
      <c r="AU27" s="1118">
        <v>0</v>
      </c>
      <c r="AV27" s="1118"/>
      <c r="AW27" s="775">
        <f t="shared" si="121"/>
        <v>0</v>
      </c>
      <c r="AX27" s="775">
        <f t="shared" si="11"/>
        <v>0</v>
      </c>
      <c r="AY27" s="1118"/>
      <c r="AZ27" s="1118">
        <v>0</v>
      </c>
      <c r="BA27" s="774">
        <f t="shared" ref="BA27:BA28" si="152">AQ27+AU27+AY27</f>
        <v>0</v>
      </c>
      <c r="BB27" s="774">
        <f t="shared" si="12"/>
        <v>0</v>
      </c>
      <c r="BC27" s="460">
        <f t="shared" si="122"/>
        <v>0</v>
      </c>
      <c r="BD27" s="460">
        <f t="shared" si="13"/>
        <v>0</v>
      </c>
      <c r="BE27" s="775">
        <f t="shared" si="123"/>
        <v>0</v>
      </c>
      <c r="BF27" s="775">
        <f t="shared" si="14"/>
        <v>0</v>
      </c>
      <c r="BG27" s="26">
        <f t="shared" si="15"/>
        <v>0</v>
      </c>
      <c r="BH27" s="26">
        <f t="shared" si="16"/>
        <v>0</v>
      </c>
      <c r="BI27" s="26"/>
      <c r="BJ27" s="26">
        <f t="shared" si="17"/>
        <v>0</v>
      </c>
      <c r="BK27" s="26">
        <f t="shared" si="18"/>
        <v>0</v>
      </c>
    </row>
    <row r="28" spans="1:68" x14ac:dyDescent="0.3">
      <c r="A28" s="92"/>
      <c r="B28" s="1009" t="s">
        <v>2364</v>
      </c>
      <c r="C28" s="156" t="s">
        <v>50</v>
      </c>
      <c r="D28" s="1118"/>
      <c r="E28" s="1118"/>
      <c r="F28" s="1118"/>
      <c r="G28" s="1118"/>
      <c r="H28" s="1118"/>
      <c r="I28" s="775">
        <f t="shared" si="115"/>
        <v>0</v>
      </c>
      <c r="J28" s="775">
        <f t="shared" si="0"/>
        <v>0</v>
      </c>
      <c r="K28" s="1118"/>
      <c r="L28" s="1118"/>
      <c r="M28" s="774">
        <f t="shared" si="148"/>
        <v>0</v>
      </c>
      <c r="N28" s="774">
        <f t="shared" si="1"/>
        <v>0</v>
      </c>
      <c r="O28" s="1118">
        <v>0</v>
      </c>
      <c r="P28" s="1118"/>
      <c r="Q28" s="775">
        <f t="shared" si="116"/>
        <v>0</v>
      </c>
      <c r="R28" s="775">
        <f t="shared" si="2"/>
        <v>0</v>
      </c>
      <c r="S28" s="1118"/>
      <c r="T28" s="1118"/>
      <c r="U28" s="775">
        <f t="shared" si="117"/>
        <v>0</v>
      </c>
      <c r="V28" s="775">
        <f t="shared" si="3"/>
        <v>0</v>
      </c>
      <c r="W28" s="1118"/>
      <c r="X28" s="1118"/>
      <c r="Y28" s="774">
        <f t="shared" si="149"/>
        <v>0</v>
      </c>
      <c r="Z28" s="774">
        <f t="shared" si="4"/>
        <v>0</v>
      </c>
      <c r="AA28" s="460">
        <f>M28+Y28</f>
        <v>0</v>
      </c>
      <c r="AB28" s="460">
        <f t="shared" si="5"/>
        <v>0</v>
      </c>
      <c r="AC28" s="1118"/>
      <c r="AD28" s="1118"/>
      <c r="AE28" s="775">
        <f t="shared" si="118"/>
        <v>0</v>
      </c>
      <c r="AF28" s="775">
        <f t="shared" si="6"/>
        <v>0</v>
      </c>
      <c r="AG28" s="1118">
        <v>0</v>
      </c>
      <c r="AH28" s="1118"/>
      <c r="AI28" s="775">
        <f t="shared" si="119"/>
        <v>0</v>
      </c>
      <c r="AJ28" s="775">
        <f t="shared" si="7"/>
        <v>0</v>
      </c>
      <c r="AK28" s="1118">
        <v>0</v>
      </c>
      <c r="AL28" s="1118"/>
      <c r="AM28" s="774">
        <f t="shared" si="150"/>
        <v>0</v>
      </c>
      <c r="AN28" s="774">
        <f t="shared" si="8"/>
        <v>0</v>
      </c>
      <c r="AO28" s="775">
        <f t="shared" si="151"/>
        <v>0</v>
      </c>
      <c r="AP28" s="775">
        <f t="shared" si="9"/>
        <v>0</v>
      </c>
      <c r="AQ28" s="1118">
        <v>0</v>
      </c>
      <c r="AR28" s="1118">
        <v>0</v>
      </c>
      <c r="AS28" s="775">
        <f t="shared" si="120"/>
        <v>0</v>
      </c>
      <c r="AT28" s="775">
        <f t="shared" si="10"/>
        <v>0</v>
      </c>
      <c r="AU28" s="1118">
        <v>0</v>
      </c>
      <c r="AV28" s="1118"/>
      <c r="AW28" s="775">
        <f t="shared" si="121"/>
        <v>0</v>
      </c>
      <c r="AX28" s="775">
        <f t="shared" si="11"/>
        <v>0</v>
      </c>
      <c r="AY28" s="1118"/>
      <c r="AZ28" s="1118">
        <v>0</v>
      </c>
      <c r="BA28" s="774">
        <f t="shared" si="152"/>
        <v>0</v>
      </c>
      <c r="BB28" s="774">
        <f t="shared" si="12"/>
        <v>0</v>
      </c>
      <c r="BC28" s="460">
        <f t="shared" si="122"/>
        <v>0</v>
      </c>
      <c r="BD28" s="460">
        <f t="shared" si="13"/>
        <v>0</v>
      </c>
      <c r="BE28" s="775">
        <f t="shared" si="123"/>
        <v>0</v>
      </c>
      <c r="BF28" s="775">
        <f t="shared" si="14"/>
        <v>0</v>
      </c>
      <c r="BG28" s="26">
        <f t="shared" si="15"/>
        <v>0</v>
      </c>
      <c r="BH28" s="26">
        <f t="shared" si="16"/>
        <v>0</v>
      </c>
      <c r="BI28" s="26"/>
      <c r="BJ28" s="26">
        <f t="shared" si="17"/>
        <v>0</v>
      </c>
      <c r="BK28" s="26">
        <f t="shared" si="18"/>
        <v>0</v>
      </c>
    </row>
    <row r="29" spans="1:68" ht="21.15" customHeight="1" x14ac:dyDescent="0.3">
      <c r="A29" s="92"/>
      <c r="B29" s="3403" t="s">
        <v>2</v>
      </c>
      <c r="C29" s="156" t="s">
        <v>50</v>
      </c>
      <c r="D29" s="1720">
        <f>SUM(D23:D28)</f>
        <v>750000</v>
      </c>
      <c r="E29" s="452">
        <f t="shared" ref="E29:F29" si="153">SUM(E23:E28)</f>
        <v>62000</v>
      </c>
      <c r="F29" s="452">
        <f t="shared" si="153"/>
        <v>44122.7</v>
      </c>
      <c r="G29" s="452">
        <f t="shared" ref="G29:H29" si="154">SUM(G23:G28)</f>
        <v>65000</v>
      </c>
      <c r="H29" s="452">
        <f t="shared" si="154"/>
        <v>57715.999999999985</v>
      </c>
      <c r="I29" s="371">
        <f t="shared" si="115"/>
        <v>127000</v>
      </c>
      <c r="J29" s="775">
        <f t="shared" si="0"/>
        <v>101838.69999999998</v>
      </c>
      <c r="K29" s="452">
        <f t="shared" ref="K29:L29" si="155">SUM(K23:K28)</f>
        <v>62500</v>
      </c>
      <c r="L29" s="452">
        <f t="shared" si="155"/>
        <v>56720.68</v>
      </c>
      <c r="M29" s="373">
        <f>E29+G29+K29</f>
        <v>189500</v>
      </c>
      <c r="N29" s="774">
        <f t="shared" si="1"/>
        <v>158559.37999999998</v>
      </c>
      <c r="O29" s="452">
        <f t="shared" ref="O29:P29" si="156">SUM(O23:O28)</f>
        <v>65000</v>
      </c>
      <c r="P29" s="452">
        <f t="shared" si="156"/>
        <v>57264.83</v>
      </c>
      <c r="Q29" s="371">
        <f t="shared" si="116"/>
        <v>254500</v>
      </c>
      <c r="R29" s="775">
        <f t="shared" si="2"/>
        <v>215824.20999999996</v>
      </c>
      <c r="S29" s="452">
        <f t="shared" ref="S29:T29" si="157">SUM(S23:S28)</f>
        <v>65000</v>
      </c>
      <c r="T29" s="452">
        <f t="shared" si="157"/>
        <v>47224.14</v>
      </c>
      <c r="U29" s="371">
        <f t="shared" si="117"/>
        <v>319500</v>
      </c>
      <c r="V29" s="775">
        <f t="shared" si="3"/>
        <v>263048.34999999998</v>
      </c>
      <c r="W29" s="452">
        <f t="shared" ref="W29:X29" si="158">SUM(W23:W28)</f>
        <v>33500</v>
      </c>
      <c r="X29" s="452">
        <f t="shared" si="158"/>
        <v>45948.119999999995</v>
      </c>
      <c r="Y29" s="373">
        <f>O29+S29+W29</f>
        <v>163500</v>
      </c>
      <c r="Z29" s="774">
        <f t="shared" si="4"/>
        <v>150437.09</v>
      </c>
      <c r="AA29" s="539">
        <f>M29+Y29</f>
        <v>353000</v>
      </c>
      <c r="AB29" s="460">
        <f t="shared" si="5"/>
        <v>308996.46999999997</v>
      </c>
      <c r="AC29" s="452">
        <f t="shared" ref="AC29:AD29" si="159">SUM(AC23:AC28)</f>
        <v>67000</v>
      </c>
      <c r="AD29" s="452">
        <f t="shared" si="159"/>
        <v>30215.879999999997</v>
      </c>
      <c r="AE29" s="371">
        <f t="shared" si="118"/>
        <v>420000</v>
      </c>
      <c r="AF29" s="775">
        <f t="shared" si="6"/>
        <v>339212.35</v>
      </c>
      <c r="AG29" s="452">
        <f t="shared" ref="AG29:AH29" si="160">SUM(AG23:AG28)</f>
        <v>65000</v>
      </c>
      <c r="AH29" s="452">
        <f t="shared" si="160"/>
        <v>49444.75</v>
      </c>
      <c r="AI29" s="371">
        <f t="shared" si="119"/>
        <v>485000</v>
      </c>
      <c r="AJ29" s="775">
        <f t="shared" si="7"/>
        <v>388657.1</v>
      </c>
      <c r="AK29" s="452">
        <f t="shared" ref="AK29:AL29" si="161">SUM(AK23:AK28)</f>
        <v>67500</v>
      </c>
      <c r="AL29" s="452">
        <f t="shared" si="161"/>
        <v>51538.880999999994</v>
      </c>
      <c r="AM29" s="373">
        <f>AC29+AG29+AK29</f>
        <v>199500</v>
      </c>
      <c r="AN29" s="774">
        <f t="shared" si="8"/>
        <v>131199.511</v>
      </c>
      <c r="AO29" s="371">
        <f t="shared" si="151"/>
        <v>552500</v>
      </c>
      <c r="AP29" s="775">
        <f t="shared" si="9"/>
        <v>440195.98099999997</v>
      </c>
      <c r="AQ29" s="452">
        <f t="shared" ref="AQ29:AR29" si="162">SUM(AQ23:AQ28)</f>
        <v>68000</v>
      </c>
      <c r="AR29" s="452">
        <f t="shared" si="162"/>
        <v>55396.94</v>
      </c>
      <c r="AS29" s="371">
        <f t="shared" si="120"/>
        <v>620500</v>
      </c>
      <c r="AT29" s="775">
        <f t="shared" si="10"/>
        <v>495592.92099999997</v>
      </c>
      <c r="AU29" s="452">
        <f t="shared" ref="AU29:AV29" si="163">SUM(AU23:AU28)</f>
        <v>61000</v>
      </c>
      <c r="AV29" s="452">
        <f t="shared" si="163"/>
        <v>53071.489999999991</v>
      </c>
      <c r="AW29" s="371">
        <f t="shared" si="121"/>
        <v>681500</v>
      </c>
      <c r="AX29" s="775">
        <f t="shared" si="11"/>
        <v>548664.41099999996</v>
      </c>
      <c r="AY29" s="452">
        <f t="shared" ref="AY29" si="164">SUM(AY23:AY28)</f>
        <v>68500</v>
      </c>
      <c r="AZ29" s="452">
        <f>SUM(AZ23:AZ28)</f>
        <v>58800.212</v>
      </c>
      <c r="BA29" s="373">
        <f>AQ29+AU29+AY29</f>
        <v>197500</v>
      </c>
      <c r="BB29" s="373">
        <f t="shared" si="12"/>
        <v>167268.64199999999</v>
      </c>
      <c r="BC29" s="539">
        <f>AM29+BA29</f>
        <v>397000</v>
      </c>
      <c r="BD29" s="539">
        <f t="shared" si="13"/>
        <v>298468.15299999999</v>
      </c>
      <c r="BE29" s="371">
        <f t="shared" si="123"/>
        <v>750000</v>
      </c>
      <c r="BF29" s="371">
        <f t="shared" si="14"/>
        <v>607464.62299999991</v>
      </c>
      <c r="BG29" s="26">
        <f t="shared" si="15"/>
        <v>0</v>
      </c>
      <c r="BH29" s="26">
        <f t="shared" si="16"/>
        <v>0</v>
      </c>
      <c r="BI29" s="26"/>
      <c r="BJ29" s="26">
        <f t="shared" si="17"/>
        <v>0</v>
      </c>
      <c r="BK29" s="26">
        <f t="shared" si="18"/>
        <v>0</v>
      </c>
    </row>
    <row r="30" spans="1:68" x14ac:dyDescent="0.3">
      <c r="A30" s="151"/>
      <c r="B30" s="3401" t="s">
        <v>513</v>
      </c>
      <c r="C30" s="5767"/>
      <c r="D30" s="3401"/>
      <c r="E30" s="3404"/>
      <c r="F30" s="3404"/>
      <c r="G30" s="3404"/>
      <c r="H30" s="3404"/>
      <c r="I30" s="5690"/>
      <c r="J30" s="775">
        <f t="shared" si="0"/>
        <v>0</v>
      </c>
      <c r="K30" s="3404"/>
      <c r="L30" s="3404"/>
      <c r="M30" s="5701"/>
      <c r="N30" s="774">
        <f t="shared" si="1"/>
        <v>0</v>
      </c>
      <c r="O30" s="3404"/>
      <c r="P30" s="3404"/>
      <c r="Q30" s="5690"/>
      <c r="R30" s="775">
        <f t="shared" si="2"/>
        <v>0</v>
      </c>
      <c r="S30" s="3404"/>
      <c r="T30" s="3404"/>
      <c r="U30" s="5690"/>
      <c r="V30" s="775">
        <f t="shared" si="3"/>
        <v>0</v>
      </c>
      <c r="W30" s="3404"/>
      <c r="X30" s="3404"/>
      <c r="Y30" s="5701"/>
      <c r="Z30" s="774">
        <f t="shared" si="4"/>
        <v>0</v>
      </c>
      <c r="AA30" s="5711"/>
      <c r="AB30" s="460">
        <f t="shared" si="5"/>
        <v>0</v>
      </c>
      <c r="AC30" s="3404"/>
      <c r="AD30" s="3404"/>
      <c r="AE30" s="5690"/>
      <c r="AF30" s="775">
        <f t="shared" si="6"/>
        <v>0</v>
      </c>
      <c r="AG30" s="3404"/>
      <c r="AH30" s="3404"/>
      <c r="AI30" s="5690"/>
      <c r="AJ30" s="775">
        <f t="shared" si="7"/>
        <v>0</v>
      </c>
      <c r="AK30" s="3404"/>
      <c r="AL30" s="3404"/>
      <c r="AM30" s="5701"/>
      <c r="AN30" s="774">
        <f t="shared" si="8"/>
        <v>0</v>
      </c>
      <c r="AO30" s="5690"/>
      <c r="AP30" s="775">
        <f t="shared" si="9"/>
        <v>0</v>
      </c>
      <c r="AQ30" s="3404"/>
      <c r="AR30" s="3404"/>
      <c r="AS30" s="5690"/>
      <c r="AT30" s="775">
        <f t="shared" si="10"/>
        <v>0</v>
      </c>
      <c r="AU30" s="3404"/>
      <c r="AV30" s="3404"/>
      <c r="AW30" s="5690"/>
      <c r="AX30" s="775">
        <f t="shared" si="11"/>
        <v>0</v>
      </c>
      <c r="AY30" s="3404"/>
      <c r="AZ30" s="3404"/>
      <c r="BA30" s="5701"/>
      <c r="BB30" s="774">
        <f t="shared" si="12"/>
        <v>0</v>
      </c>
      <c r="BC30" s="5711"/>
      <c r="BD30" s="460">
        <f t="shared" si="13"/>
        <v>0</v>
      </c>
      <c r="BE30" s="5690"/>
      <c r="BF30" s="775">
        <f t="shared" si="14"/>
        <v>0</v>
      </c>
      <c r="BG30" s="26">
        <f t="shared" si="15"/>
        <v>0</v>
      </c>
      <c r="BH30" s="26">
        <f t="shared" si="16"/>
        <v>0</v>
      </c>
      <c r="BI30" s="26"/>
      <c r="BJ30" s="26">
        <f t="shared" si="17"/>
        <v>0</v>
      </c>
      <c r="BK30" s="26">
        <f t="shared" si="18"/>
        <v>0</v>
      </c>
      <c r="BP30" s="26"/>
    </row>
    <row r="31" spans="1:68" x14ac:dyDescent="0.3">
      <c r="A31" s="92"/>
      <c r="B31" s="1009" t="s">
        <v>75</v>
      </c>
      <c r="C31" s="156" t="s">
        <v>50</v>
      </c>
      <c r="D31" s="6124">
        <f>+D42+D50</f>
        <v>485798</v>
      </c>
      <c r="E31" s="6124">
        <f>'Maj Production Summ'!E36-E33-E35-E36</f>
        <v>45136.179004967038</v>
      </c>
      <c r="F31" s="1118">
        <f>F42+F50</f>
        <v>27026.079999999998</v>
      </c>
      <c r="G31" s="6124">
        <f>'Maj Production Summ'!G36-G33-G35-G36</f>
        <v>45135.940308020741</v>
      </c>
      <c r="H31" s="1118">
        <f>H42+H50</f>
        <v>37486.699999999997</v>
      </c>
      <c r="I31" s="6127">
        <f>E31+G31</f>
        <v>90272.119312987779</v>
      </c>
      <c r="J31" s="775">
        <f t="shared" si="0"/>
        <v>64512.78</v>
      </c>
      <c r="K31" s="6124">
        <f>'Maj Production Summ'!K36-K33-K35-K36</f>
        <v>44636.474519478841</v>
      </c>
      <c r="L31" s="1118">
        <f>L42+L50</f>
        <v>36411.549999999996</v>
      </c>
      <c r="M31" s="5898">
        <f>E31+G31+K31</f>
        <v>134908.59383246663</v>
      </c>
      <c r="N31" s="774">
        <f t="shared" si="1"/>
        <v>100924.32999999999</v>
      </c>
      <c r="O31" s="6124">
        <f>'Maj Production Summ'!O36-O33-O35-O36</f>
        <v>40136.504991684538</v>
      </c>
      <c r="P31" s="1118">
        <f>P42+P50</f>
        <v>47198.23</v>
      </c>
      <c r="Q31" s="6127">
        <f>M31+O31</f>
        <v>175045.09882415118</v>
      </c>
      <c r="R31" s="775">
        <f t="shared" si="2"/>
        <v>148122.56</v>
      </c>
      <c r="S31" s="6124">
        <f>'Maj Production Summ'!S36-S33-S35-S36</f>
        <v>40136.504991684538</v>
      </c>
      <c r="T31" s="1118">
        <f>T42+T50</f>
        <v>54075.5</v>
      </c>
      <c r="U31" s="6127">
        <f>Q31+S31</f>
        <v>215181.60381583573</v>
      </c>
      <c r="V31" s="775">
        <f t="shared" si="3"/>
        <v>202198.06</v>
      </c>
      <c r="W31" s="6124">
        <f>'Maj Production Summ'!W36-W33-W35-W36</f>
        <v>13300.0147648532</v>
      </c>
      <c r="X31" s="1118">
        <f>X42+X50</f>
        <v>36768.710000000006</v>
      </c>
      <c r="Y31" s="5898">
        <f>O31+S31+W31</f>
        <v>93573.024748222277</v>
      </c>
      <c r="Z31" s="774">
        <f t="shared" si="4"/>
        <v>138042.44</v>
      </c>
      <c r="AA31" s="5919">
        <f>M31+Y31</f>
        <v>228481.6185806889</v>
      </c>
      <c r="AB31" s="460">
        <f t="shared" si="5"/>
        <v>238966.77</v>
      </c>
      <c r="AC31" s="6124">
        <f>'Maj Production Summ'!AC36-AC33-AC35-AC36</f>
        <v>45635.89179611994</v>
      </c>
      <c r="AD31" s="1118">
        <f>AD42+AD50</f>
        <v>47231.429999999993</v>
      </c>
      <c r="AE31" s="6127">
        <f>AA31+AC31</f>
        <v>274117.51037680882</v>
      </c>
      <c r="AF31" s="775">
        <f t="shared" si="6"/>
        <v>286198.19999999995</v>
      </c>
      <c r="AG31" s="6124">
        <f>'Maj Production Summ'!AG36-AG33-AG35-AG36</f>
        <v>42135.952092038235</v>
      </c>
      <c r="AH31" s="1118">
        <f>AH42+AH50</f>
        <v>48322.05</v>
      </c>
      <c r="AI31" s="6128">
        <f>AE31+AG31</f>
        <v>316253.46246884705</v>
      </c>
      <c r="AJ31" s="775">
        <f t="shared" si="7"/>
        <v>334520.24999999994</v>
      </c>
      <c r="AK31" s="6124">
        <f>'Maj Production Summ'!AK36-AK33-AK35-AK36</f>
        <v>42636.41788058004</v>
      </c>
      <c r="AL31" s="1118">
        <f>AL42+AL50</f>
        <v>37711.500000000007</v>
      </c>
      <c r="AM31" s="5898">
        <f>AC31+AG31+AK31</f>
        <v>130408.26176873822</v>
      </c>
      <c r="AN31" s="774">
        <f t="shared" si="8"/>
        <v>133264.98000000001</v>
      </c>
      <c r="AO31" s="6127">
        <f>AI31+AK31</f>
        <v>358889.88034942711</v>
      </c>
      <c r="AP31" s="775">
        <f t="shared" si="9"/>
        <v>372231.74999999994</v>
      </c>
      <c r="AQ31" s="6124">
        <f>'Maj Production Summ'!AQ36-AQ33-AQ35-AQ36</f>
        <v>45136.028314827585</v>
      </c>
      <c r="AR31" s="1118">
        <f>AR42+AR50</f>
        <v>26948.59</v>
      </c>
      <c r="AS31" s="6128">
        <f>AO31+AQ31</f>
        <v>404025.9086642547</v>
      </c>
      <c r="AT31" s="775">
        <f t="shared" si="10"/>
        <v>399180.33999999997</v>
      </c>
      <c r="AU31" s="6124">
        <f>'Maj Production Summ'!AU36-AU33-AU35-AU36</f>
        <v>38136.374065567383</v>
      </c>
      <c r="AV31" s="1118">
        <f>AV42+AV50</f>
        <v>7881.6200000000008</v>
      </c>
      <c r="AW31" s="6128">
        <f>AS31+AU31</f>
        <v>442162.28272982209</v>
      </c>
      <c r="AX31" s="775">
        <f t="shared" si="11"/>
        <v>407061.95999999996</v>
      </c>
      <c r="AY31" s="6124">
        <f>'Maj Production Summ'!AY36-AY33-AY35-AY36</f>
        <v>43636.054399287626</v>
      </c>
      <c r="AZ31" s="1118">
        <f>AZ42+AZ50</f>
        <v>28355.649999999994</v>
      </c>
      <c r="BA31" s="5898">
        <f>AQ31+AU31+AY31</f>
        <v>126908.4567796826</v>
      </c>
      <c r="BB31" s="774">
        <f t="shared" si="12"/>
        <v>63185.859999999993</v>
      </c>
      <c r="BC31" s="5919">
        <f>AM31+BA31</f>
        <v>257316.71854842082</v>
      </c>
      <c r="BD31" s="460">
        <f t="shared" si="13"/>
        <v>196450.84</v>
      </c>
      <c r="BE31" s="6128">
        <f>AW31+AY31</f>
        <v>485798.33712910971</v>
      </c>
      <c r="BF31" s="775">
        <f t="shared" si="14"/>
        <v>435417.61</v>
      </c>
      <c r="BG31" s="26">
        <f t="shared" si="15"/>
        <v>0</v>
      </c>
      <c r="BH31" s="26">
        <f t="shared" si="16"/>
        <v>0</v>
      </c>
      <c r="BI31" s="26"/>
      <c r="BJ31" s="26">
        <f t="shared" si="17"/>
        <v>0</v>
      </c>
      <c r="BK31" s="26">
        <f t="shared" si="18"/>
        <v>0</v>
      </c>
      <c r="BP31" s="26"/>
    </row>
    <row r="32" spans="1:68" x14ac:dyDescent="0.3">
      <c r="A32" s="92"/>
      <c r="B32" s="1009" t="s">
        <v>76</v>
      </c>
      <c r="C32" s="156" t="s">
        <v>50</v>
      </c>
      <c r="D32" s="6124"/>
      <c r="E32" s="6124"/>
      <c r="F32" s="1118">
        <f>F43+F51</f>
        <v>5959.1999999999989</v>
      </c>
      <c r="G32" s="6124"/>
      <c r="H32" s="1118">
        <f t="shared" ref="H32" si="165">H43+H51</f>
        <v>10028.82</v>
      </c>
      <c r="I32" s="6127"/>
      <c r="J32" s="775">
        <f t="shared" si="0"/>
        <v>15988.019999999999</v>
      </c>
      <c r="K32" s="6124"/>
      <c r="L32" s="1118">
        <f t="shared" ref="L32" si="166">L43+L51</f>
        <v>7884.6599999999962</v>
      </c>
      <c r="M32" s="5898"/>
      <c r="N32" s="774">
        <f t="shared" si="1"/>
        <v>23872.679999999993</v>
      </c>
      <c r="O32" s="6124"/>
      <c r="P32" s="1118">
        <f t="shared" ref="P32" si="167">P43+P51</f>
        <v>6995.6200000000026</v>
      </c>
      <c r="Q32" s="6127"/>
      <c r="R32" s="775">
        <f t="shared" si="2"/>
        <v>30868.299999999996</v>
      </c>
      <c r="S32" s="6124"/>
      <c r="T32" s="1118">
        <f t="shared" ref="T32" si="168">T43+T51</f>
        <v>9643.529999999997</v>
      </c>
      <c r="U32" s="6127"/>
      <c r="V32" s="775">
        <f t="shared" si="3"/>
        <v>40511.829999999994</v>
      </c>
      <c r="W32" s="6124"/>
      <c r="X32" s="1118">
        <f t="shared" ref="X32" si="169">X43+X51</f>
        <v>13649.230000000001</v>
      </c>
      <c r="Y32" s="5898"/>
      <c r="Z32" s="774">
        <f t="shared" si="4"/>
        <v>30288.380000000005</v>
      </c>
      <c r="AA32" s="5919"/>
      <c r="AB32" s="460">
        <f t="shared" si="5"/>
        <v>54161.06</v>
      </c>
      <c r="AC32" s="6124"/>
      <c r="AD32" s="1118">
        <f t="shared" ref="AD32" si="170">AD43+AD51</f>
        <v>4011.2299999999991</v>
      </c>
      <c r="AE32" s="6127"/>
      <c r="AF32" s="775">
        <f t="shared" si="6"/>
        <v>58172.289999999994</v>
      </c>
      <c r="AG32" s="6124"/>
      <c r="AH32" s="1118">
        <f t="shared" ref="AH32" si="171">AH43+AH51</f>
        <v>11896.339999999998</v>
      </c>
      <c r="AI32" s="6126"/>
      <c r="AJ32" s="775">
        <f t="shared" si="7"/>
        <v>70068.62999999999</v>
      </c>
      <c r="AK32" s="6124"/>
      <c r="AL32" s="1118">
        <f t="shared" ref="AL32" si="172">AL43+AL51</f>
        <v>11371.260000000002</v>
      </c>
      <c r="AM32" s="5898"/>
      <c r="AN32" s="774">
        <f t="shared" si="8"/>
        <v>27278.83</v>
      </c>
      <c r="AO32" s="6127"/>
      <c r="AP32" s="775">
        <f t="shared" si="9"/>
        <v>81439.889999999985</v>
      </c>
      <c r="AQ32" s="6124"/>
      <c r="AR32" s="1118">
        <f t="shared" ref="AR32" si="173">AR43+AR51</f>
        <v>6009.3</v>
      </c>
      <c r="AS32" s="6126"/>
      <c r="AT32" s="775">
        <f t="shared" si="10"/>
        <v>87449.189999999988</v>
      </c>
      <c r="AU32" s="6124"/>
      <c r="AV32" s="1118">
        <f t="shared" ref="AV32" si="174">AV43+AV51</f>
        <v>4829.25</v>
      </c>
      <c r="AW32" s="6126"/>
      <c r="AX32" s="775">
        <f t="shared" si="11"/>
        <v>92278.439999999988</v>
      </c>
      <c r="AY32" s="6124"/>
      <c r="AZ32" s="1118">
        <f t="shared" ref="AZ32" si="175">AZ43+AZ51</f>
        <v>7533.2500000000027</v>
      </c>
      <c r="BA32" s="5898"/>
      <c r="BB32" s="774">
        <f t="shared" si="12"/>
        <v>18371.800000000003</v>
      </c>
      <c r="BC32" s="5919"/>
      <c r="BD32" s="460">
        <f t="shared" si="13"/>
        <v>45650.630000000005</v>
      </c>
      <c r="BE32" s="6126"/>
      <c r="BF32" s="775">
        <f t="shared" si="14"/>
        <v>99811.689999999988</v>
      </c>
      <c r="BG32" s="26">
        <f t="shared" si="15"/>
        <v>0</v>
      </c>
      <c r="BH32" s="26">
        <f t="shared" si="16"/>
        <v>0</v>
      </c>
      <c r="BI32" s="26"/>
      <c r="BJ32" s="26">
        <f t="shared" si="17"/>
        <v>0</v>
      </c>
      <c r="BK32" s="26">
        <f t="shared" si="18"/>
        <v>0</v>
      </c>
      <c r="BP32" s="26"/>
    </row>
    <row r="33" spans="1:69" x14ac:dyDescent="0.3">
      <c r="A33" s="114"/>
      <c r="B33" s="1009" t="s">
        <v>137</v>
      </c>
      <c r="C33" s="156" t="s">
        <v>50</v>
      </c>
      <c r="D33" s="1118">
        <f>+D44+D52</f>
        <v>15000.000000000002</v>
      </c>
      <c r="E33" s="1118">
        <v>1363.6363636363637</v>
      </c>
      <c r="F33" s="1118">
        <f>F44+F52</f>
        <v>4343.1200000000008</v>
      </c>
      <c r="G33" s="1118">
        <v>1363.6363636363637</v>
      </c>
      <c r="H33" s="1118">
        <f t="shared" ref="H33" si="176">H44+H52</f>
        <v>2814.6399999999994</v>
      </c>
      <c r="I33" s="775">
        <f t="shared" ref="I33:I37" si="177">E33+G33</f>
        <v>2727.2727272727275</v>
      </c>
      <c r="J33" s="775">
        <f t="shared" si="0"/>
        <v>7157.76</v>
      </c>
      <c r="K33" s="1118">
        <v>1363.6363636363637</v>
      </c>
      <c r="L33" s="1118">
        <f t="shared" ref="L33" si="178">L44+L52</f>
        <v>0</v>
      </c>
      <c r="M33" s="774">
        <f>E33+G33+K33</f>
        <v>4090.909090909091</v>
      </c>
      <c r="N33" s="774">
        <f t="shared" si="1"/>
        <v>7157.76</v>
      </c>
      <c r="O33" s="1118">
        <v>1363.6363636363637</v>
      </c>
      <c r="P33" s="1118">
        <f t="shared" ref="P33" si="179">P44+P52</f>
        <v>0</v>
      </c>
      <c r="Q33" s="775">
        <f t="shared" ref="Q33:Q37" si="180">M33+O33</f>
        <v>5454.545454545455</v>
      </c>
      <c r="R33" s="775">
        <f t="shared" si="2"/>
        <v>7157.76</v>
      </c>
      <c r="S33" s="1118">
        <v>1363.6363636363637</v>
      </c>
      <c r="T33" s="1118">
        <f t="shared" ref="T33" si="181">T44+T52</f>
        <v>0</v>
      </c>
      <c r="U33" s="775">
        <f t="shared" ref="U33:U37" si="182">Q33+S33</f>
        <v>6818.1818181818189</v>
      </c>
      <c r="V33" s="775">
        <f t="shared" si="3"/>
        <v>7157.76</v>
      </c>
      <c r="W33" s="1118">
        <v>0</v>
      </c>
      <c r="X33" s="1118">
        <f t="shared" ref="X33" si="183">X44+X52</f>
        <v>0</v>
      </c>
      <c r="Y33" s="774">
        <f t="shared" ref="Y33:Y36" si="184">O33+S33+W33</f>
        <v>2727.2727272727275</v>
      </c>
      <c r="Z33" s="774">
        <f t="shared" si="4"/>
        <v>0</v>
      </c>
      <c r="AA33" s="460">
        <f>M33+Y33</f>
        <v>6818.181818181818</v>
      </c>
      <c r="AB33" s="460">
        <f t="shared" si="5"/>
        <v>7157.76</v>
      </c>
      <c r="AC33" s="1118">
        <v>1363.6363636363637</v>
      </c>
      <c r="AD33" s="1118">
        <f t="shared" ref="AD33" si="185">AD44+AD52</f>
        <v>2836.7</v>
      </c>
      <c r="AE33" s="775">
        <f t="shared" ref="AE33:AE37" si="186">AA33+AC33</f>
        <v>8181.818181818182</v>
      </c>
      <c r="AF33" s="775">
        <f t="shared" si="6"/>
        <v>9994.4599999999991</v>
      </c>
      <c r="AG33" s="1118">
        <v>1363.6363636363637</v>
      </c>
      <c r="AH33" s="1118">
        <f t="shared" ref="AH33" si="187">AH44+AH52</f>
        <v>2824.64</v>
      </c>
      <c r="AI33" s="775">
        <f t="shared" ref="AI33:AI37" si="188">AE33+AG33</f>
        <v>9545.454545454546</v>
      </c>
      <c r="AJ33" s="775">
        <f t="shared" si="7"/>
        <v>12819.099999999999</v>
      </c>
      <c r="AK33" s="1118">
        <v>1363.6363636363637</v>
      </c>
      <c r="AL33" s="1118">
        <f t="shared" ref="AL33" si="189">AL44+AL52</f>
        <v>2463.92</v>
      </c>
      <c r="AM33" s="774">
        <f t="shared" ref="AM33:AM36" si="190">AC33+AG33+AK33</f>
        <v>4090.909090909091</v>
      </c>
      <c r="AN33" s="774">
        <f t="shared" si="8"/>
        <v>8125.26</v>
      </c>
      <c r="AO33" s="775">
        <f>AI33+AK33</f>
        <v>10909.09090909091</v>
      </c>
      <c r="AP33" s="775">
        <f t="shared" si="9"/>
        <v>15283.019999999999</v>
      </c>
      <c r="AQ33" s="1118">
        <v>1363.6363636363637</v>
      </c>
      <c r="AR33" s="1118">
        <f t="shared" ref="AR33" si="191">AR44+AR52</f>
        <v>2842.54</v>
      </c>
      <c r="AS33" s="775">
        <f t="shared" ref="AS33:AS37" si="192">AO33+AQ33</f>
        <v>12272.727272727274</v>
      </c>
      <c r="AT33" s="775">
        <f t="shared" si="10"/>
        <v>18125.559999999998</v>
      </c>
      <c r="AU33" s="1118">
        <v>1363.6363636363637</v>
      </c>
      <c r="AV33" s="1118">
        <f t="shared" ref="AV33" si="193">AV44+AV52</f>
        <v>0</v>
      </c>
      <c r="AW33" s="775">
        <f t="shared" ref="AW33:AW37" si="194">AS33+AU33</f>
        <v>13636.363636363638</v>
      </c>
      <c r="AX33" s="775">
        <f t="shared" si="11"/>
        <v>18125.559999999998</v>
      </c>
      <c r="AY33" s="1118">
        <v>1363.6363636363637</v>
      </c>
      <c r="AZ33" s="1118">
        <f t="shared" ref="AZ33" si="195">AZ44+AZ52</f>
        <v>1167.56</v>
      </c>
      <c r="BA33" s="774">
        <f t="shared" ref="BA33:BA36" si="196">AQ33+AU33+AY33</f>
        <v>4090.909090909091</v>
      </c>
      <c r="BB33" s="774">
        <f t="shared" si="12"/>
        <v>4010.1</v>
      </c>
      <c r="BC33" s="460">
        <f t="shared" ref="BC33:BC36" si="197">AM33+BA33</f>
        <v>8181.818181818182</v>
      </c>
      <c r="BD33" s="460">
        <f t="shared" si="13"/>
        <v>12135.36</v>
      </c>
      <c r="BE33" s="775">
        <f t="shared" ref="BE33:BE37" si="198">AW33+AY33</f>
        <v>15000.000000000002</v>
      </c>
      <c r="BF33" s="775">
        <f t="shared" si="14"/>
        <v>19293.12</v>
      </c>
      <c r="BG33" s="26">
        <f t="shared" si="15"/>
        <v>0</v>
      </c>
      <c r="BH33" s="26">
        <f t="shared" si="16"/>
        <v>0</v>
      </c>
      <c r="BI33" s="26"/>
      <c r="BJ33" s="26">
        <f t="shared" si="17"/>
        <v>0</v>
      </c>
      <c r="BK33" s="26">
        <f t="shared" si="18"/>
        <v>0</v>
      </c>
      <c r="BP33" s="26"/>
    </row>
    <row r="34" spans="1:69" x14ac:dyDescent="0.3">
      <c r="A34" s="114"/>
      <c r="B34" s="5687" t="s">
        <v>2365</v>
      </c>
      <c r="C34" s="5462" t="s">
        <v>50</v>
      </c>
      <c r="D34" s="5458"/>
      <c r="E34" s="5458"/>
      <c r="F34" s="5458">
        <f>+F53+F45</f>
        <v>0</v>
      </c>
      <c r="G34" s="5458">
        <f t="shared" ref="G34:BO34" si="199">+G53</f>
        <v>0</v>
      </c>
      <c r="H34" s="5458">
        <f>+H53+H45</f>
        <v>0</v>
      </c>
      <c r="I34" s="5458">
        <f t="shared" si="199"/>
        <v>0</v>
      </c>
      <c r="J34" s="775">
        <f t="shared" si="0"/>
        <v>0</v>
      </c>
      <c r="K34" s="5458">
        <f t="shared" si="199"/>
        <v>0</v>
      </c>
      <c r="L34" s="5458">
        <f>+L53+L45</f>
        <v>0</v>
      </c>
      <c r="M34" s="5458">
        <f t="shared" si="199"/>
        <v>0</v>
      </c>
      <c r="N34" s="774">
        <f t="shared" si="1"/>
        <v>0</v>
      </c>
      <c r="O34" s="5458">
        <f t="shared" si="199"/>
        <v>0</v>
      </c>
      <c r="P34" s="5458">
        <f>+P53+P45</f>
        <v>0</v>
      </c>
      <c r="Q34" s="5458">
        <f t="shared" si="199"/>
        <v>0</v>
      </c>
      <c r="R34" s="775">
        <f t="shared" si="2"/>
        <v>0</v>
      </c>
      <c r="S34" s="5458">
        <f t="shared" si="199"/>
        <v>0</v>
      </c>
      <c r="T34" s="5458">
        <f>+T53+T45</f>
        <v>0</v>
      </c>
      <c r="U34" s="5458">
        <f t="shared" si="199"/>
        <v>0</v>
      </c>
      <c r="V34" s="775">
        <f t="shared" si="3"/>
        <v>0</v>
      </c>
      <c r="W34" s="5458">
        <f t="shared" si="199"/>
        <v>0</v>
      </c>
      <c r="X34" s="5458">
        <f>+X53+X45</f>
        <v>0</v>
      </c>
      <c r="Y34" s="5458">
        <f t="shared" si="199"/>
        <v>0</v>
      </c>
      <c r="Z34" s="774">
        <f t="shared" si="4"/>
        <v>0</v>
      </c>
      <c r="AA34" s="5458">
        <f t="shared" si="199"/>
        <v>0</v>
      </c>
      <c r="AB34" s="460">
        <f t="shared" si="5"/>
        <v>0</v>
      </c>
      <c r="AC34" s="5458">
        <f t="shared" si="199"/>
        <v>0</v>
      </c>
      <c r="AD34" s="5458">
        <f>+AD53+AD45</f>
        <v>0</v>
      </c>
      <c r="AE34" s="5458">
        <f t="shared" si="199"/>
        <v>0</v>
      </c>
      <c r="AF34" s="775">
        <f t="shared" si="6"/>
        <v>0</v>
      </c>
      <c r="AG34" s="5458">
        <f t="shared" si="199"/>
        <v>0</v>
      </c>
      <c r="AH34" s="5458">
        <f>+AH53+AH45</f>
        <v>0</v>
      </c>
      <c r="AI34" s="5458">
        <f t="shared" si="199"/>
        <v>0</v>
      </c>
      <c r="AJ34" s="775">
        <f t="shared" si="7"/>
        <v>0</v>
      </c>
      <c r="AK34" s="5458">
        <f t="shared" si="199"/>
        <v>0</v>
      </c>
      <c r="AL34" s="5458">
        <f>+AL53+AL45</f>
        <v>0</v>
      </c>
      <c r="AM34" s="5458">
        <f t="shared" si="199"/>
        <v>0</v>
      </c>
      <c r="AN34" s="774">
        <f t="shared" si="8"/>
        <v>0</v>
      </c>
      <c r="AO34" s="5458">
        <f t="shared" si="199"/>
        <v>0</v>
      </c>
      <c r="AP34" s="775">
        <f t="shared" si="9"/>
        <v>0</v>
      </c>
      <c r="AQ34" s="5458">
        <f t="shared" si="199"/>
        <v>0</v>
      </c>
      <c r="AR34" s="5458">
        <f>+AR53+AR45</f>
        <v>0</v>
      </c>
      <c r="AS34" s="5458">
        <f t="shared" si="199"/>
        <v>0</v>
      </c>
      <c r="AT34" s="775">
        <f t="shared" si="10"/>
        <v>0</v>
      </c>
      <c r="AU34" s="5458">
        <f t="shared" si="199"/>
        <v>0</v>
      </c>
      <c r="AV34" s="5458">
        <f>+AV53+AV45</f>
        <v>2022.0800000000002</v>
      </c>
      <c r="AW34" s="5458">
        <f t="shared" si="199"/>
        <v>0</v>
      </c>
      <c r="AX34" s="775">
        <f t="shared" si="11"/>
        <v>2022.0800000000002</v>
      </c>
      <c r="AY34" s="5458">
        <f t="shared" si="199"/>
        <v>0</v>
      </c>
      <c r="AZ34" s="5458">
        <f>+AZ53+AZ45</f>
        <v>2066.8999999999996</v>
      </c>
      <c r="BA34" s="5458">
        <f t="shared" si="199"/>
        <v>0</v>
      </c>
      <c r="BB34" s="774">
        <f t="shared" si="12"/>
        <v>4088.9799999999996</v>
      </c>
      <c r="BC34" s="5458">
        <f t="shared" si="199"/>
        <v>0</v>
      </c>
      <c r="BD34" s="460">
        <f t="shared" si="13"/>
        <v>4088.9799999999996</v>
      </c>
      <c r="BE34" s="5458">
        <f t="shared" si="199"/>
        <v>0</v>
      </c>
      <c r="BF34" s="775">
        <f t="shared" si="14"/>
        <v>4088.9799999999996</v>
      </c>
      <c r="BG34" s="5458">
        <f t="shared" si="199"/>
        <v>0</v>
      </c>
      <c r="BH34" s="5458">
        <f t="shared" si="199"/>
        <v>0</v>
      </c>
      <c r="BI34" s="5458">
        <f t="shared" si="199"/>
        <v>0</v>
      </c>
      <c r="BJ34" s="5458">
        <f t="shared" si="199"/>
        <v>0</v>
      </c>
      <c r="BK34" s="5458">
        <f t="shared" si="199"/>
        <v>0</v>
      </c>
      <c r="BL34" s="5458">
        <f t="shared" si="199"/>
        <v>0</v>
      </c>
      <c r="BM34" s="5458">
        <f t="shared" si="199"/>
        <v>0</v>
      </c>
      <c r="BN34" s="5458">
        <f t="shared" si="199"/>
        <v>0</v>
      </c>
      <c r="BO34" s="5458">
        <f t="shared" si="199"/>
        <v>0</v>
      </c>
      <c r="BP34" s="26"/>
    </row>
    <row r="35" spans="1:69" x14ac:dyDescent="0.3">
      <c r="A35" s="92"/>
      <c r="B35" s="1009" t="s">
        <v>2363</v>
      </c>
      <c r="C35" s="156" t="s">
        <v>50</v>
      </c>
      <c r="D35" s="1185"/>
      <c r="E35" s="1118">
        <v>0</v>
      </c>
      <c r="F35" s="1118">
        <f>+F46+F58+F54</f>
        <v>0</v>
      </c>
      <c r="G35" s="1118"/>
      <c r="H35" s="1118">
        <f>+H46+H58+H54</f>
        <v>0</v>
      </c>
      <c r="I35" s="775">
        <f t="shared" si="177"/>
        <v>0</v>
      </c>
      <c r="J35" s="775">
        <f t="shared" si="0"/>
        <v>0</v>
      </c>
      <c r="K35" s="1118"/>
      <c r="L35" s="1118">
        <f>+L46+L58+L54</f>
        <v>3983.52</v>
      </c>
      <c r="M35" s="774">
        <f t="shared" ref="M35:M36" si="200">E35+G35+K35</f>
        <v>0</v>
      </c>
      <c r="N35" s="774">
        <f t="shared" si="1"/>
        <v>3983.52</v>
      </c>
      <c r="O35" s="1118">
        <v>0</v>
      </c>
      <c r="P35" s="1118">
        <f>+P46+P58+P54</f>
        <v>2025.24</v>
      </c>
      <c r="Q35" s="775">
        <f t="shared" si="180"/>
        <v>0</v>
      </c>
      <c r="R35" s="775">
        <f t="shared" si="2"/>
        <v>6008.76</v>
      </c>
      <c r="S35" s="1118"/>
      <c r="T35" s="1118">
        <f>+T46+T58+T54</f>
        <v>1895.72</v>
      </c>
      <c r="U35" s="775">
        <f t="shared" si="182"/>
        <v>0</v>
      </c>
      <c r="V35" s="775">
        <f t="shared" si="3"/>
        <v>7904.4800000000005</v>
      </c>
      <c r="W35" s="1118"/>
      <c r="X35" s="1118">
        <f>+X46+X58+X54</f>
        <v>960.38000000000011</v>
      </c>
      <c r="Y35" s="774">
        <f t="shared" si="184"/>
        <v>0</v>
      </c>
      <c r="Z35" s="774">
        <f t="shared" si="4"/>
        <v>4881.34</v>
      </c>
      <c r="AA35" s="460">
        <f>M35+Y35</f>
        <v>0</v>
      </c>
      <c r="AB35" s="460">
        <f t="shared" si="5"/>
        <v>8864.86</v>
      </c>
      <c r="AC35" s="1118"/>
      <c r="AD35" s="1118">
        <f>+AD46+AD58+AD54</f>
        <v>4620.18</v>
      </c>
      <c r="AE35" s="775">
        <f t="shared" si="186"/>
        <v>0</v>
      </c>
      <c r="AF35" s="775">
        <f t="shared" si="6"/>
        <v>13485.04</v>
      </c>
      <c r="AG35" s="1118">
        <v>0</v>
      </c>
      <c r="AH35" s="1118">
        <f>+AH46+AH58+AH54</f>
        <v>0</v>
      </c>
      <c r="AI35" s="775">
        <f t="shared" si="188"/>
        <v>0</v>
      </c>
      <c r="AJ35" s="775">
        <f t="shared" si="7"/>
        <v>13485.04</v>
      </c>
      <c r="AK35" s="1118">
        <v>0</v>
      </c>
      <c r="AL35" s="1118">
        <f>+AL46+AL58+AL54</f>
        <v>0</v>
      </c>
      <c r="AM35" s="774">
        <f t="shared" si="190"/>
        <v>0</v>
      </c>
      <c r="AN35" s="774">
        <f t="shared" si="8"/>
        <v>4620.18</v>
      </c>
      <c r="AO35" s="775">
        <f t="shared" ref="AO35:AO37" si="201">AI35+AK35</f>
        <v>0</v>
      </c>
      <c r="AP35" s="775">
        <f t="shared" si="9"/>
        <v>13485.04</v>
      </c>
      <c r="AQ35" s="1118">
        <v>0</v>
      </c>
      <c r="AR35" s="1118">
        <f>+AR46+AR58+AR54</f>
        <v>0</v>
      </c>
      <c r="AS35" s="775">
        <f t="shared" si="192"/>
        <v>0</v>
      </c>
      <c r="AT35" s="775">
        <f t="shared" si="10"/>
        <v>13485.04</v>
      </c>
      <c r="AU35" s="1118">
        <v>0</v>
      </c>
      <c r="AV35" s="1118">
        <f>+AV46+AV58+AV54</f>
        <v>0</v>
      </c>
      <c r="AW35" s="775">
        <f t="shared" si="194"/>
        <v>0</v>
      </c>
      <c r="AX35" s="775">
        <f t="shared" si="11"/>
        <v>13485.04</v>
      </c>
      <c r="AY35" s="1118"/>
      <c r="AZ35" s="1118">
        <f>+AZ46+AZ58+AZ54</f>
        <v>0</v>
      </c>
      <c r="BA35" s="774">
        <f t="shared" si="196"/>
        <v>0</v>
      </c>
      <c r="BB35" s="774">
        <f t="shared" si="12"/>
        <v>0</v>
      </c>
      <c r="BC35" s="460">
        <f t="shared" si="197"/>
        <v>0</v>
      </c>
      <c r="BD35" s="460">
        <f t="shared" si="13"/>
        <v>4620.18</v>
      </c>
      <c r="BE35" s="775">
        <f t="shared" si="198"/>
        <v>0</v>
      </c>
      <c r="BF35" s="775">
        <f t="shared" si="14"/>
        <v>13485.04</v>
      </c>
      <c r="BG35" s="26">
        <f t="shared" si="15"/>
        <v>0</v>
      </c>
      <c r="BH35" s="26">
        <f t="shared" si="16"/>
        <v>0</v>
      </c>
      <c r="BI35" s="26"/>
      <c r="BJ35" s="26">
        <f t="shared" si="17"/>
        <v>0</v>
      </c>
      <c r="BK35" s="26">
        <f t="shared" si="18"/>
        <v>0</v>
      </c>
      <c r="BP35" s="26"/>
    </row>
    <row r="36" spans="1:69" ht="21.15" customHeight="1" x14ac:dyDescent="0.3">
      <c r="A36" s="92"/>
      <c r="B36" s="1009" t="s">
        <v>2364</v>
      </c>
      <c r="C36" s="156" t="s">
        <v>50</v>
      </c>
      <c r="D36" s="1118">
        <f>+D46+D55</f>
        <v>24000</v>
      </c>
      <c r="E36" s="1118">
        <v>2000</v>
      </c>
      <c r="F36" s="1118">
        <f>+F39+F47+F55+F59</f>
        <v>1095.8900000000001</v>
      </c>
      <c r="G36" s="1118">
        <v>2000</v>
      </c>
      <c r="H36" s="1118">
        <f>+H39+H47+H55+H59</f>
        <v>2704.9500000000007</v>
      </c>
      <c r="I36" s="775">
        <f t="shared" si="177"/>
        <v>4000</v>
      </c>
      <c r="J36" s="775">
        <f t="shared" si="0"/>
        <v>3800.8400000000011</v>
      </c>
      <c r="K36" s="1118">
        <v>2000</v>
      </c>
      <c r="L36" s="1118">
        <f>+L39+L47+L55+L59</f>
        <v>2820.29</v>
      </c>
      <c r="M36" s="774">
        <f t="shared" si="200"/>
        <v>6000</v>
      </c>
      <c r="N36" s="774">
        <f t="shared" si="1"/>
        <v>6621.130000000001</v>
      </c>
      <c r="O36" s="1118">
        <v>2000</v>
      </c>
      <c r="P36" s="1118">
        <f>+P39+P47+P55+P59</f>
        <v>1840.1200000000001</v>
      </c>
      <c r="Q36" s="775">
        <f t="shared" si="180"/>
        <v>8000</v>
      </c>
      <c r="R36" s="775">
        <f t="shared" si="2"/>
        <v>8461.2500000000018</v>
      </c>
      <c r="S36" s="1118">
        <v>2000</v>
      </c>
      <c r="T36" s="1118">
        <f>+T39+T47+T55+T59</f>
        <v>4362.21</v>
      </c>
      <c r="U36" s="775">
        <f t="shared" si="182"/>
        <v>10000</v>
      </c>
      <c r="V36" s="775">
        <f t="shared" si="3"/>
        <v>12823.460000000003</v>
      </c>
      <c r="W36" s="1118">
        <v>2000</v>
      </c>
      <c r="X36" s="1118">
        <f>+X39+X47+X55+X59</f>
        <v>4222.21</v>
      </c>
      <c r="Y36" s="774">
        <f t="shared" si="184"/>
        <v>6000</v>
      </c>
      <c r="Z36" s="774">
        <f t="shared" si="4"/>
        <v>10424.540000000001</v>
      </c>
      <c r="AA36" s="460">
        <f>M36+Y36</f>
        <v>12000</v>
      </c>
      <c r="AB36" s="460">
        <f t="shared" si="5"/>
        <v>17045.670000000002</v>
      </c>
      <c r="AC36" s="1118">
        <v>2000</v>
      </c>
      <c r="AD36" s="1118">
        <f>+AD39+AD47+AD55+AD59</f>
        <v>601.74</v>
      </c>
      <c r="AE36" s="775">
        <f t="shared" si="186"/>
        <v>14000</v>
      </c>
      <c r="AF36" s="775">
        <f t="shared" si="6"/>
        <v>17647.410000000003</v>
      </c>
      <c r="AG36" s="1118">
        <v>2000</v>
      </c>
      <c r="AH36" s="1118">
        <f>+AH39+AH47+AH55+AH59</f>
        <v>0</v>
      </c>
      <c r="AI36" s="775">
        <f t="shared" si="188"/>
        <v>16000</v>
      </c>
      <c r="AJ36" s="775">
        <f t="shared" si="7"/>
        <v>17647.410000000003</v>
      </c>
      <c r="AK36" s="1118">
        <v>2000</v>
      </c>
      <c r="AL36" s="1118">
        <f>+AL39+AL47+AL55+AL59</f>
        <v>2959.9700000000003</v>
      </c>
      <c r="AM36" s="774">
        <f t="shared" si="190"/>
        <v>6000</v>
      </c>
      <c r="AN36" s="774">
        <f t="shared" si="8"/>
        <v>3561.71</v>
      </c>
      <c r="AO36" s="775">
        <f t="shared" si="201"/>
        <v>18000</v>
      </c>
      <c r="AP36" s="775">
        <f t="shared" si="9"/>
        <v>20607.380000000005</v>
      </c>
      <c r="AQ36" s="1118">
        <v>2000</v>
      </c>
      <c r="AR36" s="1118">
        <f>+AR39+AR47+AR55+AR59</f>
        <v>6204.6100000000006</v>
      </c>
      <c r="AS36" s="775">
        <f t="shared" si="192"/>
        <v>20000</v>
      </c>
      <c r="AT36" s="775">
        <f t="shared" si="10"/>
        <v>26811.990000000005</v>
      </c>
      <c r="AU36" s="1118">
        <v>2000</v>
      </c>
      <c r="AV36" s="1118">
        <f>+AV39+AV47+AV55+AV59</f>
        <v>3912.1100000000006</v>
      </c>
      <c r="AW36" s="775">
        <f t="shared" si="194"/>
        <v>22000</v>
      </c>
      <c r="AX36" s="775">
        <f t="shared" si="11"/>
        <v>30724.100000000006</v>
      </c>
      <c r="AY36" s="1118">
        <v>2000</v>
      </c>
      <c r="AZ36" s="1118">
        <f>+AZ39+AZ47+AZ55+AZ59</f>
        <v>3740.4</v>
      </c>
      <c r="BA36" s="774">
        <f t="shared" si="196"/>
        <v>6000</v>
      </c>
      <c r="BB36" s="774">
        <f t="shared" si="12"/>
        <v>13857.12</v>
      </c>
      <c r="BC36" s="460">
        <f t="shared" si="197"/>
        <v>12000</v>
      </c>
      <c r="BD36" s="460">
        <f t="shared" si="13"/>
        <v>17418.830000000002</v>
      </c>
      <c r="BE36" s="775">
        <f t="shared" si="198"/>
        <v>24000</v>
      </c>
      <c r="BF36" s="775">
        <f t="shared" si="14"/>
        <v>34464.500000000007</v>
      </c>
      <c r="BG36" s="26">
        <f t="shared" si="15"/>
        <v>0</v>
      </c>
      <c r="BH36" s="26">
        <f t="shared" si="16"/>
        <v>0</v>
      </c>
      <c r="BI36" s="26"/>
      <c r="BJ36" s="26">
        <f t="shared" si="17"/>
        <v>0</v>
      </c>
      <c r="BK36" s="26">
        <f t="shared" si="18"/>
        <v>0</v>
      </c>
      <c r="BP36" s="26"/>
    </row>
    <row r="37" spans="1:69" ht="21.15" customHeight="1" x14ac:dyDescent="0.3">
      <c r="A37" s="92"/>
      <c r="B37" s="3403" t="s">
        <v>2</v>
      </c>
      <c r="C37" s="156" t="s">
        <v>50</v>
      </c>
      <c r="D37" s="1720">
        <f>SUM(D31:D36)</f>
        <v>524798</v>
      </c>
      <c r="E37" s="452">
        <f t="shared" ref="E37:G37" si="202">SUM(E31:E36)</f>
        <v>48499.815368603398</v>
      </c>
      <c r="F37" s="452">
        <f t="shared" ref="F37:H37" si="203">SUM(F31:F36)</f>
        <v>38424.29</v>
      </c>
      <c r="G37" s="452">
        <f t="shared" si="202"/>
        <v>48499.576671657102</v>
      </c>
      <c r="H37" s="452">
        <f t="shared" si="203"/>
        <v>53035.11</v>
      </c>
      <c r="I37" s="371">
        <f t="shared" si="177"/>
        <v>96999.3920402605</v>
      </c>
      <c r="J37" s="775">
        <f t="shared" si="0"/>
        <v>91459.4</v>
      </c>
      <c r="K37" s="452">
        <f t="shared" ref="K37" si="204">SUM(K31:K36)</f>
        <v>48000.110883115201</v>
      </c>
      <c r="L37" s="452">
        <f t="shared" ref="L37" si="205">SUM(L31:L36)</f>
        <v>51100.01999999999</v>
      </c>
      <c r="M37" s="373">
        <f>E37+G37+K37</f>
        <v>144999.50292337569</v>
      </c>
      <c r="N37" s="774">
        <f t="shared" si="1"/>
        <v>142559.41999999998</v>
      </c>
      <c r="O37" s="452">
        <f t="shared" ref="O37" si="206">SUM(O31:O36)</f>
        <v>43500.141355320899</v>
      </c>
      <c r="P37" s="452">
        <f t="shared" ref="P37" si="207">SUM(P31:P36)</f>
        <v>58059.210000000006</v>
      </c>
      <c r="Q37" s="371">
        <f t="shared" si="180"/>
        <v>188499.64427869659</v>
      </c>
      <c r="R37" s="775">
        <f t="shared" si="2"/>
        <v>200618.63</v>
      </c>
      <c r="S37" s="452">
        <f t="shared" ref="S37:T37" si="208">SUM(S31:S36)</f>
        <v>43500.141355320899</v>
      </c>
      <c r="T37" s="452">
        <f t="shared" si="208"/>
        <v>69976.960000000006</v>
      </c>
      <c r="U37" s="371">
        <f t="shared" si="182"/>
        <v>231999.78563401749</v>
      </c>
      <c r="V37" s="775">
        <f t="shared" si="3"/>
        <v>270595.59000000003</v>
      </c>
      <c r="W37" s="452">
        <f t="shared" ref="W37:X37" si="209">SUM(W31:W36)</f>
        <v>15300.0147648532</v>
      </c>
      <c r="X37" s="452">
        <f t="shared" si="209"/>
        <v>55600.530000000006</v>
      </c>
      <c r="Y37" s="373">
        <f>O37+S37+W37</f>
        <v>102300.297475495</v>
      </c>
      <c r="Z37" s="774">
        <f t="shared" si="4"/>
        <v>183636.7</v>
      </c>
      <c r="AA37" s="539">
        <f>M37+Y37</f>
        <v>247299.80039887069</v>
      </c>
      <c r="AB37" s="460">
        <f t="shared" si="5"/>
        <v>326196.12</v>
      </c>
      <c r="AC37" s="452">
        <f t="shared" ref="AC37" si="210">SUM(AC31:AC36)</f>
        <v>48999.528159756301</v>
      </c>
      <c r="AD37" s="452">
        <f t="shared" ref="AD37" si="211">SUM(AD31:AD36)</f>
        <v>59301.279999999984</v>
      </c>
      <c r="AE37" s="371">
        <f t="shared" si="186"/>
        <v>296299.32855862699</v>
      </c>
      <c r="AF37" s="775">
        <f t="shared" si="6"/>
        <v>385497.39999999997</v>
      </c>
      <c r="AG37" s="452">
        <f t="shared" ref="AG37:AH37" si="212">SUM(AG31:AG36)</f>
        <v>45499.588455674595</v>
      </c>
      <c r="AH37" s="452">
        <f t="shared" si="212"/>
        <v>63043.03</v>
      </c>
      <c r="AI37" s="371">
        <f t="shared" si="188"/>
        <v>341798.91701430158</v>
      </c>
      <c r="AJ37" s="775">
        <f t="shared" si="7"/>
        <v>448540.42999999993</v>
      </c>
      <c r="AK37" s="452">
        <f t="shared" ref="AK37:AL37" si="213">SUM(AK31:AK36)</f>
        <v>46000.054244216401</v>
      </c>
      <c r="AL37" s="452">
        <f t="shared" si="213"/>
        <v>54506.650000000009</v>
      </c>
      <c r="AM37" s="373">
        <f>AC37+AG37+AK37</f>
        <v>140499.17085964727</v>
      </c>
      <c r="AN37" s="774">
        <f t="shared" si="8"/>
        <v>176850.96</v>
      </c>
      <c r="AO37" s="371">
        <f t="shared" si="201"/>
        <v>387798.971258518</v>
      </c>
      <c r="AP37" s="775">
        <f t="shared" si="9"/>
        <v>503047.07999999996</v>
      </c>
      <c r="AQ37" s="452">
        <f t="shared" ref="AQ37" si="214">SUM(AQ31:AQ36)</f>
        <v>48499.664678463945</v>
      </c>
      <c r="AR37" s="452">
        <f t="shared" ref="AR37" si="215">SUM(AR31:AR36)</f>
        <v>42005.04</v>
      </c>
      <c r="AS37" s="371">
        <f t="shared" si="192"/>
        <v>436298.63593698194</v>
      </c>
      <c r="AT37" s="775">
        <f t="shared" si="10"/>
        <v>545052.12</v>
      </c>
      <c r="AU37" s="452">
        <f t="shared" ref="AU37:AV37" si="216">SUM(AU31:AU36)</f>
        <v>41500.010429203743</v>
      </c>
      <c r="AV37" s="452">
        <f t="shared" si="216"/>
        <v>18645.060000000001</v>
      </c>
      <c r="AW37" s="371">
        <f t="shared" si="194"/>
        <v>477798.64636618568</v>
      </c>
      <c r="AX37" s="775">
        <f t="shared" si="11"/>
        <v>563697.18000000005</v>
      </c>
      <c r="AY37" s="452">
        <f t="shared" ref="AY37:AZ37" si="217">SUM(AY31:AY36)</f>
        <v>46999.690762923987</v>
      </c>
      <c r="AZ37" s="452">
        <f t="shared" si="217"/>
        <v>42863.759999999995</v>
      </c>
      <c r="BA37" s="373">
        <f>AQ37+AU37+AY37</f>
        <v>136999.36587059166</v>
      </c>
      <c r="BB37" s="373">
        <f t="shared" si="12"/>
        <v>103513.86</v>
      </c>
      <c r="BC37" s="539">
        <f>AM37+BA37</f>
        <v>277498.53673023893</v>
      </c>
      <c r="BD37" s="539">
        <f t="shared" si="13"/>
        <v>280364.82</v>
      </c>
      <c r="BE37" s="371">
        <f t="shared" si="198"/>
        <v>524798.33712910966</v>
      </c>
      <c r="BF37" s="371">
        <f t="shared" si="14"/>
        <v>606560.94000000006</v>
      </c>
      <c r="BG37" s="26">
        <f t="shared" si="15"/>
        <v>0</v>
      </c>
      <c r="BH37" s="26">
        <f t="shared" si="16"/>
        <v>0</v>
      </c>
      <c r="BI37" s="26"/>
      <c r="BJ37" s="26">
        <f t="shared" si="17"/>
        <v>0</v>
      </c>
      <c r="BK37" s="26">
        <f t="shared" si="18"/>
        <v>0</v>
      </c>
      <c r="BP37" s="26"/>
      <c r="BQ37" s="26">
        <f>+BF37+BF29+BF21+BF13</f>
        <v>2573784.8590000002</v>
      </c>
    </row>
    <row r="38" spans="1:69" ht="21.15" customHeight="1" x14ac:dyDescent="0.3">
      <c r="A38" s="92"/>
      <c r="B38" s="3401" t="s">
        <v>2342</v>
      </c>
      <c r="C38" s="5462"/>
      <c r="D38" s="5477"/>
      <c r="E38" s="5463"/>
      <c r="F38" s="5463"/>
      <c r="G38" s="5463"/>
      <c r="H38" s="5463"/>
      <c r="I38" s="5478"/>
      <c r="J38" s="775">
        <f t="shared" si="0"/>
        <v>0</v>
      </c>
      <c r="K38" s="5463"/>
      <c r="L38" s="5463"/>
      <c r="M38" s="5464"/>
      <c r="N38" s="774">
        <f t="shared" si="1"/>
        <v>0</v>
      </c>
      <c r="O38" s="5463"/>
      <c r="P38" s="5463"/>
      <c r="Q38" s="5478"/>
      <c r="R38" s="775">
        <f t="shared" si="2"/>
        <v>0</v>
      </c>
      <c r="S38" s="5463"/>
      <c r="T38" s="5463"/>
      <c r="U38" s="5478"/>
      <c r="V38" s="775">
        <f t="shared" si="3"/>
        <v>0</v>
      </c>
      <c r="W38" s="5463"/>
      <c r="X38" s="5463"/>
      <c r="Y38" s="5464"/>
      <c r="Z38" s="774">
        <f t="shared" si="4"/>
        <v>0</v>
      </c>
      <c r="AA38" s="5476"/>
      <c r="AB38" s="460">
        <f t="shared" si="5"/>
        <v>0</v>
      </c>
      <c r="AC38" s="5463"/>
      <c r="AD38" s="5463"/>
      <c r="AE38" s="5478"/>
      <c r="AF38" s="775">
        <f t="shared" si="6"/>
        <v>0</v>
      </c>
      <c r="AG38" s="5463"/>
      <c r="AH38" s="5463"/>
      <c r="AI38" s="5478"/>
      <c r="AJ38" s="775">
        <f t="shared" si="7"/>
        <v>0</v>
      </c>
      <c r="AK38" s="5463"/>
      <c r="AL38" s="5463"/>
      <c r="AM38" s="5464"/>
      <c r="AN38" s="774">
        <f t="shared" si="8"/>
        <v>0</v>
      </c>
      <c r="AO38" s="5478"/>
      <c r="AP38" s="775">
        <f t="shared" si="9"/>
        <v>0</v>
      </c>
      <c r="AQ38" s="5463"/>
      <c r="AR38" s="5463"/>
      <c r="AS38" s="5478"/>
      <c r="AT38" s="775">
        <f t="shared" si="10"/>
        <v>0</v>
      </c>
      <c r="AU38" s="5463"/>
      <c r="AV38" s="5463"/>
      <c r="AW38" s="5478"/>
      <c r="AX38" s="775">
        <f t="shared" si="11"/>
        <v>0</v>
      </c>
      <c r="AY38" s="5463"/>
      <c r="AZ38" s="5463"/>
      <c r="BA38" s="5464"/>
      <c r="BB38" s="774">
        <f t="shared" si="12"/>
        <v>0</v>
      </c>
      <c r="BC38" s="5476"/>
      <c r="BD38" s="460">
        <f t="shared" si="13"/>
        <v>0</v>
      </c>
      <c r="BE38" s="5478"/>
      <c r="BF38" s="775">
        <f t="shared" si="14"/>
        <v>0</v>
      </c>
      <c r="BG38" s="26">
        <f t="shared" si="15"/>
        <v>0</v>
      </c>
      <c r="BH38" s="26">
        <f t="shared" si="16"/>
        <v>0</v>
      </c>
      <c r="BI38" s="26"/>
      <c r="BJ38" s="26">
        <f t="shared" si="17"/>
        <v>0</v>
      </c>
      <c r="BK38" s="26">
        <f t="shared" si="18"/>
        <v>0</v>
      </c>
      <c r="BP38" s="26"/>
      <c r="BQ38" s="26"/>
    </row>
    <row r="39" spans="1:69" ht="21.15" customHeight="1" x14ac:dyDescent="0.3">
      <c r="A39" s="92"/>
      <c r="B39" s="1009" t="s">
        <v>2364</v>
      </c>
      <c r="C39" s="5462" t="s">
        <v>50</v>
      </c>
      <c r="D39" s="5477"/>
      <c r="E39" s="5463"/>
      <c r="F39" s="5463">
        <v>0</v>
      </c>
      <c r="G39" s="5463"/>
      <c r="H39" s="5463">
        <v>0</v>
      </c>
      <c r="I39" s="5478"/>
      <c r="J39" s="775">
        <f t="shared" si="0"/>
        <v>0</v>
      </c>
      <c r="K39" s="5463"/>
      <c r="L39" s="5463">
        <v>0</v>
      </c>
      <c r="M39" s="5464"/>
      <c r="N39" s="774">
        <f t="shared" si="1"/>
        <v>0</v>
      </c>
      <c r="O39" s="5463"/>
      <c r="P39" s="5463">
        <v>0</v>
      </c>
      <c r="Q39" s="5478"/>
      <c r="R39" s="775">
        <f t="shared" si="2"/>
        <v>0</v>
      </c>
      <c r="S39" s="5463"/>
      <c r="T39" s="5463">
        <v>0</v>
      </c>
      <c r="U39" s="5478"/>
      <c r="V39" s="775">
        <f t="shared" si="3"/>
        <v>0</v>
      </c>
      <c r="W39" s="5463"/>
      <c r="X39" s="5463">
        <v>0</v>
      </c>
      <c r="Y39" s="5464"/>
      <c r="Z39" s="774">
        <f t="shared" si="4"/>
        <v>0</v>
      </c>
      <c r="AA39" s="5476"/>
      <c r="AB39" s="460">
        <f t="shared" si="5"/>
        <v>0</v>
      </c>
      <c r="AC39" s="5463"/>
      <c r="AD39" s="5463">
        <v>0</v>
      </c>
      <c r="AE39" s="5478"/>
      <c r="AF39" s="775">
        <f t="shared" si="6"/>
        <v>0</v>
      </c>
      <c r="AG39" s="5463"/>
      <c r="AH39" s="5463">
        <v>0</v>
      </c>
      <c r="AI39" s="5478"/>
      <c r="AJ39" s="775">
        <f t="shared" si="7"/>
        <v>0</v>
      </c>
      <c r="AK39" s="5463"/>
      <c r="AL39" s="5463">
        <v>0</v>
      </c>
      <c r="AM39" s="5464"/>
      <c r="AN39" s="774">
        <f t="shared" si="8"/>
        <v>0</v>
      </c>
      <c r="AO39" s="5478"/>
      <c r="AP39" s="775">
        <f t="shared" si="9"/>
        <v>0</v>
      </c>
      <c r="AQ39" s="5463"/>
      <c r="AR39" s="5463">
        <v>0</v>
      </c>
      <c r="AS39" s="5478"/>
      <c r="AT39" s="775">
        <f t="shared" si="10"/>
        <v>0</v>
      </c>
      <c r="AU39" s="5463"/>
      <c r="AV39" s="5463">
        <v>0</v>
      </c>
      <c r="AW39" s="5478"/>
      <c r="AX39" s="775">
        <f t="shared" si="11"/>
        <v>0</v>
      </c>
      <c r="AY39" s="5463"/>
      <c r="AZ39" s="1118">
        <v>186.41</v>
      </c>
      <c r="BA39" s="5464"/>
      <c r="BB39" s="774">
        <f t="shared" si="12"/>
        <v>186.41</v>
      </c>
      <c r="BC39" s="5712"/>
      <c r="BD39" s="460">
        <f t="shared" si="13"/>
        <v>186.41</v>
      </c>
      <c r="BE39" s="5460"/>
      <c r="BF39" s="775">
        <f t="shared" si="14"/>
        <v>186.41</v>
      </c>
      <c r="BG39" s="26">
        <f t="shared" si="15"/>
        <v>0</v>
      </c>
      <c r="BH39" s="26">
        <f t="shared" si="16"/>
        <v>0</v>
      </c>
      <c r="BI39" s="26"/>
      <c r="BJ39" s="26">
        <f t="shared" si="17"/>
        <v>0</v>
      </c>
      <c r="BK39" s="26">
        <f t="shared" si="18"/>
        <v>0</v>
      </c>
      <c r="BP39" s="26"/>
    </row>
    <row r="40" spans="1:69" s="32" customFormat="1" ht="21.15" customHeight="1" x14ac:dyDescent="0.3">
      <c r="A40" s="833"/>
      <c r="B40" s="3403" t="s">
        <v>2</v>
      </c>
      <c r="C40" s="5462" t="s">
        <v>50</v>
      </c>
      <c r="D40" s="5477"/>
      <c r="E40" s="5463"/>
      <c r="F40" s="5463">
        <v>0</v>
      </c>
      <c r="G40" s="5463"/>
      <c r="H40" s="5463">
        <v>0</v>
      </c>
      <c r="I40" s="5478"/>
      <c r="J40" s="371">
        <f t="shared" si="0"/>
        <v>0</v>
      </c>
      <c r="K40" s="5463"/>
      <c r="L40" s="5463">
        <v>0</v>
      </c>
      <c r="M40" s="5464"/>
      <c r="N40" s="373">
        <f t="shared" si="1"/>
        <v>0</v>
      </c>
      <c r="O40" s="5463"/>
      <c r="P40" s="5463">
        <v>0</v>
      </c>
      <c r="Q40" s="5478"/>
      <c r="R40" s="371">
        <f t="shared" si="2"/>
        <v>0</v>
      </c>
      <c r="S40" s="5463"/>
      <c r="T40" s="5463">
        <v>0</v>
      </c>
      <c r="U40" s="5478"/>
      <c r="V40" s="371">
        <f t="shared" si="3"/>
        <v>0</v>
      </c>
      <c r="W40" s="5463"/>
      <c r="X40" s="5463">
        <v>0</v>
      </c>
      <c r="Y40" s="5464"/>
      <c r="Z40" s="373">
        <f t="shared" si="4"/>
        <v>0</v>
      </c>
      <c r="AA40" s="5476"/>
      <c r="AB40" s="539">
        <f t="shared" si="5"/>
        <v>0</v>
      </c>
      <c r="AC40" s="5463"/>
      <c r="AD40" s="5463">
        <v>0</v>
      </c>
      <c r="AE40" s="5478"/>
      <c r="AF40" s="371">
        <f t="shared" si="6"/>
        <v>0</v>
      </c>
      <c r="AG40" s="5463"/>
      <c r="AH40" s="5463">
        <v>0</v>
      </c>
      <c r="AI40" s="5478"/>
      <c r="AJ40" s="371">
        <f t="shared" si="7"/>
        <v>0</v>
      </c>
      <c r="AK40" s="5463"/>
      <c r="AL40" s="5463">
        <v>0</v>
      </c>
      <c r="AM40" s="5464"/>
      <c r="AN40" s="373">
        <f t="shared" si="8"/>
        <v>0</v>
      </c>
      <c r="AO40" s="5478"/>
      <c r="AP40" s="371">
        <f t="shared" si="9"/>
        <v>0</v>
      </c>
      <c r="AQ40" s="5463"/>
      <c r="AR40" s="5463">
        <v>0</v>
      </c>
      <c r="AS40" s="5478"/>
      <c r="AT40" s="371">
        <f t="shared" si="10"/>
        <v>0</v>
      </c>
      <c r="AU40" s="5463"/>
      <c r="AV40" s="5463">
        <v>0</v>
      </c>
      <c r="AW40" s="5478"/>
      <c r="AX40" s="371">
        <f t="shared" si="11"/>
        <v>0</v>
      </c>
      <c r="AY40" s="5463"/>
      <c r="AZ40" s="452">
        <f>AZ39</f>
        <v>186.41</v>
      </c>
      <c r="BA40" s="5464"/>
      <c r="BB40" s="373">
        <f t="shared" si="12"/>
        <v>186.41</v>
      </c>
      <c r="BC40" s="5476"/>
      <c r="BD40" s="539">
        <f t="shared" si="13"/>
        <v>186.41</v>
      </c>
      <c r="BE40" s="5478"/>
      <c r="BF40" s="371">
        <f t="shared" si="14"/>
        <v>186.41</v>
      </c>
      <c r="BG40" s="5764">
        <f t="shared" si="15"/>
        <v>0</v>
      </c>
      <c r="BH40" s="5764">
        <f t="shared" si="16"/>
        <v>0</v>
      </c>
      <c r="BI40" s="5764"/>
      <c r="BJ40" s="5764">
        <f t="shared" si="17"/>
        <v>0</v>
      </c>
      <c r="BK40" s="5764">
        <f t="shared" si="18"/>
        <v>0</v>
      </c>
      <c r="BP40" s="5764"/>
    </row>
    <row r="41" spans="1:69" x14ac:dyDescent="0.3">
      <c r="A41" s="151"/>
      <c r="B41" s="3401" t="s">
        <v>1373</v>
      </c>
      <c r="C41" s="5767"/>
      <c r="D41" s="3405"/>
      <c r="E41" s="3404"/>
      <c r="F41" s="3404"/>
      <c r="G41" s="3404"/>
      <c r="H41" s="3404"/>
      <c r="I41" s="5690"/>
      <c r="J41" s="775">
        <f t="shared" si="0"/>
        <v>0</v>
      </c>
      <c r="K41" s="3404"/>
      <c r="L41" s="3404"/>
      <c r="M41" s="5701"/>
      <c r="N41" s="774">
        <f t="shared" si="1"/>
        <v>0</v>
      </c>
      <c r="O41" s="3404"/>
      <c r="P41" s="3404"/>
      <c r="Q41" s="5690"/>
      <c r="R41" s="775">
        <f t="shared" si="2"/>
        <v>0</v>
      </c>
      <c r="S41" s="3404"/>
      <c r="T41" s="3404"/>
      <c r="U41" s="5690"/>
      <c r="V41" s="775">
        <f t="shared" si="3"/>
        <v>0</v>
      </c>
      <c r="W41" s="3404"/>
      <c r="X41" s="3404"/>
      <c r="Y41" s="5701"/>
      <c r="Z41" s="774">
        <f t="shared" si="4"/>
        <v>0</v>
      </c>
      <c r="AA41" s="5711"/>
      <c r="AB41" s="460">
        <f t="shared" si="5"/>
        <v>0</v>
      </c>
      <c r="AC41" s="3404"/>
      <c r="AD41" s="3404"/>
      <c r="AE41" s="5690"/>
      <c r="AF41" s="775">
        <f t="shared" si="6"/>
        <v>0</v>
      </c>
      <c r="AG41" s="3404"/>
      <c r="AH41" s="3404"/>
      <c r="AI41" s="5690"/>
      <c r="AJ41" s="775">
        <f t="shared" si="7"/>
        <v>0</v>
      </c>
      <c r="AK41" s="3404"/>
      <c r="AL41" s="3404"/>
      <c r="AM41" s="5701"/>
      <c r="AN41" s="774">
        <f t="shared" si="8"/>
        <v>0</v>
      </c>
      <c r="AO41" s="5690"/>
      <c r="AP41" s="775">
        <f t="shared" si="9"/>
        <v>0</v>
      </c>
      <c r="AQ41" s="3404"/>
      <c r="AR41" s="3404"/>
      <c r="AS41" s="5690"/>
      <c r="AT41" s="775">
        <f t="shared" si="10"/>
        <v>0</v>
      </c>
      <c r="AU41" s="3404"/>
      <c r="AV41" s="3404"/>
      <c r="AW41" s="5690"/>
      <c r="AX41" s="775">
        <f t="shared" si="11"/>
        <v>0</v>
      </c>
      <c r="AY41" s="3404"/>
      <c r="AZ41" s="3404"/>
      <c r="BA41" s="5701"/>
      <c r="BB41" s="774">
        <f t="shared" si="12"/>
        <v>0</v>
      </c>
      <c r="BC41" s="5711"/>
      <c r="BD41" s="460">
        <f t="shared" si="13"/>
        <v>0</v>
      </c>
      <c r="BE41" s="5690"/>
      <c r="BF41" s="775">
        <f t="shared" si="14"/>
        <v>0</v>
      </c>
      <c r="BG41" s="26">
        <f t="shared" si="15"/>
        <v>0</v>
      </c>
      <c r="BH41" s="26">
        <f t="shared" si="16"/>
        <v>0</v>
      </c>
      <c r="BI41" s="26"/>
      <c r="BJ41" s="26">
        <f t="shared" si="17"/>
        <v>0</v>
      </c>
      <c r="BK41" s="26">
        <f t="shared" si="18"/>
        <v>0</v>
      </c>
      <c r="BP41" s="26"/>
    </row>
    <row r="42" spans="1:69" x14ac:dyDescent="0.3">
      <c r="A42" s="92"/>
      <c r="B42" s="1009" t="s">
        <v>75</v>
      </c>
      <c r="C42" s="156" t="s">
        <v>50</v>
      </c>
      <c r="D42" s="6124">
        <v>485798</v>
      </c>
      <c r="E42" s="6124"/>
      <c r="F42" s="1118">
        <v>26899.1</v>
      </c>
      <c r="G42" s="6124"/>
      <c r="H42" s="1118">
        <v>35407.299999999996</v>
      </c>
      <c r="I42" s="6127"/>
      <c r="J42" s="775">
        <f t="shared" si="0"/>
        <v>62306.399999999994</v>
      </c>
      <c r="K42" s="6124"/>
      <c r="L42" s="1118">
        <v>36163.659999999996</v>
      </c>
      <c r="M42" s="5898"/>
      <c r="N42" s="774">
        <f t="shared" si="1"/>
        <v>98470.06</v>
      </c>
      <c r="O42" s="6124"/>
      <c r="P42" s="1118">
        <v>46817.030000000006</v>
      </c>
      <c r="Q42" s="6127"/>
      <c r="R42" s="775">
        <f t="shared" si="2"/>
        <v>145287.09</v>
      </c>
      <c r="S42" s="6124"/>
      <c r="T42" s="1118">
        <v>48692.29</v>
      </c>
      <c r="U42" s="6127"/>
      <c r="V42" s="775">
        <f t="shared" si="3"/>
        <v>193979.38</v>
      </c>
      <c r="W42" s="6124"/>
      <c r="X42" s="1118">
        <v>36357.230000000003</v>
      </c>
      <c r="Y42" s="5898"/>
      <c r="Z42" s="774">
        <f t="shared" si="4"/>
        <v>131866.55000000002</v>
      </c>
      <c r="AA42" s="5919"/>
      <c r="AB42" s="460">
        <f t="shared" si="5"/>
        <v>230336.61000000002</v>
      </c>
      <c r="AC42" s="6124"/>
      <c r="AD42" s="1118">
        <v>39248.31</v>
      </c>
      <c r="AE42" s="6127"/>
      <c r="AF42" s="775">
        <f t="shared" si="6"/>
        <v>269584.92000000004</v>
      </c>
      <c r="AG42" s="6124"/>
      <c r="AH42" s="1118">
        <v>46615.39</v>
      </c>
      <c r="AI42" s="6128"/>
      <c r="AJ42" s="775">
        <f t="shared" si="7"/>
        <v>316200.31000000006</v>
      </c>
      <c r="AK42" s="6124"/>
      <c r="AL42" s="1118">
        <v>37711.500000000007</v>
      </c>
      <c r="AM42" s="5898"/>
      <c r="AN42" s="774">
        <f t="shared" si="8"/>
        <v>123575.20000000001</v>
      </c>
      <c r="AO42" s="6127"/>
      <c r="AP42" s="775">
        <f t="shared" si="9"/>
        <v>353911.81000000006</v>
      </c>
      <c r="AQ42" s="6124"/>
      <c r="AR42" s="1118">
        <v>25134.53</v>
      </c>
      <c r="AS42" s="6128"/>
      <c r="AT42" s="775">
        <f t="shared" si="10"/>
        <v>379046.34000000008</v>
      </c>
      <c r="AU42" s="6124"/>
      <c r="AV42" s="1118">
        <v>6406.9800000000014</v>
      </c>
      <c r="AW42" s="6128"/>
      <c r="AX42" s="775">
        <f t="shared" si="11"/>
        <v>385453.32000000007</v>
      </c>
      <c r="AY42" s="6124"/>
      <c r="AZ42" s="1118">
        <v>28100.849999999995</v>
      </c>
      <c r="BA42" s="5898"/>
      <c r="BB42" s="774">
        <f t="shared" si="12"/>
        <v>59642.36</v>
      </c>
      <c r="BC42" s="5919"/>
      <c r="BD42" s="460">
        <f t="shared" si="13"/>
        <v>183217.56</v>
      </c>
      <c r="BE42" s="6125"/>
      <c r="BF42" s="775">
        <f t="shared" si="14"/>
        <v>413554.17000000004</v>
      </c>
      <c r="BG42" s="26">
        <f t="shared" si="15"/>
        <v>0</v>
      </c>
      <c r="BH42" s="26">
        <f t="shared" si="16"/>
        <v>0</v>
      </c>
      <c r="BI42" s="26"/>
      <c r="BJ42" s="26">
        <f t="shared" si="17"/>
        <v>0</v>
      </c>
      <c r="BK42" s="26">
        <f t="shared" si="18"/>
        <v>0</v>
      </c>
      <c r="BP42" s="26"/>
    </row>
    <row r="43" spans="1:69" x14ac:dyDescent="0.3">
      <c r="A43" s="92"/>
      <c r="B43" s="1009" t="s">
        <v>76</v>
      </c>
      <c r="C43" s="156" t="s">
        <v>50</v>
      </c>
      <c r="D43" s="6124"/>
      <c r="E43" s="6124"/>
      <c r="F43" s="1118">
        <v>5959.1999999999989</v>
      </c>
      <c r="G43" s="6124"/>
      <c r="H43" s="1118">
        <v>10028.82</v>
      </c>
      <c r="I43" s="6127"/>
      <c r="J43" s="775">
        <f t="shared" si="0"/>
        <v>15988.019999999999</v>
      </c>
      <c r="K43" s="6124"/>
      <c r="L43" s="1118">
        <v>7884.6599999999962</v>
      </c>
      <c r="M43" s="5898"/>
      <c r="N43" s="774">
        <f t="shared" si="1"/>
        <v>23872.679999999993</v>
      </c>
      <c r="O43" s="6124"/>
      <c r="P43" s="1118">
        <v>6995.6200000000026</v>
      </c>
      <c r="Q43" s="6127"/>
      <c r="R43" s="775">
        <f t="shared" si="2"/>
        <v>30868.299999999996</v>
      </c>
      <c r="S43" s="6124"/>
      <c r="T43" s="1118">
        <v>9643.529999999997</v>
      </c>
      <c r="U43" s="6127"/>
      <c r="V43" s="775">
        <f t="shared" si="3"/>
        <v>40511.829999999994</v>
      </c>
      <c r="W43" s="6124"/>
      <c r="X43" s="1118">
        <v>13649.230000000001</v>
      </c>
      <c r="Y43" s="5898"/>
      <c r="Z43" s="774">
        <f t="shared" si="4"/>
        <v>30288.380000000005</v>
      </c>
      <c r="AA43" s="5919"/>
      <c r="AB43" s="460">
        <f t="shared" si="5"/>
        <v>54161.06</v>
      </c>
      <c r="AC43" s="6124"/>
      <c r="AD43" s="1118">
        <v>4011.2299999999991</v>
      </c>
      <c r="AE43" s="6127"/>
      <c r="AF43" s="775">
        <f t="shared" si="6"/>
        <v>58172.289999999994</v>
      </c>
      <c r="AG43" s="6124"/>
      <c r="AH43" s="1118">
        <v>11896.339999999998</v>
      </c>
      <c r="AI43" s="6126"/>
      <c r="AJ43" s="775">
        <f t="shared" si="7"/>
        <v>70068.62999999999</v>
      </c>
      <c r="AK43" s="6124"/>
      <c r="AL43" s="1118">
        <v>11371.260000000002</v>
      </c>
      <c r="AM43" s="5898"/>
      <c r="AN43" s="774">
        <f t="shared" si="8"/>
        <v>27278.83</v>
      </c>
      <c r="AO43" s="6127"/>
      <c r="AP43" s="775">
        <f t="shared" si="9"/>
        <v>81439.889999999985</v>
      </c>
      <c r="AQ43" s="6124"/>
      <c r="AR43" s="1118">
        <v>6009.3</v>
      </c>
      <c r="AS43" s="6126"/>
      <c r="AT43" s="775">
        <f t="shared" si="10"/>
        <v>87449.189999999988</v>
      </c>
      <c r="AU43" s="6124"/>
      <c r="AV43" s="1118">
        <v>4829.25</v>
      </c>
      <c r="AW43" s="6126"/>
      <c r="AX43" s="775">
        <f t="shared" si="11"/>
        <v>92278.439999999988</v>
      </c>
      <c r="AY43" s="6124"/>
      <c r="AZ43" s="1118">
        <v>7533.2500000000027</v>
      </c>
      <c r="BA43" s="5898"/>
      <c r="BB43" s="774">
        <f t="shared" si="12"/>
        <v>18371.800000000003</v>
      </c>
      <c r="BC43" s="5919"/>
      <c r="BD43" s="460">
        <f t="shared" si="13"/>
        <v>45650.630000000005</v>
      </c>
      <c r="BE43" s="6126"/>
      <c r="BF43" s="775">
        <f t="shared" si="14"/>
        <v>99811.689999999988</v>
      </c>
      <c r="BG43" s="26">
        <f t="shared" si="15"/>
        <v>0</v>
      </c>
      <c r="BH43" s="26">
        <f t="shared" si="16"/>
        <v>0</v>
      </c>
      <c r="BI43" s="26"/>
      <c r="BJ43" s="26">
        <f t="shared" si="17"/>
        <v>0</v>
      </c>
      <c r="BK43" s="26">
        <f t="shared" si="18"/>
        <v>0</v>
      </c>
      <c r="BP43" s="26"/>
    </row>
    <row r="44" spans="1:69" x14ac:dyDescent="0.3">
      <c r="A44" s="92"/>
      <c r="B44" s="1009" t="s">
        <v>137</v>
      </c>
      <c r="C44" s="156" t="s">
        <v>50</v>
      </c>
      <c r="D44" s="1118">
        <v>15000.000000000002</v>
      </c>
      <c r="E44" s="1118"/>
      <c r="F44" s="1118">
        <v>4343.1200000000008</v>
      </c>
      <c r="G44" s="1118"/>
      <c r="H44" s="1118">
        <v>2814.6399999999994</v>
      </c>
      <c r="I44" s="775"/>
      <c r="J44" s="775">
        <f t="shared" si="0"/>
        <v>7157.76</v>
      </c>
      <c r="K44" s="1118"/>
      <c r="L44" s="1118">
        <v>0</v>
      </c>
      <c r="M44" s="774"/>
      <c r="N44" s="774">
        <f t="shared" si="1"/>
        <v>7157.76</v>
      </c>
      <c r="O44" s="1118"/>
      <c r="P44" s="1118">
        <v>0</v>
      </c>
      <c r="Q44" s="775"/>
      <c r="R44" s="775">
        <f t="shared" si="2"/>
        <v>7157.76</v>
      </c>
      <c r="S44" s="1118"/>
      <c r="T44" s="1118">
        <v>0</v>
      </c>
      <c r="U44" s="775"/>
      <c r="V44" s="775">
        <f t="shared" si="3"/>
        <v>7157.76</v>
      </c>
      <c r="W44" s="1118"/>
      <c r="X44" s="1118">
        <v>0</v>
      </c>
      <c r="Y44" s="774"/>
      <c r="Z44" s="774">
        <f t="shared" si="4"/>
        <v>0</v>
      </c>
      <c r="AA44" s="460"/>
      <c r="AB44" s="460">
        <f t="shared" si="5"/>
        <v>7157.76</v>
      </c>
      <c r="AC44" s="1118"/>
      <c r="AD44" s="1118">
        <v>2836.7</v>
      </c>
      <c r="AE44" s="775"/>
      <c r="AF44" s="775">
        <f t="shared" si="6"/>
        <v>9994.4599999999991</v>
      </c>
      <c r="AG44" s="1118"/>
      <c r="AH44" s="1118">
        <v>2824.64</v>
      </c>
      <c r="AI44" s="775"/>
      <c r="AJ44" s="775">
        <f t="shared" si="7"/>
        <v>12819.099999999999</v>
      </c>
      <c r="AK44" s="1118"/>
      <c r="AL44" s="1118">
        <v>2463.92</v>
      </c>
      <c r="AM44" s="774"/>
      <c r="AN44" s="774">
        <f t="shared" si="8"/>
        <v>8125.26</v>
      </c>
      <c r="AO44" s="775"/>
      <c r="AP44" s="775">
        <f t="shared" si="9"/>
        <v>15283.019999999999</v>
      </c>
      <c r="AQ44" s="1118"/>
      <c r="AR44" s="1118">
        <v>2842.54</v>
      </c>
      <c r="AS44" s="775"/>
      <c r="AT44" s="775">
        <f t="shared" si="10"/>
        <v>18125.559999999998</v>
      </c>
      <c r="AU44" s="1118"/>
      <c r="AV44" s="1118">
        <v>0</v>
      </c>
      <c r="AW44" s="775"/>
      <c r="AX44" s="775">
        <f t="shared" si="11"/>
        <v>18125.559999999998</v>
      </c>
      <c r="AY44" s="1118"/>
      <c r="AZ44" s="1118">
        <v>1167.56</v>
      </c>
      <c r="BA44" s="774"/>
      <c r="BB44" s="774">
        <f t="shared" si="12"/>
        <v>4010.1</v>
      </c>
      <c r="BC44" s="460"/>
      <c r="BD44" s="460">
        <f t="shared" si="13"/>
        <v>12135.36</v>
      </c>
      <c r="BE44" s="775"/>
      <c r="BF44" s="775">
        <f t="shared" si="14"/>
        <v>19293.12</v>
      </c>
      <c r="BG44" s="26">
        <f t="shared" si="15"/>
        <v>0</v>
      </c>
      <c r="BH44" s="26">
        <f t="shared" si="16"/>
        <v>0</v>
      </c>
      <c r="BI44" s="26"/>
      <c r="BJ44" s="26">
        <f t="shared" si="17"/>
        <v>0</v>
      </c>
      <c r="BK44" s="26">
        <f t="shared" si="18"/>
        <v>0</v>
      </c>
      <c r="BP44" s="26"/>
    </row>
    <row r="45" spans="1:69" x14ac:dyDescent="0.3">
      <c r="A45" s="92"/>
      <c r="B45" s="5687" t="s">
        <v>2365</v>
      </c>
      <c r="C45" s="5462" t="s">
        <v>50</v>
      </c>
      <c r="D45" s="5458"/>
      <c r="E45" s="5458"/>
      <c r="F45" s="5458"/>
      <c r="G45" s="5458"/>
      <c r="H45" s="5458"/>
      <c r="I45" s="775"/>
      <c r="J45" s="775">
        <f t="shared" ref="J45" si="218">F45+H45</f>
        <v>0</v>
      </c>
      <c r="K45" s="5458"/>
      <c r="L45" s="5458"/>
      <c r="M45" s="774"/>
      <c r="N45" s="774">
        <f t="shared" ref="N45" si="219">J45+L45</f>
        <v>0</v>
      </c>
      <c r="O45" s="5458"/>
      <c r="P45" s="5458"/>
      <c r="Q45" s="775"/>
      <c r="R45" s="775">
        <f t="shared" ref="R45" si="220">N45+P45</f>
        <v>0</v>
      </c>
      <c r="S45" s="5458"/>
      <c r="T45" s="5458"/>
      <c r="U45" s="5460"/>
      <c r="V45" s="775">
        <f t="shared" si="3"/>
        <v>0</v>
      </c>
      <c r="W45" s="5458"/>
      <c r="X45" s="5458"/>
      <c r="Y45" s="5461"/>
      <c r="Z45" s="774">
        <f t="shared" si="4"/>
        <v>0</v>
      </c>
      <c r="AA45" s="5712"/>
      <c r="AB45" s="460">
        <f t="shared" si="5"/>
        <v>0</v>
      </c>
      <c r="AC45" s="5458"/>
      <c r="AD45" s="5458"/>
      <c r="AE45" s="5460"/>
      <c r="AF45" s="775">
        <f t="shared" si="6"/>
        <v>0</v>
      </c>
      <c r="AG45" s="5458"/>
      <c r="AH45" s="5458"/>
      <c r="AI45" s="5460"/>
      <c r="AJ45" s="775">
        <f t="shared" si="7"/>
        <v>0</v>
      </c>
      <c r="AK45" s="5458"/>
      <c r="AL45" s="5458"/>
      <c r="AM45" s="5461"/>
      <c r="AN45" s="5461"/>
      <c r="AO45" s="5460"/>
      <c r="AP45" s="775">
        <f t="shared" si="9"/>
        <v>0</v>
      </c>
      <c r="AQ45" s="5458"/>
      <c r="AR45" s="5458"/>
      <c r="AS45" s="5460"/>
      <c r="AT45" s="775">
        <f t="shared" si="10"/>
        <v>0</v>
      </c>
      <c r="AU45" s="5458"/>
      <c r="AV45" s="5458"/>
      <c r="AW45" s="5460"/>
      <c r="AX45" s="775">
        <f t="shared" si="11"/>
        <v>0</v>
      </c>
      <c r="AY45" s="5458"/>
      <c r="AZ45" s="5458"/>
      <c r="BA45" s="5461"/>
      <c r="BB45" s="774">
        <f t="shared" ref="BB45" si="221">AR45+AV45+AZ45</f>
        <v>0</v>
      </c>
      <c r="BC45" s="460"/>
      <c r="BD45" s="460">
        <f t="shared" ref="BD45" si="222">AN45+BB45</f>
        <v>0</v>
      </c>
      <c r="BE45" s="775"/>
      <c r="BF45" s="775">
        <f t="shared" ref="BF45" si="223">AX45+AZ45</f>
        <v>0</v>
      </c>
      <c r="BG45" s="26"/>
      <c r="BH45" s="26"/>
      <c r="BI45" s="26"/>
      <c r="BJ45" s="26"/>
      <c r="BK45" s="26"/>
      <c r="BP45" s="26"/>
    </row>
    <row r="46" spans="1:69" x14ac:dyDescent="0.3">
      <c r="A46" s="2378"/>
      <c r="B46" s="1009" t="s">
        <v>2363</v>
      </c>
      <c r="C46" s="156" t="s">
        <v>50</v>
      </c>
      <c r="D46" s="6039">
        <v>24000</v>
      </c>
      <c r="E46" s="1118"/>
      <c r="F46" s="1118">
        <f>+'Direct sales IPT details'!E8</f>
        <v>0</v>
      </c>
      <c r="G46" s="1118"/>
      <c r="H46" s="1118">
        <f>+'Direct sales IPT details'!G8</f>
        <v>0</v>
      </c>
      <c r="I46" s="775"/>
      <c r="J46" s="775">
        <f t="shared" si="0"/>
        <v>0</v>
      </c>
      <c r="K46" s="1118"/>
      <c r="L46" s="1118">
        <f>+'Direct sales IPT details'!K8</f>
        <v>3983.52</v>
      </c>
      <c r="M46" s="774"/>
      <c r="N46" s="774">
        <f t="shared" si="1"/>
        <v>3983.52</v>
      </c>
      <c r="O46" s="1118"/>
      <c r="P46" s="1118">
        <f>+'Direct sales IPT details'!O8</f>
        <v>1960.88</v>
      </c>
      <c r="Q46" s="775"/>
      <c r="R46" s="775">
        <f t="shared" si="2"/>
        <v>5944.4</v>
      </c>
      <c r="S46" s="1118"/>
      <c r="T46" s="1118">
        <f>+'Direct sales IPT details'!S8</f>
        <v>0</v>
      </c>
      <c r="U46" s="775"/>
      <c r="V46" s="775">
        <f t="shared" si="3"/>
        <v>5944.4</v>
      </c>
      <c r="W46" s="1118"/>
      <c r="X46" s="1118">
        <f>+'Direct sales IPT details'!W8</f>
        <v>0</v>
      </c>
      <c r="Y46" s="774"/>
      <c r="Z46" s="774">
        <f t="shared" si="4"/>
        <v>1960.88</v>
      </c>
      <c r="AA46" s="460"/>
      <c r="AB46" s="460">
        <f t="shared" si="5"/>
        <v>5944.4</v>
      </c>
      <c r="AC46" s="1118"/>
      <c r="AD46" s="1118">
        <f>+'Direct sales IPT details'!AC8</f>
        <v>2616.08</v>
      </c>
      <c r="AE46" s="775"/>
      <c r="AF46" s="775">
        <f t="shared" si="6"/>
        <v>8560.48</v>
      </c>
      <c r="AG46" s="1118"/>
      <c r="AH46" s="1118">
        <f>+'Direct sales IPT details'!AG8</f>
        <v>0</v>
      </c>
      <c r="AI46" s="775"/>
      <c r="AJ46" s="775">
        <f t="shared" si="7"/>
        <v>8560.48</v>
      </c>
      <c r="AK46" s="1118"/>
      <c r="AL46" s="1118">
        <f>+'Direct sales IPT details'!AK8</f>
        <v>0</v>
      </c>
      <c r="AM46" s="774"/>
      <c r="AN46" s="774">
        <f t="shared" si="8"/>
        <v>2616.08</v>
      </c>
      <c r="AO46" s="775"/>
      <c r="AP46" s="775">
        <f t="shared" si="9"/>
        <v>8560.48</v>
      </c>
      <c r="AQ46" s="1118"/>
      <c r="AR46" s="1118">
        <f>+'Direct sales IPT details'!AQ8</f>
        <v>0</v>
      </c>
      <c r="AS46" s="775"/>
      <c r="AT46" s="775">
        <f t="shared" si="10"/>
        <v>8560.48</v>
      </c>
      <c r="AU46" s="1118"/>
      <c r="AV46" s="1118">
        <f>+'Direct sales IPT details'!AU8</f>
        <v>0</v>
      </c>
      <c r="AW46" s="775"/>
      <c r="AX46" s="775">
        <f t="shared" si="11"/>
        <v>8560.48</v>
      </c>
      <c r="AY46" s="1118"/>
      <c r="AZ46" s="1118">
        <f>+'Direct sales IPT details'!AY8</f>
        <v>0</v>
      </c>
      <c r="BA46" s="774"/>
      <c r="BB46" s="774">
        <f t="shared" si="12"/>
        <v>0</v>
      </c>
      <c r="BC46" s="460"/>
      <c r="BD46" s="460">
        <f t="shared" si="13"/>
        <v>2616.08</v>
      </c>
      <c r="BE46" s="775"/>
      <c r="BF46" s="775">
        <f t="shared" si="14"/>
        <v>8560.48</v>
      </c>
      <c r="BG46" s="26">
        <f t="shared" si="15"/>
        <v>0</v>
      </c>
      <c r="BH46" s="26">
        <f t="shared" si="16"/>
        <v>0</v>
      </c>
      <c r="BI46" s="26"/>
      <c r="BJ46" s="26">
        <f t="shared" si="17"/>
        <v>0</v>
      </c>
      <c r="BK46" s="26">
        <f t="shared" si="18"/>
        <v>0</v>
      </c>
      <c r="BP46" s="26"/>
    </row>
    <row r="47" spans="1:69" x14ac:dyDescent="0.3">
      <c r="A47" s="92"/>
      <c r="B47" s="1009" t="s">
        <v>2364</v>
      </c>
      <c r="C47" s="156" t="s">
        <v>50</v>
      </c>
      <c r="D47" s="6040"/>
      <c r="E47" s="1118"/>
      <c r="F47" s="1118">
        <f>+'Direct sales IPT details'!E7</f>
        <v>1095.8900000000001</v>
      </c>
      <c r="G47" s="1118"/>
      <c r="H47" s="1118">
        <f>+'Direct sales IPT details'!G7</f>
        <v>1764.7700000000004</v>
      </c>
      <c r="I47" s="775"/>
      <c r="J47" s="775">
        <f t="shared" si="0"/>
        <v>2860.6600000000008</v>
      </c>
      <c r="K47" s="1118"/>
      <c r="L47" s="1118">
        <f>+'Direct sales IPT details'!K7</f>
        <v>1754.69</v>
      </c>
      <c r="M47" s="774"/>
      <c r="N47" s="774">
        <f t="shared" si="1"/>
        <v>4615.3500000000004</v>
      </c>
      <c r="O47" s="1118"/>
      <c r="P47" s="1118">
        <f>+'Direct sales IPT details'!O7</f>
        <v>1441.38</v>
      </c>
      <c r="Q47" s="775"/>
      <c r="R47" s="775">
        <f t="shared" si="2"/>
        <v>6056.7300000000005</v>
      </c>
      <c r="S47" s="1118"/>
      <c r="T47" s="1118">
        <f>+'Direct sales IPT details'!S7</f>
        <v>3769.97</v>
      </c>
      <c r="U47" s="775"/>
      <c r="V47" s="775">
        <f t="shared" si="3"/>
        <v>9826.7000000000007</v>
      </c>
      <c r="W47" s="1118"/>
      <c r="X47" s="1118">
        <f>+'Direct sales IPT details'!W7</f>
        <v>3271.59</v>
      </c>
      <c r="Y47" s="774"/>
      <c r="Z47" s="774">
        <f t="shared" si="4"/>
        <v>8482.94</v>
      </c>
      <c r="AA47" s="460"/>
      <c r="AB47" s="460">
        <f t="shared" si="5"/>
        <v>13098.29</v>
      </c>
      <c r="AC47" s="1118"/>
      <c r="AD47" s="1118">
        <f>+'Direct sales IPT details'!AC7</f>
        <v>601.74</v>
      </c>
      <c r="AE47" s="775"/>
      <c r="AF47" s="775">
        <f t="shared" si="6"/>
        <v>13700.03</v>
      </c>
      <c r="AG47" s="1118"/>
      <c r="AH47" s="1118">
        <f>+'Direct sales IPT details'!AG7</f>
        <v>0</v>
      </c>
      <c r="AI47" s="775"/>
      <c r="AJ47" s="775">
        <f t="shared" si="7"/>
        <v>13700.03</v>
      </c>
      <c r="AK47" s="1118"/>
      <c r="AL47" s="1118">
        <f>+'Direct sales IPT details'!AK7</f>
        <v>2256.63</v>
      </c>
      <c r="AM47" s="774"/>
      <c r="AN47" s="774">
        <f t="shared" si="8"/>
        <v>2858.37</v>
      </c>
      <c r="AO47" s="775"/>
      <c r="AP47" s="775">
        <f t="shared" si="9"/>
        <v>15956.66</v>
      </c>
      <c r="AQ47" s="1118"/>
      <c r="AR47" s="1118">
        <f>+'Direct sales IPT details'!AQ7</f>
        <v>4277.21</v>
      </c>
      <c r="AS47" s="775"/>
      <c r="AT47" s="775">
        <f t="shared" si="10"/>
        <v>20233.87</v>
      </c>
      <c r="AU47" s="1118"/>
      <c r="AV47" s="1118">
        <f>+'Direct sales IPT details'!AU7</f>
        <v>3140.78</v>
      </c>
      <c r="AW47" s="775"/>
      <c r="AX47" s="775">
        <f t="shared" si="11"/>
        <v>23374.649999999998</v>
      </c>
      <c r="AY47" s="1118"/>
      <c r="AZ47" s="1118">
        <f>+'Direct sales IPT details'!AY7</f>
        <v>1971.02</v>
      </c>
      <c r="BA47" s="774"/>
      <c r="BB47" s="774">
        <f t="shared" si="12"/>
        <v>9389.01</v>
      </c>
      <c r="BC47" s="460"/>
      <c r="BD47" s="460">
        <f t="shared" si="13"/>
        <v>12247.380000000001</v>
      </c>
      <c r="BE47" s="775"/>
      <c r="BF47" s="775">
        <f t="shared" si="14"/>
        <v>25345.67</v>
      </c>
      <c r="BG47" s="26">
        <f t="shared" si="15"/>
        <v>0</v>
      </c>
      <c r="BH47" s="26">
        <f t="shared" si="16"/>
        <v>0</v>
      </c>
      <c r="BI47" s="26"/>
      <c r="BJ47" s="26">
        <f t="shared" si="17"/>
        <v>0</v>
      </c>
      <c r="BK47" s="26">
        <f t="shared" si="18"/>
        <v>0</v>
      </c>
      <c r="BP47" s="26"/>
    </row>
    <row r="48" spans="1:69" s="32" customFormat="1" ht="21.15" customHeight="1" x14ac:dyDescent="0.3">
      <c r="A48" s="833"/>
      <c r="B48" s="3403" t="s">
        <v>2</v>
      </c>
      <c r="C48" s="156" t="s">
        <v>50</v>
      </c>
      <c r="D48" s="1720">
        <f>SUM(D42:D46)</f>
        <v>524798</v>
      </c>
      <c r="E48" s="452"/>
      <c r="F48" s="452">
        <f>SUM(F42:F47)</f>
        <v>38297.31</v>
      </c>
      <c r="G48" s="452"/>
      <c r="H48" s="452">
        <f>SUM(H42:H47)</f>
        <v>50015.53</v>
      </c>
      <c r="I48" s="371"/>
      <c r="J48" s="371">
        <f t="shared" si="0"/>
        <v>88312.84</v>
      </c>
      <c r="K48" s="452"/>
      <c r="L48" s="452">
        <f>SUM(L42:L47)</f>
        <v>49786.529999999992</v>
      </c>
      <c r="M48" s="373"/>
      <c r="N48" s="373">
        <f t="shared" si="1"/>
        <v>138099.37</v>
      </c>
      <c r="O48" s="452"/>
      <c r="P48" s="452">
        <f>SUM(P42:P47)</f>
        <v>57214.91</v>
      </c>
      <c r="Q48" s="371"/>
      <c r="R48" s="371">
        <f t="shared" si="2"/>
        <v>195314.28</v>
      </c>
      <c r="S48" s="452"/>
      <c r="T48" s="452">
        <f>SUM(T42:T47)</f>
        <v>62105.79</v>
      </c>
      <c r="U48" s="371"/>
      <c r="V48" s="371">
        <f t="shared" si="3"/>
        <v>257420.07</v>
      </c>
      <c r="W48" s="452"/>
      <c r="X48" s="452">
        <f>SUM(X42:X47)</f>
        <v>53278.05</v>
      </c>
      <c r="Y48" s="373"/>
      <c r="Z48" s="373">
        <f t="shared" si="4"/>
        <v>172598.75</v>
      </c>
      <c r="AA48" s="539"/>
      <c r="AB48" s="539">
        <f t="shared" si="5"/>
        <v>310698.12</v>
      </c>
      <c r="AC48" s="452"/>
      <c r="AD48" s="452">
        <f>SUM(AD42:AD47)</f>
        <v>49314.05999999999</v>
      </c>
      <c r="AE48" s="371"/>
      <c r="AF48" s="371">
        <f t="shared" si="6"/>
        <v>360012.18</v>
      </c>
      <c r="AG48" s="452"/>
      <c r="AH48" s="452">
        <f>SUM(AH42:AH47)</f>
        <v>61336.369999999995</v>
      </c>
      <c r="AI48" s="371"/>
      <c r="AJ48" s="371">
        <f t="shared" si="7"/>
        <v>421348.55</v>
      </c>
      <c r="AK48" s="452"/>
      <c r="AL48" s="452">
        <f>SUM(AL42:AL47)</f>
        <v>53803.310000000005</v>
      </c>
      <c r="AM48" s="373"/>
      <c r="AN48" s="373">
        <f t="shared" si="8"/>
        <v>164453.74</v>
      </c>
      <c r="AO48" s="371"/>
      <c r="AP48" s="371">
        <f t="shared" si="9"/>
        <v>475151.86</v>
      </c>
      <c r="AQ48" s="452"/>
      <c r="AR48" s="452">
        <f>SUM(AR42:AR47)</f>
        <v>38263.579999999994</v>
      </c>
      <c r="AS48" s="371"/>
      <c r="AT48" s="371">
        <f t="shared" si="10"/>
        <v>513415.44</v>
      </c>
      <c r="AU48" s="452"/>
      <c r="AV48" s="452">
        <f>SUM(AV42:AV47)</f>
        <v>14377.010000000002</v>
      </c>
      <c r="AW48" s="371"/>
      <c r="AX48" s="371">
        <f t="shared" si="11"/>
        <v>527792.44999999995</v>
      </c>
      <c r="AY48" s="452"/>
      <c r="AZ48" s="452">
        <f>SUM(AZ42:AZ47)</f>
        <v>38772.679999999993</v>
      </c>
      <c r="BA48" s="373"/>
      <c r="BB48" s="373">
        <f t="shared" si="12"/>
        <v>91413.26999999999</v>
      </c>
      <c r="BC48" s="539"/>
      <c r="BD48" s="539">
        <f t="shared" si="13"/>
        <v>255867.00999999998</v>
      </c>
      <c r="BE48" s="371">
        <f>SUM(BE42:BE47)</f>
        <v>0</v>
      </c>
      <c r="BF48" s="371">
        <f t="shared" si="14"/>
        <v>566565.12999999989</v>
      </c>
      <c r="BG48" s="5764">
        <f t="shared" si="15"/>
        <v>0</v>
      </c>
      <c r="BH48" s="5764">
        <f t="shared" si="16"/>
        <v>0</v>
      </c>
      <c r="BI48" s="5764"/>
      <c r="BJ48" s="5764">
        <f t="shared" si="17"/>
        <v>0</v>
      </c>
      <c r="BK48" s="5764">
        <f t="shared" si="18"/>
        <v>0</v>
      </c>
      <c r="BP48" s="5764"/>
    </row>
    <row r="49" spans="1:71" ht="21.15" customHeight="1" x14ac:dyDescent="0.3">
      <c r="A49" s="151"/>
      <c r="B49" s="3401" t="s">
        <v>1374</v>
      </c>
      <c r="C49" s="5767"/>
      <c r="D49" s="3405"/>
      <c r="E49" s="3404"/>
      <c r="F49" s="3404"/>
      <c r="G49" s="3404"/>
      <c r="H49" s="3404"/>
      <c r="I49" s="5690"/>
      <c r="J49" s="775">
        <f t="shared" si="0"/>
        <v>0</v>
      </c>
      <c r="K49" s="3404"/>
      <c r="L49" s="3404"/>
      <c r="M49" s="5701"/>
      <c r="N49" s="774">
        <f t="shared" si="1"/>
        <v>0</v>
      </c>
      <c r="O49" s="3404"/>
      <c r="P49" s="3404"/>
      <c r="Q49" s="5690"/>
      <c r="R49" s="775">
        <f t="shared" si="2"/>
        <v>0</v>
      </c>
      <c r="S49" s="3404"/>
      <c r="T49" s="3404"/>
      <c r="U49" s="5690"/>
      <c r="V49" s="775">
        <f t="shared" si="3"/>
        <v>0</v>
      </c>
      <c r="W49" s="3404"/>
      <c r="X49" s="3404"/>
      <c r="Y49" s="5701"/>
      <c r="Z49" s="774">
        <f t="shared" si="4"/>
        <v>0</v>
      </c>
      <c r="AA49" s="5711"/>
      <c r="AB49" s="460">
        <f t="shared" si="5"/>
        <v>0</v>
      </c>
      <c r="AC49" s="3404"/>
      <c r="AD49" s="3404"/>
      <c r="AE49" s="5690"/>
      <c r="AF49" s="775">
        <f t="shared" si="6"/>
        <v>0</v>
      </c>
      <c r="AG49" s="3404"/>
      <c r="AH49" s="3404"/>
      <c r="AI49" s="5690"/>
      <c r="AJ49" s="775">
        <f t="shared" si="7"/>
        <v>0</v>
      </c>
      <c r="AK49" s="3404"/>
      <c r="AL49" s="3404"/>
      <c r="AM49" s="5701"/>
      <c r="AN49" s="774">
        <f t="shared" si="8"/>
        <v>0</v>
      </c>
      <c r="AO49" s="5690"/>
      <c r="AP49" s="775">
        <f t="shared" si="9"/>
        <v>0</v>
      </c>
      <c r="AQ49" s="3404"/>
      <c r="AR49" s="3404"/>
      <c r="AS49" s="5690"/>
      <c r="AT49" s="775">
        <f t="shared" si="10"/>
        <v>0</v>
      </c>
      <c r="AU49" s="3404"/>
      <c r="AV49" s="3404"/>
      <c r="AW49" s="5690"/>
      <c r="AX49" s="775">
        <f t="shared" si="11"/>
        <v>0</v>
      </c>
      <c r="AY49" s="3404"/>
      <c r="AZ49" s="3404"/>
      <c r="BA49" s="5701"/>
      <c r="BB49" s="774">
        <f t="shared" si="12"/>
        <v>0</v>
      </c>
      <c r="BC49" s="5711"/>
      <c r="BD49" s="460">
        <f t="shared" si="13"/>
        <v>0</v>
      </c>
      <c r="BE49" s="5699"/>
      <c r="BF49" s="775">
        <f t="shared" si="14"/>
        <v>0</v>
      </c>
      <c r="BG49" s="26">
        <f t="shared" si="15"/>
        <v>0</v>
      </c>
      <c r="BH49" s="26">
        <f t="shared" si="16"/>
        <v>0</v>
      </c>
      <c r="BI49" s="26"/>
      <c r="BJ49" s="26">
        <f t="shared" si="17"/>
        <v>0</v>
      </c>
      <c r="BK49" s="26">
        <f t="shared" si="18"/>
        <v>0</v>
      </c>
      <c r="BP49" s="26"/>
    </row>
    <row r="50" spans="1:71" x14ac:dyDescent="0.3">
      <c r="A50" s="151"/>
      <c r="B50" s="1009" t="s">
        <v>75</v>
      </c>
      <c r="C50" s="156" t="s">
        <v>50</v>
      </c>
      <c r="D50" s="6124">
        <v>0</v>
      </c>
      <c r="E50" s="6124"/>
      <c r="F50" s="1118">
        <v>126.98</v>
      </c>
      <c r="G50" s="6124"/>
      <c r="H50" s="1118">
        <v>2079.3999999999996</v>
      </c>
      <c r="I50" s="6127"/>
      <c r="J50" s="775">
        <f t="shared" si="0"/>
        <v>2206.3799999999997</v>
      </c>
      <c r="K50" s="6124"/>
      <c r="L50" s="1118">
        <v>247.89000000000001</v>
      </c>
      <c r="M50" s="5898"/>
      <c r="N50" s="774">
        <f t="shared" si="1"/>
        <v>2454.2699999999995</v>
      </c>
      <c r="O50" s="6124"/>
      <c r="P50" s="1118">
        <v>381.2</v>
      </c>
      <c r="Q50" s="6127"/>
      <c r="R50" s="775">
        <f t="shared" si="2"/>
        <v>2835.4699999999993</v>
      </c>
      <c r="S50" s="6124"/>
      <c r="T50" s="1118">
        <v>5383.21</v>
      </c>
      <c r="U50" s="6127"/>
      <c r="V50" s="775">
        <f t="shared" si="3"/>
        <v>8218.68</v>
      </c>
      <c r="W50" s="6124"/>
      <c r="X50" s="1118">
        <v>411.48000000000008</v>
      </c>
      <c r="Y50" s="5898"/>
      <c r="Z50" s="774">
        <f t="shared" si="4"/>
        <v>6175.89</v>
      </c>
      <c r="AA50" s="5919"/>
      <c r="AB50" s="460">
        <f t="shared" si="5"/>
        <v>8630.16</v>
      </c>
      <c r="AC50" s="6124"/>
      <c r="AD50" s="1118">
        <v>7983.1199999999963</v>
      </c>
      <c r="AE50" s="6127"/>
      <c r="AF50" s="775">
        <f t="shared" si="6"/>
        <v>16613.279999999995</v>
      </c>
      <c r="AG50" s="6124"/>
      <c r="AH50" s="1118">
        <v>1706.6599999999999</v>
      </c>
      <c r="AI50" s="6128"/>
      <c r="AJ50" s="775">
        <f t="shared" si="7"/>
        <v>18319.939999999995</v>
      </c>
      <c r="AK50" s="6124"/>
      <c r="AL50" s="1118">
        <v>0</v>
      </c>
      <c r="AM50" s="5898"/>
      <c r="AN50" s="774">
        <f t="shared" si="8"/>
        <v>9689.7799999999952</v>
      </c>
      <c r="AO50" s="6127"/>
      <c r="AP50" s="775">
        <f t="shared" si="9"/>
        <v>18319.939999999995</v>
      </c>
      <c r="AQ50" s="6124"/>
      <c r="AR50" s="1118">
        <v>1814.0600000000004</v>
      </c>
      <c r="AS50" s="6128"/>
      <c r="AT50" s="775">
        <f t="shared" si="10"/>
        <v>20133.999999999996</v>
      </c>
      <c r="AU50" s="6124"/>
      <c r="AV50" s="1118">
        <v>1474.6399999999999</v>
      </c>
      <c r="AW50" s="6128"/>
      <c r="AX50" s="775">
        <f t="shared" si="11"/>
        <v>21608.639999999996</v>
      </c>
      <c r="AY50" s="6124"/>
      <c r="AZ50" s="1118">
        <v>254.79999999999998</v>
      </c>
      <c r="BA50" s="5898"/>
      <c r="BB50" s="774">
        <f t="shared" si="12"/>
        <v>3543.5000000000005</v>
      </c>
      <c r="BC50" s="5919"/>
      <c r="BD50" s="460">
        <f t="shared" si="13"/>
        <v>13233.279999999995</v>
      </c>
      <c r="BE50" s="6127"/>
      <c r="BF50" s="775">
        <f t="shared" si="14"/>
        <v>21863.439999999995</v>
      </c>
      <c r="BG50" s="26">
        <f t="shared" si="15"/>
        <v>0</v>
      </c>
      <c r="BH50" s="26">
        <f t="shared" si="16"/>
        <v>0</v>
      </c>
      <c r="BI50" s="26"/>
      <c r="BJ50" s="26">
        <f t="shared" si="17"/>
        <v>0</v>
      </c>
      <c r="BK50" s="26">
        <f t="shared" si="18"/>
        <v>0</v>
      </c>
      <c r="BP50" s="26"/>
    </row>
    <row r="51" spans="1:71" x14ac:dyDescent="0.3">
      <c r="A51" s="92"/>
      <c r="B51" s="1009" t="s">
        <v>76</v>
      </c>
      <c r="C51" s="156" t="s">
        <v>50</v>
      </c>
      <c r="D51" s="6124"/>
      <c r="E51" s="6124"/>
      <c r="F51" s="1118">
        <v>0</v>
      </c>
      <c r="G51" s="6124"/>
      <c r="H51" s="1118">
        <v>0</v>
      </c>
      <c r="I51" s="6127"/>
      <c r="J51" s="775">
        <f t="shared" si="0"/>
        <v>0</v>
      </c>
      <c r="K51" s="6124"/>
      <c r="L51" s="1118">
        <v>0</v>
      </c>
      <c r="M51" s="5898"/>
      <c r="N51" s="774">
        <f t="shared" si="1"/>
        <v>0</v>
      </c>
      <c r="O51" s="6124"/>
      <c r="P51" s="1118">
        <v>0</v>
      </c>
      <c r="Q51" s="6127"/>
      <c r="R51" s="775">
        <f t="shared" si="2"/>
        <v>0</v>
      </c>
      <c r="S51" s="6124"/>
      <c r="T51" s="1118">
        <v>0</v>
      </c>
      <c r="U51" s="6127"/>
      <c r="V51" s="775">
        <f t="shared" si="3"/>
        <v>0</v>
      </c>
      <c r="W51" s="6124"/>
      <c r="X51" s="1118">
        <v>0</v>
      </c>
      <c r="Y51" s="5898"/>
      <c r="Z51" s="774">
        <f t="shared" si="4"/>
        <v>0</v>
      </c>
      <c r="AA51" s="5919"/>
      <c r="AB51" s="460">
        <f t="shared" si="5"/>
        <v>0</v>
      </c>
      <c r="AC51" s="6124"/>
      <c r="AD51" s="1118">
        <v>0</v>
      </c>
      <c r="AE51" s="6127"/>
      <c r="AF51" s="775">
        <f t="shared" si="6"/>
        <v>0</v>
      </c>
      <c r="AG51" s="6124"/>
      <c r="AH51" s="1118">
        <v>0</v>
      </c>
      <c r="AI51" s="6126"/>
      <c r="AJ51" s="775">
        <f t="shared" si="7"/>
        <v>0</v>
      </c>
      <c r="AK51" s="6124"/>
      <c r="AL51" s="1118">
        <v>0</v>
      </c>
      <c r="AM51" s="5898"/>
      <c r="AN51" s="774">
        <f t="shared" si="8"/>
        <v>0</v>
      </c>
      <c r="AO51" s="6127"/>
      <c r="AP51" s="775">
        <f t="shared" si="9"/>
        <v>0</v>
      </c>
      <c r="AQ51" s="6124"/>
      <c r="AR51" s="1118">
        <v>0</v>
      </c>
      <c r="AS51" s="6126"/>
      <c r="AT51" s="775">
        <f t="shared" si="10"/>
        <v>0</v>
      </c>
      <c r="AU51" s="6124"/>
      <c r="AV51" s="1118">
        <v>0</v>
      </c>
      <c r="AW51" s="6126"/>
      <c r="AX51" s="775">
        <f t="shared" si="11"/>
        <v>0</v>
      </c>
      <c r="AY51" s="6124"/>
      <c r="AZ51" s="1118">
        <v>0</v>
      </c>
      <c r="BA51" s="5898"/>
      <c r="BB51" s="774">
        <f t="shared" si="12"/>
        <v>0</v>
      </c>
      <c r="BC51" s="5919"/>
      <c r="BD51" s="460">
        <f t="shared" si="13"/>
        <v>0</v>
      </c>
      <c r="BE51" s="6127"/>
      <c r="BF51" s="775">
        <f t="shared" si="14"/>
        <v>0</v>
      </c>
      <c r="BG51" s="26">
        <f t="shared" si="15"/>
        <v>0</v>
      </c>
      <c r="BH51" s="26">
        <f t="shared" si="16"/>
        <v>0</v>
      </c>
      <c r="BI51" s="26"/>
      <c r="BJ51" s="26">
        <f t="shared" si="17"/>
        <v>0</v>
      </c>
      <c r="BK51" s="26">
        <f t="shared" si="18"/>
        <v>0</v>
      </c>
      <c r="BP51" s="26"/>
    </row>
    <row r="52" spans="1:71" x14ac:dyDescent="0.3">
      <c r="A52" s="92"/>
      <c r="B52" s="1009" t="s">
        <v>137</v>
      </c>
      <c r="C52" s="156" t="s">
        <v>50</v>
      </c>
      <c r="D52" s="1118">
        <v>0</v>
      </c>
      <c r="E52" s="1118"/>
      <c r="F52" s="1118">
        <v>0</v>
      </c>
      <c r="G52" s="1118"/>
      <c r="H52" s="1118">
        <v>0</v>
      </c>
      <c r="I52" s="775"/>
      <c r="J52" s="775">
        <f t="shared" si="0"/>
        <v>0</v>
      </c>
      <c r="K52" s="1118"/>
      <c r="L52" s="1118">
        <v>0</v>
      </c>
      <c r="M52" s="774"/>
      <c r="N52" s="774">
        <f t="shared" si="1"/>
        <v>0</v>
      </c>
      <c r="O52" s="1118"/>
      <c r="P52" s="1118">
        <v>0</v>
      </c>
      <c r="Q52" s="775"/>
      <c r="R52" s="775">
        <f t="shared" si="2"/>
        <v>0</v>
      </c>
      <c r="S52" s="1118"/>
      <c r="T52" s="1118">
        <v>0</v>
      </c>
      <c r="U52" s="775"/>
      <c r="V52" s="775">
        <f t="shared" si="3"/>
        <v>0</v>
      </c>
      <c r="W52" s="1118"/>
      <c r="X52" s="1118">
        <v>0</v>
      </c>
      <c r="Y52" s="774"/>
      <c r="Z52" s="774">
        <f t="shared" si="4"/>
        <v>0</v>
      </c>
      <c r="AA52" s="460"/>
      <c r="AB52" s="460">
        <f t="shared" si="5"/>
        <v>0</v>
      </c>
      <c r="AC52" s="1118"/>
      <c r="AD52" s="1118">
        <v>0</v>
      </c>
      <c r="AE52" s="775"/>
      <c r="AF52" s="775">
        <f t="shared" si="6"/>
        <v>0</v>
      </c>
      <c r="AG52" s="1118"/>
      <c r="AH52" s="1118">
        <v>0</v>
      </c>
      <c r="AI52" s="775"/>
      <c r="AJ52" s="775">
        <f t="shared" si="7"/>
        <v>0</v>
      </c>
      <c r="AK52" s="1118"/>
      <c r="AL52" s="1118">
        <v>0</v>
      </c>
      <c r="AM52" s="774"/>
      <c r="AN52" s="774">
        <f t="shared" si="8"/>
        <v>0</v>
      </c>
      <c r="AO52" s="775"/>
      <c r="AP52" s="775">
        <f t="shared" si="9"/>
        <v>0</v>
      </c>
      <c r="AQ52" s="1118"/>
      <c r="AR52" s="1118">
        <v>0</v>
      </c>
      <c r="AS52" s="775"/>
      <c r="AT52" s="775">
        <f t="shared" si="10"/>
        <v>0</v>
      </c>
      <c r="AU52" s="1118"/>
      <c r="AV52" s="1118">
        <v>0</v>
      </c>
      <c r="AW52" s="775"/>
      <c r="AX52" s="775">
        <f t="shared" si="11"/>
        <v>0</v>
      </c>
      <c r="AY52" s="1118"/>
      <c r="AZ52" s="1118">
        <v>0</v>
      </c>
      <c r="BA52" s="774"/>
      <c r="BB52" s="774">
        <f t="shared" si="12"/>
        <v>0</v>
      </c>
      <c r="BC52" s="460"/>
      <c r="BD52" s="460">
        <f t="shared" si="13"/>
        <v>0</v>
      </c>
      <c r="BE52" s="775"/>
      <c r="BF52" s="775">
        <f t="shared" si="14"/>
        <v>0</v>
      </c>
      <c r="BG52" s="26">
        <f t="shared" si="15"/>
        <v>0</v>
      </c>
      <c r="BH52" s="26">
        <f t="shared" si="16"/>
        <v>0</v>
      </c>
      <c r="BI52" s="26"/>
      <c r="BJ52" s="26">
        <f t="shared" si="17"/>
        <v>0</v>
      </c>
      <c r="BK52" s="26">
        <f t="shared" si="18"/>
        <v>0</v>
      </c>
      <c r="BP52" s="26"/>
    </row>
    <row r="53" spans="1:71" x14ac:dyDescent="0.3">
      <c r="A53" s="92"/>
      <c r="B53" s="5687" t="s">
        <v>2365</v>
      </c>
      <c r="C53" s="156" t="s">
        <v>50</v>
      </c>
      <c r="D53" s="5458"/>
      <c r="E53" s="5458"/>
      <c r="F53" s="5458">
        <f>+'Direct sales IPT details'!E193</f>
        <v>0</v>
      </c>
      <c r="G53" s="5458">
        <f>+'Direct sales IPT details'!F194+'Direct sales IPT details'!F195</f>
        <v>0</v>
      </c>
      <c r="H53" s="5458">
        <f>+'Direct sales IPT details'!G193</f>
        <v>0</v>
      </c>
      <c r="I53" s="5460">
        <f>+'Direct sales IPT details'!H194+'Direct sales IPT details'!H195</f>
        <v>0</v>
      </c>
      <c r="J53" s="775">
        <f t="shared" si="0"/>
        <v>0</v>
      </c>
      <c r="K53" s="5458">
        <f>+'Direct sales IPT details'!J194+'Direct sales IPT details'!J195</f>
        <v>0</v>
      </c>
      <c r="L53" s="5458">
        <f>+'Direct sales IPT details'!K193</f>
        <v>0</v>
      </c>
      <c r="M53" s="5461">
        <f>+'Direct sales IPT details'!L194+'Direct sales IPT details'!L195</f>
        <v>0</v>
      </c>
      <c r="N53" s="774">
        <f t="shared" si="1"/>
        <v>0</v>
      </c>
      <c r="O53" s="5458">
        <f>+'Direct sales IPT details'!N194+'Direct sales IPT details'!N195</f>
        <v>0</v>
      </c>
      <c r="P53" s="5458">
        <f>+'Direct sales IPT details'!O193</f>
        <v>0</v>
      </c>
      <c r="Q53" s="5460">
        <f>+'Direct sales IPT details'!P194+'Direct sales IPT details'!P195</f>
        <v>0</v>
      </c>
      <c r="R53" s="775">
        <f t="shared" si="2"/>
        <v>0</v>
      </c>
      <c r="S53" s="5458">
        <f>+'Direct sales IPT details'!R194+'Direct sales IPT details'!R195</f>
        <v>0</v>
      </c>
      <c r="T53" s="5458">
        <f>+'Direct sales IPT details'!S193</f>
        <v>0</v>
      </c>
      <c r="U53" s="5460">
        <f>+'Direct sales IPT details'!T194+'Direct sales IPT details'!T195</f>
        <v>0</v>
      </c>
      <c r="V53" s="775">
        <f t="shared" si="3"/>
        <v>0</v>
      </c>
      <c r="W53" s="5458">
        <f>+'Direct sales IPT details'!V194+'Direct sales IPT details'!V195</f>
        <v>0</v>
      </c>
      <c r="X53" s="5458">
        <f>+'Direct sales IPT details'!W193</f>
        <v>0</v>
      </c>
      <c r="Y53" s="5461">
        <f>+'Direct sales IPT details'!X194+'Direct sales IPT details'!X195</f>
        <v>0</v>
      </c>
      <c r="Z53" s="774">
        <f t="shared" si="4"/>
        <v>0</v>
      </c>
      <c r="AA53" s="5712">
        <f>+'Direct sales IPT details'!Z194+'Direct sales IPT details'!Z195</f>
        <v>0</v>
      </c>
      <c r="AB53" s="460">
        <f t="shared" si="5"/>
        <v>0</v>
      </c>
      <c r="AC53" s="5458">
        <f>+'Direct sales IPT details'!AB194+'Direct sales IPT details'!AB195</f>
        <v>0</v>
      </c>
      <c r="AD53" s="5458">
        <f>+'Direct sales IPT details'!AC193</f>
        <v>0</v>
      </c>
      <c r="AE53" s="5460">
        <f>+'Direct sales IPT details'!AD194+'Direct sales IPT details'!AD195</f>
        <v>0</v>
      </c>
      <c r="AF53" s="775">
        <f t="shared" si="6"/>
        <v>0</v>
      </c>
      <c r="AG53" s="5458">
        <f>+'Direct sales IPT details'!AF194+'Direct sales IPT details'!AF195</f>
        <v>0</v>
      </c>
      <c r="AH53" s="5458">
        <f>+'Direct sales IPT details'!AG193</f>
        <v>0</v>
      </c>
      <c r="AI53" s="5460">
        <f>+'Direct sales IPT details'!AH194+'Direct sales IPT details'!AH195</f>
        <v>0</v>
      </c>
      <c r="AJ53" s="775">
        <f t="shared" si="7"/>
        <v>0</v>
      </c>
      <c r="AK53" s="5458">
        <f>+'Direct sales IPT details'!AJ194+'Direct sales IPT details'!AJ195</f>
        <v>0</v>
      </c>
      <c r="AL53" s="5458">
        <f>+'Direct sales IPT details'!AK193</f>
        <v>0</v>
      </c>
      <c r="AM53" s="5461">
        <f>+'Direct sales IPT details'!AL194+'Direct sales IPT details'!AL195</f>
        <v>0</v>
      </c>
      <c r="AN53" s="774">
        <f t="shared" si="8"/>
        <v>0</v>
      </c>
      <c r="AO53" s="5460">
        <f>+'Direct sales IPT details'!AN194+'Direct sales IPT details'!AN195</f>
        <v>0</v>
      </c>
      <c r="AP53" s="775">
        <f t="shared" si="9"/>
        <v>0</v>
      </c>
      <c r="AQ53" s="5458">
        <f>+'Direct sales IPT details'!AP194+'Direct sales IPT details'!AP195</f>
        <v>0</v>
      </c>
      <c r="AR53" s="5458">
        <f>+'Direct sales IPT details'!AQ193</f>
        <v>0</v>
      </c>
      <c r="AS53" s="5460">
        <f>+'Direct sales IPT details'!AR194+'Direct sales IPT details'!AR195</f>
        <v>0</v>
      </c>
      <c r="AT53" s="775">
        <f t="shared" si="10"/>
        <v>0</v>
      </c>
      <c r="AU53" s="5458">
        <f>+'Direct sales IPT details'!AT194+'Direct sales IPT details'!AT195</f>
        <v>0</v>
      </c>
      <c r="AV53" s="5458">
        <f>+'Direct sales IPT details'!AU193</f>
        <v>2022.0800000000002</v>
      </c>
      <c r="AW53" s="5460">
        <f>+'Direct sales IPT details'!AV194+'Direct sales IPT details'!AV195</f>
        <v>0</v>
      </c>
      <c r="AX53" s="775">
        <f t="shared" si="11"/>
        <v>2022.0800000000002</v>
      </c>
      <c r="AY53" s="5458">
        <f>+'Direct sales IPT details'!AX194+'Direct sales IPT details'!AX195</f>
        <v>0</v>
      </c>
      <c r="AZ53" s="5458">
        <f>+'Direct sales IPT details'!AY193</f>
        <v>2066.8999999999996</v>
      </c>
      <c r="BA53" s="5461">
        <f>+'Direct sales IPT details'!AZ194+'Direct sales IPT details'!AZ195</f>
        <v>0</v>
      </c>
      <c r="BB53" s="774">
        <f t="shared" si="12"/>
        <v>4088.9799999999996</v>
      </c>
      <c r="BC53" s="5712">
        <f>+'Direct sales IPT details'!BB194+'Direct sales IPT details'!BB195</f>
        <v>0</v>
      </c>
      <c r="BD53" s="460">
        <f t="shared" si="13"/>
        <v>4088.9799999999996</v>
      </c>
      <c r="BE53" s="5460">
        <f>+'Direct sales IPT details'!BD194+'Direct sales IPT details'!BD195</f>
        <v>0</v>
      </c>
      <c r="BF53" s="775">
        <f t="shared" si="14"/>
        <v>4088.9799999999996</v>
      </c>
      <c r="BG53" s="26"/>
      <c r="BH53" s="26"/>
      <c r="BI53" s="26"/>
      <c r="BJ53" s="26"/>
      <c r="BK53" s="26"/>
      <c r="BP53" s="26"/>
    </row>
    <row r="54" spans="1:71" x14ac:dyDescent="0.3">
      <c r="A54" s="92"/>
      <c r="B54" s="5687" t="s">
        <v>2363</v>
      </c>
      <c r="C54" s="5462" t="s">
        <v>50</v>
      </c>
      <c r="D54" s="5458"/>
      <c r="E54" s="5458"/>
      <c r="F54" s="5458"/>
      <c r="G54" s="5458"/>
      <c r="H54" s="5458"/>
      <c r="I54" s="5460"/>
      <c r="J54" s="5460"/>
      <c r="K54" s="5458"/>
      <c r="L54" s="5458"/>
      <c r="M54" s="5461"/>
      <c r="N54" s="5461"/>
      <c r="O54" s="5458"/>
      <c r="P54" s="5458"/>
      <c r="Q54" s="5460"/>
      <c r="R54" s="5460"/>
      <c r="S54" s="5458"/>
      <c r="T54" s="5458"/>
      <c r="U54" s="5460"/>
      <c r="V54" s="5460"/>
      <c r="W54" s="5458"/>
      <c r="X54" s="5458"/>
      <c r="Y54" s="5461"/>
      <c r="Z54" s="5461"/>
      <c r="AA54" s="5712"/>
      <c r="AB54" s="5712"/>
      <c r="AC54" s="5458"/>
      <c r="AD54" s="5458"/>
      <c r="AE54" s="5460"/>
      <c r="AF54" s="5460"/>
      <c r="AG54" s="5458"/>
      <c r="AH54" s="5458"/>
      <c r="AI54" s="5460"/>
      <c r="AJ54" s="5460"/>
      <c r="AK54" s="5458"/>
      <c r="AL54" s="5458"/>
      <c r="AM54" s="5461"/>
      <c r="AN54" s="5461"/>
      <c r="AO54" s="5460"/>
      <c r="AP54" s="5460"/>
      <c r="AQ54" s="5458"/>
      <c r="AR54" s="5458"/>
      <c r="AS54" s="5460"/>
      <c r="AT54" s="5460"/>
      <c r="AU54" s="5458"/>
      <c r="AV54" s="5458"/>
      <c r="AW54" s="5460"/>
      <c r="AX54" s="5460"/>
      <c r="AY54" s="5458"/>
      <c r="AZ54" s="5458"/>
      <c r="BA54" s="5461"/>
      <c r="BB54" s="5461"/>
      <c r="BC54" s="5712"/>
      <c r="BD54" s="5712"/>
      <c r="BE54" s="5460"/>
      <c r="BF54" s="5460"/>
      <c r="BG54" s="26"/>
      <c r="BH54" s="26"/>
      <c r="BI54" s="26"/>
      <c r="BJ54" s="26"/>
      <c r="BK54" s="26"/>
      <c r="BP54" s="26"/>
    </row>
    <row r="55" spans="1:71" ht="21.15" customHeight="1" x14ac:dyDescent="0.3">
      <c r="A55" s="92"/>
      <c r="B55" s="1009" t="s">
        <v>2364</v>
      </c>
      <c r="C55" s="156" t="s">
        <v>50</v>
      </c>
      <c r="D55" s="1118">
        <v>0</v>
      </c>
      <c r="E55" s="1118"/>
      <c r="F55" s="1118">
        <f>+'Direct sales IPT details'!E14</f>
        <v>0</v>
      </c>
      <c r="G55" s="1118">
        <f>+'Direct sales IPT details'!F14</f>
        <v>0</v>
      </c>
      <c r="H55" s="1118">
        <f>+'Direct sales IPT details'!G14</f>
        <v>299.72000000000003</v>
      </c>
      <c r="I55" s="775">
        <f>+'Direct sales IPT details'!H14</f>
        <v>0</v>
      </c>
      <c r="J55" s="775">
        <f t="shared" si="0"/>
        <v>299.72000000000003</v>
      </c>
      <c r="K55" s="1118">
        <f>+'Direct sales IPT details'!J14</f>
        <v>0</v>
      </c>
      <c r="L55" s="1118">
        <f>+'Direct sales IPT details'!K14</f>
        <v>0</v>
      </c>
      <c r="M55" s="774">
        <f>+'Direct sales IPT details'!L14</f>
        <v>0</v>
      </c>
      <c r="N55" s="774">
        <f t="shared" si="1"/>
        <v>299.72000000000003</v>
      </c>
      <c r="O55" s="1118">
        <f>+'Direct sales IPT details'!N14</f>
        <v>0</v>
      </c>
      <c r="P55" s="1118">
        <f>+'Direct sales IPT details'!O14</f>
        <v>0</v>
      </c>
      <c r="Q55" s="775">
        <f>+'Direct sales IPT details'!P14</f>
        <v>0</v>
      </c>
      <c r="R55" s="775">
        <f t="shared" si="2"/>
        <v>299.72000000000003</v>
      </c>
      <c r="S55" s="1118">
        <f>+'Direct sales IPT details'!R14</f>
        <v>0</v>
      </c>
      <c r="T55" s="1118">
        <f>+'Direct sales IPT details'!S14</f>
        <v>239.04</v>
      </c>
      <c r="U55" s="775">
        <f>+'Direct sales IPT details'!T14</f>
        <v>0</v>
      </c>
      <c r="V55" s="775">
        <f t="shared" si="3"/>
        <v>538.76</v>
      </c>
      <c r="W55" s="1118">
        <f>+'Direct sales IPT details'!V14</f>
        <v>0</v>
      </c>
      <c r="X55" s="1118">
        <f>+'Direct sales IPT details'!W14</f>
        <v>497.22999999999996</v>
      </c>
      <c r="Y55" s="774">
        <f>+'Direct sales IPT details'!X14</f>
        <v>0</v>
      </c>
      <c r="Z55" s="774">
        <f t="shared" si="4"/>
        <v>736.27</v>
      </c>
      <c r="AA55" s="460">
        <f>+'Direct sales IPT details'!Z14</f>
        <v>0</v>
      </c>
      <c r="AB55" s="460">
        <f t="shared" si="5"/>
        <v>1035.99</v>
      </c>
      <c r="AC55" s="1118">
        <f>+'Direct sales IPT details'!AB14</f>
        <v>0</v>
      </c>
      <c r="AD55" s="1118">
        <f>+'Direct sales IPT details'!AC14</f>
        <v>0</v>
      </c>
      <c r="AE55" s="775">
        <f>+'Direct sales IPT details'!AD14</f>
        <v>0</v>
      </c>
      <c r="AF55" s="775">
        <f t="shared" si="6"/>
        <v>1035.99</v>
      </c>
      <c r="AG55" s="1118">
        <f>+'Direct sales IPT details'!AF14</f>
        <v>0</v>
      </c>
      <c r="AH55" s="1118">
        <f>+'Direct sales IPT details'!AG14</f>
        <v>0</v>
      </c>
      <c r="AI55" s="775">
        <f>+'Direct sales IPT details'!AH14</f>
        <v>0</v>
      </c>
      <c r="AJ55" s="775">
        <f t="shared" si="7"/>
        <v>1035.99</v>
      </c>
      <c r="AK55" s="1118">
        <f>+'Direct sales IPT details'!AJ14</f>
        <v>0</v>
      </c>
      <c r="AL55" s="1118">
        <f>+'Direct sales IPT details'!AK14</f>
        <v>0</v>
      </c>
      <c r="AM55" s="774">
        <f>+'Direct sales IPT details'!AL14</f>
        <v>0</v>
      </c>
      <c r="AN55" s="774">
        <f t="shared" si="8"/>
        <v>0</v>
      </c>
      <c r="AO55" s="775">
        <f>+'Direct sales IPT details'!AN14</f>
        <v>0</v>
      </c>
      <c r="AP55" s="775">
        <f t="shared" si="9"/>
        <v>1035.99</v>
      </c>
      <c r="AQ55" s="1118">
        <f>+'Direct sales IPT details'!AP14</f>
        <v>0</v>
      </c>
      <c r="AR55" s="1118">
        <f>+'Direct sales IPT details'!AQ14</f>
        <v>337.56</v>
      </c>
      <c r="AS55" s="775">
        <f>+'Direct sales IPT details'!AR14</f>
        <v>0</v>
      </c>
      <c r="AT55" s="775">
        <f t="shared" si="10"/>
        <v>1373.55</v>
      </c>
      <c r="AU55" s="1118">
        <f>+'Direct sales IPT details'!AT14</f>
        <v>0</v>
      </c>
      <c r="AV55" s="1118">
        <f>+'Direct sales IPT details'!AU14</f>
        <v>289.99</v>
      </c>
      <c r="AW55" s="775">
        <f>+'Direct sales IPT details'!AV14</f>
        <v>0</v>
      </c>
      <c r="AX55" s="775">
        <f t="shared" si="11"/>
        <v>1663.54</v>
      </c>
      <c r="AY55" s="1118">
        <f>+'Direct sales IPT details'!AX14</f>
        <v>0</v>
      </c>
      <c r="AZ55" s="1118">
        <f>+'Direct sales IPT details'!AY14</f>
        <v>38.71</v>
      </c>
      <c r="BA55" s="774">
        <f>+'Direct sales IPT details'!AZ14</f>
        <v>0</v>
      </c>
      <c r="BB55" s="774">
        <f t="shared" si="12"/>
        <v>666.26</v>
      </c>
      <c r="BC55" s="460">
        <f>+'Direct sales IPT details'!BB14</f>
        <v>0</v>
      </c>
      <c r="BD55" s="460">
        <f t="shared" si="13"/>
        <v>666.26</v>
      </c>
      <c r="BE55" s="775">
        <f>+'Direct sales IPT details'!BD14</f>
        <v>0</v>
      </c>
      <c r="BF55" s="775">
        <f t="shared" si="14"/>
        <v>1702.25</v>
      </c>
      <c r="BG55" s="26">
        <f t="shared" si="15"/>
        <v>0</v>
      </c>
      <c r="BH55" s="26">
        <f t="shared" si="16"/>
        <v>0</v>
      </c>
      <c r="BI55" s="26"/>
      <c r="BJ55" s="26">
        <f t="shared" si="17"/>
        <v>0</v>
      </c>
      <c r="BK55" s="26">
        <f t="shared" si="18"/>
        <v>0</v>
      </c>
      <c r="BP55" s="26"/>
    </row>
    <row r="56" spans="1:71" s="32" customFormat="1" ht="21.15" customHeight="1" x14ac:dyDescent="0.3">
      <c r="A56" s="833"/>
      <c r="B56" s="3403" t="s">
        <v>2</v>
      </c>
      <c r="C56" s="156" t="s">
        <v>50</v>
      </c>
      <c r="D56" s="1720">
        <f>SUM(D50:D55)</f>
        <v>0</v>
      </c>
      <c r="E56" s="452"/>
      <c r="F56" s="452">
        <f>SUM(F50:F55)</f>
        <v>126.98</v>
      </c>
      <c r="G56" s="452"/>
      <c r="H56" s="452">
        <f>SUM(H50:H55)</f>
        <v>2379.12</v>
      </c>
      <c r="I56" s="371"/>
      <c r="J56" s="371">
        <f t="shared" si="0"/>
        <v>2506.1</v>
      </c>
      <c r="K56" s="452"/>
      <c r="L56" s="452">
        <f>SUM(L50:L55)</f>
        <v>247.89000000000001</v>
      </c>
      <c r="M56" s="373"/>
      <c r="N56" s="373">
        <f t="shared" si="1"/>
        <v>2753.99</v>
      </c>
      <c r="O56" s="452"/>
      <c r="P56" s="452">
        <f>SUM(P50:P55)</f>
        <v>381.2</v>
      </c>
      <c r="Q56" s="371"/>
      <c r="R56" s="371">
        <f t="shared" si="2"/>
        <v>3135.1899999999996</v>
      </c>
      <c r="S56" s="452"/>
      <c r="T56" s="452">
        <f>SUM(T50:T55)</f>
        <v>5622.25</v>
      </c>
      <c r="U56" s="371"/>
      <c r="V56" s="371">
        <f t="shared" si="3"/>
        <v>8757.4399999999987</v>
      </c>
      <c r="W56" s="452"/>
      <c r="X56" s="452">
        <f>SUM(X50:X55)</f>
        <v>908.71</v>
      </c>
      <c r="Y56" s="373"/>
      <c r="Z56" s="373">
        <f t="shared" si="4"/>
        <v>6912.16</v>
      </c>
      <c r="AA56" s="539"/>
      <c r="AB56" s="539">
        <f t="shared" si="5"/>
        <v>9666.15</v>
      </c>
      <c r="AC56" s="452"/>
      <c r="AD56" s="452">
        <f>SUM(AD50:AD55)</f>
        <v>7983.1199999999963</v>
      </c>
      <c r="AE56" s="371"/>
      <c r="AF56" s="371">
        <f t="shared" si="6"/>
        <v>17649.269999999997</v>
      </c>
      <c r="AG56" s="452"/>
      <c r="AH56" s="452">
        <f>SUM(AH50:AH55)</f>
        <v>1706.6599999999999</v>
      </c>
      <c r="AI56" s="371"/>
      <c r="AJ56" s="371">
        <f t="shared" si="7"/>
        <v>19355.929999999997</v>
      </c>
      <c r="AK56" s="452"/>
      <c r="AL56" s="452">
        <f>SUM(AL50:AL55)</f>
        <v>0</v>
      </c>
      <c r="AM56" s="373"/>
      <c r="AN56" s="373">
        <f t="shared" si="8"/>
        <v>9689.7799999999952</v>
      </c>
      <c r="AO56" s="371"/>
      <c r="AP56" s="371">
        <f t="shared" si="9"/>
        <v>19355.929999999997</v>
      </c>
      <c r="AQ56" s="452"/>
      <c r="AR56" s="452">
        <f>SUM(AR50:AR55)</f>
        <v>2151.6200000000003</v>
      </c>
      <c r="AS56" s="371"/>
      <c r="AT56" s="371">
        <f t="shared" si="10"/>
        <v>21507.549999999996</v>
      </c>
      <c r="AU56" s="452"/>
      <c r="AV56" s="452">
        <f>SUM(AV50:AV55)</f>
        <v>3786.71</v>
      </c>
      <c r="AW56" s="371"/>
      <c r="AX56" s="371">
        <f t="shared" si="11"/>
        <v>25294.259999999995</v>
      </c>
      <c r="AY56" s="452"/>
      <c r="AZ56" s="452">
        <f>SUM(AZ50:AZ55)</f>
        <v>2360.41</v>
      </c>
      <c r="BA56" s="373"/>
      <c r="BB56" s="373">
        <f t="shared" si="12"/>
        <v>8298.74</v>
      </c>
      <c r="BC56" s="539"/>
      <c r="BD56" s="539">
        <f t="shared" si="13"/>
        <v>17988.519999999997</v>
      </c>
      <c r="BE56" s="371">
        <f>SUM(BE50:BE55)</f>
        <v>0</v>
      </c>
      <c r="BF56" s="371">
        <f t="shared" si="14"/>
        <v>27654.669999999995</v>
      </c>
      <c r="BG56" s="5764">
        <f t="shared" si="15"/>
        <v>0</v>
      </c>
      <c r="BH56" s="5764">
        <f t="shared" si="16"/>
        <v>0</v>
      </c>
      <c r="BI56" s="5764"/>
      <c r="BJ56" s="5764">
        <f t="shared" si="17"/>
        <v>0</v>
      </c>
      <c r="BK56" s="5764">
        <f t="shared" si="18"/>
        <v>0</v>
      </c>
      <c r="BP56" s="5764"/>
    </row>
    <row r="57" spans="1:71" x14ac:dyDescent="0.3">
      <c r="A57" s="151"/>
      <c r="B57" s="3401" t="s">
        <v>2362</v>
      </c>
      <c r="C57" s="202"/>
      <c r="D57" s="452"/>
      <c r="E57" s="452"/>
      <c r="F57" s="452"/>
      <c r="G57" s="452"/>
      <c r="H57" s="452"/>
      <c r="I57" s="371"/>
      <c r="J57" s="775">
        <f t="shared" si="0"/>
        <v>0</v>
      </c>
      <c r="K57" s="452"/>
      <c r="L57" s="452"/>
      <c r="M57" s="373"/>
      <c r="N57" s="774">
        <f t="shared" si="1"/>
        <v>0</v>
      </c>
      <c r="O57" s="452"/>
      <c r="P57" s="452"/>
      <c r="Q57" s="371"/>
      <c r="R57" s="775">
        <f t="shared" si="2"/>
        <v>0</v>
      </c>
      <c r="S57" s="452"/>
      <c r="T57" s="452"/>
      <c r="U57" s="371"/>
      <c r="V57" s="775">
        <f t="shared" si="3"/>
        <v>0</v>
      </c>
      <c r="W57" s="452"/>
      <c r="X57" s="452"/>
      <c r="Y57" s="373"/>
      <c r="Z57" s="774">
        <f t="shared" si="4"/>
        <v>0</v>
      </c>
      <c r="AA57" s="539"/>
      <c r="AB57" s="460">
        <f t="shared" si="5"/>
        <v>0</v>
      </c>
      <c r="AC57" s="452"/>
      <c r="AD57" s="452"/>
      <c r="AE57" s="371"/>
      <c r="AF57" s="775">
        <f t="shared" si="6"/>
        <v>0</v>
      </c>
      <c r="AG57" s="452"/>
      <c r="AH57" s="452"/>
      <c r="AI57" s="371"/>
      <c r="AJ57" s="775">
        <f t="shared" si="7"/>
        <v>0</v>
      </c>
      <c r="AK57" s="452"/>
      <c r="AL57" s="452"/>
      <c r="AM57" s="373"/>
      <c r="AN57" s="774">
        <f t="shared" si="8"/>
        <v>0</v>
      </c>
      <c r="AO57" s="371"/>
      <c r="AP57" s="775">
        <f t="shared" si="9"/>
        <v>0</v>
      </c>
      <c r="AQ57" s="452"/>
      <c r="AR57" s="452"/>
      <c r="AS57" s="371"/>
      <c r="AT57" s="775">
        <f t="shared" si="10"/>
        <v>0</v>
      </c>
      <c r="AU57" s="452"/>
      <c r="AV57" s="452"/>
      <c r="AW57" s="371"/>
      <c r="AX57" s="775">
        <f t="shared" si="11"/>
        <v>0</v>
      </c>
      <c r="AY57" s="452"/>
      <c r="AZ57" s="452"/>
      <c r="BA57" s="373"/>
      <c r="BB57" s="774">
        <f t="shared" si="12"/>
        <v>0</v>
      </c>
      <c r="BC57" s="539"/>
      <c r="BD57" s="460">
        <f t="shared" si="13"/>
        <v>0</v>
      </c>
      <c r="BE57" s="371"/>
      <c r="BF57" s="775">
        <f t="shared" si="14"/>
        <v>0</v>
      </c>
      <c r="BG57" s="26">
        <f t="shared" si="15"/>
        <v>0</v>
      </c>
      <c r="BH57" s="26">
        <f t="shared" si="16"/>
        <v>0</v>
      </c>
      <c r="BI57" s="26"/>
      <c r="BJ57" s="26">
        <f t="shared" si="17"/>
        <v>0</v>
      </c>
      <c r="BK57" s="26">
        <f t="shared" si="18"/>
        <v>0</v>
      </c>
      <c r="BP57" s="26"/>
    </row>
    <row r="58" spans="1:71" x14ac:dyDescent="0.3">
      <c r="A58" s="151"/>
      <c r="B58" s="1009" t="s">
        <v>2363</v>
      </c>
      <c r="C58" s="156" t="s">
        <v>50</v>
      </c>
      <c r="D58" s="5458"/>
      <c r="E58" s="5458"/>
      <c r="F58" s="5458">
        <f>+'Direct sales IPT details'!E18</f>
        <v>0</v>
      </c>
      <c r="G58" s="5458"/>
      <c r="H58" s="5458">
        <f>+'Direct sales IPT details'!G18</f>
        <v>0</v>
      </c>
      <c r="I58" s="5460">
        <f>+'Direct sales IPT details'!H18</f>
        <v>0</v>
      </c>
      <c r="J58" s="775">
        <f t="shared" si="0"/>
        <v>0</v>
      </c>
      <c r="K58" s="5458"/>
      <c r="L58" s="5458">
        <f>+'Direct sales IPT details'!K18</f>
        <v>0</v>
      </c>
      <c r="M58" s="5461"/>
      <c r="N58" s="774">
        <f t="shared" si="1"/>
        <v>0</v>
      </c>
      <c r="O58" s="5458"/>
      <c r="P58" s="5458">
        <f>+'Direct sales IPT details'!O18</f>
        <v>64.36</v>
      </c>
      <c r="Q58" s="5460"/>
      <c r="R58" s="775">
        <f t="shared" si="2"/>
        <v>64.36</v>
      </c>
      <c r="S58" s="5458"/>
      <c r="T58" s="5458">
        <f>+'Direct sales IPT details'!S18</f>
        <v>1895.72</v>
      </c>
      <c r="U58" s="5460"/>
      <c r="V58" s="775">
        <f t="shared" si="3"/>
        <v>1960.08</v>
      </c>
      <c r="W58" s="5458"/>
      <c r="X58" s="5458">
        <f>+'Direct sales IPT details'!W18</f>
        <v>960.38000000000011</v>
      </c>
      <c r="Y58" s="5461"/>
      <c r="Z58" s="774">
        <f t="shared" si="4"/>
        <v>2920.46</v>
      </c>
      <c r="AA58" s="5712"/>
      <c r="AB58" s="460">
        <f t="shared" si="5"/>
        <v>2920.46</v>
      </c>
      <c r="AC58" s="5458"/>
      <c r="AD58" s="5458">
        <f>+'Direct sales IPT details'!AC18</f>
        <v>2004.1</v>
      </c>
      <c r="AE58" s="5460"/>
      <c r="AF58" s="775">
        <f t="shared" si="6"/>
        <v>4924.5599999999995</v>
      </c>
      <c r="AG58" s="5458"/>
      <c r="AH58" s="5458">
        <f>+'Direct sales IPT details'!AG18</f>
        <v>0</v>
      </c>
      <c r="AI58" s="5460"/>
      <c r="AJ58" s="775">
        <f t="shared" si="7"/>
        <v>4924.5599999999995</v>
      </c>
      <c r="AK58" s="5458"/>
      <c r="AL58" s="5458">
        <f>+'Direct sales IPT details'!AK18</f>
        <v>0</v>
      </c>
      <c r="AM58" s="5461"/>
      <c r="AN58" s="774">
        <f t="shared" si="8"/>
        <v>2004.1</v>
      </c>
      <c r="AO58" s="5460"/>
      <c r="AP58" s="775">
        <f t="shared" si="9"/>
        <v>4924.5599999999995</v>
      </c>
      <c r="AQ58" s="5458"/>
      <c r="AR58" s="5458">
        <f>+'Direct sales IPT details'!AQ18</f>
        <v>0</v>
      </c>
      <c r="AS58" s="5460"/>
      <c r="AT58" s="775">
        <f t="shared" si="10"/>
        <v>4924.5599999999995</v>
      </c>
      <c r="AU58" s="5458"/>
      <c r="AV58" s="5458">
        <f>+'Direct sales IPT details'!AU18</f>
        <v>0</v>
      </c>
      <c r="AW58" s="5460"/>
      <c r="AX58" s="775">
        <f t="shared" si="11"/>
        <v>4924.5599999999995</v>
      </c>
      <c r="AY58" s="5458"/>
      <c r="AZ58" s="5458">
        <f>+'Direct sales IPT details'!AY18</f>
        <v>0</v>
      </c>
      <c r="BA58" s="5461"/>
      <c r="BB58" s="774">
        <f t="shared" si="12"/>
        <v>0</v>
      </c>
      <c r="BC58" s="5712"/>
      <c r="BD58" s="460">
        <f t="shared" si="13"/>
        <v>2004.1</v>
      </c>
      <c r="BE58" s="5460"/>
      <c r="BF58" s="775">
        <f t="shared" si="14"/>
        <v>4924.5599999999995</v>
      </c>
      <c r="BG58" s="5458">
        <f>+'Direct sales IPT details'!BF18</f>
        <v>0</v>
      </c>
      <c r="BH58" s="5458" t="e">
        <f>+'Direct sales IPT details'!#REF!</f>
        <v>#REF!</v>
      </c>
      <c r="BI58" s="5458">
        <f>+'Direct sales IPT details'!BG18</f>
        <v>0</v>
      </c>
      <c r="BJ58" s="5458">
        <f>+'Direct sales IPT details'!BH18</f>
        <v>0</v>
      </c>
      <c r="BK58" s="5458">
        <f>+'Direct sales IPT details'!BI18</f>
        <v>0</v>
      </c>
      <c r="BL58" s="5458">
        <f>+'Direct sales IPT details'!BJ18</f>
        <v>0</v>
      </c>
      <c r="BM58" s="5458">
        <f>+'Direct sales IPT details'!BK18</f>
        <v>0</v>
      </c>
      <c r="BN58" s="5458">
        <f>+'Direct sales IPT details'!BL18</f>
        <v>0</v>
      </c>
      <c r="BO58" s="5458">
        <f>+'Direct sales IPT details'!BM18</f>
        <v>0</v>
      </c>
      <c r="BP58" s="26"/>
    </row>
    <row r="59" spans="1:71" x14ac:dyDescent="0.3">
      <c r="A59" s="151"/>
      <c r="B59" s="1009" t="s">
        <v>2364</v>
      </c>
      <c r="C59" s="156" t="s">
        <v>50</v>
      </c>
      <c r="D59" s="5458"/>
      <c r="E59" s="5458"/>
      <c r="F59" s="5458">
        <f>+'Direct sales IPT details'!E17</f>
        <v>0</v>
      </c>
      <c r="G59" s="5458"/>
      <c r="H59" s="5458">
        <f>+'Direct sales IPT details'!G17</f>
        <v>640.46</v>
      </c>
      <c r="I59" s="5460">
        <f>+'Direct sales IPT details'!H17</f>
        <v>0</v>
      </c>
      <c r="J59" s="775">
        <f t="shared" si="0"/>
        <v>640.46</v>
      </c>
      <c r="K59" s="5458"/>
      <c r="L59" s="5458">
        <f>+'Direct sales IPT details'!K17</f>
        <v>1065.5999999999999</v>
      </c>
      <c r="M59" s="5461"/>
      <c r="N59" s="774">
        <f t="shared" si="1"/>
        <v>1706.06</v>
      </c>
      <c r="O59" s="5458"/>
      <c r="P59" s="5458">
        <f>+'Direct sales IPT details'!O17</f>
        <v>398.74</v>
      </c>
      <c r="Q59" s="5460"/>
      <c r="R59" s="775">
        <f t="shared" si="2"/>
        <v>2104.8000000000002</v>
      </c>
      <c r="S59" s="5458"/>
      <c r="T59" s="5458">
        <f>+'Direct sales IPT details'!S17</f>
        <v>353.2</v>
      </c>
      <c r="U59" s="5460"/>
      <c r="V59" s="775">
        <f t="shared" si="3"/>
        <v>2458</v>
      </c>
      <c r="W59" s="5458"/>
      <c r="X59" s="5458">
        <f>+'Direct sales IPT details'!W17</f>
        <v>453.39000000000004</v>
      </c>
      <c r="Y59" s="5461"/>
      <c r="Z59" s="774">
        <f t="shared" si="4"/>
        <v>1205.3300000000002</v>
      </c>
      <c r="AA59" s="5712"/>
      <c r="AB59" s="460">
        <f t="shared" si="5"/>
        <v>2911.3900000000003</v>
      </c>
      <c r="AC59" s="5458"/>
      <c r="AD59" s="5458">
        <f>+'Direct sales IPT details'!AC17</f>
        <v>0</v>
      </c>
      <c r="AE59" s="5460"/>
      <c r="AF59" s="775">
        <f t="shared" si="6"/>
        <v>2911.3900000000003</v>
      </c>
      <c r="AG59" s="5458"/>
      <c r="AH59" s="5458">
        <f>+'Direct sales IPT details'!AG17</f>
        <v>0</v>
      </c>
      <c r="AI59" s="5460"/>
      <c r="AJ59" s="775">
        <f t="shared" si="7"/>
        <v>2911.3900000000003</v>
      </c>
      <c r="AK59" s="5458"/>
      <c r="AL59" s="5458">
        <f>+'Direct sales IPT details'!AK17</f>
        <v>703.34</v>
      </c>
      <c r="AM59" s="5461"/>
      <c r="AN59" s="774">
        <f t="shared" si="8"/>
        <v>703.34</v>
      </c>
      <c r="AO59" s="5460"/>
      <c r="AP59" s="775">
        <f t="shared" si="9"/>
        <v>3614.7300000000005</v>
      </c>
      <c r="AQ59" s="5458"/>
      <c r="AR59" s="5458">
        <f>+'Direct sales IPT details'!AQ17</f>
        <v>1589.84</v>
      </c>
      <c r="AS59" s="5460"/>
      <c r="AT59" s="775">
        <f t="shared" si="10"/>
        <v>5204.5700000000006</v>
      </c>
      <c r="AU59" s="5458"/>
      <c r="AV59" s="5458">
        <f>+'Direct sales IPT details'!AU17</f>
        <v>481.34000000000003</v>
      </c>
      <c r="AW59" s="5460"/>
      <c r="AX59" s="775">
        <f t="shared" si="11"/>
        <v>5685.9100000000008</v>
      </c>
      <c r="AY59" s="5458"/>
      <c r="AZ59" s="5458">
        <f>+'Direct sales IPT details'!AY17</f>
        <v>1544.2600000000002</v>
      </c>
      <c r="BA59" s="5461"/>
      <c r="BB59" s="774">
        <f t="shared" si="12"/>
        <v>3615.44</v>
      </c>
      <c r="BC59" s="5712"/>
      <c r="BD59" s="460">
        <f t="shared" si="13"/>
        <v>4318.78</v>
      </c>
      <c r="BE59" s="5460"/>
      <c r="BF59" s="775">
        <f t="shared" si="14"/>
        <v>7230.170000000001</v>
      </c>
      <c r="BG59" s="26"/>
      <c r="BH59" s="26"/>
      <c r="BI59" s="26"/>
      <c r="BJ59" s="26"/>
      <c r="BK59" s="26"/>
      <c r="BP59" s="26"/>
    </row>
    <row r="60" spans="1:71" s="833" customFormat="1" x14ac:dyDescent="0.3">
      <c r="A60" s="5765"/>
      <c r="B60" s="3403" t="s">
        <v>2</v>
      </c>
      <c r="C60" s="156" t="s">
        <v>50</v>
      </c>
      <c r="D60" s="5463"/>
      <c r="E60" s="5463"/>
      <c r="F60" s="5463">
        <f>SUM(F58:F59)</f>
        <v>0</v>
      </c>
      <c r="G60" s="5463"/>
      <c r="H60" s="5463">
        <f t="shared" ref="H60:AZ60" si="224">SUM(H58:H59)</f>
        <v>640.46</v>
      </c>
      <c r="I60" s="5478">
        <f t="shared" si="224"/>
        <v>0</v>
      </c>
      <c r="J60" s="371">
        <f t="shared" si="0"/>
        <v>640.46</v>
      </c>
      <c r="K60" s="5463"/>
      <c r="L60" s="5463">
        <f t="shared" si="224"/>
        <v>1065.5999999999999</v>
      </c>
      <c r="M60" s="5464"/>
      <c r="N60" s="373">
        <f t="shared" si="1"/>
        <v>1706.06</v>
      </c>
      <c r="O60" s="5463"/>
      <c r="P60" s="5463">
        <f t="shared" si="224"/>
        <v>463.1</v>
      </c>
      <c r="Q60" s="5478"/>
      <c r="R60" s="371">
        <f t="shared" si="2"/>
        <v>2169.16</v>
      </c>
      <c r="S60" s="5463"/>
      <c r="T60" s="5463">
        <f t="shared" si="224"/>
        <v>2248.92</v>
      </c>
      <c r="U60" s="5478"/>
      <c r="V60" s="371">
        <f t="shared" si="3"/>
        <v>4418.08</v>
      </c>
      <c r="W60" s="5463"/>
      <c r="X60" s="5463">
        <f t="shared" si="224"/>
        <v>1413.7700000000002</v>
      </c>
      <c r="Y60" s="5464"/>
      <c r="Z60" s="373">
        <f t="shared" si="4"/>
        <v>4125.79</v>
      </c>
      <c r="AA60" s="5476"/>
      <c r="AB60" s="539">
        <f t="shared" si="5"/>
        <v>5831.85</v>
      </c>
      <c r="AC60" s="5463"/>
      <c r="AD60" s="5463">
        <f t="shared" si="224"/>
        <v>2004.1</v>
      </c>
      <c r="AE60" s="5478"/>
      <c r="AF60" s="371">
        <f t="shared" si="6"/>
        <v>7835.9500000000007</v>
      </c>
      <c r="AG60" s="5463"/>
      <c r="AH60" s="5463">
        <f t="shared" si="224"/>
        <v>0</v>
      </c>
      <c r="AI60" s="5478"/>
      <c r="AJ60" s="371">
        <f t="shared" si="7"/>
        <v>7835.9500000000007</v>
      </c>
      <c r="AK60" s="5463"/>
      <c r="AL60" s="5463">
        <f t="shared" si="224"/>
        <v>703.34</v>
      </c>
      <c r="AM60" s="5464"/>
      <c r="AN60" s="373">
        <f t="shared" si="8"/>
        <v>2707.44</v>
      </c>
      <c r="AO60" s="5478"/>
      <c r="AP60" s="371">
        <f t="shared" si="9"/>
        <v>8539.2900000000009</v>
      </c>
      <c r="AQ60" s="5463"/>
      <c r="AR60" s="5463">
        <f t="shared" si="224"/>
        <v>1589.84</v>
      </c>
      <c r="AS60" s="5478"/>
      <c r="AT60" s="371">
        <f t="shared" si="10"/>
        <v>10129.130000000001</v>
      </c>
      <c r="AU60" s="5463"/>
      <c r="AV60" s="5463">
        <f t="shared" si="224"/>
        <v>481.34000000000003</v>
      </c>
      <c r="AW60" s="5478"/>
      <c r="AX60" s="371">
        <f t="shared" si="11"/>
        <v>10610.470000000001</v>
      </c>
      <c r="AY60" s="5463"/>
      <c r="AZ60" s="5463">
        <f t="shared" si="224"/>
        <v>1544.2600000000002</v>
      </c>
      <c r="BA60" s="5464"/>
      <c r="BB60" s="373">
        <f t="shared" si="12"/>
        <v>3615.44</v>
      </c>
      <c r="BC60" s="5476"/>
      <c r="BD60" s="539">
        <f t="shared" si="13"/>
        <v>6322.88</v>
      </c>
      <c r="BE60" s="5478"/>
      <c r="BF60" s="371">
        <f t="shared" si="14"/>
        <v>12154.730000000001</v>
      </c>
      <c r="BG60" s="5766"/>
      <c r="BH60" s="5766"/>
      <c r="BI60" s="5766"/>
      <c r="BJ60" s="5766"/>
      <c r="BK60" s="5766"/>
      <c r="BP60" s="5766"/>
      <c r="BS60" s="5766" t="e">
        <f>+#REF!+BF55-BF60</f>
        <v>#REF!</v>
      </c>
    </row>
    <row r="61" spans="1:71" x14ac:dyDescent="0.3">
      <c r="A61" s="151"/>
      <c r="B61" s="5686"/>
      <c r="C61" s="5768"/>
      <c r="D61" s="5463"/>
      <c r="E61" s="5463"/>
      <c r="F61" s="5463"/>
      <c r="G61" s="5463"/>
      <c r="H61" s="5463"/>
      <c r="I61" s="5478"/>
      <c r="J61" s="775">
        <f t="shared" si="0"/>
        <v>0</v>
      </c>
      <c r="K61" s="5463"/>
      <c r="L61" s="5463"/>
      <c r="M61" s="5464"/>
      <c r="N61" s="774">
        <f t="shared" si="1"/>
        <v>0</v>
      </c>
      <c r="O61" s="5463"/>
      <c r="P61" s="5463"/>
      <c r="Q61" s="5478"/>
      <c r="R61" s="775">
        <f t="shared" si="2"/>
        <v>0</v>
      </c>
      <c r="S61" s="5463"/>
      <c r="T61" s="5463"/>
      <c r="U61" s="5478"/>
      <c r="V61" s="775">
        <f t="shared" si="3"/>
        <v>0</v>
      </c>
      <c r="W61" s="5463"/>
      <c r="X61" s="5463"/>
      <c r="Y61" s="5464"/>
      <c r="Z61" s="774">
        <f t="shared" si="4"/>
        <v>0</v>
      </c>
      <c r="AA61" s="5476"/>
      <c r="AB61" s="460">
        <f t="shared" si="5"/>
        <v>0</v>
      </c>
      <c r="AC61" s="5463"/>
      <c r="AD61" s="5463"/>
      <c r="AE61" s="5478"/>
      <c r="AF61" s="775">
        <f t="shared" si="6"/>
        <v>0</v>
      </c>
      <c r="AG61" s="5463"/>
      <c r="AH61" s="5463"/>
      <c r="AI61" s="5478"/>
      <c r="AJ61" s="775">
        <f t="shared" si="7"/>
        <v>0</v>
      </c>
      <c r="AK61" s="5463"/>
      <c r="AL61" s="5463"/>
      <c r="AM61" s="5464"/>
      <c r="AN61" s="774">
        <f t="shared" si="8"/>
        <v>0</v>
      </c>
      <c r="AO61" s="5478"/>
      <c r="AP61" s="775">
        <f t="shared" si="9"/>
        <v>0</v>
      </c>
      <c r="AQ61" s="5463"/>
      <c r="AR61" s="5463"/>
      <c r="AS61" s="5478"/>
      <c r="AT61" s="775">
        <f t="shared" si="10"/>
        <v>0</v>
      </c>
      <c r="AU61" s="5463"/>
      <c r="AV61" s="5463"/>
      <c r="AW61" s="5478"/>
      <c r="AX61" s="775">
        <f t="shared" si="11"/>
        <v>0</v>
      </c>
      <c r="AY61" s="5463"/>
      <c r="AZ61" s="5463"/>
      <c r="BA61" s="5464"/>
      <c r="BB61" s="774">
        <f t="shared" si="12"/>
        <v>0</v>
      </c>
      <c r="BC61" s="5476"/>
      <c r="BD61" s="460">
        <f t="shared" si="13"/>
        <v>0</v>
      </c>
      <c r="BE61" s="5478"/>
      <c r="BF61" s="775">
        <f t="shared" si="14"/>
        <v>0</v>
      </c>
      <c r="BG61" s="26"/>
      <c r="BH61" s="26"/>
      <c r="BI61" s="26"/>
      <c r="BJ61" s="26"/>
      <c r="BK61" s="26"/>
      <c r="BP61" s="26"/>
    </row>
    <row r="62" spans="1:71" x14ac:dyDescent="0.3">
      <c r="A62" s="151"/>
      <c r="B62" s="853" t="s">
        <v>117</v>
      </c>
      <c r="C62" s="3529"/>
      <c r="D62" s="853"/>
      <c r="E62" s="3407"/>
      <c r="F62" s="3407"/>
      <c r="G62" s="3407"/>
      <c r="H62" s="3407"/>
      <c r="I62" s="5688"/>
      <c r="J62" s="775">
        <f t="shared" si="0"/>
        <v>0</v>
      </c>
      <c r="K62" s="3407"/>
      <c r="L62" s="3407"/>
      <c r="M62" s="5702"/>
      <c r="N62" s="774">
        <f t="shared" si="1"/>
        <v>0</v>
      </c>
      <c r="O62" s="3407"/>
      <c r="P62" s="3407"/>
      <c r="Q62" s="5688"/>
      <c r="R62" s="775">
        <f t="shared" si="2"/>
        <v>0</v>
      </c>
      <c r="S62" s="3407"/>
      <c r="T62" s="3407"/>
      <c r="U62" s="5688"/>
      <c r="V62" s="775">
        <f t="shared" si="3"/>
        <v>0</v>
      </c>
      <c r="W62" s="3407"/>
      <c r="X62" s="3407"/>
      <c r="Y62" s="5702"/>
      <c r="Z62" s="774">
        <f t="shared" si="4"/>
        <v>0</v>
      </c>
      <c r="AA62" s="5713"/>
      <c r="AB62" s="460">
        <f t="shared" si="5"/>
        <v>0</v>
      </c>
      <c r="AC62" s="3407"/>
      <c r="AD62" s="3407"/>
      <c r="AE62" s="5688"/>
      <c r="AF62" s="775">
        <f t="shared" si="6"/>
        <v>0</v>
      </c>
      <c r="AG62" s="3407"/>
      <c r="AH62" s="3407"/>
      <c r="AI62" s="5688"/>
      <c r="AJ62" s="775">
        <f t="shared" si="7"/>
        <v>0</v>
      </c>
      <c r="AK62" s="3407"/>
      <c r="AL62" s="3407"/>
      <c r="AM62" s="5702"/>
      <c r="AN62" s="774">
        <f t="shared" si="8"/>
        <v>0</v>
      </c>
      <c r="AO62" s="5688"/>
      <c r="AP62" s="775">
        <f t="shared" si="9"/>
        <v>0</v>
      </c>
      <c r="AQ62" s="3407"/>
      <c r="AR62" s="3407"/>
      <c r="AS62" s="5688"/>
      <c r="AT62" s="775">
        <f t="shared" si="10"/>
        <v>0</v>
      </c>
      <c r="AU62" s="3407"/>
      <c r="AV62" s="3407"/>
      <c r="AW62" s="5688"/>
      <c r="AX62" s="775">
        <f t="shared" si="11"/>
        <v>0</v>
      </c>
      <c r="AY62" s="3407"/>
      <c r="AZ62" s="3407"/>
      <c r="BA62" s="5702"/>
      <c r="BB62" s="774">
        <f t="shared" si="12"/>
        <v>0</v>
      </c>
      <c r="BC62" s="5713"/>
      <c r="BD62" s="460">
        <f t="shared" si="13"/>
        <v>0</v>
      </c>
      <c r="BE62" s="5688"/>
      <c r="BF62" s="775">
        <f t="shared" si="14"/>
        <v>0</v>
      </c>
      <c r="BG62" s="26">
        <f t="shared" si="15"/>
        <v>0</v>
      </c>
      <c r="BH62" s="26">
        <f t="shared" si="16"/>
        <v>0</v>
      </c>
      <c r="BI62" s="26"/>
      <c r="BJ62" s="26">
        <f t="shared" si="17"/>
        <v>0</v>
      </c>
      <c r="BK62" s="26">
        <f t="shared" si="18"/>
        <v>0</v>
      </c>
      <c r="BP62" s="26"/>
    </row>
    <row r="63" spans="1:71" x14ac:dyDescent="0.3">
      <c r="A63" s="92"/>
      <c r="B63" s="1009" t="s">
        <v>75</v>
      </c>
      <c r="C63" s="156" t="s">
        <v>50</v>
      </c>
      <c r="D63" s="6124">
        <f>+D7+D15+D23+D31</f>
        <v>2566798</v>
      </c>
      <c r="E63" s="6124">
        <f>E7+E15+E23+E31</f>
        <v>219371.02748981552</v>
      </c>
      <c r="F63" s="1118">
        <f>F7+F15+F31+F23</f>
        <v>121879.79999999997</v>
      </c>
      <c r="G63" s="6124">
        <f>G7+G15+G23+G31</f>
        <v>226871.12212620256</v>
      </c>
      <c r="H63" s="1118">
        <f>H7+H15+H31+H23</f>
        <v>138747.00999999998</v>
      </c>
      <c r="I63" s="6127">
        <f>E63+G63</f>
        <v>446242.14961601805</v>
      </c>
      <c r="J63" s="775">
        <f t="shared" si="0"/>
        <v>260626.80999999994</v>
      </c>
      <c r="K63" s="6124">
        <f>K7+K15+K23+K31</f>
        <v>219371.65633766068</v>
      </c>
      <c r="L63" s="1118">
        <f>L7+L15+L31+L23</f>
        <v>120386.73999999999</v>
      </c>
      <c r="M63" s="5898">
        <f>E63+G63+K63</f>
        <v>665613.80595367867</v>
      </c>
      <c r="N63" s="774">
        <f t="shared" si="1"/>
        <v>381013.54999999993</v>
      </c>
      <c r="O63" s="6124">
        <f>O7+O15+O23+O31</f>
        <v>221871.68680986637</v>
      </c>
      <c r="P63" s="1118">
        <f>P7+P15+P31+P23</f>
        <v>136780.81</v>
      </c>
      <c r="Q63" s="6127">
        <f>M63+O63</f>
        <v>887485.49276354501</v>
      </c>
      <c r="R63" s="775">
        <f t="shared" si="2"/>
        <v>517794.35999999993</v>
      </c>
      <c r="S63" s="6124">
        <f>S7+S15+S23+S31</f>
        <v>221871.35347653303</v>
      </c>
      <c r="T63" s="1118">
        <f>T7+T15+T31+T23</f>
        <v>149407.49</v>
      </c>
      <c r="U63" s="6127">
        <f>Q63+S63</f>
        <v>1109356.8462400781</v>
      </c>
      <c r="V63" s="775">
        <f t="shared" si="3"/>
        <v>667201.84999999986</v>
      </c>
      <c r="W63" s="6124">
        <f>W7+W15+W23+W31</f>
        <v>119216.68143151987</v>
      </c>
      <c r="X63" s="1118">
        <f>X7+X15+X31+X23</f>
        <v>118171.66000000002</v>
      </c>
      <c r="Y63" s="5898">
        <f t="shared" ref="Y63:Y64" si="225">O63+S63+W63</f>
        <v>562959.72171791934</v>
      </c>
      <c r="Z63" s="774">
        <f t="shared" si="4"/>
        <v>404359.96</v>
      </c>
      <c r="AA63" s="5919">
        <f>M63+Y63</f>
        <v>1228573.5276715979</v>
      </c>
      <c r="AB63" s="460">
        <f t="shared" si="5"/>
        <v>785373.51</v>
      </c>
      <c r="AC63" s="6124">
        <f>AC7+AC15+AC23+AC31</f>
        <v>226870.7402809684</v>
      </c>
      <c r="AD63" s="1118">
        <f>AD7+AD15+AD31+AD23</f>
        <v>102074.33999999998</v>
      </c>
      <c r="AE63" s="6127">
        <f>AA63+AC63</f>
        <v>1455444.2679525663</v>
      </c>
      <c r="AF63" s="775">
        <f t="shared" si="6"/>
        <v>887447.85</v>
      </c>
      <c r="AG63" s="6124">
        <f>AG7+AG15+AG23+AG31</f>
        <v>219370.80057688672</v>
      </c>
      <c r="AH63" s="1118">
        <f>AH7+AH15+AH31+AH23</f>
        <v>144101.09</v>
      </c>
      <c r="AI63" s="6128">
        <f>AE63+AG63</f>
        <v>1674815.0685294529</v>
      </c>
      <c r="AJ63" s="775">
        <f t="shared" si="7"/>
        <v>1031548.94</v>
      </c>
      <c r="AK63" s="6124">
        <f>AK7+AK15+AK23+AK31</f>
        <v>226871.26636542848</v>
      </c>
      <c r="AL63" s="1118">
        <f>AL7+AL15+AL31+AL23</f>
        <v>155324.22999999998</v>
      </c>
      <c r="AM63" s="5898">
        <f t="shared" ref="AM63:AM64" si="226">AC63+AG63+AK63</f>
        <v>673112.80722328357</v>
      </c>
      <c r="AN63" s="774">
        <f t="shared" si="8"/>
        <v>401499.66</v>
      </c>
      <c r="AO63" s="6127">
        <f>AI63+AK63</f>
        <v>1901686.3348948814</v>
      </c>
      <c r="AP63" s="775">
        <f t="shared" si="9"/>
        <v>1186873.17</v>
      </c>
      <c r="AQ63" s="6124">
        <f>AQ7+AQ15+AQ23+AQ31</f>
        <v>230370.87679967604</v>
      </c>
      <c r="AR63" s="1118">
        <f>AR7+AR15+AR31+AR23</f>
        <v>154023.1</v>
      </c>
      <c r="AS63" s="6128">
        <f>AO63+AQ63</f>
        <v>2132057.2116945572</v>
      </c>
      <c r="AT63" s="775">
        <f t="shared" si="10"/>
        <v>1340896.27</v>
      </c>
      <c r="AU63" s="6124">
        <f>AU7+AU15+AU23+AU31</f>
        <v>204371.22255041587</v>
      </c>
      <c r="AV63" s="1118">
        <f>AV7+AV15+AV31+AV23</f>
        <v>143472.91</v>
      </c>
      <c r="AW63" s="6128">
        <f>AS63+AU63</f>
        <v>2336428.4342449731</v>
      </c>
      <c r="AX63" s="775">
        <f t="shared" si="11"/>
        <v>1484369.18</v>
      </c>
      <c r="AY63" s="6124">
        <f>AY7+AY15+AY23+AY31</f>
        <v>230370.90288413607</v>
      </c>
      <c r="AZ63" s="1118">
        <f>AZ7+AZ15+AZ31+AZ23</f>
        <v>163014.04</v>
      </c>
      <c r="BA63" s="5898">
        <f t="shared" ref="BA63:BA64" si="227">AQ63+AU63+AY63</f>
        <v>665113.00223422796</v>
      </c>
      <c r="BB63" s="774">
        <f t="shared" si="12"/>
        <v>460510.05000000005</v>
      </c>
      <c r="BC63" s="5919">
        <f>AM63+BA63</f>
        <v>1338225.8094575116</v>
      </c>
      <c r="BD63" s="460">
        <f t="shared" si="13"/>
        <v>862009.71</v>
      </c>
      <c r="BE63" s="6128">
        <f>AW63+AY63</f>
        <v>2566799.3371291091</v>
      </c>
      <c r="BF63" s="775">
        <f t="shared" si="14"/>
        <v>1647383.22</v>
      </c>
      <c r="BG63" s="26">
        <f t="shared" si="15"/>
        <v>0</v>
      </c>
      <c r="BH63" s="26">
        <f t="shared" si="16"/>
        <v>0</v>
      </c>
      <c r="BI63" s="26"/>
      <c r="BJ63" s="26">
        <f t="shared" si="17"/>
        <v>0</v>
      </c>
      <c r="BK63" s="26">
        <f t="shared" si="18"/>
        <v>0</v>
      </c>
      <c r="BP63" s="26"/>
      <c r="BS63" s="26">
        <f>17946-BF60-BF55</f>
        <v>4089.0199999999986</v>
      </c>
    </row>
    <row r="64" spans="1:71" x14ac:dyDescent="0.3">
      <c r="A64" s="92"/>
      <c r="B64" s="1009" t="s">
        <v>76</v>
      </c>
      <c r="C64" s="156" t="s">
        <v>50</v>
      </c>
      <c r="D64" s="6124"/>
      <c r="E64" s="6124"/>
      <c r="F64" s="1118">
        <f>F8+F16+F32+F24</f>
        <v>48531.65</v>
      </c>
      <c r="G64" s="6124"/>
      <c r="H64" s="1118">
        <f>H8+H16+H32+H24</f>
        <v>73085.039999999994</v>
      </c>
      <c r="I64" s="6127"/>
      <c r="J64" s="775">
        <f t="shared" si="0"/>
        <v>121616.69</v>
      </c>
      <c r="K64" s="6124"/>
      <c r="L64" s="1118">
        <f>L8+L16+L32+L24</f>
        <v>91277.939999999988</v>
      </c>
      <c r="M64" s="5898"/>
      <c r="N64" s="774">
        <f t="shared" si="1"/>
        <v>212894.63</v>
      </c>
      <c r="O64" s="6124"/>
      <c r="P64" s="1118">
        <f>P8+P16+P32+P24</f>
        <v>102874.62000000001</v>
      </c>
      <c r="Q64" s="6127"/>
      <c r="R64" s="775">
        <f t="shared" si="2"/>
        <v>315769.25</v>
      </c>
      <c r="S64" s="6124"/>
      <c r="T64" s="1118">
        <f>T8+T16+T32+T24</f>
        <v>89009.359999999986</v>
      </c>
      <c r="U64" s="6127"/>
      <c r="V64" s="775">
        <f t="shared" si="3"/>
        <v>404778.61</v>
      </c>
      <c r="W64" s="6124"/>
      <c r="X64" s="1118">
        <f>X8+X16+X32+X24</f>
        <v>83127.570000000007</v>
      </c>
      <c r="Y64" s="5898">
        <f t="shared" si="225"/>
        <v>0</v>
      </c>
      <c r="Z64" s="774">
        <f t="shared" si="4"/>
        <v>275011.55</v>
      </c>
      <c r="AA64" s="5919"/>
      <c r="AB64" s="460">
        <f t="shared" si="5"/>
        <v>487906.18</v>
      </c>
      <c r="AC64" s="6124"/>
      <c r="AD64" s="1118">
        <f>AD8+AD16+AD32+AD24</f>
        <v>62676.91</v>
      </c>
      <c r="AE64" s="6127"/>
      <c r="AF64" s="775">
        <f t="shared" si="6"/>
        <v>550583.09</v>
      </c>
      <c r="AG64" s="6124"/>
      <c r="AH64" s="1118">
        <f>AH8+AH16+AH32+AH24</f>
        <v>73868.744999999995</v>
      </c>
      <c r="AI64" s="6126"/>
      <c r="AJ64" s="775">
        <f t="shared" si="7"/>
        <v>624451.83499999996</v>
      </c>
      <c r="AK64" s="6124"/>
      <c r="AL64" s="1118">
        <f>AL8+AL16+AL32+AL24</f>
        <v>69474.281000000003</v>
      </c>
      <c r="AM64" s="5898">
        <f t="shared" si="226"/>
        <v>0</v>
      </c>
      <c r="AN64" s="774">
        <f t="shared" si="8"/>
        <v>206019.93599999999</v>
      </c>
      <c r="AO64" s="6127"/>
      <c r="AP64" s="775">
        <f t="shared" si="9"/>
        <v>693926.11599999992</v>
      </c>
      <c r="AQ64" s="6124"/>
      <c r="AR64" s="1118">
        <f>AR8+AR16+AR32+AR24</f>
        <v>53620.361000000012</v>
      </c>
      <c r="AS64" s="6126"/>
      <c r="AT64" s="775">
        <f t="shared" si="10"/>
        <v>747546.47699999996</v>
      </c>
      <c r="AU64" s="6124"/>
      <c r="AV64" s="1118">
        <f>AV8+AV16+AV32+AV24</f>
        <v>41740.58</v>
      </c>
      <c r="AW64" s="6126"/>
      <c r="AX64" s="775">
        <f t="shared" si="11"/>
        <v>789287.05699999991</v>
      </c>
      <c r="AY64" s="6124"/>
      <c r="AZ64" s="1118">
        <f>AZ8+AZ16+AZ32+AZ24</f>
        <v>59773.861999999994</v>
      </c>
      <c r="BA64" s="5898">
        <f t="shared" si="227"/>
        <v>0</v>
      </c>
      <c r="BB64" s="774">
        <f t="shared" si="12"/>
        <v>155134.80300000001</v>
      </c>
      <c r="BC64" s="5919"/>
      <c r="BD64" s="460">
        <f t="shared" si="13"/>
        <v>361154.739</v>
      </c>
      <c r="BE64" s="6126"/>
      <c r="BF64" s="775">
        <f t="shared" si="14"/>
        <v>849060.91899999988</v>
      </c>
      <c r="BG64" s="26">
        <f t="shared" si="15"/>
        <v>0</v>
      </c>
      <c r="BH64" s="26">
        <f t="shared" si="16"/>
        <v>0</v>
      </c>
      <c r="BI64" s="26"/>
      <c r="BJ64" s="26">
        <f t="shared" si="17"/>
        <v>0</v>
      </c>
      <c r="BK64" s="26">
        <f t="shared" si="18"/>
        <v>0</v>
      </c>
      <c r="BP64" s="26"/>
    </row>
    <row r="65" spans="1:70" x14ac:dyDescent="0.3">
      <c r="A65" s="92"/>
      <c r="B65" s="1009" t="s">
        <v>137</v>
      </c>
      <c r="C65" s="156" t="s">
        <v>50</v>
      </c>
      <c r="D65" s="1118">
        <f>+D9+D17+D25+D33</f>
        <v>83000.000000000015</v>
      </c>
      <c r="E65" s="1118">
        <f>+E9+E17+E25+E33</f>
        <v>7545.4545454545469</v>
      </c>
      <c r="F65" s="1118">
        <f>F9+F17+F33+F25</f>
        <v>4383.6600000000008</v>
      </c>
      <c r="G65" s="1118">
        <f>+G9+G17+G25+G33</f>
        <v>7545.4545454545469</v>
      </c>
      <c r="H65" s="1118">
        <f>H9+H17+H33+H25</f>
        <v>2929.0299999999993</v>
      </c>
      <c r="I65" s="775">
        <f t="shared" ref="I65:I69" si="228">E65+G65</f>
        <v>15090.909090909094</v>
      </c>
      <c r="J65" s="775">
        <f t="shared" si="0"/>
        <v>7312.6900000000005</v>
      </c>
      <c r="K65" s="1118">
        <f>+K9+K17+K25+K33</f>
        <v>7545.4545454545469</v>
      </c>
      <c r="L65" s="1118">
        <f>L9+L17+L33+L25</f>
        <v>35.9</v>
      </c>
      <c r="M65" s="774">
        <f t="shared" ref="M65:M67" si="229">E65+G65+K65</f>
        <v>22636.36363636364</v>
      </c>
      <c r="N65" s="774">
        <f t="shared" si="1"/>
        <v>7348.59</v>
      </c>
      <c r="O65" s="1118">
        <f>+O9+O17+O25+O33</f>
        <v>7545.4545454545469</v>
      </c>
      <c r="P65" s="1118">
        <f>P9+P17+P33+P25</f>
        <v>38.94</v>
      </c>
      <c r="Q65" s="775">
        <f t="shared" ref="Q65:Q69" si="230">M65+O65</f>
        <v>30181.818181818187</v>
      </c>
      <c r="R65" s="775">
        <f t="shared" si="2"/>
        <v>7387.53</v>
      </c>
      <c r="S65" s="1118">
        <f>+S9+S17+S25+S33</f>
        <v>7545.4545454545469</v>
      </c>
      <c r="T65" s="1118">
        <f>T9+T17+T33+T25</f>
        <v>158.79</v>
      </c>
      <c r="U65" s="775">
        <f t="shared" ref="U65:U69" si="231">Q65+S65</f>
        <v>37727.272727272735</v>
      </c>
      <c r="V65" s="775">
        <f t="shared" si="3"/>
        <v>7546.32</v>
      </c>
      <c r="W65" s="1118">
        <f>+W9+W17+W25+W33</f>
        <v>0</v>
      </c>
      <c r="X65" s="1118">
        <f>X9+X17+X33+X25</f>
        <v>89.79</v>
      </c>
      <c r="Y65" s="774">
        <f>O65+S65+W65</f>
        <v>15090.909090909094</v>
      </c>
      <c r="Z65" s="774">
        <f t="shared" si="4"/>
        <v>287.52</v>
      </c>
      <c r="AA65" s="460">
        <f>M65+Y65</f>
        <v>37727.272727272735</v>
      </c>
      <c r="AB65" s="460">
        <f t="shared" si="5"/>
        <v>7636.1100000000006</v>
      </c>
      <c r="AC65" s="1118">
        <f>+AC9+AC17+AC25+AC33</f>
        <v>7545.4545454545469</v>
      </c>
      <c r="AD65" s="1118">
        <f>AD9+AD17+AD33+AD25</f>
        <v>2836.7</v>
      </c>
      <c r="AE65" s="775">
        <f t="shared" ref="AE65:AE69" si="232">AA65+AC65</f>
        <v>45272.727272727279</v>
      </c>
      <c r="AF65" s="775">
        <f t="shared" si="6"/>
        <v>10472.810000000001</v>
      </c>
      <c r="AG65" s="1118">
        <f>+AG9+AG17+AG25+AG33</f>
        <v>7545.4545454545469</v>
      </c>
      <c r="AH65" s="1118">
        <f>AH9+AH17+AH33+AH25</f>
        <v>2943.85</v>
      </c>
      <c r="AI65" s="775">
        <f t="shared" ref="AI65:AI69" si="233">AE65+AG65</f>
        <v>52818.181818181823</v>
      </c>
      <c r="AJ65" s="775">
        <f t="shared" si="7"/>
        <v>13416.660000000002</v>
      </c>
      <c r="AK65" s="1118">
        <f>+AK9+AK17+AK25+AK33</f>
        <v>7545.4545454545469</v>
      </c>
      <c r="AL65" s="1118">
        <f>AL9+AL17+AL33+AL25</f>
        <v>2712.14</v>
      </c>
      <c r="AM65" s="774">
        <f>AC65+AG65+AK65</f>
        <v>22636.36363636364</v>
      </c>
      <c r="AN65" s="774">
        <f t="shared" si="8"/>
        <v>8492.6899999999987</v>
      </c>
      <c r="AO65" s="775">
        <f t="shared" ref="AO65:AO69" si="234">AI65+AK65</f>
        <v>60363.636363636368</v>
      </c>
      <c r="AP65" s="775">
        <f t="shared" si="9"/>
        <v>16128.800000000001</v>
      </c>
      <c r="AQ65" s="1118">
        <f>+AQ9+AQ17+AQ25+AQ33</f>
        <v>7545.4545454545469</v>
      </c>
      <c r="AR65" s="1118">
        <f>AR9+AR17+AR33+AR25</f>
        <v>2842.54</v>
      </c>
      <c r="AS65" s="775">
        <f t="shared" ref="AS65:AS69" si="235">AO65+AQ65</f>
        <v>67909.090909090912</v>
      </c>
      <c r="AT65" s="775">
        <f t="shared" si="10"/>
        <v>18971.34</v>
      </c>
      <c r="AU65" s="1118">
        <f>+AU9+AU17+AU25+AU33</f>
        <v>7545.4545454545469</v>
      </c>
      <c r="AV65" s="1118">
        <f>AV9+AV17+AV33+AV25</f>
        <v>0</v>
      </c>
      <c r="AW65" s="775">
        <f t="shared" ref="AW65:AW69" si="236">AS65+AU65</f>
        <v>75454.545454545456</v>
      </c>
      <c r="AX65" s="775">
        <f t="shared" si="11"/>
        <v>18971.34</v>
      </c>
      <c r="AY65" s="1118">
        <f>+AY9+AY17+AY25+AY33</f>
        <v>7545.4545454545469</v>
      </c>
      <c r="AZ65" s="1118">
        <f>AZ9+AZ17+AZ33+AZ25</f>
        <v>2784.3999999999996</v>
      </c>
      <c r="BA65" s="774">
        <f>AQ65+AU65+AY65</f>
        <v>22636.36363636364</v>
      </c>
      <c r="BB65" s="774">
        <f t="shared" si="12"/>
        <v>5626.94</v>
      </c>
      <c r="BC65" s="460">
        <f t="shared" ref="BC65:BC68" si="237">AM65+BA65</f>
        <v>45272.727272727279</v>
      </c>
      <c r="BD65" s="460">
        <f t="shared" si="13"/>
        <v>14119.629999999997</v>
      </c>
      <c r="BE65" s="775">
        <f t="shared" ref="BE65:BE69" si="238">AW65+AY65</f>
        <v>83000</v>
      </c>
      <c r="BF65" s="775">
        <f t="shared" si="14"/>
        <v>21755.739999999998</v>
      </c>
      <c r="BG65" s="26">
        <f t="shared" si="15"/>
        <v>0</v>
      </c>
      <c r="BH65" s="26">
        <f t="shared" si="16"/>
        <v>0</v>
      </c>
      <c r="BI65" s="26"/>
      <c r="BJ65" s="26">
        <f t="shared" si="17"/>
        <v>0</v>
      </c>
      <c r="BK65" s="26">
        <f t="shared" si="18"/>
        <v>0</v>
      </c>
      <c r="BP65" s="26"/>
    </row>
    <row r="66" spans="1:70" x14ac:dyDescent="0.3">
      <c r="A66" s="92"/>
      <c r="B66" s="5687" t="s">
        <v>2365</v>
      </c>
      <c r="C66" s="156" t="s">
        <v>50</v>
      </c>
      <c r="D66" s="5458"/>
      <c r="E66" s="5458">
        <f>E10+E18+E26+E34</f>
        <v>0</v>
      </c>
      <c r="F66" s="5458">
        <f t="shared" ref="F66:H66" si="239">F10+F18+F26+F34</f>
        <v>0</v>
      </c>
      <c r="G66" s="5458">
        <f t="shared" si="239"/>
        <v>0</v>
      </c>
      <c r="H66" s="5458">
        <f t="shared" si="239"/>
        <v>0</v>
      </c>
      <c r="I66" s="5460"/>
      <c r="J66" s="775">
        <f t="shared" si="0"/>
        <v>0</v>
      </c>
      <c r="K66" s="5458">
        <f t="shared" ref="K66:L66" si="240">K10+K18+K26+K34</f>
        <v>0</v>
      </c>
      <c r="L66" s="5458">
        <f t="shared" si="240"/>
        <v>0</v>
      </c>
      <c r="M66" s="5461"/>
      <c r="N66" s="774">
        <f t="shared" si="1"/>
        <v>0</v>
      </c>
      <c r="O66" s="5458">
        <f t="shared" ref="O66:P66" si="241">O10+O18+O26+O34</f>
        <v>0</v>
      </c>
      <c r="P66" s="5458">
        <f t="shared" si="241"/>
        <v>0</v>
      </c>
      <c r="Q66" s="5460"/>
      <c r="R66" s="775">
        <f t="shared" si="2"/>
        <v>0</v>
      </c>
      <c r="S66" s="5458">
        <f t="shared" ref="S66:T66" si="242">S10+S18+S26+S34</f>
        <v>0</v>
      </c>
      <c r="T66" s="5458">
        <f t="shared" si="242"/>
        <v>0</v>
      </c>
      <c r="U66" s="5460"/>
      <c r="V66" s="775">
        <f t="shared" si="3"/>
        <v>0</v>
      </c>
      <c r="W66" s="5458">
        <f t="shared" ref="W66:X66" si="243">W10+W18+W26+W34</f>
        <v>0</v>
      </c>
      <c r="X66" s="5458">
        <f t="shared" si="243"/>
        <v>0</v>
      </c>
      <c r="Y66" s="5461"/>
      <c r="Z66" s="774">
        <f t="shared" si="4"/>
        <v>0</v>
      </c>
      <c r="AA66" s="5712"/>
      <c r="AB66" s="460">
        <f t="shared" si="5"/>
        <v>0</v>
      </c>
      <c r="AC66" s="5458">
        <f t="shared" ref="AC66:AD66" si="244">AC10+AC18+AC26+AC34</f>
        <v>0</v>
      </c>
      <c r="AD66" s="5458">
        <f t="shared" si="244"/>
        <v>0</v>
      </c>
      <c r="AE66" s="5460"/>
      <c r="AF66" s="775">
        <f t="shared" si="6"/>
        <v>0</v>
      </c>
      <c r="AG66" s="5458">
        <f t="shared" ref="AG66:AH66" si="245">AG10+AG18+AG26+AG34</f>
        <v>0</v>
      </c>
      <c r="AH66" s="5458">
        <f t="shared" si="245"/>
        <v>0</v>
      </c>
      <c r="AI66" s="5460"/>
      <c r="AJ66" s="775">
        <f t="shared" si="7"/>
        <v>0</v>
      </c>
      <c r="AK66" s="5458">
        <f t="shared" ref="AK66:AL66" si="246">AK10+AK18+AK26+AK34</f>
        <v>0</v>
      </c>
      <c r="AL66" s="5458">
        <f t="shared" si="246"/>
        <v>0</v>
      </c>
      <c r="AM66" s="5461"/>
      <c r="AN66" s="774">
        <f t="shared" si="8"/>
        <v>0</v>
      </c>
      <c r="AO66" s="5460"/>
      <c r="AP66" s="775">
        <f t="shared" si="9"/>
        <v>0</v>
      </c>
      <c r="AQ66" s="5458">
        <f t="shared" ref="AQ66:AR66" si="247">AQ10+AQ18+AQ26+AQ34</f>
        <v>0</v>
      </c>
      <c r="AR66" s="5458">
        <f t="shared" si="247"/>
        <v>0</v>
      </c>
      <c r="AS66" s="5460"/>
      <c r="AT66" s="775">
        <f t="shared" si="10"/>
        <v>0</v>
      </c>
      <c r="AU66" s="5458">
        <f t="shared" ref="AU66:AV66" si="248">AU10+AU18+AU26+AU34</f>
        <v>0</v>
      </c>
      <c r="AV66" s="5458">
        <f t="shared" si="248"/>
        <v>2022.0800000000002</v>
      </c>
      <c r="AW66" s="5460"/>
      <c r="AX66" s="775">
        <f t="shared" si="11"/>
        <v>2022.0800000000002</v>
      </c>
      <c r="AY66" s="5458">
        <f t="shared" ref="AY66:AZ66" si="249">AY10+AY18+AY26+AY34</f>
        <v>0</v>
      </c>
      <c r="AZ66" s="5458">
        <f t="shared" si="249"/>
        <v>2066.8999999999996</v>
      </c>
      <c r="BA66" s="5461"/>
      <c r="BB66" s="774">
        <f t="shared" si="12"/>
        <v>4088.9799999999996</v>
      </c>
      <c r="BC66" s="5712"/>
      <c r="BD66" s="460">
        <f t="shared" si="13"/>
        <v>4088.9799999999996</v>
      </c>
      <c r="BE66" s="5460"/>
      <c r="BF66" s="775">
        <f t="shared" si="14"/>
        <v>4088.9799999999996</v>
      </c>
      <c r="BG66" s="26"/>
      <c r="BH66" s="26"/>
      <c r="BI66" s="26"/>
      <c r="BJ66" s="26"/>
      <c r="BK66" s="26"/>
      <c r="BP66" s="26"/>
    </row>
    <row r="67" spans="1:70" x14ac:dyDescent="0.3">
      <c r="A67" s="151"/>
      <c r="B67" s="1009" t="s">
        <v>2363</v>
      </c>
      <c r="C67" s="156" t="s">
        <v>50</v>
      </c>
      <c r="D67" s="1185">
        <f>+D11+D19+D27+D35</f>
        <v>0</v>
      </c>
      <c r="E67" s="1118">
        <f>+E11+E19+E27+E35</f>
        <v>0</v>
      </c>
      <c r="F67" s="1118">
        <f>F11+F19+F35+F27</f>
        <v>0</v>
      </c>
      <c r="G67" s="1118">
        <f>+G11+G19+G27+G35</f>
        <v>0</v>
      </c>
      <c r="H67" s="1118">
        <f>H11+H19+H35+H27</f>
        <v>0</v>
      </c>
      <c r="I67" s="775">
        <f t="shared" si="228"/>
        <v>0</v>
      </c>
      <c r="J67" s="775">
        <f t="shared" si="0"/>
        <v>0</v>
      </c>
      <c r="K67" s="1118">
        <f>+K11+K19+K27+K35</f>
        <v>0</v>
      </c>
      <c r="L67" s="1118">
        <f>L11+L19+L35+L27</f>
        <v>3983.52</v>
      </c>
      <c r="M67" s="774">
        <f t="shared" si="229"/>
        <v>0</v>
      </c>
      <c r="N67" s="774">
        <f t="shared" si="1"/>
        <v>3983.52</v>
      </c>
      <c r="O67" s="1118">
        <f>+O11+O19+O27+O35</f>
        <v>0</v>
      </c>
      <c r="P67" s="1118">
        <f>P11+P19+P35+P27</f>
        <v>2089.34</v>
      </c>
      <c r="Q67" s="775">
        <f t="shared" si="230"/>
        <v>0</v>
      </c>
      <c r="R67" s="775">
        <f t="shared" si="2"/>
        <v>6072.8600000000006</v>
      </c>
      <c r="S67" s="1118">
        <f>+S11+S19+S27+S35</f>
        <v>0</v>
      </c>
      <c r="T67" s="1118">
        <f>T11+T19+T35+T27</f>
        <v>3380.88</v>
      </c>
      <c r="U67" s="775">
        <f t="shared" si="231"/>
        <v>0</v>
      </c>
      <c r="V67" s="775">
        <f t="shared" si="3"/>
        <v>9453.7400000000016</v>
      </c>
      <c r="W67" s="1118">
        <f>+W11+W19+W27+W35</f>
        <v>0</v>
      </c>
      <c r="X67" s="1118">
        <f>X11+X19+X35+X27</f>
        <v>1654.1000000000001</v>
      </c>
      <c r="Y67" s="774">
        <f t="shared" ref="Y67:Y68" si="250">O67+S67+W67</f>
        <v>0</v>
      </c>
      <c r="Z67" s="774">
        <f t="shared" si="4"/>
        <v>7124.3200000000006</v>
      </c>
      <c r="AA67" s="460">
        <f t="shared" ref="AA67:AA68" si="251">M67+Y67</f>
        <v>0</v>
      </c>
      <c r="AB67" s="460">
        <f t="shared" si="5"/>
        <v>11107.84</v>
      </c>
      <c r="AC67" s="1118">
        <f>+AC11+AC19+AC27+AC35</f>
        <v>0</v>
      </c>
      <c r="AD67" s="1118">
        <f>AD11+AD19+AD35+AD27</f>
        <v>5368</v>
      </c>
      <c r="AE67" s="775">
        <f t="shared" si="232"/>
        <v>0</v>
      </c>
      <c r="AF67" s="775">
        <f t="shared" si="6"/>
        <v>16475.84</v>
      </c>
      <c r="AG67" s="1118">
        <f>+AG11+AG19+AG27+AG35</f>
        <v>0</v>
      </c>
      <c r="AH67" s="1118">
        <f>AH11+AH19+AH35+AH27</f>
        <v>0</v>
      </c>
      <c r="AI67" s="775">
        <f t="shared" si="233"/>
        <v>0</v>
      </c>
      <c r="AJ67" s="775">
        <f t="shared" si="7"/>
        <v>16475.84</v>
      </c>
      <c r="AK67" s="1118">
        <f>+AK11+AK19+AK27+AK35</f>
        <v>0</v>
      </c>
      <c r="AL67" s="1118">
        <f>AL11+AL19+AL35+AL27</f>
        <v>244.1</v>
      </c>
      <c r="AM67" s="774">
        <f t="shared" ref="AM67:AM69" si="252">AC67+AG67+AK67</f>
        <v>0</v>
      </c>
      <c r="AN67" s="774">
        <f t="shared" si="8"/>
        <v>5612.1</v>
      </c>
      <c r="AO67" s="775">
        <f t="shared" si="234"/>
        <v>0</v>
      </c>
      <c r="AP67" s="775">
        <f t="shared" si="9"/>
        <v>16719.939999999999</v>
      </c>
      <c r="AQ67" s="1118">
        <f>+AQ11+AQ19+AQ27+AQ35</f>
        <v>0</v>
      </c>
      <c r="AR67" s="1118">
        <f>AR11+AR19+AR35+AR27</f>
        <v>0</v>
      </c>
      <c r="AS67" s="775">
        <f t="shared" si="235"/>
        <v>0</v>
      </c>
      <c r="AT67" s="775">
        <f t="shared" si="10"/>
        <v>16719.939999999999</v>
      </c>
      <c r="AU67" s="1118">
        <f>+AU11+AU19+AU27+AU35</f>
        <v>0</v>
      </c>
      <c r="AV67" s="1118">
        <f>AV11+AV19+AV35+AV27</f>
        <v>311.56</v>
      </c>
      <c r="AW67" s="775">
        <f t="shared" si="236"/>
        <v>0</v>
      </c>
      <c r="AX67" s="775">
        <f t="shared" si="11"/>
        <v>17031.5</v>
      </c>
      <c r="AY67" s="1118">
        <f>+AY11+AY19+AY27+AY35</f>
        <v>0</v>
      </c>
      <c r="AZ67" s="1118">
        <f>AZ11+AZ19+AZ35+AZ27</f>
        <v>0</v>
      </c>
      <c r="BA67" s="774">
        <f t="shared" ref="BA67:BA69" si="253">AQ67+AU67+AY67</f>
        <v>0</v>
      </c>
      <c r="BB67" s="774">
        <f t="shared" si="12"/>
        <v>311.56</v>
      </c>
      <c r="BC67" s="460">
        <f t="shared" si="237"/>
        <v>0</v>
      </c>
      <c r="BD67" s="460">
        <f t="shared" si="13"/>
        <v>5923.6600000000008</v>
      </c>
      <c r="BE67" s="775">
        <f t="shared" si="238"/>
        <v>0</v>
      </c>
      <c r="BF67" s="775">
        <f t="shared" si="14"/>
        <v>17031.5</v>
      </c>
      <c r="BG67" s="26">
        <f t="shared" si="15"/>
        <v>0</v>
      </c>
      <c r="BH67" s="26">
        <f t="shared" si="16"/>
        <v>0</v>
      </c>
      <c r="BI67" s="26"/>
      <c r="BJ67" s="26">
        <f t="shared" si="17"/>
        <v>0</v>
      </c>
      <c r="BK67" s="26">
        <f t="shared" si="18"/>
        <v>0</v>
      </c>
      <c r="BP67" s="26"/>
    </row>
    <row r="68" spans="1:70" x14ac:dyDescent="0.3">
      <c r="A68" s="92"/>
      <c r="B68" s="1009" t="s">
        <v>2364</v>
      </c>
      <c r="C68" s="156" t="s">
        <v>50</v>
      </c>
      <c r="D68" s="3408">
        <f>+D12+D20+D28+D36</f>
        <v>25000</v>
      </c>
      <c r="E68" s="1118">
        <f>+E12+E20+E28+E36</f>
        <v>2083.3333333333335</v>
      </c>
      <c r="F68" s="1118">
        <f>F12+F20+F36+F28</f>
        <v>1095.8900000000001</v>
      </c>
      <c r="G68" s="1118">
        <f>+G12+G20+G28+G36</f>
        <v>2083</v>
      </c>
      <c r="H68" s="1118">
        <f>H12+H20+H36+H28</f>
        <v>2704.9500000000007</v>
      </c>
      <c r="I68" s="775">
        <f t="shared" si="228"/>
        <v>4166.3333333333339</v>
      </c>
      <c r="J68" s="775">
        <f t="shared" si="0"/>
        <v>3800.8400000000011</v>
      </c>
      <c r="K68" s="1118">
        <f>+K12+K20+K28+K36</f>
        <v>2083</v>
      </c>
      <c r="L68" s="1118">
        <f>L12+L20+L36+L28</f>
        <v>2820.29</v>
      </c>
      <c r="M68" s="774">
        <f t="shared" ref="M68" si="254">E68+G68+K68</f>
        <v>6249.3333333333339</v>
      </c>
      <c r="N68" s="774">
        <f t="shared" si="1"/>
        <v>6621.130000000001</v>
      </c>
      <c r="O68" s="1118">
        <f>+O12+O20+O28+O36</f>
        <v>2083</v>
      </c>
      <c r="P68" s="1118">
        <f>P12+P20+P36+P28</f>
        <v>1840.1200000000001</v>
      </c>
      <c r="Q68" s="775">
        <f t="shared" si="230"/>
        <v>8332.3333333333339</v>
      </c>
      <c r="R68" s="775">
        <f t="shared" si="2"/>
        <v>8461.2500000000018</v>
      </c>
      <c r="S68" s="1118">
        <f>+S12+S20+S28+S36</f>
        <v>2083.3333333333335</v>
      </c>
      <c r="T68" s="1118">
        <f>T12+T20+T36+T28</f>
        <v>4362.21</v>
      </c>
      <c r="U68" s="775">
        <f t="shared" si="231"/>
        <v>10415.666666666668</v>
      </c>
      <c r="V68" s="775">
        <f t="shared" si="3"/>
        <v>12823.460000000003</v>
      </c>
      <c r="W68" s="1118">
        <f>+W12+W20+W28+W36</f>
        <v>2083.3333333333335</v>
      </c>
      <c r="X68" s="1118">
        <f>X12+X20+X36+X28</f>
        <v>4222.21</v>
      </c>
      <c r="Y68" s="774">
        <f t="shared" si="250"/>
        <v>6249.6666666666679</v>
      </c>
      <c r="Z68" s="774">
        <f t="shared" si="4"/>
        <v>10424.540000000001</v>
      </c>
      <c r="AA68" s="460">
        <f t="shared" si="251"/>
        <v>12499.000000000002</v>
      </c>
      <c r="AB68" s="460">
        <f t="shared" si="5"/>
        <v>17045.670000000002</v>
      </c>
      <c r="AC68" s="1118">
        <f>+AC12+AC20+AC28+AC36</f>
        <v>2083.3333333333335</v>
      </c>
      <c r="AD68" s="1118">
        <f>AD12+AD20+AD36+AD28</f>
        <v>601.74</v>
      </c>
      <c r="AE68" s="775">
        <f t="shared" si="232"/>
        <v>14582.333333333336</v>
      </c>
      <c r="AF68" s="775">
        <f t="shared" si="6"/>
        <v>17647.410000000003</v>
      </c>
      <c r="AG68" s="1118">
        <f>+AG12+AG20+AG28+AG36</f>
        <v>2083.3333333333335</v>
      </c>
      <c r="AH68" s="1118">
        <f>AH12+AH20+AH36+AH28</f>
        <v>0</v>
      </c>
      <c r="AI68" s="775">
        <f t="shared" si="233"/>
        <v>16665.666666666668</v>
      </c>
      <c r="AJ68" s="775">
        <f t="shared" si="7"/>
        <v>17647.410000000003</v>
      </c>
      <c r="AK68" s="1118">
        <f>+AK12+AK20+AK28+AK36</f>
        <v>2083.3333333333335</v>
      </c>
      <c r="AL68" s="1118">
        <f>AL12+AL20+AL36+AL28</f>
        <v>2959.9700000000003</v>
      </c>
      <c r="AM68" s="774">
        <f t="shared" si="252"/>
        <v>6250</v>
      </c>
      <c r="AN68" s="774">
        <f t="shared" si="8"/>
        <v>3561.71</v>
      </c>
      <c r="AO68" s="775">
        <f t="shared" si="234"/>
        <v>18749</v>
      </c>
      <c r="AP68" s="775">
        <f t="shared" si="9"/>
        <v>20607.380000000005</v>
      </c>
      <c r="AQ68" s="1118">
        <f>+AQ12+AQ20+AQ28+AQ36</f>
        <v>2083.3333333333335</v>
      </c>
      <c r="AR68" s="1118">
        <f>AR12+AR20+AR36+AR28</f>
        <v>6204.6100000000006</v>
      </c>
      <c r="AS68" s="775">
        <f t="shared" si="235"/>
        <v>20832.333333333332</v>
      </c>
      <c r="AT68" s="775">
        <f t="shared" si="10"/>
        <v>26811.990000000005</v>
      </c>
      <c r="AU68" s="1118">
        <f>+AU12+AU20+AU28+AU36</f>
        <v>2083.3333333333335</v>
      </c>
      <c r="AV68" s="1118">
        <f>AV12+AV20+AV36+AV28</f>
        <v>3912.1100000000006</v>
      </c>
      <c r="AW68" s="775">
        <f t="shared" si="236"/>
        <v>22915.666666666664</v>
      </c>
      <c r="AX68" s="775">
        <f t="shared" si="11"/>
        <v>30724.100000000006</v>
      </c>
      <c r="AY68" s="1118">
        <f>+AY12+AY20+AY28+AY36</f>
        <v>2083.3333333333335</v>
      </c>
      <c r="AZ68" s="1118">
        <f>AZ12+AZ20+AZ36+AZ28</f>
        <v>3740.4</v>
      </c>
      <c r="BA68" s="774">
        <f t="shared" si="253"/>
        <v>6250</v>
      </c>
      <c r="BB68" s="774">
        <f t="shared" si="12"/>
        <v>13857.12</v>
      </c>
      <c r="BC68" s="460">
        <f t="shared" si="237"/>
        <v>12500</v>
      </c>
      <c r="BD68" s="460">
        <f t="shared" si="13"/>
        <v>17418.830000000002</v>
      </c>
      <c r="BE68" s="775">
        <f t="shared" si="238"/>
        <v>24998.999999999996</v>
      </c>
      <c r="BF68" s="775">
        <f t="shared" si="14"/>
        <v>34464.500000000007</v>
      </c>
      <c r="BG68" s="26">
        <f t="shared" si="15"/>
        <v>0</v>
      </c>
      <c r="BH68" s="26">
        <f t="shared" si="16"/>
        <v>0</v>
      </c>
      <c r="BI68" s="26"/>
      <c r="BJ68" s="26">
        <f t="shared" si="17"/>
        <v>0</v>
      </c>
      <c r="BK68" s="26">
        <f t="shared" si="18"/>
        <v>0</v>
      </c>
      <c r="BP68" s="26"/>
    </row>
    <row r="69" spans="1:70" x14ac:dyDescent="0.3">
      <c r="A69" s="92"/>
      <c r="B69" s="1009" t="s">
        <v>2</v>
      </c>
      <c r="C69" s="156" t="s">
        <v>50</v>
      </c>
      <c r="D69" s="1720">
        <f>+D37+D29+D21+D13</f>
        <v>2674798</v>
      </c>
      <c r="E69" s="452">
        <f t="shared" ref="E69:F69" si="255">SUM(E63:E68)</f>
        <v>228999.81536860342</v>
      </c>
      <c r="F69" s="452">
        <f t="shared" si="255"/>
        <v>175891</v>
      </c>
      <c r="G69" s="452">
        <f t="shared" ref="G69:H69" si="256">SUM(G63:G68)</f>
        <v>236499.57667165712</v>
      </c>
      <c r="H69" s="452">
        <f t="shared" si="256"/>
        <v>217466.03</v>
      </c>
      <c r="I69" s="371">
        <f t="shared" si="228"/>
        <v>465499.39204026054</v>
      </c>
      <c r="J69" s="775">
        <f t="shared" si="0"/>
        <v>393357.03</v>
      </c>
      <c r="K69" s="452">
        <f t="shared" ref="K69:L69" si="257">SUM(K63:K68)</f>
        <v>229000.11088311524</v>
      </c>
      <c r="L69" s="452">
        <f t="shared" si="257"/>
        <v>218504.38999999998</v>
      </c>
      <c r="M69" s="373">
        <f>E69+G69+K69</f>
        <v>694499.50292337581</v>
      </c>
      <c r="N69" s="774">
        <f t="shared" si="1"/>
        <v>611861.42000000004</v>
      </c>
      <c r="O69" s="452">
        <f t="shared" ref="O69:P69" si="258">SUM(O63:O68)</f>
        <v>231500.14135532093</v>
      </c>
      <c r="P69" s="452">
        <f t="shared" si="258"/>
        <v>243623.83</v>
      </c>
      <c r="Q69" s="371">
        <f t="shared" si="230"/>
        <v>925999.64427869674</v>
      </c>
      <c r="R69" s="775">
        <f t="shared" si="2"/>
        <v>855485.25</v>
      </c>
      <c r="S69" s="452">
        <f t="shared" ref="S69:T69" si="259">SUM(S63:S68)</f>
        <v>231500.14135532093</v>
      </c>
      <c r="T69" s="452">
        <f t="shared" si="259"/>
        <v>246318.72999999998</v>
      </c>
      <c r="U69" s="371">
        <f t="shared" si="231"/>
        <v>1157499.7856340175</v>
      </c>
      <c r="V69" s="775">
        <f t="shared" si="3"/>
        <v>1101803.98</v>
      </c>
      <c r="W69" s="452">
        <f t="shared" ref="W69:X69" si="260">SUM(W63:W68)</f>
        <v>121300.0147648532</v>
      </c>
      <c r="X69" s="452">
        <f t="shared" si="260"/>
        <v>207265.33000000005</v>
      </c>
      <c r="Y69" s="373">
        <f t="shared" ref="Y69" si="261">O69+S69+W69</f>
        <v>584300.29747549503</v>
      </c>
      <c r="Z69" s="774">
        <f t="shared" si="4"/>
        <v>697207.89</v>
      </c>
      <c r="AA69" s="539">
        <f>M69+Y69</f>
        <v>1278799.8003988708</v>
      </c>
      <c r="AB69" s="460">
        <f t="shared" si="5"/>
        <v>1309069.31</v>
      </c>
      <c r="AC69" s="452">
        <f t="shared" ref="AC69:AD69" si="262">SUM(AC63:AC68)</f>
        <v>236499.5281597563</v>
      </c>
      <c r="AD69" s="452">
        <f t="shared" si="262"/>
        <v>173557.69</v>
      </c>
      <c r="AE69" s="371">
        <f t="shared" si="232"/>
        <v>1515299.3285586271</v>
      </c>
      <c r="AF69" s="775">
        <f t="shared" si="6"/>
        <v>1482627</v>
      </c>
      <c r="AG69" s="452">
        <f t="shared" ref="AG69:AH69" si="263">SUM(AG63:AG68)</f>
        <v>228999.58845567462</v>
      </c>
      <c r="AH69" s="452">
        <f t="shared" si="263"/>
        <v>220913.685</v>
      </c>
      <c r="AI69" s="371">
        <f t="shared" si="233"/>
        <v>1744298.9170143018</v>
      </c>
      <c r="AJ69" s="371">
        <f t="shared" ref="AJ69" si="264">AF69+AH69</f>
        <v>1703540.6850000001</v>
      </c>
      <c r="AK69" s="452">
        <f t="shared" ref="AK69:AL69" si="265">SUM(AK63:AK68)</f>
        <v>236500.05424421639</v>
      </c>
      <c r="AL69" s="452">
        <f t="shared" si="265"/>
        <v>230714.72100000002</v>
      </c>
      <c r="AM69" s="373">
        <f t="shared" si="252"/>
        <v>701999.17085964733</v>
      </c>
      <c r="AN69" s="774">
        <f t="shared" si="8"/>
        <v>625186.09600000002</v>
      </c>
      <c r="AO69" s="371">
        <f t="shared" si="234"/>
        <v>1980798.9712585181</v>
      </c>
      <c r="AP69" s="775">
        <f t="shared" si="9"/>
        <v>1934255.406</v>
      </c>
      <c r="AQ69" s="452">
        <f t="shared" ref="AQ69:AR69" si="266">SUM(AQ63:AQ68)</f>
        <v>239999.66467846395</v>
      </c>
      <c r="AR69" s="452">
        <f t="shared" si="266"/>
        <v>216690.61100000003</v>
      </c>
      <c r="AS69" s="371">
        <f t="shared" si="235"/>
        <v>2220798.635936982</v>
      </c>
      <c r="AT69" s="775">
        <f t="shared" si="10"/>
        <v>2150946.017</v>
      </c>
      <c r="AU69" s="452">
        <f t="shared" ref="AU69:AV69" si="267">SUM(AU63:AU68)</f>
        <v>214000.01042920377</v>
      </c>
      <c r="AV69" s="452">
        <f t="shared" si="267"/>
        <v>191459.24</v>
      </c>
      <c r="AW69" s="371">
        <f t="shared" si="236"/>
        <v>2434798.646366186</v>
      </c>
      <c r="AX69" s="775">
        <f t="shared" si="11"/>
        <v>2342405.2570000002</v>
      </c>
      <c r="AY69" s="452">
        <f t="shared" ref="AY69:AZ69" si="268">SUM(AY63:AY68)</f>
        <v>239999.69076292397</v>
      </c>
      <c r="AZ69" s="452">
        <f t="shared" si="268"/>
        <v>231379.60199999998</v>
      </c>
      <c r="BA69" s="373">
        <f t="shared" si="253"/>
        <v>693999.36587059172</v>
      </c>
      <c r="BB69" s="774">
        <f t="shared" si="12"/>
        <v>639529.45299999998</v>
      </c>
      <c r="BC69" s="539">
        <f>AM69+BA69</f>
        <v>1395998.5367302392</v>
      </c>
      <c r="BD69" s="460">
        <f t="shared" si="13"/>
        <v>1264715.5490000001</v>
      </c>
      <c r="BE69" s="371">
        <f t="shared" si="238"/>
        <v>2674798.33712911</v>
      </c>
      <c r="BF69" s="371">
        <f t="shared" si="14"/>
        <v>2573784.8590000002</v>
      </c>
      <c r="BG69" s="26">
        <f t="shared" si="15"/>
        <v>0</v>
      </c>
      <c r="BH69" s="26">
        <f t="shared" si="16"/>
        <v>0</v>
      </c>
      <c r="BI69" s="26"/>
      <c r="BJ69" s="26">
        <f t="shared" si="17"/>
        <v>0</v>
      </c>
      <c r="BK69" s="26">
        <f t="shared" si="18"/>
        <v>0</v>
      </c>
      <c r="BP69" s="26"/>
    </row>
    <row r="70" spans="1:70" x14ac:dyDescent="0.3">
      <c r="A70" s="92"/>
      <c r="B70" s="3406" t="s">
        <v>1095</v>
      </c>
      <c r="C70" s="202" t="s">
        <v>49</v>
      </c>
      <c r="D70" s="805"/>
      <c r="E70" s="205"/>
      <c r="F70" s="205">
        <f>+((F63+F65+F67+F68+F66)/F69)*100</f>
        <v>72.408110704925193</v>
      </c>
      <c r="G70" s="205"/>
      <c r="H70" s="205">
        <f>+((H63+H65+H67+H68+H66)/H69)*100</f>
        <v>66.392433797591281</v>
      </c>
      <c r="I70" s="3409"/>
      <c r="J70" s="3409">
        <f>+((J63+J65+J67+J68)/J69)*100</f>
        <v>69.082365198862703</v>
      </c>
      <c r="K70" s="205"/>
      <c r="L70" s="205">
        <f>+((L63+L65+L67+L68+L66)/L69)*100</f>
        <v>58.226038387604021</v>
      </c>
      <c r="M70" s="615"/>
      <c r="N70" s="615">
        <f>+((N63+N65+N67+N68+N66)/N69)*100</f>
        <v>65.205416939018633</v>
      </c>
      <c r="O70" s="205"/>
      <c r="P70" s="205">
        <f>+((P63+P65+P67+P68+P66)/P69)*100</f>
        <v>57.773170219021672</v>
      </c>
      <c r="Q70" s="3409"/>
      <c r="R70" s="3409">
        <f>+((R63+R65+R67+R68)/R69)*100</f>
        <v>63.088872660282561</v>
      </c>
      <c r="S70" s="205"/>
      <c r="T70" s="205">
        <f>+((T63+T65+T67+T68+T66)/T69)*100</f>
        <v>63.864152758501156</v>
      </c>
      <c r="U70" s="3409"/>
      <c r="V70" s="3409">
        <f>+((V63+V65+V67+V68)/V69)*100</f>
        <v>63.262193879531978</v>
      </c>
      <c r="W70" s="205"/>
      <c r="X70" s="205">
        <f>+((X63+X65+X67+X68+X66)/X69)*100</f>
        <v>59.893162064297002</v>
      </c>
      <c r="Y70" s="615"/>
      <c r="Z70" s="615">
        <f>+((Z63+Z65+Z67+Z68+Z66)/Z69)*100</f>
        <v>60.555301518461015</v>
      </c>
      <c r="AA70" s="5714"/>
      <c r="AB70" s="5714">
        <f>+((AB63+AB65+AB67+AB68+AB66)/AB69)*100</f>
        <v>62.72877407843287</v>
      </c>
      <c r="AC70" s="205"/>
      <c r="AD70" s="205">
        <f>+((AD63+AD65+AD67+AD68+AD66)/AD69)*100</f>
        <v>63.886987663871295</v>
      </c>
      <c r="AE70" s="3409"/>
      <c r="AF70" s="3409">
        <f>+((AF63+AF65+AF67+AF68)/AF69)*100</f>
        <v>62.864355633615197</v>
      </c>
      <c r="AG70" s="205"/>
      <c r="AH70" s="205">
        <f>+((AH63+AH65+AH67+AH68+AH66)/AH69)*100</f>
        <v>66.562168839834442</v>
      </c>
      <c r="AI70" s="3409"/>
      <c r="AJ70" s="3409">
        <f>+((AJ63+AJ65+AJ67+AJ68)/AJ69)*100</f>
        <v>63.343884857085165</v>
      </c>
      <c r="AK70" s="205"/>
      <c r="AL70" s="205">
        <f>+((AL63+AL65+AL67+AL68+AL66)/AL69)*100</f>
        <v>69.887365358017178</v>
      </c>
      <c r="AM70" s="615"/>
      <c r="AN70" s="615">
        <f>+((AN63+AN65+AN67+AN68+AN66)/AN69)*100</f>
        <v>67.046622226864102</v>
      </c>
      <c r="AO70" s="3409"/>
      <c r="AP70" s="3409">
        <f>+((AP63+AP65+AP67+AP68)/AP69)*100</f>
        <v>64.124380169885384</v>
      </c>
      <c r="AQ70" s="205"/>
      <c r="AR70" s="205">
        <f>+((AR63+AR65+AR67+AR68+AR66)/AR69)*100</f>
        <v>75.254875717711627</v>
      </c>
      <c r="AS70" s="3409"/>
      <c r="AT70" s="3409">
        <f>+((AT63+AT65+AT67+AT68)/AT69)*100</f>
        <v>65.245688590426397</v>
      </c>
      <c r="AU70" s="205"/>
      <c r="AV70" s="205">
        <f>+((AV63+AV65+AV67+AV68+AV66)/AV69)*100</f>
        <v>78.198712164531742</v>
      </c>
      <c r="AW70" s="3409"/>
      <c r="AX70" s="3409">
        <f>+((AX63+AX65+AX67+AX68)/AX69)*100</f>
        <v>66.218094215965976</v>
      </c>
      <c r="AY70" s="205"/>
      <c r="AZ70" s="5770">
        <f>+((AZ63+AZ65+AZ67+AZ68+AZ66)/AZ69)*100</f>
        <v>74.166321714046347</v>
      </c>
      <c r="BA70" s="615"/>
      <c r="BB70" s="615">
        <f>+((BB63+BB65+BB67+BB68+BB66)/BB69)*100</f>
        <v>75.742352088356441</v>
      </c>
      <c r="BC70" s="5714"/>
      <c r="BD70" s="5714">
        <f>+((BD63+BD65+BD67+BD68+BD66)/BD69)*100</f>
        <v>71.443797043093042</v>
      </c>
      <c r="BE70" s="3409"/>
      <c r="BF70" s="3409">
        <f>+((BF63+BF65+BF67+BF68+BF66)/BF69)*100</f>
        <v>67.011193028391332</v>
      </c>
      <c r="BG70" s="26"/>
      <c r="BH70" s="26"/>
      <c r="BI70" s="26"/>
      <c r="BJ70" s="26"/>
      <c r="BK70" s="26"/>
      <c r="BP70" s="26"/>
      <c r="BQ70" s="26"/>
    </row>
    <row r="71" spans="1:70" x14ac:dyDescent="0.3">
      <c r="A71" s="151"/>
      <c r="B71" s="853" t="s">
        <v>140</v>
      </c>
      <c r="C71" s="3529"/>
      <c r="D71" s="853"/>
      <c r="E71" s="853"/>
      <c r="F71" s="853"/>
      <c r="G71" s="853"/>
      <c r="H71" s="853"/>
      <c r="I71" s="5689"/>
      <c r="J71" s="775">
        <f t="shared" ref="J71:J85" si="269">F71+H71</f>
        <v>0</v>
      </c>
      <c r="K71" s="853"/>
      <c r="L71" s="853"/>
      <c r="M71" s="5700"/>
      <c r="N71" s="774">
        <f t="shared" ref="N71:N85" si="270">J71+L71</f>
        <v>0</v>
      </c>
      <c r="O71" s="853"/>
      <c r="P71" s="853"/>
      <c r="Q71" s="5689"/>
      <c r="R71" s="775">
        <f t="shared" ref="R71:R85" si="271">N71+P71</f>
        <v>0</v>
      </c>
      <c r="S71" s="853"/>
      <c r="T71" s="853"/>
      <c r="U71" s="5689"/>
      <c r="V71" s="775">
        <f t="shared" ref="V71:V85" si="272">R71+T71</f>
        <v>0</v>
      </c>
      <c r="W71" s="853"/>
      <c r="X71" s="853"/>
      <c r="Y71" s="5700"/>
      <c r="Z71" s="774">
        <f t="shared" ref="Z71:Z85" si="273">P71+T71+X71</f>
        <v>0</v>
      </c>
      <c r="AA71" s="5709"/>
      <c r="AB71" s="460">
        <f t="shared" ref="AB71:AB85" si="274">N71+Z71</f>
        <v>0</v>
      </c>
      <c r="AC71" s="853"/>
      <c r="AD71" s="853"/>
      <c r="AE71" s="5689"/>
      <c r="AF71" s="775">
        <f t="shared" ref="AF71:AF85" si="275">AB71+AD71</f>
        <v>0</v>
      </c>
      <c r="AG71" s="853"/>
      <c r="AH71" s="853"/>
      <c r="AI71" s="5689"/>
      <c r="AJ71" s="5689"/>
      <c r="AK71" s="853"/>
      <c r="AL71" s="853"/>
      <c r="AM71" s="5700"/>
      <c r="AN71" s="5700"/>
      <c r="AO71" s="5689"/>
      <c r="AP71" s="5689"/>
      <c r="AQ71" s="853"/>
      <c r="AR71" s="853"/>
      <c r="AS71" s="5689"/>
      <c r="AT71" s="5689"/>
      <c r="AU71" s="853"/>
      <c r="AV71" s="853"/>
      <c r="AW71" s="5689"/>
      <c r="AX71" s="5689"/>
      <c r="AY71" s="853"/>
      <c r="AZ71" s="853"/>
      <c r="BA71" s="5700"/>
      <c r="BB71" s="5700"/>
      <c r="BC71" s="5709"/>
      <c r="BD71" s="5709"/>
      <c r="BE71" s="5689"/>
      <c r="BF71" s="5689"/>
      <c r="BG71" s="26">
        <f t="shared" si="15"/>
        <v>0</v>
      </c>
      <c r="BH71" s="26">
        <f t="shared" si="16"/>
        <v>0</v>
      </c>
      <c r="BI71" s="26"/>
      <c r="BJ71" s="26">
        <f t="shared" si="17"/>
        <v>0</v>
      </c>
      <c r="BK71" s="26">
        <f t="shared" si="18"/>
        <v>0</v>
      </c>
      <c r="BP71" s="26"/>
    </row>
    <row r="72" spans="1:70" x14ac:dyDescent="0.3">
      <c r="A72" s="92"/>
      <c r="B72" s="1009" t="s">
        <v>114</v>
      </c>
      <c r="C72" s="156" t="s">
        <v>50</v>
      </c>
      <c r="D72" s="156">
        <f>+D13</f>
        <v>500000</v>
      </c>
      <c r="E72" s="1185">
        <f>+E13</f>
        <v>42500</v>
      </c>
      <c r="F72" s="1185">
        <f>+F13</f>
        <v>33332.799999999996</v>
      </c>
      <c r="G72" s="1185">
        <f>+G13</f>
        <v>44000</v>
      </c>
      <c r="H72" s="1185">
        <f>+H13</f>
        <v>39367.019999999997</v>
      </c>
      <c r="I72" s="775">
        <f t="shared" ref="I72:I76" si="276">E72+G72</f>
        <v>86500</v>
      </c>
      <c r="J72" s="775">
        <f t="shared" si="269"/>
        <v>72699.819999999992</v>
      </c>
      <c r="K72" s="1185">
        <f>+K13</f>
        <v>42500</v>
      </c>
      <c r="L72" s="1185">
        <f>+L13</f>
        <v>37508.06</v>
      </c>
      <c r="M72" s="774">
        <f>E72+G72+K72</f>
        <v>129000</v>
      </c>
      <c r="N72" s="774">
        <f t="shared" si="270"/>
        <v>110207.87999999999</v>
      </c>
      <c r="O72" s="1185">
        <f>+O13</f>
        <v>44000</v>
      </c>
      <c r="P72" s="1185">
        <f>+P13</f>
        <v>44197.29</v>
      </c>
      <c r="Q72" s="775">
        <f t="shared" ref="Q72:Q76" si="277">M72+O72</f>
        <v>173000</v>
      </c>
      <c r="R72" s="775">
        <f t="shared" si="271"/>
        <v>154405.16999999998</v>
      </c>
      <c r="S72" s="1185">
        <f>+S13</f>
        <v>44000</v>
      </c>
      <c r="T72" s="1185">
        <f>+T13</f>
        <v>42211.7</v>
      </c>
      <c r="U72" s="775">
        <f t="shared" ref="U72:U76" si="278">Q72+S72</f>
        <v>217000</v>
      </c>
      <c r="V72" s="775">
        <f t="shared" si="272"/>
        <v>196616.87</v>
      </c>
      <c r="W72" s="1185">
        <f>+W13</f>
        <v>25000</v>
      </c>
      <c r="X72" s="1185">
        <f>+X13</f>
        <v>37026.69000000001</v>
      </c>
      <c r="Y72" s="774">
        <f>O72+S72+W72</f>
        <v>113000</v>
      </c>
      <c r="Z72" s="774">
        <f t="shared" si="273"/>
        <v>123435.68</v>
      </c>
      <c r="AA72" s="460">
        <f t="shared" ref="AA72:AA76" si="279">M72+Y72</f>
        <v>242000</v>
      </c>
      <c r="AB72" s="460">
        <f t="shared" si="274"/>
        <v>233643.56</v>
      </c>
      <c r="AC72" s="1185">
        <f>+AC13</f>
        <v>42500</v>
      </c>
      <c r="AD72" s="1185">
        <f>+AD13</f>
        <v>31780.12</v>
      </c>
      <c r="AE72" s="775">
        <f t="shared" ref="AE72:AE76" si="280">AA72+AC72</f>
        <v>284500</v>
      </c>
      <c r="AF72" s="775">
        <f t="shared" si="275"/>
        <v>265423.68</v>
      </c>
      <c r="AG72" s="1185">
        <f>+AG13</f>
        <v>42500</v>
      </c>
      <c r="AH72" s="1185">
        <f>+AH13</f>
        <v>38334.735999999997</v>
      </c>
      <c r="AI72" s="775">
        <f t="shared" ref="AI72:AI76" si="281">AE72+AG72</f>
        <v>327000</v>
      </c>
      <c r="AJ72" s="775">
        <f t="shared" ref="AJ72:AJ76" si="282">AF72+AH72</f>
        <v>303758.41599999997</v>
      </c>
      <c r="AK72" s="1185">
        <f>+AK13</f>
        <v>44000</v>
      </c>
      <c r="AL72" s="1185">
        <f>+AL13</f>
        <v>41431.910000000003</v>
      </c>
      <c r="AM72" s="774">
        <f>AC72+AG72+AK72</f>
        <v>129000</v>
      </c>
      <c r="AN72" s="774">
        <f>AD72+AH72+AL72</f>
        <v>111546.766</v>
      </c>
      <c r="AO72" s="775">
        <f t="shared" ref="AO72" si="283">AI72+AK72</f>
        <v>371000</v>
      </c>
      <c r="AP72" s="775">
        <f t="shared" ref="AP72" si="284">AJ72+AL72</f>
        <v>345190.326</v>
      </c>
      <c r="AQ72" s="1185">
        <f>+AQ13</f>
        <v>44500</v>
      </c>
      <c r="AR72" s="1185">
        <f>+AR13</f>
        <v>39752.560999999994</v>
      </c>
      <c r="AS72" s="775">
        <f t="shared" ref="AS72:AS76" si="285">AO72+AQ72</f>
        <v>415500</v>
      </c>
      <c r="AT72" s="775">
        <f t="shared" ref="AT72:AT76" si="286">AP72+AR72</f>
        <v>384942.88699999999</v>
      </c>
      <c r="AU72" s="1185">
        <f>+AU13</f>
        <v>40000</v>
      </c>
      <c r="AV72" s="1185">
        <f>+AV13</f>
        <v>42183.399999999994</v>
      </c>
      <c r="AW72" s="775">
        <f t="shared" ref="AW72:AW76" si="287">AS72+AU72</f>
        <v>455500</v>
      </c>
      <c r="AX72" s="775">
        <f t="shared" ref="AX72:AX76" si="288">AT72+AV72</f>
        <v>427126.28700000001</v>
      </c>
      <c r="AY72" s="1185">
        <f>+AY13</f>
        <v>44500</v>
      </c>
      <c r="AZ72" s="1185">
        <f>+AZ13</f>
        <v>48073.319999999992</v>
      </c>
      <c r="BA72" s="774">
        <f>AQ72+AU72+AY72</f>
        <v>129000</v>
      </c>
      <c r="BB72" s="774">
        <f>AR72+AV72+AZ72</f>
        <v>130009.28099999997</v>
      </c>
      <c r="BC72" s="460">
        <f t="shared" ref="BC72:BC75" si="289">AM72+BA72</f>
        <v>258000</v>
      </c>
      <c r="BD72" s="460">
        <f t="shared" ref="BD72:BD75" si="290">AN72+BB72</f>
        <v>241556.04699999996</v>
      </c>
      <c r="BE72" s="775">
        <f t="shared" ref="BE72:BE76" si="291">AW72+AY72</f>
        <v>500000</v>
      </c>
      <c r="BF72" s="775">
        <f t="shared" ref="BF72:BF76" si="292">AX72+AZ72</f>
        <v>475199.60700000002</v>
      </c>
      <c r="BG72" s="26">
        <f t="shared" si="15"/>
        <v>0</v>
      </c>
      <c r="BH72" s="26">
        <f t="shared" si="16"/>
        <v>0</v>
      </c>
      <c r="BI72" s="26"/>
      <c r="BJ72" s="26">
        <f t="shared" si="17"/>
        <v>0</v>
      </c>
      <c r="BK72" s="26">
        <f t="shared" si="18"/>
        <v>0</v>
      </c>
      <c r="BP72" s="26"/>
      <c r="BQ72" s="26"/>
    </row>
    <row r="73" spans="1:70" x14ac:dyDescent="0.3">
      <c r="A73" s="92"/>
      <c r="B73" s="1009" t="s">
        <v>95</v>
      </c>
      <c r="C73" s="156" t="s">
        <v>50</v>
      </c>
      <c r="D73" s="156">
        <f>+D21</f>
        <v>900000</v>
      </c>
      <c r="E73" s="1185">
        <f>+E21</f>
        <v>76000</v>
      </c>
      <c r="F73" s="1185">
        <f>+F21</f>
        <v>60011.209999999992</v>
      </c>
      <c r="G73" s="1185">
        <f>+G21</f>
        <v>79000</v>
      </c>
      <c r="H73" s="1185">
        <f>+H21</f>
        <v>67347.899999999994</v>
      </c>
      <c r="I73" s="775">
        <f t="shared" si="276"/>
        <v>155000</v>
      </c>
      <c r="J73" s="775">
        <f t="shared" si="269"/>
        <v>127359.10999999999</v>
      </c>
      <c r="K73" s="1185">
        <f>+K21</f>
        <v>76000</v>
      </c>
      <c r="L73" s="1185">
        <f>+L21</f>
        <v>73175.62999999999</v>
      </c>
      <c r="M73" s="774">
        <f t="shared" ref="M73:M75" si="293">E73+G73+K73</f>
        <v>231000</v>
      </c>
      <c r="N73" s="774">
        <f t="shared" si="270"/>
        <v>200534.74</v>
      </c>
      <c r="O73" s="1185">
        <f>+O21</f>
        <v>79000</v>
      </c>
      <c r="P73" s="1185">
        <f>+P21</f>
        <v>84102.500000000015</v>
      </c>
      <c r="Q73" s="775">
        <f t="shared" si="277"/>
        <v>310000</v>
      </c>
      <c r="R73" s="775">
        <f t="shared" si="271"/>
        <v>284637.24</v>
      </c>
      <c r="S73" s="1185">
        <f>+S21</f>
        <v>79000</v>
      </c>
      <c r="T73" s="1185">
        <f>+T21</f>
        <v>86905.93</v>
      </c>
      <c r="U73" s="775">
        <f t="shared" si="278"/>
        <v>389000</v>
      </c>
      <c r="V73" s="775">
        <f t="shared" si="272"/>
        <v>371543.17</v>
      </c>
      <c r="W73" s="1185">
        <f>+W21</f>
        <v>47500</v>
      </c>
      <c r="X73" s="1185">
        <f>+X21</f>
        <v>68689.990000000005</v>
      </c>
      <c r="Y73" s="774">
        <f t="shared" ref="Y73:Y75" si="294">O73+S73+W73</f>
        <v>205500</v>
      </c>
      <c r="Z73" s="774">
        <f t="shared" si="273"/>
        <v>239698.41999999998</v>
      </c>
      <c r="AA73" s="460">
        <f t="shared" ref="AA73:AA75" si="295">M73+Y73</f>
        <v>436500</v>
      </c>
      <c r="AB73" s="460">
        <f t="shared" si="274"/>
        <v>440233.16</v>
      </c>
      <c r="AC73" s="1185">
        <f>+AC21</f>
        <v>78000</v>
      </c>
      <c r="AD73" s="1185">
        <f>+AD21</f>
        <v>52260.41</v>
      </c>
      <c r="AE73" s="775">
        <f t="shared" si="280"/>
        <v>514500</v>
      </c>
      <c r="AF73" s="775">
        <f t="shared" si="275"/>
        <v>492493.56999999995</v>
      </c>
      <c r="AG73" s="1185">
        <f>+AG21</f>
        <v>76000</v>
      </c>
      <c r="AH73" s="1185">
        <f>+AH21</f>
        <v>70091.169000000009</v>
      </c>
      <c r="AI73" s="775">
        <f t="shared" si="281"/>
        <v>590500</v>
      </c>
      <c r="AJ73" s="775">
        <f t="shared" si="282"/>
        <v>562584.73899999994</v>
      </c>
      <c r="AK73" s="1185">
        <f>+AK21</f>
        <v>79000</v>
      </c>
      <c r="AL73" s="1185">
        <f>+AL21</f>
        <v>83237.279999999999</v>
      </c>
      <c r="AM73" s="774">
        <f t="shared" ref="AM73:AM75" si="296">AC73+AG73+AK73</f>
        <v>233000</v>
      </c>
      <c r="AN73" s="774">
        <f t="shared" ref="AN73:AN75" si="297">AD73+AH73+AL73</f>
        <v>205588.859</v>
      </c>
      <c r="AO73" s="775">
        <f t="shared" ref="AO73:AO76" si="298">AI73+AK73</f>
        <v>669500</v>
      </c>
      <c r="AP73" s="775">
        <f t="shared" ref="AP73:AP76" si="299">AJ73+AL73</f>
        <v>645822.01899999997</v>
      </c>
      <c r="AQ73" s="1185">
        <f>+AQ21</f>
        <v>79000</v>
      </c>
      <c r="AR73" s="1185">
        <f>+AR21</f>
        <v>79536.070000000007</v>
      </c>
      <c r="AS73" s="775">
        <f t="shared" si="285"/>
        <v>748500</v>
      </c>
      <c r="AT73" s="775">
        <f t="shared" si="286"/>
        <v>725358.08899999992</v>
      </c>
      <c r="AU73" s="1185">
        <f>+AU21</f>
        <v>71500</v>
      </c>
      <c r="AV73" s="1185">
        <f>+AV21</f>
        <v>77559.290000000008</v>
      </c>
      <c r="AW73" s="775">
        <f t="shared" si="287"/>
        <v>820000</v>
      </c>
      <c r="AX73" s="775">
        <f t="shared" si="288"/>
        <v>802917.37899999996</v>
      </c>
      <c r="AY73" s="1185">
        <f>+AY21</f>
        <v>80000</v>
      </c>
      <c r="AZ73" s="1185">
        <f>+AZ21</f>
        <v>81642.31</v>
      </c>
      <c r="BA73" s="774">
        <f t="shared" ref="BA73:BA75" si="300">AQ73+AU73+AY73</f>
        <v>230500</v>
      </c>
      <c r="BB73" s="774">
        <f t="shared" ref="BB73:BB75" si="301">AR73+AV73+AZ73</f>
        <v>238737.67</v>
      </c>
      <c r="BC73" s="460">
        <f t="shared" si="289"/>
        <v>463500</v>
      </c>
      <c r="BD73" s="460">
        <f t="shared" si="290"/>
        <v>444326.52899999998</v>
      </c>
      <c r="BE73" s="775">
        <f t="shared" si="291"/>
        <v>900000</v>
      </c>
      <c r="BF73" s="775">
        <f t="shared" si="292"/>
        <v>884559.68900000001</v>
      </c>
      <c r="BG73" s="26">
        <f t="shared" si="15"/>
        <v>0</v>
      </c>
      <c r="BH73" s="26">
        <f t="shared" si="16"/>
        <v>0</v>
      </c>
      <c r="BI73" s="26"/>
      <c r="BJ73" s="26">
        <f t="shared" si="17"/>
        <v>0</v>
      </c>
      <c r="BK73" s="26">
        <f t="shared" si="18"/>
        <v>0</v>
      </c>
      <c r="BP73" s="26"/>
    </row>
    <row r="74" spans="1:70" x14ac:dyDescent="0.3">
      <c r="A74" s="92"/>
      <c r="B74" s="1009" t="s">
        <v>115</v>
      </c>
      <c r="C74" s="156" t="s">
        <v>50</v>
      </c>
      <c r="D74" s="156">
        <f>+D29</f>
        <v>750000</v>
      </c>
      <c r="E74" s="1185">
        <f>+E29</f>
        <v>62000</v>
      </c>
      <c r="F74" s="1185">
        <f>+F29</f>
        <v>44122.7</v>
      </c>
      <c r="G74" s="1185">
        <f>+G29</f>
        <v>65000</v>
      </c>
      <c r="H74" s="1185">
        <f>+H29</f>
        <v>57715.999999999985</v>
      </c>
      <c r="I74" s="775">
        <f t="shared" si="276"/>
        <v>127000</v>
      </c>
      <c r="J74" s="775">
        <f t="shared" si="269"/>
        <v>101838.69999999998</v>
      </c>
      <c r="K74" s="1185">
        <f>+K29</f>
        <v>62500</v>
      </c>
      <c r="L74" s="1185">
        <f>+L29</f>
        <v>56720.68</v>
      </c>
      <c r="M74" s="774">
        <f t="shared" si="293"/>
        <v>189500</v>
      </c>
      <c r="N74" s="774">
        <f t="shared" si="270"/>
        <v>158559.37999999998</v>
      </c>
      <c r="O74" s="1185">
        <f>+O29</f>
        <v>65000</v>
      </c>
      <c r="P74" s="1185">
        <f>+P29</f>
        <v>57264.83</v>
      </c>
      <c r="Q74" s="775">
        <f t="shared" si="277"/>
        <v>254500</v>
      </c>
      <c r="R74" s="775">
        <f t="shared" si="271"/>
        <v>215824.20999999996</v>
      </c>
      <c r="S74" s="1185">
        <f>+S29</f>
        <v>65000</v>
      </c>
      <c r="T74" s="1185">
        <f>+T29</f>
        <v>47224.14</v>
      </c>
      <c r="U74" s="775">
        <f t="shared" si="278"/>
        <v>319500</v>
      </c>
      <c r="V74" s="775">
        <f t="shared" si="272"/>
        <v>263048.34999999998</v>
      </c>
      <c r="W74" s="1185">
        <f>+W29</f>
        <v>33500</v>
      </c>
      <c r="X74" s="1185">
        <f>+X29</f>
        <v>45948.119999999995</v>
      </c>
      <c r="Y74" s="774">
        <f t="shared" si="294"/>
        <v>163500</v>
      </c>
      <c r="Z74" s="774">
        <f t="shared" si="273"/>
        <v>150437.09</v>
      </c>
      <c r="AA74" s="460">
        <f t="shared" si="295"/>
        <v>353000</v>
      </c>
      <c r="AB74" s="460">
        <f t="shared" si="274"/>
        <v>308996.46999999997</v>
      </c>
      <c r="AC74" s="1185">
        <f>+AC29</f>
        <v>67000</v>
      </c>
      <c r="AD74" s="1185">
        <f>+AD29</f>
        <v>30215.879999999997</v>
      </c>
      <c r="AE74" s="775">
        <f t="shared" si="280"/>
        <v>420000</v>
      </c>
      <c r="AF74" s="775">
        <f t="shared" si="275"/>
        <v>339212.35</v>
      </c>
      <c r="AG74" s="1185">
        <f>+AG29</f>
        <v>65000</v>
      </c>
      <c r="AH74" s="1185">
        <f>+AH29</f>
        <v>49444.75</v>
      </c>
      <c r="AI74" s="775">
        <f t="shared" si="281"/>
        <v>485000</v>
      </c>
      <c r="AJ74" s="775">
        <f t="shared" si="282"/>
        <v>388657.1</v>
      </c>
      <c r="AK74" s="1185">
        <f>+AK29</f>
        <v>67500</v>
      </c>
      <c r="AL74" s="1185">
        <f>+AL29</f>
        <v>51538.880999999994</v>
      </c>
      <c r="AM74" s="774">
        <f t="shared" si="296"/>
        <v>199500</v>
      </c>
      <c r="AN74" s="774">
        <f t="shared" si="297"/>
        <v>131199.511</v>
      </c>
      <c r="AO74" s="775">
        <f t="shared" si="298"/>
        <v>552500</v>
      </c>
      <c r="AP74" s="775">
        <f t="shared" si="299"/>
        <v>440195.98099999997</v>
      </c>
      <c r="AQ74" s="1185">
        <f>+AQ29</f>
        <v>68000</v>
      </c>
      <c r="AR74" s="1185">
        <f>+AR29</f>
        <v>55396.94</v>
      </c>
      <c r="AS74" s="775">
        <f t="shared" si="285"/>
        <v>620500</v>
      </c>
      <c r="AT74" s="775">
        <f t="shared" si="286"/>
        <v>495592.92099999997</v>
      </c>
      <c r="AU74" s="1185">
        <f>+AU29</f>
        <v>61000</v>
      </c>
      <c r="AV74" s="1185">
        <f>+AV29</f>
        <v>53071.489999999991</v>
      </c>
      <c r="AW74" s="775">
        <f t="shared" si="287"/>
        <v>681500</v>
      </c>
      <c r="AX74" s="775">
        <f t="shared" si="288"/>
        <v>548664.41099999996</v>
      </c>
      <c r="AY74" s="1185">
        <f>+AY29</f>
        <v>68500</v>
      </c>
      <c r="AZ74" s="1185">
        <f>+AZ29</f>
        <v>58800.212</v>
      </c>
      <c r="BA74" s="774">
        <f t="shared" si="300"/>
        <v>197500</v>
      </c>
      <c r="BB74" s="774">
        <f t="shared" si="301"/>
        <v>167268.64199999999</v>
      </c>
      <c r="BC74" s="460">
        <f t="shared" si="289"/>
        <v>397000</v>
      </c>
      <c r="BD74" s="460">
        <f t="shared" si="290"/>
        <v>298468.15299999999</v>
      </c>
      <c r="BE74" s="775">
        <f t="shared" si="291"/>
        <v>750000</v>
      </c>
      <c r="BF74" s="775">
        <f t="shared" si="292"/>
        <v>607464.62299999991</v>
      </c>
      <c r="BG74" s="26">
        <f t="shared" si="15"/>
        <v>0</v>
      </c>
      <c r="BH74" s="26">
        <f t="shared" si="16"/>
        <v>0</v>
      </c>
      <c r="BI74" s="26"/>
      <c r="BJ74" s="26">
        <f t="shared" si="17"/>
        <v>0</v>
      </c>
      <c r="BK74" s="26">
        <f t="shared" si="18"/>
        <v>0</v>
      </c>
      <c r="BP74" s="26"/>
    </row>
    <row r="75" spans="1:70" x14ac:dyDescent="0.3">
      <c r="A75" s="151"/>
      <c r="B75" s="1009" t="s">
        <v>513</v>
      </c>
      <c r="C75" s="156" t="s">
        <v>50</v>
      </c>
      <c r="D75" s="1185">
        <f>+D37</f>
        <v>524798</v>
      </c>
      <c r="E75" s="1185">
        <f>E37</f>
        <v>48499.815368603398</v>
      </c>
      <c r="F75" s="1185">
        <f>+F37</f>
        <v>38424.29</v>
      </c>
      <c r="G75" s="1185">
        <f>G37</f>
        <v>48499.576671657102</v>
      </c>
      <c r="H75" s="1185">
        <f>+H37</f>
        <v>53035.11</v>
      </c>
      <c r="I75" s="775">
        <f t="shared" si="276"/>
        <v>96999.3920402605</v>
      </c>
      <c r="J75" s="775">
        <f t="shared" si="269"/>
        <v>91459.4</v>
      </c>
      <c r="K75" s="1185">
        <f>K37</f>
        <v>48000.110883115201</v>
      </c>
      <c r="L75" s="1185">
        <f>+L37</f>
        <v>51100.01999999999</v>
      </c>
      <c r="M75" s="774">
        <f t="shared" si="293"/>
        <v>144999.50292337569</v>
      </c>
      <c r="N75" s="774">
        <f t="shared" si="270"/>
        <v>142559.41999999998</v>
      </c>
      <c r="O75" s="1185">
        <f>O37</f>
        <v>43500.141355320899</v>
      </c>
      <c r="P75" s="1185">
        <f>+P37</f>
        <v>58059.210000000006</v>
      </c>
      <c r="Q75" s="775">
        <f t="shared" si="277"/>
        <v>188499.64427869659</v>
      </c>
      <c r="R75" s="775">
        <f t="shared" si="271"/>
        <v>200618.63</v>
      </c>
      <c r="S75" s="1185">
        <f>S37</f>
        <v>43500.141355320899</v>
      </c>
      <c r="T75" s="1185">
        <f>+T37</f>
        <v>69976.960000000006</v>
      </c>
      <c r="U75" s="775">
        <f t="shared" si="278"/>
        <v>231999.78563401749</v>
      </c>
      <c r="V75" s="775">
        <f t="shared" si="272"/>
        <v>270595.59000000003</v>
      </c>
      <c r="W75" s="1185">
        <f>W37</f>
        <v>15300.0147648532</v>
      </c>
      <c r="X75" s="1185">
        <f>+X37</f>
        <v>55600.530000000006</v>
      </c>
      <c r="Y75" s="774">
        <f t="shared" si="294"/>
        <v>102300.297475495</v>
      </c>
      <c r="Z75" s="774">
        <f t="shared" si="273"/>
        <v>183636.7</v>
      </c>
      <c r="AA75" s="460">
        <f t="shared" si="295"/>
        <v>247299.80039887069</v>
      </c>
      <c r="AB75" s="460">
        <f t="shared" si="274"/>
        <v>326196.12</v>
      </c>
      <c r="AC75" s="1185">
        <f>AC37</f>
        <v>48999.528159756301</v>
      </c>
      <c r="AD75" s="1185">
        <f>+AD37</f>
        <v>59301.279999999984</v>
      </c>
      <c r="AE75" s="775">
        <f t="shared" si="280"/>
        <v>296299.32855862699</v>
      </c>
      <c r="AF75" s="775">
        <f t="shared" si="275"/>
        <v>385497.39999999997</v>
      </c>
      <c r="AG75" s="1185">
        <f>AG37</f>
        <v>45499.588455674595</v>
      </c>
      <c r="AH75" s="1185">
        <f>+AH37</f>
        <v>63043.03</v>
      </c>
      <c r="AI75" s="775">
        <f t="shared" si="281"/>
        <v>341798.91701430158</v>
      </c>
      <c r="AJ75" s="775">
        <f t="shared" si="282"/>
        <v>448540.42999999993</v>
      </c>
      <c r="AK75" s="1185">
        <f>AK37</f>
        <v>46000.054244216401</v>
      </c>
      <c r="AL75" s="1185">
        <f>+AL37</f>
        <v>54506.650000000009</v>
      </c>
      <c r="AM75" s="774">
        <f t="shared" si="296"/>
        <v>140499.17085964727</v>
      </c>
      <c r="AN75" s="774">
        <f t="shared" si="297"/>
        <v>176850.96</v>
      </c>
      <c r="AO75" s="775">
        <f t="shared" si="298"/>
        <v>387798.971258518</v>
      </c>
      <c r="AP75" s="775">
        <f t="shared" si="299"/>
        <v>503047.07999999996</v>
      </c>
      <c r="AQ75" s="1185">
        <f>AQ37</f>
        <v>48499.664678463945</v>
      </c>
      <c r="AR75" s="1185">
        <f>+AR37</f>
        <v>42005.04</v>
      </c>
      <c r="AS75" s="775">
        <f t="shared" si="285"/>
        <v>436298.63593698194</v>
      </c>
      <c r="AT75" s="775">
        <f t="shared" si="286"/>
        <v>545052.12</v>
      </c>
      <c r="AU75" s="1185">
        <f>AU37</f>
        <v>41500.010429203743</v>
      </c>
      <c r="AV75" s="1185">
        <f>+AV37</f>
        <v>18645.060000000001</v>
      </c>
      <c r="AW75" s="775">
        <f t="shared" si="287"/>
        <v>477798.64636618568</v>
      </c>
      <c r="AX75" s="775">
        <f t="shared" si="288"/>
        <v>563697.18000000005</v>
      </c>
      <c r="AY75" s="1185">
        <f>AY37</f>
        <v>46999.690762923987</v>
      </c>
      <c r="AZ75" s="1185">
        <f>+AZ37</f>
        <v>42863.759999999995</v>
      </c>
      <c r="BA75" s="774">
        <f t="shared" si="300"/>
        <v>136999.36587059166</v>
      </c>
      <c r="BB75" s="774">
        <f t="shared" si="301"/>
        <v>103513.86</v>
      </c>
      <c r="BC75" s="460">
        <f t="shared" si="289"/>
        <v>277498.53673023893</v>
      </c>
      <c r="BD75" s="460">
        <f t="shared" si="290"/>
        <v>280364.82</v>
      </c>
      <c r="BE75" s="775">
        <f t="shared" si="291"/>
        <v>524798.33712910966</v>
      </c>
      <c r="BF75" s="775">
        <f t="shared" si="292"/>
        <v>606560.94000000006</v>
      </c>
      <c r="BG75" s="26">
        <f t="shared" si="15"/>
        <v>0</v>
      </c>
      <c r="BH75" s="26">
        <f t="shared" si="16"/>
        <v>0</v>
      </c>
      <c r="BI75" s="26"/>
      <c r="BJ75" s="26">
        <f t="shared" si="17"/>
        <v>0</v>
      </c>
      <c r="BK75" s="26">
        <f t="shared" si="18"/>
        <v>0</v>
      </c>
      <c r="BP75" s="26"/>
    </row>
    <row r="76" spans="1:70" x14ac:dyDescent="0.3">
      <c r="A76" s="92"/>
      <c r="B76" s="3403" t="s">
        <v>2</v>
      </c>
      <c r="C76" s="156" t="s">
        <v>50</v>
      </c>
      <c r="D76" s="1720">
        <f t="shared" ref="D76:F76" si="302">SUM(D72:D75)</f>
        <v>2674798</v>
      </c>
      <c r="E76" s="1720">
        <f t="shared" si="302"/>
        <v>228999.81536860339</v>
      </c>
      <c r="F76" s="1720">
        <f t="shared" si="302"/>
        <v>175890.99999999997</v>
      </c>
      <c r="G76" s="1720">
        <f t="shared" ref="G76:H76" si="303">SUM(G72:G75)</f>
        <v>236499.57667165709</v>
      </c>
      <c r="H76" s="1720">
        <f t="shared" si="303"/>
        <v>217466.02999999997</v>
      </c>
      <c r="I76" s="371">
        <f t="shared" si="276"/>
        <v>465499.39204026049</v>
      </c>
      <c r="J76" s="775">
        <f t="shared" si="269"/>
        <v>393357.02999999991</v>
      </c>
      <c r="K76" s="1720">
        <f t="shared" ref="K76:L76" si="304">SUM(K72:K75)</f>
        <v>229000.11088311521</v>
      </c>
      <c r="L76" s="1720">
        <f t="shared" si="304"/>
        <v>218504.38999999998</v>
      </c>
      <c r="M76" s="373">
        <f>E76+G76+K76</f>
        <v>694499.50292337569</v>
      </c>
      <c r="N76" s="774">
        <f t="shared" si="270"/>
        <v>611861.41999999993</v>
      </c>
      <c r="O76" s="1720">
        <f t="shared" ref="O76:P76" si="305">SUM(O72:O75)</f>
        <v>231500.1413553209</v>
      </c>
      <c r="P76" s="1720">
        <f t="shared" si="305"/>
        <v>243623.83000000002</v>
      </c>
      <c r="Q76" s="371">
        <f t="shared" si="277"/>
        <v>925999.64427869662</v>
      </c>
      <c r="R76" s="775">
        <f t="shared" si="271"/>
        <v>855485.25</v>
      </c>
      <c r="S76" s="1720">
        <f t="shared" ref="S76:T76" si="306">SUM(S72:S75)</f>
        <v>231500.1413553209</v>
      </c>
      <c r="T76" s="1720">
        <f t="shared" si="306"/>
        <v>246318.72999999998</v>
      </c>
      <c r="U76" s="371">
        <f t="shared" si="278"/>
        <v>1157499.7856340175</v>
      </c>
      <c r="V76" s="775">
        <f t="shared" si="272"/>
        <v>1101803.98</v>
      </c>
      <c r="W76" s="1720">
        <f t="shared" ref="W76:X76" si="307">SUM(W72:W75)</f>
        <v>121300.0147648532</v>
      </c>
      <c r="X76" s="1720">
        <f t="shared" si="307"/>
        <v>207265.33000000002</v>
      </c>
      <c r="Y76" s="373">
        <f>O76+S76+W76</f>
        <v>584300.29747549503</v>
      </c>
      <c r="Z76" s="774">
        <f t="shared" si="273"/>
        <v>697207.89</v>
      </c>
      <c r="AA76" s="539">
        <f t="shared" si="279"/>
        <v>1278799.8003988708</v>
      </c>
      <c r="AB76" s="460">
        <f t="shared" si="274"/>
        <v>1309069.31</v>
      </c>
      <c r="AC76" s="1720">
        <f t="shared" ref="AC76:AD76" si="308">SUM(AC72:AC75)</f>
        <v>236499.5281597563</v>
      </c>
      <c r="AD76" s="1720">
        <f t="shared" si="308"/>
        <v>173557.69</v>
      </c>
      <c r="AE76" s="371">
        <f t="shared" si="280"/>
        <v>1515299.3285586271</v>
      </c>
      <c r="AF76" s="775">
        <f t="shared" si="275"/>
        <v>1482627</v>
      </c>
      <c r="AG76" s="1720">
        <f t="shared" ref="AG76:AH76" si="309">SUM(AG72:AG75)</f>
        <v>228999.58845567459</v>
      </c>
      <c r="AH76" s="1720">
        <f t="shared" si="309"/>
        <v>220913.685</v>
      </c>
      <c r="AI76" s="371">
        <f t="shared" si="281"/>
        <v>1744298.9170143018</v>
      </c>
      <c r="AJ76" s="371">
        <f t="shared" si="282"/>
        <v>1703540.6850000001</v>
      </c>
      <c r="AK76" s="1720">
        <f t="shared" ref="AK76:AL76" si="310">SUM(AK72:AK75)</f>
        <v>236500.05424421642</v>
      </c>
      <c r="AL76" s="1720">
        <f t="shared" si="310"/>
        <v>230714.72100000002</v>
      </c>
      <c r="AM76" s="373">
        <f>AC76+AG76+AK76</f>
        <v>701999.17085964733</v>
      </c>
      <c r="AN76" s="373">
        <f>AD76+AH76+AL76</f>
        <v>625186.09600000002</v>
      </c>
      <c r="AO76" s="371">
        <f t="shared" si="298"/>
        <v>1980798.9712585183</v>
      </c>
      <c r="AP76" s="371">
        <f t="shared" si="299"/>
        <v>1934255.406</v>
      </c>
      <c r="AQ76" s="1720">
        <f t="shared" ref="AQ76:AR76" si="311">SUM(AQ72:AQ75)</f>
        <v>239999.66467846395</v>
      </c>
      <c r="AR76" s="1720">
        <f t="shared" si="311"/>
        <v>216690.611</v>
      </c>
      <c r="AS76" s="371">
        <f t="shared" si="285"/>
        <v>2220798.635936982</v>
      </c>
      <c r="AT76" s="371">
        <f t="shared" si="286"/>
        <v>2150946.017</v>
      </c>
      <c r="AU76" s="1720">
        <f t="shared" ref="AU76:AV76" si="312">SUM(AU72:AU75)</f>
        <v>214000.01042920374</v>
      </c>
      <c r="AV76" s="1720">
        <f t="shared" si="312"/>
        <v>191459.24</v>
      </c>
      <c r="AW76" s="371">
        <f t="shared" si="287"/>
        <v>2434798.6463661855</v>
      </c>
      <c r="AX76" s="371">
        <f t="shared" si="288"/>
        <v>2342405.2570000002</v>
      </c>
      <c r="AY76" s="1720">
        <f t="shared" ref="AY76:AZ76" si="313">SUM(AY72:AY75)</f>
        <v>239999.69076292397</v>
      </c>
      <c r="AZ76" s="1720">
        <f t="shared" si="313"/>
        <v>231379.60200000001</v>
      </c>
      <c r="BA76" s="373">
        <f>AQ76+AU76+AY76</f>
        <v>693999.36587059172</v>
      </c>
      <c r="BB76" s="373">
        <f>AR76+AV76+AZ76</f>
        <v>639529.45299999998</v>
      </c>
      <c r="BC76" s="539">
        <f>AM76+BA76</f>
        <v>1395998.5367302392</v>
      </c>
      <c r="BD76" s="539">
        <f>AN76+BB76</f>
        <v>1264715.5490000001</v>
      </c>
      <c r="BE76" s="371">
        <f t="shared" si="291"/>
        <v>2674798.3371291095</v>
      </c>
      <c r="BF76" s="371">
        <f t="shared" si="292"/>
        <v>2573784.8590000002</v>
      </c>
      <c r="BG76" s="26">
        <f t="shared" si="15"/>
        <v>0</v>
      </c>
      <c r="BH76" s="26">
        <f t="shared" si="16"/>
        <v>0</v>
      </c>
      <c r="BI76" s="26"/>
      <c r="BJ76" s="26">
        <f t="shared" si="17"/>
        <v>0</v>
      </c>
      <c r="BK76" s="26">
        <f t="shared" si="18"/>
        <v>0</v>
      </c>
      <c r="BP76" s="26"/>
    </row>
    <row r="77" spans="1:70" x14ac:dyDescent="0.3">
      <c r="A77" s="151"/>
      <c r="B77" s="3410" t="s">
        <v>318</v>
      </c>
      <c r="C77" s="3529"/>
      <c r="D77" s="853"/>
      <c r="E77" s="853"/>
      <c r="F77" s="853"/>
      <c r="G77" s="853"/>
      <c r="H77" s="853"/>
      <c r="I77" s="5689"/>
      <c r="J77" s="775">
        <f t="shared" si="269"/>
        <v>0</v>
      </c>
      <c r="K77" s="853"/>
      <c r="L77" s="853"/>
      <c r="M77" s="5700"/>
      <c r="N77" s="774">
        <f t="shared" si="270"/>
        <v>0</v>
      </c>
      <c r="O77" s="853"/>
      <c r="P77" s="853"/>
      <c r="Q77" s="5689"/>
      <c r="R77" s="775">
        <f t="shared" si="271"/>
        <v>0</v>
      </c>
      <c r="S77" s="853"/>
      <c r="T77" s="853"/>
      <c r="U77" s="5689"/>
      <c r="V77" s="775">
        <f t="shared" si="272"/>
        <v>0</v>
      </c>
      <c r="W77" s="853"/>
      <c r="X77" s="853"/>
      <c r="Y77" s="5700"/>
      <c r="Z77" s="774">
        <f t="shared" si="273"/>
        <v>0</v>
      </c>
      <c r="AA77" s="5709"/>
      <c r="AB77" s="460">
        <f t="shared" si="274"/>
        <v>0</v>
      </c>
      <c r="AC77" s="853"/>
      <c r="AD77" s="853"/>
      <c r="AE77" s="5689"/>
      <c r="AF77" s="775">
        <f t="shared" si="275"/>
        <v>0</v>
      </c>
      <c r="AG77" s="853"/>
      <c r="AH77" s="853"/>
      <c r="AI77" s="5689"/>
      <c r="AJ77" s="5689"/>
      <c r="AK77" s="853"/>
      <c r="AL77" s="853"/>
      <c r="AM77" s="5700"/>
      <c r="AN77" s="5700"/>
      <c r="AO77" s="5689"/>
      <c r="AP77" s="5689"/>
      <c r="AQ77" s="853"/>
      <c r="AR77" s="853"/>
      <c r="AS77" s="5689"/>
      <c r="AT77" s="5689"/>
      <c r="AU77" s="853"/>
      <c r="AV77" s="853"/>
      <c r="AW77" s="5689"/>
      <c r="AX77" s="5689"/>
      <c r="AY77" s="853"/>
      <c r="AZ77" s="853"/>
      <c r="BA77" s="5700"/>
      <c r="BB77" s="5700"/>
      <c r="BC77" s="5709"/>
      <c r="BD77" s="5709"/>
      <c r="BE77" s="5689"/>
      <c r="BF77" s="5689"/>
      <c r="BG77" s="26">
        <f t="shared" si="15"/>
        <v>0</v>
      </c>
      <c r="BH77" s="26">
        <f t="shared" si="16"/>
        <v>0</v>
      </c>
      <c r="BI77" s="26"/>
      <c r="BJ77" s="26">
        <f t="shared" si="17"/>
        <v>0</v>
      </c>
      <c r="BK77" s="26">
        <f t="shared" si="18"/>
        <v>0</v>
      </c>
      <c r="BR77" s="26"/>
    </row>
    <row r="78" spans="1:70" x14ac:dyDescent="0.3">
      <c r="A78" s="151"/>
      <c r="B78" s="3401" t="s">
        <v>114</v>
      </c>
      <c r="C78" s="5767"/>
      <c r="D78" s="3401"/>
      <c r="E78" s="3401"/>
      <c r="F78" s="3401"/>
      <c r="G78" s="3401"/>
      <c r="H78" s="3401"/>
      <c r="I78" s="3470"/>
      <c r="J78" s="775">
        <f t="shared" si="269"/>
        <v>0</v>
      </c>
      <c r="K78" s="3401"/>
      <c r="L78" s="3401"/>
      <c r="M78" s="3471"/>
      <c r="N78" s="774">
        <f t="shared" si="270"/>
        <v>0</v>
      </c>
      <c r="O78" s="3401"/>
      <c r="P78" s="3401"/>
      <c r="Q78" s="3470"/>
      <c r="R78" s="775">
        <f t="shared" si="271"/>
        <v>0</v>
      </c>
      <c r="S78" s="3401"/>
      <c r="T78" s="3401"/>
      <c r="U78" s="3470"/>
      <c r="V78" s="775">
        <f t="shared" si="272"/>
        <v>0</v>
      </c>
      <c r="W78" s="3401"/>
      <c r="X78" s="3401"/>
      <c r="Y78" s="3471"/>
      <c r="Z78" s="774">
        <f t="shared" si="273"/>
        <v>0</v>
      </c>
      <c r="AA78" s="3523"/>
      <c r="AB78" s="460">
        <f t="shared" si="274"/>
        <v>0</v>
      </c>
      <c r="AC78" s="3401"/>
      <c r="AD78" s="3401"/>
      <c r="AE78" s="3470"/>
      <c r="AF78" s="775">
        <f t="shared" si="275"/>
        <v>0</v>
      </c>
      <c r="AG78" s="3401"/>
      <c r="AH78" s="3401"/>
      <c r="AI78" s="3470"/>
      <c r="AJ78" s="3470"/>
      <c r="AK78" s="3401"/>
      <c r="AL78" s="3401"/>
      <c r="AM78" s="3471"/>
      <c r="AN78" s="3471"/>
      <c r="AO78" s="3470"/>
      <c r="AP78" s="3470"/>
      <c r="AQ78" s="3401"/>
      <c r="AR78" s="3401"/>
      <c r="AS78" s="3470"/>
      <c r="AT78" s="3470"/>
      <c r="AU78" s="3401"/>
      <c r="AV78" s="3401"/>
      <c r="AW78" s="3470"/>
      <c r="AX78" s="3470"/>
      <c r="AY78" s="3401"/>
      <c r="AZ78" s="3401"/>
      <c r="BA78" s="3471"/>
      <c r="BB78" s="3471"/>
      <c r="BC78" s="3523"/>
      <c r="BD78" s="3523"/>
      <c r="BE78" s="3470"/>
      <c r="BF78" s="3470"/>
      <c r="BG78" s="26">
        <f t="shared" si="15"/>
        <v>0</v>
      </c>
      <c r="BH78" s="26">
        <f t="shared" si="16"/>
        <v>0</v>
      </c>
      <c r="BI78" s="26"/>
      <c r="BJ78" s="26">
        <f t="shared" si="17"/>
        <v>0</v>
      </c>
      <c r="BK78" s="26">
        <f t="shared" si="18"/>
        <v>0</v>
      </c>
    </row>
    <row r="79" spans="1:70" x14ac:dyDescent="0.3">
      <c r="A79" s="151"/>
      <c r="B79" s="1009" t="s">
        <v>22</v>
      </c>
      <c r="C79" s="156" t="s">
        <v>50</v>
      </c>
      <c r="D79" s="6133">
        <f>+D72</f>
        <v>500000</v>
      </c>
      <c r="E79" s="6084">
        <f>+E72</f>
        <v>42500</v>
      </c>
      <c r="F79" s="1185">
        <v>31621.960000000003</v>
      </c>
      <c r="G79" s="6084">
        <f>+G72</f>
        <v>44000</v>
      </c>
      <c r="H79" s="1185">
        <v>37961.22</v>
      </c>
      <c r="I79" s="6085">
        <f>E79+G79</f>
        <v>86500</v>
      </c>
      <c r="J79" s="775">
        <f t="shared" si="269"/>
        <v>69583.180000000008</v>
      </c>
      <c r="K79" s="6084">
        <f>+K72</f>
        <v>42500</v>
      </c>
      <c r="L79" s="1185">
        <v>36316.339999999997</v>
      </c>
      <c r="M79" s="6048">
        <f>E79+G79+K79</f>
        <v>129000</v>
      </c>
      <c r="N79" s="774">
        <f t="shared" si="270"/>
        <v>105899.52</v>
      </c>
      <c r="O79" s="6084">
        <f>+O72</f>
        <v>44000</v>
      </c>
      <c r="P79" s="1185">
        <v>41916.360000000008</v>
      </c>
      <c r="Q79" s="6085">
        <f>M79+O79</f>
        <v>173000</v>
      </c>
      <c r="R79" s="775">
        <f t="shared" si="271"/>
        <v>147815.88</v>
      </c>
      <c r="S79" s="6084">
        <f>+S72</f>
        <v>44000</v>
      </c>
      <c r="T79" s="1185">
        <v>39692.879999999997</v>
      </c>
      <c r="U79" s="6085">
        <f>Q79+S79</f>
        <v>217000</v>
      </c>
      <c r="V79" s="775">
        <f t="shared" si="272"/>
        <v>187508.76</v>
      </c>
      <c r="W79" s="6084">
        <f>+W72</f>
        <v>25000</v>
      </c>
      <c r="X79" s="1185">
        <v>33761.86</v>
      </c>
      <c r="Y79" s="6048">
        <f>O79+S79+W79</f>
        <v>113000</v>
      </c>
      <c r="Z79" s="774">
        <f t="shared" si="273"/>
        <v>115371.1</v>
      </c>
      <c r="AA79" s="6049">
        <f>M79+Y79</f>
        <v>242000</v>
      </c>
      <c r="AB79" s="460">
        <f t="shared" si="274"/>
        <v>221270.62</v>
      </c>
      <c r="AC79" s="6084">
        <f>+AC72</f>
        <v>42500</v>
      </c>
      <c r="AD79" s="1185">
        <v>30637.1</v>
      </c>
      <c r="AE79" s="6085">
        <f>AA79+AC79</f>
        <v>284500</v>
      </c>
      <c r="AF79" s="775">
        <f t="shared" si="275"/>
        <v>251907.72</v>
      </c>
      <c r="AG79" s="6084">
        <f>+AG72</f>
        <v>42500</v>
      </c>
      <c r="AH79" s="1185">
        <v>34472.725999999995</v>
      </c>
      <c r="AI79" s="6103">
        <f>AE79+AG79</f>
        <v>327000</v>
      </c>
      <c r="AJ79" s="775">
        <f t="shared" ref="AJ79:AJ81" si="314">AF79+AH79</f>
        <v>286380.446</v>
      </c>
      <c r="AK79" s="6084">
        <f>+AK72</f>
        <v>44000</v>
      </c>
      <c r="AL79" s="1185">
        <v>37892.699999999997</v>
      </c>
      <c r="AM79" s="6048">
        <f>AC79+AG79+AK79</f>
        <v>129000</v>
      </c>
      <c r="AN79" s="774">
        <f>AD79+AH79+AL79</f>
        <v>103002.52599999998</v>
      </c>
      <c r="AO79" s="6085">
        <f>AI79+AK79</f>
        <v>371000</v>
      </c>
      <c r="AP79" s="775">
        <f t="shared" ref="AP79:AP97" si="315">AJ79+AL79</f>
        <v>324273.14600000001</v>
      </c>
      <c r="AQ79" s="6084">
        <f>+AQ72</f>
        <v>44500</v>
      </c>
      <c r="AR79" s="1185">
        <v>38134.680999999997</v>
      </c>
      <c r="AS79" s="6103">
        <f>AO79+AQ79</f>
        <v>415500</v>
      </c>
      <c r="AT79" s="775">
        <f t="shared" ref="AT79:AT81" si="316">AP79+AR79</f>
        <v>362407.82699999999</v>
      </c>
      <c r="AU79" s="6084">
        <f>+AU72</f>
        <v>40000</v>
      </c>
      <c r="AV79" s="1185">
        <v>36366.539999999994</v>
      </c>
      <c r="AW79" s="6103">
        <f>AS79+AU79</f>
        <v>455500</v>
      </c>
      <c r="AX79" s="775">
        <f t="shared" ref="AX79:AX81" si="317">AT79+AV79</f>
        <v>398774.36699999997</v>
      </c>
      <c r="AY79" s="6084">
        <f>+AY72</f>
        <v>44500</v>
      </c>
      <c r="AZ79" s="1185">
        <v>44474.960000000006</v>
      </c>
      <c r="BA79" s="6048">
        <f>AQ79+AU79+AY79</f>
        <v>129000</v>
      </c>
      <c r="BB79" s="774">
        <f>AR79+AV79+AZ79</f>
        <v>118976.181</v>
      </c>
      <c r="BC79" s="6049">
        <f>AM79+BA79</f>
        <v>258000</v>
      </c>
      <c r="BD79" s="460">
        <f t="shared" ref="BD79:BD80" si="318">AN79+BB79</f>
        <v>221978.70699999999</v>
      </c>
      <c r="BE79" s="6103">
        <f>AW79+AY79</f>
        <v>500000</v>
      </c>
      <c r="BF79" s="775">
        <f t="shared" ref="BF79:BF81" si="319">AX79+AZ79</f>
        <v>443249.32699999999</v>
      </c>
      <c r="BG79" s="26">
        <f t="shared" si="15"/>
        <v>0</v>
      </c>
      <c r="BH79" s="26">
        <f t="shared" si="16"/>
        <v>0</v>
      </c>
      <c r="BI79" s="26"/>
      <c r="BJ79" s="26">
        <f t="shared" si="17"/>
        <v>0</v>
      </c>
      <c r="BK79" s="26">
        <f t="shared" si="18"/>
        <v>0</v>
      </c>
    </row>
    <row r="80" spans="1:70" x14ac:dyDescent="0.3">
      <c r="A80" s="92"/>
      <c r="B80" s="1009" t="s">
        <v>23</v>
      </c>
      <c r="C80" s="156" t="s">
        <v>50</v>
      </c>
      <c r="D80" s="6133"/>
      <c r="E80" s="6084"/>
      <c r="F80" s="1185">
        <v>1710.8400000000001</v>
      </c>
      <c r="G80" s="6084"/>
      <c r="H80" s="1185">
        <v>1405.8000000000002</v>
      </c>
      <c r="I80" s="6085"/>
      <c r="J80" s="775">
        <f t="shared" si="269"/>
        <v>3116.6400000000003</v>
      </c>
      <c r="K80" s="6084"/>
      <c r="L80" s="1185">
        <v>1191.72</v>
      </c>
      <c r="M80" s="6048"/>
      <c r="N80" s="774">
        <f t="shared" si="270"/>
        <v>4308.3600000000006</v>
      </c>
      <c r="O80" s="6084"/>
      <c r="P80" s="1185">
        <v>2280.9300000000003</v>
      </c>
      <c r="Q80" s="6085"/>
      <c r="R80" s="775">
        <f t="shared" si="271"/>
        <v>6589.2900000000009</v>
      </c>
      <c r="S80" s="6084"/>
      <c r="T80" s="1185">
        <v>2518.5400000000004</v>
      </c>
      <c r="U80" s="6085"/>
      <c r="V80" s="775">
        <f t="shared" si="272"/>
        <v>9107.8300000000017</v>
      </c>
      <c r="W80" s="6084"/>
      <c r="X80" s="1185">
        <v>3264.8300000000004</v>
      </c>
      <c r="Y80" s="6048">
        <f t="shared" ref="Y80:Y81" si="320">O80+S80+W80</f>
        <v>0</v>
      </c>
      <c r="Z80" s="774">
        <f t="shared" si="273"/>
        <v>8064.3000000000011</v>
      </c>
      <c r="AA80" s="6049"/>
      <c r="AB80" s="460">
        <f t="shared" si="274"/>
        <v>12372.660000000002</v>
      </c>
      <c r="AC80" s="6084"/>
      <c r="AD80" s="1185">
        <v>1143.0200000000002</v>
      </c>
      <c r="AE80" s="6085"/>
      <c r="AF80" s="775">
        <f t="shared" si="275"/>
        <v>13515.680000000002</v>
      </c>
      <c r="AG80" s="6084"/>
      <c r="AH80" s="1185">
        <v>3862.0100000000007</v>
      </c>
      <c r="AI80" s="6104"/>
      <c r="AJ80" s="775">
        <f t="shared" si="314"/>
        <v>17377.690000000002</v>
      </c>
      <c r="AK80" s="6084"/>
      <c r="AL80" s="1185">
        <v>3539.21</v>
      </c>
      <c r="AM80" s="6048">
        <f t="shared" ref="AM80:AM81" si="321">AC80+AG80+AK80</f>
        <v>0</v>
      </c>
      <c r="AN80" s="774">
        <f>AD80+AH80+AL80</f>
        <v>8544.2400000000016</v>
      </c>
      <c r="AO80" s="6085"/>
      <c r="AP80" s="775">
        <f t="shared" si="315"/>
        <v>20916.900000000001</v>
      </c>
      <c r="AQ80" s="6084"/>
      <c r="AR80" s="1185">
        <v>1617.88</v>
      </c>
      <c r="AS80" s="6104"/>
      <c r="AT80" s="775">
        <f t="shared" si="316"/>
        <v>22534.780000000002</v>
      </c>
      <c r="AU80" s="6084"/>
      <c r="AV80" s="1185">
        <v>5816.8600000000006</v>
      </c>
      <c r="AW80" s="6104"/>
      <c r="AX80" s="775">
        <f t="shared" si="317"/>
        <v>28351.640000000003</v>
      </c>
      <c r="AY80" s="6084"/>
      <c r="AZ80" s="1185">
        <v>3598.3600000000006</v>
      </c>
      <c r="BA80" s="6048">
        <f t="shared" ref="BA80:BA81" si="322">AQ80+AU80+AY80</f>
        <v>0</v>
      </c>
      <c r="BB80" s="774">
        <f>AR80+AV80+AZ80</f>
        <v>11033.100000000002</v>
      </c>
      <c r="BC80" s="6049"/>
      <c r="BD80" s="460">
        <f t="shared" si="318"/>
        <v>19577.340000000004</v>
      </c>
      <c r="BE80" s="6104"/>
      <c r="BF80" s="775">
        <f t="shared" si="319"/>
        <v>31950.000000000004</v>
      </c>
      <c r="BG80" s="26">
        <f t="shared" si="15"/>
        <v>0</v>
      </c>
      <c r="BH80" s="26">
        <f t="shared" si="16"/>
        <v>0</v>
      </c>
      <c r="BI80" s="26"/>
      <c r="BJ80" s="26">
        <f t="shared" si="17"/>
        <v>0</v>
      </c>
      <c r="BK80" s="26">
        <f t="shared" si="18"/>
        <v>0</v>
      </c>
      <c r="BM80" s="26"/>
      <c r="BN80" s="26"/>
    </row>
    <row r="81" spans="1:66" x14ac:dyDescent="0.3">
      <c r="A81" s="151"/>
      <c r="B81" s="3403" t="s">
        <v>2</v>
      </c>
      <c r="C81" s="156" t="s">
        <v>50</v>
      </c>
      <c r="D81" s="6133"/>
      <c r="E81" s="6084"/>
      <c r="F81" s="1720">
        <f>SUM(F79:F80)</f>
        <v>33332.800000000003</v>
      </c>
      <c r="G81" s="6084"/>
      <c r="H81" s="1720">
        <f>SUM(H79:H80)</f>
        <v>39367.020000000004</v>
      </c>
      <c r="I81" s="6085"/>
      <c r="J81" s="775">
        <f t="shared" si="269"/>
        <v>72699.820000000007</v>
      </c>
      <c r="K81" s="6084"/>
      <c r="L81" s="1720">
        <f>SUM(L79:L80)</f>
        <v>37508.06</v>
      </c>
      <c r="M81" s="6048"/>
      <c r="N81" s="774">
        <f t="shared" si="270"/>
        <v>110207.88</v>
      </c>
      <c r="O81" s="6084"/>
      <c r="P81" s="1720">
        <f>SUM(P79:P80)</f>
        <v>44197.290000000008</v>
      </c>
      <c r="Q81" s="6085"/>
      <c r="R81" s="775">
        <f t="shared" si="271"/>
        <v>154405.17000000001</v>
      </c>
      <c r="S81" s="6084"/>
      <c r="T81" s="1720">
        <f>SUM(T79:T80)</f>
        <v>42211.42</v>
      </c>
      <c r="U81" s="6085"/>
      <c r="V81" s="775">
        <f t="shared" si="272"/>
        <v>196616.59000000003</v>
      </c>
      <c r="W81" s="6084"/>
      <c r="X81" s="1720">
        <f>SUM(X79:X80)</f>
        <v>37026.69</v>
      </c>
      <c r="Y81" s="6048">
        <f t="shared" si="320"/>
        <v>0</v>
      </c>
      <c r="Z81" s="774">
        <f t="shared" si="273"/>
        <v>123435.40000000001</v>
      </c>
      <c r="AA81" s="6049"/>
      <c r="AB81" s="460">
        <f t="shared" si="274"/>
        <v>233643.28000000003</v>
      </c>
      <c r="AC81" s="6084"/>
      <c r="AD81" s="1720">
        <f>SUM(AD79:AD80)</f>
        <v>31780.12</v>
      </c>
      <c r="AE81" s="6085"/>
      <c r="AF81" s="775">
        <f t="shared" si="275"/>
        <v>265423.40000000002</v>
      </c>
      <c r="AG81" s="6084"/>
      <c r="AH81" s="1720">
        <f>SUM(AH79:AH80)</f>
        <v>38334.735999999997</v>
      </c>
      <c r="AI81" s="6105"/>
      <c r="AJ81" s="371">
        <f t="shared" si="314"/>
        <v>303758.136</v>
      </c>
      <c r="AK81" s="6084"/>
      <c r="AL81" s="1720">
        <f>SUM(AL79:AL80)</f>
        <v>41431.909999999996</v>
      </c>
      <c r="AM81" s="6048">
        <f t="shared" si="321"/>
        <v>0</v>
      </c>
      <c r="AN81" s="373">
        <f>AD81+AH81+AL81</f>
        <v>111546.766</v>
      </c>
      <c r="AO81" s="6085"/>
      <c r="AP81" s="371">
        <f t="shared" si="315"/>
        <v>345190.04599999997</v>
      </c>
      <c r="AQ81" s="6084"/>
      <c r="AR81" s="1720">
        <f>SUM(AR79:AR80)</f>
        <v>39752.560999999994</v>
      </c>
      <c r="AS81" s="6105"/>
      <c r="AT81" s="371">
        <f t="shared" si="316"/>
        <v>384942.60699999996</v>
      </c>
      <c r="AU81" s="6084"/>
      <c r="AV81" s="1720">
        <f>SUM(AV79:AV80)</f>
        <v>42183.399999999994</v>
      </c>
      <c r="AW81" s="6105"/>
      <c r="AX81" s="371">
        <f t="shared" si="317"/>
        <v>427126.00699999998</v>
      </c>
      <c r="AY81" s="6084"/>
      <c r="AZ81" s="1720">
        <f>SUM(AZ79:AZ80)</f>
        <v>48073.320000000007</v>
      </c>
      <c r="BA81" s="6048">
        <f t="shared" si="322"/>
        <v>0</v>
      </c>
      <c r="BB81" s="373">
        <f>AR81+AV81+AZ81</f>
        <v>130009.28099999999</v>
      </c>
      <c r="BC81" s="6049"/>
      <c r="BD81" s="539">
        <f>AN81+BB81</f>
        <v>241556.04699999999</v>
      </c>
      <c r="BE81" s="6105"/>
      <c r="BF81" s="371">
        <f t="shared" si="319"/>
        <v>475199.32699999999</v>
      </c>
      <c r="BG81" s="26">
        <f t="shared" si="15"/>
        <v>0</v>
      </c>
      <c r="BH81" s="26">
        <f t="shared" si="16"/>
        <v>0</v>
      </c>
      <c r="BI81" s="26"/>
      <c r="BJ81" s="26">
        <f t="shared" si="17"/>
        <v>0</v>
      </c>
      <c r="BK81" s="26">
        <f t="shared" si="18"/>
        <v>0</v>
      </c>
      <c r="BN81" s="26"/>
    </row>
    <row r="82" spans="1:66" x14ac:dyDescent="0.3">
      <c r="A82" s="151"/>
      <c r="B82" s="3401" t="s">
        <v>95</v>
      </c>
      <c r="C82" s="5767"/>
      <c r="D82" s="3401"/>
      <c r="E82" s="3411"/>
      <c r="F82" s="3411"/>
      <c r="G82" s="3411"/>
      <c r="H82" s="3411"/>
      <c r="I82" s="5691"/>
      <c r="J82" s="775">
        <f t="shared" si="269"/>
        <v>0</v>
      </c>
      <c r="K82" s="3411"/>
      <c r="L82" s="3411"/>
      <c r="M82" s="5703"/>
      <c r="N82" s="774">
        <f t="shared" si="270"/>
        <v>0</v>
      </c>
      <c r="O82" s="3411"/>
      <c r="P82" s="3411"/>
      <c r="Q82" s="5691"/>
      <c r="R82" s="775">
        <f t="shared" si="271"/>
        <v>0</v>
      </c>
      <c r="S82" s="3411"/>
      <c r="T82" s="3411"/>
      <c r="U82" s="5691"/>
      <c r="V82" s="775">
        <f t="shared" si="272"/>
        <v>0</v>
      </c>
      <c r="W82" s="3411"/>
      <c r="X82" s="3411"/>
      <c r="Y82" s="5703"/>
      <c r="Z82" s="774">
        <f t="shared" si="273"/>
        <v>0</v>
      </c>
      <c r="AA82" s="5715"/>
      <c r="AB82" s="460">
        <f t="shared" si="274"/>
        <v>0</v>
      </c>
      <c r="AC82" s="3411"/>
      <c r="AD82" s="3411"/>
      <c r="AE82" s="5691"/>
      <c r="AF82" s="775">
        <f t="shared" si="275"/>
        <v>0</v>
      </c>
      <c r="AG82" s="3411"/>
      <c r="AH82" s="3411"/>
      <c r="AI82" s="5691"/>
      <c r="AJ82" s="5691"/>
      <c r="AK82" s="3411"/>
      <c r="AL82" s="3411"/>
      <c r="AM82" s="5703"/>
      <c r="AN82" s="5703"/>
      <c r="AO82" s="5691"/>
      <c r="AP82" s="5691"/>
      <c r="AQ82" s="3411"/>
      <c r="AR82" s="3411"/>
      <c r="AS82" s="5691"/>
      <c r="AT82" s="5691"/>
      <c r="AU82" s="3411"/>
      <c r="AV82" s="3411"/>
      <c r="AW82" s="5691"/>
      <c r="AX82" s="5691"/>
      <c r="AY82" s="3411"/>
      <c r="AZ82" s="3411"/>
      <c r="BA82" s="5703"/>
      <c r="BB82" s="5703"/>
      <c r="BC82" s="5715"/>
      <c r="BD82" s="5715"/>
      <c r="BE82" s="5691"/>
      <c r="BF82" s="5691"/>
      <c r="BG82" s="26">
        <f t="shared" si="15"/>
        <v>0</v>
      </c>
      <c r="BH82" s="26">
        <f t="shared" si="16"/>
        <v>0</v>
      </c>
      <c r="BI82" s="26"/>
      <c r="BJ82" s="26">
        <f t="shared" si="17"/>
        <v>0</v>
      </c>
      <c r="BK82" s="26">
        <f t="shared" si="18"/>
        <v>0</v>
      </c>
      <c r="BN82" s="26"/>
    </row>
    <row r="83" spans="1:66" ht="21.15" customHeight="1" x14ac:dyDescent="0.3">
      <c r="A83" s="92"/>
      <c r="B83" s="1009" t="s">
        <v>22</v>
      </c>
      <c r="C83" s="156" t="s">
        <v>50</v>
      </c>
      <c r="D83" s="6084">
        <f>+D73</f>
        <v>900000</v>
      </c>
      <c r="E83" s="6084">
        <f>+E73</f>
        <v>76000</v>
      </c>
      <c r="F83" s="1185">
        <v>50946.099999999991</v>
      </c>
      <c r="G83" s="6084">
        <f>+G73</f>
        <v>79000</v>
      </c>
      <c r="H83" s="1185">
        <v>59622.64</v>
      </c>
      <c r="I83" s="6085">
        <f>E83+G83</f>
        <v>155000</v>
      </c>
      <c r="J83" s="775">
        <f t="shared" si="269"/>
        <v>110568.73999999999</v>
      </c>
      <c r="K83" s="6084">
        <f>+K73</f>
        <v>76000</v>
      </c>
      <c r="L83" s="1185">
        <v>66412.479999999981</v>
      </c>
      <c r="M83" s="6048">
        <f>E83+G83+K83</f>
        <v>231000</v>
      </c>
      <c r="N83" s="774">
        <f t="shared" si="270"/>
        <v>176981.21999999997</v>
      </c>
      <c r="O83" s="6084">
        <f>+O73</f>
        <v>79000</v>
      </c>
      <c r="P83" s="1185">
        <v>68651.660000000018</v>
      </c>
      <c r="Q83" s="6085">
        <f>M83+O83</f>
        <v>310000</v>
      </c>
      <c r="R83" s="775">
        <f t="shared" si="271"/>
        <v>245632.88</v>
      </c>
      <c r="S83" s="6084">
        <f>+S73</f>
        <v>79000</v>
      </c>
      <c r="T83" s="1185">
        <v>73731.180000000008</v>
      </c>
      <c r="U83" s="6085">
        <f>Q83+S83</f>
        <v>389000</v>
      </c>
      <c r="V83" s="775">
        <f t="shared" si="272"/>
        <v>319364.06</v>
      </c>
      <c r="W83" s="6084">
        <f>+W73</f>
        <v>47500</v>
      </c>
      <c r="X83" s="1185">
        <v>55082.44000000001</v>
      </c>
      <c r="Y83" s="6048">
        <f>O83+S83+W83</f>
        <v>205500</v>
      </c>
      <c r="Z83" s="774">
        <f t="shared" si="273"/>
        <v>197465.28000000003</v>
      </c>
      <c r="AA83" s="6049">
        <f>M83+Y83</f>
        <v>436500</v>
      </c>
      <c r="AB83" s="460">
        <f t="shared" si="274"/>
        <v>374446.5</v>
      </c>
      <c r="AC83" s="6084">
        <f>+AC73</f>
        <v>78000</v>
      </c>
      <c r="AD83" s="1185">
        <v>43898.48000000001</v>
      </c>
      <c r="AE83" s="6085">
        <f>AA83+AC83</f>
        <v>514500</v>
      </c>
      <c r="AF83" s="775">
        <f t="shared" si="275"/>
        <v>418344.98</v>
      </c>
      <c r="AG83" s="6084">
        <f>+AG73</f>
        <v>76000</v>
      </c>
      <c r="AH83" s="1185">
        <v>54597.599000000009</v>
      </c>
      <c r="AI83" s="6103">
        <f>AE83+AG83</f>
        <v>590500</v>
      </c>
      <c r="AJ83" s="775">
        <f t="shared" ref="AJ83:AJ85" si="323">AF83+AH83</f>
        <v>472942.57899999997</v>
      </c>
      <c r="AK83" s="6084">
        <f>+AK73</f>
        <v>79000</v>
      </c>
      <c r="AL83" s="1185">
        <v>65916.5</v>
      </c>
      <c r="AM83" s="6048">
        <f>AC83+AG83+AK83</f>
        <v>233000</v>
      </c>
      <c r="AN83" s="774">
        <f>AD83+AH83+AL83</f>
        <v>164412.57900000003</v>
      </c>
      <c r="AO83" s="6085">
        <f>AI83+AK83</f>
        <v>669500</v>
      </c>
      <c r="AP83" s="775">
        <f t="shared" si="315"/>
        <v>538859.07899999991</v>
      </c>
      <c r="AQ83" s="6084">
        <f>+AQ73</f>
        <v>79000</v>
      </c>
      <c r="AR83" s="1185">
        <v>69330.560000000012</v>
      </c>
      <c r="AS83" s="6103">
        <f>AO83+AQ83</f>
        <v>748500</v>
      </c>
      <c r="AT83" s="775">
        <f t="shared" ref="AT83:AT85" si="324">AP83+AR83</f>
        <v>608189.63899999997</v>
      </c>
      <c r="AU83" s="6084">
        <f>+AU73</f>
        <v>71500</v>
      </c>
      <c r="AV83" s="1185">
        <v>68294.260000000009</v>
      </c>
      <c r="AW83" s="6103">
        <f>AS83+AU83</f>
        <v>820000</v>
      </c>
      <c r="AX83" s="775">
        <f t="shared" ref="AX83:AX85" si="325">AT83+AV83</f>
        <v>676483.89899999998</v>
      </c>
      <c r="AY83" s="6084">
        <f>+AY73</f>
        <v>80000</v>
      </c>
      <c r="AZ83" s="1185">
        <v>73148.700000000012</v>
      </c>
      <c r="BA83" s="6048">
        <f>AQ83+AU83+AY83</f>
        <v>230500</v>
      </c>
      <c r="BB83" s="774">
        <f>AR83+AV83+AZ83</f>
        <v>210773.52000000002</v>
      </c>
      <c r="BC83" s="6049">
        <f>AM83+BA83</f>
        <v>463500</v>
      </c>
      <c r="BD83" s="460">
        <f t="shared" ref="BD83:BD84" si="326">AN83+BB83</f>
        <v>375186.09900000005</v>
      </c>
      <c r="BE83" s="6103">
        <f>AW83+AY83</f>
        <v>900000</v>
      </c>
      <c r="BF83" s="775">
        <f t="shared" ref="BF83:BF85" si="327">AX83+AZ83</f>
        <v>749632.59899999993</v>
      </c>
      <c r="BG83" s="26">
        <f t="shared" ref="BG83:BG146" si="328">AY83+AU83+AQ83+AK83+AG83+AC83+W83+S83+O83+K83+G83+E83-BE83</f>
        <v>0</v>
      </c>
      <c r="BH83" s="26">
        <f t="shared" ref="BH83:BH146" si="329">AZ83+AV83+AR83+AL83+AH83+AD83+X83+T83+P83+L83+H83+F83-BF83</f>
        <v>0</v>
      </c>
      <c r="BI83" s="26"/>
      <c r="BJ83" s="26">
        <f t="shared" ref="BJ83:BJ146" si="330">AY83+AU83+AQ83+AK83+AG83+AC83-BC83</f>
        <v>0</v>
      </c>
      <c r="BK83" s="26">
        <f t="shared" ref="BK83:BK146" si="331">AZ83+AV83+AR83+AL83+AH83+AD83-BD83</f>
        <v>0</v>
      </c>
      <c r="BN83" s="26"/>
    </row>
    <row r="84" spans="1:66" x14ac:dyDescent="0.3">
      <c r="A84" s="151"/>
      <c r="B84" s="1009" t="s">
        <v>23</v>
      </c>
      <c r="C84" s="156" t="s">
        <v>50</v>
      </c>
      <c r="D84" s="6084"/>
      <c r="E84" s="6084"/>
      <c r="F84" s="1185">
        <v>9065.11</v>
      </c>
      <c r="G84" s="6084"/>
      <c r="H84" s="1185">
        <v>7725.2599999999984</v>
      </c>
      <c r="I84" s="6085"/>
      <c r="J84" s="775">
        <f t="shared" si="269"/>
        <v>16790.37</v>
      </c>
      <c r="K84" s="6084"/>
      <c r="L84" s="1185">
        <v>6763.1500000000005</v>
      </c>
      <c r="M84" s="6048"/>
      <c r="N84" s="774">
        <f t="shared" si="270"/>
        <v>23553.52</v>
      </c>
      <c r="O84" s="6084"/>
      <c r="P84" s="1185">
        <v>15450.840000000002</v>
      </c>
      <c r="Q84" s="6085"/>
      <c r="R84" s="775">
        <f t="shared" si="271"/>
        <v>39004.36</v>
      </c>
      <c r="S84" s="6084"/>
      <c r="T84" s="1185">
        <v>13174.749999999998</v>
      </c>
      <c r="U84" s="6085"/>
      <c r="V84" s="775">
        <f t="shared" si="272"/>
        <v>52179.11</v>
      </c>
      <c r="W84" s="6084"/>
      <c r="X84" s="1185">
        <v>13607.55</v>
      </c>
      <c r="Y84" s="6048">
        <f t="shared" ref="Y84:Y85" si="332">O84+S84+W84</f>
        <v>0</v>
      </c>
      <c r="Z84" s="774">
        <f t="shared" si="273"/>
        <v>42233.14</v>
      </c>
      <c r="AA84" s="6049"/>
      <c r="AB84" s="460">
        <f t="shared" si="274"/>
        <v>65786.66</v>
      </c>
      <c r="AC84" s="6084"/>
      <c r="AD84" s="1185">
        <v>8361.9299999999985</v>
      </c>
      <c r="AE84" s="6085"/>
      <c r="AF84" s="775">
        <f t="shared" si="275"/>
        <v>74148.59</v>
      </c>
      <c r="AG84" s="6084"/>
      <c r="AH84" s="1185">
        <v>15493.570000000002</v>
      </c>
      <c r="AI84" s="6104"/>
      <c r="AJ84" s="775">
        <f t="shared" si="323"/>
        <v>89642.16</v>
      </c>
      <c r="AK84" s="6084"/>
      <c r="AL84" s="1185">
        <v>17320.78</v>
      </c>
      <c r="AM84" s="6048">
        <f t="shared" ref="AM84:AM85" si="333">AC84+AG84+AK84</f>
        <v>0</v>
      </c>
      <c r="AN84" s="774">
        <f>AD84+AH84+AL84</f>
        <v>41176.28</v>
      </c>
      <c r="AO84" s="6085"/>
      <c r="AP84" s="775">
        <f t="shared" si="315"/>
        <v>106962.94</v>
      </c>
      <c r="AQ84" s="6084"/>
      <c r="AR84" s="1185">
        <v>10205.51</v>
      </c>
      <c r="AS84" s="6104"/>
      <c r="AT84" s="775">
        <f t="shared" si="324"/>
        <v>117168.45</v>
      </c>
      <c r="AU84" s="6084"/>
      <c r="AV84" s="1185">
        <v>9265.0300000000007</v>
      </c>
      <c r="AW84" s="6104"/>
      <c r="AX84" s="775">
        <f t="shared" si="325"/>
        <v>126433.48</v>
      </c>
      <c r="AY84" s="6084"/>
      <c r="AZ84" s="1185">
        <v>8493.6099999999988</v>
      </c>
      <c r="BA84" s="6048">
        <f t="shared" ref="BA84:BA85" si="334">AQ84+AU84+AY84</f>
        <v>0</v>
      </c>
      <c r="BB84" s="774">
        <f>AR84+AV84+AZ84</f>
        <v>27964.15</v>
      </c>
      <c r="BC84" s="6049"/>
      <c r="BD84" s="460">
        <f t="shared" si="326"/>
        <v>69140.429999999993</v>
      </c>
      <c r="BE84" s="6104"/>
      <c r="BF84" s="775">
        <f t="shared" si="327"/>
        <v>134927.09</v>
      </c>
      <c r="BG84" s="26">
        <f t="shared" si="328"/>
        <v>0</v>
      </c>
      <c r="BH84" s="26">
        <f t="shared" si="329"/>
        <v>0</v>
      </c>
      <c r="BI84" s="26"/>
      <c r="BJ84" s="26">
        <f t="shared" si="330"/>
        <v>0</v>
      </c>
      <c r="BK84" s="26">
        <f t="shared" si="331"/>
        <v>0</v>
      </c>
      <c r="BM84" s="26"/>
      <c r="BN84" s="26"/>
    </row>
    <row r="85" spans="1:66" x14ac:dyDescent="0.3">
      <c r="A85" s="92"/>
      <c r="B85" s="3403" t="s">
        <v>2</v>
      </c>
      <c r="C85" s="156" t="s">
        <v>50</v>
      </c>
      <c r="D85" s="6084"/>
      <c r="E85" s="6084"/>
      <c r="F85" s="1720">
        <f>SUM(F83:F84)</f>
        <v>60011.209999999992</v>
      </c>
      <c r="G85" s="6084"/>
      <c r="H85" s="1720">
        <f>SUM(H83:H84)</f>
        <v>67347.899999999994</v>
      </c>
      <c r="I85" s="6085"/>
      <c r="J85" s="775">
        <f t="shared" si="269"/>
        <v>127359.10999999999</v>
      </c>
      <c r="K85" s="6084"/>
      <c r="L85" s="1720">
        <f>SUM(L83:L84)</f>
        <v>73175.629999999976</v>
      </c>
      <c r="M85" s="6048"/>
      <c r="N85" s="774">
        <f t="shared" si="270"/>
        <v>200534.73999999996</v>
      </c>
      <c r="O85" s="6084"/>
      <c r="P85" s="1720">
        <f>SUM(P83:P84)</f>
        <v>84102.500000000015</v>
      </c>
      <c r="Q85" s="6085"/>
      <c r="R85" s="775">
        <f t="shared" si="271"/>
        <v>284637.24</v>
      </c>
      <c r="S85" s="6084"/>
      <c r="T85" s="1720">
        <f>SUM(T83:T84)</f>
        <v>86905.930000000008</v>
      </c>
      <c r="U85" s="6085"/>
      <c r="V85" s="775">
        <f t="shared" si="272"/>
        <v>371543.17</v>
      </c>
      <c r="W85" s="6084"/>
      <c r="X85" s="1720">
        <f>SUM(X83:X84)</f>
        <v>68689.990000000005</v>
      </c>
      <c r="Y85" s="6048">
        <f t="shared" si="332"/>
        <v>0</v>
      </c>
      <c r="Z85" s="774">
        <f t="shared" si="273"/>
        <v>239698.42000000004</v>
      </c>
      <c r="AA85" s="6049"/>
      <c r="AB85" s="460">
        <f t="shared" si="274"/>
        <v>440233.16000000003</v>
      </c>
      <c r="AC85" s="6084"/>
      <c r="AD85" s="1720">
        <f>SUM(AD83:AD84)</f>
        <v>52260.410000000011</v>
      </c>
      <c r="AE85" s="6085"/>
      <c r="AF85" s="775">
        <f t="shared" si="275"/>
        <v>492493.57000000007</v>
      </c>
      <c r="AG85" s="6084"/>
      <c r="AH85" s="1720">
        <f>SUM(AH83:AH84)</f>
        <v>70091.169000000009</v>
      </c>
      <c r="AI85" s="6105"/>
      <c r="AJ85" s="371">
        <f t="shared" si="323"/>
        <v>562584.73900000006</v>
      </c>
      <c r="AK85" s="6084"/>
      <c r="AL85" s="1720">
        <f>SUM(AL83:AL84)</f>
        <v>83237.279999999999</v>
      </c>
      <c r="AM85" s="6048">
        <f t="shared" si="333"/>
        <v>0</v>
      </c>
      <c r="AN85" s="373">
        <f>AD85+AH85+AL85</f>
        <v>205588.85900000003</v>
      </c>
      <c r="AO85" s="6085"/>
      <c r="AP85" s="371">
        <f t="shared" si="315"/>
        <v>645822.01900000009</v>
      </c>
      <c r="AQ85" s="6084"/>
      <c r="AR85" s="1720">
        <f>SUM(AR83:AR84)</f>
        <v>79536.070000000007</v>
      </c>
      <c r="AS85" s="6105"/>
      <c r="AT85" s="371">
        <f t="shared" si="324"/>
        <v>725358.08900000015</v>
      </c>
      <c r="AU85" s="6084"/>
      <c r="AV85" s="1720">
        <f>SUM(AV83:AV84)</f>
        <v>77559.290000000008</v>
      </c>
      <c r="AW85" s="6105"/>
      <c r="AX85" s="371">
        <f t="shared" si="325"/>
        <v>802917.37900000019</v>
      </c>
      <c r="AY85" s="6084"/>
      <c r="AZ85" s="1720">
        <f>SUM(AZ83:AZ84)</f>
        <v>81642.310000000012</v>
      </c>
      <c r="BA85" s="6048">
        <f t="shared" si="334"/>
        <v>0</v>
      </c>
      <c r="BB85" s="373">
        <f>AR85+AV85+AZ85</f>
        <v>238737.67000000004</v>
      </c>
      <c r="BC85" s="6049"/>
      <c r="BD85" s="539">
        <f>AN85+BB85</f>
        <v>444326.5290000001</v>
      </c>
      <c r="BE85" s="6105"/>
      <c r="BF85" s="371">
        <f t="shared" si="327"/>
        <v>884559.68900000025</v>
      </c>
      <c r="BG85" s="26">
        <f t="shared" si="328"/>
        <v>0</v>
      </c>
      <c r="BH85" s="26">
        <f t="shared" si="329"/>
        <v>0</v>
      </c>
      <c r="BI85" s="26"/>
      <c r="BJ85" s="26">
        <f t="shared" si="330"/>
        <v>0</v>
      </c>
      <c r="BK85" s="26">
        <f t="shared" si="331"/>
        <v>0</v>
      </c>
      <c r="BN85" s="26"/>
    </row>
    <row r="86" spans="1:66" ht="20.25" customHeight="1" x14ac:dyDescent="0.3">
      <c r="A86" s="151"/>
      <c r="B86" s="3401" t="s">
        <v>115</v>
      </c>
      <c r="C86" s="5767"/>
      <c r="D86" s="3401"/>
      <c r="E86" s="3411"/>
      <c r="F86" s="3411"/>
      <c r="G86" s="3411"/>
      <c r="H86" s="3411"/>
      <c r="I86" s="5691"/>
      <c r="J86" s="775">
        <f t="shared" ref="J86:J151" si="335">F86+H86</f>
        <v>0</v>
      </c>
      <c r="K86" s="3411"/>
      <c r="L86" s="3411"/>
      <c r="M86" s="5703"/>
      <c r="N86" s="774">
        <f t="shared" ref="N86:N151" si="336">J86+L86</f>
        <v>0</v>
      </c>
      <c r="O86" s="3411"/>
      <c r="P86" s="3411"/>
      <c r="Q86" s="5691"/>
      <c r="R86" s="775">
        <f t="shared" ref="R86:R151" si="337">N86+P86</f>
        <v>0</v>
      </c>
      <c r="S86" s="3411"/>
      <c r="T86" s="3411"/>
      <c r="U86" s="5691"/>
      <c r="V86" s="775">
        <f t="shared" ref="V86:V151" si="338">R86+T86</f>
        <v>0</v>
      </c>
      <c r="W86" s="3411"/>
      <c r="X86" s="3411"/>
      <c r="Y86" s="5703"/>
      <c r="Z86" s="774">
        <f t="shared" ref="Z86:Z151" si="339">P86+T86+X86</f>
        <v>0</v>
      </c>
      <c r="AA86" s="5715"/>
      <c r="AB86" s="460">
        <f t="shared" ref="AB86:AB151" si="340">N86+Z86</f>
        <v>0</v>
      </c>
      <c r="AC86" s="3411"/>
      <c r="AD86" s="3411"/>
      <c r="AE86" s="5691"/>
      <c r="AF86" s="775">
        <f t="shared" ref="AF86:AF151" si="341">AB86+AD86</f>
        <v>0</v>
      </c>
      <c r="AG86" s="3411"/>
      <c r="AH86" s="3411"/>
      <c r="AI86" s="5691"/>
      <c r="AJ86" s="5691"/>
      <c r="AK86" s="3411"/>
      <c r="AL86" s="3411"/>
      <c r="AM86" s="5703"/>
      <c r="AN86" s="5703"/>
      <c r="AO86" s="5691"/>
      <c r="AP86" s="5691"/>
      <c r="AQ86" s="3411"/>
      <c r="AR86" s="3411"/>
      <c r="AS86" s="5691"/>
      <c r="AT86" s="5691"/>
      <c r="AU86" s="3411"/>
      <c r="AV86" s="3411"/>
      <c r="AW86" s="5691"/>
      <c r="AX86" s="5691"/>
      <c r="AY86" s="3411"/>
      <c r="AZ86" s="3411"/>
      <c r="BA86" s="5703"/>
      <c r="BB86" s="5703"/>
      <c r="BC86" s="5715"/>
      <c r="BD86" s="5715"/>
      <c r="BE86" s="5691"/>
      <c r="BF86" s="5691"/>
      <c r="BG86" s="26">
        <f t="shared" si="328"/>
        <v>0</v>
      </c>
      <c r="BH86" s="26">
        <f t="shared" si="329"/>
        <v>0</v>
      </c>
      <c r="BI86" s="26"/>
      <c r="BJ86" s="26">
        <f t="shared" si="330"/>
        <v>0</v>
      </c>
      <c r="BK86" s="26">
        <f t="shared" si="331"/>
        <v>0</v>
      </c>
      <c r="BN86" s="26"/>
    </row>
    <row r="87" spans="1:66" ht="20.25" customHeight="1" x14ac:dyDescent="0.3">
      <c r="A87" s="92"/>
      <c r="B87" s="1009" t="s">
        <v>22</v>
      </c>
      <c r="C87" s="156" t="s">
        <v>50</v>
      </c>
      <c r="D87" s="6084">
        <f>+D74</f>
        <v>750000</v>
      </c>
      <c r="E87" s="6084">
        <f>+E74</f>
        <v>62000</v>
      </c>
      <c r="F87" s="1185">
        <v>29431.96</v>
      </c>
      <c r="G87" s="6084">
        <f>+G74</f>
        <v>65000</v>
      </c>
      <c r="H87" s="26">
        <v>42191.7</v>
      </c>
      <c r="I87" s="6085">
        <f>G87+E87</f>
        <v>127000</v>
      </c>
      <c r="J87" s="775">
        <f t="shared" si="335"/>
        <v>71623.66</v>
      </c>
      <c r="K87" s="6084">
        <f>+K74</f>
        <v>62500</v>
      </c>
      <c r="L87" s="26">
        <v>45178.16</v>
      </c>
      <c r="M87" s="6048">
        <f>E87+G87+K87</f>
        <v>189500</v>
      </c>
      <c r="N87" s="774">
        <f t="shared" si="336"/>
        <v>116801.82</v>
      </c>
      <c r="O87" s="6084">
        <f>+O74</f>
        <v>65000</v>
      </c>
      <c r="P87" s="26">
        <v>44981.19999999999</v>
      </c>
      <c r="Q87" s="6085">
        <f>O87+M87</f>
        <v>254500</v>
      </c>
      <c r="R87" s="775">
        <f t="shared" si="337"/>
        <v>161783.01999999999</v>
      </c>
      <c r="S87" s="6084">
        <f>+S74</f>
        <v>65000</v>
      </c>
      <c r="T87" s="2639">
        <v>35382.239999999991</v>
      </c>
      <c r="U87" s="6085">
        <f>S87+Q87</f>
        <v>319500</v>
      </c>
      <c r="V87" s="775">
        <f t="shared" si="338"/>
        <v>197165.25999999998</v>
      </c>
      <c r="W87" s="6084">
        <f>+W74</f>
        <v>33500</v>
      </c>
      <c r="X87" s="2639">
        <v>36388.539999999994</v>
      </c>
      <c r="Y87" s="6048">
        <f>O87+S87+W87</f>
        <v>163500</v>
      </c>
      <c r="Z87" s="774">
        <f t="shared" si="339"/>
        <v>116751.97999999997</v>
      </c>
      <c r="AA87" s="6049">
        <f>M87+Y87</f>
        <v>353000</v>
      </c>
      <c r="AB87" s="460">
        <f t="shared" si="340"/>
        <v>233553.8</v>
      </c>
      <c r="AC87" s="6084">
        <f>+AC74</f>
        <v>67000</v>
      </c>
      <c r="AD87" s="2639">
        <v>24083.659999999996</v>
      </c>
      <c r="AE87" s="6085">
        <f>AC87+AA87</f>
        <v>420000</v>
      </c>
      <c r="AF87" s="775">
        <f t="shared" si="341"/>
        <v>257637.46</v>
      </c>
      <c r="AG87" s="6084">
        <f>+AG74</f>
        <v>65000</v>
      </c>
      <c r="AH87" s="2639">
        <v>36001.94</v>
      </c>
      <c r="AI87" s="6103">
        <f>AG87+AE87</f>
        <v>485000</v>
      </c>
      <c r="AJ87" s="775">
        <f t="shared" ref="AJ87:AJ89" si="342">AF87+AH87</f>
        <v>293639.40000000002</v>
      </c>
      <c r="AK87" s="6084">
        <f>+AK74</f>
        <v>67500</v>
      </c>
      <c r="AL87" s="2639">
        <v>34806.000999999997</v>
      </c>
      <c r="AM87" s="6048">
        <f>AC87+AG87+AK87</f>
        <v>199500</v>
      </c>
      <c r="AN87" s="774">
        <f>AD87+AH87+AL87</f>
        <v>94891.600999999995</v>
      </c>
      <c r="AO87" s="6085">
        <f>AI87+AK87</f>
        <v>552500</v>
      </c>
      <c r="AP87" s="775">
        <f t="shared" si="315"/>
        <v>328445.40100000001</v>
      </c>
      <c r="AQ87" s="6084">
        <f>+AQ74</f>
        <v>68000</v>
      </c>
      <c r="AR87" s="2639">
        <v>39871.539999999994</v>
      </c>
      <c r="AS87" s="6103">
        <f>AQ87+AO87</f>
        <v>620500</v>
      </c>
      <c r="AT87" s="775">
        <f t="shared" ref="AT87:AT89" si="343">AP87+AR87</f>
        <v>368316.94099999999</v>
      </c>
      <c r="AU87" s="6084">
        <f>+AU74</f>
        <v>61000</v>
      </c>
      <c r="AV87" s="2639">
        <v>39750.140000000014</v>
      </c>
      <c r="AW87" s="6103">
        <f>AU87+AS87</f>
        <v>681500</v>
      </c>
      <c r="AX87" s="775">
        <f t="shared" ref="AX87:AX89" si="344">AT87+AV87</f>
        <v>408067.08100000001</v>
      </c>
      <c r="AY87" s="6084">
        <f>+AY74</f>
        <v>68500</v>
      </c>
      <c r="AZ87" s="2639">
        <v>45440.041999999994</v>
      </c>
      <c r="BA87" s="6048">
        <f>AQ87+AU87+AY87</f>
        <v>197500</v>
      </c>
      <c r="BB87" s="774">
        <f>AR87+AV87+AZ87</f>
        <v>125061.72200000001</v>
      </c>
      <c r="BC87" s="6049">
        <f>AM87+BA87</f>
        <v>397000</v>
      </c>
      <c r="BD87" s="460">
        <f t="shared" ref="BD87:BD88" si="345">AN87+BB87</f>
        <v>219953.323</v>
      </c>
      <c r="BE87" s="6103">
        <f>AY87+AW87</f>
        <v>750000</v>
      </c>
      <c r="BF87" s="775">
        <f t="shared" ref="BF87:BF89" si="346">AX87+AZ87</f>
        <v>453507.12300000002</v>
      </c>
      <c r="BG87" s="26">
        <f t="shared" si="328"/>
        <v>0</v>
      </c>
      <c r="BH87" s="26">
        <f t="shared" si="329"/>
        <v>0</v>
      </c>
      <c r="BI87" s="26"/>
      <c r="BJ87" s="26">
        <f t="shared" si="330"/>
        <v>0</v>
      </c>
      <c r="BK87" s="26">
        <f t="shared" si="331"/>
        <v>0</v>
      </c>
      <c r="BN87" s="26"/>
    </row>
    <row r="88" spans="1:66" ht="20.25" customHeight="1" x14ac:dyDescent="0.3">
      <c r="A88" s="92"/>
      <c r="B88" s="1009" t="s">
        <v>23</v>
      </c>
      <c r="C88" s="156" t="s">
        <v>50</v>
      </c>
      <c r="D88" s="6084"/>
      <c r="E88" s="6084"/>
      <c r="F88" s="1185">
        <v>14690.740000000002</v>
      </c>
      <c r="G88" s="6084"/>
      <c r="H88" s="1185">
        <v>15524.300000000003</v>
      </c>
      <c r="I88" s="6085"/>
      <c r="J88" s="775">
        <f t="shared" si="335"/>
        <v>30215.040000000005</v>
      </c>
      <c r="K88" s="6084"/>
      <c r="L88" s="1185">
        <v>11542.519999999997</v>
      </c>
      <c r="M88" s="6048"/>
      <c r="N88" s="774">
        <f t="shared" si="336"/>
        <v>41757.56</v>
      </c>
      <c r="O88" s="6084"/>
      <c r="P88" s="1185">
        <v>12283.629999999997</v>
      </c>
      <c r="Q88" s="6085"/>
      <c r="R88" s="775">
        <f t="shared" si="337"/>
        <v>54041.189999999995</v>
      </c>
      <c r="S88" s="6084"/>
      <c r="T88" s="1185">
        <v>11841.9</v>
      </c>
      <c r="U88" s="6085"/>
      <c r="V88" s="775">
        <f t="shared" si="338"/>
        <v>65883.09</v>
      </c>
      <c r="W88" s="6084"/>
      <c r="X88" s="1185">
        <v>9559.5800000000017</v>
      </c>
      <c r="Y88" s="6048">
        <f t="shared" ref="Y88:Y89" si="347">O88+S88+W88</f>
        <v>0</v>
      </c>
      <c r="Z88" s="774">
        <f t="shared" si="339"/>
        <v>33685.11</v>
      </c>
      <c r="AA88" s="6049"/>
      <c r="AB88" s="460">
        <f t="shared" si="340"/>
        <v>75442.67</v>
      </c>
      <c r="AC88" s="6084"/>
      <c r="AD88" s="1185">
        <v>6132.2199999999993</v>
      </c>
      <c r="AE88" s="6085"/>
      <c r="AF88" s="775">
        <f t="shared" si="341"/>
        <v>81574.89</v>
      </c>
      <c r="AG88" s="6084"/>
      <c r="AH88" s="1185">
        <v>13442.809999999994</v>
      </c>
      <c r="AI88" s="6104"/>
      <c r="AJ88" s="775">
        <f t="shared" si="342"/>
        <v>95017.7</v>
      </c>
      <c r="AK88" s="6084"/>
      <c r="AL88" s="1185">
        <v>16732.88</v>
      </c>
      <c r="AM88" s="6048">
        <f t="shared" ref="AM88:AM89" si="348">AC88+AG88+AK88</f>
        <v>0</v>
      </c>
      <c r="AN88" s="774">
        <f>AD88+AH88+AL88</f>
        <v>36307.909999999989</v>
      </c>
      <c r="AO88" s="6085"/>
      <c r="AP88" s="775">
        <f t="shared" si="315"/>
        <v>111750.58</v>
      </c>
      <c r="AQ88" s="6084"/>
      <c r="AR88" s="1185">
        <v>15525.399999999996</v>
      </c>
      <c r="AS88" s="6104"/>
      <c r="AT88" s="775">
        <f t="shared" si="343"/>
        <v>127275.98</v>
      </c>
      <c r="AU88" s="6084"/>
      <c r="AV88" s="1185">
        <v>13321.349999999999</v>
      </c>
      <c r="AW88" s="6104"/>
      <c r="AX88" s="775">
        <f t="shared" si="344"/>
        <v>140597.32999999999</v>
      </c>
      <c r="AY88" s="6084"/>
      <c r="AZ88" s="1185">
        <v>13360.17</v>
      </c>
      <c r="BA88" s="6048">
        <f t="shared" ref="BA88:BA89" si="349">AQ88+AU88+AY88</f>
        <v>0</v>
      </c>
      <c r="BB88" s="774">
        <f>AR88+AV88+AZ88</f>
        <v>42206.919999999991</v>
      </c>
      <c r="BC88" s="6049"/>
      <c r="BD88" s="460">
        <f t="shared" si="345"/>
        <v>78514.829999999987</v>
      </c>
      <c r="BE88" s="6104"/>
      <c r="BF88" s="775">
        <f t="shared" si="346"/>
        <v>153957.5</v>
      </c>
      <c r="BG88" s="26">
        <f t="shared" si="328"/>
        <v>0</v>
      </c>
      <c r="BH88" s="26">
        <f t="shared" si="329"/>
        <v>0</v>
      </c>
      <c r="BI88" s="26"/>
      <c r="BJ88" s="26">
        <f t="shared" si="330"/>
        <v>0</v>
      </c>
      <c r="BK88" s="26">
        <f t="shared" si="331"/>
        <v>0</v>
      </c>
      <c r="BM88" s="26"/>
      <c r="BN88" s="26"/>
    </row>
    <row r="89" spans="1:66" x14ac:dyDescent="0.3">
      <c r="A89" s="92"/>
      <c r="B89" s="3403" t="s">
        <v>2</v>
      </c>
      <c r="C89" s="156" t="s">
        <v>50</v>
      </c>
      <c r="D89" s="6084"/>
      <c r="E89" s="6084"/>
      <c r="F89" s="1720">
        <f>SUM(F87:F88)</f>
        <v>44122.7</v>
      </c>
      <c r="G89" s="6084"/>
      <c r="H89" s="1720">
        <f>SUM(H87:H88)</f>
        <v>57716</v>
      </c>
      <c r="I89" s="6085"/>
      <c r="J89" s="775">
        <f t="shared" si="335"/>
        <v>101838.7</v>
      </c>
      <c r="K89" s="6084"/>
      <c r="L89" s="1720">
        <f>SUM(L87:L88)</f>
        <v>56720.68</v>
      </c>
      <c r="M89" s="6048"/>
      <c r="N89" s="774">
        <f t="shared" si="336"/>
        <v>158559.38</v>
      </c>
      <c r="O89" s="6084"/>
      <c r="P89" s="1720">
        <f>SUM(P87:P88)</f>
        <v>57264.829999999987</v>
      </c>
      <c r="Q89" s="6085"/>
      <c r="R89" s="775">
        <f t="shared" si="337"/>
        <v>215824.21</v>
      </c>
      <c r="S89" s="6084"/>
      <c r="T89" s="1720">
        <f>SUM(T87:T88)</f>
        <v>47224.139999999992</v>
      </c>
      <c r="U89" s="6085"/>
      <c r="V89" s="775">
        <f t="shared" si="338"/>
        <v>263048.34999999998</v>
      </c>
      <c r="W89" s="6084"/>
      <c r="X89" s="1720">
        <f>SUM(X87:X88)</f>
        <v>45948.119999999995</v>
      </c>
      <c r="Y89" s="6048">
        <f t="shared" si="347"/>
        <v>0</v>
      </c>
      <c r="Z89" s="774">
        <f t="shared" si="339"/>
        <v>150437.08999999997</v>
      </c>
      <c r="AA89" s="6049"/>
      <c r="AB89" s="460">
        <f t="shared" si="340"/>
        <v>308996.46999999997</v>
      </c>
      <c r="AC89" s="6084"/>
      <c r="AD89" s="1720">
        <f>SUM(AD87:AD88)</f>
        <v>30215.879999999997</v>
      </c>
      <c r="AE89" s="6085"/>
      <c r="AF89" s="775">
        <f t="shared" si="341"/>
        <v>339212.35</v>
      </c>
      <c r="AG89" s="6084"/>
      <c r="AH89" s="1720">
        <f>SUM(AH87:AH88)</f>
        <v>49444.75</v>
      </c>
      <c r="AI89" s="6105"/>
      <c r="AJ89" s="371">
        <f t="shared" si="342"/>
        <v>388657.1</v>
      </c>
      <c r="AK89" s="6084"/>
      <c r="AL89" s="1720">
        <f>SUM(AL87:AL88)</f>
        <v>51538.880999999994</v>
      </c>
      <c r="AM89" s="6048">
        <f t="shared" si="348"/>
        <v>0</v>
      </c>
      <c r="AN89" s="373">
        <f>AD89+AH89+AL89</f>
        <v>131199.511</v>
      </c>
      <c r="AO89" s="6085"/>
      <c r="AP89" s="371">
        <f t="shared" si="315"/>
        <v>440195.98099999997</v>
      </c>
      <c r="AQ89" s="6084"/>
      <c r="AR89" s="1720">
        <f>SUM(AR87:AR88)</f>
        <v>55396.939999999988</v>
      </c>
      <c r="AS89" s="6105"/>
      <c r="AT89" s="371">
        <f t="shared" si="343"/>
        <v>495592.92099999997</v>
      </c>
      <c r="AU89" s="6084"/>
      <c r="AV89" s="1720">
        <f>SUM(AV87:AV88)</f>
        <v>53071.490000000013</v>
      </c>
      <c r="AW89" s="6105"/>
      <c r="AX89" s="371">
        <f t="shared" si="344"/>
        <v>548664.41099999996</v>
      </c>
      <c r="AY89" s="6084"/>
      <c r="AZ89" s="1720">
        <f>SUM(AZ87:AZ88)</f>
        <v>58800.211999999992</v>
      </c>
      <c r="BA89" s="6048">
        <f t="shared" si="349"/>
        <v>0</v>
      </c>
      <c r="BB89" s="373">
        <f>AR89+AV89+AZ89</f>
        <v>167268.64199999999</v>
      </c>
      <c r="BC89" s="6049"/>
      <c r="BD89" s="539">
        <f>AN89+BB89</f>
        <v>298468.15299999999</v>
      </c>
      <c r="BE89" s="6105"/>
      <c r="BF89" s="371">
        <f t="shared" si="346"/>
        <v>607464.62299999991</v>
      </c>
      <c r="BG89" s="26">
        <f t="shared" si="328"/>
        <v>0</v>
      </c>
      <c r="BH89" s="26">
        <f t="shared" si="329"/>
        <v>0</v>
      </c>
      <c r="BI89" s="26"/>
      <c r="BJ89" s="26">
        <f t="shared" si="330"/>
        <v>0</v>
      </c>
      <c r="BK89" s="26">
        <f t="shared" si="331"/>
        <v>0</v>
      </c>
      <c r="BN89" s="26"/>
    </row>
    <row r="90" spans="1:66" x14ac:dyDescent="0.3">
      <c r="A90" s="151"/>
      <c r="B90" s="3401" t="s">
        <v>513</v>
      </c>
      <c r="C90" s="5767"/>
      <c r="D90" s="3401"/>
      <c r="E90" s="3411"/>
      <c r="F90" s="3411"/>
      <c r="G90" s="3411"/>
      <c r="H90" s="3411"/>
      <c r="I90" s="5691"/>
      <c r="J90" s="775">
        <f t="shared" si="335"/>
        <v>0</v>
      </c>
      <c r="K90" s="3411"/>
      <c r="L90" s="3411"/>
      <c r="M90" s="5703"/>
      <c r="N90" s="774">
        <f t="shared" si="336"/>
        <v>0</v>
      </c>
      <c r="O90" s="3411"/>
      <c r="P90" s="3411"/>
      <c r="Q90" s="5691"/>
      <c r="R90" s="775">
        <f t="shared" si="337"/>
        <v>0</v>
      </c>
      <c r="S90" s="3411"/>
      <c r="T90" s="3411"/>
      <c r="U90" s="5691"/>
      <c r="V90" s="775">
        <f t="shared" si="338"/>
        <v>0</v>
      </c>
      <c r="W90" s="3411"/>
      <c r="X90" s="3411"/>
      <c r="Y90" s="5703"/>
      <c r="Z90" s="774">
        <f t="shared" si="339"/>
        <v>0</v>
      </c>
      <c r="AA90" s="5715"/>
      <c r="AB90" s="460">
        <f t="shared" si="340"/>
        <v>0</v>
      </c>
      <c r="AC90" s="3411"/>
      <c r="AD90" s="3411"/>
      <c r="AE90" s="5691"/>
      <c r="AF90" s="775">
        <f t="shared" si="341"/>
        <v>0</v>
      </c>
      <c r="AG90" s="3411"/>
      <c r="AH90" s="3411"/>
      <c r="AI90" s="5691"/>
      <c r="AJ90" s="5691"/>
      <c r="AK90" s="3411"/>
      <c r="AL90" s="3411"/>
      <c r="AM90" s="5703"/>
      <c r="AN90" s="5703"/>
      <c r="AO90" s="5691"/>
      <c r="AP90" s="5691"/>
      <c r="AQ90" s="3411"/>
      <c r="AR90" s="3411"/>
      <c r="AS90" s="5691"/>
      <c r="AT90" s="5691"/>
      <c r="AU90" s="3411"/>
      <c r="AV90" s="3411"/>
      <c r="AW90" s="5691"/>
      <c r="AX90" s="5691"/>
      <c r="AY90" s="3411"/>
      <c r="AZ90" s="3411"/>
      <c r="BA90" s="5703"/>
      <c r="BB90" s="5703"/>
      <c r="BC90" s="5715"/>
      <c r="BD90" s="5715"/>
      <c r="BE90" s="5691"/>
      <c r="BF90" s="5691"/>
      <c r="BG90" s="26">
        <f t="shared" si="328"/>
        <v>0</v>
      </c>
      <c r="BH90" s="26">
        <f t="shared" si="329"/>
        <v>0</v>
      </c>
      <c r="BI90" s="26"/>
      <c r="BJ90" s="26">
        <f t="shared" si="330"/>
        <v>0</v>
      </c>
      <c r="BK90" s="26">
        <f t="shared" si="331"/>
        <v>0</v>
      </c>
      <c r="BN90" s="26"/>
    </row>
    <row r="91" spans="1:66" ht="20.25" customHeight="1" x14ac:dyDescent="0.3">
      <c r="A91" s="92"/>
      <c r="B91" s="1009" t="s">
        <v>22</v>
      </c>
      <c r="C91" s="156" t="s">
        <v>50</v>
      </c>
      <c r="D91" s="6084">
        <f>+D75</f>
        <v>524798</v>
      </c>
      <c r="E91" s="6084">
        <f>+E75</f>
        <v>48499.815368603398</v>
      </c>
      <c r="F91" s="1185">
        <v>29481.079999999994</v>
      </c>
      <c r="G91" s="6084">
        <f>+G75</f>
        <v>48499.576671657102</v>
      </c>
      <c r="H91" s="1185">
        <v>35675.959999999992</v>
      </c>
      <c r="I91" s="6085">
        <f>E91+G91</f>
        <v>96999.3920402605</v>
      </c>
      <c r="J91" s="775">
        <f t="shared" si="335"/>
        <v>65157.039999999986</v>
      </c>
      <c r="K91" s="6084">
        <f>+K75</f>
        <v>48000.110883115201</v>
      </c>
      <c r="L91" s="1185">
        <v>37175.06</v>
      </c>
      <c r="M91" s="6048">
        <f>E91+G91+K91</f>
        <v>144999.50292337569</v>
      </c>
      <c r="N91" s="774">
        <f t="shared" si="336"/>
        <v>102332.09999999998</v>
      </c>
      <c r="O91" s="6084">
        <f>+O75</f>
        <v>43500.141355320899</v>
      </c>
      <c r="P91" s="1185">
        <v>36920.9</v>
      </c>
      <c r="Q91" s="6085">
        <f>M91+O91</f>
        <v>188499.64427869659</v>
      </c>
      <c r="R91" s="775">
        <f t="shared" si="337"/>
        <v>139252.99999999997</v>
      </c>
      <c r="S91" s="6084">
        <f>+S75</f>
        <v>43500.141355320899</v>
      </c>
      <c r="T91" s="1185">
        <v>50322.420000000006</v>
      </c>
      <c r="U91" s="6085">
        <f>Q91+S91</f>
        <v>231999.78563401749</v>
      </c>
      <c r="V91" s="775">
        <f t="shared" si="338"/>
        <v>189575.41999999998</v>
      </c>
      <c r="W91" s="6084">
        <f>+W75</f>
        <v>15300.0147648532</v>
      </c>
      <c r="X91" s="1185">
        <v>38909.94</v>
      </c>
      <c r="Y91" s="6048">
        <f>O91+S91+W91</f>
        <v>102300.297475495</v>
      </c>
      <c r="Z91" s="774">
        <f t="shared" si="339"/>
        <v>126153.26000000001</v>
      </c>
      <c r="AA91" s="6049">
        <f>M91+Y91</f>
        <v>247299.80039887069</v>
      </c>
      <c r="AB91" s="460">
        <f t="shared" si="340"/>
        <v>228485.36</v>
      </c>
      <c r="AC91" s="6084">
        <f>+AC75</f>
        <v>48999.528159756301</v>
      </c>
      <c r="AD91" s="1185">
        <v>47175.419999999991</v>
      </c>
      <c r="AE91" s="6085">
        <f>AA91+AC91</f>
        <v>296299.32855862699</v>
      </c>
      <c r="AF91" s="775">
        <f t="shared" si="341"/>
        <v>275660.77999999997</v>
      </c>
      <c r="AG91" s="6084">
        <f>+AG75</f>
        <v>45499.588455674595</v>
      </c>
      <c r="AH91" s="1185">
        <v>43090.12</v>
      </c>
      <c r="AI91" s="6103">
        <f>AE91+AG91</f>
        <v>341798.91701430158</v>
      </c>
      <c r="AJ91" s="775">
        <f t="shared" ref="AJ91:AJ93" si="350">AF91+AH91</f>
        <v>318750.89999999997</v>
      </c>
      <c r="AK91" s="6084">
        <f>+AK75</f>
        <v>46000.054244216401</v>
      </c>
      <c r="AL91" s="1185">
        <v>35096.200000000004</v>
      </c>
      <c r="AM91" s="6048">
        <f>AC91+AG91+AK91</f>
        <v>140499.17085964727</v>
      </c>
      <c r="AN91" s="774">
        <f>AD91+AH91+AL91</f>
        <v>125361.73999999999</v>
      </c>
      <c r="AO91" s="6085">
        <f>AI91+AK91</f>
        <v>387798.971258518</v>
      </c>
      <c r="AP91" s="775">
        <f t="shared" si="315"/>
        <v>353847.1</v>
      </c>
      <c r="AQ91" s="6084">
        <f>+AQ75</f>
        <v>48499.664678463945</v>
      </c>
      <c r="AR91" s="1185">
        <v>28532.959999999995</v>
      </c>
      <c r="AS91" s="6103">
        <f>AO91+AQ91</f>
        <v>436298.63593698194</v>
      </c>
      <c r="AT91" s="775">
        <f t="shared" ref="AT91:AT93" si="351">AP91+AR91</f>
        <v>382380.06</v>
      </c>
      <c r="AU91" s="6084">
        <f>+AU75</f>
        <v>41500.010429203743</v>
      </c>
      <c r="AV91" s="1185">
        <v>9250.66</v>
      </c>
      <c r="AW91" s="6103">
        <f>AS91+AU91</f>
        <v>477798.64636618568</v>
      </c>
      <c r="AX91" s="775">
        <f t="shared" ref="AX91:AX93" si="352">AT91+AV91</f>
        <v>391630.72</v>
      </c>
      <c r="AY91" s="6084">
        <f>+AY75</f>
        <v>46999.690762923987</v>
      </c>
      <c r="AZ91" s="1185">
        <v>30071.229999999996</v>
      </c>
      <c r="BA91" s="6048">
        <f>AQ91+AU91+AY91</f>
        <v>136999.36587059166</v>
      </c>
      <c r="BB91" s="774">
        <f>AR91+AV91+AZ91</f>
        <v>67854.849999999991</v>
      </c>
      <c r="BC91" s="6049">
        <f>AM91+BA91</f>
        <v>277498.53673023893</v>
      </c>
      <c r="BD91" s="460">
        <f t="shared" ref="BD91:BD92" si="353">AN91+BB91</f>
        <v>193216.58999999997</v>
      </c>
      <c r="BE91" s="6103">
        <f>AW91+AY91</f>
        <v>524798.33712910966</v>
      </c>
      <c r="BF91" s="775">
        <f t="shared" ref="BF91:BF93" si="354">AX91+AZ91</f>
        <v>421701.94999999995</v>
      </c>
      <c r="BG91" s="26">
        <f t="shared" si="328"/>
        <v>0</v>
      </c>
      <c r="BH91" s="26">
        <f t="shared" si="329"/>
        <v>0</v>
      </c>
      <c r="BI91" s="26"/>
      <c r="BJ91" s="26">
        <f t="shared" si="330"/>
        <v>0</v>
      </c>
      <c r="BK91" s="26">
        <f t="shared" si="331"/>
        <v>0</v>
      </c>
      <c r="BN91" s="26"/>
    </row>
    <row r="92" spans="1:66" ht="20.25" customHeight="1" x14ac:dyDescent="0.3">
      <c r="A92" s="92"/>
      <c r="B92" s="1009" t="s">
        <v>23</v>
      </c>
      <c r="C92" s="156" t="s">
        <v>50</v>
      </c>
      <c r="D92" s="6084"/>
      <c r="E92" s="6084"/>
      <c r="F92" s="1185">
        <v>8943.2099999999973</v>
      </c>
      <c r="G92" s="6084"/>
      <c r="H92" s="1185">
        <v>17359.149999999998</v>
      </c>
      <c r="I92" s="6085"/>
      <c r="J92" s="775">
        <f t="shared" si="335"/>
        <v>26302.359999999993</v>
      </c>
      <c r="K92" s="6084"/>
      <c r="L92" s="1185">
        <v>13924.959999999995</v>
      </c>
      <c r="M92" s="6048"/>
      <c r="N92" s="774">
        <f t="shared" si="336"/>
        <v>40227.319999999992</v>
      </c>
      <c r="O92" s="6084"/>
      <c r="P92" s="1185">
        <v>21138.309999999998</v>
      </c>
      <c r="Q92" s="6085"/>
      <c r="R92" s="775">
        <f t="shared" si="337"/>
        <v>61365.62999999999</v>
      </c>
      <c r="S92" s="6084"/>
      <c r="T92" s="1185">
        <v>19654.54</v>
      </c>
      <c r="U92" s="6085"/>
      <c r="V92" s="775">
        <f t="shared" si="338"/>
        <v>81020.169999999984</v>
      </c>
      <c r="W92" s="6084"/>
      <c r="X92" s="1185">
        <v>16690.590000000004</v>
      </c>
      <c r="Y92" s="6048">
        <f t="shared" ref="Y92:Y93" si="355">O92+S92+W92</f>
        <v>0</v>
      </c>
      <c r="Z92" s="774">
        <f t="shared" si="339"/>
        <v>57483.44</v>
      </c>
      <c r="AA92" s="6049"/>
      <c r="AB92" s="460">
        <f t="shared" si="340"/>
        <v>97710.76</v>
      </c>
      <c r="AC92" s="6084"/>
      <c r="AD92" s="1185">
        <v>12125.859999999999</v>
      </c>
      <c r="AE92" s="6085"/>
      <c r="AF92" s="775">
        <f t="shared" si="341"/>
        <v>109836.62</v>
      </c>
      <c r="AG92" s="6084"/>
      <c r="AH92" s="1185">
        <v>19952.91</v>
      </c>
      <c r="AI92" s="6104"/>
      <c r="AJ92" s="775">
        <f t="shared" si="350"/>
        <v>129789.53</v>
      </c>
      <c r="AK92" s="6084"/>
      <c r="AL92" s="1185">
        <v>19411.210000000003</v>
      </c>
      <c r="AM92" s="6048">
        <f t="shared" ref="AM92:AM93" si="356">AC92+AG92+AK92</f>
        <v>0</v>
      </c>
      <c r="AN92" s="774">
        <f>AD92+AH92+AL92</f>
        <v>51489.979999999996</v>
      </c>
      <c r="AO92" s="6085"/>
      <c r="AP92" s="775">
        <f t="shared" si="315"/>
        <v>149200.74</v>
      </c>
      <c r="AQ92" s="6084"/>
      <c r="AR92" s="1185">
        <v>13472.080000000002</v>
      </c>
      <c r="AS92" s="6104"/>
      <c r="AT92" s="775">
        <f t="shared" si="351"/>
        <v>162672.82</v>
      </c>
      <c r="AU92" s="6084"/>
      <c r="AV92" s="1185">
        <v>9394.4000000000015</v>
      </c>
      <c r="AW92" s="6104"/>
      <c r="AX92" s="775">
        <f t="shared" si="352"/>
        <v>172067.22</v>
      </c>
      <c r="AY92" s="6084"/>
      <c r="AZ92" s="1185">
        <v>12792.630000000001</v>
      </c>
      <c r="BA92" s="6048">
        <f t="shared" ref="BA92:BA93" si="357">AQ92+AU92+AY92</f>
        <v>0</v>
      </c>
      <c r="BB92" s="774">
        <f>AR92+AV92+AZ92</f>
        <v>35659.11</v>
      </c>
      <c r="BC92" s="6049"/>
      <c r="BD92" s="460">
        <f t="shared" si="353"/>
        <v>87149.09</v>
      </c>
      <c r="BE92" s="6104"/>
      <c r="BF92" s="775">
        <f t="shared" si="354"/>
        <v>184859.85</v>
      </c>
      <c r="BG92" s="26">
        <f t="shared" si="328"/>
        <v>0</v>
      </c>
      <c r="BH92" s="26">
        <f t="shared" si="329"/>
        <v>0</v>
      </c>
      <c r="BI92" s="26"/>
      <c r="BJ92" s="26">
        <f t="shared" si="330"/>
        <v>0</v>
      </c>
      <c r="BK92" s="26">
        <f t="shared" si="331"/>
        <v>0</v>
      </c>
      <c r="BM92" s="26"/>
      <c r="BN92" s="26"/>
    </row>
    <row r="93" spans="1:66" x14ac:dyDescent="0.3">
      <c r="A93" s="92"/>
      <c r="B93" s="3403" t="s">
        <v>2</v>
      </c>
      <c r="C93" s="156" t="s">
        <v>50</v>
      </c>
      <c r="D93" s="6084"/>
      <c r="E93" s="6084"/>
      <c r="F93" s="1720">
        <f>SUM(F91:F92)</f>
        <v>38424.289999999994</v>
      </c>
      <c r="G93" s="6084"/>
      <c r="H93" s="1720">
        <f>SUM(H91:H92)</f>
        <v>53035.109999999986</v>
      </c>
      <c r="I93" s="6085"/>
      <c r="J93" s="775">
        <f t="shared" si="335"/>
        <v>91459.39999999998</v>
      </c>
      <c r="K93" s="6084"/>
      <c r="L93" s="1720">
        <f>SUM(L91:L92)</f>
        <v>51100.01999999999</v>
      </c>
      <c r="M93" s="6048"/>
      <c r="N93" s="774">
        <f t="shared" si="336"/>
        <v>142559.41999999998</v>
      </c>
      <c r="O93" s="6084"/>
      <c r="P93" s="1720">
        <f>SUM(P91:P92)</f>
        <v>58059.21</v>
      </c>
      <c r="Q93" s="6085"/>
      <c r="R93" s="775">
        <f t="shared" si="337"/>
        <v>200618.62999999998</v>
      </c>
      <c r="S93" s="6084"/>
      <c r="T93" s="1720">
        <f>SUM(T91:T92)</f>
        <v>69976.960000000006</v>
      </c>
      <c r="U93" s="6085"/>
      <c r="V93" s="775">
        <f t="shared" si="338"/>
        <v>270595.58999999997</v>
      </c>
      <c r="W93" s="6084"/>
      <c r="X93" s="1720">
        <f>SUM(X91:X92)</f>
        <v>55600.530000000006</v>
      </c>
      <c r="Y93" s="6048">
        <f t="shared" si="355"/>
        <v>0</v>
      </c>
      <c r="Z93" s="774">
        <f t="shared" si="339"/>
        <v>183636.7</v>
      </c>
      <c r="AA93" s="6049"/>
      <c r="AB93" s="460">
        <f t="shared" si="340"/>
        <v>326196.12</v>
      </c>
      <c r="AC93" s="6084"/>
      <c r="AD93" s="1720">
        <f>SUM(AD91:AD92)</f>
        <v>59301.279999999992</v>
      </c>
      <c r="AE93" s="6085"/>
      <c r="AF93" s="775">
        <f t="shared" si="341"/>
        <v>385497.39999999997</v>
      </c>
      <c r="AG93" s="6084"/>
      <c r="AH93" s="1720">
        <f>SUM(AH91:AH92)</f>
        <v>63043.03</v>
      </c>
      <c r="AI93" s="6105"/>
      <c r="AJ93" s="371">
        <f t="shared" si="350"/>
        <v>448540.42999999993</v>
      </c>
      <c r="AK93" s="6084"/>
      <c r="AL93" s="1720">
        <f>SUM(AL91:AL92)</f>
        <v>54507.41</v>
      </c>
      <c r="AM93" s="6048">
        <f t="shared" si="356"/>
        <v>0</v>
      </c>
      <c r="AN93" s="373">
        <f>AD93+AH93+AL93</f>
        <v>176851.72</v>
      </c>
      <c r="AO93" s="6085"/>
      <c r="AP93" s="371">
        <f t="shared" si="315"/>
        <v>503047.83999999997</v>
      </c>
      <c r="AQ93" s="6084"/>
      <c r="AR93" s="1720">
        <f>SUM(AR91:AR92)</f>
        <v>42005.039999999994</v>
      </c>
      <c r="AS93" s="6105"/>
      <c r="AT93" s="371">
        <f t="shared" si="351"/>
        <v>545052.88</v>
      </c>
      <c r="AU93" s="6084"/>
      <c r="AV93" s="1720">
        <f>SUM(AV91:AV92)</f>
        <v>18645.060000000001</v>
      </c>
      <c r="AW93" s="6105"/>
      <c r="AX93" s="371">
        <f t="shared" si="352"/>
        <v>563697.94000000006</v>
      </c>
      <c r="AY93" s="6084"/>
      <c r="AZ93" s="1720">
        <f>SUM(AZ91:AZ92)</f>
        <v>42863.86</v>
      </c>
      <c r="BA93" s="6048">
        <f t="shared" si="357"/>
        <v>0</v>
      </c>
      <c r="BB93" s="373">
        <f>AR93+AV93+AZ93</f>
        <v>103513.95999999999</v>
      </c>
      <c r="BC93" s="6049"/>
      <c r="BD93" s="539">
        <f>AN93+BB93</f>
        <v>280365.68</v>
      </c>
      <c r="BE93" s="6105"/>
      <c r="BF93" s="371">
        <f t="shared" si="354"/>
        <v>606561.80000000005</v>
      </c>
      <c r="BG93" s="26">
        <f t="shared" si="328"/>
        <v>0</v>
      </c>
      <c r="BH93" s="26">
        <f t="shared" si="329"/>
        <v>0</v>
      </c>
      <c r="BI93" s="26"/>
      <c r="BJ93" s="26">
        <f t="shared" si="330"/>
        <v>0</v>
      </c>
      <c r="BK93" s="26">
        <f t="shared" si="331"/>
        <v>0</v>
      </c>
    </row>
    <row r="94" spans="1:66" x14ac:dyDescent="0.3">
      <c r="A94" s="151"/>
      <c r="B94" s="853" t="s">
        <v>116</v>
      </c>
      <c r="C94" s="3529"/>
      <c r="D94" s="853"/>
      <c r="E94" s="3407"/>
      <c r="F94" s="3407"/>
      <c r="G94" s="3407"/>
      <c r="H94" s="3407"/>
      <c r="I94" s="5688"/>
      <c r="J94" s="775">
        <f t="shared" si="335"/>
        <v>0</v>
      </c>
      <c r="K94" s="3407"/>
      <c r="L94" s="3407"/>
      <c r="M94" s="5702"/>
      <c r="N94" s="774">
        <f t="shared" si="336"/>
        <v>0</v>
      </c>
      <c r="O94" s="3407"/>
      <c r="P94" s="3407"/>
      <c r="Q94" s="5688"/>
      <c r="R94" s="775">
        <f t="shared" si="337"/>
        <v>0</v>
      </c>
      <c r="S94" s="3407"/>
      <c r="T94" s="3407"/>
      <c r="U94" s="5688"/>
      <c r="V94" s="775">
        <f t="shared" si="338"/>
        <v>0</v>
      </c>
      <c r="W94" s="3407"/>
      <c r="X94" s="3407"/>
      <c r="Y94" s="5702"/>
      <c r="Z94" s="774">
        <f t="shared" si="339"/>
        <v>0</v>
      </c>
      <c r="AA94" s="5713"/>
      <c r="AB94" s="460">
        <f t="shared" si="340"/>
        <v>0</v>
      </c>
      <c r="AC94" s="3407"/>
      <c r="AD94" s="3407"/>
      <c r="AE94" s="5688"/>
      <c r="AF94" s="775">
        <f t="shared" si="341"/>
        <v>0</v>
      </c>
      <c r="AG94" s="3407"/>
      <c r="AH94" s="3407"/>
      <c r="AI94" s="5688"/>
      <c r="AJ94" s="5688"/>
      <c r="AK94" s="3407"/>
      <c r="AL94" s="3407"/>
      <c r="AM94" s="5702"/>
      <c r="AN94" s="5702"/>
      <c r="AO94" s="5688"/>
      <c r="AP94" s="5688"/>
      <c r="AQ94" s="3407"/>
      <c r="AR94" s="3407"/>
      <c r="AS94" s="5688"/>
      <c r="AT94" s="5688"/>
      <c r="AU94" s="3407"/>
      <c r="AV94" s="3407"/>
      <c r="AW94" s="5688"/>
      <c r="AX94" s="5688"/>
      <c r="AY94" s="3407"/>
      <c r="AZ94" s="3407"/>
      <c r="BA94" s="5702"/>
      <c r="BB94" s="5702"/>
      <c r="BC94" s="5713"/>
      <c r="BD94" s="5713"/>
      <c r="BE94" s="5688"/>
      <c r="BF94" s="5688"/>
      <c r="BG94" s="26">
        <f t="shared" si="328"/>
        <v>0</v>
      </c>
      <c r="BH94" s="26">
        <f t="shared" si="329"/>
        <v>0</v>
      </c>
      <c r="BI94" s="26"/>
      <c r="BJ94" s="26">
        <f t="shared" si="330"/>
        <v>0</v>
      </c>
      <c r="BK94" s="26">
        <f t="shared" si="331"/>
        <v>0</v>
      </c>
    </row>
    <row r="95" spans="1:66" x14ac:dyDescent="0.3">
      <c r="A95" s="92"/>
      <c r="B95" s="3403" t="s">
        <v>22</v>
      </c>
      <c r="C95" s="156" t="s">
        <v>50</v>
      </c>
      <c r="D95" s="6084">
        <f>+D79+D83+D87+D91</f>
        <v>2674798</v>
      </c>
      <c r="E95" s="6084">
        <f>+E79+E83+E87+E91</f>
        <v>228999.81536860339</v>
      </c>
      <c r="F95" s="1720">
        <f>+F79+F83+F87+F91</f>
        <v>141481.09999999998</v>
      </c>
      <c r="G95" s="6084">
        <f>+G79+G83+G87+G91</f>
        <v>236499.57667165709</v>
      </c>
      <c r="H95" s="1720">
        <f>+H79+H83+H87+H91</f>
        <v>175451.51999999999</v>
      </c>
      <c r="I95" s="6085">
        <f>E95+G95</f>
        <v>465499.39204026049</v>
      </c>
      <c r="J95" s="775">
        <f t="shared" si="335"/>
        <v>316932.62</v>
      </c>
      <c r="K95" s="6084">
        <f>+K79+K83+K87+K91</f>
        <v>229000.11088311521</v>
      </c>
      <c r="L95" s="1720">
        <f>+L79+L83+L87+L91</f>
        <v>185082.03999999998</v>
      </c>
      <c r="M95" s="6048">
        <f>E95+G95+K95</f>
        <v>694499.50292337569</v>
      </c>
      <c r="N95" s="774">
        <f t="shared" si="336"/>
        <v>502014.66</v>
      </c>
      <c r="O95" s="6084">
        <f>+O79+O83+O87+O91</f>
        <v>231500.1413553209</v>
      </c>
      <c r="P95" s="1720">
        <f>+P79+P83+P87+P91</f>
        <v>192470.12</v>
      </c>
      <c r="Q95" s="6085">
        <f>M95+O95</f>
        <v>925999.64427869662</v>
      </c>
      <c r="R95" s="775">
        <f t="shared" si="337"/>
        <v>694484.78</v>
      </c>
      <c r="S95" s="6084">
        <f>+S79+S83+S87+S91</f>
        <v>231500.1413553209</v>
      </c>
      <c r="T95" s="1720">
        <f>+T79+T83+T87+T91</f>
        <v>199128.72</v>
      </c>
      <c r="U95" s="6085">
        <f>Q95+S95</f>
        <v>1157499.7856340175</v>
      </c>
      <c r="V95" s="775">
        <f t="shared" si="338"/>
        <v>893613.5</v>
      </c>
      <c r="W95" s="6084">
        <f>+W79+W83+W87+W91</f>
        <v>121300.0147648532</v>
      </c>
      <c r="X95" s="1720">
        <f>+X79+X83+X87+X91</f>
        <v>164142.78000000003</v>
      </c>
      <c r="Y95" s="6048">
        <f>O95+S95+W95</f>
        <v>584300.29747549503</v>
      </c>
      <c r="Z95" s="774">
        <f t="shared" si="339"/>
        <v>555741.62</v>
      </c>
      <c r="AA95" s="6049">
        <f>M95+Y95</f>
        <v>1278799.8003988708</v>
      </c>
      <c r="AB95" s="460">
        <f t="shared" si="340"/>
        <v>1057756.28</v>
      </c>
      <c r="AC95" s="6084">
        <f>+AC79+AC83+AC87+AC91</f>
        <v>236499.5281597563</v>
      </c>
      <c r="AD95" s="1720">
        <f>+AD79+AD83+AD87+AD91</f>
        <v>145794.66</v>
      </c>
      <c r="AE95" s="6085">
        <f>AA95+AC95</f>
        <v>1515299.3285586271</v>
      </c>
      <c r="AF95" s="775">
        <f t="shared" si="341"/>
        <v>1203550.94</v>
      </c>
      <c r="AG95" s="6084">
        <f>+AG79+AG83+AG87+AG91</f>
        <v>228999.58845567459</v>
      </c>
      <c r="AH95" s="1720">
        <f>+AH79+AH83+AH87+AH91</f>
        <v>168162.38500000001</v>
      </c>
      <c r="AI95" s="6103">
        <f>AE95+AG95</f>
        <v>1744298.9170143018</v>
      </c>
      <c r="AJ95" s="371">
        <f t="shared" ref="AJ95:AJ97" si="358">AF95+AH95</f>
        <v>1371713.325</v>
      </c>
      <c r="AK95" s="6084">
        <f>+AK79+AK83+AK87+AK91</f>
        <v>236500.05424421642</v>
      </c>
      <c r="AL95" s="1720">
        <f>+AL79+AL83+AL87+AL91</f>
        <v>173711.40100000001</v>
      </c>
      <c r="AM95" s="6048">
        <f>AC95+AG95+AK95</f>
        <v>701999.17085964733</v>
      </c>
      <c r="AN95" s="373">
        <f>AD95+AH95+AL95</f>
        <v>487668.44600000005</v>
      </c>
      <c r="AO95" s="6085">
        <f>AI95+AK95</f>
        <v>1980798.9712585183</v>
      </c>
      <c r="AP95" s="371">
        <f t="shared" si="315"/>
        <v>1545424.726</v>
      </c>
      <c r="AQ95" s="6084">
        <f>+AQ79+AQ83+AQ87+AQ91</f>
        <v>239999.66467846395</v>
      </c>
      <c r="AR95" s="1720">
        <f>+AR79+AR83+AR87+AR91</f>
        <v>175869.74100000001</v>
      </c>
      <c r="AS95" s="6103">
        <f>AO95+AQ95</f>
        <v>2220798.635936982</v>
      </c>
      <c r="AT95" s="371">
        <f t="shared" ref="AT95:AT97" si="359">AP95+AR95</f>
        <v>1721294.4669999999</v>
      </c>
      <c r="AU95" s="6084">
        <f>+AU79+AU83+AU87+AU91</f>
        <v>214000.01042920374</v>
      </c>
      <c r="AV95" s="1720">
        <f>+AV79+AV83+AV87+AV91</f>
        <v>153661.6</v>
      </c>
      <c r="AW95" s="6103">
        <f>AS95+AU95</f>
        <v>2434798.6463661855</v>
      </c>
      <c r="AX95" s="371">
        <f t="shared" ref="AX95:AX97" si="360">AT95+AV95</f>
        <v>1874956.067</v>
      </c>
      <c r="AY95" s="6084">
        <f>+AY79+AY83+AY87+AY91</f>
        <v>239999.69076292397</v>
      </c>
      <c r="AZ95" s="1720">
        <f>+AZ79+AZ83+AZ87+AZ91</f>
        <v>193134.93200000003</v>
      </c>
      <c r="BA95" s="6048">
        <f>AQ95+AU95+AY95</f>
        <v>693999.36587059172</v>
      </c>
      <c r="BB95" s="373">
        <f>AR95+AV95+AZ95</f>
        <v>522666.27300000004</v>
      </c>
      <c r="BC95" s="6049">
        <f>AM95+BA95</f>
        <v>1395998.5367302392</v>
      </c>
      <c r="BD95" s="539">
        <f>AN95+BB95</f>
        <v>1010334.719</v>
      </c>
      <c r="BE95" s="6103">
        <f>AW95+AY95</f>
        <v>2674798.3371291095</v>
      </c>
      <c r="BF95" s="371">
        <f t="shared" ref="BF95:BF97" si="361">AX95+AZ95</f>
        <v>2068090.9990000001</v>
      </c>
      <c r="BG95" s="26">
        <f t="shared" si="328"/>
        <v>0</v>
      </c>
      <c r="BH95" s="26">
        <f t="shared" si="329"/>
        <v>0</v>
      </c>
      <c r="BI95" s="26"/>
      <c r="BJ95" s="26">
        <f t="shared" si="330"/>
        <v>0</v>
      </c>
      <c r="BK95" s="26">
        <f t="shared" si="331"/>
        <v>0</v>
      </c>
    </row>
    <row r="96" spans="1:66" x14ac:dyDescent="0.3">
      <c r="A96" s="92"/>
      <c r="B96" s="3406" t="s">
        <v>23</v>
      </c>
      <c r="C96" s="202" t="s">
        <v>50</v>
      </c>
      <c r="D96" s="6084"/>
      <c r="E96" s="6084"/>
      <c r="F96" s="452">
        <f>+F80+F84+F88+F92</f>
        <v>34409.9</v>
      </c>
      <c r="G96" s="6084"/>
      <c r="H96" s="452">
        <f>+H80+H84+H88+H92</f>
        <v>42014.509999999995</v>
      </c>
      <c r="I96" s="6085"/>
      <c r="J96" s="775">
        <f t="shared" si="335"/>
        <v>76424.41</v>
      </c>
      <c r="K96" s="6084"/>
      <c r="L96" s="452">
        <f>+L80+L84+L88+L92</f>
        <v>33422.349999999991</v>
      </c>
      <c r="M96" s="6048"/>
      <c r="N96" s="774">
        <f t="shared" si="336"/>
        <v>109846.76</v>
      </c>
      <c r="O96" s="6084"/>
      <c r="P96" s="452">
        <f>+P80+P84+P88+P92</f>
        <v>51153.71</v>
      </c>
      <c r="Q96" s="6085"/>
      <c r="R96" s="775">
        <f t="shared" si="337"/>
        <v>161000.47</v>
      </c>
      <c r="S96" s="6084"/>
      <c r="T96" s="452">
        <f>+T80+T84+T88+T92</f>
        <v>47189.729999999996</v>
      </c>
      <c r="U96" s="6085"/>
      <c r="V96" s="775">
        <f t="shared" si="338"/>
        <v>208190.2</v>
      </c>
      <c r="W96" s="6084"/>
      <c r="X96" s="452">
        <f>+X80+X84+X88+X92</f>
        <v>43122.55</v>
      </c>
      <c r="Y96" s="6048">
        <f t="shared" ref="Y96:Y97" si="362">O96+S96+W96</f>
        <v>0</v>
      </c>
      <c r="Z96" s="774">
        <f t="shared" si="339"/>
        <v>141465.99</v>
      </c>
      <c r="AA96" s="6049"/>
      <c r="AB96" s="460">
        <f t="shared" si="340"/>
        <v>251312.75</v>
      </c>
      <c r="AC96" s="6084"/>
      <c r="AD96" s="452">
        <f>+AD80+AD84+AD88+AD92</f>
        <v>27763.03</v>
      </c>
      <c r="AE96" s="6085"/>
      <c r="AF96" s="775">
        <f t="shared" si="341"/>
        <v>279075.78000000003</v>
      </c>
      <c r="AG96" s="6084"/>
      <c r="AH96" s="452">
        <f>+AH80+AH84+AH88+AH92</f>
        <v>52751.3</v>
      </c>
      <c r="AI96" s="6104"/>
      <c r="AJ96" s="371">
        <f t="shared" si="358"/>
        <v>331827.08</v>
      </c>
      <c r="AK96" s="6084"/>
      <c r="AL96" s="452">
        <f>+AL80+AL84+AL88+AL92</f>
        <v>57004.08</v>
      </c>
      <c r="AM96" s="6048">
        <f t="shared" ref="AM96:AM97" si="363">AC96+AG96+AK96</f>
        <v>0</v>
      </c>
      <c r="AN96" s="373">
        <f t="shared" ref="AN96:AN97" si="364">AD96+AH96+AL96</f>
        <v>137518.41</v>
      </c>
      <c r="AO96" s="6085"/>
      <c r="AP96" s="371">
        <f t="shared" si="315"/>
        <v>388831.16000000003</v>
      </c>
      <c r="AQ96" s="6084"/>
      <c r="AR96" s="452">
        <f>+AR80+AR84+AR88+AR92</f>
        <v>40820.869999999995</v>
      </c>
      <c r="AS96" s="6104"/>
      <c r="AT96" s="371">
        <f t="shared" si="359"/>
        <v>429652.03</v>
      </c>
      <c r="AU96" s="6084"/>
      <c r="AV96" s="452">
        <f>+AV80+AV84+AV88+AV92</f>
        <v>37797.64</v>
      </c>
      <c r="AW96" s="6104"/>
      <c r="AX96" s="371">
        <f t="shared" si="360"/>
        <v>467449.67000000004</v>
      </c>
      <c r="AY96" s="6084"/>
      <c r="AZ96" s="452">
        <f>+AZ80+AZ84+AZ88+AZ92</f>
        <v>38244.770000000004</v>
      </c>
      <c r="BA96" s="6048">
        <f t="shared" ref="BA96:BA97" si="365">AQ96+AU96+AY96</f>
        <v>0</v>
      </c>
      <c r="BB96" s="373">
        <f t="shared" ref="BB96:BB97" si="366">AR96+AV96+AZ96</f>
        <v>116863.28</v>
      </c>
      <c r="BC96" s="6049"/>
      <c r="BD96" s="539">
        <f>AN96+BB96</f>
        <v>254381.69</v>
      </c>
      <c r="BE96" s="6104"/>
      <c r="BF96" s="371">
        <f t="shared" si="361"/>
        <v>505694.44000000006</v>
      </c>
      <c r="BG96" s="26">
        <f t="shared" si="328"/>
        <v>0</v>
      </c>
      <c r="BH96" s="26">
        <f t="shared" si="329"/>
        <v>0</v>
      </c>
      <c r="BI96" s="26"/>
      <c r="BJ96" s="26">
        <f t="shared" si="330"/>
        <v>0</v>
      </c>
      <c r="BK96" s="26">
        <f t="shared" si="331"/>
        <v>0</v>
      </c>
    </row>
    <row r="97" spans="1:63" ht="20.25" customHeight="1" x14ac:dyDescent="0.3">
      <c r="A97" s="92"/>
      <c r="B97" s="3403" t="s">
        <v>2</v>
      </c>
      <c r="C97" s="156" t="s">
        <v>50</v>
      </c>
      <c r="D97" s="6084"/>
      <c r="E97" s="6084"/>
      <c r="F97" s="1720">
        <f>SUM(F95:F96)</f>
        <v>175890.99999999997</v>
      </c>
      <c r="G97" s="6084"/>
      <c r="H97" s="1720">
        <f>SUM(H95:H96)</f>
        <v>217466.02999999997</v>
      </c>
      <c r="I97" s="6085"/>
      <c r="J97" s="775">
        <f t="shared" si="335"/>
        <v>393357.02999999991</v>
      </c>
      <c r="K97" s="6084"/>
      <c r="L97" s="1720">
        <f>SUM(L95:L96)</f>
        <v>218504.38999999996</v>
      </c>
      <c r="M97" s="6048"/>
      <c r="N97" s="774">
        <f t="shared" si="336"/>
        <v>611861.41999999993</v>
      </c>
      <c r="O97" s="6084"/>
      <c r="P97" s="1720">
        <f>SUM(P95:P96)</f>
        <v>243623.83</v>
      </c>
      <c r="Q97" s="6085"/>
      <c r="R97" s="775">
        <f t="shared" si="337"/>
        <v>855485.24999999988</v>
      </c>
      <c r="S97" s="6084"/>
      <c r="T97" s="1720">
        <f>SUM(T95:T96)</f>
        <v>246318.45</v>
      </c>
      <c r="U97" s="6085"/>
      <c r="V97" s="775">
        <f t="shared" si="338"/>
        <v>1101803.7</v>
      </c>
      <c r="W97" s="6084"/>
      <c r="X97" s="1720">
        <f>SUM(X95:X96)</f>
        <v>207265.33000000002</v>
      </c>
      <c r="Y97" s="6048">
        <f t="shared" si="362"/>
        <v>0</v>
      </c>
      <c r="Z97" s="774">
        <f t="shared" si="339"/>
        <v>697207.6100000001</v>
      </c>
      <c r="AA97" s="6049"/>
      <c r="AB97" s="460">
        <f t="shared" si="340"/>
        <v>1309069.03</v>
      </c>
      <c r="AC97" s="6084"/>
      <c r="AD97" s="1720">
        <f>SUM(AD95:AD96)</f>
        <v>173557.69</v>
      </c>
      <c r="AE97" s="6085"/>
      <c r="AF97" s="775">
        <f t="shared" si="341"/>
        <v>1482626.72</v>
      </c>
      <c r="AG97" s="6084"/>
      <c r="AH97" s="1720">
        <f>SUM(AH95:AH96)</f>
        <v>220913.685</v>
      </c>
      <c r="AI97" s="6105"/>
      <c r="AJ97" s="371">
        <f t="shared" si="358"/>
        <v>1703540.405</v>
      </c>
      <c r="AK97" s="6084"/>
      <c r="AL97" s="1720">
        <f>SUM(AL95:AL96)</f>
        <v>230715.48100000003</v>
      </c>
      <c r="AM97" s="6048">
        <f t="shared" si="363"/>
        <v>0</v>
      </c>
      <c r="AN97" s="373">
        <f t="shared" si="364"/>
        <v>625186.85600000003</v>
      </c>
      <c r="AO97" s="6085"/>
      <c r="AP97" s="371">
        <f t="shared" si="315"/>
        <v>1934255.8859999999</v>
      </c>
      <c r="AQ97" s="6084"/>
      <c r="AR97" s="1720">
        <f>SUM(AR95:AR96)</f>
        <v>216690.611</v>
      </c>
      <c r="AS97" s="6105"/>
      <c r="AT97" s="371">
        <f t="shared" si="359"/>
        <v>2150946.497</v>
      </c>
      <c r="AU97" s="6084"/>
      <c r="AV97" s="1720">
        <f>SUM(AV95:AV96)</f>
        <v>191459.24</v>
      </c>
      <c r="AW97" s="6105"/>
      <c r="AX97" s="371">
        <f t="shared" si="360"/>
        <v>2342405.7369999997</v>
      </c>
      <c r="AY97" s="6084"/>
      <c r="AZ97" s="1720">
        <f>SUM(AZ95:AZ96)</f>
        <v>231379.70200000005</v>
      </c>
      <c r="BA97" s="6048">
        <f t="shared" si="365"/>
        <v>0</v>
      </c>
      <c r="BB97" s="373">
        <f t="shared" si="366"/>
        <v>639529.55300000007</v>
      </c>
      <c r="BC97" s="6049"/>
      <c r="BD97" s="539">
        <f>AN97+BB97</f>
        <v>1264716.409</v>
      </c>
      <c r="BE97" s="6105"/>
      <c r="BF97" s="371">
        <f t="shared" si="361"/>
        <v>2573785.4389999998</v>
      </c>
      <c r="BG97" s="26">
        <f t="shared" si="328"/>
        <v>0</v>
      </c>
      <c r="BH97" s="26">
        <f t="shared" si="329"/>
        <v>0</v>
      </c>
      <c r="BI97" s="26"/>
      <c r="BJ97" s="26">
        <f t="shared" si="330"/>
        <v>0</v>
      </c>
      <c r="BK97" s="26">
        <f t="shared" si="331"/>
        <v>0</v>
      </c>
    </row>
    <row r="98" spans="1:63" x14ac:dyDescent="0.3">
      <c r="A98" s="92"/>
      <c r="B98" s="3403" t="s">
        <v>656</v>
      </c>
      <c r="C98" s="156" t="s">
        <v>49</v>
      </c>
      <c r="D98" s="701"/>
      <c r="E98" s="701"/>
      <c r="F98" s="3413">
        <f>+F96/F97*100</f>
        <v>19.563195388052833</v>
      </c>
      <c r="G98" s="701"/>
      <c r="H98" s="3413">
        <f>+H96/H97*100</f>
        <v>19.320033570300613</v>
      </c>
      <c r="I98" s="702"/>
      <c r="J98" s="3409">
        <f>+J96/J97*100</f>
        <v>19.428764245042228</v>
      </c>
      <c r="K98" s="701"/>
      <c r="L98" s="3413">
        <f>+L96/L97*100</f>
        <v>15.295962703541106</v>
      </c>
      <c r="M98" s="703"/>
      <c r="N98" s="615">
        <f>+N96/N97*100</f>
        <v>17.952882206562396</v>
      </c>
      <c r="O98" s="701"/>
      <c r="P98" s="3413">
        <f>+P96/P97*100</f>
        <v>20.997005916867824</v>
      </c>
      <c r="Q98" s="702"/>
      <c r="R98" s="3409">
        <f>+R96/R97*100</f>
        <v>18.819783275047701</v>
      </c>
      <c r="S98" s="701"/>
      <c r="T98" s="3413">
        <f>+T96/T97*100</f>
        <v>19.15801678680586</v>
      </c>
      <c r="U98" s="702"/>
      <c r="V98" s="3409">
        <f>+V96/V97*100</f>
        <v>18.895398517902965</v>
      </c>
      <c r="W98" s="701"/>
      <c r="X98" s="3413">
        <f>+X96/X97*100</f>
        <v>20.805481553523688</v>
      </c>
      <c r="Y98" s="703"/>
      <c r="Z98" s="615">
        <f>+Z96/Z97*100</f>
        <v>20.290368029689173</v>
      </c>
      <c r="AA98" s="792"/>
      <c r="AB98" s="5714">
        <f>+AB96/AB97*100</f>
        <v>19.197822593053019</v>
      </c>
      <c r="AC98" s="701"/>
      <c r="AD98" s="3413">
        <f>+AD96/AD97*100</f>
        <v>15.996427470312607</v>
      </c>
      <c r="AE98" s="702"/>
      <c r="AF98" s="3409">
        <f>+AF96/AF97*100</f>
        <v>18.823064243709304</v>
      </c>
      <c r="AG98" s="701"/>
      <c r="AH98" s="3413">
        <f>+AH96/AH97*100</f>
        <v>23.878692712042714</v>
      </c>
      <c r="AI98" s="702"/>
      <c r="AJ98" s="3409">
        <f>+AJ96/AJ97*100</f>
        <v>19.478673885636429</v>
      </c>
      <c r="AK98" s="701"/>
      <c r="AL98" s="3413">
        <f>+AL96/AL97*100</f>
        <v>24.707522769137451</v>
      </c>
      <c r="AM98" s="703"/>
      <c r="AN98" s="615">
        <f>+AN96/AN97*100</f>
        <v>21.996369354252707</v>
      </c>
      <c r="AO98" s="702"/>
      <c r="AP98" s="3409">
        <f>+AP96/AP97*100</f>
        <v>20.102364057120418</v>
      </c>
      <c r="AQ98" s="701"/>
      <c r="AR98" s="3413">
        <f>+AR96/AR97*100</f>
        <v>18.838319672281507</v>
      </c>
      <c r="AS98" s="702"/>
      <c r="AT98" s="3409">
        <f>+AT96/AT97*100</f>
        <v>19.975021721797852</v>
      </c>
      <c r="AU98" s="701"/>
      <c r="AV98" s="3413">
        <f>+AV96/AV97*100</f>
        <v>19.741872996048663</v>
      </c>
      <c r="AW98" s="702"/>
      <c r="AX98" s="3409">
        <f>+AX96/AX97*100</f>
        <v>19.95596504125195</v>
      </c>
      <c r="AY98" s="701"/>
      <c r="AZ98" s="3413">
        <f>+AZ96/AZ97*100</f>
        <v>16.529008235994702</v>
      </c>
      <c r="BA98" s="703"/>
      <c r="BB98" s="615">
        <f>+BB96/BB97*100</f>
        <v>18.273319731949901</v>
      </c>
      <c r="BC98" s="792"/>
      <c r="BD98" s="5714">
        <f>+BD96/BD97*100</f>
        <v>20.113733655210289</v>
      </c>
      <c r="BE98" s="702"/>
      <c r="BF98" s="3409">
        <f>+BF96/BF97*100</f>
        <v>19.647886429743693</v>
      </c>
      <c r="BG98" s="26"/>
      <c r="BH98" s="26"/>
      <c r="BI98" s="26"/>
      <c r="BJ98" s="26"/>
      <c r="BK98" s="26"/>
    </row>
    <row r="99" spans="1:63" ht="49.5" customHeight="1" thickBot="1" x14ac:dyDescent="0.35">
      <c r="A99" s="151"/>
      <c r="B99" s="3414" t="s">
        <v>319</v>
      </c>
      <c r="C99" s="5769" t="s">
        <v>1252</v>
      </c>
      <c r="D99" s="3415"/>
      <c r="E99" s="3415"/>
      <c r="F99" s="3415"/>
      <c r="G99" s="3415"/>
      <c r="H99" s="3415"/>
      <c r="I99" s="5692"/>
      <c r="J99" s="775">
        <f t="shared" si="335"/>
        <v>0</v>
      </c>
      <c r="K99" s="3415"/>
      <c r="L99" s="3415"/>
      <c r="M99" s="5704"/>
      <c r="N99" s="774">
        <f t="shared" si="336"/>
        <v>0</v>
      </c>
      <c r="O99" s="3415"/>
      <c r="P99" s="3415"/>
      <c r="Q99" s="5692"/>
      <c r="R99" s="775">
        <f t="shared" si="337"/>
        <v>0</v>
      </c>
      <c r="S99" s="3415"/>
      <c r="T99" s="3415"/>
      <c r="U99" s="5692"/>
      <c r="V99" s="775">
        <f t="shared" si="338"/>
        <v>0</v>
      </c>
      <c r="W99" s="3415"/>
      <c r="X99" s="3415"/>
      <c r="Y99" s="5704"/>
      <c r="Z99" s="774">
        <f t="shared" si="339"/>
        <v>0</v>
      </c>
      <c r="AA99" s="5716"/>
      <c r="AB99" s="460">
        <f t="shared" si="340"/>
        <v>0</v>
      </c>
      <c r="AC99" s="3415"/>
      <c r="AD99" s="3415"/>
      <c r="AE99" s="5692"/>
      <c r="AF99" s="775">
        <f t="shared" si="341"/>
        <v>0</v>
      </c>
      <c r="AG99" s="3415"/>
      <c r="AH99" s="3415"/>
      <c r="AI99" s="5692"/>
      <c r="AJ99" s="5692"/>
      <c r="AK99" s="3415"/>
      <c r="AL99" s="3415"/>
      <c r="AM99" s="5704"/>
      <c r="AN99" s="5704"/>
      <c r="AO99" s="5692"/>
      <c r="AP99" s="5692"/>
      <c r="AQ99" s="3415"/>
      <c r="AR99" s="3415"/>
      <c r="AS99" s="5692"/>
      <c r="AT99" s="5692"/>
      <c r="AU99" s="3415"/>
      <c r="AV99" s="3415"/>
      <c r="AW99" s="5692"/>
      <c r="AX99" s="5692"/>
      <c r="AY99" s="3415"/>
      <c r="AZ99" s="3415"/>
      <c r="BA99" s="5704"/>
      <c r="BB99" s="5704"/>
      <c r="BC99" s="5716"/>
      <c r="BD99" s="5716"/>
      <c r="BE99" s="5692"/>
      <c r="BF99" s="5692"/>
      <c r="BG99" s="26">
        <f t="shared" si="328"/>
        <v>0</v>
      </c>
      <c r="BH99" s="26">
        <f t="shared" si="329"/>
        <v>0</v>
      </c>
      <c r="BI99" s="26"/>
      <c r="BJ99" s="26">
        <f t="shared" si="330"/>
        <v>0</v>
      </c>
      <c r="BK99" s="26">
        <f t="shared" si="331"/>
        <v>0</v>
      </c>
    </row>
    <row r="100" spans="1:63" ht="15" thickBot="1" x14ac:dyDescent="0.35">
      <c r="A100" s="92"/>
      <c r="B100" s="3416" t="s">
        <v>859</v>
      </c>
      <c r="C100" s="3417" t="s">
        <v>897</v>
      </c>
      <c r="D100" s="3417"/>
      <c r="E100" s="3418"/>
      <c r="F100" s="155">
        <v>574.34</v>
      </c>
      <c r="G100" s="3418"/>
      <c r="H100" s="155">
        <v>894.52</v>
      </c>
      <c r="I100" s="3419"/>
      <c r="J100" s="775">
        <f t="shared" si="335"/>
        <v>1468.8600000000001</v>
      </c>
      <c r="K100" s="3418"/>
      <c r="L100" s="155">
        <v>823.06</v>
      </c>
      <c r="M100" s="3420"/>
      <c r="N100" s="774">
        <f t="shared" si="336"/>
        <v>2291.92</v>
      </c>
      <c r="O100" s="3418"/>
      <c r="P100" s="155">
        <v>128.01999999999998</v>
      </c>
      <c r="Q100" s="3419"/>
      <c r="R100" s="775">
        <f t="shared" si="337"/>
        <v>2419.94</v>
      </c>
      <c r="S100" s="3418"/>
      <c r="T100" s="155"/>
      <c r="U100" s="3419"/>
      <c r="V100" s="775">
        <f t="shared" si="338"/>
        <v>2419.94</v>
      </c>
      <c r="W100" s="3418"/>
      <c r="X100" s="155"/>
      <c r="Y100" s="3420"/>
      <c r="Z100" s="774">
        <f t="shared" si="339"/>
        <v>128.01999999999998</v>
      </c>
      <c r="AA100" s="5717"/>
      <c r="AB100" s="460">
        <f t="shared" si="340"/>
        <v>2419.94</v>
      </c>
      <c r="AC100" s="3418"/>
      <c r="AD100" s="155"/>
      <c r="AE100" s="3419"/>
      <c r="AF100" s="775">
        <f t="shared" si="341"/>
        <v>2419.94</v>
      </c>
      <c r="AG100" s="3418"/>
      <c r="AH100" s="155">
        <v>26.69</v>
      </c>
      <c r="AI100" s="3419"/>
      <c r="AJ100" s="368">
        <f t="shared" ref="AJ100:AJ202" si="367">AF100+AH100</f>
        <v>2446.63</v>
      </c>
      <c r="AK100" s="3418"/>
      <c r="AL100" s="155">
        <v>30.687000000000001</v>
      </c>
      <c r="AM100" s="3420"/>
      <c r="AN100" s="613">
        <f t="shared" ref="AN100:AN196" si="368">AD100+AH100+AL100</f>
        <v>57.377000000000002</v>
      </c>
      <c r="AO100" s="3419"/>
      <c r="AP100" s="368">
        <f t="shared" ref="AP100:AP193" si="369">AJ100+AL100</f>
        <v>2477.317</v>
      </c>
      <c r="AQ100" s="3418"/>
      <c r="AR100" s="155"/>
      <c r="AS100" s="3419"/>
      <c r="AT100" s="42">
        <f t="shared" ref="AT100:AT202" si="370">AP100+AR100</f>
        <v>2477.317</v>
      </c>
      <c r="AU100" s="3418"/>
      <c r="AV100" s="155"/>
      <c r="AW100" s="3419"/>
      <c r="AX100" s="42">
        <f t="shared" ref="AX100:AX202" si="371">AT100+AV100</f>
        <v>2477.317</v>
      </c>
      <c r="AY100" s="3418"/>
      <c r="AZ100" s="155">
        <v>521.42999999999995</v>
      </c>
      <c r="BA100" s="3420"/>
      <c r="BB100" s="613">
        <f t="shared" ref="BB100:BB166" si="372">AR100+AV100+AZ100</f>
        <v>521.42999999999995</v>
      </c>
      <c r="BC100" s="5717"/>
      <c r="BD100" s="460">
        <f t="shared" ref="BD100:BD195" si="373">AN100+BB100</f>
        <v>578.8069999999999</v>
      </c>
      <c r="BE100" s="3419"/>
      <c r="BF100" s="42">
        <f t="shared" ref="BF100:BF202" si="374">AX100+AZ100</f>
        <v>2998.7469999999998</v>
      </c>
      <c r="BG100" s="26">
        <f t="shared" si="328"/>
        <v>0</v>
      </c>
      <c r="BH100" s="26">
        <f t="shared" si="329"/>
        <v>0</v>
      </c>
      <c r="BI100" s="26"/>
      <c r="BJ100" s="26">
        <f t="shared" si="330"/>
        <v>0</v>
      </c>
      <c r="BK100" s="26">
        <f t="shared" si="331"/>
        <v>0</v>
      </c>
    </row>
    <row r="101" spans="1:63" ht="15.75" customHeight="1" thickBot="1" x14ac:dyDescent="0.35">
      <c r="A101" s="92"/>
      <c r="B101" s="3429" t="s">
        <v>859</v>
      </c>
      <c r="C101" s="3430" t="s">
        <v>899</v>
      </c>
      <c r="D101" s="3430"/>
      <c r="E101" s="4481"/>
      <c r="F101" s="1186"/>
      <c r="G101" s="4481"/>
      <c r="H101" s="1186"/>
      <c r="I101" s="4482"/>
      <c r="J101" s="775">
        <f t="shared" si="335"/>
        <v>0</v>
      </c>
      <c r="K101" s="4481"/>
      <c r="L101" s="1186"/>
      <c r="M101" s="4483"/>
      <c r="N101" s="774">
        <f t="shared" si="336"/>
        <v>0</v>
      </c>
      <c r="O101" s="4481"/>
      <c r="P101" s="1186"/>
      <c r="Q101" s="4482"/>
      <c r="R101" s="775">
        <f t="shared" si="337"/>
        <v>0</v>
      </c>
      <c r="S101" s="4481"/>
      <c r="T101" s="1186"/>
      <c r="U101" s="4482"/>
      <c r="V101" s="775">
        <f t="shared" si="338"/>
        <v>0</v>
      </c>
      <c r="W101" s="4481"/>
      <c r="X101" s="1186"/>
      <c r="Y101" s="4483"/>
      <c r="Z101" s="774">
        <f t="shared" si="339"/>
        <v>0</v>
      </c>
      <c r="AA101" s="5718"/>
      <c r="AB101" s="460">
        <f t="shared" si="340"/>
        <v>0</v>
      </c>
      <c r="AC101" s="4481"/>
      <c r="AD101" s="1186"/>
      <c r="AE101" s="4482"/>
      <c r="AF101" s="775">
        <f t="shared" si="341"/>
        <v>0</v>
      </c>
      <c r="AG101" s="4481"/>
      <c r="AH101" s="1186"/>
      <c r="AI101" s="4482"/>
      <c r="AJ101" s="368">
        <f t="shared" si="367"/>
        <v>0</v>
      </c>
      <c r="AK101" s="4481"/>
      <c r="AL101" s="1186"/>
      <c r="AM101" s="4483"/>
      <c r="AN101" s="613">
        <f t="shared" si="368"/>
        <v>0</v>
      </c>
      <c r="AO101" s="4482"/>
      <c r="AP101" s="368">
        <f t="shared" si="369"/>
        <v>0</v>
      </c>
      <c r="AQ101" s="4481"/>
      <c r="AR101" s="1186"/>
      <c r="AS101" s="4482"/>
      <c r="AT101" s="42">
        <f t="shared" si="370"/>
        <v>0</v>
      </c>
      <c r="AU101" s="4481"/>
      <c r="AV101" s="1186"/>
      <c r="AW101" s="4482"/>
      <c r="AX101" s="42">
        <f t="shared" si="371"/>
        <v>0</v>
      </c>
      <c r="AY101" s="4481"/>
      <c r="AZ101" s="1186"/>
      <c r="BA101" s="4483"/>
      <c r="BB101" s="613">
        <f t="shared" si="372"/>
        <v>0</v>
      </c>
      <c r="BC101" s="5718"/>
      <c r="BD101" s="460">
        <f t="shared" si="373"/>
        <v>0</v>
      </c>
      <c r="BE101" s="3419"/>
      <c r="BF101" s="42">
        <f t="shared" si="374"/>
        <v>0</v>
      </c>
      <c r="BG101" s="26">
        <f t="shared" si="328"/>
        <v>0</v>
      </c>
      <c r="BH101" s="26">
        <f t="shared" si="329"/>
        <v>0</v>
      </c>
      <c r="BI101" s="26"/>
      <c r="BJ101" s="26">
        <f t="shared" si="330"/>
        <v>0</v>
      </c>
      <c r="BK101" s="26">
        <f t="shared" si="331"/>
        <v>0</v>
      </c>
    </row>
    <row r="102" spans="1:63" ht="15" thickBot="1" x14ac:dyDescent="0.35">
      <c r="A102" s="92"/>
      <c r="B102" s="3421" t="s">
        <v>859</v>
      </c>
      <c r="C102" s="3422" t="s">
        <v>1491</v>
      </c>
      <c r="D102" s="3422"/>
      <c r="E102" s="1185"/>
      <c r="F102" s="1185">
        <v>125.72</v>
      </c>
      <c r="G102" s="1185"/>
      <c r="H102" s="1185"/>
      <c r="I102" s="775"/>
      <c r="J102" s="775">
        <f t="shared" si="335"/>
        <v>125.72</v>
      </c>
      <c r="K102" s="1185"/>
      <c r="L102" s="1185"/>
      <c r="M102" s="774"/>
      <c r="N102" s="774">
        <f t="shared" si="336"/>
        <v>125.72</v>
      </c>
      <c r="O102" s="1185"/>
      <c r="P102" s="1185"/>
      <c r="Q102" s="775"/>
      <c r="R102" s="775">
        <f t="shared" si="337"/>
        <v>125.72</v>
      </c>
      <c r="S102" s="1185"/>
      <c r="T102" s="1185"/>
      <c r="U102" s="775"/>
      <c r="V102" s="775">
        <f t="shared" si="338"/>
        <v>125.72</v>
      </c>
      <c r="W102" s="1185"/>
      <c r="X102" s="1185"/>
      <c r="Y102" s="774"/>
      <c r="Z102" s="774">
        <f t="shared" si="339"/>
        <v>0</v>
      </c>
      <c r="AA102" s="460"/>
      <c r="AB102" s="460">
        <f t="shared" si="340"/>
        <v>125.72</v>
      </c>
      <c r="AC102" s="1185"/>
      <c r="AD102" s="1185"/>
      <c r="AE102" s="775"/>
      <c r="AF102" s="775">
        <f t="shared" si="341"/>
        <v>125.72</v>
      </c>
      <c r="AG102" s="1185"/>
      <c r="AH102" s="1185"/>
      <c r="AI102" s="775"/>
      <c r="AJ102" s="368">
        <f t="shared" si="367"/>
        <v>125.72</v>
      </c>
      <c r="AK102" s="1185"/>
      <c r="AL102" s="1185"/>
      <c r="AM102" s="774"/>
      <c r="AN102" s="613">
        <f t="shared" si="368"/>
        <v>0</v>
      </c>
      <c r="AO102" s="775"/>
      <c r="AP102" s="368">
        <f t="shared" si="369"/>
        <v>125.72</v>
      </c>
      <c r="AQ102" s="1185"/>
      <c r="AR102" s="1185"/>
      <c r="AS102" s="775"/>
      <c r="AT102" s="42">
        <f t="shared" si="370"/>
        <v>125.72</v>
      </c>
      <c r="AU102" s="1185"/>
      <c r="AV102" s="1185"/>
      <c r="AW102" s="775"/>
      <c r="AX102" s="42">
        <f t="shared" si="371"/>
        <v>125.72</v>
      </c>
      <c r="AY102" s="1185"/>
      <c r="AZ102" s="1185"/>
      <c r="BA102" s="774"/>
      <c r="BB102" s="613">
        <f t="shared" si="372"/>
        <v>0</v>
      </c>
      <c r="BC102" s="460"/>
      <c r="BD102" s="460">
        <f t="shared" si="373"/>
        <v>0</v>
      </c>
      <c r="BE102" s="3419"/>
      <c r="BF102" s="42">
        <f t="shared" si="374"/>
        <v>125.72</v>
      </c>
      <c r="BG102" s="26">
        <f t="shared" si="328"/>
        <v>0</v>
      </c>
      <c r="BH102" s="26">
        <f t="shared" si="329"/>
        <v>0</v>
      </c>
      <c r="BI102" s="26"/>
      <c r="BJ102" s="26">
        <f t="shared" si="330"/>
        <v>0</v>
      </c>
      <c r="BK102" s="26">
        <f t="shared" si="331"/>
        <v>0</v>
      </c>
    </row>
    <row r="103" spans="1:63" ht="15.75" customHeight="1" thickBot="1" x14ac:dyDescent="0.35">
      <c r="A103" s="92"/>
      <c r="B103" s="3421" t="s">
        <v>859</v>
      </c>
      <c r="C103" s="3453" t="s">
        <v>1433</v>
      </c>
      <c r="D103" s="3453"/>
      <c r="E103" s="2537"/>
      <c r="F103" s="2537"/>
      <c r="G103" s="2537"/>
      <c r="H103" s="2537"/>
      <c r="I103" s="2538"/>
      <c r="J103" s="775">
        <f t="shared" si="335"/>
        <v>0</v>
      </c>
      <c r="K103" s="2537"/>
      <c r="L103" s="2537"/>
      <c r="M103" s="2539"/>
      <c r="N103" s="774">
        <f t="shared" si="336"/>
        <v>0</v>
      </c>
      <c r="O103" s="2537"/>
      <c r="P103" s="2537"/>
      <c r="Q103" s="2538"/>
      <c r="R103" s="775">
        <f t="shared" si="337"/>
        <v>0</v>
      </c>
      <c r="S103" s="2537"/>
      <c r="T103" s="2537"/>
      <c r="U103" s="2538"/>
      <c r="V103" s="775">
        <f t="shared" si="338"/>
        <v>0</v>
      </c>
      <c r="W103" s="2537"/>
      <c r="X103" s="2537"/>
      <c r="Y103" s="2539"/>
      <c r="Z103" s="774">
        <f t="shared" si="339"/>
        <v>0</v>
      </c>
      <c r="AA103" s="460"/>
      <c r="AB103" s="460">
        <f t="shared" si="340"/>
        <v>0</v>
      </c>
      <c r="AC103" s="2537"/>
      <c r="AD103" s="2537"/>
      <c r="AE103" s="2538"/>
      <c r="AF103" s="775">
        <f t="shared" si="341"/>
        <v>0</v>
      </c>
      <c r="AG103" s="2537"/>
      <c r="AH103" s="2537"/>
      <c r="AI103" s="2538"/>
      <c r="AJ103" s="368">
        <f t="shared" si="367"/>
        <v>0</v>
      </c>
      <c r="AK103" s="2537"/>
      <c r="AL103" s="2537"/>
      <c r="AM103" s="2539"/>
      <c r="AN103" s="613">
        <f t="shared" si="368"/>
        <v>0</v>
      </c>
      <c r="AO103" s="2538"/>
      <c r="AP103" s="368">
        <f t="shared" si="369"/>
        <v>0</v>
      </c>
      <c r="AQ103" s="2537"/>
      <c r="AR103" s="2537"/>
      <c r="AS103" s="2538"/>
      <c r="AT103" s="42">
        <f t="shared" si="370"/>
        <v>0</v>
      </c>
      <c r="AU103" s="2537"/>
      <c r="AV103" s="2537"/>
      <c r="AW103" s="2538"/>
      <c r="AX103" s="42">
        <f t="shared" si="371"/>
        <v>0</v>
      </c>
      <c r="AY103" s="2537"/>
      <c r="AZ103" s="2537"/>
      <c r="BA103" s="2539"/>
      <c r="BB103" s="613">
        <f t="shared" si="372"/>
        <v>0</v>
      </c>
      <c r="BC103" s="2579"/>
      <c r="BD103" s="460">
        <f t="shared" si="373"/>
        <v>0</v>
      </c>
      <c r="BE103" s="3419"/>
      <c r="BF103" s="42">
        <f t="shared" si="374"/>
        <v>0</v>
      </c>
      <c r="BG103" s="26">
        <f t="shared" si="328"/>
        <v>0</v>
      </c>
      <c r="BH103" s="26">
        <f t="shared" si="329"/>
        <v>0</v>
      </c>
      <c r="BI103" s="26"/>
      <c r="BJ103" s="26">
        <f t="shared" si="330"/>
        <v>0</v>
      </c>
      <c r="BK103" s="26">
        <f t="shared" si="331"/>
        <v>0</v>
      </c>
    </row>
    <row r="104" spans="1:63" ht="15" thickBot="1" x14ac:dyDescent="0.35">
      <c r="A104" s="92"/>
      <c r="B104" s="3421" t="s">
        <v>859</v>
      </c>
      <c r="C104" s="3422" t="s">
        <v>898</v>
      </c>
      <c r="D104" s="3422"/>
      <c r="E104" s="1185"/>
      <c r="F104" s="1185">
        <v>913.57999999999993</v>
      </c>
      <c r="G104" s="1185"/>
      <c r="H104" s="1185">
        <v>576.46</v>
      </c>
      <c r="I104" s="775"/>
      <c r="J104" s="775">
        <f t="shared" si="335"/>
        <v>1490.04</v>
      </c>
      <c r="K104" s="1185"/>
      <c r="L104" s="1185">
        <v>955.2</v>
      </c>
      <c r="M104" s="774"/>
      <c r="N104" s="774">
        <f t="shared" si="336"/>
        <v>2445.2399999999998</v>
      </c>
      <c r="O104" s="1185"/>
      <c r="P104" s="1185">
        <v>191.73999999999998</v>
      </c>
      <c r="Q104" s="775"/>
      <c r="R104" s="775">
        <f t="shared" si="337"/>
        <v>2636.9799999999996</v>
      </c>
      <c r="S104" s="1185"/>
      <c r="T104" s="1185"/>
      <c r="U104" s="775"/>
      <c r="V104" s="775">
        <f t="shared" si="338"/>
        <v>2636.9799999999996</v>
      </c>
      <c r="W104" s="1185"/>
      <c r="X104" s="1185"/>
      <c r="Y104" s="774"/>
      <c r="Z104" s="774">
        <f t="shared" si="339"/>
        <v>191.73999999999998</v>
      </c>
      <c r="AA104" s="460"/>
      <c r="AB104" s="460">
        <f t="shared" si="340"/>
        <v>2636.9799999999996</v>
      </c>
      <c r="AC104" s="1185"/>
      <c r="AD104" s="1185"/>
      <c r="AE104" s="775"/>
      <c r="AF104" s="775">
        <f t="shared" si="341"/>
        <v>2636.9799999999996</v>
      </c>
      <c r="AG104" s="1185"/>
      <c r="AH104" s="1185">
        <v>24.64</v>
      </c>
      <c r="AI104" s="775"/>
      <c r="AJ104" s="368">
        <f t="shared" si="367"/>
        <v>2661.6199999999994</v>
      </c>
      <c r="AK104" s="1185"/>
      <c r="AL104" s="1185">
        <v>6.1379999999999999</v>
      </c>
      <c r="AM104" s="774"/>
      <c r="AN104" s="613">
        <f t="shared" si="368"/>
        <v>30.777999999999999</v>
      </c>
      <c r="AO104" s="775"/>
      <c r="AP104" s="368">
        <f t="shared" si="369"/>
        <v>2667.7579999999994</v>
      </c>
      <c r="AQ104" s="1185"/>
      <c r="AR104" s="1185"/>
      <c r="AS104" s="775"/>
      <c r="AT104" s="42">
        <f t="shared" si="370"/>
        <v>2667.7579999999994</v>
      </c>
      <c r="AU104" s="1185"/>
      <c r="AV104" s="1185"/>
      <c r="AW104" s="775"/>
      <c r="AX104" s="42">
        <f t="shared" si="371"/>
        <v>2667.7579999999994</v>
      </c>
      <c r="AY104" s="1185"/>
      <c r="AZ104" s="1185">
        <v>1337.68</v>
      </c>
      <c r="BA104" s="774"/>
      <c r="BB104" s="613">
        <f t="shared" si="372"/>
        <v>1337.68</v>
      </c>
      <c r="BC104" s="460"/>
      <c r="BD104" s="460">
        <f t="shared" si="373"/>
        <v>1368.4580000000001</v>
      </c>
      <c r="BE104" s="3419"/>
      <c r="BF104" s="42">
        <f t="shared" si="374"/>
        <v>4005.4379999999992</v>
      </c>
      <c r="BG104" s="26">
        <f t="shared" si="328"/>
        <v>0</v>
      </c>
      <c r="BH104" s="26">
        <f t="shared" si="329"/>
        <v>0</v>
      </c>
      <c r="BI104" s="26"/>
      <c r="BJ104" s="26">
        <f t="shared" si="330"/>
        <v>0</v>
      </c>
      <c r="BK104" s="26">
        <f t="shared" si="331"/>
        <v>0</v>
      </c>
    </row>
    <row r="105" spans="1:63" ht="15" thickBot="1" x14ac:dyDescent="0.35">
      <c r="A105" s="92"/>
      <c r="B105" s="3423" t="s">
        <v>859</v>
      </c>
      <c r="C105" s="3424" t="s">
        <v>942</v>
      </c>
      <c r="D105" s="3424"/>
      <c r="E105" s="107"/>
      <c r="F105" s="107"/>
      <c r="G105" s="107"/>
      <c r="H105" s="107">
        <v>62.96</v>
      </c>
      <c r="I105" s="584"/>
      <c r="J105" s="775">
        <f t="shared" si="335"/>
        <v>62.96</v>
      </c>
      <c r="K105" s="107"/>
      <c r="L105" s="107"/>
      <c r="M105" s="483"/>
      <c r="N105" s="774">
        <f t="shared" si="336"/>
        <v>62.96</v>
      </c>
      <c r="O105" s="107"/>
      <c r="P105" s="107"/>
      <c r="Q105" s="584"/>
      <c r="R105" s="775">
        <f t="shared" si="337"/>
        <v>62.96</v>
      </c>
      <c r="S105" s="107"/>
      <c r="T105" s="107"/>
      <c r="U105" s="584"/>
      <c r="V105" s="775">
        <f t="shared" si="338"/>
        <v>62.96</v>
      </c>
      <c r="W105" s="107"/>
      <c r="X105" s="107"/>
      <c r="Y105" s="483"/>
      <c r="Z105" s="774">
        <f t="shared" si="339"/>
        <v>0</v>
      </c>
      <c r="AA105" s="1127"/>
      <c r="AB105" s="460">
        <f t="shared" si="340"/>
        <v>62.96</v>
      </c>
      <c r="AC105" s="107"/>
      <c r="AD105" s="107"/>
      <c r="AE105" s="584"/>
      <c r="AF105" s="775">
        <f t="shared" si="341"/>
        <v>62.96</v>
      </c>
      <c r="AG105" s="107"/>
      <c r="AH105" s="107"/>
      <c r="AI105" s="584"/>
      <c r="AJ105" s="368">
        <f t="shared" si="367"/>
        <v>62.96</v>
      </c>
      <c r="AK105" s="107"/>
      <c r="AL105" s="107"/>
      <c r="AM105" s="483"/>
      <c r="AN105" s="613">
        <f t="shared" si="368"/>
        <v>0</v>
      </c>
      <c r="AO105" s="584"/>
      <c r="AP105" s="368">
        <f t="shared" si="369"/>
        <v>62.96</v>
      </c>
      <c r="AQ105" s="107"/>
      <c r="AR105" s="107"/>
      <c r="AS105" s="584"/>
      <c r="AT105" s="42">
        <f t="shared" si="370"/>
        <v>62.96</v>
      </c>
      <c r="AU105" s="107"/>
      <c r="AV105" s="107"/>
      <c r="AW105" s="584"/>
      <c r="AX105" s="42">
        <f t="shared" si="371"/>
        <v>62.96</v>
      </c>
      <c r="AY105" s="107"/>
      <c r="AZ105" s="107"/>
      <c r="BA105" s="483"/>
      <c r="BB105" s="613">
        <f t="shared" si="372"/>
        <v>0</v>
      </c>
      <c r="BC105" s="1127"/>
      <c r="BD105" s="460">
        <f t="shared" si="373"/>
        <v>0</v>
      </c>
      <c r="BE105" s="584"/>
      <c r="BF105" s="42">
        <f t="shared" si="374"/>
        <v>62.96</v>
      </c>
      <c r="BG105" s="26">
        <f t="shared" si="328"/>
        <v>0</v>
      </c>
      <c r="BH105" s="26">
        <f t="shared" si="329"/>
        <v>0</v>
      </c>
      <c r="BI105" s="26"/>
      <c r="BJ105" s="26">
        <f t="shared" si="330"/>
        <v>0</v>
      </c>
      <c r="BK105" s="26">
        <f t="shared" si="331"/>
        <v>0</v>
      </c>
    </row>
    <row r="106" spans="1:63" ht="15.75" customHeight="1" thickBot="1" x14ac:dyDescent="0.35">
      <c r="A106" s="92"/>
      <c r="B106" s="3416" t="s">
        <v>876</v>
      </c>
      <c r="C106" s="3417" t="s">
        <v>1491</v>
      </c>
      <c r="D106" s="3417"/>
      <c r="E106" s="155"/>
      <c r="F106" s="155"/>
      <c r="G106" s="155"/>
      <c r="H106" s="155"/>
      <c r="I106" s="368"/>
      <c r="J106" s="775">
        <f t="shared" si="335"/>
        <v>0</v>
      </c>
      <c r="K106" s="155"/>
      <c r="L106" s="155"/>
      <c r="M106" s="613"/>
      <c r="N106" s="774">
        <f t="shared" si="336"/>
        <v>0</v>
      </c>
      <c r="O106" s="155"/>
      <c r="P106" s="155"/>
      <c r="Q106" s="368"/>
      <c r="R106" s="775">
        <f t="shared" si="337"/>
        <v>0</v>
      </c>
      <c r="S106" s="155"/>
      <c r="T106" s="155"/>
      <c r="U106" s="368"/>
      <c r="V106" s="775">
        <f t="shared" si="338"/>
        <v>0</v>
      </c>
      <c r="W106" s="155"/>
      <c r="X106" s="155"/>
      <c r="Y106" s="613"/>
      <c r="Z106" s="774">
        <f t="shared" si="339"/>
        <v>0</v>
      </c>
      <c r="AA106" s="1039"/>
      <c r="AB106" s="460">
        <f t="shared" si="340"/>
        <v>0</v>
      </c>
      <c r="AC106" s="155"/>
      <c r="AD106" s="155"/>
      <c r="AE106" s="368"/>
      <c r="AF106" s="775">
        <f t="shared" si="341"/>
        <v>0</v>
      </c>
      <c r="AG106" s="155"/>
      <c r="AH106" s="155"/>
      <c r="AI106" s="368"/>
      <c r="AJ106" s="368">
        <f t="shared" si="367"/>
        <v>0</v>
      </c>
      <c r="AK106" s="155"/>
      <c r="AL106" s="155"/>
      <c r="AM106" s="613"/>
      <c r="AN106" s="613">
        <f t="shared" si="368"/>
        <v>0</v>
      </c>
      <c r="AO106" s="368"/>
      <c r="AP106" s="368">
        <f t="shared" si="369"/>
        <v>0</v>
      </c>
      <c r="AQ106" s="155"/>
      <c r="AR106" s="155"/>
      <c r="AS106" s="368"/>
      <c r="AT106" s="42">
        <f t="shared" si="370"/>
        <v>0</v>
      </c>
      <c r="AU106" s="155"/>
      <c r="AV106" s="155"/>
      <c r="AW106" s="368"/>
      <c r="AX106" s="42">
        <f t="shared" si="371"/>
        <v>0</v>
      </c>
      <c r="AY106" s="155"/>
      <c r="AZ106" s="155"/>
      <c r="BA106" s="613"/>
      <c r="BB106" s="613">
        <f t="shared" si="372"/>
        <v>0</v>
      </c>
      <c r="BC106" s="1039"/>
      <c r="BD106" s="460">
        <f t="shared" si="373"/>
        <v>0</v>
      </c>
      <c r="BE106" s="368"/>
      <c r="BF106" s="42">
        <f t="shared" si="374"/>
        <v>0</v>
      </c>
      <c r="BG106" s="26">
        <f t="shared" si="328"/>
        <v>0</v>
      </c>
      <c r="BH106" s="26">
        <f t="shared" si="329"/>
        <v>0</v>
      </c>
      <c r="BI106" s="26"/>
      <c r="BJ106" s="26">
        <f t="shared" si="330"/>
        <v>0</v>
      </c>
      <c r="BK106" s="26">
        <f t="shared" si="331"/>
        <v>0</v>
      </c>
    </row>
    <row r="107" spans="1:63" ht="15.75" customHeight="1" thickBot="1" x14ac:dyDescent="0.35">
      <c r="A107" s="92"/>
      <c r="B107" s="3429" t="s">
        <v>876</v>
      </c>
      <c r="C107" s="3430" t="s">
        <v>1433</v>
      </c>
      <c r="D107" s="3430"/>
      <c r="E107" s="1186"/>
      <c r="F107" s="1186"/>
      <c r="G107" s="1186"/>
      <c r="H107" s="1186"/>
      <c r="I107" s="567"/>
      <c r="J107" s="775">
        <f t="shared" si="335"/>
        <v>0</v>
      </c>
      <c r="K107" s="1186"/>
      <c r="L107" s="1186"/>
      <c r="M107" s="482"/>
      <c r="N107" s="774">
        <f t="shared" si="336"/>
        <v>0</v>
      </c>
      <c r="O107" s="1186"/>
      <c r="P107" s="1186"/>
      <c r="Q107" s="567"/>
      <c r="R107" s="775">
        <f t="shared" si="337"/>
        <v>0</v>
      </c>
      <c r="S107" s="1186"/>
      <c r="T107" s="1186"/>
      <c r="U107" s="567"/>
      <c r="V107" s="775">
        <f t="shared" si="338"/>
        <v>0</v>
      </c>
      <c r="W107" s="1186"/>
      <c r="X107" s="1186"/>
      <c r="Y107" s="482"/>
      <c r="Z107" s="774">
        <f t="shared" si="339"/>
        <v>0</v>
      </c>
      <c r="AA107" s="1039"/>
      <c r="AB107" s="460">
        <f t="shared" si="340"/>
        <v>0</v>
      </c>
      <c r="AC107" s="1186"/>
      <c r="AD107" s="1186"/>
      <c r="AE107" s="567"/>
      <c r="AF107" s="775">
        <f t="shared" si="341"/>
        <v>0</v>
      </c>
      <c r="AG107" s="1186"/>
      <c r="AH107" s="1186"/>
      <c r="AI107" s="567"/>
      <c r="AJ107" s="368">
        <f t="shared" si="367"/>
        <v>0</v>
      </c>
      <c r="AK107" s="1186"/>
      <c r="AL107" s="1186"/>
      <c r="AM107" s="482"/>
      <c r="AN107" s="613">
        <f t="shared" si="368"/>
        <v>0</v>
      </c>
      <c r="AO107" s="567"/>
      <c r="AP107" s="368">
        <f t="shared" si="369"/>
        <v>0</v>
      </c>
      <c r="AQ107" s="1186"/>
      <c r="AR107" s="1186"/>
      <c r="AS107" s="567"/>
      <c r="AT107" s="42">
        <f t="shared" si="370"/>
        <v>0</v>
      </c>
      <c r="AU107" s="1186"/>
      <c r="AV107" s="1186"/>
      <c r="AW107" s="567"/>
      <c r="AX107" s="42">
        <f t="shared" si="371"/>
        <v>0</v>
      </c>
      <c r="AY107" s="1186"/>
      <c r="AZ107" s="1186"/>
      <c r="BA107" s="482"/>
      <c r="BB107" s="613">
        <f t="shared" si="372"/>
        <v>0</v>
      </c>
      <c r="BC107" s="1039"/>
      <c r="BD107" s="460">
        <f t="shared" si="373"/>
        <v>0</v>
      </c>
      <c r="BE107" s="368"/>
      <c r="BF107" s="42">
        <f t="shared" si="374"/>
        <v>0</v>
      </c>
      <c r="BG107" s="26">
        <f t="shared" si="328"/>
        <v>0</v>
      </c>
      <c r="BH107" s="26">
        <f t="shared" si="329"/>
        <v>0</v>
      </c>
      <c r="BI107" s="26"/>
      <c r="BJ107" s="26">
        <f t="shared" si="330"/>
        <v>0</v>
      </c>
      <c r="BK107" s="26">
        <f t="shared" si="331"/>
        <v>0</v>
      </c>
    </row>
    <row r="108" spans="1:63" ht="20.25" customHeight="1" thickBot="1" x14ac:dyDescent="0.35">
      <c r="A108" s="92"/>
      <c r="B108" s="3421" t="s">
        <v>876</v>
      </c>
      <c r="C108" s="3422" t="s">
        <v>897</v>
      </c>
      <c r="D108" s="3422"/>
      <c r="E108" s="1185"/>
      <c r="F108" s="1185">
        <v>579.07999999999993</v>
      </c>
      <c r="G108" s="1185"/>
      <c r="H108" s="1185">
        <v>513.5</v>
      </c>
      <c r="I108" s="775"/>
      <c r="J108" s="775">
        <f t="shared" si="335"/>
        <v>1092.58</v>
      </c>
      <c r="K108" s="1185"/>
      <c r="L108" s="1185">
        <v>64.319999999999993</v>
      </c>
      <c r="M108" s="774"/>
      <c r="N108" s="774">
        <f t="shared" si="336"/>
        <v>1156.8999999999999</v>
      </c>
      <c r="O108" s="1185"/>
      <c r="P108" s="1185"/>
      <c r="Q108" s="775"/>
      <c r="R108" s="775">
        <f t="shared" si="337"/>
        <v>1156.8999999999999</v>
      </c>
      <c r="S108" s="1185"/>
      <c r="T108" s="1185">
        <v>63.74</v>
      </c>
      <c r="U108" s="775"/>
      <c r="V108" s="775">
        <f t="shared" si="338"/>
        <v>1220.6399999999999</v>
      </c>
      <c r="W108" s="1185"/>
      <c r="X108" s="1185"/>
      <c r="Y108" s="774"/>
      <c r="Z108" s="774">
        <f t="shared" si="339"/>
        <v>63.74</v>
      </c>
      <c r="AA108" s="460"/>
      <c r="AB108" s="460">
        <f t="shared" si="340"/>
        <v>1220.6399999999999</v>
      </c>
      <c r="AC108" s="1185"/>
      <c r="AD108" s="1185"/>
      <c r="AE108" s="775"/>
      <c r="AF108" s="775">
        <f t="shared" si="341"/>
        <v>1220.6399999999999</v>
      </c>
      <c r="AG108" s="1185"/>
      <c r="AH108" s="1185">
        <v>12.33</v>
      </c>
      <c r="AI108" s="775"/>
      <c r="AJ108" s="368">
        <f t="shared" si="367"/>
        <v>1232.9699999999998</v>
      </c>
      <c r="AK108" s="1185"/>
      <c r="AL108" s="1185">
        <v>189.9</v>
      </c>
      <c r="AM108" s="774"/>
      <c r="AN108" s="613">
        <f t="shared" si="368"/>
        <v>202.23000000000002</v>
      </c>
      <c r="AO108" s="775"/>
      <c r="AP108" s="368">
        <f t="shared" si="369"/>
        <v>1422.87</v>
      </c>
      <c r="AQ108" s="1185"/>
      <c r="AR108" s="1185">
        <v>256.5</v>
      </c>
      <c r="AS108" s="775"/>
      <c r="AT108" s="42">
        <f t="shared" si="370"/>
        <v>1679.37</v>
      </c>
      <c r="AU108" s="1185"/>
      <c r="AV108" s="1185"/>
      <c r="AW108" s="775"/>
      <c r="AX108" s="42">
        <f t="shared" si="371"/>
        <v>1679.37</v>
      </c>
      <c r="AY108" s="1185"/>
      <c r="AZ108" s="1185">
        <v>1213.52</v>
      </c>
      <c r="BA108" s="774"/>
      <c r="BB108" s="613">
        <f t="shared" si="372"/>
        <v>1470.02</v>
      </c>
      <c r="BC108" s="460"/>
      <c r="BD108" s="460">
        <f t="shared" si="373"/>
        <v>1672.25</v>
      </c>
      <c r="BE108" s="775"/>
      <c r="BF108" s="42">
        <f t="shared" si="374"/>
        <v>2892.89</v>
      </c>
      <c r="BG108" s="26">
        <f t="shared" si="328"/>
        <v>0</v>
      </c>
      <c r="BH108" s="26">
        <f t="shared" si="329"/>
        <v>0</v>
      </c>
      <c r="BI108" s="26"/>
      <c r="BJ108" s="26">
        <f t="shared" si="330"/>
        <v>0</v>
      </c>
      <c r="BK108" s="26">
        <f t="shared" si="331"/>
        <v>0</v>
      </c>
    </row>
    <row r="109" spans="1:63" ht="20.25" customHeight="1" thickBot="1" x14ac:dyDescent="0.35">
      <c r="A109" s="92"/>
      <c r="B109" s="3421" t="s">
        <v>876</v>
      </c>
      <c r="C109" s="5299" t="s">
        <v>899</v>
      </c>
      <c r="D109" s="5299"/>
      <c r="E109" s="5119"/>
      <c r="F109" s="5119"/>
      <c r="G109" s="5119"/>
      <c r="H109" s="5119"/>
      <c r="I109" s="5120"/>
      <c r="J109" s="5120"/>
      <c r="K109" s="5119"/>
      <c r="L109" s="5119"/>
      <c r="M109" s="5121"/>
      <c r="N109" s="5121"/>
      <c r="O109" s="5119"/>
      <c r="P109" s="5119"/>
      <c r="Q109" s="5120"/>
      <c r="R109" s="5120"/>
      <c r="S109" s="5119"/>
      <c r="T109" s="5119"/>
      <c r="U109" s="5120"/>
      <c r="V109" s="5120"/>
      <c r="W109" s="5119"/>
      <c r="X109" s="5119"/>
      <c r="Y109" s="5121"/>
      <c r="Z109" s="5121"/>
      <c r="AA109" s="5406"/>
      <c r="AB109" s="5406"/>
      <c r="AC109" s="5119"/>
      <c r="AD109" s="5119"/>
      <c r="AE109" s="5120"/>
      <c r="AF109" s="5120"/>
      <c r="AG109" s="5119"/>
      <c r="AH109" s="5119"/>
      <c r="AI109" s="5120"/>
      <c r="AJ109" s="368"/>
      <c r="AK109" s="5119"/>
      <c r="AL109" s="5119"/>
      <c r="AM109" s="5121"/>
      <c r="AN109" s="613"/>
      <c r="AO109" s="5120"/>
      <c r="AP109" s="368"/>
      <c r="AQ109" s="5119"/>
      <c r="AR109" s="5119"/>
      <c r="AS109" s="5120"/>
      <c r="AT109" s="42"/>
      <c r="AU109" s="5119"/>
      <c r="AV109" s="5119">
        <v>126.86</v>
      </c>
      <c r="AW109" s="5120"/>
      <c r="AX109" s="42">
        <f t="shared" si="371"/>
        <v>126.86</v>
      </c>
      <c r="AY109" s="5119"/>
      <c r="AZ109" s="5119"/>
      <c r="BA109" s="5121"/>
      <c r="BB109" s="613">
        <f t="shared" si="372"/>
        <v>126.86</v>
      </c>
      <c r="BC109" s="5406"/>
      <c r="BD109" s="460">
        <f t="shared" si="373"/>
        <v>126.86</v>
      </c>
      <c r="BE109" s="5120"/>
      <c r="BF109" s="42">
        <f t="shared" si="374"/>
        <v>126.86</v>
      </c>
      <c r="BG109" s="26">
        <f t="shared" si="328"/>
        <v>0</v>
      </c>
      <c r="BH109" s="26">
        <f t="shared" si="329"/>
        <v>0</v>
      </c>
      <c r="BI109" s="26"/>
      <c r="BJ109" s="26">
        <f t="shared" si="330"/>
        <v>0</v>
      </c>
      <c r="BK109" s="26">
        <f t="shared" si="331"/>
        <v>0</v>
      </c>
    </row>
    <row r="110" spans="1:63" ht="20.25" customHeight="1" thickBot="1" x14ac:dyDescent="0.35">
      <c r="A110" s="92"/>
      <c r="B110" s="3421" t="s">
        <v>876</v>
      </c>
      <c r="C110" s="3422" t="s">
        <v>898</v>
      </c>
      <c r="D110" s="3422"/>
      <c r="E110" s="1185"/>
      <c r="F110" s="1185">
        <v>984.18000000000006</v>
      </c>
      <c r="G110" s="1185"/>
      <c r="H110" s="1185">
        <v>320.34000000000003</v>
      </c>
      <c r="I110" s="775"/>
      <c r="J110" s="775">
        <f t="shared" si="335"/>
        <v>1304.52</v>
      </c>
      <c r="K110" s="1185"/>
      <c r="L110" s="1185">
        <v>691.12</v>
      </c>
      <c r="M110" s="774"/>
      <c r="N110" s="774">
        <f t="shared" si="336"/>
        <v>1995.6399999999999</v>
      </c>
      <c r="O110" s="1185"/>
      <c r="P110" s="1185"/>
      <c r="Q110" s="775"/>
      <c r="R110" s="775">
        <f t="shared" si="337"/>
        <v>1995.6399999999999</v>
      </c>
      <c r="S110" s="1185"/>
      <c r="T110" s="1185"/>
      <c r="U110" s="775"/>
      <c r="V110" s="775">
        <f t="shared" si="338"/>
        <v>1995.6399999999999</v>
      </c>
      <c r="W110" s="1185"/>
      <c r="X110" s="1185"/>
      <c r="Y110" s="774"/>
      <c r="Z110" s="774">
        <f t="shared" si="339"/>
        <v>0</v>
      </c>
      <c r="AA110" s="460"/>
      <c r="AB110" s="460">
        <f t="shared" si="340"/>
        <v>1995.6399999999999</v>
      </c>
      <c r="AC110" s="1185"/>
      <c r="AD110" s="1185"/>
      <c r="AE110" s="775"/>
      <c r="AF110" s="775">
        <f t="shared" si="341"/>
        <v>1995.6399999999999</v>
      </c>
      <c r="AG110" s="1185"/>
      <c r="AH110" s="1185"/>
      <c r="AI110" s="775"/>
      <c r="AJ110" s="368">
        <f t="shared" si="367"/>
        <v>1995.6399999999999</v>
      </c>
      <c r="AK110" s="1185"/>
      <c r="AL110" s="1185">
        <v>977.56</v>
      </c>
      <c r="AM110" s="774"/>
      <c r="AN110" s="613">
        <f t="shared" si="368"/>
        <v>977.56</v>
      </c>
      <c r="AO110" s="775"/>
      <c r="AP110" s="368">
        <f t="shared" si="369"/>
        <v>2973.2</v>
      </c>
      <c r="AQ110" s="1185"/>
      <c r="AR110" s="1185">
        <v>132.13999999999999</v>
      </c>
      <c r="AS110" s="775"/>
      <c r="AT110" s="42">
        <f t="shared" si="370"/>
        <v>3105.3399999999997</v>
      </c>
      <c r="AU110" s="1185"/>
      <c r="AV110" s="1185"/>
      <c r="AW110" s="775"/>
      <c r="AX110" s="42">
        <f t="shared" si="371"/>
        <v>3105.3399999999997</v>
      </c>
      <c r="AY110" s="1185"/>
      <c r="AZ110" s="1185">
        <v>960.84</v>
      </c>
      <c r="BA110" s="774"/>
      <c r="BB110" s="613">
        <f t="shared" si="372"/>
        <v>1092.98</v>
      </c>
      <c r="BC110" s="460"/>
      <c r="BD110" s="460">
        <f t="shared" si="373"/>
        <v>2070.54</v>
      </c>
      <c r="BE110" s="775"/>
      <c r="BF110" s="42">
        <f t="shared" si="374"/>
        <v>4066.18</v>
      </c>
      <c r="BG110" s="26">
        <f t="shared" si="328"/>
        <v>0</v>
      </c>
      <c r="BH110" s="26">
        <f t="shared" si="329"/>
        <v>0</v>
      </c>
      <c r="BI110" s="26"/>
      <c r="BJ110" s="26">
        <f t="shared" si="330"/>
        <v>0</v>
      </c>
      <c r="BK110" s="26">
        <f t="shared" si="331"/>
        <v>0</v>
      </c>
    </row>
    <row r="111" spans="1:63" ht="15" thickBot="1" x14ac:dyDescent="0.35">
      <c r="A111" s="92"/>
      <c r="B111" s="3423" t="s">
        <v>876</v>
      </c>
      <c r="C111" s="3424" t="s">
        <v>942</v>
      </c>
      <c r="D111" s="3424"/>
      <c r="E111" s="107"/>
      <c r="F111" s="107"/>
      <c r="G111" s="107"/>
      <c r="H111" s="107">
        <v>250.32</v>
      </c>
      <c r="I111" s="584"/>
      <c r="J111" s="775">
        <f t="shared" si="335"/>
        <v>250.32</v>
      </c>
      <c r="K111" s="107"/>
      <c r="L111" s="107"/>
      <c r="M111" s="483"/>
      <c r="N111" s="774">
        <f t="shared" si="336"/>
        <v>250.32</v>
      </c>
      <c r="O111" s="107"/>
      <c r="P111" s="107"/>
      <c r="Q111" s="584"/>
      <c r="R111" s="775">
        <f t="shared" si="337"/>
        <v>250.32</v>
      </c>
      <c r="S111" s="107"/>
      <c r="T111" s="107"/>
      <c r="U111" s="584"/>
      <c r="V111" s="775">
        <f t="shared" si="338"/>
        <v>250.32</v>
      </c>
      <c r="W111" s="107"/>
      <c r="X111" s="107"/>
      <c r="Y111" s="483"/>
      <c r="Z111" s="774">
        <f t="shared" si="339"/>
        <v>0</v>
      </c>
      <c r="AA111" s="1127"/>
      <c r="AB111" s="460">
        <f t="shared" si="340"/>
        <v>250.32</v>
      </c>
      <c r="AC111" s="107"/>
      <c r="AD111" s="107"/>
      <c r="AE111" s="584"/>
      <c r="AF111" s="775">
        <f t="shared" si="341"/>
        <v>250.32</v>
      </c>
      <c r="AG111" s="107"/>
      <c r="AH111" s="107"/>
      <c r="AI111" s="584"/>
      <c r="AJ111" s="368">
        <f t="shared" si="367"/>
        <v>250.32</v>
      </c>
      <c r="AK111" s="107"/>
      <c r="AL111" s="107"/>
      <c r="AM111" s="483"/>
      <c r="AN111" s="613">
        <f t="shared" si="368"/>
        <v>0</v>
      </c>
      <c r="AO111" s="584"/>
      <c r="AP111" s="368">
        <f t="shared" si="369"/>
        <v>250.32</v>
      </c>
      <c r="AQ111" s="107"/>
      <c r="AR111" s="107"/>
      <c r="AS111" s="584"/>
      <c r="AT111" s="42">
        <f t="shared" si="370"/>
        <v>250.32</v>
      </c>
      <c r="AU111" s="107"/>
      <c r="AV111" s="107"/>
      <c r="AW111" s="584"/>
      <c r="AX111" s="42">
        <f t="shared" si="371"/>
        <v>250.32</v>
      </c>
      <c r="AY111" s="107"/>
      <c r="AZ111" s="107"/>
      <c r="BA111" s="483"/>
      <c r="BB111" s="613">
        <f t="shared" si="372"/>
        <v>0</v>
      </c>
      <c r="BC111" s="1127"/>
      <c r="BD111" s="460">
        <f t="shared" si="373"/>
        <v>0</v>
      </c>
      <c r="BE111" s="584"/>
      <c r="BF111" s="42">
        <f t="shared" si="374"/>
        <v>250.32</v>
      </c>
      <c r="BG111" s="26">
        <f t="shared" si="328"/>
        <v>0</v>
      </c>
      <c r="BH111" s="26">
        <f t="shared" si="329"/>
        <v>0</v>
      </c>
      <c r="BI111" s="26"/>
      <c r="BJ111" s="26">
        <f t="shared" si="330"/>
        <v>0</v>
      </c>
      <c r="BK111" s="26">
        <f t="shared" si="331"/>
        <v>0</v>
      </c>
    </row>
    <row r="112" spans="1:63" ht="15.75" customHeight="1" thickBot="1" x14ac:dyDescent="0.35">
      <c r="A112" s="92"/>
      <c r="B112" s="3416" t="s">
        <v>1312</v>
      </c>
      <c r="C112" s="3417" t="s">
        <v>898</v>
      </c>
      <c r="D112" s="3417"/>
      <c r="E112" s="155"/>
      <c r="F112" s="155"/>
      <c r="G112" s="155"/>
      <c r="H112" s="155"/>
      <c r="I112" s="368"/>
      <c r="J112" s="775">
        <f t="shared" si="335"/>
        <v>0</v>
      </c>
      <c r="K112" s="155"/>
      <c r="L112" s="155"/>
      <c r="M112" s="613"/>
      <c r="N112" s="774">
        <f t="shared" si="336"/>
        <v>0</v>
      </c>
      <c r="O112" s="155"/>
      <c r="P112" s="155"/>
      <c r="Q112" s="368"/>
      <c r="R112" s="775">
        <f t="shared" si="337"/>
        <v>0</v>
      </c>
      <c r="S112" s="155"/>
      <c r="T112" s="155"/>
      <c r="U112" s="368"/>
      <c r="V112" s="775">
        <f t="shared" si="338"/>
        <v>0</v>
      </c>
      <c r="W112" s="155"/>
      <c r="X112" s="155"/>
      <c r="Y112" s="613"/>
      <c r="Z112" s="774">
        <f t="shared" si="339"/>
        <v>0</v>
      </c>
      <c r="AA112" s="1039"/>
      <c r="AB112" s="460">
        <f t="shared" si="340"/>
        <v>0</v>
      </c>
      <c r="AC112" s="155"/>
      <c r="AD112" s="155"/>
      <c r="AE112" s="368"/>
      <c r="AF112" s="775">
        <f t="shared" si="341"/>
        <v>0</v>
      </c>
      <c r="AG112" s="155"/>
      <c r="AH112" s="155"/>
      <c r="AI112" s="368"/>
      <c r="AJ112" s="368">
        <f t="shared" si="367"/>
        <v>0</v>
      </c>
      <c r="AK112" s="155"/>
      <c r="AL112" s="155"/>
      <c r="AM112" s="613"/>
      <c r="AN112" s="613">
        <f t="shared" si="368"/>
        <v>0</v>
      </c>
      <c r="AO112" s="368"/>
      <c r="AP112" s="368">
        <f t="shared" si="369"/>
        <v>0</v>
      </c>
      <c r="AQ112" s="155"/>
      <c r="AR112" s="155"/>
      <c r="AS112" s="368"/>
      <c r="AT112" s="42">
        <f t="shared" si="370"/>
        <v>0</v>
      </c>
      <c r="AU112" s="155"/>
      <c r="AV112" s="155"/>
      <c r="AW112" s="368"/>
      <c r="AX112" s="42">
        <f t="shared" si="371"/>
        <v>0</v>
      </c>
      <c r="AY112" s="155"/>
      <c r="AZ112" s="155"/>
      <c r="BA112" s="613"/>
      <c r="BB112" s="613">
        <f t="shared" si="372"/>
        <v>0</v>
      </c>
      <c r="BC112" s="1039"/>
      <c r="BD112" s="460">
        <f t="shared" si="373"/>
        <v>0</v>
      </c>
      <c r="BE112" s="368"/>
      <c r="BF112" s="42">
        <f t="shared" si="374"/>
        <v>0</v>
      </c>
      <c r="BG112" s="26">
        <f t="shared" si="328"/>
        <v>0</v>
      </c>
      <c r="BH112" s="26">
        <f t="shared" si="329"/>
        <v>0</v>
      </c>
      <c r="BI112" s="26"/>
      <c r="BJ112" s="26">
        <f t="shared" si="330"/>
        <v>0</v>
      </c>
      <c r="BK112" s="26">
        <f t="shared" si="331"/>
        <v>0</v>
      </c>
    </row>
    <row r="113" spans="1:63" ht="15.75" customHeight="1" thickBot="1" x14ac:dyDescent="0.35">
      <c r="A113" s="92"/>
      <c r="B113" s="3423" t="s">
        <v>1312</v>
      </c>
      <c r="C113" s="3424" t="s">
        <v>897</v>
      </c>
      <c r="D113" s="3424"/>
      <c r="E113" s="107"/>
      <c r="F113" s="107"/>
      <c r="G113" s="107"/>
      <c r="H113" s="107"/>
      <c r="I113" s="584"/>
      <c r="J113" s="775">
        <f t="shared" si="335"/>
        <v>0</v>
      </c>
      <c r="K113" s="107"/>
      <c r="L113" s="107"/>
      <c r="M113" s="483"/>
      <c r="N113" s="774">
        <f t="shared" si="336"/>
        <v>0</v>
      </c>
      <c r="O113" s="107"/>
      <c r="P113" s="107"/>
      <c r="Q113" s="584"/>
      <c r="R113" s="775">
        <f t="shared" si="337"/>
        <v>0</v>
      </c>
      <c r="S113" s="107"/>
      <c r="T113" s="107"/>
      <c r="U113" s="584"/>
      <c r="V113" s="775">
        <f t="shared" si="338"/>
        <v>0</v>
      </c>
      <c r="W113" s="107"/>
      <c r="X113" s="107"/>
      <c r="Y113" s="483"/>
      <c r="Z113" s="774">
        <f t="shared" si="339"/>
        <v>0</v>
      </c>
      <c r="AA113" s="1127"/>
      <c r="AB113" s="460">
        <f t="shared" si="340"/>
        <v>0</v>
      </c>
      <c r="AC113" s="107"/>
      <c r="AD113" s="107"/>
      <c r="AE113" s="584"/>
      <c r="AF113" s="775">
        <f t="shared" si="341"/>
        <v>0</v>
      </c>
      <c r="AG113" s="107"/>
      <c r="AH113" s="107"/>
      <c r="AI113" s="584"/>
      <c r="AJ113" s="368">
        <f t="shared" si="367"/>
        <v>0</v>
      </c>
      <c r="AK113" s="107"/>
      <c r="AL113" s="107"/>
      <c r="AM113" s="483"/>
      <c r="AN113" s="613">
        <f t="shared" si="368"/>
        <v>0</v>
      </c>
      <c r="AO113" s="584"/>
      <c r="AP113" s="368">
        <f t="shared" si="369"/>
        <v>0</v>
      </c>
      <c r="AQ113" s="107"/>
      <c r="AR113" s="107"/>
      <c r="AS113" s="584"/>
      <c r="AT113" s="42">
        <f t="shared" si="370"/>
        <v>0</v>
      </c>
      <c r="AU113" s="107"/>
      <c r="AV113" s="107"/>
      <c r="AW113" s="584"/>
      <c r="AX113" s="42">
        <f t="shared" si="371"/>
        <v>0</v>
      </c>
      <c r="AY113" s="107"/>
      <c r="AZ113" s="107"/>
      <c r="BA113" s="483"/>
      <c r="BB113" s="613">
        <f t="shared" si="372"/>
        <v>0</v>
      </c>
      <c r="BC113" s="1127"/>
      <c r="BD113" s="460">
        <f t="shared" si="373"/>
        <v>0</v>
      </c>
      <c r="BE113" s="584"/>
      <c r="BF113" s="42">
        <f t="shared" si="374"/>
        <v>0</v>
      </c>
      <c r="BG113" s="26">
        <f t="shared" si="328"/>
        <v>0</v>
      </c>
      <c r="BH113" s="26">
        <f t="shared" si="329"/>
        <v>0</v>
      </c>
      <c r="BI113" s="26"/>
      <c r="BJ113" s="26">
        <f t="shared" si="330"/>
        <v>0</v>
      </c>
      <c r="BK113" s="26">
        <f t="shared" si="331"/>
        <v>0</v>
      </c>
    </row>
    <row r="114" spans="1:63" ht="15" thickBot="1" x14ac:dyDescent="0.35">
      <c r="A114" s="92"/>
      <c r="B114" s="3416" t="s">
        <v>860</v>
      </c>
      <c r="C114" s="3417" t="s">
        <v>897</v>
      </c>
      <c r="D114" s="3417"/>
      <c r="E114" s="155"/>
      <c r="F114" s="155">
        <v>2188.0200000000004</v>
      </c>
      <c r="G114" s="155"/>
      <c r="H114" s="155">
        <v>1019.6400000000001</v>
      </c>
      <c r="I114" s="368"/>
      <c r="J114" s="775">
        <f t="shared" si="335"/>
        <v>3207.6600000000008</v>
      </c>
      <c r="K114" s="155"/>
      <c r="L114" s="155">
        <v>820.60000000000014</v>
      </c>
      <c r="M114" s="613"/>
      <c r="N114" s="774">
        <f t="shared" si="336"/>
        <v>4028.2600000000011</v>
      </c>
      <c r="O114" s="155"/>
      <c r="P114" s="155">
        <v>82.5</v>
      </c>
      <c r="Q114" s="368"/>
      <c r="R114" s="775">
        <f t="shared" si="337"/>
        <v>4110.7600000000011</v>
      </c>
      <c r="S114" s="155"/>
      <c r="T114" s="155">
        <v>3439.6299999999992</v>
      </c>
      <c r="U114" s="368"/>
      <c r="V114" s="775">
        <f t="shared" si="338"/>
        <v>7550.39</v>
      </c>
      <c r="W114" s="155"/>
      <c r="X114" s="155">
        <v>1563.5</v>
      </c>
      <c r="Y114" s="613"/>
      <c r="Z114" s="774">
        <f t="shared" si="339"/>
        <v>5085.6299999999992</v>
      </c>
      <c r="AA114" s="1039"/>
      <c r="AB114" s="460">
        <f t="shared" si="340"/>
        <v>9113.89</v>
      </c>
      <c r="AC114" s="155"/>
      <c r="AD114" s="155">
        <v>1979.6999999999996</v>
      </c>
      <c r="AE114" s="368"/>
      <c r="AF114" s="775">
        <f t="shared" si="341"/>
        <v>11093.589999999998</v>
      </c>
      <c r="AG114" s="155"/>
      <c r="AH114" s="155">
        <v>10.25</v>
      </c>
      <c r="AI114" s="368"/>
      <c r="AJ114" s="368">
        <f t="shared" si="367"/>
        <v>11103.839999999998</v>
      </c>
      <c r="AK114" s="155"/>
      <c r="AL114" s="155">
        <v>5136.1200000000008</v>
      </c>
      <c r="AM114" s="613"/>
      <c r="AN114" s="613">
        <f t="shared" si="368"/>
        <v>7126.0700000000006</v>
      </c>
      <c r="AO114" s="368"/>
      <c r="AP114" s="368">
        <f t="shared" si="369"/>
        <v>16239.96</v>
      </c>
      <c r="AQ114" s="155"/>
      <c r="AR114" s="155">
        <v>142.41999999999999</v>
      </c>
      <c r="AS114" s="368"/>
      <c r="AT114" s="42">
        <f t="shared" si="370"/>
        <v>16382.38</v>
      </c>
      <c r="AU114" s="155"/>
      <c r="AV114" s="155">
        <v>3748.18</v>
      </c>
      <c r="AW114" s="368"/>
      <c r="AX114" s="42">
        <f t="shared" si="371"/>
        <v>20130.559999999998</v>
      </c>
      <c r="AY114" s="155"/>
      <c r="AZ114" s="155">
        <v>6280.3</v>
      </c>
      <c r="BA114" s="613"/>
      <c r="BB114" s="613">
        <f t="shared" si="372"/>
        <v>10170.9</v>
      </c>
      <c r="BC114" s="1039"/>
      <c r="BD114" s="460">
        <f t="shared" si="373"/>
        <v>17296.97</v>
      </c>
      <c r="BE114" s="368"/>
      <c r="BF114" s="42">
        <f t="shared" si="374"/>
        <v>26410.859999999997</v>
      </c>
      <c r="BG114" s="26">
        <f t="shared" si="328"/>
        <v>0</v>
      </c>
      <c r="BH114" s="26">
        <f t="shared" si="329"/>
        <v>0</v>
      </c>
      <c r="BI114" s="26"/>
      <c r="BJ114" s="26">
        <f t="shared" si="330"/>
        <v>0</v>
      </c>
      <c r="BK114" s="26">
        <f t="shared" si="331"/>
        <v>0</v>
      </c>
    </row>
    <row r="115" spans="1:63" ht="15" thickBot="1" x14ac:dyDescent="0.35">
      <c r="A115" s="92"/>
      <c r="B115" s="3421" t="s">
        <v>860</v>
      </c>
      <c r="C115" s="3422" t="s">
        <v>942</v>
      </c>
      <c r="D115" s="3422"/>
      <c r="E115" s="3412"/>
      <c r="F115" s="1185"/>
      <c r="G115" s="3412"/>
      <c r="H115" s="1185">
        <v>255.5</v>
      </c>
      <c r="I115" s="844"/>
      <c r="J115" s="775">
        <f t="shared" si="335"/>
        <v>255.5</v>
      </c>
      <c r="K115" s="3412"/>
      <c r="L115" s="1185"/>
      <c r="M115" s="894"/>
      <c r="N115" s="774">
        <f t="shared" si="336"/>
        <v>255.5</v>
      </c>
      <c r="O115" s="3412"/>
      <c r="P115" s="1185"/>
      <c r="Q115" s="844"/>
      <c r="R115" s="775">
        <f t="shared" si="337"/>
        <v>255.5</v>
      </c>
      <c r="S115" s="3412"/>
      <c r="T115" s="1185"/>
      <c r="U115" s="844"/>
      <c r="V115" s="775">
        <f t="shared" si="338"/>
        <v>255.5</v>
      </c>
      <c r="W115" s="3412"/>
      <c r="X115" s="1185"/>
      <c r="Y115" s="894"/>
      <c r="Z115" s="774">
        <f t="shared" si="339"/>
        <v>0</v>
      </c>
      <c r="AA115" s="3965"/>
      <c r="AB115" s="460">
        <f t="shared" si="340"/>
        <v>255.5</v>
      </c>
      <c r="AC115" s="3412"/>
      <c r="AD115" s="1185"/>
      <c r="AE115" s="844"/>
      <c r="AF115" s="775">
        <f t="shared" si="341"/>
        <v>255.5</v>
      </c>
      <c r="AG115" s="3412"/>
      <c r="AH115" s="1185"/>
      <c r="AI115" s="844"/>
      <c r="AJ115" s="368">
        <f t="shared" si="367"/>
        <v>255.5</v>
      </c>
      <c r="AK115" s="3412"/>
      <c r="AL115" s="1185"/>
      <c r="AM115" s="894"/>
      <c r="AN115" s="613">
        <f t="shared" si="368"/>
        <v>0</v>
      </c>
      <c r="AO115" s="844"/>
      <c r="AP115" s="368">
        <f t="shared" si="369"/>
        <v>255.5</v>
      </c>
      <c r="AQ115" s="3412"/>
      <c r="AR115" s="1185">
        <v>62.86</v>
      </c>
      <c r="AS115" s="844"/>
      <c r="AT115" s="42">
        <f t="shared" si="370"/>
        <v>318.36</v>
      </c>
      <c r="AU115" s="3412"/>
      <c r="AV115" s="1185"/>
      <c r="AW115" s="844"/>
      <c r="AX115" s="42">
        <f t="shared" si="371"/>
        <v>318.36</v>
      </c>
      <c r="AY115" s="3412"/>
      <c r="AZ115" s="1185"/>
      <c r="BA115" s="894"/>
      <c r="BB115" s="613">
        <f t="shared" si="372"/>
        <v>62.86</v>
      </c>
      <c r="BC115" s="3965"/>
      <c r="BD115" s="460">
        <f t="shared" si="373"/>
        <v>62.86</v>
      </c>
      <c r="BE115" s="844"/>
      <c r="BF115" s="42">
        <f t="shared" si="374"/>
        <v>318.36</v>
      </c>
      <c r="BG115" s="26">
        <f t="shared" si="328"/>
        <v>0</v>
      </c>
      <c r="BH115" s="26">
        <f t="shared" si="329"/>
        <v>0</v>
      </c>
      <c r="BI115" s="26"/>
      <c r="BJ115" s="26">
        <f t="shared" si="330"/>
        <v>0</v>
      </c>
      <c r="BK115" s="26">
        <f t="shared" si="331"/>
        <v>0</v>
      </c>
    </row>
    <row r="116" spans="1:63" ht="15" thickBot="1" x14ac:dyDescent="0.35">
      <c r="A116" s="92"/>
      <c r="B116" s="3421" t="s">
        <v>860</v>
      </c>
      <c r="C116" s="3422" t="s">
        <v>899</v>
      </c>
      <c r="D116" s="3422"/>
      <c r="E116" s="3412"/>
      <c r="F116" s="1185"/>
      <c r="G116" s="3412"/>
      <c r="H116" s="1185"/>
      <c r="I116" s="844"/>
      <c r="J116" s="775">
        <f t="shared" si="335"/>
        <v>0</v>
      </c>
      <c r="K116" s="3412"/>
      <c r="L116" s="1185"/>
      <c r="M116" s="894"/>
      <c r="N116" s="774">
        <f t="shared" si="336"/>
        <v>0</v>
      </c>
      <c r="O116" s="3412"/>
      <c r="P116" s="1185"/>
      <c r="Q116" s="844"/>
      <c r="R116" s="775">
        <f t="shared" si="337"/>
        <v>0</v>
      </c>
      <c r="S116" s="3412"/>
      <c r="T116" s="1185">
        <v>42.22</v>
      </c>
      <c r="U116" s="844"/>
      <c r="V116" s="775">
        <f t="shared" si="338"/>
        <v>42.22</v>
      </c>
      <c r="W116" s="3412"/>
      <c r="X116" s="1185"/>
      <c r="Y116" s="894"/>
      <c r="Z116" s="774">
        <f t="shared" si="339"/>
        <v>42.22</v>
      </c>
      <c r="AA116" s="3965"/>
      <c r="AB116" s="460">
        <f t="shared" si="340"/>
        <v>42.22</v>
      </c>
      <c r="AC116" s="3412"/>
      <c r="AD116" s="1185"/>
      <c r="AE116" s="844"/>
      <c r="AF116" s="775">
        <f t="shared" si="341"/>
        <v>42.22</v>
      </c>
      <c r="AG116" s="3412"/>
      <c r="AH116" s="1185"/>
      <c r="AI116" s="844"/>
      <c r="AJ116" s="368">
        <f t="shared" si="367"/>
        <v>42.22</v>
      </c>
      <c r="AK116" s="3412"/>
      <c r="AL116" s="1185">
        <v>643.54</v>
      </c>
      <c r="AM116" s="894"/>
      <c r="AN116" s="613">
        <f t="shared" si="368"/>
        <v>643.54</v>
      </c>
      <c r="AO116" s="844"/>
      <c r="AP116" s="368">
        <f t="shared" si="369"/>
        <v>685.76</v>
      </c>
      <c r="AQ116" s="3412"/>
      <c r="AR116" s="1185"/>
      <c r="AS116" s="844"/>
      <c r="AT116" s="42">
        <f t="shared" si="370"/>
        <v>685.76</v>
      </c>
      <c r="AU116" s="3412"/>
      <c r="AV116" s="1185">
        <v>636.08000000000004</v>
      </c>
      <c r="AW116" s="844"/>
      <c r="AX116" s="42">
        <f t="shared" si="371"/>
        <v>1321.8400000000001</v>
      </c>
      <c r="AY116" s="3412"/>
      <c r="AZ116" s="1185">
        <v>255.64</v>
      </c>
      <c r="BA116" s="894"/>
      <c r="BB116" s="613">
        <f t="shared" si="372"/>
        <v>891.72</v>
      </c>
      <c r="BC116" s="3965"/>
      <c r="BD116" s="460">
        <f t="shared" si="373"/>
        <v>1535.26</v>
      </c>
      <c r="BE116" s="844"/>
      <c r="BF116" s="42">
        <f t="shared" si="374"/>
        <v>1577.48</v>
      </c>
      <c r="BG116" s="26">
        <f t="shared" si="328"/>
        <v>0</v>
      </c>
      <c r="BH116" s="26">
        <f t="shared" si="329"/>
        <v>0</v>
      </c>
      <c r="BI116" s="26"/>
      <c r="BJ116" s="26">
        <f t="shared" si="330"/>
        <v>0</v>
      </c>
      <c r="BK116" s="26">
        <f t="shared" si="331"/>
        <v>0</v>
      </c>
    </row>
    <row r="117" spans="1:63" ht="15" thickBot="1" x14ac:dyDescent="0.35">
      <c r="A117" s="92"/>
      <c r="B117" s="3421" t="s">
        <v>860</v>
      </c>
      <c r="C117" s="3422" t="s">
        <v>1491</v>
      </c>
      <c r="D117" s="3422"/>
      <c r="E117" s="3412"/>
      <c r="F117" s="1185">
        <v>127.41999999999999</v>
      </c>
      <c r="G117" s="3412"/>
      <c r="H117" s="1185"/>
      <c r="I117" s="844"/>
      <c r="J117" s="775">
        <f t="shared" si="335"/>
        <v>127.41999999999999</v>
      </c>
      <c r="K117" s="3412"/>
      <c r="L117" s="1185"/>
      <c r="M117" s="894"/>
      <c r="N117" s="774">
        <f t="shared" si="336"/>
        <v>127.41999999999999</v>
      </c>
      <c r="O117" s="3412"/>
      <c r="P117" s="1185"/>
      <c r="Q117" s="844"/>
      <c r="R117" s="775">
        <f t="shared" si="337"/>
        <v>127.41999999999999</v>
      </c>
      <c r="S117" s="3412"/>
      <c r="T117" s="1185"/>
      <c r="U117" s="844"/>
      <c r="V117" s="775">
        <f t="shared" si="338"/>
        <v>127.41999999999999</v>
      </c>
      <c r="W117" s="3412"/>
      <c r="X117" s="1185"/>
      <c r="Y117" s="894"/>
      <c r="Z117" s="774">
        <f t="shared" si="339"/>
        <v>0</v>
      </c>
      <c r="AA117" s="3965"/>
      <c r="AB117" s="460">
        <f t="shared" si="340"/>
        <v>127.41999999999999</v>
      </c>
      <c r="AC117" s="3412"/>
      <c r="AD117" s="1185"/>
      <c r="AE117" s="844"/>
      <c r="AF117" s="775">
        <f t="shared" si="341"/>
        <v>127.41999999999999</v>
      </c>
      <c r="AG117" s="3412"/>
      <c r="AH117" s="1185"/>
      <c r="AI117" s="844"/>
      <c r="AJ117" s="368">
        <f t="shared" si="367"/>
        <v>127.41999999999999</v>
      </c>
      <c r="AK117" s="3412"/>
      <c r="AL117" s="1185"/>
      <c r="AM117" s="894"/>
      <c r="AN117" s="613">
        <f t="shared" si="368"/>
        <v>0</v>
      </c>
      <c r="AO117" s="844"/>
      <c r="AP117" s="368">
        <f t="shared" si="369"/>
        <v>127.41999999999999</v>
      </c>
      <c r="AQ117" s="3412"/>
      <c r="AR117" s="1185"/>
      <c r="AS117" s="844"/>
      <c r="AT117" s="42">
        <f t="shared" si="370"/>
        <v>127.41999999999999</v>
      </c>
      <c r="AU117" s="3412"/>
      <c r="AV117" s="1185">
        <v>123.34</v>
      </c>
      <c r="AW117" s="844"/>
      <c r="AX117" s="42">
        <f t="shared" si="371"/>
        <v>250.76</v>
      </c>
      <c r="AY117" s="3412"/>
      <c r="AZ117" s="1185"/>
      <c r="BA117" s="894"/>
      <c r="BB117" s="613">
        <f t="shared" si="372"/>
        <v>123.34</v>
      </c>
      <c r="BC117" s="3965"/>
      <c r="BD117" s="460">
        <f t="shared" si="373"/>
        <v>123.34</v>
      </c>
      <c r="BE117" s="844"/>
      <c r="BF117" s="42">
        <f t="shared" si="374"/>
        <v>250.76</v>
      </c>
      <c r="BG117" s="26">
        <f t="shared" si="328"/>
        <v>0</v>
      </c>
      <c r="BH117" s="26">
        <f t="shared" si="329"/>
        <v>0</v>
      </c>
      <c r="BI117" s="26"/>
      <c r="BJ117" s="26">
        <f t="shared" si="330"/>
        <v>0</v>
      </c>
      <c r="BK117" s="26">
        <f t="shared" si="331"/>
        <v>0</v>
      </c>
    </row>
    <row r="118" spans="1:63" ht="15" thickBot="1" x14ac:dyDescent="0.35">
      <c r="A118" s="92"/>
      <c r="B118" s="3421" t="s">
        <v>860</v>
      </c>
      <c r="C118" s="3422" t="s">
        <v>1433</v>
      </c>
      <c r="D118" s="3422"/>
      <c r="E118" s="3412"/>
      <c r="F118" s="1185">
        <v>127.46000000000001</v>
      </c>
      <c r="G118" s="3412"/>
      <c r="H118" s="1185"/>
      <c r="I118" s="844"/>
      <c r="J118" s="775">
        <f t="shared" si="335"/>
        <v>127.46000000000001</v>
      </c>
      <c r="K118" s="3412"/>
      <c r="L118" s="1185"/>
      <c r="M118" s="894"/>
      <c r="N118" s="774">
        <f t="shared" si="336"/>
        <v>127.46000000000001</v>
      </c>
      <c r="O118" s="3412"/>
      <c r="P118" s="1185"/>
      <c r="Q118" s="844"/>
      <c r="R118" s="775">
        <f t="shared" si="337"/>
        <v>127.46000000000001</v>
      </c>
      <c r="S118" s="3412"/>
      <c r="T118" s="1185"/>
      <c r="U118" s="844"/>
      <c r="V118" s="775">
        <f t="shared" si="338"/>
        <v>127.46000000000001</v>
      </c>
      <c r="W118" s="3412"/>
      <c r="X118" s="1185"/>
      <c r="Y118" s="894"/>
      <c r="Z118" s="774">
        <f t="shared" si="339"/>
        <v>0</v>
      </c>
      <c r="AA118" s="3965"/>
      <c r="AB118" s="460">
        <f t="shared" si="340"/>
        <v>127.46000000000001</v>
      </c>
      <c r="AC118" s="3412"/>
      <c r="AD118" s="1185"/>
      <c r="AE118" s="844"/>
      <c r="AF118" s="775">
        <f t="shared" si="341"/>
        <v>127.46000000000001</v>
      </c>
      <c r="AG118" s="3412"/>
      <c r="AH118" s="1185"/>
      <c r="AI118" s="844"/>
      <c r="AJ118" s="368">
        <f t="shared" si="367"/>
        <v>127.46000000000001</v>
      </c>
      <c r="AK118" s="3412"/>
      <c r="AL118" s="1185"/>
      <c r="AM118" s="894"/>
      <c r="AN118" s="613">
        <f t="shared" si="368"/>
        <v>0</v>
      </c>
      <c r="AO118" s="844"/>
      <c r="AP118" s="368">
        <f t="shared" si="369"/>
        <v>127.46000000000001</v>
      </c>
      <c r="AQ118" s="3412"/>
      <c r="AR118" s="1185"/>
      <c r="AS118" s="844"/>
      <c r="AT118" s="42">
        <f t="shared" si="370"/>
        <v>127.46000000000001</v>
      </c>
      <c r="AU118" s="3412"/>
      <c r="AV118" s="1185"/>
      <c r="AW118" s="844"/>
      <c r="AX118" s="42">
        <f t="shared" si="371"/>
        <v>127.46000000000001</v>
      </c>
      <c r="AY118" s="3412"/>
      <c r="AZ118" s="1185"/>
      <c r="BA118" s="894"/>
      <c r="BB118" s="613">
        <f t="shared" si="372"/>
        <v>0</v>
      </c>
      <c r="BC118" s="3965"/>
      <c r="BD118" s="460">
        <f t="shared" si="373"/>
        <v>0</v>
      </c>
      <c r="BE118" s="844"/>
      <c r="BF118" s="42">
        <f t="shared" si="374"/>
        <v>127.46000000000001</v>
      </c>
      <c r="BG118" s="26">
        <f t="shared" si="328"/>
        <v>0</v>
      </c>
      <c r="BH118" s="26">
        <f t="shared" si="329"/>
        <v>0</v>
      </c>
      <c r="BI118" s="26"/>
      <c r="BJ118" s="26">
        <f t="shared" si="330"/>
        <v>0</v>
      </c>
      <c r="BK118" s="26">
        <f t="shared" si="331"/>
        <v>0</v>
      </c>
    </row>
    <row r="119" spans="1:63" ht="15" thickBot="1" x14ac:dyDescent="0.35">
      <c r="A119" s="92"/>
      <c r="B119" s="3941" t="s">
        <v>860</v>
      </c>
      <c r="C119" s="5283" t="s">
        <v>1141</v>
      </c>
      <c r="D119" s="5283"/>
      <c r="E119" s="5284"/>
      <c r="F119" s="5285"/>
      <c r="G119" s="5284"/>
      <c r="H119" s="5285"/>
      <c r="I119" s="5286"/>
      <c r="J119" s="5120"/>
      <c r="K119" s="5284"/>
      <c r="L119" s="5285"/>
      <c r="M119" s="5287"/>
      <c r="N119" s="5121"/>
      <c r="O119" s="5284"/>
      <c r="P119" s="5285"/>
      <c r="Q119" s="5286"/>
      <c r="R119" s="5120"/>
      <c r="S119" s="5284"/>
      <c r="T119" s="5285"/>
      <c r="U119" s="5286"/>
      <c r="V119" s="5120"/>
      <c r="W119" s="5284"/>
      <c r="X119" s="5285"/>
      <c r="Y119" s="5287"/>
      <c r="Z119" s="5121"/>
      <c r="AA119" s="5719"/>
      <c r="AB119" s="5406"/>
      <c r="AC119" s="5284"/>
      <c r="AD119" s="5285"/>
      <c r="AE119" s="5286"/>
      <c r="AF119" s="5120"/>
      <c r="AG119" s="5284"/>
      <c r="AH119" s="5285"/>
      <c r="AI119" s="5286"/>
      <c r="AJ119" s="368">
        <f t="shared" ref="AJ119" si="375">AF119+AH119</f>
        <v>0</v>
      </c>
      <c r="AK119" s="3412"/>
      <c r="AL119" s="1185">
        <v>833.11999999999989</v>
      </c>
      <c r="AM119" s="894"/>
      <c r="AN119" s="613">
        <f t="shared" ref="AN119" si="376">AD119+AH119+AL119</f>
        <v>833.11999999999989</v>
      </c>
      <c r="AO119" s="844"/>
      <c r="AP119" s="368">
        <f t="shared" ref="AP119" si="377">AJ119+AL119</f>
        <v>833.11999999999989</v>
      </c>
      <c r="AQ119" s="3412"/>
      <c r="AR119" s="1185"/>
      <c r="AS119" s="844"/>
      <c r="AT119" s="42">
        <f t="shared" si="370"/>
        <v>833.11999999999989</v>
      </c>
      <c r="AU119" s="3412"/>
      <c r="AV119" s="1185">
        <v>687.63</v>
      </c>
      <c r="AW119" s="844"/>
      <c r="AX119" s="42">
        <f t="shared" ref="AX119" si="378">AT119+AV119</f>
        <v>1520.75</v>
      </c>
      <c r="AY119" s="3412"/>
      <c r="AZ119" s="1185"/>
      <c r="BA119" s="894"/>
      <c r="BB119" s="613">
        <f t="shared" si="372"/>
        <v>687.63</v>
      </c>
      <c r="BC119" s="3965"/>
      <c r="BD119" s="460">
        <f t="shared" ref="BD119" si="379">AN119+BB119</f>
        <v>1520.75</v>
      </c>
      <c r="BE119" s="844"/>
      <c r="BF119" s="42">
        <f t="shared" si="374"/>
        <v>1520.75</v>
      </c>
      <c r="BG119" s="26">
        <f t="shared" si="328"/>
        <v>0</v>
      </c>
      <c r="BH119" s="26">
        <f t="shared" si="329"/>
        <v>0</v>
      </c>
      <c r="BI119" s="26"/>
      <c r="BJ119" s="26">
        <f t="shared" si="330"/>
        <v>0</v>
      </c>
      <c r="BK119" s="26">
        <f t="shared" si="331"/>
        <v>0</v>
      </c>
    </row>
    <row r="120" spans="1:63" ht="15" thickBot="1" x14ac:dyDescent="0.35">
      <c r="A120" s="92"/>
      <c r="B120" s="3423" t="s">
        <v>860</v>
      </c>
      <c r="C120" s="3424" t="s">
        <v>898</v>
      </c>
      <c r="D120" s="3424"/>
      <c r="E120" s="3425"/>
      <c r="F120" s="107">
        <v>1030.2</v>
      </c>
      <c r="G120" s="3425"/>
      <c r="H120" s="107">
        <v>1022.2799999999999</v>
      </c>
      <c r="I120" s="2791"/>
      <c r="J120" s="775">
        <f t="shared" si="335"/>
        <v>2052.48</v>
      </c>
      <c r="K120" s="3425"/>
      <c r="L120" s="107">
        <v>889.56000000000006</v>
      </c>
      <c r="M120" s="3426"/>
      <c r="N120" s="774">
        <f t="shared" si="336"/>
        <v>2942.04</v>
      </c>
      <c r="O120" s="3425"/>
      <c r="P120" s="107"/>
      <c r="Q120" s="2791"/>
      <c r="R120" s="775">
        <f t="shared" si="337"/>
        <v>2942.04</v>
      </c>
      <c r="S120" s="3425"/>
      <c r="T120" s="107">
        <v>1321.0800000000002</v>
      </c>
      <c r="U120" s="2791"/>
      <c r="V120" s="775">
        <f t="shared" si="338"/>
        <v>4263.12</v>
      </c>
      <c r="W120" s="3425"/>
      <c r="X120" s="107"/>
      <c r="Y120" s="3426"/>
      <c r="Z120" s="774">
        <f t="shared" si="339"/>
        <v>1321.0800000000002</v>
      </c>
      <c r="AA120" s="5720"/>
      <c r="AB120" s="460">
        <f t="shared" si="340"/>
        <v>4263.12</v>
      </c>
      <c r="AC120" s="3425"/>
      <c r="AD120" s="107">
        <v>635.46</v>
      </c>
      <c r="AE120" s="2791"/>
      <c r="AF120" s="775">
        <f t="shared" si="341"/>
        <v>4898.58</v>
      </c>
      <c r="AG120" s="3425"/>
      <c r="AH120" s="107">
        <v>246.51999999999998</v>
      </c>
      <c r="AI120" s="2791"/>
      <c r="AJ120" s="368">
        <f t="shared" si="367"/>
        <v>5145.1000000000004</v>
      </c>
      <c r="AK120" s="3425"/>
      <c r="AL120" s="107">
        <v>1475.8600000000001</v>
      </c>
      <c r="AM120" s="3426"/>
      <c r="AN120" s="613">
        <f t="shared" si="368"/>
        <v>2357.84</v>
      </c>
      <c r="AO120" s="2791"/>
      <c r="AP120" s="368">
        <f t="shared" si="369"/>
        <v>6620.9600000000009</v>
      </c>
      <c r="AQ120" s="3425"/>
      <c r="AR120" s="107">
        <v>66.3</v>
      </c>
      <c r="AS120" s="2791"/>
      <c r="AT120" s="42">
        <f t="shared" si="370"/>
        <v>6687.2600000000011</v>
      </c>
      <c r="AU120" s="3425"/>
      <c r="AV120" s="107">
        <v>734.91</v>
      </c>
      <c r="AW120" s="2791"/>
      <c r="AX120" s="42">
        <f t="shared" si="371"/>
        <v>7422.170000000001</v>
      </c>
      <c r="AY120" s="3425"/>
      <c r="AZ120" s="107">
        <v>973.42</v>
      </c>
      <c r="BA120" s="3426"/>
      <c r="BB120" s="613">
        <f t="shared" si="372"/>
        <v>1774.6299999999999</v>
      </c>
      <c r="BC120" s="5720"/>
      <c r="BD120" s="460">
        <f t="shared" si="373"/>
        <v>4132.47</v>
      </c>
      <c r="BE120" s="2791"/>
      <c r="BF120" s="42">
        <f t="shared" si="374"/>
        <v>8395.59</v>
      </c>
      <c r="BG120" s="26">
        <f t="shared" si="328"/>
        <v>0</v>
      </c>
      <c r="BH120" s="26">
        <f t="shared" si="329"/>
        <v>0</v>
      </c>
      <c r="BI120" s="26"/>
      <c r="BJ120" s="26">
        <f t="shared" si="330"/>
        <v>0</v>
      </c>
      <c r="BK120" s="26">
        <f t="shared" si="331"/>
        <v>0</v>
      </c>
    </row>
    <row r="121" spans="1:63" ht="15" thickBot="1" x14ac:dyDescent="0.35">
      <c r="A121" s="92"/>
      <c r="B121" s="3416" t="s">
        <v>872</v>
      </c>
      <c r="C121" s="3417" t="s">
        <v>897</v>
      </c>
      <c r="D121" s="3417"/>
      <c r="E121" s="3427"/>
      <c r="F121" s="155">
        <v>381.28</v>
      </c>
      <c r="G121" s="3427"/>
      <c r="H121" s="155">
        <v>182.64</v>
      </c>
      <c r="I121" s="2788"/>
      <c r="J121" s="775">
        <f t="shared" si="335"/>
        <v>563.91999999999996</v>
      </c>
      <c r="K121" s="3427"/>
      <c r="L121" s="155"/>
      <c r="M121" s="3428"/>
      <c r="N121" s="774">
        <f t="shared" si="336"/>
        <v>563.91999999999996</v>
      </c>
      <c r="O121" s="3427"/>
      <c r="P121" s="155"/>
      <c r="Q121" s="2788"/>
      <c r="R121" s="775">
        <f t="shared" si="337"/>
        <v>563.91999999999996</v>
      </c>
      <c r="S121" s="3427"/>
      <c r="T121" s="155"/>
      <c r="U121" s="2788"/>
      <c r="V121" s="775">
        <f t="shared" si="338"/>
        <v>563.91999999999996</v>
      </c>
      <c r="W121" s="3427"/>
      <c r="X121" s="155"/>
      <c r="Y121" s="3428"/>
      <c r="Z121" s="774">
        <f t="shared" si="339"/>
        <v>0</v>
      </c>
      <c r="AA121" s="4621"/>
      <c r="AB121" s="460">
        <f t="shared" si="340"/>
        <v>563.91999999999996</v>
      </c>
      <c r="AC121" s="3427"/>
      <c r="AD121" s="155"/>
      <c r="AE121" s="2788"/>
      <c r="AF121" s="775">
        <f t="shared" si="341"/>
        <v>563.91999999999996</v>
      </c>
      <c r="AG121" s="3427"/>
      <c r="AH121" s="155"/>
      <c r="AI121" s="2788"/>
      <c r="AJ121" s="368">
        <f t="shared" si="367"/>
        <v>563.91999999999996</v>
      </c>
      <c r="AK121" s="3427"/>
      <c r="AL121" s="155">
        <v>8.1839999999999993</v>
      </c>
      <c r="AM121" s="3428"/>
      <c r="AN121" s="613">
        <f t="shared" si="368"/>
        <v>8.1839999999999993</v>
      </c>
      <c r="AO121" s="2788"/>
      <c r="AP121" s="368">
        <f t="shared" si="369"/>
        <v>572.10399999999993</v>
      </c>
      <c r="AQ121" s="3427"/>
      <c r="AR121" s="155"/>
      <c r="AS121" s="2788"/>
      <c r="AT121" s="42">
        <f t="shared" si="370"/>
        <v>572.10399999999993</v>
      </c>
      <c r="AU121" s="3427"/>
      <c r="AV121" s="155"/>
      <c r="AW121" s="2788"/>
      <c r="AX121" s="42">
        <f t="shared" si="371"/>
        <v>572.10399999999993</v>
      </c>
      <c r="AY121" s="3427"/>
      <c r="AZ121" s="155"/>
      <c r="BA121" s="3428"/>
      <c r="BB121" s="613">
        <f t="shared" si="372"/>
        <v>0</v>
      </c>
      <c r="BC121" s="4621"/>
      <c r="BD121" s="460">
        <f t="shared" si="373"/>
        <v>8.1839999999999993</v>
      </c>
      <c r="BE121" s="2788"/>
      <c r="BF121" s="42">
        <f t="shared" si="374"/>
        <v>572.10399999999993</v>
      </c>
      <c r="BG121" s="26">
        <f t="shared" si="328"/>
        <v>0</v>
      </c>
      <c r="BH121" s="26">
        <f t="shared" si="329"/>
        <v>0</v>
      </c>
      <c r="BI121" s="26"/>
      <c r="BJ121" s="26">
        <f t="shared" si="330"/>
        <v>0</v>
      </c>
      <c r="BK121" s="26">
        <f t="shared" si="331"/>
        <v>0</v>
      </c>
    </row>
    <row r="122" spans="1:63" ht="15.75" customHeight="1" thickBot="1" x14ac:dyDescent="0.35">
      <c r="A122" s="92"/>
      <c r="B122" s="3429" t="s">
        <v>872</v>
      </c>
      <c r="C122" s="3430" t="s">
        <v>899</v>
      </c>
      <c r="D122" s="3430"/>
      <c r="E122" s="3431"/>
      <c r="F122" s="1186"/>
      <c r="G122" s="3431"/>
      <c r="H122" s="1186"/>
      <c r="I122" s="3432"/>
      <c r="J122" s="775">
        <f t="shared" si="335"/>
        <v>0</v>
      </c>
      <c r="K122" s="3431"/>
      <c r="L122" s="1186"/>
      <c r="M122" s="3433"/>
      <c r="N122" s="774">
        <f t="shared" si="336"/>
        <v>0</v>
      </c>
      <c r="O122" s="3431"/>
      <c r="P122" s="1186"/>
      <c r="Q122" s="3432"/>
      <c r="R122" s="775">
        <f t="shared" si="337"/>
        <v>0</v>
      </c>
      <c r="S122" s="3431"/>
      <c r="T122" s="1186"/>
      <c r="U122" s="3432"/>
      <c r="V122" s="775">
        <f t="shared" si="338"/>
        <v>0</v>
      </c>
      <c r="W122" s="3431"/>
      <c r="X122" s="1186"/>
      <c r="Y122" s="3433"/>
      <c r="Z122" s="774">
        <f t="shared" si="339"/>
        <v>0</v>
      </c>
      <c r="AA122" s="5721"/>
      <c r="AB122" s="460">
        <f t="shared" si="340"/>
        <v>0</v>
      </c>
      <c r="AC122" s="3431"/>
      <c r="AD122" s="1186"/>
      <c r="AE122" s="3432"/>
      <c r="AF122" s="775">
        <f t="shared" si="341"/>
        <v>0</v>
      </c>
      <c r="AG122" s="3431"/>
      <c r="AH122" s="1186"/>
      <c r="AI122" s="3432"/>
      <c r="AJ122" s="368">
        <f t="shared" si="367"/>
        <v>0</v>
      </c>
      <c r="AK122" s="3431"/>
      <c r="AL122" s="1186"/>
      <c r="AM122" s="3433"/>
      <c r="AN122" s="613">
        <f t="shared" si="368"/>
        <v>0</v>
      </c>
      <c r="AO122" s="3432"/>
      <c r="AP122" s="368">
        <f t="shared" si="369"/>
        <v>0</v>
      </c>
      <c r="AQ122" s="3431"/>
      <c r="AR122" s="1186"/>
      <c r="AS122" s="3432"/>
      <c r="AT122" s="42">
        <f t="shared" si="370"/>
        <v>0</v>
      </c>
      <c r="AU122" s="3431"/>
      <c r="AV122" s="1186"/>
      <c r="AW122" s="3432"/>
      <c r="AX122" s="42">
        <f t="shared" si="371"/>
        <v>0</v>
      </c>
      <c r="AY122" s="3431"/>
      <c r="AZ122" s="1186"/>
      <c r="BA122" s="3433"/>
      <c r="BB122" s="613">
        <f t="shared" si="372"/>
        <v>0</v>
      </c>
      <c r="BC122" s="5721"/>
      <c r="BD122" s="460">
        <f t="shared" si="373"/>
        <v>0</v>
      </c>
      <c r="BE122" s="3432"/>
      <c r="BF122" s="42">
        <f t="shared" si="374"/>
        <v>0</v>
      </c>
      <c r="BG122" s="26">
        <f t="shared" si="328"/>
        <v>0</v>
      </c>
      <c r="BH122" s="26">
        <f t="shared" si="329"/>
        <v>0</v>
      </c>
      <c r="BI122" s="26"/>
      <c r="BJ122" s="26">
        <f t="shared" si="330"/>
        <v>0</v>
      </c>
      <c r="BK122" s="26">
        <f t="shared" si="331"/>
        <v>0</v>
      </c>
    </row>
    <row r="123" spans="1:63" ht="15" thickBot="1" x14ac:dyDescent="0.35">
      <c r="A123" s="92"/>
      <c r="B123" s="3429" t="s">
        <v>872</v>
      </c>
      <c r="C123" s="3430" t="s">
        <v>942</v>
      </c>
      <c r="D123" s="3430"/>
      <c r="E123" s="3431"/>
      <c r="F123" s="1186"/>
      <c r="G123" s="3431"/>
      <c r="H123" s="1186">
        <v>61.28</v>
      </c>
      <c r="I123" s="3432"/>
      <c r="J123" s="775">
        <f t="shared" si="335"/>
        <v>61.28</v>
      </c>
      <c r="K123" s="3431"/>
      <c r="L123" s="1186"/>
      <c r="M123" s="3433"/>
      <c r="N123" s="774">
        <f t="shared" si="336"/>
        <v>61.28</v>
      </c>
      <c r="O123" s="3431"/>
      <c r="P123" s="1186"/>
      <c r="Q123" s="3432"/>
      <c r="R123" s="775">
        <f t="shared" si="337"/>
        <v>61.28</v>
      </c>
      <c r="S123" s="3431"/>
      <c r="T123" s="1186"/>
      <c r="U123" s="3432"/>
      <c r="V123" s="775">
        <f t="shared" si="338"/>
        <v>61.28</v>
      </c>
      <c r="W123" s="3431"/>
      <c r="X123" s="1186"/>
      <c r="Y123" s="3433"/>
      <c r="Z123" s="774">
        <f t="shared" si="339"/>
        <v>0</v>
      </c>
      <c r="AA123" s="5721"/>
      <c r="AB123" s="460">
        <f t="shared" si="340"/>
        <v>61.28</v>
      </c>
      <c r="AC123" s="3431"/>
      <c r="AD123" s="1186"/>
      <c r="AE123" s="3432"/>
      <c r="AF123" s="775">
        <f t="shared" si="341"/>
        <v>61.28</v>
      </c>
      <c r="AG123" s="3431"/>
      <c r="AH123" s="1186"/>
      <c r="AI123" s="3432"/>
      <c r="AJ123" s="368">
        <f t="shared" si="367"/>
        <v>61.28</v>
      </c>
      <c r="AK123" s="3431"/>
      <c r="AL123" s="1186"/>
      <c r="AM123" s="3433"/>
      <c r="AN123" s="613">
        <f t="shared" si="368"/>
        <v>0</v>
      </c>
      <c r="AO123" s="3432"/>
      <c r="AP123" s="368">
        <f t="shared" si="369"/>
        <v>61.28</v>
      </c>
      <c r="AQ123" s="3431"/>
      <c r="AR123" s="1186"/>
      <c r="AS123" s="3432"/>
      <c r="AT123" s="42">
        <f t="shared" si="370"/>
        <v>61.28</v>
      </c>
      <c r="AU123" s="3431"/>
      <c r="AV123" s="1186"/>
      <c r="AW123" s="3432"/>
      <c r="AX123" s="42">
        <f t="shared" si="371"/>
        <v>61.28</v>
      </c>
      <c r="AY123" s="3431"/>
      <c r="AZ123" s="1186"/>
      <c r="BA123" s="3433"/>
      <c r="BB123" s="613">
        <f t="shared" si="372"/>
        <v>0</v>
      </c>
      <c r="BC123" s="5721"/>
      <c r="BD123" s="460">
        <f t="shared" si="373"/>
        <v>0</v>
      </c>
      <c r="BE123" s="3432"/>
      <c r="BF123" s="42">
        <f t="shared" si="374"/>
        <v>61.28</v>
      </c>
      <c r="BG123" s="26">
        <f t="shared" si="328"/>
        <v>0</v>
      </c>
      <c r="BH123" s="26">
        <f t="shared" si="329"/>
        <v>0</v>
      </c>
      <c r="BI123" s="26"/>
      <c r="BJ123" s="26">
        <f t="shared" si="330"/>
        <v>0</v>
      </c>
      <c r="BK123" s="26">
        <f t="shared" si="331"/>
        <v>0</v>
      </c>
    </row>
    <row r="124" spans="1:63" ht="15.75" customHeight="1" thickBot="1" x14ac:dyDescent="0.35">
      <c r="A124" s="92"/>
      <c r="B124" s="3421" t="s">
        <v>872</v>
      </c>
      <c r="C124" s="3422" t="s">
        <v>1382</v>
      </c>
      <c r="D124" s="3422"/>
      <c r="E124" s="3412"/>
      <c r="F124" s="1185"/>
      <c r="G124" s="3412"/>
      <c r="H124" s="1185"/>
      <c r="I124" s="844"/>
      <c r="J124" s="775">
        <f t="shared" si="335"/>
        <v>0</v>
      </c>
      <c r="K124" s="3412"/>
      <c r="L124" s="1185"/>
      <c r="M124" s="894"/>
      <c r="N124" s="774">
        <f t="shared" si="336"/>
        <v>0</v>
      </c>
      <c r="O124" s="3412"/>
      <c r="P124" s="1185"/>
      <c r="Q124" s="844"/>
      <c r="R124" s="775">
        <f t="shared" si="337"/>
        <v>0</v>
      </c>
      <c r="S124" s="3412"/>
      <c r="T124" s="1185"/>
      <c r="U124" s="844"/>
      <c r="V124" s="775">
        <f t="shared" si="338"/>
        <v>0</v>
      </c>
      <c r="W124" s="3412"/>
      <c r="X124" s="1185"/>
      <c r="Y124" s="894"/>
      <c r="Z124" s="774">
        <f t="shared" si="339"/>
        <v>0</v>
      </c>
      <c r="AA124" s="3965"/>
      <c r="AB124" s="460">
        <f t="shared" si="340"/>
        <v>0</v>
      </c>
      <c r="AC124" s="3412"/>
      <c r="AD124" s="1185"/>
      <c r="AE124" s="844"/>
      <c r="AF124" s="775">
        <f t="shared" si="341"/>
        <v>0</v>
      </c>
      <c r="AG124" s="3412"/>
      <c r="AH124" s="1185"/>
      <c r="AI124" s="844"/>
      <c r="AJ124" s="368">
        <f t="shared" si="367"/>
        <v>0</v>
      </c>
      <c r="AK124" s="3412"/>
      <c r="AL124" s="1185"/>
      <c r="AM124" s="894"/>
      <c r="AN124" s="613">
        <f t="shared" si="368"/>
        <v>0</v>
      </c>
      <c r="AO124" s="844"/>
      <c r="AP124" s="368">
        <f t="shared" si="369"/>
        <v>0</v>
      </c>
      <c r="AQ124" s="3412"/>
      <c r="AR124" s="1185"/>
      <c r="AS124" s="844"/>
      <c r="AT124" s="42">
        <f t="shared" si="370"/>
        <v>0</v>
      </c>
      <c r="AU124" s="3412"/>
      <c r="AV124" s="1185"/>
      <c r="AW124" s="844"/>
      <c r="AX124" s="42">
        <f t="shared" si="371"/>
        <v>0</v>
      </c>
      <c r="AY124" s="3412"/>
      <c r="AZ124" s="1185"/>
      <c r="BA124" s="894"/>
      <c r="BB124" s="613">
        <f t="shared" si="372"/>
        <v>0</v>
      </c>
      <c r="BC124" s="3965"/>
      <c r="BD124" s="460">
        <f t="shared" si="373"/>
        <v>0</v>
      </c>
      <c r="BE124" s="844"/>
      <c r="BF124" s="42">
        <f t="shared" si="374"/>
        <v>0</v>
      </c>
      <c r="BG124" s="26">
        <f t="shared" si="328"/>
        <v>0</v>
      </c>
      <c r="BH124" s="26">
        <f t="shared" si="329"/>
        <v>0</v>
      </c>
      <c r="BI124" s="26"/>
      <c r="BJ124" s="26">
        <f t="shared" si="330"/>
        <v>0</v>
      </c>
      <c r="BK124" s="26">
        <f t="shared" si="331"/>
        <v>0</v>
      </c>
    </row>
    <row r="125" spans="1:63" ht="15.75" customHeight="1" thickBot="1" x14ac:dyDescent="0.35">
      <c r="A125" s="92"/>
      <c r="B125" s="3421" t="s">
        <v>872</v>
      </c>
      <c r="C125" s="3422" t="s">
        <v>1433</v>
      </c>
      <c r="D125" s="3422"/>
      <c r="E125" s="3412"/>
      <c r="F125" s="1185"/>
      <c r="G125" s="3412"/>
      <c r="H125" s="1185"/>
      <c r="I125" s="844"/>
      <c r="J125" s="775">
        <f t="shared" si="335"/>
        <v>0</v>
      </c>
      <c r="K125" s="3412"/>
      <c r="L125" s="1185"/>
      <c r="M125" s="894"/>
      <c r="N125" s="774">
        <f t="shared" si="336"/>
        <v>0</v>
      </c>
      <c r="O125" s="3412"/>
      <c r="P125" s="1185"/>
      <c r="Q125" s="844"/>
      <c r="R125" s="775">
        <f t="shared" si="337"/>
        <v>0</v>
      </c>
      <c r="S125" s="3412"/>
      <c r="T125" s="1185"/>
      <c r="U125" s="844"/>
      <c r="V125" s="775">
        <f t="shared" si="338"/>
        <v>0</v>
      </c>
      <c r="W125" s="3412"/>
      <c r="X125" s="1185"/>
      <c r="Y125" s="894"/>
      <c r="Z125" s="774">
        <f t="shared" si="339"/>
        <v>0</v>
      </c>
      <c r="AA125" s="3965"/>
      <c r="AB125" s="460">
        <f t="shared" si="340"/>
        <v>0</v>
      </c>
      <c r="AC125" s="3412"/>
      <c r="AD125" s="1185"/>
      <c r="AE125" s="844"/>
      <c r="AF125" s="775">
        <f t="shared" si="341"/>
        <v>0</v>
      </c>
      <c r="AG125" s="3412"/>
      <c r="AH125" s="1185"/>
      <c r="AI125" s="844"/>
      <c r="AJ125" s="368">
        <f t="shared" si="367"/>
        <v>0</v>
      </c>
      <c r="AK125" s="3412"/>
      <c r="AL125" s="1185"/>
      <c r="AM125" s="894"/>
      <c r="AN125" s="613">
        <f t="shared" si="368"/>
        <v>0</v>
      </c>
      <c r="AO125" s="844"/>
      <c r="AP125" s="368">
        <f t="shared" si="369"/>
        <v>0</v>
      </c>
      <c r="AQ125" s="3412"/>
      <c r="AR125" s="1185"/>
      <c r="AS125" s="844"/>
      <c r="AT125" s="42">
        <f t="shared" si="370"/>
        <v>0</v>
      </c>
      <c r="AU125" s="3412"/>
      <c r="AV125" s="1185"/>
      <c r="AW125" s="844"/>
      <c r="AX125" s="42">
        <f t="shared" si="371"/>
        <v>0</v>
      </c>
      <c r="AY125" s="3412"/>
      <c r="AZ125" s="1185"/>
      <c r="BA125" s="894"/>
      <c r="BB125" s="613">
        <f t="shared" si="372"/>
        <v>0</v>
      </c>
      <c r="BC125" s="3965"/>
      <c r="BD125" s="460">
        <f t="shared" si="373"/>
        <v>0</v>
      </c>
      <c r="BE125" s="844"/>
      <c r="BF125" s="42">
        <f t="shared" si="374"/>
        <v>0</v>
      </c>
      <c r="BG125" s="26">
        <f t="shared" si="328"/>
        <v>0</v>
      </c>
      <c r="BH125" s="26">
        <f t="shared" si="329"/>
        <v>0</v>
      </c>
      <c r="BI125" s="26"/>
      <c r="BJ125" s="26">
        <f t="shared" si="330"/>
        <v>0</v>
      </c>
      <c r="BK125" s="26">
        <f t="shared" si="331"/>
        <v>0</v>
      </c>
    </row>
    <row r="126" spans="1:63" ht="15.75" customHeight="1" thickBot="1" x14ac:dyDescent="0.35">
      <c r="A126" s="92"/>
      <c r="B126" s="3421" t="s">
        <v>872</v>
      </c>
      <c r="C126" s="3422" t="s">
        <v>873</v>
      </c>
      <c r="D126" s="3422"/>
      <c r="E126" s="3412"/>
      <c r="F126" s="1185"/>
      <c r="G126" s="3412"/>
      <c r="H126" s="1185"/>
      <c r="I126" s="844"/>
      <c r="J126" s="775">
        <f t="shared" si="335"/>
        <v>0</v>
      </c>
      <c r="K126" s="3412"/>
      <c r="L126" s="1185"/>
      <c r="M126" s="894"/>
      <c r="N126" s="774">
        <f t="shared" si="336"/>
        <v>0</v>
      </c>
      <c r="O126" s="3412"/>
      <c r="P126" s="1185"/>
      <c r="Q126" s="844"/>
      <c r="R126" s="775">
        <f t="shared" si="337"/>
        <v>0</v>
      </c>
      <c r="S126" s="3412"/>
      <c r="T126" s="1185"/>
      <c r="U126" s="844"/>
      <c r="V126" s="775">
        <f t="shared" si="338"/>
        <v>0</v>
      </c>
      <c r="W126" s="3412"/>
      <c r="X126" s="1185"/>
      <c r="Y126" s="894"/>
      <c r="Z126" s="774">
        <f t="shared" si="339"/>
        <v>0</v>
      </c>
      <c r="AA126" s="3965"/>
      <c r="AB126" s="460">
        <f t="shared" si="340"/>
        <v>0</v>
      </c>
      <c r="AC126" s="3412"/>
      <c r="AD126" s="1185">
        <v>50.74</v>
      </c>
      <c r="AE126" s="844"/>
      <c r="AF126" s="775">
        <f t="shared" si="341"/>
        <v>50.74</v>
      </c>
      <c r="AG126" s="3412"/>
      <c r="AH126" s="1185"/>
      <c r="AI126" s="844"/>
      <c r="AJ126" s="368">
        <f t="shared" si="367"/>
        <v>50.74</v>
      </c>
      <c r="AK126" s="3412"/>
      <c r="AL126" s="1185"/>
      <c r="AM126" s="894"/>
      <c r="AN126" s="613">
        <f t="shared" si="368"/>
        <v>50.74</v>
      </c>
      <c r="AO126" s="844"/>
      <c r="AP126" s="368">
        <f t="shared" si="369"/>
        <v>50.74</v>
      </c>
      <c r="AQ126" s="3412"/>
      <c r="AR126" s="1185"/>
      <c r="AS126" s="844"/>
      <c r="AT126" s="42">
        <f t="shared" si="370"/>
        <v>50.74</v>
      </c>
      <c r="AU126" s="3412"/>
      <c r="AV126" s="1185"/>
      <c r="AW126" s="844"/>
      <c r="AX126" s="42">
        <f t="shared" si="371"/>
        <v>50.74</v>
      </c>
      <c r="AY126" s="3412"/>
      <c r="AZ126" s="1185"/>
      <c r="BA126" s="894"/>
      <c r="BB126" s="613">
        <f t="shared" si="372"/>
        <v>0</v>
      </c>
      <c r="BC126" s="3965"/>
      <c r="BD126" s="460">
        <f t="shared" si="373"/>
        <v>50.74</v>
      </c>
      <c r="BE126" s="844"/>
      <c r="BF126" s="42">
        <f t="shared" si="374"/>
        <v>50.74</v>
      </c>
      <c r="BG126" s="26">
        <f t="shared" si="328"/>
        <v>0</v>
      </c>
      <c r="BH126" s="26">
        <f t="shared" si="329"/>
        <v>0</v>
      </c>
      <c r="BI126" s="26"/>
      <c r="BJ126" s="26">
        <f t="shared" si="330"/>
        <v>0</v>
      </c>
      <c r="BK126" s="26">
        <f t="shared" si="331"/>
        <v>0</v>
      </c>
    </row>
    <row r="127" spans="1:63" ht="15.75" customHeight="1" thickBot="1" x14ac:dyDescent="0.35">
      <c r="A127" s="92"/>
      <c r="B127" s="3421" t="s">
        <v>872</v>
      </c>
      <c r="C127" s="3422" t="s">
        <v>909</v>
      </c>
      <c r="D127" s="3422"/>
      <c r="E127" s="3412"/>
      <c r="F127" s="1185"/>
      <c r="G127" s="3412"/>
      <c r="H127" s="1185"/>
      <c r="I127" s="844"/>
      <c r="J127" s="775">
        <f t="shared" si="335"/>
        <v>0</v>
      </c>
      <c r="K127" s="3412"/>
      <c r="L127" s="1185"/>
      <c r="M127" s="894"/>
      <c r="N127" s="774">
        <f t="shared" si="336"/>
        <v>0</v>
      </c>
      <c r="O127" s="3412"/>
      <c r="P127" s="1185"/>
      <c r="Q127" s="844"/>
      <c r="R127" s="775">
        <f t="shared" si="337"/>
        <v>0</v>
      </c>
      <c r="S127" s="3412"/>
      <c r="T127" s="1185"/>
      <c r="U127" s="844"/>
      <c r="V127" s="775">
        <f t="shared" si="338"/>
        <v>0</v>
      </c>
      <c r="W127" s="3412"/>
      <c r="X127" s="1185"/>
      <c r="Y127" s="894"/>
      <c r="Z127" s="774">
        <f t="shared" si="339"/>
        <v>0</v>
      </c>
      <c r="AA127" s="3965"/>
      <c r="AB127" s="460">
        <f t="shared" si="340"/>
        <v>0</v>
      </c>
      <c r="AC127" s="3412"/>
      <c r="AD127" s="1185"/>
      <c r="AE127" s="844"/>
      <c r="AF127" s="775">
        <f t="shared" si="341"/>
        <v>0</v>
      </c>
      <c r="AG127" s="3412"/>
      <c r="AH127" s="1185"/>
      <c r="AI127" s="844"/>
      <c r="AJ127" s="368">
        <f t="shared" si="367"/>
        <v>0</v>
      </c>
      <c r="AK127" s="3412"/>
      <c r="AL127" s="1185"/>
      <c r="AM127" s="894"/>
      <c r="AN127" s="613">
        <f t="shared" si="368"/>
        <v>0</v>
      </c>
      <c r="AO127" s="844"/>
      <c r="AP127" s="368">
        <f t="shared" si="369"/>
        <v>0</v>
      </c>
      <c r="AQ127" s="3412"/>
      <c r="AR127" s="1185"/>
      <c r="AS127" s="844"/>
      <c r="AT127" s="42">
        <f t="shared" si="370"/>
        <v>0</v>
      </c>
      <c r="AU127" s="3412"/>
      <c r="AV127" s="1185"/>
      <c r="AW127" s="844"/>
      <c r="AX127" s="42">
        <f t="shared" si="371"/>
        <v>0</v>
      </c>
      <c r="AY127" s="3412"/>
      <c r="AZ127" s="1185"/>
      <c r="BA127" s="894"/>
      <c r="BB127" s="613">
        <f t="shared" si="372"/>
        <v>0</v>
      </c>
      <c r="BC127" s="3965"/>
      <c r="BD127" s="460">
        <f t="shared" si="373"/>
        <v>0</v>
      </c>
      <c r="BE127" s="844"/>
      <c r="BF127" s="42">
        <f t="shared" si="374"/>
        <v>0</v>
      </c>
      <c r="BG127" s="26">
        <f t="shared" si="328"/>
        <v>0</v>
      </c>
      <c r="BH127" s="26">
        <f t="shared" si="329"/>
        <v>0</v>
      </c>
      <c r="BI127" s="26"/>
      <c r="BJ127" s="26">
        <f t="shared" si="330"/>
        <v>0</v>
      </c>
      <c r="BK127" s="26">
        <f t="shared" si="331"/>
        <v>0</v>
      </c>
    </row>
    <row r="128" spans="1:63" ht="15.75" customHeight="1" thickBot="1" x14ac:dyDescent="0.35">
      <c r="A128" s="92"/>
      <c r="B128" s="3941" t="s">
        <v>872</v>
      </c>
      <c r="C128" s="3938" t="s">
        <v>1830</v>
      </c>
      <c r="D128" s="3938"/>
      <c r="E128" s="3898"/>
      <c r="F128" s="3927">
        <v>681.16</v>
      </c>
      <c r="G128" s="3898"/>
      <c r="H128" s="3927"/>
      <c r="I128" s="3926"/>
      <c r="J128" s="775">
        <f t="shared" si="335"/>
        <v>681.16</v>
      </c>
      <c r="K128" s="3898"/>
      <c r="L128" s="3927"/>
      <c r="M128" s="3925"/>
      <c r="N128" s="774">
        <f t="shared" si="336"/>
        <v>681.16</v>
      </c>
      <c r="O128" s="3898"/>
      <c r="P128" s="3927"/>
      <c r="Q128" s="3926"/>
      <c r="R128" s="775">
        <f t="shared" si="337"/>
        <v>681.16</v>
      </c>
      <c r="S128" s="3898"/>
      <c r="T128" s="3927"/>
      <c r="U128" s="3926"/>
      <c r="V128" s="775">
        <f t="shared" si="338"/>
        <v>681.16</v>
      </c>
      <c r="W128" s="3898"/>
      <c r="X128" s="3927"/>
      <c r="Y128" s="3925"/>
      <c r="Z128" s="774">
        <f t="shared" si="339"/>
        <v>0</v>
      </c>
      <c r="AA128" s="3965"/>
      <c r="AB128" s="460">
        <f t="shared" si="340"/>
        <v>681.16</v>
      </c>
      <c r="AC128" s="3898"/>
      <c r="AD128" s="3927"/>
      <c r="AE128" s="3926"/>
      <c r="AF128" s="775">
        <f t="shared" si="341"/>
        <v>681.16</v>
      </c>
      <c r="AG128" s="3898"/>
      <c r="AH128" s="3927"/>
      <c r="AI128" s="3926"/>
      <c r="AJ128" s="368">
        <f t="shared" si="367"/>
        <v>681.16</v>
      </c>
      <c r="AK128" s="3898"/>
      <c r="AL128" s="3927"/>
      <c r="AM128" s="3925"/>
      <c r="AN128" s="613">
        <f t="shared" si="368"/>
        <v>0</v>
      </c>
      <c r="AO128" s="3926"/>
      <c r="AP128" s="368">
        <f t="shared" si="369"/>
        <v>681.16</v>
      </c>
      <c r="AQ128" s="3898"/>
      <c r="AR128" s="3927"/>
      <c r="AS128" s="3926"/>
      <c r="AT128" s="42">
        <f t="shared" si="370"/>
        <v>681.16</v>
      </c>
      <c r="AU128" s="3898"/>
      <c r="AV128" s="3927"/>
      <c r="AW128" s="3926"/>
      <c r="AX128" s="42">
        <f t="shared" si="371"/>
        <v>681.16</v>
      </c>
      <c r="AY128" s="3898"/>
      <c r="AZ128" s="3927"/>
      <c r="BA128" s="3925"/>
      <c r="BB128" s="613">
        <f t="shared" si="372"/>
        <v>0</v>
      </c>
      <c r="BC128" s="5757"/>
      <c r="BD128" s="460">
        <f t="shared" si="373"/>
        <v>0</v>
      </c>
      <c r="BE128" s="844"/>
      <c r="BF128" s="42">
        <f t="shared" si="374"/>
        <v>681.16</v>
      </c>
      <c r="BG128" s="26">
        <f t="shared" si="328"/>
        <v>0</v>
      </c>
      <c r="BH128" s="26">
        <f t="shared" si="329"/>
        <v>0</v>
      </c>
      <c r="BI128" s="26"/>
      <c r="BJ128" s="26">
        <f t="shared" si="330"/>
        <v>0</v>
      </c>
      <c r="BK128" s="26">
        <f t="shared" si="331"/>
        <v>0</v>
      </c>
    </row>
    <row r="129" spans="1:63" ht="15" thickBot="1" x14ac:dyDescent="0.35">
      <c r="A129" s="92"/>
      <c r="B129" s="3423" t="s">
        <v>872</v>
      </c>
      <c r="C129" s="3424" t="s">
        <v>898</v>
      </c>
      <c r="D129" s="3424"/>
      <c r="E129" s="3425"/>
      <c r="F129" s="107">
        <v>185.18</v>
      </c>
      <c r="G129" s="3425"/>
      <c r="H129" s="107">
        <v>165.63</v>
      </c>
      <c r="I129" s="2791"/>
      <c r="J129" s="775">
        <f t="shared" si="335"/>
        <v>350.81</v>
      </c>
      <c r="K129" s="3425"/>
      <c r="L129" s="107"/>
      <c r="M129" s="3426"/>
      <c r="N129" s="774">
        <f t="shared" si="336"/>
        <v>350.81</v>
      </c>
      <c r="O129" s="3425"/>
      <c r="P129" s="107"/>
      <c r="Q129" s="2791"/>
      <c r="R129" s="775">
        <f t="shared" si="337"/>
        <v>350.81</v>
      </c>
      <c r="S129" s="3425"/>
      <c r="T129" s="107"/>
      <c r="U129" s="2791"/>
      <c r="V129" s="775">
        <f t="shared" si="338"/>
        <v>350.81</v>
      </c>
      <c r="W129" s="3425"/>
      <c r="X129" s="107"/>
      <c r="Y129" s="3426"/>
      <c r="Z129" s="774">
        <f t="shared" si="339"/>
        <v>0</v>
      </c>
      <c r="AA129" s="5720"/>
      <c r="AB129" s="460">
        <f t="shared" si="340"/>
        <v>350.81</v>
      </c>
      <c r="AC129" s="3425"/>
      <c r="AD129" s="107"/>
      <c r="AE129" s="2791"/>
      <c r="AF129" s="775">
        <f t="shared" si="341"/>
        <v>350.81</v>
      </c>
      <c r="AG129" s="3425"/>
      <c r="AH129" s="107"/>
      <c r="AI129" s="2791"/>
      <c r="AJ129" s="368">
        <f t="shared" si="367"/>
        <v>350.81</v>
      </c>
      <c r="AK129" s="3425"/>
      <c r="AL129" s="107">
        <v>10.23</v>
      </c>
      <c r="AM129" s="3426"/>
      <c r="AN129" s="613">
        <f t="shared" si="368"/>
        <v>10.23</v>
      </c>
      <c r="AO129" s="2791"/>
      <c r="AP129" s="368">
        <f t="shared" si="369"/>
        <v>361.04</v>
      </c>
      <c r="AQ129" s="3425"/>
      <c r="AR129" s="107"/>
      <c r="AS129" s="2791"/>
      <c r="AT129" s="42">
        <f t="shared" si="370"/>
        <v>361.04</v>
      </c>
      <c r="AU129" s="3425"/>
      <c r="AV129" s="107"/>
      <c r="AW129" s="2791"/>
      <c r="AX129" s="42">
        <f t="shared" si="371"/>
        <v>361.04</v>
      </c>
      <c r="AY129" s="3425"/>
      <c r="AZ129" s="107"/>
      <c r="BA129" s="3426"/>
      <c r="BB129" s="613">
        <f t="shared" si="372"/>
        <v>0</v>
      </c>
      <c r="BC129" s="5720"/>
      <c r="BD129" s="460">
        <f t="shared" si="373"/>
        <v>10.23</v>
      </c>
      <c r="BE129" s="844"/>
      <c r="BF129" s="42">
        <f t="shared" si="374"/>
        <v>361.04</v>
      </c>
      <c r="BG129" s="26">
        <f t="shared" si="328"/>
        <v>0</v>
      </c>
      <c r="BH129" s="26">
        <f t="shared" si="329"/>
        <v>0</v>
      </c>
      <c r="BI129" s="26"/>
      <c r="BJ129" s="26">
        <f t="shared" si="330"/>
        <v>0</v>
      </c>
      <c r="BK129" s="26">
        <f t="shared" si="331"/>
        <v>0</v>
      </c>
    </row>
    <row r="130" spans="1:63" ht="20.25" customHeight="1" thickBot="1" x14ac:dyDescent="0.35">
      <c r="A130" s="92"/>
      <c r="B130" s="3434" t="s">
        <v>1673</v>
      </c>
      <c r="C130" s="3435" t="s">
        <v>897</v>
      </c>
      <c r="D130" s="3435"/>
      <c r="E130" s="3436"/>
      <c r="F130" s="3437"/>
      <c r="G130" s="3436"/>
      <c r="H130" s="3437"/>
      <c r="I130" s="3438"/>
      <c r="J130" s="775">
        <f t="shared" si="335"/>
        <v>0</v>
      </c>
      <c r="K130" s="3436"/>
      <c r="L130" s="3437"/>
      <c r="M130" s="3439"/>
      <c r="N130" s="774">
        <f t="shared" si="336"/>
        <v>0</v>
      </c>
      <c r="O130" s="3436"/>
      <c r="P130" s="3437"/>
      <c r="Q130" s="3438"/>
      <c r="R130" s="775">
        <f t="shared" si="337"/>
        <v>0</v>
      </c>
      <c r="S130" s="3436"/>
      <c r="T130" s="3437"/>
      <c r="U130" s="3438"/>
      <c r="V130" s="775">
        <f t="shared" si="338"/>
        <v>0</v>
      </c>
      <c r="W130" s="3436"/>
      <c r="X130" s="3437"/>
      <c r="Y130" s="3439"/>
      <c r="Z130" s="774">
        <f t="shared" si="339"/>
        <v>0</v>
      </c>
      <c r="AA130" s="5722"/>
      <c r="AB130" s="460">
        <f t="shared" si="340"/>
        <v>0</v>
      </c>
      <c r="AC130" s="3436"/>
      <c r="AD130" s="3437"/>
      <c r="AE130" s="3438"/>
      <c r="AF130" s="775">
        <f t="shared" si="341"/>
        <v>0</v>
      </c>
      <c r="AG130" s="3436"/>
      <c r="AH130" s="3437"/>
      <c r="AI130" s="3438"/>
      <c r="AJ130" s="368">
        <f t="shared" si="367"/>
        <v>0</v>
      </c>
      <c r="AK130" s="3436"/>
      <c r="AL130" s="3437"/>
      <c r="AM130" s="3439"/>
      <c r="AN130" s="613">
        <f t="shared" si="368"/>
        <v>0</v>
      </c>
      <c r="AO130" s="3438"/>
      <c r="AP130" s="368">
        <f t="shared" si="369"/>
        <v>0</v>
      </c>
      <c r="AQ130" s="3436"/>
      <c r="AR130" s="3437"/>
      <c r="AS130" s="3438"/>
      <c r="AT130" s="42">
        <f t="shared" si="370"/>
        <v>0</v>
      </c>
      <c r="AU130" s="3436"/>
      <c r="AV130" s="3437"/>
      <c r="AW130" s="3438"/>
      <c r="AX130" s="42">
        <f t="shared" si="371"/>
        <v>0</v>
      </c>
      <c r="AY130" s="3436"/>
      <c r="AZ130" s="3437"/>
      <c r="BA130" s="3439"/>
      <c r="BB130" s="613">
        <f t="shared" si="372"/>
        <v>0</v>
      </c>
      <c r="BC130" s="5722"/>
      <c r="BD130" s="460">
        <f t="shared" si="373"/>
        <v>0</v>
      </c>
      <c r="BE130" s="844"/>
      <c r="BF130" s="42">
        <f t="shared" si="374"/>
        <v>0</v>
      </c>
      <c r="BG130" s="26">
        <f t="shared" si="328"/>
        <v>0</v>
      </c>
      <c r="BH130" s="26">
        <f t="shared" si="329"/>
        <v>0</v>
      </c>
      <c r="BI130" s="26"/>
      <c r="BJ130" s="26">
        <f t="shared" si="330"/>
        <v>0</v>
      </c>
      <c r="BK130" s="26">
        <f t="shared" si="331"/>
        <v>0</v>
      </c>
    </row>
    <row r="131" spans="1:63" ht="20.25" customHeight="1" thickBot="1" x14ac:dyDescent="0.35">
      <c r="A131" s="92"/>
      <c r="B131" s="3441" t="s">
        <v>861</v>
      </c>
      <c r="C131" s="3442" t="s">
        <v>899</v>
      </c>
      <c r="D131" s="3442"/>
      <c r="E131" s="3427"/>
      <c r="F131" s="155"/>
      <c r="G131" s="3427"/>
      <c r="H131" s="155">
        <v>831.61999999999989</v>
      </c>
      <c r="I131" s="2788"/>
      <c r="J131" s="775">
        <f t="shared" si="335"/>
        <v>831.61999999999989</v>
      </c>
      <c r="K131" s="3427"/>
      <c r="L131" s="155"/>
      <c r="M131" s="3428"/>
      <c r="N131" s="774">
        <f t="shared" si="336"/>
        <v>831.61999999999989</v>
      </c>
      <c r="O131" s="3427"/>
      <c r="P131" s="155">
        <v>590.04000000000008</v>
      </c>
      <c r="Q131" s="2788"/>
      <c r="R131" s="775">
        <f t="shared" si="337"/>
        <v>1421.6599999999999</v>
      </c>
      <c r="S131" s="3427"/>
      <c r="T131" s="155">
        <v>769.81</v>
      </c>
      <c r="U131" s="2788"/>
      <c r="V131" s="775">
        <f t="shared" si="338"/>
        <v>2191.4699999999998</v>
      </c>
      <c r="W131" s="3427"/>
      <c r="X131" s="155">
        <v>129.28</v>
      </c>
      <c r="Y131" s="3428"/>
      <c r="Z131" s="774">
        <f t="shared" si="339"/>
        <v>1489.1299999999999</v>
      </c>
      <c r="AA131" s="4621"/>
      <c r="AB131" s="460">
        <f t="shared" si="340"/>
        <v>2320.75</v>
      </c>
      <c r="AC131" s="3427"/>
      <c r="AD131" s="155">
        <v>965.6</v>
      </c>
      <c r="AE131" s="2788"/>
      <c r="AF131" s="775">
        <f t="shared" si="341"/>
        <v>3286.35</v>
      </c>
      <c r="AG131" s="3427"/>
      <c r="AH131" s="155">
        <v>319</v>
      </c>
      <c r="AI131" s="2788"/>
      <c r="AJ131" s="368">
        <f t="shared" si="367"/>
        <v>3605.35</v>
      </c>
      <c r="AK131" s="3427"/>
      <c r="AL131" s="155">
        <v>1399.2529999999999</v>
      </c>
      <c r="AM131" s="3428"/>
      <c r="AN131" s="613">
        <f t="shared" si="368"/>
        <v>2683.8530000000001</v>
      </c>
      <c r="AO131" s="2788"/>
      <c r="AP131" s="368">
        <f t="shared" si="369"/>
        <v>5004.6030000000001</v>
      </c>
      <c r="AQ131" s="3427"/>
      <c r="AR131" s="155">
        <v>1644.28</v>
      </c>
      <c r="AS131" s="2788"/>
      <c r="AT131" s="42">
        <f t="shared" si="370"/>
        <v>6648.8829999999998</v>
      </c>
      <c r="AU131" s="3427"/>
      <c r="AV131" s="155">
        <v>510.12</v>
      </c>
      <c r="AW131" s="2788"/>
      <c r="AX131" s="42">
        <f t="shared" si="371"/>
        <v>7159.0029999999997</v>
      </c>
      <c r="AY131" s="3427"/>
      <c r="AZ131" s="155"/>
      <c r="BA131" s="3428"/>
      <c r="BB131" s="613">
        <f t="shared" si="372"/>
        <v>2154.4</v>
      </c>
      <c r="BC131" s="4621"/>
      <c r="BD131" s="460">
        <f t="shared" si="373"/>
        <v>4838.2530000000006</v>
      </c>
      <c r="BE131" s="2788"/>
      <c r="BF131" s="42">
        <f t="shared" si="374"/>
        <v>7159.0029999999997</v>
      </c>
      <c r="BG131" s="26">
        <f t="shared" si="328"/>
        <v>0</v>
      </c>
      <c r="BH131" s="26">
        <f t="shared" si="329"/>
        <v>0</v>
      </c>
      <c r="BI131" s="26"/>
      <c r="BJ131" s="26">
        <f t="shared" si="330"/>
        <v>0</v>
      </c>
      <c r="BK131" s="26">
        <f t="shared" si="331"/>
        <v>0</v>
      </c>
    </row>
    <row r="132" spans="1:63" ht="20.25" customHeight="1" thickBot="1" x14ac:dyDescent="0.35">
      <c r="A132" s="92"/>
      <c r="B132" s="3441" t="s">
        <v>861</v>
      </c>
      <c r="C132" s="3435" t="s">
        <v>897</v>
      </c>
      <c r="D132" s="3449"/>
      <c r="E132" s="3431"/>
      <c r="F132" s="1186"/>
      <c r="G132" s="3431"/>
      <c r="H132" s="1186"/>
      <c r="I132" s="3432"/>
      <c r="J132" s="775">
        <f t="shared" si="335"/>
        <v>0</v>
      </c>
      <c r="K132" s="3431"/>
      <c r="L132" s="1186"/>
      <c r="M132" s="3433"/>
      <c r="N132" s="774">
        <f t="shared" si="336"/>
        <v>0</v>
      </c>
      <c r="O132" s="3431"/>
      <c r="P132" s="1186"/>
      <c r="Q132" s="3432"/>
      <c r="R132" s="775">
        <f t="shared" si="337"/>
        <v>0</v>
      </c>
      <c r="S132" s="3431"/>
      <c r="T132" s="1186"/>
      <c r="U132" s="3432"/>
      <c r="V132" s="775">
        <f t="shared" si="338"/>
        <v>0</v>
      </c>
      <c r="W132" s="3431"/>
      <c r="X132" s="1186">
        <v>327.44</v>
      </c>
      <c r="Y132" s="3433"/>
      <c r="Z132" s="774">
        <f t="shared" si="339"/>
        <v>327.44</v>
      </c>
      <c r="AA132" s="5721"/>
      <c r="AB132" s="460">
        <f t="shared" si="340"/>
        <v>327.44</v>
      </c>
      <c r="AC132" s="3431"/>
      <c r="AD132" s="1186">
        <v>59.36</v>
      </c>
      <c r="AE132" s="3432"/>
      <c r="AF132" s="775">
        <f t="shared" si="341"/>
        <v>386.8</v>
      </c>
      <c r="AG132" s="3431"/>
      <c r="AH132" s="1186">
        <v>16.399999999999999</v>
      </c>
      <c r="AI132" s="3432"/>
      <c r="AJ132" s="368">
        <f t="shared" si="367"/>
        <v>403.2</v>
      </c>
      <c r="AK132" s="3431"/>
      <c r="AL132" s="1186"/>
      <c r="AM132" s="3433"/>
      <c r="AN132" s="613">
        <f t="shared" si="368"/>
        <v>75.759999999999991</v>
      </c>
      <c r="AO132" s="3432"/>
      <c r="AP132" s="368">
        <f t="shared" si="369"/>
        <v>403.2</v>
      </c>
      <c r="AQ132" s="3431"/>
      <c r="AR132" s="1186"/>
      <c r="AS132" s="3432"/>
      <c r="AT132" s="42">
        <f t="shared" si="370"/>
        <v>403.2</v>
      </c>
      <c r="AU132" s="3431"/>
      <c r="AV132" s="1186"/>
      <c r="AW132" s="3432"/>
      <c r="AX132" s="42">
        <f t="shared" si="371"/>
        <v>403.2</v>
      </c>
      <c r="AY132" s="3431"/>
      <c r="AZ132" s="1186"/>
      <c r="BA132" s="3433"/>
      <c r="BB132" s="613">
        <f t="shared" si="372"/>
        <v>0</v>
      </c>
      <c r="BC132" s="5721"/>
      <c r="BD132" s="460">
        <f t="shared" si="373"/>
        <v>75.759999999999991</v>
      </c>
      <c r="BE132" s="2788"/>
      <c r="BF132" s="42">
        <f t="shared" si="374"/>
        <v>403.2</v>
      </c>
      <c r="BG132" s="26">
        <f t="shared" si="328"/>
        <v>0</v>
      </c>
      <c r="BH132" s="26">
        <f t="shared" si="329"/>
        <v>0</v>
      </c>
      <c r="BI132" s="26"/>
      <c r="BJ132" s="26">
        <f t="shared" si="330"/>
        <v>0</v>
      </c>
      <c r="BK132" s="26">
        <f t="shared" si="331"/>
        <v>0</v>
      </c>
    </row>
    <row r="133" spans="1:63" ht="15" thickBot="1" x14ac:dyDescent="0.35">
      <c r="A133" s="92"/>
      <c r="B133" s="3421" t="s">
        <v>861</v>
      </c>
      <c r="C133" s="3422" t="s">
        <v>1141</v>
      </c>
      <c r="D133" s="3443"/>
      <c r="E133" s="3412"/>
      <c r="F133" s="1185"/>
      <c r="G133" s="3412"/>
      <c r="H133" s="1185">
        <v>257.89999999999998</v>
      </c>
      <c r="I133" s="844"/>
      <c r="J133" s="775">
        <f t="shared" si="335"/>
        <v>257.89999999999998</v>
      </c>
      <c r="K133" s="3412"/>
      <c r="L133" s="1185"/>
      <c r="M133" s="894"/>
      <c r="N133" s="774">
        <f t="shared" si="336"/>
        <v>257.89999999999998</v>
      </c>
      <c r="O133" s="3412"/>
      <c r="P133" s="1185">
        <v>1125.6199999999999</v>
      </c>
      <c r="Q133" s="844"/>
      <c r="R133" s="775">
        <f t="shared" si="337"/>
        <v>1383.52</v>
      </c>
      <c r="S133" s="3412"/>
      <c r="T133" s="1185">
        <v>61.62</v>
      </c>
      <c r="U133" s="844"/>
      <c r="V133" s="775">
        <f t="shared" si="338"/>
        <v>1445.1399999999999</v>
      </c>
      <c r="W133" s="3412"/>
      <c r="X133" s="1185">
        <v>920.38</v>
      </c>
      <c r="Y133" s="894"/>
      <c r="Z133" s="774">
        <f t="shared" si="339"/>
        <v>2107.62</v>
      </c>
      <c r="AA133" s="3965"/>
      <c r="AB133" s="460">
        <f t="shared" si="340"/>
        <v>2365.52</v>
      </c>
      <c r="AC133" s="3412"/>
      <c r="AD133" s="1185">
        <v>392.08000000000004</v>
      </c>
      <c r="AE133" s="844"/>
      <c r="AF133" s="775">
        <f t="shared" si="341"/>
        <v>2757.6</v>
      </c>
      <c r="AG133" s="3412"/>
      <c r="AH133" s="1185">
        <v>458.6</v>
      </c>
      <c r="AI133" s="844"/>
      <c r="AJ133" s="368">
        <f t="shared" si="367"/>
        <v>3216.2</v>
      </c>
      <c r="AK133" s="3412"/>
      <c r="AL133" s="1185">
        <v>1288.7280000000001</v>
      </c>
      <c r="AM133" s="894"/>
      <c r="AN133" s="613">
        <f t="shared" si="368"/>
        <v>2139.4080000000004</v>
      </c>
      <c r="AO133" s="844"/>
      <c r="AP133" s="368">
        <f t="shared" si="369"/>
        <v>4504.9279999999999</v>
      </c>
      <c r="AQ133" s="3412"/>
      <c r="AR133" s="1185">
        <v>1197.2000000000003</v>
      </c>
      <c r="AS133" s="844"/>
      <c r="AT133" s="42">
        <f t="shared" si="370"/>
        <v>5702.1280000000006</v>
      </c>
      <c r="AU133" s="3412"/>
      <c r="AV133" s="1185">
        <v>129.88</v>
      </c>
      <c r="AW133" s="844"/>
      <c r="AX133" s="42">
        <f t="shared" si="371"/>
        <v>5832.0080000000007</v>
      </c>
      <c r="AY133" s="3412"/>
      <c r="AZ133" s="1185"/>
      <c r="BA133" s="894"/>
      <c r="BB133" s="613">
        <f t="shared" si="372"/>
        <v>1327.0800000000004</v>
      </c>
      <c r="BC133" s="3965"/>
      <c r="BD133" s="460">
        <f t="shared" si="373"/>
        <v>3466.4880000000007</v>
      </c>
      <c r="BE133" s="2788"/>
      <c r="BF133" s="42">
        <f t="shared" si="374"/>
        <v>5832.0080000000007</v>
      </c>
      <c r="BG133" s="26">
        <f t="shared" si="328"/>
        <v>0</v>
      </c>
      <c r="BH133" s="26">
        <f t="shared" si="329"/>
        <v>0</v>
      </c>
      <c r="BI133" s="26"/>
      <c r="BJ133" s="26">
        <f t="shared" si="330"/>
        <v>0</v>
      </c>
      <c r="BK133" s="26">
        <f t="shared" si="331"/>
        <v>0</v>
      </c>
    </row>
    <row r="134" spans="1:63" ht="15.75" customHeight="1" thickBot="1" x14ac:dyDescent="0.35">
      <c r="A134" s="92"/>
      <c r="B134" s="3421" t="s">
        <v>861</v>
      </c>
      <c r="C134" s="3422" t="s">
        <v>878</v>
      </c>
      <c r="D134" s="3443"/>
      <c r="E134" s="3412"/>
      <c r="F134" s="1185"/>
      <c r="G134" s="3412"/>
      <c r="H134" s="1185"/>
      <c r="I134" s="844"/>
      <c r="J134" s="775">
        <f t="shared" si="335"/>
        <v>0</v>
      </c>
      <c r="K134" s="3412"/>
      <c r="L134" s="1185"/>
      <c r="M134" s="894"/>
      <c r="N134" s="774">
        <f t="shared" si="336"/>
        <v>0</v>
      </c>
      <c r="O134" s="3412"/>
      <c r="P134" s="1185"/>
      <c r="Q134" s="844"/>
      <c r="R134" s="775">
        <f t="shared" si="337"/>
        <v>0</v>
      </c>
      <c r="S134" s="3412"/>
      <c r="T134" s="1185"/>
      <c r="U134" s="844"/>
      <c r="V134" s="775">
        <f t="shared" si="338"/>
        <v>0</v>
      </c>
      <c r="W134" s="3412"/>
      <c r="X134" s="1185"/>
      <c r="Y134" s="894"/>
      <c r="Z134" s="774">
        <f t="shared" si="339"/>
        <v>0</v>
      </c>
      <c r="AA134" s="3965"/>
      <c r="AB134" s="460">
        <f t="shared" si="340"/>
        <v>0</v>
      </c>
      <c r="AC134" s="3412"/>
      <c r="AD134" s="1185"/>
      <c r="AE134" s="844"/>
      <c r="AF134" s="775">
        <f t="shared" si="341"/>
        <v>0</v>
      </c>
      <c r="AG134" s="3412"/>
      <c r="AH134" s="1185"/>
      <c r="AI134" s="844"/>
      <c r="AJ134" s="368">
        <f t="shared" si="367"/>
        <v>0</v>
      </c>
      <c r="AK134" s="3412"/>
      <c r="AL134" s="1185"/>
      <c r="AM134" s="894"/>
      <c r="AN134" s="613">
        <f t="shared" si="368"/>
        <v>0</v>
      </c>
      <c r="AO134" s="844"/>
      <c r="AP134" s="368">
        <f t="shared" si="369"/>
        <v>0</v>
      </c>
      <c r="AQ134" s="3412"/>
      <c r="AR134" s="1185"/>
      <c r="AS134" s="844"/>
      <c r="AT134" s="42">
        <f t="shared" si="370"/>
        <v>0</v>
      </c>
      <c r="AU134" s="3412"/>
      <c r="AV134" s="1185"/>
      <c r="AW134" s="844"/>
      <c r="AX134" s="42">
        <f t="shared" si="371"/>
        <v>0</v>
      </c>
      <c r="AY134" s="3412"/>
      <c r="AZ134" s="1185"/>
      <c r="BA134" s="894"/>
      <c r="BB134" s="613">
        <f t="shared" si="372"/>
        <v>0</v>
      </c>
      <c r="BC134" s="3965"/>
      <c r="BD134" s="460">
        <f t="shared" si="373"/>
        <v>0</v>
      </c>
      <c r="BE134" s="2788"/>
      <c r="BF134" s="42">
        <f t="shared" si="374"/>
        <v>0</v>
      </c>
      <c r="BG134" s="26">
        <f t="shared" si="328"/>
        <v>0</v>
      </c>
      <c r="BH134" s="26">
        <f t="shared" si="329"/>
        <v>0</v>
      </c>
      <c r="BI134" s="26"/>
      <c r="BJ134" s="26">
        <f t="shared" si="330"/>
        <v>0</v>
      </c>
      <c r="BK134" s="26">
        <f t="shared" si="331"/>
        <v>0</v>
      </c>
    </row>
    <row r="135" spans="1:63" ht="15.75" customHeight="1" thickBot="1" x14ac:dyDescent="0.35">
      <c r="A135" s="92"/>
      <c r="B135" s="3421" t="s">
        <v>861</v>
      </c>
      <c r="C135" s="3453" t="s">
        <v>898</v>
      </c>
      <c r="D135" s="3452"/>
      <c r="E135" s="3294"/>
      <c r="F135" s="2537"/>
      <c r="G135" s="3294"/>
      <c r="H135" s="2537"/>
      <c r="I135" s="2789"/>
      <c r="J135" s="775">
        <f t="shared" si="335"/>
        <v>0</v>
      </c>
      <c r="K135" s="3294"/>
      <c r="L135" s="2537"/>
      <c r="M135" s="2757"/>
      <c r="N135" s="774">
        <f t="shared" si="336"/>
        <v>0</v>
      </c>
      <c r="O135" s="3294"/>
      <c r="P135" s="2537"/>
      <c r="Q135" s="2789"/>
      <c r="R135" s="775">
        <f t="shared" si="337"/>
        <v>0</v>
      </c>
      <c r="S135" s="3294"/>
      <c r="T135" s="2537"/>
      <c r="U135" s="2789"/>
      <c r="V135" s="775">
        <f t="shared" si="338"/>
        <v>0</v>
      </c>
      <c r="W135" s="3294"/>
      <c r="X135" s="2537"/>
      <c r="Y135" s="2757"/>
      <c r="Z135" s="774">
        <f t="shared" si="339"/>
        <v>0</v>
      </c>
      <c r="AA135" s="3966"/>
      <c r="AB135" s="460">
        <f t="shared" si="340"/>
        <v>0</v>
      </c>
      <c r="AC135" s="3294"/>
      <c r="AD135" s="2537">
        <v>63.04</v>
      </c>
      <c r="AE135" s="2789"/>
      <c r="AF135" s="775">
        <f t="shared" si="341"/>
        <v>63.04</v>
      </c>
      <c r="AG135" s="3294"/>
      <c r="AH135" s="2537"/>
      <c r="AI135" s="2789"/>
      <c r="AJ135" s="368">
        <f t="shared" si="367"/>
        <v>63.04</v>
      </c>
      <c r="AK135" s="3294"/>
      <c r="AL135" s="2537"/>
      <c r="AM135" s="2757"/>
      <c r="AN135" s="613">
        <f t="shared" si="368"/>
        <v>63.04</v>
      </c>
      <c r="AO135" s="2789"/>
      <c r="AP135" s="368">
        <f t="shared" si="369"/>
        <v>63.04</v>
      </c>
      <c r="AQ135" s="3294"/>
      <c r="AR135" s="2537"/>
      <c r="AS135" s="2789"/>
      <c r="AT135" s="42">
        <f t="shared" si="370"/>
        <v>63.04</v>
      </c>
      <c r="AU135" s="3294"/>
      <c r="AV135" s="2537">
        <v>157.05000000000001</v>
      </c>
      <c r="AW135" s="2789"/>
      <c r="AX135" s="42">
        <f t="shared" si="371"/>
        <v>220.09</v>
      </c>
      <c r="AY135" s="3294"/>
      <c r="AZ135" s="2537"/>
      <c r="BA135" s="2757"/>
      <c r="BB135" s="613">
        <f t="shared" si="372"/>
        <v>157.05000000000001</v>
      </c>
      <c r="BC135" s="3966"/>
      <c r="BD135" s="460">
        <f t="shared" si="373"/>
        <v>220.09</v>
      </c>
      <c r="BE135" s="2788"/>
      <c r="BF135" s="42">
        <f t="shared" si="374"/>
        <v>220.09</v>
      </c>
      <c r="BG135" s="26">
        <f t="shared" si="328"/>
        <v>0</v>
      </c>
      <c r="BH135" s="26">
        <f t="shared" si="329"/>
        <v>0</v>
      </c>
      <c r="BI135" s="26"/>
      <c r="BJ135" s="26">
        <f t="shared" si="330"/>
        <v>0</v>
      </c>
      <c r="BK135" s="26">
        <f t="shared" si="331"/>
        <v>0</v>
      </c>
    </row>
    <row r="136" spans="1:63" ht="20.25" customHeight="1" thickBot="1" x14ac:dyDescent="0.35">
      <c r="A136" s="92"/>
      <c r="B136" s="3444" t="s">
        <v>861</v>
      </c>
      <c r="C136" s="3443" t="s">
        <v>942</v>
      </c>
      <c r="D136" s="3443"/>
      <c r="E136" s="3412"/>
      <c r="F136" s="1185">
        <v>371.02</v>
      </c>
      <c r="G136" s="3412"/>
      <c r="H136" s="1185">
        <v>246.92000000000002</v>
      </c>
      <c r="I136" s="844"/>
      <c r="J136" s="775">
        <f t="shared" si="335"/>
        <v>617.94000000000005</v>
      </c>
      <c r="K136" s="3412"/>
      <c r="L136" s="1185"/>
      <c r="M136" s="894"/>
      <c r="N136" s="774">
        <f t="shared" si="336"/>
        <v>617.94000000000005</v>
      </c>
      <c r="O136" s="3412"/>
      <c r="P136" s="1185"/>
      <c r="Q136" s="844"/>
      <c r="R136" s="775">
        <f t="shared" si="337"/>
        <v>617.94000000000005</v>
      </c>
      <c r="S136" s="3412"/>
      <c r="T136" s="1185"/>
      <c r="U136" s="844"/>
      <c r="V136" s="775">
        <f t="shared" si="338"/>
        <v>617.94000000000005</v>
      </c>
      <c r="W136" s="3412"/>
      <c r="X136" s="1185"/>
      <c r="Y136" s="894"/>
      <c r="Z136" s="774">
        <f t="shared" si="339"/>
        <v>0</v>
      </c>
      <c r="AA136" s="3965"/>
      <c r="AB136" s="460">
        <f t="shared" si="340"/>
        <v>617.94000000000005</v>
      </c>
      <c r="AC136" s="3412"/>
      <c r="AD136" s="1185"/>
      <c r="AE136" s="844"/>
      <c r="AF136" s="775">
        <f t="shared" si="341"/>
        <v>617.94000000000005</v>
      </c>
      <c r="AG136" s="3412"/>
      <c r="AH136" s="1185">
        <v>188.4</v>
      </c>
      <c r="AI136" s="844"/>
      <c r="AJ136" s="368">
        <f t="shared" si="367"/>
        <v>806.34</v>
      </c>
      <c r="AK136" s="3412"/>
      <c r="AL136" s="1185"/>
      <c r="AM136" s="894"/>
      <c r="AN136" s="613">
        <f t="shared" si="368"/>
        <v>188.4</v>
      </c>
      <c r="AO136" s="844"/>
      <c r="AP136" s="368">
        <f t="shared" si="369"/>
        <v>806.34</v>
      </c>
      <c r="AQ136" s="3412"/>
      <c r="AR136" s="1185">
        <v>37.277000000000001</v>
      </c>
      <c r="AS136" s="844"/>
      <c r="AT136" s="42">
        <f t="shared" si="370"/>
        <v>843.61700000000008</v>
      </c>
      <c r="AU136" s="3412"/>
      <c r="AV136" s="1185"/>
      <c r="AW136" s="844"/>
      <c r="AX136" s="42">
        <f t="shared" si="371"/>
        <v>843.61700000000008</v>
      </c>
      <c r="AY136" s="3412"/>
      <c r="AZ136" s="1185"/>
      <c r="BA136" s="894"/>
      <c r="BB136" s="613">
        <f t="shared" si="372"/>
        <v>37.277000000000001</v>
      </c>
      <c r="BC136" s="3965"/>
      <c r="BD136" s="460">
        <f t="shared" si="373"/>
        <v>225.67700000000002</v>
      </c>
      <c r="BE136" s="844"/>
      <c r="BF136" s="42">
        <f t="shared" si="374"/>
        <v>843.61700000000008</v>
      </c>
      <c r="BG136" s="26">
        <f t="shared" si="328"/>
        <v>0</v>
      </c>
      <c r="BH136" s="26">
        <f t="shared" si="329"/>
        <v>0</v>
      </c>
      <c r="BI136" s="26"/>
      <c r="BJ136" s="26">
        <f t="shared" si="330"/>
        <v>0</v>
      </c>
      <c r="BK136" s="26">
        <f t="shared" si="331"/>
        <v>0</v>
      </c>
    </row>
    <row r="137" spans="1:63" ht="15.75" customHeight="1" thickBot="1" x14ac:dyDescent="0.35">
      <c r="A137" s="92"/>
      <c r="B137" s="3444" t="s">
        <v>861</v>
      </c>
      <c r="C137" s="3443" t="s">
        <v>1433</v>
      </c>
      <c r="D137" s="3443"/>
      <c r="E137" s="3412"/>
      <c r="F137" s="1185"/>
      <c r="G137" s="3412"/>
      <c r="H137" s="1185"/>
      <c r="I137" s="844"/>
      <c r="J137" s="775">
        <f t="shared" si="335"/>
        <v>0</v>
      </c>
      <c r="K137" s="3412"/>
      <c r="L137" s="1185"/>
      <c r="M137" s="894"/>
      <c r="N137" s="774">
        <f t="shared" si="336"/>
        <v>0</v>
      </c>
      <c r="O137" s="3412"/>
      <c r="P137" s="1185"/>
      <c r="Q137" s="844"/>
      <c r="R137" s="775">
        <f t="shared" si="337"/>
        <v>0</v>
      </c>
      <c r="S137" s="3412"/>
      <c r="T137" s="1185"/>
      <c r="U137" s="844"/>
      <c r="V137" s="775">
        <f t="shared" si="338"/>
        <v>0</v>
      </c>
      <c r="W137" s="3412"/>
      <c r="X137" s="1185"/>
      <c r="Y137" s="894"/>
      <c r="Z137" s="774">
        <f t="shared" si="339"/>
        <v>0</v>
      </c>
      <c r="AA137" s="3965"/>
      <c r="AB137" s="460">
        <f t="shared" si="340"/>
        <v>0</v>
      </c>
      <c r="AC137" s="3412"/>
      <c r="AD137" s="1185"/>
      <c r="AE137" s="844"/>
      <c r="AF137" s="775">
        <f t="shared" si="341"/>
        <v>0</v>
      </c>
      <c r="AG137" s="3412"/>
      <c r="AH137" s="1185"/>
      <c r="AI137" s="844"/>
      <c r="AJ137" s="368">
        <f t="shared" si="367"/>
        <v>0</v>
      </c>
      <c r="AK137" s="3412"/>
      <c r="AL137" s="1185"/>
      <c r="AM137" s="894"/>
      <c r="AN137" s="613">
        <f t="shared" si="368"/>
        <v>0</v>
      </c>
      <c r="AO137" s="844"/>
      <c r="AP137" s="368">
        <f t="shared" si="369"/>
        <v>0</v>
      </c>
      <c r="AQ137" s="3412"/>
      <c r="AR137" s="1185"/>
      <c r="AS137" s="844"/>
      <c r="AT137" s="42">
        <f t="shared" si="370"/>
        <v>0</v>
      </c>
      <c r="AU137" s="3412"/>
      <c r="AV137" s="1185"/>
      <c r="AW137" s="844"/>
      <c r="AX137" s="42">
        <f t="shared" si="371"/>
        <v>0</v>
      </c>
      <c r="AY137" s="3412"/>
      <c r="AZ137" s="1185"/>
      <c r="BA137" s="894"/>
      <c r="BB137" s="613">
        <f t="shared" si="372"/>
        <v>0</v>
      </c>
      <c r="BC137" s="3965"/>
      <c r="BD137" s="460">
        <f t="shared" si="373"/>
        <v>0</v>
      </c>
      <c r="BE137" s="844"/>
      <c r="BF137" s="42">
        <f t="shared" si="374"/>
        <v>0</v>
      </c>
      <c r="BG137" s="26">
        <f t="shared" si="328"/>
        <v>0</v>
      </c>
      <c r="BH137" s="26">
        <f t="shared" si="329"/>
        <v>0</v>
      </c>
      <c r="BI137" s="26"/>
      <c r="BJ137" s="26">
        <f t="shared" si="330"/>
        <v>0</v>
      </c>
      <c r="BK137" s="26">
        <f t="shared" si="331"/>
        <v>0</v>
      </c>
    </row>
    <row r="138" spans="1:63" ht="15.75" customHeight="1" thickBot="1" x14ac:dyDescent="0.35">
      <c r="A138" s="92"/>
      <c r="B138" s="3444" t="s">
        <v>861</v>
      </c>
      <c r="C138" s="3442" t="s">
        <v>873</v>
      </c>
      <c r="D138" s="3856"/>
      <c r="E138" s="3857"/>
      <c r="F138" s="1199"/>
      <c r="G138" s="3857"/>
      <c r="H138" s="1199"/>
      <c r="I138" s="3858"/>
      <c r="J138" s="775">
        <f t="shared" si="335"/>
        <v>0</v>
      </c>
      <c r="K138" s="3857"/>
      <c r="L138" s="1199"/>
      <c r="M138" s="3859"/>
      <c r="N138" s="774">
        <f t="shared" si="336"/>
        <v>0</v>
      </c>
      <c r="O138" s="3857"/>
      <c r="P138" s="1199"/>
      <c r="Q138" s="3858"/>
      <c r="R138" s="775">
        <f t="shared" si="337"/>
        <v>0</v>
      </c>
      <c r="S138" s="3857"/>
      <c r="T138" s="1199"/>
      <c r="U138" s="3858"/>
      <c r="V138" s="775">
        <f t="shared" si="338"/>
        <v>0</v>
      </c>
      <c r="W138" s="3857"/>
      <c r="X138" s="1199"/>
      <c r="Y138" s="3859"/>
      <c r="Z138" s="774">
        <f t="shared" si="339"/>
        <v>0</v>
      </c>
      <c r="AA138" s="5723"/>
      <c r="AB138" s="460">
        <f t="shared" si="340"/>
        <v>0</v>
      </c>
      <c r="AC138" s="3857"/>
      <c r="AD138" s="1199">
        <v>60.48</v>
      </c>
      <c r="AE138" s="3858"/>
      <c r="AF138" s="775">
        <f t="shared" si="341"/>
        <v>60.48</v>
      </c>
      <c r="AG138" s="3857"/>
      <c r="AH138" s="1199"/>
      <c r="AI138" s="3858"/>
      <c r="AJ138" s="368">
        <f t="shared" si="367"/>
        <v>60.48</v>
      </c>
      <c r="AK138" s="3857"/>
      <c r="AL138" s="1199"/>
      <c r="AM138" s="3859"/>
      <c r="AN138" s="613">
        <f t="shared" si="368"/>
        <v>60.48</v>
      </c>
      <c r="AO138" s="3858"/>
      <c r="AP138" s="368">
        <f t="shared" si="369"/>
        <v>60.48</v>
      </c>
      <c r="AQ138" s="3857"/>
      <c r="AR138" s="1199"/>
      <c r="AS138" s="3858"/>
      <c r="AT138" s="42">
        <f t="shared" si="370"/>
        <v>60.48</v>
      </c>
      <c r="AU138" s="3857"/>
      <c r="AV138" s="1199"/>
      <c r="AW138" s="3858"/>
      <c r="AX138" s="42">
        <f t="shared" si="371"/>
        <v>60.48</v>
      </c>
      <c r="AY138" s="3857"/>
      <c r="AZ138" s="1199"/>
      <c r="BA138" s="3859"/>
      <c r="BB138" s="613">
        <f t="shared" si="372"/>
        <v>0</v>
      </c>
      <c r="BC138" s="5723"/>
      <c r="BD138" s="460">
        <f t="shared" si="373"/>
        <v>60.48</v>
      </c>
      <c r="BE138" s="844"/>
      <c r="BF138" s="42">
        <f t="shared" si="374"/>
        <v>60.48</v>
      </c>
      <c r="BG138" s="26">
        <f t="shared" si="328"/>
        <v>0</v>
      </c>
      <c r="BH138" s="26">
        <f t="shared" si="329"/>
        <v>0</v>
      </c>
      <c r="BI138" s="26"/>
      <c r="BJ138" s="26">
        <f t="shared" si="330"/>
        <v>0</v>
      </c>
      <c r="BK138" s="26">
        <f t="shared" si="331"/>
        <v>0</v>
      </c>
    </row>
    <row r="139" spans="1:63" ht="15" thickBot="1" x14ac:dyDescent="0.35">
      <c r="A139" s="92"/>
      <c r="B139" s="3445" t="s">
        <v>861</v>
      </c>
      <c r="C139" s="3446" t="s">
        <v>1491</v>
      </c>
      <c r="D139" s="3446"/>
      <c r="E139" s="3425"/>
      <c r="F139" s="107"/>
      <c r="G139" s="3425"/>
      <c r="H139" s="107">
        <v>189.62</v>
      </c>
      <c r="I139" s="2791"/>
      <c r="J139" s="775">
        <f t="shared" si="335"/>
        <v>189.62</v>
      </c>
      <c r="K139" s="3425"/>
      <c r="L139" s="107"/>
      <c r="M139" s="3426"/>
      <c r="N139" s="774">
        <f t="shared" si="336"/>
        <v>189.62</v>
      </c>
      <c r="O139" s="3425"/>
      <c r="P139" s="107"/>
      <c r="Q139" s="2791"/>
      <c r="R139" s="775">
        <f t="shared" si="337"/>
        <v>189.62</v>
      </c>
      <c r="S139" s="3425"/>
      <c r="T139" s="107"/>
      <c r="U139" s="2791"/>
      <c r="V139" s="775">
        <f t="shared" si="338"/>
        <v>189.62</v>
      </c>
      <c r="W139" s="3425"/>
      <c r="X139" s="107"/>
      <c r="Y139" s="3426"/>
      <c r="Z139" s="774">
        <f t="shared" si="339"/>
        <v>0</v>
      </c>
      <c r="AA139" s="5720"/>
      <c r="AB139" s="460">
        <f t="shared" si="340"/>
        <v>189.62</v>
      </c>
      <c r="AC139" s="3425"/>
      <c r="AD139" s="107"/>
      <c r="AE139" s="2791"/>
      <c r="AF139" s="775">
        <f t="shared" si="341"/>
        <v>189.62</v>
      </c>
      <c r="AG139" s="3425"/>
      <c r="AH139" s="107"/>
      <c r="AI139" s="2791"/>
      <c r="AJ139" s="368">
        <f t="shared" si="367"/>
        <v>189.62</v>
      </c>
      <c r="AK139" s="3425"/>
      <c r="AL139" s="107"/>
      <c r="AM139" s="3426"/>
      <c r="AN139" s="613">
        <f t="shared" si="368"/>
        <v>0</v>
      </c>
      <c r="AO139" s="2791"/>
      <c r="AP139" s="368">
        <f t="shared" si="369"/>
        <v>189.62</v>
      </c>
      <c r="AQ139" s="3425"/>
      <c r="AR139" s="107"/>
      <c r="AS139" s="2791"/>
      <c r="AT139" s="42">
        <f t="shared" si="370"/>
        <v>189.62</v>
      </c>
      <c r="AU139" s="3425"/>
      <c r="AV139" s="107">
        <v>62.3</v>
      </c>
      <c r="AW139" s="2791"/>
      <c r="AX139" s="42">
        <f t="shared" si="371"/>
        <v>251.92000000000002</v>
      </c>
      <c r="AY139" s="3425"/>
      <c r="AZ139" s="107"/>
      <c r="BA139" s="3426"/>
      <c r="BB139" s="613">
        <f t="shared" si="372"/>
        <v>62.3</v>
      </c>
      <c r="BC139" s="5720"/>
      <c r="BD139" s="460">
        <f t="shared" si="373"/>
        <v>62.3</v>
      </c>
      <c r="BE139" s="844"/>
      <c r="BF139" s="42">
        <f t="shared" si="374"/>
        <v>251.92000000000002</v>
      </c>
      <c r="BG139" s="26">
        <f t="shared" si="328"/>
        <v>0</v>
      </c>
      <c r="BH139" s="26">
        <f t="shared" si="329"/>
        <v>0</v>
      </c>
      <c r="BI139" s="26"/>
      <c r="BJ139" s="26">
        <f t="shared" si="330"/>
        <v>0</v>
      </c>
      <c r="BK139" s="26">
        <f t="shared" si="331"/>
        <v>0</v>
      </c>
    </row>
    <row r="140" spans="1:63" ht="15.75" customHeight="1" thickBot="1" x14ac:dyDescent="0.35">
      <c r="A140" s="92"/>
      <c r="B140" s="3444" t="s">
        <v>1843</v>
      </c>
      <c r="C140" s="3443" t="s">
        <v>1855</v>
      </c>
      <c r="D140" s="3487"/>
      <c r="E140" s="3436"/>
      <c r="F140" s="3437"/>
      <c r="G140" s="3436"/>
      <c r="H140" s="3437"/>
      <c r="I140" s="3438"/>
      <c r="J140" s="775">
        <f t="shared" si="335"/>
        <v>0</v>
      </c>
      <c r="K140" s="3436"/>
      <c r="L140" s="3437"/>
      <c r="M140" s="3439"/>
      <c r="N140" s="774">
        <f t="shared" si="336"/>
        <v>0</v>
      </c>
      <c r="O140" s="3436"/>
      <c r="P140" s="3437"/>
      <c r="Q140" s="3438"/>
      <c r="R140" s="775">
        <f t="shared" si="337"/>
        <v>0</v>
      </c>
      <c r="S140" s="3436"/>
      <c r="T140" s="3437"/>
      <c r="U140" s="3438"/>
      <c r="V140" s="775">
        <f t="shared" si="338"/>
        <v>0</v>
      </c>
      <c r="W140" s="3436"/>
      <c r="X140" s="3437"/>
      <c r="Y140" s="3439"/>
      <c r="Z140" s="774">
        <f t="shared" si="339"/>
        <v>0</v>
      </c>
      <c r="AA140" s="5722"/>
      <c r="AB140" s="460">
        <f t="shared" si="340"/>
        <v>0</v>
      </c>
      <c r="AC140" s="3436"/>
      <c r="AD140" s="3437"/>
      <c r="AE140" s="3438"/>
      <c r="AF140" s="775">
        <f t="shared" si="341"/>
        <v>0</v>
      </c>
      <c r="AG140" s="3436"/>
      <c r="AH140" s="3437"/>
      <c r="AI140" s="3438"/>
      <c r="AJ140" s="368">
        <f t="shared" si="367"/>
        <v>0</v>
      </c>
      <c r="AK140" s="3436"/>
      <c r="AL140" s="3437">
        <v>60.7</v>
      </c>
      <c r="AM140" s="3439"/>
      <c r="AN140" s="613">
        <f t="shared" si="368"/>
        <v>60.7</v>
      </c>
      <c r="AO140" s="3438"/>
      <c r="AP140" s="368">
        <f t="shared" si="369"/>
        <v>60.7</v>
      </c>
      <c r="AQ140" s="3436"/>
      <c r="AR140" s="3437"/>
      <c r="AS140" s="3438"/>
      <c r="AT140" s="42">
        <f t="shared" si="370"/>
        <v>60.7</v>
      </c>
      <c r="AU140" s="3436"/>
      <c r="AV140" s="3437"/>
      <c r="AW140" s="3438"/>
      <c r="AX140" s="42">
        <f t="shared" si="371"/>
        <v>60.7</v>
      </c>
      <c r="AY140" s="3436"/>
      <c r="AZ140" s="3437"/>
      <c r="BA140" s="3439"/>
      <c r="BB140" s="613">
        <f t="shared" si="372"/>
        <v>0</v>
      </c>
      <c r="BC140" s="5722"/>
      <c r="BD140" s="460">
        <f t="shared" si="373"/>
        <v>60.7</v>
      </c>
      <c r="BE140" s="844"/>
      <c r="BF140" s="42">
        <f t="shared" si="374"/>
        <v>60.7</v>
      </c>
      <c r="BG140" s="26">
        <f t="shared" si="328"/>
        <v>0</v>
      </c>
      <c r="BH140" s="26">
        <f t="shared" si="329"/>
        <v>0</v>
      </c>
      <c r="BI140" s="26"/>
      <c r="BJ140" s="26">
        <f t="shared" si="330"/>
        <v>0</v>
      </c>
      <c r="BK140" s="26">
        <f t="shared" si="331"/>
        <v>0</v>
      </c>
    </row>
    <row r="141" spans="1:63" ht="15.75" customHeight="1" thickBot="1" x14ac:dyDescent="0.35">
      <c r="A141" s="92"/>
      <c r="B141" s="3444" t="s">
        <v>1843</v>
      </c>
      <c r="C141" s="3442" t="s">
        <v>1856</v>
      </c>
      <c r="D141" s="3487"/>
      <c r="E141" s="3436"/>
      <c r="F141" s="3437"/>
      <c r="G141" s="3436"/>
      <c r="H141" s="3437">
        <v>477.29</v>
      </c>
      <c r="I141" s="3438"/>
      <c r="J141" s="775">
        <f t="shared" si="335"/>
        <v>477.29</v>
      </c>
      <c r="K141" s="3436"/>
      <c r="L141" s="3437">
        <v>165.88</v>
      </c>
      <c r="M141" s="3439"/>
      <c r="N141" s="774">
        <f t="shared" si="336"/>
        <v>643.17000000000007</v>
      </c>
      <c r="O141" s="3436"/>
      <c r="P141" s="3437"/>
      <c r="Q141" s="3438"/>
      <c r="R141" s="775">
        <f t="shared" si="337"/>
        <v>643.17000000000007</v>
      </c>
      <c r="S141" s="3436"/>
      <c r="T141" s="3437">
        <v>475.31</v>
      </c>
      <c r="U141" s="3438"/>
      <c r="V141" s="775">
        <f t="shared" si="338"/>
        <v>1118.48</v>
      </c>
      <c r="W141" s="3436"/>
      <c r="X141" s="3437">
        <v>158.9</v>
      </c>
      <c r="Y141" s="3439"/>
      <c r="Z141" s="774">
        <f t="shared" si="339"/>
        <v>634.21</v>
      </c>
      <c r="AA141" s="5722"/>
      <c r="AB141" s="460">
        <f t="shared" si="340"/>
        <v>1277.3800000000001</v>
      </c>
      <c r="AC141" s="3436"/>
      <c r="AD141" s="3437"/>
      <c r="AE141" s="3438"/>
      <c r="AF141" s="775">
        <f t="shared" si="341"/>
        <v>1277.3800000000001</v>
      </c>
      <c r="AG141" s="3436"/>
      <c r="AH141" s="3437"/>
      <c r="AI141" s="3438"/>
      <c r="AJ141" s="368">
        <f t="shared" si="367"/>
        <v>1277.3800000000001</v>
      </c>
      <c r="AK141" s="3436"/>
      <c r="AL141" s="3437">
        <v>148.09400000000002</v>
      </c>
      <c r="AM141" s="3439"/>
      <c r="AN141" s="613">
        <f t="shared" si="368"/>
        <v>148.09400000000002</v>
      </c>
      <c r="AO141" s="3438"/>
      <c r="AP141" s="368">
        <f t="shared" si="369"/>
        <v>1425.4740000000002</v>
      </c>
      <c r="AQ141" s="3436"/>
      <c r="AR141" s="3437"/>
      <c r="AS141" s="3438"/>
      <c r="AT141" s="42">
        <f t="shared" si="370"/>
        <v>1425.4740000000002</v>
      </c>
      <c r="AU141" s="3436"/>
      <c r="AV141" s="3437"/>
      <c r="AW141" s="3438"/>
      <c r="AX141" s="42">
        <f t="shared" si="371"/>
        <v>1425.4740000000002</v>
      </c>
      <c r="AY141" s="3436"/>
      <c r="AZ141" s="3437"/>
      <c r="BA141" s="3439"/>
      <c r="BB141" s="613">
        <f t="shared" si="372"/>
        <v>0</v>
      </c>
      <c r="BC141" s="5722"/>
      <c r="BD141" s="460">
        <f t="shared" si="373"/>
        <v>148.09400000000002</v>
      </c>
      <c r="BE141" s="844"/>
      <c r="BF141" s="42">
        <f t="shared" si="374"/>
        <v>1425.4740000000002</v>
      </c>
      <c r="BG141" s="26">
        <f t="shared" si="328"/>
        <v>0</v>
      </c>
      <c r="BH141" s="26">
        <f t="shared" si="329"/>
        <v>0</v>
      </c>
      <c r="BI141" s="26"/>
      <c r="BJ141" s="26">
        <f t="shared" si="330"/>
        <v>0</v>
      </c>
      <c r="BK141" s="26">
        <f t="shared" si="331"/>
        <v>0</v>
      </c>
    </row>
    <row r="142" spans="1:63" ht="15.75" customHeight="1" thickBot="1" x14ac:dyDescent="0.35">
      <c r="A142" s="92"/>
      <c r="B142" s="4726" t="s">
        <v>1843</v>
      </c>
      <c r="C142" s="3442" t="s">
        <v>1141</v>
      </c>
      <c r="D142" s="3487"/>
      <c r="E142" s="3436"/>
      <c r="F142" s="3437">
        <v>62.7</v>
      </c>
      <c r="G142" s="3436"/>
      <c r="H142" s="3437"/>
      <c r="I142" s="3438"/>
      <c r="J142" s="775">
        <f t="shared" si="335"/>
        <v>62.7</v>
      </c>
      <c r="K142" s="3436"/>
      <c r="L142" s="3437"/>
      <c r="M142" s="3439"/>
      <c r="N142" s="774">
        <f t="shared" si="336"/>
        <v>62.7</v>
      </c>
      <c r="O142" s="3436"/>
      <c r="P142" s="3437"/>
      <c r="Q142" s="3438"/>
      <c r="R142" s="775">
        <f t="shared" si="337"/>
        <v>62.7</v>
      </c>
      <c r="S142" s="3436"/>
      <c r="T142" s="3437">
        <v>1140.6199999999999</v>
      </c>
      <c r="U142" s="3438"/>
      <c r="V142" s="775">
        <f t="shared" si="338"/>
        <v>1203.32</v>
      </c>
      <c r="W142" s="3436"/>
      <c r="X142" s="3437"/>
      <c r="Y142" s="3439"/>
      <c r="Z142" s="774">
        <f t="shared" si="339"/>
        <v>1140.6199999999999</v>
      </c>
      <c r="AA142" s="5722"/>
      <c r="AB142" s="460">
        <f t="shared" si="340"/>
        <v>1203.32</v>
      </c>
      <c r="AC142" s="3436"/>
      <c r="AD142" s="3437"/>
      <c r="AE142" s="3438"/>
      <c r="AF142" s="775">
        <f t="shared" si="341"/>
        <v>1203.32</v>
      </c>
      <c r="AG142" s="3436"/>
      <c r="AH142" s="3437"/>
      <c r="AI142" s="3438"/>
      <c r="AJ142" s="368">
        <f t="shared" si="367"/>
        <v>1203.32</v>
      </c>
      <c r="AK142" s="3436"/>
      <c r="AL142" s="3437"/>
      <c r="AM142" s="3439"/>
      <c r="AN142" s="613">
        <f t="shared" si="368"/>
        <v>0</v>
      </c>
      <c r="AO142" s="3438"/>
      <c r="AP142" s="368">
        <f t="shared" si="369"/>
        <v>1203.32</v>
      </c>
      <c r="AQ142" s="3436"/>
      <c r="AR142" s="3437"/>
      <c r="AS142" s="3438"/>
      <c r="AT142" s="42">
        <f t="shared" si="370"/>
        <v>1203.32</v>
      </c>
      <c r="AU142" s="3436"/>
      <c r="AV142" s="3437"/>
      <c r="AW142" s="3438"/>
      <c r="AX142" s="42">
        <f t="shared" si="371"/>
        <v>1203.32</v>
      </c>
      <c r="AY142" s="3436"/>
      <c r="AZ142" s="3437"/>
      <c r="BA142" s="3439"/>
      <c r="BB142" s="613"/>
      <c r="BC142" s="5722"/>
      <c r="BD142" s="4618"/>
      <c r="BE142" s="4615"/>
      <c r="BF142" s="42">
        <f t="shared" si="374"/>
        <v>1203.32</v>
      </c>
      <c r="BG142" s="26">
        <f t="shared" si="328"/>
        <v>0</v>
      </c>
      <c r="BH142" s="26">
        <f t="shared" si="329"/>
        <v>0</v>
      </c>
      <c r="BI142" s="26"/>
      <c r="BJ142" s="26">
        <f t="shared" si="330"/>
        <v>0</v>
      </c>
      <c r="BK142" s="26">
        <f t="shared" si="331"/>
        <v>0</v>
      </c>
    </row>
    <row r="143" spans="1:63" ht="15.75" customHeight="1" thickBot="1" x14ac:dyDescent="0.35">
      <c r="A143" s="92"/>
      <c r="B143" s="3444" t="s">
        <v>862</v>
      </c>
      <c r="C143" s="3442" t="s">
        <v>873</v>
      </c>
      <c r="D143" s="3442"/>
      <c r="E143" s="3427"/>
      <c r="F143" s="155"/>
      <c r="G143" s="3427"/>
      <c r="H143" s="155"/>
      <c r="I143" s="2788"/>
      <c r="J143" s="775">
        <f t="shared" si="335"/>
        <v>0</v>
      </c>
      <c r="K143" s="3427"/>
      <c r="L143" s="155"/>
      <c r="M143" s="3428"/>
      <c r="N143" s="774">
        <f t="shared" si="336"/>
        <v>0</v>
      </c>
      <c r="O143" s="3427"/>
      <c r="P143" s="155"/>
      <c r="Q143" s="2788"/>
      <c r="R143" s="775">
        <f t="shared" si="337"/>
        <v>0</v>
      </c>
      <c r="S143" s="3427"/>
      <c r="T143" s="155"/>
      <c r="U143" s="2788"/>
      <c r="V143" s="775">
        <f t="shared" si="338"/>
        <v>0</v>
      </c>
      <c r="W143" s="3427"/>
      <c r="X143" s="155"/>
      <c r="Y143" s="3428"/>
      <c r="Z143" s="774">
        <f t="shared" si="339"/>
        <v>0</v>
      </c>
      <c r="AA143" s="4621"/>
      <c r="AB143" s="460">
        <f t="shared" si="340"/>
        <v>0</v>
      </c>
      <c r="AC143" s="3427"/>
      <c r="AD143" s="155"/>
      <c r="AE143" s="2788"/>
      <c r="AF143" s="775">
        <f t="shared" si="341"/>
        <v>0</v>
      </c>
      <c r="AG143" s="3427"/>
      <c r="AH143" s="155"/>
      <c r="AI143" s="2788"/>
      <c r="AJ143" s="368">
        <f t="shared" si="367"/>
        <v>0</v>
      </c>
      <c r="AK143" s="3427"/>
      <c r="AL143" s="155"/>
      <c r="AM143" s="3428"/>
      <c r="AN143" s="613">
        <f t="shared" si="368"/>
        <v>0</v>
      </c>
      <c r="AO143" s="2788"/>
      <c r="AP143" s="368">
        <f t="shared" si="369"/>
        <v>0</v>
      </c>
      <c r="AQ143" s="3427"/>
      <c r="AR143" s="155"/>
      <c r="AS143" s="2788"/>
      <c r="AT143" s="42">
        <f t="shared" si="370"/>
        <v>0</v>
      </c>
      <c r="AU143" s="3427"/>
      <c r="AV143" s="155"/>
      <c r="AW143" s="2788"/>
      <c r="AX143" s="42">
        <f t="shared" si="371"/>
        <v>0</v>
      </c>
      <c r="AY143" s="3427"/>
      <c r="AZ143" s="155"/>
      <c r="BA143" s="3428"/>
      <c r="BB143" s="613">
        <f t="shared" si="372"/>
        <v>0</v>
      </c>
      <c r="BC143" s="4621"/>
      <c r="BD143" s="460">
        <f t="shared" si="373"/>
        <v>0</v>
      </c>
      <c r="BE143" s="844"/>
      <c r="BF143" s="42">
        <f t="shared" si="374"/>
        <v>0</v>
      </c>
      <c r="BG143" s="26">
        <f t="shared" si="328"/>
        <v>0</v>
      </c>
      <c r="BH143" s="26">
        <f t="shared" si="329"/>
        <v>0</v>
      </c>
      <c r="BI143" s="26"/>
      <c r="BJ143" s="26">
        <f t="shared" si="330"/>
        <v>0</v>
      </c>
      <c r="BK143" s="26">
        <f t="shared" si="331"/>
        <v>0</v>
      </c>
    </row>
    <row r="144" spans="1:63" ht="15.75" customHeight="1" thickBot="1" x14ac:dyDescent="0.35">
      <c r="A144" s="92"/>
      <c r="B144" s="3450" t="s">
        <v>862</v>
      </c>
      <c r="C144" s="3449" t="s">
        <v>1830</v>
      </c>
      <c r="D144" s="3449"/>
      <c r="E144" s="3431"/>
      <c r="F144" s="1186">
        <v>514.07999999999993</v>
      </c>
      <c r="G144" s="3431"/>
      <c r="H144" s="1186"/>
      <c r="I144" s="3432"/>
      <c r="J144" s="775">
        <f t="shared" si="335"/>
        <v>514.07999999999993</v>
      </c>
      <c r="K144" s="3431"/>
      <c r="L144" s="1186"/>
      <c r="M144" s="3433"/>
      <c r="N144" s="774">
        <f t="shared" si="336"/>
        <v>514.07999999999993</v>
      </c>
      <c r="O144" s="3431"/>
      <c r="P144" s="1186"/>
      <c r="Q144" s="3432"/>
      <c r="R144" s="775">
        <f t="shared" si="337"/>
        <v>514.07999999999993</v>
      </c>
      <c r="S144" s="3431"/>
      <c r="T144" s="1186"/>
      <c r="U144" s="3432"/>
      <c r="V144" s="775">
        <f t="shared" si="338"/>
        <v>514.07999999999993</v>
      </c>
      <c r="W144" s="3431"/>
      <c r="X144" s="1186"/>
      <c r="Y144" s="3433"/>
      <c r="Z144" s="774">
        <f t="shared" si="339"/>
        <v>0</v>
      </c>
      <c r="AA144" s="5721"/>
      <c r="AB144" s="460">
        <f t="shared" si="340"/>
        <v>514.07999999999993</v>
      </c>
      <c r="AC144" s="3431"/>
      <c r="AD144" s="1186"/>
      <c r="AE144" s="3432"/>
      <c r="AF144" s="775">
        <f t="shared" si="341"/>
        <v>514.07999999999993</v>
      </c>
      <c r="AG144" s="3431"/>
      <c r="AH144" s="1186"/>
      <c r="AI144" s="3432"/>
      <c r="AJ144" s="368">
        <f t="shared" si="367"/>
        <v>514.07999999999993</v>
      </c>
      <c r="AK144" s="3431"/>
      <c r="AL144" s="1186"/>
      <c r="AM144" s="3433"/>
      <c r="AN144" s="613">
        <f t="shared" si="368"/>
        <v>0</v>
      </c>
      <c r="AO144" s="3432"/>
      <c r="AP144" s="368">
        <f t="shared" si="369"/>
        <v>514.07999999999993</v>
      </c>
      <c r="AQ144" s="3431"/>
      <c r="AR144" s="1186"/>
      <c r="AS144" s="3432"/>
      <c r="AT144" s="42">
        <f t="shared" si="370"/>
        <v>514.07999999999993</v>
      </c>
      <c r="AU144" s="3431"/>
      <c r="AV144" s="1186"/>
      <c r="AW144" s="3432"/>
      <c r="AX144" s="42">
        <f t="shared" si="371"/>
        <v>514.07999999999993</v>
      </c>
      <c r="AY144" s="3431"/>
      <c r="AZ144" s="1186"/>
      <c r="BA144" s="3433"/>
      <c r="BB144" s="613">
        <f t="shared" si="372"/>
        <v>0</v>
      </c>
      <c r="BC144" s="5721"/>
      <c r="BD144" s="460">
        <f t="shared" si="373"/>
        <v>0</v>
      </c>
      <c r="BE144" s="844"/>
      <c r="BF144" s="42">
        <f t="shared" si="374"/>
        <v>514.07999999999993</v>
      </c>
      <c r="BG144" s="26">
        <f t="shared" si="328"/>
        <v>0</v>
      </c>
      <c r="BH144" s="26">
        <f t="shared" si="329"/>
        <v>0</v>
      </c>
      <c r="BI144" s="26"/>
      <c r="BJ144" s="26">
        <f t="shared" si="330"/>
        <v>0</v>
      </c>
      <c r="BK144" s="26">
        <f t="shared" si="331"/>
        <v>0</v>
      </c>
    </row>
    <row r="145" spans="1:63" ht="15.75" customHeight="1" thickBot="1" x14ac:dyDescent="0.35">
      <c r="A145" s="92"/>
      <c r="B145" s="3448" t="s">
        <v>862</v>
      </c>
      <c r="C145" s="3452" t="s">
        <v>1146</v>
      </c>
      <c r="D145" s="3449"/>
      <c r="E145" s="3431"/>
      <c r="F145" s="1186"/>
      <c r="G145" s="3431"/>
      <c r="H145" s="1186"/>
      <c r="I145" s="3432"/>
      <c r="J145" s="775">
        <f t="shared" si="335"/>
        <v>0</v>
      </c>
      <c r="K145" s="3431"/>
      <c r="L145" s="1186"/>
      <c r="M145" s="3433"/>
      <c r="N145" s="774">
        <f t="shared" si="336"/>
        <v>0</v>
      </c>
      <c r="O145" s="3431"/>
      <c r="P145" s="1186"/>
      <c r="Q145" s="3432"/>
      <c r="R145" s="775">
        <f t="shared" si="337"/>
        <v>0</v>
      </c>
      <c r="S145" s="3431"/>
      <c r="T145" s="1186"/>
      <c r="U145" s="3432"/>
      <c r="V145" s="775">
        <f t="shared" si="338"/>
        <v>0</v>
      </c>
      <c r="W145" s="3431"/>
      <c r="X145" s="1186"/>
      <c r="Y145" s="3433"/>
      <c r="Z145" s="774">
        <f t="shared" si="339"/>
        <v>0</v>
      </c>
      <c r="AA145" s="5721"/>
      <c r="AB145" s="460">
        <f t="shared" si="340"/>
        <v>0</v>
      </c>
      <c r="AC145" s="3431"/>
      <c r="AD145" s="1186"/>
      <c r="AE145" s="3432"/>
      <c r="AF145" s="775">
        <f t="shared" si="341"/>
        <v>0</v>
      </c>
      <c r="AG145" s="3431"/>
      <c r="AH145" s="1186"/>
      <c r="AI145" s="3432"/>
      <c r="AJ145" s="368">
        <f t="shared" si="367"/>
        <v>0</v>
      </c>
      <c r="AK145" s="3431"/>
      <c r="AL145" s="1186"/>
      <c r="AM145" s="3433"/>
      <c r="AN145" s="613">
        <f t="shared" si="368"/>
        <v>0</v>
      </c>
      <c r="AO145" s="3432"/>
      <c r="AP145" s="368">
        <f t="shared" si="369"/>
        <v>0</v>
      </c>
      <c r="AQ145" s="3431"/>
      <c r="AR145" s="1186"/>
      <c r="AS145" s="3432"/>
      <c r="AT145" s="42">
        <f t="shared" si="370"/>
        <v>0</v>
      </c>
      <c r="AU145" s="3431"/>
      <c r="AV145" s="1186"/>
      <c r="AW145" s="3432"/>
      <c r="AX145" s="42">
        <f t="shared" si="371"/>
        <v>0</v>
      </c>
      <c r="AY145" s="3431"/>
      <c r="AZ145" s="1186"/>
      <c r="BA145" s="3433"/>
      <c r="BB145" s="613">
        <f t="shared" si="372"/>
        <v>0</v>
      </c>
      <c r="BC145" s="5721"/>
      <c r="BD145" s="460">
        <f t="shared" si="373"/>
        <v>0</v>
      </c>
      <c r="BE145" s="844"/>
      <c r="BF145" s="42">
        <f t="shared" si="374"/>
        <v>0</v>
      </c>
      <c r="BG145" s="26">
        <f t="shared" si="328"/>
        <v>0</v>
      </c>
      <c r="BH145" s="26">
        <f t="shared" si="329"/>
        <v>0</v>
      </c>
      <c r="BI145" s="26"/>
      <c r="BJ145" s="26">
        <f t="shared" si="330"/>
        <v>0</v>
      </c>
      <c r="BK145" s="26">
        <f t="shared" si="331"/>
        <v>0</v>
      </c>
    </row>
    <row r="146" spans="1:63" ht="15.75" customHeight="1" thickBot="1" x14ac:dyDescent="0.35">
      <c r="A146" s="92"/>
      <c r="B146" s="3450" t="s">
        <v>862</v>
      </c>
      <c r="C146" s="3452" t="s">
        <v>905</v>
      </c>
      <c r="D146" s="3449"/>
      <c r="E146" s="3431"/>
      <c r="F146" s="1186"/>
      <c r="G146" s="3431"/>
      <c r="H146" s="1186"/>
      <c r="I146" s="3432"/>
      <c r="J146" s="775">
        <f t="shared" si="335"/>
        <v>0</v>
      </c>
      <c r="K146" s="3431"/>
      <c r="L146" s="1186"/>
      <c r="M146" s="3433"/>
      <c r="N146" s="774">
        <f t="shared" si="336"/>
        <v>0</v>
      </c>
      <c r="O146" s="3431"/>
      <c r="P146" s="1186"/>
      <c r="Q146" s="3432"/>
      <c r="R146" s="775">
        <f t="shared" si="337"/>
        <v>0</v>
      </c>
      <c r="S146" s="3431"/>
      <c r="T146" s="1186"/>
      <c r="U146" s="3432"/>
      <c r="V146" s="775">
        <f t="shared" si="338"/>
        <v>0</v>
      </c>
      <c r="W146" s="3431"/>
      <c r="X146" s="1186"/>
      <c r="Y146" s="3433"/>
      <c r="Z146" s="774">
        <f t="shared" si="339"/>
        <v>0</v>
      </c>
      <c r="AA146" s="5721"/>
      <c r="AB146" s="460">
        <f t="shared" si="340"/>
        <v>0</v>
      </c>
      <c r="AC146" s="3431"/>
      <c r="AD146" s="1186"/>
      <c r="AE146" s="3432"/>
      <c r="AF146" s="775">
        <f t="shared" si="341"/>
        <v>0</v>
      </c>
      <c r="AG146" s="3431"/>
      <c r="AH146" s="1186"/>
      <c r="AI146" s="3432"/>
      <c r="AJ146" s="368">
        <f t="shared" si="367"/>
        <v>0</v>
      </c>
      <c r="AK146" s="3431"/>
      <c r="AL146" s="1186"/>
      <c r="AM146" s="3433"/>
      <c r="AN146" s="613">
        <f t="shared" si="368"/>
        <v>0</v>
      </c>
      <c r="AO146" s="3432"/>
      <c r="AP146" s="368">
        <f t="shared" si="369"/>
        <v>0</v>
      </c>
      <c r="AQ146" s="3431"/>
      <c r="AR146" s="1186"/>
      <c r="AS146" s="3432"/>
      <c r="AT146" s="42">
        <f t="shared" si="370"/>
        <v>0</v>
      </c>
      <c r="AU146" s="3431"/>
      <c r="AV146" s="1186"/>
      <c r="AW146" s="3432"/>
      <c r="AX146" s="42">
        <f t="shared" si="371"/>
        <v>0</v>
      </c>
      <c r="AY146" s="3431"/>
      <c r="AZ146" s="1186"/>
      <c r="BA146" s="3433"/>
      <c r="BB146" s="613">
        <f t="shared" si="372"/>
        <v>0</v>
      </c>
      <c r="BC146" s="5721"/>
      <c r="BD146" s="460">
        <f t="shared" si="373"/>
        <v>0</v>
      </c>
      <c r="BE146" s="844"/>
      <c r="BF146" s="42">
        <f t="shared" si="374"/>
        <v>0</v>
      </c>
      <c r="BG146" s="26">
        <f t="shared" si="328"/>
        <v>0</v>
      </c>
      <c r="BH146" s="26">
        <f t="shared" si="329"/>
        <v>0</v>
      </c>
      <c r="BI146" s="26"/>
      <c r="BJ146" s="26">
        <f t="shared" si="330"/>
        <v>0</v>
      </c>
      <c r="BK146" s="26">
        <f t="shared" si="331"/>
        <v>0</v>
      </c>
    </row>
    <row r="147" spans="1:63" ht="15" thickBot="1" x14ac:dyDescent="0.35">
      <c r="A147" s="92"/>
      <c r="B147" s="3448" t="s">
        <v>862</v>
      </c>
      <c r="C147" s="3449" t="s">
        <v>942</v>
      </c>
      <c r="D147" s="3449"/>
      <c r="E147" s="3431"/>
      <c r="F147" s="1186">
        <v>305.92</v>
      </c>
      <c r="G147" s="3431"/>
      <c r="H147" s="1186">
        <v>188.02</v>
      </c>
      <c r="I147" s="3432"/>
      <c r="J147" s="775">
        <f t="shared" si="335"/>
        <v>493.94000000000005</v>
      </c>
      <c r="K147" s="3431"/>
      <c r="L147" s="1186"/>
      <c r="M147" s="3433"/>
      <c r="N147" s="774">
        <f t="shared" si="336"/>
        <v>493.94000000000005</v>
      </c>
      <c r="O147" s="3431"/>
      <c r="P147" s="1186"/>
      <c r="Q147" s="3432"/>
      <c r="R147" s="775">
        <f t="shared" si="337"/>
        <v>493.94000000000005</v>
      </c>
      <c r="S147" s="3431"/>
      <c r="T147" s="1186"/>
      <c r="U147" s="3432"/>
      <c r="V147" s="775">
        <f t="shared" si="338"/>
        <v>493.94000000000005</v>
      </c>
      <c r="W147" s="3431"/>
      <c r="X147" s="1186"/>
      <c r="Y147" s="3433"/>
      <c r="Z147" s="774">
        <f t="shared" si="339"/>
        <v>0</v>
      </c>
      <c r="AA147" s="5721"/>
      <c r="AB147" s="460">
        <f t="shared" si="340"/>
        <v>493.94000000000005</v>
      </c>
      <c r="AC147" s="3431"/>
      <c r="AD147" s="1186"/>
      <c r="AE147" s="3432"/>
      <c r="AF147" s="775">
        <f t="shared" si="341"/>
        <v>493.94000000000005</v>
      </c>
      <c r="AG147" s="3431"/>
      <c r="AH147" s="1186">
        <v>65</v>
      </c>
      <c r="AI147" s="3432"/>
      <c r="AJ147" s="368">
        <f t="shared" si="367"/>
        <v>558.94000000000005</v>
      </c>
      <c r="AK147" s="3431"/>
      <c r="AL147" s="1186"/>
      <c r="AM147" s="3433"/>
      <c r="AN147" s="613">
        <f t="shared" si="368"/>
        <v>65</v>
      </c>
      <c r="AO147" s="3432"/>
      <c r="AP147" s="368">
        <f t="shared" si="369"/>
        <v>558.94000000000005</v>
      </c>
      <c r="AQ147" s="3431"/>
      <c r="AR147" s="1186"/>
      <c r="AS147" s="3432"/>
      <c r="AT147" s="42">
        <f t="shared" si="370"/>
        <v>558.94000000000005</v>
      </c>
      <c r="AU147" s="3431"/>
      <c r="AV147" s="1186"/>
      <c r="AW147" s="3432"/>
      <c r="AX147" s="42">
        <f t="shared" si="371"/>
        <v>558.94000000000005</v>
      </c>
      <c r="AY147" s="3431"/>
      <c r="AZ147" s="1186"/>
      <c r="BA147" s="3433"/>
      <c r="BB147" s="613">
        <f t="shared" si="372"/>
        <v>0</v>
      </c>
      <c r="BC147" s="5721"/>
      <c r="BD147" s="460">
        <f t="shared" si="373"/>
        <v>65</v>
      </c>
      <c r="BE147" s="844"/>
      <c r="BF147" s="42">
        <f t="shared" si="374"/>
        <v>558.94000000000005</v>
      </c>
      <c r="BG147" s="26">
        <f t="shared" ref="BG147:BG210" si="380">AY147+AU147+AQ147+AK147+AG147+AC147+W147+S147+O147+K147+G147+E147-BE147</f>
        <v>0</v>
      </c>
      <c r="BH147" s="26">
        <f t="shared" ref="BH147:BH210" si="381">AZ147+AV147+AR147+AL147+AH147+AD147+X147+T147+P147+L147+H147+F147-BF147</f>
        <v>0</v>
      </c>
      <c r="BI147" s="26"/>
      <c r="BJ147" s="26">
        <f t="shared" ref="BJ147:BJ210" si="382">AY147+AU147+AQ147+AK147+AG147+AC147-BC147</f>
        <v>0</v>
      </c>
      <c r="BK147" s="26">
        <f t="shared" ref="BK147:BK210" si="383">AZ147+AV147+AR147+AL147+AH147+AD147-BD147</f>
        <v>0</v>
      </c>
    </row>
    <row r="148" spans="1:63" ht="15.75" customHeight="1" thickBot="1" x14ac:dyDescent="0.35">
      <c r="A148" s="92"/>
      <c r="B148" s="3450" t="s">
        <v>862</v>
      </c>
      <c r="C148" s="3443" t="s">
        <v>1492</v>
      </c>
      <c r="D148" s="3422"/>
      <c r="E148" s="3412"/>
      <c r="F148" s="1185"/>
      <c r="G148" s="3412"/>
      <c r="H148" s="1185"/>
      <c r="I148" s="844"/>
      <c r="J148" s="775">
        <f t="shared" si="335"/>
        <v>0</v>
      </c>
      <c r="K148" s="3412"/>
      <c r="L148" s="1185"/>
      <c r="M148" s="894"/>
      <c r="N148" s="774">
        <f t="shared" si="336"/>
        <v>0</v>
      </c>
      <c r="O148" s="3412"/>
      <c r="P148" s="1185"/>
      <c r="Q148" s="844"/>
      <c r="R148" s="775">
        <f t="shared" si="337"/>
        <v>0</v>
      </c>
      <c r="S148" s="3412"/>
      <c r="T148" s="1185"/>
      <c r="U148" s="844"/>
      <c r="V148" s="775">
        <f t="shared" si="338"/>
        <v>0</v>
      </c>
      <c r="W148" s="3412"/>
      <c r="X148" s="1185"/>
      <c r="Y148" s="894"/>
      <c r="Z148" s="774">
        <f t="shared" si="339"/>
        <v>0</v>
      </c>
      <c r="AA148" s="3965"/>
      <c r="AB148" s="460">
        <f t="shared" si="340"/>
        <v>0</v>
      </c>
      <c r="AC148" s="3412"/>
      <c r="AD148" s="1185"/>
      <c r="AE148" s="844"/>
      <c r="AF148" s="775">
        <f t="shared" si="341"/>
        <v>0</v>
      </c>
      <c r="AG148" s="3412"/>
      <c r="AH148" s="1185"/>
      <c r="AI148" s="844"/>
      <c r="AJ148" s="368">
        <f t="shared" si="367"/>
        <v>0</v>
      </c>
      <c r="AK148" s="3412"/>
      <c r="AL148" s="1185"/>
      <c r="AM148" s="894"/>
      <c r="AN148" s="613">
        <f t="shared" si="368"/>
        <v>0</v>
      </c>
      <c r="AO148" s="844"/>
      <c r="AP148" s="368">
        <f t="shared" si="369"/>
        <v>0</v>
      </c>
      <c r="AQ148" s="3412"/>
      <c r="AR148" s="1185"/>
      <c r="AS148" s="844"/>
      <c r="AT148" s="42">
        <f t="shared" si="370"/>
        <v>0</v>
      </c>
      <c r="AU148" s="3412"/>
      <c r="AV148" s="1185"/>
      <c r="AW148" s="844"/>
      <c r="AX148" s="42">
        <f t="shared" si="371"/>
        <v>0</v>
      </c>
      <c r="AY148" s="3412"/>
      <c r="AZ148" s="1185"/>
      <c r="BA148" s="894"/>
      <c r="BB148" s="613">
        <f t="shared" si="372"/>
        <v>0</v>
      </c>
      <c r="BC148" s="3965"/>
      <c r="BD148" s="460">
        <f t="shared" si="373"/>
        <v>0</v>
      </c>
      <c r="BE148" s="844"/>
      <c r="BF148" s="42">
        <f t="shared" si="374"/>
        <v>0</v>
      </c>
      <c r="BG148" s="26">
        <f t="shared" si="380"/>
        <v>0</v>
      </c>
      <c r="BH148" s="26">
        <f t="shared" si="381"/>
        <v>0</v>
      </c>
      <c r="BI148" s="26"/>
      <c r="BJ148" s="26">
        <f t="shared" si="382"/>
        <v>0</v>
      </c>
      <c r="BK148" s="26">
        <f t="shared" si="383"/>
        <v>0</v>
      </c>
    </row>
    <row r="149" spans="1:63" ht="15" thickBot="1" x14ac:dyDescent="0.35">
      <c r="A149" s="92"/>
      <c r="B149" s="3448" t="s">
        <v>862</v>
      </c>
      <c r="C149" s="3443" t="s">
        <v>1433</v>
      </c>
      <c r="D149" s="3422"/>
      <c r="E149" s="3412"/>
      <c r="F149" s="1185">
        <v>63.68</v>
      </c>
      <c r="G149" s="3412"/>
      <c r="H149" s="1185"/>
      <c r="I149" s="844"/>
      <c r="J149" s="775">
        <f t="shared" si="335"/>
        <v>63.68</v>
      </c>
      <c r="K149" s="3412"/>
      <c r="L149" s="1185"/>
      <c r="M149" s="894"/>
      <c r="N149" s="774">
        <f t="shared" si="336"/>
        <v>63.68</v>
      </c>
      <c r="O149" s="3412"/>
      <c r="P149" s="1185"/>
      <c r="Q149" s="844"/>
      <c r="R149" s="775">
        <f t="shared" si="337"/>
        <v>63.68</v>
      </c>
      <c r="S149" s="3412"/>
      <c r="T149" s="1185"/>
      <c r="U149" s="844"/>
      <c r="V149" s="775">
        <f t="shared" si="338"/>
        <v>63.68</v>
      </c>
      <c r="W149" s="3412"/>
      <c r="X149" s="1185"/>
      <c r="Y149" s="894"/>
      <c r="Z149" s="774">
        <f t="shared" si="339"/>
        <v>0</v>
      </c>
      <c r="AA149" s="3965"/>
      <c r="AB149" s="460">
        <f t="shared" si="340"/>
        <v>63.68</v>
      </c>
      <c r="AC149" s="3412"/>
      <c r="AD149" s="1185"/>
      <c r="AE149" s="844"/>
      <c r="AF149" s="775">
        <f t="shared" si="341"/>
        <v>63.68</v>
      </c>
      <c r="AG149" s="3412"/>
      <c r="AH149" s="1185"/>
      <c r="AI149" s="844"/>
      <c r="AJ149" s="368">
        <f t="shared" si="367"/>
        <v>63.68</v>
      </c>
      <c r="AK149" s="3412"/>
      <c r="AL149" s="1185"/>
      <c r="AM149" s="894"/>
      <c r="AN149" s="613">
        <f t="shared" si="368"/>
        <v>0</v>
      </c>
      <c r="AO149" s="844"/>
      <c r="AP149" s="368">
        <f t="shared" si="369"/>
        <v>63.68</v>
      </c>
      <c r="AQ149" s="3412"/>
      <c r="AR149" s="1185"/>
      <c r="AS149" s="844"/>
      <c r="AT149" s="42">
        <f t="shared" si="370"/>
        <v>63.68</v>
      </c>
      <c r="AU149" s="3412"/>
      <c r="AV149" s="1185"/>
      <c r="AW149" s="844"/>
      <c r="AX149" s="42">
        <f t="shared" si="371"/>
        <v>63.68</v>
      </c>
      <c r="AY149" s="3412"/>
      <c r="AZ149" s="1185"/>
      <c r="BA149" s="894"/>
      <c r="BB149" s="613">
        <f t="shared" si="372"/>
        <v>0</v>
      </c>
      <c r="BC149" s="3965"/>
      <c r="BD149" s="460">
        <f t="shared" si="373"/>
        <v>0</v>
      </c>
      <c r="BE149" s="844"/>
      <c r="BF149" s="42">
        <f t="shared" si="374"/>
        <v>63.68</v>
      </c>
      <c r="BG149" s="26">
        <f t="shared" si="380"/>
        <v>0</v>
      </c>
      <c r="BH149" s="26">
        <f t="shared" si="381"/>
        <v>0</v>
      </c>
      <c r="BI149" s="26"/>
      <c r="BJ149" s="26">
        <f t="shared" si="382"/>
        <v>0</v>
      </c>
      <c r="BK149" s="26">
        <f t="shared" si="383"/>
        <v>0</v>
      </c>
    </row>
    <row r="150" spans="1:63" ht="15" thickBot="1" x14ac:dyDescent="0.35">
      <c r="A150" s="92"/>
      <c r="B150" s="3450" t="s">
        <v>862</v>
      </c>
      <c r="C150" s="3443" t="s">
        <v>1491</v>
      </c>
      <c r="D150" s="3422"/>
      <c r="E150" s="3412"/>
      <c r="F150" s="1185">
        <v>127.6</v>
      </c>
      <c r="G150" s="3412"/>
      <c r="H150" s="1185"/>
      <c r="I150" s="844"/>
      <c r="J150" s="775">
        <f t="shared" si="335"/>
        <v>127.6</v>
      </c>
      <c r="K150" s="3412"/>
      <c r="L150" s="1185"/>
      <c r="M150" s="894"/>
      <c r="N150" s="774">
        <f t="shared" si="336"/>
        <v>127.6</v>
      </c>
      <c r="O150" s="3412"/>
      <c r="P150" s="1185"/>
      <c r="Q150" s="844"/>
      <c r="R150" s="775">
        <f t="shared" si="337"/>
        <v>127.6</v>
      </c>
      <c r="S150" s="3412"/>
      <c r="T150" s="1185"/>
      <c r="U150" s="844"/>
      <c r="V150" s="775">
        <f t="shared" si="338"/>
        <v>127.6</v>
      </c>
      <c r="W150" s="3412"/>
      <c r="X150" s="1185"/>
      <c r="Y150" s="894"/>
      <c r="Z150" s="774">
        <f t="shared" si="339"/>
        <v>0</v>
      </c>
      <c r="AA150" s="3965"/>
      <c r="AB150" s="460">
        <f t="shared" si="340"/>
        <v>127.6</v>
      </c>
      <c r="AC150" s="3412"/>
      <c r="AD150" s="1185">
        <v>63.76</v>
      </c>
      <c r="AE150" s="844"/>
      <c r="AF150" s="775">
        <f t="shared" si="341"/>
        <v>191.35999999999999</v>
      </c>
      <c r="AG150" s="3412"/>
      <c r="AH150" s="1185"/>
      <c r="AI150" s="844"/>
      <c r="AJ150" s="368">
        <f t="shared" si="367"/>
        <v>191.35999999999999</v>
      </c>
      <c r="AK150" s="3412"/>
      <c r="AL150" s="1185"/>
      <c r="AM150" s="894"/>
      <c r="AN150" s="613">
        <f t="shared" si="368"/>
        <v>63.76</v>
      </c>
      <c r="AO150" s="844"/>
      <c r="AP150" s="368">
        <f t="shared" si="369"/>
        <v>191.35999999999999</v>
      </c>
      <c r="AQ150" s="3412"/>
      <c r="AR150" s="1185"/>
      <c r="AS150" s="844"/>
      <c r="AT150" s="42">
        <f t="shared" si="370"/>
        <v>191.35999999999999</v>
      </c>
      <c r="AU150" s="3412"/>
      <c r="AV150" s="1185"/>
      <c r="AW150" s="844"/>
      <c r="AX150" s="42">
        <f t="shared" si="371"/>
        <v>191.35999999999999</v>
      </c>
      <c r="AY150" s="3412"/>
      <c r="AZ150" s="1185"/>
      <c r="BA150" s="894"/>
      <c r="BB150" s="613">
        <f t="shared" si="372"/>
        <v>0</v>
      </c>
      <c r="BC150" s="3965"/>
      <c r="BD150" s="460">
        <f t="shared" si="373"/>
        <v>63.76</v>
      </c>
      <c r="BE150" s="844"/>
      <c r="BF150" s="42">
        <f t="shared" si="374"/>
        <v>191.35999999999999</v>
      </c>
      <c r="BG150" s="26">
        <f t="shared" si="380"/>
        <v>0</v>
      </c>
      <c r="BH150" s="26">
        <f t="shared" si="381"/>
        <v>0</v>
      </c>
      <c r="BI150" s="26"/>
      <c r="BJ150" s="26">
        <f t="shared" si="382"/>
        <v>0</v>
      </c>
      <c r="BK150" s="26">
        <f t="shared" si="383"/>
        <v>0</v>
      </c>
    </row>
    <row r="151" spans="1:63" ht="20.25" customHeight="1" thickBot="1" x14ac:dyDescent="0.35">
      <c r="A151" s="92"/>
      <c r="B151" s="3448" t="s">
        <v>862</v>
      </c>
      <c r="C151" s="3443" t="s">
        <v>1141</v>
      </c>
      <c r="D151" s="3422"/>
      <c r="E151" s="3412"/>
      <c r="F151" s="1185">
        <v>129.20999999999998</v>
      </c>
      <c r="G151" s="3412"/>
      <c r="H151" s="1185">
        <v>316.89999999999998</v>
      </c>
      <c r="I151" s="844"/>
      <c r="J151" s="775">
        <f t="shared" si="335"/>
        <v>446.10999999999996</v>
      </c>
      <c r="K151" s="3412"/>
      <c r="L151" s="1185">
        <v>126.78</v>
      </c>
      <c r="M151" s="894"/>
      <c r="N151" s="774">
        <f t="shared" si="336"/>
        <v>572.89</v>
      </c>
      <c r="O151" s="3412"/>
      <c r="P151" s="1185"/>
      <c r="Q151" s="844"/>
      <c r="R151" s="775">
        <f t="shared" si="337"/>
        <v>572.89</v>
      </c>
      <c r="S151" s="3412"/>
      <c r="T151" s="1185">
        <v>963.69999999999993</v>
      </c>
      <c r="U151" s="844"/>
      <c r="V151" s="775">
        <f t="shared" si="338"/>
        <v>1536.59</v>
      </c>
      <c r="W151" s="3412"/>
      <c r="X151" s="1185">
        <v>758.28000000000009</v>
      </c>
      <c r="Y151" s="894"/>
      <c r="Z151" s="774">
        <f t="shared" si="339"/>
        <v>1721.98</v>
      </c>
      <c r="AA151" s="3965"/>
      <c r="AB151" s="460">
        <f t="shared" si="340"/>
        <v>2294.87</v>
      </c>
      <c r="AC151" s="3412"/>
      <c r="AD151" s="1185">
        <v>504.14</v>
      </c>
      <c r="AE151" s="844"/>
      <c r="AF151" s="775">
        <f t="shared" si="341"/>
        <v>2799.0099999999998</v>
      </c>
      <c r="AG151" s="3412"/>
      <c r="AH151" s="1185"/>
      <c r="AI151" s="844"/>
      <c r="AJ151" s="368">
        <f t="shared" si="367"/>
        <v>2799.0099999999998</v>
      </c>
      <c r="AK151" s="3412"/>
      <c r="AL151" s="1185"/>
      <c r="AM151" s="894"/>
      <c r="AN151" s="613">
        <f t="shared" si="368"/>
        <v>504.14</v>
      </c>
      <c r="AO151" s="844"/>
      <c r="AP151" s="368">
        <f t="shared" si="369"/>
        <v>2799.0099999999998</v>
      </c>
      <c r="AQ151" s="3412"/>
      <c r="AR151" s="1185"/>
      <c r="AS151" s="844"/>
      <c r="AT151" s="42">
        <f t="shared" si="370"/>
        <v>2799.0099999999998</v>
      </c>
      <c r="AU151" s="3412"/>
      <c r="AV151" s="1185"/>
      <c r="AW151" s="844"/>
      <c r="AX151" s="42">
        <f t="shared" si="371"/>
        <v>2799.0099999999998</v>
      </c>
      <c r="AY151" s="3412"/>
      <c r="AZ151" s="1185"/>
      <c r="BA151" s="894"/>
      <c r="BB151" s="613">
        <f t="shared" si="372"/>
        <v>0</v>
      </c>
      <c r="BC151" s="3965"/>
      <c r="BD151" s="460">
        <f t="shared" si="373"/>
        <v>504.14</v>
      </c>
      <c r="BE151" s="844"/>
      <c r="BF151" s="42">
        <f t="shared" si="374"/>
        <v>2799.0099999999998</v>
      </c>
      <c r="BG151" s="26">
        <f t="shared" si="380"/>
        <v>0</v>
      </c>
      <c r="BH151" s="26">
        <f t="shared" si="381"/>
        <v>0</v>
      </c>
      <c r="BI151" s="26"/>
      <c r="BJ151" s="26">
        <f t="shared" si="382"/>
        <v>0</v>
      </c>
      <c r="BK151" s="26">
        <f t="shared" si="383"/>
        <v>0</v>
      </c>
    </row>
    <row r="152" spans="1:63" ht="15" thickBot="1" x14ac:dyDescent="0.35">
      <c r="A152" s="92"/>
      <c r="B152" s="3450" t="s">
        <v>862</v>
      </c>
      <c r="C152" s="3446" t="s">
        <v>899</v>
      </c>
      <c r="D152" s="3424"/>
      <c r="E152" s="3425"/>
      <c r="F152" s="107">
        <v>312.09999999999997</v>
      </c>
      <c r="G152" s="3425"/>
      <c r="H152" s="107">
        <v>501.52</v>
      </c>
      <c r="I152" s="2791"/>
      <c r="J152" s="775">
        <f t="shared" ref="J152:J216" si="384">F152+H152</f>
        <v>813.61999999999989</v>
      </c>
      <c r="K152" s="3425"/>
      <c r="L152" s="107"/>
      <c r="M152" s="3426"/>
      <c r="N152" s="774">
        <f t="shared" ref="N152:N216" si="385">J152+L152</f>
        <v>813.61999999999989</v>
      </c>
      <c r="O152" s="3425"/>
      <c r="P152" s="107"/>
      <c r="Q152" s="2791"/>
      <c r="R152" s="775">
        <f t="shared" ref="R152:R216" si="386">N152+P152</f>
        <v>813.61999999999989</v>
      </c>
      <c r="S152" s="3425"/>
      <c r="T152" s="107">
        <v>127.86</v>
      </c>
      <c r="U152" s="2791"/>
      <c r="V152" s="775">
        <f t="shared" ref="V152:V216" si="387">R152+T152</f>
        <v>941.4799999999999</v>
      </c>
      <c r="W152" s="3425"/>
      <c r="X152" s="107">
        <v>195.88</v>
      </c>
      <c r="Y152" s="3426"/>
      <c r="Z152" s="774">
        <f t="shared" ref="Z152:Z216" si="388">P152+T152+X152</f>
        <v>323.74</v>
      </c>
      <c r="AA152" s="5720"/>
      <c r="AB152" s="460">
        <f t="shared" ref="AB152:AB216" si="389">N152+Z152</f>
        <v>1137.3599999999999</v>
      </c>
      <c r="AC152" s="3425"/>
      <c r="AD152" s="107">
        <v>117.3</v>
      </c>
      <c r="AE152" s="2791"/>
      <c r="AF152" s="775">
        <f t="shared" ref="AF152:AF216" si="390">AB152+AD152</f>
        <v>1254.6599999999999</v>
      </c>
      <c r="AG152" s="3425"/>
      <c r="AH152" s="107"/>
      <c r="AI152" s="2791"/>
      <c r="AJ152" s="368">
        <f t="shared" si="367"/>
        <v>1254.6599999999999</v>
      </c>
      <c r="AK152" s="3425"/>
      <c r="AL152" s="107"/>
      <c r="AM152" s="3426"/>
      <c r="AN152" s="613">
        <f t="shared" si="368"/>
        <v>117.3</v>
      </c>
      <c r="AO152" s="2791"/>
      <c r="AP152" s="368">
        <f t="shared" si="369"/>
        <v>1254.6599999999999</v>
      </c>
      <c r="AQ152" s="3425"/>
      <c r="AR152" s="107"/>
      <c r="AS152" s="2791"/>
      <c r="AT152" s="42">
        <f t="shared" si="370"/>
        <v>1254.6599999999999</v>
      </c>
      <c r="AU152" s="3425"/>
      <c r="AV152" s="107"/>
      <c r="AW152" s="2791"/>
      <c r="AX152" s="42">
        <f t="shared" si="371"/>
        <v>1254.6599999999999</v>
      </c>
      <c r="AY152" s="3425"/>
      <c r="AZ152" s="107"/>
      <c r="BA152" s="3426"/>
      <c r="BB152" s="613">
        <f t="shared" si="372"/>
        <v>0</v>
      </c>
      <c r="BC152" s="5720"/>
      <c r="BD152" s="460">
        <f t="shared" si="373"/>
        <v>117.3</v>
      </c>
      <c r="BE152" s="844"/>
      <c r="BF152" s="42">
        <f t="shared" si="374"/>
        <v>1254.6599999999999</v>
      </c>
      <c r="BG152" s="26">
        <f t="shared" si="380"/>
        <v>0</v>
      </c>
      <c r="BH152" s="26">
        <f t="shared" si="381"/>
        <v>0</v>
      </c>
      <c r="BI152" s="26"/>
      <c r="BJ152" s="26">
        <f t="shared" si="382"/>
        <v>0</v>
      </c>
      <c r="BK152" s="26">
        <f t="shared" si="383"/>
        <v>0</v>
      </c>
    </row>
    <row r="153" spans="1:63" ht="15.75" customHeight="1" thickBot="1" x14ac:dyDescent="0.35">
      <c r="A153" s="92"/>
      <c r="B153" s="3448" t="s">
        <v>862</v>
      </c>
      <c r="C153" s="3435" t="s">
        <v>897</v>
      </c>
      <c r="D153" s="3435"/>
      <c r="E153" s="3436"/>
      <c r="F153" s="3437"/>
      <c r="G153" s="3436"/>
      <c r="H153" s="3437">
        <v>387.21999999999997</v>
      </c>
      <c r="I153" s="3438"/>
      <c r="J153" s="775">
        <f t="shared" si="384"/>
        <v>387.21999999999997</v>
      </c>
      <c r="K153" s="3436"/>
      <c r="L153" s="3437"/>
      <c r="M153" s="3439"/>
      <c r="N153" s="774">
        <f t="shared" si="385"/>
        <v>387.21999999999997</v>
      </c>
      <c r="O153" s="3436"/>
      <c r="P153" s="3437"/>
      <c r="Q153" s="3438"/>
      <c r="R153" s="775">
        <f t="shared" si="386"/>
        <v>387.21999999999997</v>
      </c>
      <c r="S153" s="3436"/>
      <c r="T153" s="3437"/>
      <c r="U153" s="3438"/>
      <c r="V153" s="775">
        <f t="shared" si="387"/>
        <v>387.21999999999997</v>
      </c>
      <c r="W153" s="3436"/>
      <c r="X153" s="3437">
        <v>195.72000000000003</v>
      </c>
      <c r="Y153" s="3439"/>
      <c r="Z153" s="774">
        <f t="shared" si="388"/>
        <v>195.72000000000003</v>
      </c>
      <c r="AA153" s="5722"/>
      <c r="AB153" s="460">
        <f t="shared" si="389"/>
        <v>582.94000000000005</v>
      </c>
      <c r="AC153" s="3436"/>
      <c r="AD153" s="3437">
        <v>124.86</v>
      </c>
      <c r="AE153" s="3438"/>
      <c r="AF153" s="775">
        <f t="shared" si="390"/>
        <v>707.80000000000007</v>
      </c>
      <c r="AG153" s="3436"/>
      <c r="AH153" s="3437"/>
      <c r="AI153" s="3438"/>
      <c r="AJ153" s="368">
        <f t="shared" si="367"/>
        <v>707.80000000000007</v>
      </c>
      <c r="AK153" s="3436"/>
      <c r="AL153" s="3437"/>
      <c r="AM153" s="3439"/>
      <c r="AN153" s="613">
        <f t="shared" si="368"/>
        <v>124.86</v>
      </c>
      <c r="AO153" s="3438"/>
      <c r="AP153" s="368">
        <f t="shared" si="369"/>
        <v>707.80000000000007</v>
      </c>
      <c r="AQ153" s="3436"/>
      <c r="AR153" s="3437"/>
      <c r="AS153" s="3438"/>
      <c r="AT153" s="42">
        <f t="shared" si="370"/>
        <v>707.80000000000007</v>
      </c>
      <c r="AU153" s="3436"/>
      <c r="AV153" s="3437"/>
      <c r="AW153" s="3438"/>
      <c r="AX153" s="42">
        <f t="shared" si="371"/>
        <v>707.80000000000007</v>
      </c>
      <c r="AY153" s="3436"/>
      <c r="AZ153" s="3437"/>
      <c r="BA153" s="3439"/>
      <c r="BB153" s="613">
        <f t="shared" si="372"/>
        <v>0</v>
      </c>
      <c r="BC153" s="5722"/>
      <c r="BD153" s="460">
        <f t="shared" si="373"/>
        <v>124.86</v>
      </c>
      <c r="BE153" s="844"/>
      <c r="BF153" s="42">
        <f t="shared" si="374"/>
        <v>707.80000000000007</v>
      </c>
      <c r="BG153" s="26">
        <f t="shared" si="380"/>
        <v>0</v>
      </c>
      <c r="BH153" s="26">
        <f t="shared" si="381"/>
        <v>0</v>
      </c>
      <c r="BI153" s="26"/>
      <c r="BJ153" s="26">
        <f t="shared" si="382"/>
        <v>0</v>
      </c>
      <c r="BK153" s="26">
        <f t="shared" si="383"/>
        <v>0</v>
      </c>
    </row>
    <row r="154" spans="1:63" ht="20.25" customHeight="1" thickBot="1" x14ac:dyDescent="0.35">
      <c r="A154" s="92"/>
      <c r="B154" s="3447" t="s">
        <v>863</v>
      </c>
      <c r="C154" s="3417" t="s">
        <v>899</v>
      </c>
      <c r="D154" s="3417"/>
      <c r="E154" s="3427"/>
      <c r="F154" s="155"/>
      <c r="G154" s="3427"/>
      <c r="H154" s="155"/>
      <c r="I154" s="2788"/>
      <c r="J154" s="775">
        <f t="shared" si="384"/>
        <v>0</v>
      </c>
      <c r="K154" s="3427"/>
      <c r="L154" s="155"/>
      <c r="M154" s="3428"/>
      <c r="N154" s="774">
        <f t="shared" si="385"/>
        <v>0</v>
      </c>
      <c r="O154" s="3427"/>
      <c r="P154" s="155"/>
      <c r="Q154" s="2788"/>
      <c r="R154" s="775">
        <f t="shared" si="386"/>
        <v>0</v>
      </c>
      <c r="S154" s="3427"/>
      <c r="T154" s="155"/>
      <c r="U154" s="2788"/>
      <c r="V154" s="775">
        <f t="shared" si="387"/>
        <v>0</v>
      </c>
      <c r="W154" s="3427"/>
      <c r="X154" s="155"/>
      <c r="Y154" s="3428"/>
      <c r="Z154" s="774">
        <f t="shared" si="388"/>
        <v>0</v>
      </c>
      <c r="AA154" s="4621"/>
      <c r="AB154" s="460">
        <f t="shared" si="389"/>
        <v>0</v>
      </c>
      <c r="AC154" s="3427"/>
      <c r="AD154" s="155"/>
      <c r="AE154" s="2788"/>
      <c r="AF154" s="775">
        <f t="shared" si="390"/>
        <v>0</v>
      </c>
      <c r="AG154" s="3427"/>
      <c r="AH154" s="155"/>
      <c r="AI154" s="2788"/>
      <c r="AJ154" s="368">
        <f t="shared" si="367"/>
        <v>0</v>
      </c>
      <c r="AK154" s="3427"/>
      <c r="AL154" s="155"/>
      <c r="AM154" s="3428"/>
      <c r="AN154" s="613">
        <f t="shared" si="368"/>
        <v>0</v>
      </c>
      <c r="AO154" s="2788"/>
      <c r="AP154" s="368">
        <f t="shared" si="369"/>
        <v>0</v>
      </c>
      <c r="AQ154" s="3427"/>
      <c r="AR154" s="155"/>
      <c r="AS154" s="2788"/>
      <c r="AT154" s="42">
        <f t="shared" si="370"/>
        <v>0</v>
      </c>
      <c r="AU154" s="3427"/>
      <c r="AV154" s="155"/>
      <c r="AW154" s="2788"/>
      <c r="AX154" s="42">
        <f t="shared" si="371"/>
        <v>0</v>
      </c>
      <c r="AY154" s="3427"/>
      <c r="AZ154" s="155"/>
      <c r="BA154" s="3428"/>
      <c r="BB154" s="613">
        <f t="shared" si="372"/>
        <v>0</v>
      </c>
      <c r="BC154" s="4621"/>
      <c r="BD154" s="460">
        <f t="shared" si="373"/>
        <v>0</v>
      </c>
      <c r="BE154" s="844"/>
      <c r="BF154" s="42">
        <f t="shared" si="374"/>
        <v>0</v>
      </c>
      <c r="BG154" s="26">
        <f t="shared" si="380"/>
        <v>0</v>
      </c>
      <c r="BH154" s="26">
        <f t="shared" si="381"/>
        <v>0</v>
      </c>
      <c r="BI154" s="26"/>
      <c r="BJ154" s="26">
        <f t="shared" si="382"/>
        <v>0</v>
      </c>
      <c r="BK154" s="26">
        <f t="shared" si="383"/>
        <v>0</v>
      </c>
    </row>
    <row r="155" spans="1:63" ht="15.75" customHeight="1" thickBot="1" x14ac:dyDescent="0.35">
      <c r="A155" s="92"/>
      <c r="B155" s="3450" t="s">
        <v>863</v>
      </c>
      <c r="C155" s="3443" t="s">
        <v>878</v>
      </c>
      <c r="D155" s="3422"/>
      <c r="E155" s="1185"/>
      <c r="F155" s="1185"/>
      <c r="G155" s="1185"/>
      <c r="H155" s="1185"/>
      <c r="I155" s="775"/>
      <c r="J155" s="775">
        <f t="shared" si="384"/>
        <v>0</v>
      </c>
      <c r="K155" s="1185"/>
      <c r="L155" s="1185"/>
      <c r="M155" s="774"/>
      <c r="N155" s="774">
        <f t="shared" si="385"/>
        <v>0</v>
      </c>
      <c r="O155" s="1185"/>
      <c r="P155" s="1185"/>
      <c r="Q155" s="775"/>
      <c r="R155" s="775">
        <f t="shared" si="386"/>
        <v>0</v>
      </c>
      <c r="S155" s="1185"/>
      <c r="T155" s="1185"/>
      <c r="U155" s="775"/>
      <c r="V155" s="775">
        <f t="shared" si="387"/>
        <v>0</v>
      </c>
      <c r="W155" s="1185"/>
      <c r="X155" s="1185"/>
      <c r="Y155" s="774"/>
      <c r="Z155" s="774">
        <f t="shared" si="388"/>
        <v>0</v>
      </c>
      <c r="AA155" s="460"/>
      <c r="AB155" s="460">
        <f t="shared" si="389"/>
        <v>0</v>
      </c>
      <c r="AC155" s="1185"/>
      <c r="AD155" s="1185"/>
      <c r="AE155" s="775"/>
      <c r="AF155" s="775">
        <f t="shared" si="390"/>
        <v>0</v>
      </c>
      <c r="AG155" s="1185"/>
      <c r="AH155" s="1185"/>
      <c r="AI155" s="775"/>
      <c r="AJ155" s="368">
        <f t="shared" si="367"/>
        <v>0</v>
      </c>
      <c r="AK155" s="1185"/>
      <c r="AL155" s="1185"/>
      <c r="AM155" s="774"/>
      <c r="AN155" s="613">
        <f t="shared" si="368"/>
        <v>0</v>
      </c>
      <c r="AO155" s="775"/>
      <c r="AP155" s="368">
        <f t="shared" si="369"/>
        <v>0</v>
      </c>
      <c r="AQ155" s="1185"/>
      <c r="AR155" s="1185"/>
      <c r="AS155" s="775"/>
      <c r="AT155" s="42">
        <f t="shared" si="370"/>
        <v>0</v>
      </c>
      <c r="AU155" s="1185"/>
      <c r="AV155" s="1185"/>
      <c r="AW155" s="775"/>
      <c r="AX155" s="42">
        <f t="shared" si="371"/>
        <v>0</v>
      </c>
      <c r="AY155" s="1185"/>
      <c r="AZ155" s="1185"/>
      <c r="BA155" s="774"/>
      <c r="BB155" s="613">
        <f t="shared" si="372"/>
        <v>0</v>
      </c>
      <c r="BC155" s="460"/>
      <c r="BD155" s="460">
        <f t="shared" si="373"/>
        <v>0</v>
      </c>
      <c r="BE155" s="844"/>
      <c r="BF155" s="42">
        <f t="shared" si="374"/>
        <v>0</v>
      </c>
      <c r="BG155" s="26">
        <f t="shared" si="380"/>
        <v>0</v>
      </c>
      <c r="BH155" s="26">
        <f t="shared" si="381"/>
        <v>0</v>
      </c>
      <c r="BI155" s="26"/>
      <c r="BJ155" s="26">
        <f t="shared" si="382"/>
        <v>0</v>
      </c>
      <c r="BK155" s="26">
        <f t="shared" si="383"/>
        <v>0</v>
      </c>
    </row>
    <row r="156" spans="1:63" ht="15.75" customHeight="1" thickBot="1" x14ac:dyDescent="0.35">
      <c r="A156" s="92"/>
      <c r="B156" s="3450" t="s">
        <v>863</v>
      </c>
      <c r="C156" s="3443" t="s">
        <v>900</v>
      </c>
      <c r="D156" s="3422"/>
      <c r="E156" s="1185"/>
      <c r="F156" s="1185"/>
      <c r="G156" s="1185"/>
      <c r="H156" s="1185"/>
      <c r="I156" s="775"/>
      <c r="J156" s="775">
        <f t="shared" si="384"/>
        <v>0</v>
      </c>
      <c r="K156" s="1185"/>
      <c r="L156" s="1185"/>
      <c r="M156" s="774"/>
      <c r="N156" s="774">
        <f t="shared" si="385"/>
        <v>0</v>
      </c>
      <c r="O156" s="1185"/>
      <c r="P156" s="1185"/>
      <c r="Q156" s="775"/>
      <c r="R156" s="775">
        <f t="shared" si="386"/>
        <v>0</v>
      </c>
      <c r="S156" s="1185"/>
      <c r="T156" s="1185"/>
      <c r="U156" s="775"/>
      <c r="V156" s="775">
        <f t="shared" si="387"/>
        <v>0</v>
      </c>
      <c r="W156" s="1185"/>
      <c r="X156" s="1185"/>
      <c r="Y156" s="774"/>
      <c r="Z156" s="774">
        <f t="shared" si="388"/>
        <v>0</v>
      </c>
      <c r="AA156" s="460"/>
      <c r="AB156" s="460">
        <f t="shared" si="389"/>
        <v>0</v>
      </c>
      <c r="AC156" s="1185"/>
      <c r="AD156" s="1185"/>
      <c r="AE156" s="775"/>
      <c r="AF156" s="775">
        <f t="shared" si="390"/>
        <v>0</v>
      </c>
      <c r="AG156" s="1185"/>
      <c r="AH156" s="1185"/>
      <c r="AI156" s="775"/>
      <c r="AJ156" s="368">
        <f t="shared" si="367"/>
        <v>0</v>
      </c>
      <c r="AK156" s="1185"/>
      <c r="AL156" s="1185"/>
      <c r="AM156" s="774"/>
      <c r="AN156" s="613">
        <f t="shared" si="368"/>
        <v>0</v>
      </c>
      <c r="AO156" s="775"/>
      <c r="AP156" s="368">
        <f t="shared" si="369"/>
        <v>0</v>
      </c>
      <c r="AQ156" s="1185"/>
      <c r="AR156" s="1185"/>
      <c r="AS156" s="775"/>
      <c r="AT156" s="42">
        <f t="shared" si="370"/>
        <v>0</v>
      </c>
      <c r="AU156" s="1185"/>
      <c r="AV156" s="1185"/>
      <c r="AW156" s="775"/>
      <c r="AX156" s="42">
        <f t="shared" si="371"/>
        <v>0</v>
      </c>
      <c r="AY156" s="1185"/>
      <c r="AZ156" s="1185"/>
      <c r="BA156" s="774"/>
      <c r="BB156" s="613">
        <f t="shared" si="372"/>
        <v>0</v>
      </c>
      <c r="BC156" s="460"/>
      <c r="BD156" s="460">
        <f t="shared" si="373"/>
        <v>0</v>
      </c>
      <c r="BE156" s="844"/>
      <c r="BF156" s="42">
        <f t="shared" si="374"/>
        <v>0</v>
      </c>
      <c r="BG156" s="26">
        <f t="shared" si="380"/>
        <v>0</v>
      </c>
      <c r="BH156" s="26">
        <f t="shared" si="381"/>
        <v>0</v>
      </c>
      <c r="BI156" s="26"/>
      <c r="BJ156" s="26">
        <f t="shared" si="382"/>
        <v>0</v>
      </c>
      <c r="BK156" s="26">
        <f t="shared" si="383"/>
        <v>0</v>
      </c>
    </row>
    <row r="157" spans="1:63" ht="15.75" customHeight="1" thickBot="1" x14ac:dyDescent="0.35">
      <c r="A157" s="92"/>
      <c r="B157" s="3450" t="s">
        <v>863</v>
      </c>
      <c r="C157" s="3452" t="s">
        <v>1144</v>
      </c>
      <c r="D157" s="3453"/>
      <c r="E157" s="2537"/>
      <c r="F157" s="2537"/>
      <c r="G157" s="2537"/>
      <c r="H157" s="2537"/>
      <c r="I157" s="2538"/>
      <c r="J157" s="775">
        <f t="shared" si="384"/>
        <v>0</v>
      </c>
      <c r="K157" s="2537"/>
      <c r="L157" s="2537"/>
      <c r="M157" s="2539"/>
      <c r="N157" s="774">
        <f t="shared" si="385"/>
        <v>0</v>
      </c>
      <c r="O157" s="2537"/>
      <c r="P157" s="2537"/>
      <c r="Q157" s="2538"/>
      <c r="R157" s="775">
        <f t="shared" si="386"/>
        <v>0</v>
      </c>
      <c r="S157" s="2537"/>
      <c r="T157" s="2537"/>
      <c r="U157" s="2538"/>
      <c r="V157" s="775">
        <f t="shared" si="387"/>
        <v>0</v>
      </c>
      <c r="W157" s="2537"/>
      <c r="X157" s="2537"/>
      <c r="Y157" s="2539"/>
      <c r="Z157" s="774">
        <f t="shared" si="388"/>
        <v>0</v>
      </c>
      <c r="AA157" s="2579"/>
      <c r="AB157" s="460">
        <f t="shared" si="389"/>
        <v>0</v>
      </c>
      <c r="AC157" s="2537"/>
      <c r="AD157" s="2537"/>
      <c r="AE157" s="2538"/>
      <c r="AF157" s="775">
        <f t="shared" si="390"/>
        <v>0</v>
      </c>
      <c r="AG157" s="2537"/>
      <c r="AH157" s="2537"/>
      <c r="AI157" s="2538"/>
      <c r="AJ157" s="368">
        <f t="shared" si="367"/>
        <v>0</v>
      </c>
      <c r="AK157" s="2537"/>
      <c r="AL157" s="2537"/>
      <c r="AM157" s="2539"/>
      <c r="AN157" s="613">
        <f t="shared" si="368"/>
        <v>0</v>
      </c>
      <c r="AO157" s="2538"/>
      <c r="AP157" s="368">
        <f t="shared" si="369"/>
        <v>0</v>
      </c>
      <c r="AQ157" s="2537"/>
      <c r="AR157" s="2537"/>
      <c r="AS157" s="2538"/>
      <c r="AT157" s="42">
        <f t="shared" si="370"/>
        <v>0</v>
      </c>
      <c r="AU157" s="2537"/>
      <c r="AV157" s="2537"/>
      <c r="AW157" s="2538"/>
      <c r="AX157" s="42">
        <f t="shared" si="371"/>
        <v>0</v>
      </c>
      <c r="AY157" s="2537"/>
      <c r="AZ157" s="2537"/>
      <c r="BA157" s="2539"/>
      <c r="BB157" s="613">
        <f t="shared" si="372"/>
        <v>0</v>
      </c>
      <c r="BC157" s="2579"/>
      <c r="BD157" s="460">
        <f t="shared" si="373"/>
        <v>0</v>
      </c>
      <c r="BE157" s="844"/>
      <c r="BF157" s="42">
        <f t="shared" si="374"/>
        <v>0</v>
      </c>
      <c r="BG157" s="26">
        <f t="shared" si="380"/>
        <v>0</v>
      </c>
      <c r="BH157" s="26">
        <f t="shared" si="381"/>
        <v>0</v>
      </c>
      <c r="BI157" s="26"/>
      <c r="BJ157" s="26">
        <f t="shared" si="382"/>
        <v>0</v>
      </c>
      <c r="BK157" s="26">
        <f t="shared" si="383"/>
        <v>0</v>
      </c>
    </row>
    <row r="158" spans="1:63" ht="15.75" customHeight="1" thickBot="1" x14ac:dyDescent="0.35">
      <c r="A158" s="92"/>
      <c r="B158" s="3450" t="s">
        <v>863</v>
      </c>
      <c r="C158" s="3452" t="s">
        <v>896</v>
      </c>
      <c r="D158" s="3453"/>
      <c r="E158" s="2537"/>
      <c r="F158" s="2537"/>
      <c r="G158" s="2537"/>
      <c r="H158" s="2537"/>
      <c r="I158" s="2538"/>
      <c r="J158" s="775">
        <f t="shared" si="384"/>
        <v>0</v>
      </c>
      <c r="K158" s="2537"/>
      <c r="L158" s="2537"/>
      <c r="M158" s="2539"/>
      <c r="N158" s="774">
        <f t="shared" si="385"/>
        <v>0</v>
      </c>
      <c r="O158" s="2537"/>
      <c r="P158" s="2537"/>
      <c r="Q158" s="2538"/>
      <c r="R158" s="775">
        <f t="shared" si="386"/>
        <v>0</v>
      </c>
      <c r="S158" s="2537"/>
      <c r="T158" s="2537"/>
      <c r="U158" s="2538"/>
      <c r="V158" s="775">
        <f t="shared" si="387"/>
        <v>0</v>
      </c>
      <c r="W158" s="2537"/>
      <c r="X158" s="2537"/>
      <c r="Y158" s="2539"/>
      <c r="Z158" s="774">
        <f t="shared" si="388"/>
        <v>0</v>
      </c>
      <c r="AA158" s="2579"/>
      <c r="AB158" s="460">
        <f t="shared" si="389"/>
        <v>0</v>
      </c>
      <c r="AC158" s="2537"/>
      <c r="AD158" s="2537"/>
      <c r="AE158" s="2538"/>
      <c r="AF158" s="775">
        <f t="shared" si="390"/>
        <v>0</v>
      </c>
      <c r="AG158" s="2537"/>
      <c r="AH158" s="2537"/>
      <c r="AI158" s="2538"/>
      <c r="AJ158" s="368">
        <f t="shared" si="367"/>
        <v>0</v>
      </c>
      <c r="AK158" s="2537"/>
      <c r="AL158" s="2537"/>
      <c r="AM158" s="2539"/>
      <c r="AN158" s="613">
        <f t="shared" si="368"/>
        <v>0</v>
      </c>
      <c r="AO158" s="2538"/>
      <c r="AP158" s="368">
        <f t="shared" si="369"/>
        <v>0</v>
      </c>
      <c r="AQ158" s="2537"/>
      <c r="AR158" s="2537"/>
      <c r="AS158" s="2538"/>
      <c r="AT158" s="42">
        <f t="shared" si="370"/>
        <v>0</v>
      </c>
      <c r="AU158" s="2537"/>
      <c r="AV158" s="2537"/>
      <c r="AW158" s="2538"/>
      <c r="AX158" s="42">
        <f t="shared" si="371"/>
        <v>0</v>
      </c>
      <c r="AY158" s="2537"/>
      <c r="AZ158" s="2537"/>
      <c r="BA158" s="2539"/>
      <c r="BB158" s="613">
        <f t="shared" si="372"/>
        <v>0</v>
      </c>
      <c r="BC158" s="2579"/>
      <c r="BD158" s="460">
        <f t="shared" si="373"/>
        <v>0</v>
      </c>
      <c r="BE158" s="844"/>
      <c r="BF158" s="42">
        <f t="shared" si="374"/>
        <v>0</v>
      </c>
      <c r="BG158" s="26">
        <f t="shared" si="380"/>
        <v>0</v>
      </c>
      <c r="BH158" s="26">
        <f t="shared" si="381"/>
        <v>0</v>
      </c>
      <c r="BI158" s="26"/>
      <c r="BJ158" s="26">
        <f t="shared" si="382"/>
        <v>0</v>
      </c>
      <c r="BK158" s="26">
        <f t="shared" si="383"/>
        <v>0</v>
      </c>
    </row>
    <row r="159" spans="1:63" ht="15.75" customHeight="1" thickBot="1" x14ac:dyDescent="0.35">
      <c r="A159" s="92"/>
      <c r="B159" s="3450" t="s">
        <v>863</v>
      </c>
      <c r="C159" s="3452" t="s">
        <v>942</v>
      </c>
      <c r="D159" s="3453"/>
      <c r="E159" s="2537"/>
      <c r="F159" s="2537"/>
      <c r="G159" s="2537"/>
      <c r="H159" s="2537"/>
      <c r="I159" s="2538"/>
      <c r="J159" s="775">
        <f t="shared" si="384"/>
        <v>0</v>
      </c>
      <c r="K159" s="2537"/>
      <c r="L159" s="2537"/>
      <c r="M159" s="2539"/>
      <c r="N159" s="774">
        <f t="shared" si="385"/>
        <v>0</v>
      </c>
      <c r="O159" s="2537"/>
      <c r="P159" s="2537"/>
      <c r="Q159" s="2538"/>
      <c r="R159" s="775">
        <f t="shared" si="386"/>
        <v>0</v>
      </c>
      <c r="S159" s="2537"/>
      <c r="T159" s="2537"/>
      <c r="U159" s="2538"/>
      <c r="V159" s="775">
        <f t="shared" si="387"/>
        <v>0</v>
      </c>
      <c r="W159" s="2537"/>
      <c r="X159" s="2537"/>
      <c r="Y159" s="2539"/>
      <c r="Z159" s="774">
        <f t="shared" si="388"/>
        <v>0</v>
      </c>
      <c r="AA159" s="2579"/>
      <c r="AB159" s="460">
        <f t="shared" si="389"/>
        <v>0</v>
      </c>
      <c r="AC159" s="2537"/>
      <c r="AD159" s="2537"/>
      <c r="AE159" s="2538"/>
      <c r="AF159" s="775">
        <f t="shared" si="390"/>
        <v>0</v>
      </c>
      <c r="AG159" s="2537"/>
      <c r="AH159" s="2537"/>
      <c r="AI159" s="2538"/>
      <c r="AJ159" s="368">
        <f t="shared" si="367"/>
        <v>0</v>
      </c>
      <c r="AK159" s="2537"/>
      <c r="AL159" s="2537"/>
      <c r="AM159" s="2539"/>
      <c r="AN159" s="613">
        <f t="shared" si="368"/>
        <v>0</v>
      </c>
      <c r="AO159" s="2538"/>
      <c r="AP159" s="368">
        <f t="shared" si="369"/>
        <v>0</v>
      </c>
      <c r="AQ159" s="2537"/>
      <c r="AR159" s="2537">
        <v>23.588000000000001</v>
      </c>
      <c r="AS159" s="2538"/>
      <c r="AT159" s="42">
        <f t="shared" si="370"/>
        <v>23.588000000000001</v>
      </c>
      <c r="AU159" s="2537"/>
      <c r="AV159" s="2537"/>
      <c r="AW159" s="2538"/>
      <c r="AX159" s="42">
        <f t="shared" si="371"/>
        <v>23.588000000000001</v>
      </c>
      <c r="AY159" s="2537"/>
      <c r="AZ159" s="2537"/>
      <c r="BA159" s="2539"/>
      <c r="BB159" s="613">
        <f t="shared" si="372"/>
        <v>23.588000000000001</v>
      </c>
      <c r="BC159" s="2579"/>
      <c r="BD159" s="460">
        <f t="shared" si="373"/>
        <v>23.588000000000001</v>
      </c>
      <c r="BE159" s="844"/>
      <c r="BF159" s="42">
        <f t="shared" si="374"/>
        <v>23.588000000000001</v>
      </c>
      <c r="BG159" s="26">
        <f t="shared" si="380"/>
        <v>0</v>
      </c>
      <c r="BH159" s="26">
        <f t="shared" si="381"/>
        <v>0</v>
      </c>
      <c r="BI159" s="26"/>
      <c r="BJ159" s="26">
        <f t="shared" si="382"/>
        <v>0</v>
      </c>
      <c r="BK159" s="26">
        <f t="shared" si="383"/>
        <v>0</v>
      </c>
    </row>
    <row r="160" spans="1:63" ht="15.75" customHeight="1" thickBot="1" x14ac:dyDescent="0.35">
      <c r="A160" s="92"/>
      <c r="B160" s="3450" t="s">
        <v>863</v>
      </c>
      <c r="C160" s="3443" t="s">
        <v>1433</v>
      </c>
      <c r="D160" s="3443"/>
      <c r="E160" s="1185"/>
      <c r="F160" s="1185"/>
      <c r="G160" s="1185"/>
      <c r="H160" s="1185"/>
      <c r="I160" s="775"/>
      <c r="J160" s="775">
        <f t="shared" si="384"/>
        <v>0</v>
      </c>
      <c r="K160" s="1185"/>
      <c r="L160" s="1185"/>
      <c r="M160" s="774"/>
      <c r="N160" s="774">
        <f t="shared" si="385"/>
        <v>0</v>
      </c>
      <c r="O160" s="1185"/>
      <c r="P160" s="1185"/>
      <c r="Q160" s="775"/>
      <c r="R160" s="775">
        <f t="shared" si="386"/>
        <v>0</v>
      </c>
      <c r="S160" s="1185"/>
      <c r="T160" s="1185"/>
      <c r="U160" s="775"/>
      <c r="V160" s="775">
        <f t="shared" si="387"/>
        <v>0</v>
      </c>
      <c r="W160" s="1185"/>
      <c r="X160" s="1185"/>
      <c r="Y160" s="774"/>
      <c r="Z160" s="774">
        <f t="shared" si="388"/>
        <v>0</v>
      </c>
      <c r="AA160" s="460"/>
      <c r="AB160" s="460">
        <f t="shared" si="389"/>
        <v>0</v>
      </c>
      <c r="AC160" s="1185"/>
      <c r="AD160" s="1185"/>
      <c r="AE160" s="775"/>
      <c r="AF160" s="775">
        <f t="shared" si="390"/>
        <v>0</v>
      </c>
      <c r="AG160" s="1185"/>
      <c r="AH160" s="1185"/>
      <c r="AI160" s="775"/>
      <c r="AJ160" s="368">
        <f t="shared" si="367"/>
        <v>0</v>
      </c>
      <c r="AK160" s="1185"/>
      <c r="AL160" s="1185"/>
      <c r="AM160" s="774"/>
      <c r="AN160" s="613">
        <f t="shared" si="368"/>
        <v>0</v>
      </c>
      <c r="AO160" s="775"/>
      <c r="AP160" s="368">
        <f t="shared" si="369"/>
        <v>0</v>
      </c>
      <c r="AQ160" s="1185"/>
      <c r="AR160" s="1185"/>
      <c r="AS160" s="775"/>
      <c r="AT160" s="42">
        <f t="shared" si="370"/>
        <v>0</v>
      </c>
      <c r="AU160" s="1185"/>
      <c r="AV160" s="1185"/>
      <c r="AW160" s="775"/>
      <c r="AX160" s="42">
        <f t="shared" si="371"/>
        <v>0</v>
      </c>
      <c r="AY160" s="1185"/>
      <c r="AZ160" s="1185"/>
      <c r="BA160" s="774"/>
      <c r="BB160" s="613">
        <f t="shared" si="372"/>
        <v>0</v>
      </c>
      <c r="BC160" s="460"/>
      <c r="BD160" s="460">
        <f t="shared" si="373"/>
        <v>0</v>
      </c>
      <c r="BE160" s="844"/>
      <c r="BF160" s="42">
        <f t="shared" si="374"/>
        <v>0</v>
      </c>
      <c r="BG160" s="26">
        <f t="shared" si="380"/>
        <v>0</v>
      </c>
      <c r="BH160" s="26">
        <f t="shared" si="381"/>
        <v>0</v>
      </c>
      <c r="BI160" s="26"/>
      <c r="BJ160" s="26">
        <f t="shared" si="382"/>
        <v>0</v>
      </c>
      <c r="BK160" s="26">
        <f t="shared" si="383"/>
        <v>0</v>
      </c>
    </row>
    <row r="161" spans="1:63" ht="15" thickBot="1" x14ac:dyDescent="0.35">
      <c r="A161" s="92"/>
      <c r="B161" s="3451" t="s">
        <v>863</v>
      </c>
      <c r="C161" s="3446" t="s">
        <v>1143</v>
      </c>
      <c r="D161" s="3424"/>
      <c r="E161" s="107"/>
      <c r="F161" s="107"/>
      <c r="G161" s="107"/>
      <c r="H161" s="107"/>
      <c r="I161" s="584"/>
      <c r="J161" s="775">
        <f t="shared" si="384"/>
        <v>0</v>
      </c>
      <c r="K161" s="107"/>
      <c r="L161" s="107"/>
      <c r="M161" s="483"/>
      <c r="N161" s="774">
        <f t="shared" si="385"/>
        <v>0</v>
      </c>
      <c r="O161" s="107"/>
      <c r="P161" s="107"/>
      <c r="Q161" s="584"/>
      <c r="R161" s="775">
        <f t="shared" si="386"/>
        <v>0</v>
      </c>
      <c r="S161" s="107"/>
      <c r="T161" s="107">
        <v>1399.68</v>
      </c>
      <c r="U161" s="584"/>
      <c r="V161" s="775">
        <f t="shared" si="387"/>
        <v>1399.68</v>
      </c>
      <c r="W161" s="107"/>
      <c r="X161" s="107"/>
      <c r="Y161" s="483"/>
      <c r="Z161" s="774">
        <f t="shared" si="388"/>
        <v>1399.68</v>
      </c>
      <c r="AA161" s="1127"/>
      <c r="AB161" s="460">
        <f t="shared" si="389"/>
        <v>1399.68</v>
      </c>
      <c r="AC161" s="107"/>
      <c r="AD161" s="107"/>
      <c r="AE161" s="584"/>
      <c r="AF161" s="775">
        <f t="shared" si="390"/>
        <v>1399.68</v>
      </c>
      <c r="AG161" s="107"/>
      <c r="AH161" s="107"/>
      <c r="AI161" s="584"/>
      <c r="AJ161" s="368">
        <f t="shared" si="367"/>
        <v>1399.68</v>
      </c>
      <c r="AK161" s="107"/>
      <c r="AL161" s="107"/>
      <c r="AM161" s="483"/>
      <c r="AN161" s="613">
        <f t="shared" si="368"/>
        <v>0</v>
      </c>
      <c r="AO161" s="584"/>
      <c r="AP161" s="368">
        <f t="shared" si="369"/>
        <v>1399.68</v>
      </c>
      <c r="AQ161" s="107"/>
      <c r="AR161" s="107"/>
      <c r="AS161" s="584"/>
      <c r="AT161" s="42">
        <f t="shared" si="370"/>
        <v>1399.68</v>
      </c>
      <c r="AU161" s="107"/>
      <c r="AV161" s="107"/>
      <c r="AW161" s="584"/>
      <c r="AX161" s="42">
        <f t="shared" si="371"/>
        <v>1399.68</v>
      </c>
      <c r="AY161" s="107"/>
      <c r="AZ161" s="107"/>
      <c r="BA161" s="483"/>
      <c r="BB161" s="613">
        <f t="shared" si="372"/>
        <v>0</v>
      </c>
      <c r="BC161" s="1127"/>
      <c r="BD161" s="460">
        <f t="shared" si="373"/>
        <v>0</v>
      </c>
      <c r="BE161" s="844"/>
      <c r="BF161" s="42">
        <f t="shared" si="374"/>
        <v>1399.68</v>
      </c>
      <c r="BG161" s="26">
        <f t="shared" si="380"/>
        <v>0</v>
      </c>
      <c r="BH161" s="26">
        <f t="shared" si="381"/>
        <v>0</v>
      </c>
      <c r="BI161" s="26"/>
      <c r="BJ161" s="26">
        <f t="shared" si="382"/>
        <v>0</v>
      </c>
      <c r="BK161" s="26">
        <f t="shared" si="383"/>
        <v>0</v>
      </c>
    </row>
    <row r="162" spans="1:63" ht="20.25" customHeight="1" thickBot="1" x14ac:dyDescent="0.35">
      <c r="A162" s="92"/>
      <c r="B162" s="3447" t="s">
        <v>864</v>
      </c>
      <c r="C162" s="3442" t="s">
        <v>942</v>
      </c>
      <c r="D162" s="3417"/>
      <c r="E162" s="155"/>
      <c r="F162" s="155"/>
      <c r="G162" s="155"/>
      <c r="H162" s="155">
        <v>245.6</v>
      </c>
      <c r="I162" s="368"/>
      <c r="J162" s="775">
        <f t="shared" si="384"/>
        <v>245.6</v>
      </c>
      <c r="K162" s="155"/>
      <c r="L162" s="155">
        <v>61.04</v>
      </c>
      <c r="M162" s="613"/>
      <c r="N162" s="774">
        <f t="shared" si="385"/>
        <v>306.64</v>
      </c>
      <c r="O162" s="155"/>
      <c r="P162" s="155"/>
      <c r="Q162" s="368"/>
      <c r="R162" s="775">
        <f t="shared" si="386"/>
        <v>306.64</v>
      </c>
      <c r="S162" s="155"/>
      <c r="T162" s="155"/>
      <c r="U162" s="368"/>
      <c r="V162" s="775">
        <f t="shared" si="387"/>
        <v>306.64</v>
      </c>
      <c r="W162" s="155"/>
      <c r="X162" s="155"/>
      <c r="Y162" s="613"/>
      <c r="Z162" s="774">
        <f t="shared" si="388"/>
        <v>0</v>
      </c>
      <c r="AA162" s="1039"/>
      <c r="AB162" s="460">
        <f t="shared" si="389"/>
        <v>306.64</v>
      </c>
      <c r="AC162" s="155"/>
      <c r="AD162" s="155"/>
      <c r="AE162" s="368"/>
      <c r="AF162" s="775">
        <f t="shared" si="390"/>
        <v>306.64</v>
      </c>
      <c r="AG162" s="155"/>
      <c r="AH162" s="155">
        <v>122.4</v>
      </c>
      <c r="AI162" s="368"/>
      <c r="AJ162" s="368">
        <f t="shared" si="367"/>
        <v>429.03999999999996</v>
      </c>
      <c r="AK162" s="155"/>
      <c r="AL162" s="155"/>
      <c r="AM162" s="613"/>
      <c r="AN162" s="613">
        <f t="shared" si="368"/>
        <v>122.4</v>
      </c>
      <c r="AO162" s="368"/>
      <c r="AP162" s="368">
        <f t="shared" si="369"/>
        <v>429.03999999999996</v>
      </c>
      <c r="AQ162" s="155"/>
      <c r="AR162" s="155">
        <v>23.542999999999999</v>
      </c>
      <c r="AS162" s="368"/>
      <c r="AT162" s="42">
        <f t="shared" si="370"/>
        <v>452.58299999999997</v>
      </c>
      <c r="AU162" s="155"/>
      <c r="AV162" s="155"/>
      <c r="AW162" s="368"/>
      <c r="AX162" s="42">
        <f t="shared" si="371"/>
        <v>452.58299999999997</v>
      </c>
      <c r="AY162" s="155"/>
      <c r="AZ162" s="155"/>
      <c r="BA162" s="613"/>
      <c r="BB162" s="613">
        <f t="shared" si="372"/>
        <v>23.542999999999999</v>
      </c>
      <c r="BC162" s="1039"/>
      <c r="BD162" s="460">
        <f t="shared" si="373"/>
        <v>145.94300000000001</v>
      </c>
      <c r="BE162" s="844"/>
      <c r="BF162" s="42">
        <f t="shared" si="374"/>
        <v>452.58299999999997</v>
      </c>
      <c r="BG162" s="26">
        <f t="shared" si="380"/>
        <v>0</v>
      </c>
      <c r="BH162" s="26">
        <f t="shared" si="381"/>
        <v>0</v>
      </c>
      <c r="BI162" s="26"/>
      <c r="BJ162" s="26">
        <f t="shared" si="382"/>
        <v>0</v>
      </c>
      <c r="BK162" s="26">
        <f t="shared" si="383"/>
        <v>0</v>
      </c>
    </row>
    <row r="163" spans="1:63" ht="15" thickBot="1" x14ac:dyDescent="0.35">
      <c r="A163" s="92"/>
      <c r="B163" s="3450" t="s">
        <v>864</v>
      </c>
      <c r="C163" s="3443" t="s">
        <v>877</v>
      </c>
      <c r="D163" s="3422"/>
      <c r="E163" s="3412"/>
      <c r="F163" s="1185"/>
      <c r="G163" s="3412"/>
      <c r="H163" s="1185">
        <v>125.42</v>
      </c>
      <c r="I163" s="844"/>
      <c r="J163" s="775">
        <f t="shared" si="384"/>
        <v>125.42</v>
      </c>
      <c r="K163" s="3412"/>
      <c r="L163" s="1185">
        <v>370.84000000000003</v>
      </c>
      <c r="M163" s="894"/>
      <c r="N163" s="774">
        <f t="shared" si="385"/>
        <v>496.26000000000005</v>
      </c>
      <c r="O163" s="3412"/>
      <c r="P163" s="1185">
        <v>727.42000000000007</v>
      </c>
      <c r="Q163" s="844"/>
      <c r="R163" s="775">
        <f t="shared" si="386"/>
        <v>1223.68</v>
      </c>
      <c r="S163" s="3412"/>
      <c r="T163" s="1185">
        <v>437.34000000000003</v>
      </c>
      <c r="U163" s="844"/>
      <c r="V163" s="775">
        <f t="shared" si="387"/>
        <v>1661.02</v>
      </c>
      <c r="W163" s="3412"/>
      <c r="X163" s="1185">
        <v>495.94000000000005</v>
      </c>
      <c r="Y163" s="894"/>
      <c r="Z163" s="774">
        <f t="shared" si="388"/>
        <v>1660.7000000000003</v>
      </c>
      <c r="AA163" s="3965"/>
      <c r="AB163" s="460">
        <f t="shared" si="389"/>
        <v>2156.9600000000005</v>
      </c>
      <c r="AC163" s="3412"/>
      <c r="AD163" s="1185">
        <v>485.12</v>
      </c>
      <c r="AE163" s="844"/>
      <c r="AF163" s="775">
        <f t="shared" si="390"/>
        <v>2642.0800000000004</v>
      </c>
      <c r="AG163" s="3412"/>
      <c r="AH163" s="1185">
        <v>557.9</v>
      </c>
      <c r="AI163" s="844"/>
      <c r="AJ163" s="368">
        <f t="shared" si="367"/>
        <v>3199.9800000000005</v>
      </c>
      <c r="AK163" s="3412"/>
      <c r="AL163" s="1185">
        <v>605.07999999999993</v>
      </c>
      <c r="AM163" s="894"/>
      <c r="AN163" s="613">
        <f t="shared" si="368"/>
        <v>1648.1</v>
      </c>
      <c r="AO163" s="844"/>
      <c r="AP163" s="368">
        <f t="shared" si="369"/>
        <v>3805.0600000000004</v>
      </c>
      <c r="AQ163" s="3412"/>
      <c r="AR163" s="1185">
        <v>1055.46</v>
      </c>
      <c r="AS163" s="844"/>
      <c r="AT163" s="42">
        <f t="shared" si="370"/>
        <v>4860.5200000000004</v>
      </c>
      <c r="AU163" s="3412"/>
      <c r="AV163" s="1185">
        <v>1163.92</v>
      </c>
      <c r="AW163" s="844"/>
      <c r="AX163" s="42">
        <f t="shared" si="371"/>
        <v>6024.4400000000005</v>
      </c>
      <c r="AY163" s="3412"/>
      <c r="AZ163" s="1185">
        <v>683.5</v>
      </c>
      <c r="BA163" s="894"/>
      <c r="BB163" s="613">
        <f t="shared" si="372"/>
        <v>2902.88</v>
      </c>
      <c r="BC163" s="3965"/>
      <c r="BD163" s="460">
        <f t="shared" si="373"/>
        <v>4550.9799999999996</v>
      </c>
      <c r="BE163" s="844"/>
      <c r="BF163" s="42">
        <f t="shared" si="374"/>
        <v>6707.9400000000005</v>
      </c>
      <c r="BG163" s="26">
        <f t="shared" si="380"/>
        <v>0</v>
      </c>
      <c r="BH163" s="26">
        <f t="shared" si="381"/>
        <v>0</v>
      </c>
      <c r="BI163" s="26"/>
      <c r="BJ163" s="26">
        <f t="shared" si="382"/>
        <v>0</v>
      </c>
      <c r="BK163" s="26">
        <f t="shared" si="383"/>
        <v>0</v>
      </c>
    </row>
    <row r="164" spans="1:63" ht="15" thickBot="1" x14ac:dyDescent="0.35">
      <c r="A164" s="92"/>
      <c r="B164" s="3450" t="s">
        <v>864</v>
      </c>
      <c r="C164" s="3443" t="s">
        <v>1141</v>
      </c>
      <c r="D164" s="156"/>
      <c r="E164" s="156"/>
      <c r="F164" s="1185">
        <v>190.92000000000002</v>
      </c>
      <c r="G164" s="156"/>
      <c r="H164" s="1185">
        <v>316.74</v>
      </c>
      <c r="I164" s="585"/>
      <c r="J164" s="775">
        <f t="shared" si="384"/>
        <v>507.66</v>
      </c>
      <c r="K164" s="156"/>
      <c r="L164" s="1185">
        <v>570.52</v>
      </c>
      <c r="M164" s="938"/>
      <c r="N164" s="774">
        <f t="shared" si="385"/>
        <v>1078.18</v>
      </c>
      <c r="O164" s="156"/>
      <c r="P164" s="1185">
        <v>258.86</v>
      </c>
      <c r="Q164" s="585"/>
      <c r="R164" s="775">
        <f t="shared" si="386"/>
        <v>1337.04</v>
      </c>
      <c r="S164" s="156"/>
      <c r="T164" s="1185">
        <v>576.0200000000001</v>
      </c>
      <c r="U164" s="585"/>
      <c r="V164" s="775">
        <f t="shared" si="387"/>
        <v>1913.06</v>
      </c>
      <c r="W164" s="156"/>
      <c r="X164" s="1185"/>
      <c r="Y164" s="938"/>
      <c r="Z164" s="774">
        <f t="shared" si="388"/>
        <v>834.88000000000011</v>
      </c>
      <c r="AA164" s="2238"/>
      <c r="AB164" s="460">
        <f t="shared" si="389"/>
        <v>1913.0600000000002</v>
      </c>
      <c r="AC164" s="156"/>
      <c r="AD164" s="1185">
        <v>191.62</v>
      </c>
      <c r="AE164" s="585"/>
      <c r="AF164" s="775">
        <f t="shared" si="390"/>
        <v>2104.6800000000003</v>
      </c>
      <c r="AG164" s="156"/>
      <c r="AH164" s="1185"/>
      <c r="AI164" s="585"/>
      <c r="AJ164" s="368">
        <f t="shared" si="367"/>
        <v>2104.6800000000003</v>
      </c>
      <c r="AK164" s="156"/>
      <c r="AL164" s="1185">
        <v>445.49999999999994</v>
      </c>
      <c r="AM164" s="938"/>
      <c r="AN164" s="613">
        <f t="shared" si="368"/>
        <v>637.11999999999989</v>
      </c>
      <c r="AO164" s="585"/>
      <c r="AP164" s="368">
        <f t="shared" si="369"/>
        <v>2550.1800000000003</v>
      </c>
      <c r="AQ164" s="156"/>
      <c r="AR164" s="1185">
        <v>327.3</v>
      </c>
      <c r="AS164" s="585"/>
      <c r="AT164" s="42">
        <f t="shared" si="370"/>
        <v>2877.4800000000005</v>
      </c>
      <c r="AU164" s="156"/>
      <c r="AV164" s="1185">
        <v>65.22</v>
      </c>
      <c r="AW164" s="585"/>
      <c r="AX164" s="42">
        <f t="shared" si="371"/>
        <v>2942.7000000000003</v>
      </c>
      <c r="AY164" s="156"/>
      <c r="AZ164" s="1185">
        <v>332.86</v>
      </c>
      <c r="BA164" s="938"/>
      <c r="BB164" s="613">
        <f t="shared" si="372"/>
        <v>725.38</v>
      </c>
      <c r="BC164" s="2238"/>
      <c r="BD164" s="460">
        <f t="shared" si="373"/>
        <v>1362.5</v>
      </c>
      <c r="BE164" s="844"/>
      <c r="BF164" s="42">
        <f t="shared" si="374"/>
        <v>3275.5600000000004</v>
      </c>
      <c r="BG164" s="26">
        <f t="shared" si="380"/>
        <v>0</v>
      </c>
      <c r="BH164" s="26">
        <f t="shared" si="381"/>
        <v>0</v>
      </c>
      <c r="BI164" s="26"/>
      <c r="BJ164" s="26">
        <f t="shared" si="382"/>
        <v>0</v>
      </c>
      <c r="BK164" s="26">
        <f t="shared" si="383"/>
        <v>0</v>
      </c>
    </row>
    <row r="165" spans="1:63" ht="15.75" customHeight="1" thickBot="1" x14ac:dyDescent="0.35">
      <c r="A165" s="92"/>
      <c r="B165" s="4418" t="s">
        <v>864</v>
      </c>
      <c r="C165" s="4419" t="s">
        <v>1892</v>
      </c>
      <c r="D165" s="4420"/>
      <c r="E165" s="4420"/>
      <c r="F165" s="4402">
        <v>63.4</v>
      </c>
      <c r="G165" s="4420"/>
      <c r="H165" s="4402">
        <v>189.16000000000003</v>
      </c>
      <c r="I165" s="5194"/>
      <c r="J165" s="775">
        <f t="shared" si="384"/>
        <v>252.56000000000003</v>
      </c>
      <c r="K165" s="4420"/>
      <c r="L165" s="4402"/>
      <c r="M165" s="5193"/>
      <c r="N165" s="774">
        <f t="shared" si="385"/>
        <v>252.56000000000003</v>
      </c>
      <c r="O165" s="4420"/>
      <c r="P165" s="4402">
        <v>165.56</v>
      </c>
      <c r="Q165" s="5194"/>
      <c r="R165" s="775">
        <f t="shared" si="386"/>
        <v>418.12</v>
      </c>
      <c r="S165" s="4420"/>
      <c r="T165" s="4402">
        <v>40.950000000000003</v>
      </c>
      <c r="U165" s="5194"/>
      <c r="V165" s="775">
        <f t="shared" si="387"/>
        <v>459.07</v>
      </c>
      <c r="W165" s="4420"/>
      <c r="X165" s="4402"/>
      <c r="Y165" s="5193"/>
      <c r="Z165" s="774">
        <f t="shared" si="388"/>
        <v>206.51</v>
      </c>
      <c r="AA165" s="5249"/>
      <c r="AB165" s="460">
        <f t="shared" si="389"/>
        <v>459.07000000000005</v>
      </c>
      <c r="AC165" s="4420"/>
      <c r="AD165" s="4402"/>
      <c r="AE165" s="5194"/>
      <c r="AF165" s="775">
        <f t="shared" si="390"/>
        <v>459.07000000000005</v>
      </c>
      <c r="AG165" s="4420"/>
      <c r="AH165" s="4402"/>
      <c r="AI165" s="5194"/>
      <c r="AJ165" s="368">
        <f t="shared" si="367"/>
        <v>459.07000000000005</v>
      </c>
      <c r="AK165" s="4420"/>
      <c r="AL165" s="4402"/>
      <c r="AM165" s="5193"/>
      <c r="AN165" s="613">
        <f t="shared" si="368"/>
        <v>0</v>
      </c>
      <c r="AO165" s="5194"/>
      <c r="AP165" s="368">
        <f t="shared" si="369"/>
        <v>459.07000000000005</v>
      </c>
      <c r="AQ165" s="4420"/>
      <c r="AR165" s="4402"/>
      <c r="AS165" s="5194"/>
      <c r="AT165" s="42">
        <f t="shared" si="370"/>
        <v>459.07000000000005</v>
      </c>
      <c r="AU165" s="4420"/>
      <c r="AV165" s="4402"/>
      <c r="AW165" s="5194"/>
      <c r="AX165" s="42">
        <f t="shared" si="371"/>
        <v>459.07000000000005</v>
      </c>
      <c r="AY165" s="4420"/>
      <c r="AZ165" s="4402"/>
      <c r="BA165" s="5193"/>
      <c r="BB165" s="613">
        <f t="shared" si="372"/>
        <v>0</v>
      </c>
      <c r="BC165" s="5249"/>
      <c r="BD165" s="460">
        <f t="shared" si="373"/>
        <v>0</v>
      </c>
      <c r="BE165" s="844"/>
      <c r="BF165" s="42">
        <f t="shared" si="374"/>
        <v>459.07000000000005</v>
      </c>
      <c r="BG165" s="26">
        <f t="shared" si="380"/>
        <v>0</v>
      </c>
      <c r="BH165" s="26">
        <f t="shared" si="381"/>
        <v>0</v>
      </c>
      <c r="BI165" s="26"/>
      <c r="BJ165" s="26">
        <f t="shared" si="382"/>
        <v>0</v>
      </c>
      <c r="BK165" s="26">
        <f t="shared" si="383"/>
        <v>0</v>
      </c>
    </row>
    <row r="166" spans="1:63" ht="15.75" customHeight="1" thickBot="1" x14ac:dyDescent="0.35">
      <c r="A166" s="92"/>
      <c r="B166" s="3450" t="s">
        <v>864</v>
      </c>
      <c r="C166" s="3443" t="s">
        <v>899</v>
      </c>
      <c r="D166" s="3443"/>
      <c r="E166" s="3412"/>
      <c r="F166" s="1185"/>
      <c r="G166" s="3412"/>
      <c r="H166" s="1185"/>
      <c r="I166" s="844"/>
      <c r="J166" s="775">
        <f t="shared" si="384"/>
        <v>0</v>
      </c>
      <c r="K166" s="3412"/>
      <c r="L166" s="1185"/>
      <c r="M166" s="894"/>
      <c r="N166" s="774">
        <f t="shared" si="385"/>
        <v>0</v>
      </c>
      <c r="O166" s="3412"/>
      <c r="P166" s="1185"/>
      <c r="Q166" s="844"/>
      <c r="R166" s="775">
        <f t="shared" si="386"/>
        <v>0</v>
      </c>
      <c r="S166" s="3412"/>
      <c r="T166" s="1185"/>
      <c r="U166" s="844"/>
      <c r="V166" s="775">
        <f t="shared" si="387"/>
        <v>0</v>
      </c>
      <c r="W166" s="3412"/>
      <c r="X166" s="1185"/>
      <c r="Y166" s="894"/>
      <c r="Z166" s="774">
        <f t="shared" si="388"/>
        <v>0</v>
      </c>
      <c r="AA166" s="3965"/>
      <c r="AB166" s="460">
        <f t="shared" si="389"/>
        <v>0</v>
      </c>
      <c r="AC166" s="3412"/>
      <c r="AD166" s="1185">
        <v>190.78</v>
      </c>
      <c r="AE166" s="844"/>
      <c r="AF166" s="775">
        <f t="shared" si="390"/>
        <v>190.78</v>
      </c>
      <c r="AG166" s="3412"/>
      <c r="AH166" s="1185"/>
      <c r="AI166" s="844"/>
      <c r="AJ166" s="368">
        <f t="shared" si="367"/>
        <v>190.78</v>
      </c>
      <c r="AK166" s="3412"/>
      <c r="AL166" s="1185"/>
      <c r="AM166" s="894"/>
      <c r="AN166" s="613">
        <f t="shared" si="368"/>
        <v>190.78</v>
      </c>
      <c r="AO166" s="844"/>
      <c r="AP166" s="368">
        <f t="shared" si="369"/>
        <v>190.78</v>
      </c>
      <c r="AQ166" s="3412"/>
      <c r="AR166" s="1185"/>
      <c r="AS166" s="844"/>
      <c r="AT166" s="42">
        <f t="shared" si="370"/>
        <v>190.78</v>
      </c>
      <c r="AU166" s="3412"/>
      <c r="AV166" s="1185"/>
      <c r="AW166" s="844"/>
      <c r="AX166" s="42">
        <f t="shared" si="371"/>
        <v>190.78</v>
      </c>
      <c r="AY166" s="3412"/>
      <c r="AZ166" s="1185"/>
      <c r="BA166" s="894"/>
      <c r="BB166" s="613">
        <f t="shared" si="372"/>
        <v>0</v>
      </c>
      <c r="BC166" s="3965"/>
      <c r="BD166" s="460">
        <f t="shared" si="373"/>
        <v>190.78</v>
      </c>
      <c r="BE166" s="844"/>
      <c r="BF166" s="42">
        <f t="shared" si="374"/>
        <v>190.78</v>
      </c>
      <c r="BG166" s="26">
        <f t="shared" si="380"/>
        <v>0</v>
      </c>
      <c r="BH166" s="26">
        <f t="shared" si="381"/>
        <v>0</v>
      </c>
      <c r="BI166" s="26"/>
      <c r="BJ166" s="26">
        <f t="shared" si="382"/>
        <v>0</v>
      </c>
      <c r="BK166" s="26">
        <f t="shared" si="383"/>
        <v>0</v>
      </c>
    </row>
    <row r="167" spans="1:63" ht="15" thickBot="1" x14ac:dyDescent="0.35">
      <c r="A167" s="92"/>
      <c r="B167" s="3450" t="s">
        <v>864</v>
      </c>
      <c r="C167" s="3443" t="s">
        <v>988</v>
      </c>
      <c r="D167" s="3422"/>
      <c r="E167" s="3412"/>
      <c r="F167" s="1185"/>
      <c r="G167" s="3412"/>
      <c r="H167" s="1185"/>
      <c r="I167" s="844"/>
      <c r="J167" s="775">
        <f t="shared" si="384"/>
        <v>0</v>
      </c>
      <c r="K167" s="3412"/>
      <c r="L167" s="1185">
        <v>185.56</v>
      </c>
      <c r="M167" s="894"/>
      <c r="N167" s="774">
        <f t="shared" si="385"/>
        <v>185.56</v>
      </c>
      <c r="O167" s="3412"/>
      <c r="P167" s="1185">
        <v>112.96000000000001</v>
      </c>
      <c r="Q167" s="844"/>
      <c r="R167" s="775">
        <f t="shared" si="386"/>
        <v>298.52</v>
      </c>
      <c r="S167" s="3412"/>
      <c r="T167" s="1185">
        <v>179.34</v>
      </c>
      <c r="U167" s="844"/>
      <c r="V167" s="775">
        <f t="shared" si="387"/>
        <v>477.86</v>
      </c>
      <c r="W167" s="3412"/>
      <c r="X167" s="1185"/>
      <c r="Y167" s="894"/>
      <c r="Z167" s="774">
        <f t="shared" si="388"/>
        <v>292.3</v>
      </c>
      <c r="AA167" s="3965"/>
      <c r="AB167" s="460">
        <f t="shared" si="389"/>
        <v>477.86</v>
      </c>
      <c r="AC167" s="3412"/>
      <c r="AD167" s="1185">
        <v>54.48</v>
      </c>
      <c r="AE167" s="844"/>
      <c r="AF167" s="775">
        <f t="shared" si="390"/>
        <v>532.34</v>
      </c>
      <c r="AG167" s="3412"/>
      <c r="AH167" s="1185">
        <v>852.52</v>
      </c>
      <c r="AI167" s="844"/>
      <c r="AJ167" s="368">
        <f t="shared" si="367"/>
        <v>1384.8600000000001</v>
      </c>
      <c r="AK167" s="3412"/>
      <c r="AL167" s="1185"/>
      <c r="AM167" s="894"/>
      <c r="AN167" s="613">
        <f t="shared" si="368"/>
        <v>907</v>
      </c>
      <c r="AO167" s="844"/>
      <c r="AP167" s="368">
        <f t="shared" si="369"/>
        <v>1384.8600000000001</v>
      </c>
      <c r="AQ167" s="3412"/>
      <c r="AR167" s="1185">
        <v>239.52</v>
      </c>
      <c r="AS167" s="844"/>
      <c r="AT167" s="42">
        <f t="shared" si="370"/>
        <v>1624.38</v>
      </c>
      <c r="AU167" s="3412"/>
      <c r="AV167" s="1185"/>
      <c r="AW167" s="844"/>
      <c r="AX167" s="42">
        <f t="shared" si="371"/>
        <v>1624.38</v>
      </c>
      <c r="AY167" s="3412"/>
      <c r="AZ167" s="1185"/>
      <c r="BA167" s="894"/>
      <c r="BB167" s="613">
        <f t="shared" ref="BB167:BB235" si="391">AR167+AV167+AZ167</f>
        <v>239.52</v>
      </c>
      <c r="BC167" s="3965"/>
      <c r="BD167" s="460">
        <f t="shared" si="373"/>
        <v>1146.52</v>
      </c>
      <c r="BE167" s="844"/>
      <c r="BF167" s="42">
        <f t="shared" si="374"/>
        <v>1624.38</v>
      </c>
      <c r="BG167" s="26">
        <f t="shared" si="380"/>
        <v>0</v>
      </c>
      <c r="BH167" s="26">
        <f t="shared" si="381"/>
        <v>0</v>
      </c>
      <c r="BI167" s="26"/>
      <c r="BJ167" s="26">
        <f t="shared" si="382"/>
        <v>0</v>
      </c>
      <c r="BK167" s="26">
        <f t="shared" si="383"/>
        <v>0</v>
      </c>
    </row>
    <row r="168" spans="1:63" ht="15.75" customHeight="1" thickBot="1" x14ac:dyDescent="0.35">
      <c r="A168" s="92"/>
      <c r="B168" s="3450" t="s">
        <v>864</v>
      </c>
      <c r="C168" s="4358" t="s">
        <v>896</v>
      </c>
      <c r="D168" s="4359"/>
      <c r="E168" s="4360"/>
      <c r="F168" s="4338"/>
      <c r="G168" s="4360"/>
      <c r="H168" s="4338"/>
      <c r="I168" s="4353"/>
      <c r="J168" s="775">
        <f t="shared" si="384"/>
        <v>0</v>
      </c>
      <c r="K168" s="4360"/>
      <c r="L168" s="4338"/>
      <c r="M168" s="4354"/>
      <c r="N168" s="774">
        <f t="shared" si="385"/>
        <v>0</v>
      </c>
      <c r="O168" s="4360"/>
      <c r="P168" s="4338"/>
      <c r="Q168" s="4353"/>
      <c r="R168" s="775">
        <f t="shared" si="386"/>
        <v>0</v>
      </c>
      <c r="S168" s="4360"/>
      <c r="T168" s="4338"/>
      <c r="U168" s="4353"/>
      <c r="V168" s="775">
        <f t="shared" si="387"/>
        <v>0</v>
      </c>
      <c r="W168" s="4360"/>
      <c r="X168" s="4338"/>
      <c r="Y168" s="4354"/>
      <c r="Z168" s="774">
        <f t="shared" si="388"/>
        <v>0</v>
      </c>
      <c r="AA168" s="5724"/>
      <c r="AB168" s="460">
        <f t="shared" si="389"/>
        <v>0</v>
      </c>
      <c r="AC168" s="4360"/>
      <c r="AD168" s="4338"/>
      <c r="AE168" s="4353"/>
      <c r="AF168" s="775">
        <f t="shared" si="390"/>
        <v>0</v>
      </c>
      <c r="AG168" s="4360"/>
      <c r="AH168" s="4338"/>
      <c r="AI168" s="4353"/>
      <c r="AJ168" s="368"/>
      <c r="AK168" s="4360"/>
      <c r="AL168" s="4338"/>
      <c r="AM168" s="4354"/>
      <c r="AN168" s="613">
        <f t="shared" si="368"/>
        <v>0</v>
      </c>
      <c r="AO168" s="4353"/>
      <c r="AP168" s="368">
        <f t="shared" si="369"/>
        <v>0</v>
      </c>
      <c r="AQ168" s="4360"/>
      <c r="AR168" s="4338"/>
      <c r="AS168" s="4353"/>
      <c r="AT168" s="42">
        <f t="shared" si="370"/>
        <v>0</v>
      </c>
      <c r="AU168" s="4360"/>
      <c r="AV168" s="4338"/>
      <c r="AW168" s="4353"/>
      <c r="AX168" s="42">
        <f t="shared" si="371"/>
        <v>0</v>
      </c>
      <c r="AY168" s="4360"/>
      <c r="AZ168" s="4338"/>
      <c r="BA168" s="4354"/>
      <c r="BB168" s="613">
        <f t="shared" si="391"/>
        <v>0</v>
      </c>
      <c r="BC168" s="5724"/>
      <c r="BD168" s="460">
        <f t="shared" si="373"/>
        <v>0</v>
      </c>
      <c r="BE168" s="844"/>
      <c r="BF168" s="42">
        <f t="shared" si="374"/>
        <v>0</v>
      </c>
      <c r="BG168" s="26">
        <f t="shared" si="380"/>
        <v>0</v>
      </c>
      <c r="BH168" s="26">
        <f t="shared" si="381"/>
        <v>0</v>
      </c>
      <c r="BI168" s="26"/>
      <c r="BJ168" s="26">
        <f t="shared" si="382"/>
        <v>0</v>
      </c>
      <c r="BK168" s="26">
        <f t="shared" si="383"/>
        <v>0</v>
      </c>
    </row>
    <row r="169" spans="1:63" ht="15" thickBot="1" x14ac:dyDescent="0.35">
      <c r="A169" s="92"/>
      <c r="B169" s="3450" t="s">
        <v>864</v>
      </c>
      <c r="C169" s="3452" t="s">
        <v>1146</v>
      </c>
      <c r="D169" s="3453"/>
      <c r="E169" s="3294"/>
      <c r="F169" s="2537"/>
      <c r="G169" s="3294"/>
      <c r="H169" s="2537">
        <v>60.76</v>
      </c>
      <c r="I169" s="2789"/>
      <c r="J169" s="775">
        <f t="shared" si="384"/>
        <v>60.76</v>
      </c>
      <c r="K169" s="3294"/>
      <c r="L169" s="2537"/>
      <c r="M169" s="2757"/>
      <c r="N169" s="774">
        <f t="shared" si="385"/>
        <v>60.76</v>
      </c>
      <c r="O169" s="3294"/>
      <c r="P169" s="2537"/>
      <c r="Q169" s="2789"/>
      <c r="R169" s="775">
        <f t="shared" si="386"/>
        <v>60.76</v>
      </c>
      <c r="S169" s="3294"/>
      <c r="T169" s="2537"/>
      <c r="U169" s="2789"/>
      <c r="V169" s="775">
        <f t="shared" si="387"/>
        <v>60.76</v>
      </c>
      <c r="W169" s="3294"/>
      <c r="X169" s="2537">
        <v>125.14</v>
      </c>
      <c r="Y169" s="2757"/>
      <c r="Z169" s="774">
        <f t="shared" si="388"/>
        <v>125.14</v>
      </c>
      <c r="AA169" s="3966"/>
      <c r="AB169" s="460">
        <f t="shared" si="389"/>
        <v>185.9</v>
      </c>
      <c r="AC169" s="3294"/>
      <c r="AD169" s="2537">
        <v>181.57999999999998</v>
      </c>
      <c r="AE169" s="2789"/>
      <c r="AF169" s="775">
        <f t="shared" si="390"/>
        <v>367.48</v>
      </c>
      <c r="AG169" s="3294"/>
      <c r="AH169" s="2537"/>
      <c r="AI169" s="2789"/>
      <c r="AJ169" s="368">
        <f t="shared" si="367"/>
        <v>367.48</v>
      </c>
      <c r="AK169" s="3294"/>
      <c r="AL169" s="2537">
        <v>120.66</v>
      </c>
      <c r="AM169" s="2757"/>
      <c r="AN169" s="613">
        <f t="shared" si="368"/>
        <v>302.24</v>
      </c>
      <c r="AO169" s="2789"/>
      <c r="AP169" s="368">
        <f t="shared" si="369"/>
        <v>488.14</v>
      </c>
      <c r="AQ169" s="3294"/>
      <c r="AR169" s="2537"/>
      <c r="AS169" s="2789"/>
      <c r="AT169" s="42">
        <f t="shared" si="370"/>
        <v>488.14</v>
      </c>
      <c r="AU169" s="3294"/>
      <c r="AV169" s="2537">
        <v>180.56</v>
      </c>
      <c r="AW169" s="2789"/>
      <c r="AX169" s="42">
        <f t="shared" si="371"/>
        <v>668.7</v>
      </c>
      <c r="AY169" s="3294"/>
      <c r="AZ169" s="2537">
        <v>553.96</v>
      </c>
      <c r="BA169" s="2757"/>
      <c r="BB169" s="613">
        <f t="shared" si="391"/>
        <v>734.52</v>
      </c>
      <c r="BC169" s="3966"/>
      <c r="BD169" s="460">
        <f t="shared" si="373"/>
        <v>1036.76</v>
      </c>
      <c r="BE169" s="844"/>
      <c r="BF169" s="42">
        <f t="shared" si="374"/>
        <v>1222.6600000000001</v>
      </c>
      <c r="BG169" s="26">
        <f t="shared" si="380"/>
        <v>0</v>
      </c>
      <c r="BH169" s="26">
        <f t="shared" si="381"/>
        <v>0</v>
      </c>
      <c r="BI169" s="26"/>
      <c r="BJ169" s="26">
        <f t="shared" si="382"/>
        <v>0</v>
      </c>
      <c r="BK169" s="26">
        <f t="shared" si="383"/>
        <v>0</v>
      </c>
    </row>
    <row r="170" spans="1:63" ht="15.75" customHeight="1" thickBot="1" x14ac:dyDescent="0.35">
      <c r="A170" s="92"/>
      <c r="B170" s="3450" t="s">
        <v>864</v>
      </c>
      <c r="C170" s="3443" t="s">
        <v>905</v>
      </c>
      <c r="D170" s="3422"/>
      <c r="E170" s="3412"/>
      <c r="F170" s="1185"/>
      <c r="G170" s="3412"/>
      <c r="H170" s="1185"/>
      <c r="I170" s="844"/>
      <c r="J170" s="775">
        <f t="shared" si="384"/>
        <v>0</v>
      </c>
      <c r="K170" s="3412"/>
      <c r="L170" s="1185"/>
      <c r="M170" s="894"/>
      <c r="N170" s="774">
        <f t="shared" si="385"/>
        <v>0</v>
      </c>
      <c r="O170" s="3412"/>
      <c r="P170" s="1185"/>
      <c r="Q170" s="844"/>
      <c r="R170" s="775">
        <f t="shared" si="386"/>
        <v>0</v>
      </c>
      <c r="S170" s="3412"/>
      <c r="T170" s="1185"/>
      <c r="U170" s="844"/>
      <c r="V170" s="775">
        <f t="shared" si="387"/>
        <v>0</v>
      </c>
      <c r="W170" s="3412"/>
      <c r="X170" s="1185"/>
      <c r="Y170" s="894"/>
      <c r="Z170" s="774">
        <f t="shared" si="388"/>
        <v>0</v>
      </c>
      <c r="AA170" s="3965"/>
      <c r="AB170" s="460">
        <f t="shared" si="389"/>
        <v>0</v>
      </c>
      <c r="AC170" s="3412"/>
      <c r="AD170" s="1185">
        <v>243.96</v>
      </c>
      <c r="AE170" s="844"/>
      <c r="AF170" s="775">
        <f t="shared" si="390"/>
        <v>243.96</v>
      </c>
      <c r="AG170" s="3412"/>
      <c r="AH170" s="1185">
        <v>32.51</v>
      </c>
      <c r="AI170" s="844"/>
      <c r="AJ170" s="368">
        <f t="shared" si="367"/>
        <v>276.47000000000003</v>
      </c>
      <c r="AK170" s="3412"/>
      <c r="AL170" s="1185"/>
      <c r="AM170" s="894"/>
      <c r="AN170" s="613">
        <f t="shared" si="368"/>
        <v>276.47000000000003</v>
      </c>
      <c r="AO170" s="844"/>
      <c r="AP170" s="368">
        <f t="shared" si="369"/>
        <v>276.47000000000003</v>
      </c>
      <c r="AQ170" s="3412"/>
      <c r="AR170" s="1185"/>
      <c r="AS170" s="844"/>
      <c r="AT170" s="42">
        <f t="shared" si="370"/>
        <v>276.47000000000003</v>
      </c>
      <c r="AU170" s="3412"/>
      <c r="AV170" s="1185">
        <v>194.55</v>
      </c>
      <c r="AW170" s="844"/>
      <c r="AX170" s="42">
        <f t="shared" si="371"/>
        <v>471.02000000000004</v>
      </c>
      <c r="AY170" s="3412"/>
      <c r="AZ170" s="1185">
        <v>242.6</v>
      </c>
      <c r="BA170" s="894"/>
      <c r="BB170" s="613">
        <f t="shared" si="391"/>
        <v>437.15</v>
      </c>
      <c r="BC170" s="3965"/>
      <c r="BD170" s="460">
        <f t="shared" si="373"/>
        <v>713.62</v>
      </c>
      <c r="BE170" s="844"/>
      <c r="BF170" s="42">
        <f t="shared" si="374"/>
        <v>713.62</v>
      </c>
      <c r="BG170" s="26">
        <f t="shared" si="380"/>
        <v>0</v>
      </c>
      <c r="BH170" s="26">
        <f t="shared" si="381"/>
        <v>0</v>
      </c>
      <c r="BI170" s="26"/>
      <c r="BJ170" s="26">
        <f t="shared" si="382"/>
        <v>0</v>
      </c>
      <c r="BK170" s="26">
        <f t="shared" si="383"/>
        <v>0</v>
      </c>
    </row>
    <row r="171" spans="1:63" ht="15" thickBot="1" x14ac:dyDescent="0.35">
      <c r="A171" s="92"/>
      <c r="B171" s="3450" t="s">
        <v>864</v>
      </c>
      <c r="C171" s="3443" t="s">
        <v>1142</v>
      </c>
      <c r="D171" s="3422"/>
      <c r="E171" s="3412"/>
      <c r="F171" s="1185">
        <v>40.54</v>
      </c>
      <c r="G171" s="3412"/>
      <c r="H171" s="1185"/>
      <c r="I171" s="844"/>
      <c r="J171" s="775">
        <f t="shared" si="384"/>
        <v>40.54</v>
      </c>
      <c r="K171" s="3412"/>
      <c r="L171" s="1185"/>
      <c r="M171" s="894"/>
      <c r="N171" s="774">
        <f t="shared" si="385"/>
        <v>40.54</v>
      </c>
      <c r="O171" s="3412"/>
      <c r="P171" s="1185"/>
      <c r="Q171" s="844"/>
      <c r="R171" s="775">
        <f t="shared" si="386"/>
        <v>40.54</v>
      </c>
      <c r="S171" s="3412"/>
      <c r="T171" s="1185"/>
      <c r="U171" s="844"/>
      <c r="V171" s="775">
        <f t="shared" si="387"/>
        <v>40.54</v>
      </c>
      <c r="W171" s="3412"/>
      <c r="X171" s="1185"/>
      <c r="Y171" s="894"/>
      <c r="Z171" s="774">
        <f t="shared" si="388"/>
        <v>0</v>
      </c>
      <c r="AA171" s="3965"/>
      <c r="AB171" s="460">
        <f t="shared" si="389"/>
        <v>40.54</v>
      </c>
      <c r="AC171" s="3412"/>
      <c r="AD171" s="1185">
        <v>54.36</v>
      </c>
      <c r="AE171" s="844"/>
      <c r="AF171" s="775">
        <f t="shared" si="390"/>
        <v>94.9</v>
      </c>
      <c r="AG171" s="3412"/>
      <c r="AH171" s="1185">
        <v>119.21</v>
      </c>
      <c r="AI171" s="844"/>
      <c r="AJ171" s="368">
        <f t="shared" si="367"/>
        <v>214.11</v>
      </c>
      <c r="AK171" s="3412"/>
      <c r="AL171" s="1185">
        <v>248.22</v>
      </c>
      <c r="AM171" s="894"/>
      <c r="AN171" s="613">
        <f t="shared" si="368"/>
        <v>421.78999999999996</v>
      </c>
      <c r="AO171" s="844"/>
      <c r="AP171" s="368">
        <f t="shared" si="369"/>
        <v>462.33000000000004</v>
      </c>
      <c r="AQ171" s="3412"/>
      <c r="AR171" s="1185"/>
      <c r="AS171" s="844"/>
      <c r="AT171" s="42">
        <f t="shared" si="370"/>
        <v>462.33000000000004</v>
      </c>
      <c r="AU171" s="3412"/>
      <c r="AV171" s="1185"/>
      <c r="AW171" s="844"/>
      <c r="AX171" s="42">
        <f t="shared" si="371"/>
        <v>462.33000000000004</v>
      </c>
      <c r="AY171" s="3412"/>
      <c r="AZ171" s="1185">
        <v>61.1</v>
      </c>
      <c r="BA171" s="894"/>
      <c r="BB171" s="613">
        <f t="shared" si="391"/>
        <v>61.1</v>
      </c>
      <c r="BC171" s="3965"/>
      <c r="BD171" s="460">
        <f t="shared" si="373"/>
        <v>482.89</v>
      </c>
      <c r="BE171" s="844"/>
      <c r="BF171" s="42">
        <f t="shared" si="374"/>
        <v>523.43000000000006</v>
      </c>
      <c r="BG171" s="26">
        <f t="shared" si="380"/>
        <v>0</v>
      </c>
      <c r="BH171" s="26">
        <f t="shared" si="381"/>
        <v>0</v>
      </c>
      <c r="BI171" s="26"/>
      <c r="BJ171" s="26">
        <f t="shared" si="382"/>
        <v>0</v>
      </c>
      <c r="BK171" s="26">
        <f t="shared" si="383"/>
        <v>0</v>
      </c>
    </row>
    <row r="172" spans="1:63" ht="15.75" customHeight="1" thickBot="1" x14ac:dyDescent="0.35">
      <c r="A172" s="92"/>
      <c r="B172" s="3450" t="s">
        <v>864</v>
      </c>
      <c r="C172" s="3452" t="s">
        <v>873</v>
      </c>
      <c r="D172" s="3453"/>
      <c r="E172" s="3294"/>
      <c r="F172" s="2537"/>
      <c r="G172" s="3294"/>
      <c r="H172" s="2537"/>
      <c r="I172" s="2789"/>
      <c r="J172" s="775">
        <f t="shared" si="384"/>
        <v>0</v>
      </c>
      <c r="K172" s="3294"/>
      <c r="L172" s="2537"/>
      <c r="M172" s="2757"/>
      <c r="N172" s="774">
        <f t="shared" si="385"/>
        <v>0</v>
      </c>
      <c r="O172" s="3294"/>
      <c r="P172" s="2537"/>
      <c r="Q172" s="2789"/>
      <c r="R172" s="775">
        <f t="shared" si="386"/>
        <v>0</v>
      </c>
      <c r="S172" s="3294"/>
      <c r="T172" s="2537"/>
      <c r="U172" s="2789"/>
      <c r="V172" s="775">
        <f t="shared" si="387"/>
        <v>0</v>
      </c>
      <c r="W172" s="3294"/>
      <c r="X172" s="2537"/>
      <c r="Y172" s="2757"/>
      <c r="Z172" s="774">
        <f t="shared" si="388"/>
        <v>0</v>
      </c>
      <c r="AA172" s="3966"/>
      <c r="AB172" s="460">
        <f t="shared" si="389"/>
        <v>0</v>
      </c>
      <c r="AC172" s="3294"/>
      <c r="AD172" s="2537"/>
      <c r="AE172" s="2789"/>
      <c r="AF172" s="775">
        <f t="shared" si="390"/>
        <v>0</v>
      </c>
      <c r="AG172" s="3294"/>
      <c r="AH172" s="2537"/>
      <c r="AI172" s="2789"/>
      <c r="AJ172" s="368">
        <f t="shared" si="367"/>
        <v>0</v>
      </c>
      <c r="AK172" s="3294"/>
      <c r="AL172" s="2537"/>
      <c r="AM172" s="2757"/>
      <c r="AN172" s="613">
        <f t="shared" si="368"/>
        <v>0</v>
      </c>
      <c r="AO172" s="2789"/>
      <c r="AP172" s="368">
        <f t="shared" si="369"/>
        <v>0</v>
      </c>
      <c r="AQ172" s="3294"/>
      <c r="AR172" s="2537"/>
      <c r="AS172" s="2789"/>
      <c r="AT172" s="42">
        <f t="shared" si="370"/>
        <v>0</v>
      </c>
      <c r="AU172" s="3294"/>
      <c r="AV172" s="2537"/>
      <c r="AW172" s="2789"/>
      <c r="AX172" s="42">
        <f t="shared" si="371"/>
        <v>0</v>
      </c>
      <c r="AY172" s="3294"/>
      <c r="AZ172" s="2537"/>
      <c r="BA172" s="2757"/>
      <c r="BB172" s="613">
        <f t="shared" si="391"/>
        <v>0</v>
      </c>
      <c r="BC172" s="3966"/>
      <c r="BD172" s="460">
        <f t="shared" si="373"/>
        <v>0</v>
      </c>
      <c r="BE172" s="844"/>
      <c r="BF172" s="42">
        <f t="shared" si="374"/>
        <v>0</v>
      </c>
      <c r="BG172" s="26">
        <f t="shared" si="380"/>
        <v>0</v>
      </c>
      <c r="BH172" s="26">
        <f t="shared" si="381"/>
        <v>0</v>
      </c>
      <c r="BI172" s="26"/>
      <c r="BJ172" s="26">
        <f t="shared" si="382"/>
        <v>0</v>
      </c>
      <c r="BK172" s="26">
        <f t="shared" si="383"/>
        <v>0</v>
      </c>
    </row>
    <row r="173" spans="1:63" ht="15.75" customHeight="1" thickBot="1" x14ac:dyDescent="0.35">
      <c r="A173" s="151"/>
      <c r="B173" s="3450" t="s">
        <v>864</v>
      </c>
      <c r="C173" s="3443" t="s">
        <v>1276</v>
      </c>
      <c r="D173" s="3443"/>
      <c r="E173" s="3412"/>
      <c r="F173" s="1185"/>
      <c r="G173" s="3412"/>
      <c r="H173" s="1185"/>
      <c r="I173" s="844"/>
      <c r="J173" s="775">
        <f t="shared" si="384"/>
        <v>0</v>
      </c>
      <c r="K173" s="3412"/>
      <c r="L173" s="1185"/>
      <c r="M173" s="894"/>
      <c r="N173" s="774">
        <f t="shared" si="385"/>
        <v>0</v>
      </c>
      <c r="O173" s="3412"/>
      <c r="P173" s="1185"/>
      <c r="Q173" s="844"/>
      <c r="R173" s="775">
        <f t="shared" si="386"/>
        <v>0</v>
      </c>
      <c r="S173" s="3412"/>
      <c r="T173" s="1185"/>
      <c r="U173" s="844"/>
      <c r="V173" s="775">
        <f t="shared" si="387"/>
        <v>0</v>
      </c>
      <c r="W173" s="3412"/>
      <c r="X173" s="1185"/>
      <c r="Y173" s="894"/>
      <c r="Z173" s="774">
        <f t="shared" si="388"/>
        <v>0</v>
      </c>
      <c r="AA173" s="3965"/>
      <c r="AB173" s="460">
        <f t="shared" si="389"/>
        <v>0</v>
      </c>
      <c r="AC173" s="3412"/>
      <c r="AD173" s="1185"/>
      <c r="AE173" s="844"/>
      <c r="AF173" s="775">
        <f t="shared" si="390"/>
        <v>0</v>
      </c>
      <c r="AG173" s="3412"/>
      <c r="AH173" s="1185"/>
      <c r="AI173" s="844"/>
      <c r="AJ173" s="368">
        <f t="shared" si="367"/>
        <v>0</v>
      </c>
      <c r="AK173" s="3412"/>
      <c r="AL173" s="1185"/>
      <c r="AM173" s="894"/>
      <c r="AN173" s="613">
        <f t="shared" si="368"/>
        <v>0</v>
      </c>
      <c r="AO173" s="844"/>
      <c r="AP173" s="368">
        <f t="shared" si="369"/>
        <v>0</v>
      </c>
      <c r="AQ173" s="3412"/>
      <c r="AR173" s="1185"/>
      <c r="AS173" s="844"/>
      <c r="AT173" s="42">
        <f t="shared" si="370"/>
        <v>0</v>
      </c>
      <c r="AU173" s="3412"/>
      <c r="AV173" s="1185"/>
      <c r="AW173" s="844"/>
      <c r="AX173" s="42">
        <f t="shared" si="371"/>
        <v>0</v>
      </c>
      <c r="AY173" s="3412"/>
      <c r="AZ173" s="1185"/>
      <c r="BA173" s="894"/>
      <c r="BB173" s="613">
        <f t="shared" si="391"/>
        <v>0</v>
      </c>
      <c r="BC173" s="3965"/>
      <c r="BD173" s="460">
        <f t="shared" si="373"/>
        <v>0</v>
      </c>
      <c r="BE173" s="844"/>
      <c r="BF173" s="42">
        <f t="shared" si="374"/>
        <v>0</v>
      </c>
      <c r="BG173" s="26">
        <f t="shared" si="380"/>
        <v>0</v>
      </c>
      <c r="BH173" s="26">
        <f t="shared" si="381"/>
        <v>0</v>
      </c>
      <c r="BI173" s="26"/>
      <c r="BJ173" s="26">
        <f t="shared" si="382"/>
        <v>0</v>
      </c>
      <c r="BK173" s="26">
        <f t="shared" si="383"/>
        <v>0</v>
      </c>
    </row>
    <row r="174" spans="1:63" ht="15" thickBot="1" x14ac:dyDescent="0.35">
      <c r="A174" s="151"/>
      <c r="B174" s="3450" t="s">
        <v>864</v>
      </c>
      <c r="C174" s="3452" t="s">
        <v>1144</v>
      </c>
      <c r="D174" s="3452"/>
      <c r="E174" s="3294"/>
      <c r="F174" s="2537">
        <v>126.92</v>
      </c>
      <c r="G174" s="3294"/>
      <c r="H174" s="2537">
        <v>63.56</v>
      </c>
      <c r="I174" s="2789"/>
      <c r="J174" s="775">
        <f t="shared" si="384"/>
        <v>190.48000000000002</v>
      </c>
      <c r="K174" s="3294"/>
      <c r="L174" s="2537"/>
      <c r="M174" s="2757"/>
      <c r="N174" s="774">
        <f t="shared" si="385"/>
        <v>190.48000000000002</v>
      </c>
      <c r="O174" s="3294"/>
      <c r="P174" s="2537">
        <v>63.74</v>
      </c>
      <c r="Q174" s="2789"/>
      <c r="R174" s="775">
        <f t="shared" si="386"/>
        <v>254.22000000000003</v>
      </c>
      <c r="S174" s="3294"/>
      <c r="T174" s="2537">
        <v>125.97999999999999</v>
      </c>
      <c r="U174" s="2789"/>
      <c r="V174" s="775">
        <f t="shared" si="387"/>
        <v>380.20000000000005</v>
      </c>
      <c r="W174" s="3294"/>
      <c r="X174" s="2537">
        <v>63.56</v>
      </c>
      <c r="Y174" s="2757"/>
      <c r="Z174" s="774">
        <f t="shared" si="388"/>
        <v>253.28</v>
      </c>
      <c r="AA174" s="3966"/>
      <c r="AB174" s="460">
        <f t="shared" si="389"/>
        <v>443.76</v>
      </c>
      <c r="AC174" s="3294"/>
      <c r="AD174" s="2537">
        <v>493.5</v>
      </c>
      <c r="AE174" s="2789"/>
      <c r="AF174" s="775">
        <f t="shared" si="390"/>
        <v>937.26</v>
      </c>
      <c r="AG174" s="3294"/>
      <c r="AH174" s="2537"/>
      <c r="AI174" s="2789"/>
      <c r="AJ174" s="368">
        <f t="shared" si="367"/>
        <v>937.26</v>
      </c>
      <c r="AK174" s="3294"/>
      <c r="AL174" s="2537"/>
      <c r="AM174" s="2757"/>
      <c r="AN174" s="613">
        <f t="shared" si="368"/>
        <v>493.5</v>
      </c>
      <c r="AO174" s="2789"/>
      <c r="AP174" s="368">
        <f t="shared" si="369"/>
        <v>937.26</v>
      </c>
      <c r="AQ174" s="3294"/>
      <c r="AR174" s="2537"/>
      <c r="AS174" s="2789"/>
      <c r="AT174" s="42">
        <f t="shared" si="370"/>
        <v>937.26</v>
      </c>
      <c r="AU174" s="3294"/>
      <c r="AV174" s="2537"/>
      <c r="AW174" s="2789"/>
      <c r="AX174" s="42">
        <f t="shared" si="371"/>
        <v>937.26</v>
      </c>
      <c r="AY174" s="3294"/>
      <c r="AZ174" s="2537"/>
      <c r="BA174" s="2757"/>
      <c r="BB174" s="613">
        <f t="shared" si="391"/>
        <v>0</v>
      </c>
      <c r="BC174" s="3966"/>
      <c r="BD174" s="460">
        <f t="shared" si="373"/>
        <v>493.5</v>
      </c>
      <c r="BE174" s="844"/>
      <c r="BF174" s="42">
        <f t="shared" si="374"/>
        <v>937.26</v>
      </c>
      <c r="BG174" s="26">
        <f t="shared" si="380"/>
        <v>0</v>
      </c>
      <c r="BH174" s="26">
        <f t="shared" si="381"/>
        <v>0</v>
      </c>
      <c r="BI174" s="26"/>
      <c r="BJ174" s="26">
        <f t="shared" si="382"/>
        <v>0</v>
      </c>
      <c r="BK174" s="26">
        <f t="shared" si="383"/>
        <v>0</v>
      </c>
    </row>
    <row r="175" spans="1:63" ht="15" thickBot="1" x14ac:dyDescent="0.35">
      <c r="A175" s="151"/>
      <c r="B175" s="3450" t="s">
        <v>864</v>
      </c>
      <c r="C175" s="3443" t="s">
        <v>1145</v>
      </c>
      <c r="D175" s="3443"/>
      <c r="E175" s="3412"/>
      <c r="F175" s="1185">
        <v>1802.5199999999995</v>
      </c>
      <c r="G175" s="3412"/>
      <c r="H175" s="1185">
        <v>1727.8400000000001</v>
      </c>
      <c r="I175" s="844"/>
      <c r="J175" s="775">
        <f t="shared" si="384"/>
        <v>3530.3599999999997</v>
      </c>
      <c r="K175" s="3412"/>
      <c r="L175" s="1185">
        <v>63.52</v>
      </c>
      <c r="M175" s="894"/>
      <c r="N175" s="774">
        <f t="shared" si="385"/>
        <v>3593.8799999999997</v>
      </c>
      <c r="O175" s="3412"/>
      <c r="P175" s="1185">
        <v>571.64</v>
      </c>
      <c r="Q175" s="844"/>
      <c r="R175" s="775">
        <f t="shared" si="386"/>
        <v>4165.5199999999995</v>
      </c>
      <c r="S175" s="3412"/>
      <c r="T175" s="1185">
        <v>697.56</v>
      </c>
      <c r="U175" s="844"/>
      <c r="V175" s="775">
        <f t="shared" si="387"/>
        <v>4863.08</v>
      </c>
      <c r="W175" s="3412"/>
      <c r="X175" s="1185">
        <v>1329.6000000000001</v>
      </c>
      <c r="Y175" s="894"/>
      <c r="Z175" s="774">
        <f t="shared" si="388"/>
        <v>2598.8000000000002</v>
      </c>
      <c r="AA175" s="3965"/>
      <c r="AB175" s="460">
        <f t="shared" si="389"/>
        <v>6192.68</v>
      </c>
      <c r="AC175" s="3412"/>
      <c r="AD175" s="1185">
        <v>359.44</v>
      </c>
      <c r="AE175" s="844"/>
      <c r="AF175" s="775">
        <f t="shared" si="390"/>
        <v>6552.12</v>
      </c>
      <c r="AG175" s="3412"/>
      <c r="AH175" s="1185">
        <v>1061.8200000000002</v>
      </c>
      <c r="AI175" s="844"/>
      <c r="AJ175" s="368">
        <f t="shared" si="367"/>
        <v>7613.9400000000005</v>
      </c>
      <c r="AK175" s="3412"/>
      <c r="AL175" s="1185">
        <v>1395.2400000000002</v>
      </c>
      <c r="AM175" s="894"/>
      <c r="AN175" s="613">
        <f t="shared" si="368"/>
        <v>2816.5000000000005</v>
      </c>
      <c r="AO175" s="844"/>
      <c r="AP175" s="368">
        <f t="shared" si="369"/>
        <v>9009.18</v>
      </c>
      <c r="AQ175" s="3412"/>
      <c r="AR175" s="1185">
        <v>909.65999999999985</v>
      </c>
      <c r="AS175" s="844"/>
      <c r="AT175" s="42">
        <f t="shared" si="370"/>
        <v>9918.84</v>
      </c>
      <c r="AU175" s="3412"/>
      <c r="AV175" s="1185">
        <v>1499.16</v>
      </c>
      <c r="AW175" s="844"/>
      <c r="AX175" s="42">
        <f t="shared" si="371"/>
        <v>11418</v>
      </c>
      <c r="AY175" s="3412"/>
      <c r="AZ175" s="1185">
        <v>3125.42</v>
      </c>
      <c r="BA175" s="894"/>
      <c r="BB175" s="613">
        <f t="shared" si="391"/>
        <v>5534.24</v>
      </c>
      <c r="BC175" s="3965"/>
      <c r="BD175" s="460">
        <f t="shared" si="373"/>
        <v>8350.74</v>
      </c>
      <c r="BE175" s="844"/>
      <c r="BF175" s="42">
        <f t="shared" si="374"/>
        <v>14543.42</v>
      </c>
      <c r="BG175" s="26">
        <f t="shared" si="380"/>
        <v>0</v>
      </c>
      <c r="BH175" s="26">
        <f t="shared" si="381"/>
        <v>0</v>
      </c>
      <c r="BI175" s="26"/>
      <c r="BJ175" s="26">
        <f t="shared" si="382"/>
        <v>0</v>
      </c>
      <c r="BK175" s="26">
        <f t="shared" si="383"/>
        <v>0</v>
      </c>
    </row>
    <row r="176" spans="1:63" ht="15" thickBot="1" x14ac:dyDescent="0.35">
      <c r="A176" s="92"/>
      <c r="B176" s="3450" t="s">
        <v>864</v>
      </c>
      <c r="C176" s="3443" t="s">
        <v>900</v>
      </c>
      <c r="D176" s="156"/>
      <c r="E176" s="156"/>
      <c r="F176" s="1185">
        <v>253.16000000000003</v>
      </c>
      <c r="G176" s="156"/>
      <c r="H176" s="1185"/>
      <c r="I176" s="585"/>
      <c r="J176" s="775">
        <f t="shared" si="384"/>
        <v>253.16000000000003</v>
      </c>
      <c r="K176" s="156"/>
      <c r="L176" s="1185"/>
      <c r="M176" s="938"/>
      <c r="N176" s="774">
        <f t="shared" si="385"/>
        <v>253.16000000000003</v>
      </c>
      <c r="O176" s="156"/>
      <c r="P176" s="1185"/>
      <c r="Q176" s="585"/>
      <c r="R176" s="775">
        <f t="shared" si="386"/>
        <v>253.16000000000003</v>
      </c>
      <c r="S176" s="156"/>
      <c r="T176" s="1185"/>
      <c r="U176" s="585"/>
      <c r="V176" s="775">
        <f t="shared" si="387"/>
        <v>253.16000000000003</v>
      </c>
      <c r="W176" s="156"/>
      <c r="X176" s="1185"/>
      <c r="Y176" s="938"/>
      <c r="Z176" s="774">
        <f t="shared" si="388"/>
        <v>0</v>
      </c>
      <c r="AA176" s="2238"/>
      <c r="AB176" s="460">
        <f t="shared" si="389"/>
        <v>253.16000000000003</v>
      </c>
      <c r="AC176" s="156"/>
      <c r="AD176" s="1185">
        <v>62.56</v>
      </c>
      <c r="AE176" s="585"/>
      <c r="AF176" s="775">
        <f t="shared" si="390"/>
        <v>315.72000000000003</v>
      </c>
      <c r="AG176" s="156"/>
      <c r="AH176" s="1185">
        <v>69.44</v>
      </c>
      <c r="AI176" s="585"/>
      <c r="AJ176" s="368">
        <f t="shared" si="367"/>
        <v>385.16</v>
      </c>
      <c r="AK176" s="156"/>
      <c r="AL176" s="1185">
        <v>66.2</v>
      </c>
      <c r="AM176" s="938"/>
      <c r="AN176" s="613">
        <f t="shared" si="368"/>
        <v>198.2</v>
      </c>
      <c r="AO176" s="585"/>
      <c r="AP176" s="368">
        <f t="shared" si="369"/>
        <v>451.36</v>
      </c>
      <c r="AQ176" s="156"/>
      <c r="AR176" s="1185">
        <v>98.94</v>
      </c>
      <c r="AS176" s="585"/>
      <c r="AT176" s="42">
        <f t="shared" si="370"/>
        <v>550.29999999999995</v>
      </c>
      <c r="AU176" s="156"/>
      <c r="AV176" s="1185">
        <v>355.4</v>
      </c>
      <c r="AW176" s="585"/>
      <c r="AX176" s="42">
        <f t="shared" si="371"/>
        <v>905.69999999999993</v>
      </c>
      <c r="AY176" s="156"/>
      <c r="AZ176" s="1185">
        <v>190.74</v>
      </c>
      <c r="BA176" s="938"/>
      <c r="BB176" s="613">
        <f t="shared" si="391"/>
        <v>645.07999999999993</v>
      </c>
      <c r="BC176" s="2238"/>
      <c r="BD176" s="460">
        <f t="shared" si="373"/>
        <v>843.28</v>
      </c>
      <c r="BE176" s="585"/>
      <c r="BF176" s="42">
        <f t="shared" si="374"/>
        <v>1096.44</v>
      </c>
      <c r="BG176" s="26">
        <f t="shared" si="380"/>
        <v>0</v>
      </c>
      <c r="BH176" s="26">
        <f t="shared" si="381"/>
        <v>0</v>
      </c>
      <c r="BI176" s="26"/>
      <c r="BJ176" s="26">
        <f t="shared" si="382"/>
        <v>0</v>
      </c>
      <c r="BK176" s="26">
        <f t="shared" si="383"/>
        <v>0</v>
      </c>
    </row>
    <row r="177" spans="1:63" ht="15" thickBot="1" x14ac:dyDescent="0.35">
      <c r="A177" s="92"/>
      <c r="B177" s="3450" t="s">
        <v>864</v>
      </c>
      <c r="C177" s="3443" t="s">
        <v>878</v>
      </c>
      <c r="D177" s="3422"/>
      <c r="E177" s="3412"/>
      <c r="F177" s="1185">
        <v>4544.3099999999995</v>
      </c>
      <c r="G177" s="3412"/>
      <c r="H177" s="1185">
        <v>3683.9400000000005</v>
      </c>
      <c r="I177" s="844"/>
      <c r="J177" s="775">
        <f t="shared" si="384"/>
        <v>8228.25</v>
      </c>
      <c r="K177" s="3412"/>
      <c r="L177" s="1185">
        <v>5013.4799999999996</v>
      </c>
      <c r="M177" s="894"/>
      <c r="N177" s="774">
        <f t="shared" si="385"/>
        <v>13241.73</v>
      </c>
      <c r="O177" s="3412"/>
      <c r="P177" s="1185">
        <v>5173.2400000000007</v>
      </c>
      <c r="Q177" s="844"/>
      <c r="R177" s="775">
        <f t="shared" si="386"/>
        <v>18414.97</v>
      </c>
      <c r="S177" s="3412"/>
      <c r="T177" s="1185">
        <v>5236.17</v>
      </c>
      <c r="U177" s="844"/>
      <c r="V177" s="775">
        <f t="shared" si="387"/>
        <v>23651.14</v>
      </c>
      <c r="W177" s="3412"/>
      <c r="X177" s="1185">
        <v>4863.4500000000007</v>
      </c>
      <c r="Y177" s="894"/>
      <c r="Z177" s="774">
        <f t="shared" si="388"/>
        <v>15272.86</v>
      </c>
      <c r="AA177" s="3965"/>
      <c r="AB177" s="460">
        <f t="shared" si="389"/>
        <v>28514.59</v>
      </c>
      <c r="AC177" s="3412"/>
      <c r="AD177" s="1185">
        <v>5230.3700000000008</v>
      </c>
      <c r="AE177" s="844"/>
      <c r="AF177" s="775">
        <f t="shared" si="390"/>
        <v>33744.959999999999</v>
      </c>
      <c r="AG177" s="3412"/>
      <c r="AH177" s="1185">
        <v>7402.07</v>
      </c>
      <c r="AI177" s="844"/>
      <c r="AJ177" s="368">
        <f t="shared" si="367"/>
        <v>41147.03</v>
      </c>
      <c r="AK177" s="3412"/>
      <c r="AL177" s="1185">
        <v>6901.8460000000005</v>
      </c>
      <c r="AM177" s="894"/>
      <c r="AN177" s="613">
        <f t="shared" si="368"/>
        <v>19534.286</v>
      </c>
      <c r="AO177" s="844"/>
      <c r="AP177" s="368">
        <f t="shared" si="369"/>
        <v>48048.875999999997</v>
      </c>
      <c r="AQ177" s="3412"/>
      <c r="AR177" s="1185">
        <v>7886.4199999999973</v>
      </c>
      <c r="AS177" s="844"/>
      <c r="AT177" s="42">
        <f t="shared" si="370"/>
        <v>55935.295999999995</v>
      </c>
      <c r="AU177" s="3412"/>
      <c r="AV177" s="1185">
        <v>6622.9</v>
      </c>
      <c r="AW177" s="844"/>
      <c r="AX177" s="42">
        <f t="shared" si="371"/>
        <v>62558.195999999996</v>
      </c>
      <c r="AY177" s="3412"/>
      <c r="AZ177" s="1185">
        <v>11785.2</v>
      </c>
      <c r="BA177" s="894"/>
      <c r="BB177" s="613">
        <f t="shared" si="391"/>
        <v>26294.519999999997</v>
      </c>
      <c r="BC177" s="3965"/>
      <c r="BD177" s="460">
        <f t="shared" si="373"/>
        <v>45828.805999999997</v>
      </c>
      <c r="BE177" s="844"/>
      <c r="BF177" s="42">
        <f t="shared" si="374"/>
        <v>74343.395999999993</v>
      </c>
      <c r="BG177" s="26">
        <f t="shared" si="380"/>
        <v>0</v>
      </c>
      <c r="BH177" s="26">
        <f t="shared" si="381"/>
        <v>0</v>
      </c>
      <c r="BI177" s="26"/>
      <c r="BJ177" s="26">
        <f t="shared" si="382"/>
        <v>0</v>
      </c>
      <c r="BK177" s="26">
        <f t="shared" si="383"/>
        <v>0</v>
      </c>
    </row>
    <row r="178" spans="1:63" ht="15" thickBot="1" x14ac:dyDescent="0.35">
      <c r="A178" s="92"/>
      <c r="B178" s="3450" t="s">
        <v>864</v>
      </c>
      <c r="C178" s="3443" t="s">
        <v>1148</v>
      </c>
      <c r="D178" s="3422"/>
      <c r="E178" s="3412"/>
      <c r="F178" s="1185">
        <v>1559.26</v>
      </c>
      <c r="G178" s="3412"/>
      <c r="H178" s="1185">
        <v>1825.5500000000002</v>
      </c>
      <c r="I178" s="844"/>
      <c r="J178" s="775">
        <f t="shared" si="384"/>
        <v>3384.8100000000004</v>
      </c>
      <c r="K178" s="3412"/>
      <c r="L178" s="1185">
        <v>804.63999999999987</v>
      </c>
      <c r="M178" s="894"/>
      <c r="N178" s="774">
        <f t="shared" si="385"/>
        <v>4189.4500000000007</v>
      </c>
      <c r="O178" s="3412"/>
      <c r="P178" s="1185">
        <v>726.76</v>
      </c>
      <c r="Q178" s="844"/>
      <c r="R178" s="775">
        <f t="shared" si="386"/>
        <v>4916.2100000000009</v>
      </c>
      <c r="S178" s="3412"/>
      <c r="T178" s="1185">
        <v>1447.2400000000002</v>
      </c>
      <c r="U178" s="844"/>
      <c r="V178" s="775">
        <f t="shared" si="387"/>
        <v>6363.4500000000007</v>
      </c>
      <c r="W178" s="3412"/>
      <c r="X178" s="1185">
        <v>607.98</v>
      </c>
      <c r="Y178" s="894"/>
      <c r="Z178" s="774">
        <f t="shared" si="388"/>
        <v>2781.98</v>
      </c>
      <c r="AA178" s="3965"/>
      <c r="AB178" s="460">
        <f t="shared" si="389"/>
        <v>6971.43</v>
      </c>
      <c r="AC178" s="3412"/>
      <c r="AD178" s="1185">
        <v>645.38</v>
      </c>
      <c r="AE178" s="844"/>
      <c r="AF178" s="775">
        <f t="shared" si="390"/>
        <v>7616.81</v>
      </c>
      <c r="AG178" s="3412"/>
      <c r="AH178" s="1185">
        <v>1190.8900000000001</v>
      </c>
      <c r="AI178" s="844"/>
      <c r="AJ178" s="368">
        <f t="shared" si="367"/>
        <v>8807.7000000000007</v>
      </c>
      <c r="AK178" s="3412"/>
      <c r="AL178" s="1185">
        <v>1350.73</v>
      </c>
      <c r="AM178" s="894"/>
      <c r="AN178" s="613">
        <f t="shared" si="368"/>
        <v>3187</v>
      </c>
      <c r="AO178" s="844"/>
      <c r="AP178" s="368">
        <f t="shared" si="369"/>
        <v>10158.43</v>
      </c>
      <c r="AQ178" s="3412"/>
      <c r="AR178" s="1185">
        <v>1369.48</v>
      </c>
      <c r="AS178" s="844"/>
      <c r="AT178" s="42">
        <f t="shared" si="370"/>
        <v>11527.91</v>
      </c>
      <c r="AU178" s="3412"/>
      <c r="AV178" s="1185">
        <v>973.2</v>
      </c>
      <c r="AW178" s="844"/>
      <c r="AX178" s="42">
        <f t="shared" si="371"/>
        <v>12501.11</v>
      </c>
      <c r="AY178" s="3412"/>
      <c r="AZ178" s="1185">
        <v>1757.38</v>
      </c>
      <c r="BA178" s="894"/>
      <c r="BB178" s="613">
        <f t="shared" si="391"/>
        <v>4100.0600000000004</v>
      </c>
      <c r="BC178" s="3965"/>
      <c r="BD178" s="460">
        <f t="shared" si="373"/>
        <v>7287.06</v>
      </c>
      <c r="BE178" s="844"/>
      <c r="BF178" s="42">
        <f t="shared" si="374"/>
        <v>14258.490000000002</v>
      </c>
      <c r="BG178" s="26">
        <f t="shared" si="380"/>
        <v>0</v>
      </c>
      <c r="BH178" s="26">
        <f t="shared" si="381"/>
        <v>0</v>
      </c>
      <c r="BI178" s="26"/>
      <c r="BJ178" s="26">
        <f t="shared" si="382"/>
        <v>0</v>
      </c>
      <c r="BK178" s="26">
        <f t="shared" si="383"/>
        <v>0</v>
      </c>
    </row>
    <row r="179" spans="1:63" ht="15.75" customHeight="1" thickBot="1" x14ac:dyDescent="0.35">
      <c r="A179" s="92"/>
      <c r="B179" s="3447" t="s">
        <v>994</v>
      </c>
      <c r="C179" s="3442" t="s">
        <v>1144</v>
      </c>
      <c r="D179" s="3417"/>
      <c r="E179" s="3427"/>
      <c r="F179" s="155"/>
      <c r="G179" s="3427"/>
      <c r="H179" s="155"/>
      <c r="I179" s="2788"/>
      <c r="J179" s="775">
        <f t="shared" si="384"/>
        <v>0</v>
      </c>
      <c r="K179" s="3427"/>
      <c r="L179" s="155"/>
      <c r="M179" s="3428"/>
      <c r="N179" s="774">
        <f t="shared" si="385"/>
        <v>0</v>
      </c>
      <c r="O179" s="3427"/>
      <c r="P179" s="155"/>
      <c r="Q179" s="2788"/>
      <c r="R179" s="775">
        <f t="shared" si="386"/>
        <v>0</v>
      </c>
      <c r="S179" s="3427"/>
      <c r="T179" s="155"/>
      <c r="U179" s="2788"/>
      <c r="V179" s="775">
        <f t="shared" si="387"/>
        <v>0</v>
      </c>
      <c r="W179" s="3427"/>
      <c r="X179" s="155">
        <v>63.52</v>
      </c>
      <c r="Y179" s="3428"/>
      <c r="Z179" s="774">
        <f t="shared" si="388"/>
        <v>63.52</v>
      </c>
      <c r="AA179" s="4621"/>
      <c r="AB179" s="460">
        <f t="shared" si="389"/>
        <v>63.52</v>
      </c>
      <c r="AC179" s="3427"/>
      <c r="AD179" s="155"/>
      <c r="AE179" s="2788"/>
      <c r="AF179" s="775">
        <f t="shared" si="390"/>
        <v>63.52</v>
      </c>
      <c r="AG179" s="3427"/>
      <c r="AH179" s="155"/>
      <c r="AI179" s="2788"/>
      <c r="AJ179" s="368">
        <f t="shared" si="367"/>
        <v>63.52</v>
      </c>
      <c r="AK179" s="3427"/>
      <c r="AL179" s="155"/>
      <c r="AM179" s="3428"/>
      <c r="AN179" s="613">
        <f t="shared" si="368"/>
        <v>0</v>
      </c>
      <c r="AO179" s="2788"/>
      <c r="AP179" s="368">
        <f t="shared" si="369"/>
        <v>63.52</v>
      </c>
      <c r="AQ179" s="3427"/>
      <c r="AR179" s="155"/>
      <c r="AS179" s="2788"/>
      <c r="AT179" s="42">
        <f t="shared" si="370"/>
        <v>63.52</v>
      </c>
      <c r="AU179" s="3427"/>
      <c r="AV179" s="155"/>
      <c r="AW179" s="2788"/>
      <c r="AX179" s="42">
        <f t="shared" si="371"/>
        <v>63.52</v>
      </c>
      <c r="AY179" s="3427"/>
      <c r="AZ179" s="155"/>
      <c r="BA179" s="3428"/>
      <c r="BB179" s="613">
        <f t="shared" si="391"/>
        <v>0</v>
      </c>
      <c r="BC179" s="4621"/>
      <c r="BD179" s="460">
        <f t="shared" si="373"/>
        <v>0</v>
      </c>
      <c r="BE179" s="2788"/>
      <c r="BF179" s="42">
        <f t="shared" si="374"/>
        <v>63.52</v>
      </c>
      <c r="BG179" s="26">
        <f t="shared" si="380"/>
        <v>0</v>
      </c>
      <c r="BH179" s="26">
        <f t="shared" si="381"/>
        <v>0</v>
      </c>
      <c r="BI179" s="26"/>
      <c r="BJ179" s="26">
        <f t="shared" si="382"/>
        <v>0</v>
      </c>
      <c r="BK179" s="26">
        <f t="shared" si="383"/>
        <v>0</v>
      </c>
    </row>
    <row r="180" spans="1:63" ht="15.75" customHeight="1" thickBot="1" x14ac:dyDescent="0.35">
      <c r="A180" s="92"/>
      <c r="B180" s="3450" t="s">
        <v>994</v>
      </c>
      <c r="C180" s="3443" t="s">
        <v>1141</v>
      </c>
      <c r="D180" s="3422"/>
      <c r="E180" s="3412"/>
      <c r="F180" s="1185"/>
      <c r="G180" s="3412"/>
      <c r="H180" s="1185"/>
      <c r="I180" s="844"/>
      <c r="J180" s="775">
        <f t="shared" si="384"/>
        <v>0</v>
      </c>
      <c r="K180" s="3412"/>
      <c r="L180" s="1185"/>
      <c r="M180" s="894"/>
      <c r="N180" s="774">
        <f t="shared" si="385"/>
        <v>0</v>
      </c>
      <c r="O180" s="3412"/>
      <c r="P180" s="1185"/>
      <c r="Q180" s="844"/>
      <c r="R180" s="775">
        <f t="shared" si="386"/>
        <v>0</v>
      </c>
      <c r="S180" s="3412"/>
      <c r="T180" s="1185"/>
      <c r="U180" s="844"/>
      <c r="V180" s="775">
        <f t="shared" si="387"/>
        <v>0</v>
      </c>
      <c r="W180" s="3412"/>
      <c r="X180" s="1185"/>
      <c r="Y180" s="894"/>
      <c r="Z180" s="774">
        <f t="shared" si="388"/>
        <v>0</v>
      </c>
      <c r="AA180" s="3965"/>
      <c r="AB180" s="460">
        <f t="shared" si="389"/>
        <v>0</v>
      </c>
      <c r="AC180" s="3412"/>
      <c r="AD180" s="1185"/>
      <c r="AE180" s="844"/>
      <c r="AF180" s="775">
        <f t="shared" si="390"/>
        <v>0</v>
      </c>
      <c r="AG180" s="3412"/>
      <c r="AH180" s="1185"/>
      <c r="AI180" s="844"/>
      <c r="AJ180" s="368">
        <f t="shared" si="367"/>
        <v>0</v>
      </c>
      <c r="AK180" s="3412"/>
      <c r="AL180" s="1185"/>
      <c r="AM180" s="894"/>
      <c r="AN180" s="613">
        <f t="shared" si="368"/>
        <v>0</v>
      </c>
      <c r="AO180" s="844"/>
      <c r="AP180" s="368">
        <f t="shared" si="369"/>
        <v>0</v>
      </c>
      <c r="AQ180" s="3412"/>
      <c r="AR180" s="1185"/>
      <c r="AS180" s="844"/>
      <c r="AT180" s="42">
        <f t="shared" si="370"/>
        <v>0</v>
      </c>
      <c r="AU180" s="3412"/>
      <c r="AV180" s="1185"/>
      <c r="AW180" s="844"/>
      <c r="AX180" s="42">
        <f t="shared" si="371"/>
        <v>0</v>
      </c>
      <c r="AY180" s="3412"/>
      <c r="AZ180" s="1185"/>
      <c r="BA180" s="894"/>
      <c r="BB180" s="613">
        <f t="shared" si="391"/>
        <v>0</v>
      </c>
      <c r="BC180" s="3965"/>
      <c r="BD180" s="460">
        <f t="shared" si="373"/>
        <v>0</v>
      </c>
      <c r="BE180" s="844"/>
      <c r="BF180" s="42">
        <f t="shared" si="374"/>
        <v>0</v>
      </c>
      <c r="BG180" s="26">
        <f t="shared" si="380"/>
        <v>0</v>
      </c>
      <c r="BH180" s="26">
        <f t="shared" si="381"/>
        <v>0</v>
      </c>
      <c r="BI180" s="26"/>
      <c r="BJ180" s="26">
        <f t="shared" si="382"/>
        <v>0</v>
      </c>
      <c r="BK180" s="26">
        <f t="shared" si="383"/>
        <v>0</v>
      </c>
    </row>
    <row r="181" spans="1:63" ht="15.75" customHeight="1" thickBot="1" x14ac:dyDescent="0.35">
      <c r="A181" s="92"/>
      <c r="B181" s="3450" t="s">
        <v>994</v>
      </c>
      <c r="C181" s="3443" t="s">
        <v>878</v>
      </c>
      <c r="D181" s="3422"/>
      <c r="E181" s="3412"/>
      <c r="F181" s="1185"/>
      <c r="G181" s="3412"/>
      <c r="H181" s="1185"/>
      <c r="I181" s="844"/>
      <c r="J181" s="775">
        <f t="shared" si="384"/>
        <v>0</v>
      </c>
      <c r="K181" s="3412"/>
      <c r="L181" s="1185"/>
      <c r="M181" s="894"/>
      <c r="N181" s="774">
        <f t="shared" si="385"/>
        <v>0</v>
      </c>
      <c r="O181" s="3412"/>
      <c r="P181" s="1185"/>
      <c r="Q181" s="844"/>
      <c r="R181" s="775">
        <f t="shared" si="386"/>
        <v>0</v>
      </c>
      <c r="S181" s="3412"/>
      <c r="T181" s="1185"/>
      <c r="U181" s="844"/>
      <c r="V181" s="775">
        <f t="shared" si="387"/>
        <v>0</v>
      </c>
      <c r="W181" s="3412"/>
      <c r="X181" s="1185">
        <v>1443.08</v>
      </c>
      <c r="Y181" s="894"/>
      <c r="Z181" s="774">
        <f t="shared" si="388"/>
        <v>1443.08</v>
      </c>
      <c r="AA181" s="3965"/>
      <c r="AB181" s="460">
        <f t="shared" si="389"/>
        <v>1443.08</v>
      </c>
      <c r="AC181" s="3412"/>
      <c r="AD181" s="1185">
        <v>56.98</v>
      </c>
      <c r="AE181" s="844"/>
      <c r="AF181" s="775">
        <f t="shared" si="390"/>
        <v>1500.06</v>
      </c>
      <c r="AG181" s="3412"/>
      <c r="AH181" s="1185"/>
      <c r="AI181" s="844"/>
      <c r="AJ181" s="368">
        <f t="shared" si="367"/>
        <v>1500.06</v>
      </c>
      <c r="AK181" s="3412"/>
      <c r="AL181" s="1185">
        <v>737.16000000000008</v>
      </c>
      <c r="AM181" s="894"/>
      <c r="AN181" s="613">
        <f t="shared" si="368"/>
        <v>794.1400000000001</v>
      </c>
      <c r="AO181" s="844"/>
      <c r="AP181" s="368">
        <f t="shared" si="369"/>
        <v>2237.2200000000003</v>
      </c>
      <c r="AQ181" s="3412"/>
      <c r="AR181" s="1185">
        <v>2110.48</v>
      </c>
      <c r="AS181" s="844"/>
      <c r="AT181" s="42">
        <f t="shared" si="370"/>
        <v>4347.7000000000007</v>
      </c>
      <c r="AU181" s="3412"/>
      <c r="AV181" s="1185"/>
      <c r="AW181" s="844"/>
      <c r="AX181" s="42">
        <f t="shared" si="371"/>
        <v>4347.7000000000007</v>
      </c>
      <c r="AY181" s="3412"/>
      <c r="AZ181" s="1185"/>
      <c r="BA181" s="894"/>
      <c r="BB181" s="613">
        <f t="shared" si="391"/>
        <v>2110.48</v>
      </c>
      <c r="BC181" s="3965"/>
      <c r="BD181" s="460">
        <f t="shared" si="373"/>
        <v>2904.62</v>
      </c>
      <c r="BE181" s="844"/>
      <c r="BF181" s="42">
        <f t="shared" si="374"/>
        <v>4347.7000000000007</v>
      </c>
      <c r="BG181" s="26">
        <f t="shared" si="380"/>
        <v>0</v>
      </c>
      <c r="BH181" s="26">
        <f t="shared" si="381"/>
        <v>0</v>
      </c>
      <c r="BI181" s="26"/>
      <c r="BJ181" s="26">
        <f t="shared" si="382"/>
        <v>0</v>
      </c>
      <c r="BK181" s="26">
        <f t="shared" si="383"/>
        <v>0</v>
      </c>
    </row>
    <row r="182" spans="1:63" ht="15.75" customHeight="1" thickBot="1" x14ac:dyDescent="0.35">
      <c r="A182" s="92"/>
      <c r="B182" s="3450" t="s">
        <v>994</v>
      </c>
      <c r="C182" s="5289" t="s">
        <v>1145</v>
      </c>
      <c r="D182" s="5299"/>
      <c r="E182" s="5300"/>
      <c r="F182" s="5119"/>
      <c r="G182" s="5300"/>
      <c r="H182" s="5119"/>
      <c r="I182" s="5301"/>
      <c r="J182" s="5120"/>
      <c r="K182" s="5300"/>
      <c r="L182" s="5119"/>
      <c r="M182" s="5302"/>
      <c r="N182" s="5121"/>
      <c r="O182" s="5300"/>
      <c r="P182" s="5119"/>
      <c r="Q182" s="5301"/>
      <c r="R182" s="5120"/>
      <c r="S182" s="5300"/>
      <c r="T182" s="5119"/>
      <c r="U182" s="5301"/>
      <c r="V182" s="5120"/>
      <c r="W182" s="5300"/>
      <c r="X182" s="5119"/>
      <c r="Y182" s="5302"/>
      <c r="Z182" s="5121"/>
      <c r="AA182" s="5405"/>
      <c r="AB182" s="5406"/>
      <c r="AC182" s="5300"/>
      <c r="AD182" s="5119"/>
      <c r="AE182" s="5301"/>
      <c r="AF182" s="5120"/>
      <c r="AG182" s="5300"/>
      <c r="AH182" s="5119"/>
      <c r="AI182" s="5301"/>
      <c r="AJ182" s="368"/>
      <c r="AK182" s="5300"/>
      <c r="AL182" s="5119"/>
      <c r="AM182" s="5302"/>
      <c r="AN182" s="613"/>
      <c r="AO182" s="5301"/>
      <c r="AP182" s="368"/>
      <c r="AQ182" s="5300"/>
      <c r="AR182" s="5119">
        <v>725.96</v>
      </c>
      <c r="AS182" s="5301"/>
      <c r="AT182" s="42">
        <f t="shared" si="370"/>
        <v>725.96</v>
      </c>
      <c r="AU182" s="5300"/>
      <c r="AV182" s="5119"/>
      <c r="AW182" s="5301"/>
      <c r="AX182" s="42">
        <f t="shared" si="371"/>
        <v>725.96</v>
      </c>
      <c r="AY182" s="5300"/>
      <c r="AZ182" s="5119"/>
      <c r="BA182" s="5302"/>
      <c r="BB182" s="613">
        <f t="shared" si="391"/>
        <v>725.96</v>
      </c>
      <c r="BC182" s="5405"/>
      <c r="BD182" s="460">
        <f t="shared" si="373"/>
        <v>725.96</v>
      </c>
      <c r="BE182" s="5301"/>
      <c r="BF182" s="42">
        <f t="shared" si="374"/>
        <v>725.96</v>
      </c>
      <c r="BG182" s="26">
        <f t="shared" si="380"/>
        <v>0</v>
      </c>
      <c r="BH182" s="26">
        <f t="shared" si="381"/>
        <v>0</v>
      </c>
      <c r="BI182" s="26"/>
      <c r="BJ182" s="26">
        <f t="shared" si="382"/>
        <v>0</v>
      </c>
      <c r="BK182" s="26">
        <f t="shared" si="383"/>
        <v>0</v>
      </c>
    </row>
    <row r="183" spans="1:63" ht="15.75" customHeight="1" thickBot="1" x14ac:dyDescent="0.35">
      <c r="A183" s="92"/>
      <c r="B183" s="3450" t="s">
        <v>994</v>
      </c>
      <c r="C183" s="3443" t="s">
        <v>900</v>
      </c>
      <c r="D183" s="3422"/>
      <c r="E183" s="3412"/>
      <c r="F183" s="1185"/>
      <c r="G183" s="3412"/>
      <c r="H183" s="1185"/>
      <c r="I183" s="844"/>
      <c r="J183" s="775">
        <f t="shared" si="384"/>
        <v>0</v>
      </c>
      <c r="K183" s="3412"/>
      <c r="L183" s="1185"/>
      <c r="M183" s="894"/>
      <c r="N183" s="774">
        <f t="shared" si="385"/>
        <v>0</v>
      </c>
      <c r="O183" s="3412"/>
      <c r="P183" s="1185"/>
      <c r="Q183" s="844"/>
      <c r="R183" s="775">
        <f t="shared" si="386"/>
        <v>0</v>
      </c>
      <c r="S183" s="3412"/>
      <c r="T183" s="1185"/>
      <c r="U183" s="844"/>
      <c r="V183" s="775">
        <f t="shared" si="387"/>
        <v>0</v>
      </c>
      <c r="W183" s="3412"/>
      <c r="X183" s="1185"/>
      <c r="Y183" s="894"/>
      <c r="Z183" s="774">
        <f t="shared" si="388"/>
        <v>0</v>
      </c>
      <c r="AA183" s="3965"/>
      <c r="AB183" s="460">
        <f t="shared" si="389"/>
        <v>0</v>
      </c>
      <c r="AC183" s="3412"/>
      <c r="AD183" s="1185"/>
      <c r="AE183" s="844"/>
      <c r="AF183" s="775">
        <f t="shared" si="390"/>
        <v>0</v>
      </c>
      <c r="AG183" s="3412"/>
      <c r="AH183" s="1185">
        <v>1007.34</v>
      </c>
      <c r="AI183" s="844"/>
      <c r="AJ183" s="368">
        <f t="shared" si="367"/>
        <v>1007.34</v>
      </c>
      <c r="AK183" s="3412"/>
      <c r="AL183" s="1185">
        <v>1646.4800000000002</v>
      </c>
      <c r="AM183" s="894"/>
      <c r="AN183" s="613">
        <f t="shared" si="368"/>
        <v>2653.82</v>
      </c>
      <c r="AO183" s="844"/>
      <c r="AP183" s="368">
        <f t="shared" si="369"/>
        <v>2653.82</v>
      </c>
      <c r="AQ183" s="3412"/>
      <c r="AR183" s="1185">
        <v>63.38</v>
      </c>
      <c r="AS183" s="844"/>
      <c r="AT183" s="42">
        <f t="shared" si="370"/>
        <v>2717.2000000000003</v>
      </c>
      <c r="AU183" s="3412"/>
      <c r="AV183" s="1185">
        <v>216.06</v>
      </c>
      <c r="AW183" s="844"/>
      <c r="AX183" s="42">
        <f t="shared" si="371"/>
        <v>2933.26</v>
      </c>
      <c r="AY183" s="3412"/>
      <c r="AZ183" s="1185"/>
      <c r="BA183" s="894"/>
      <c r="BB183" s="613">
        <f t="shared" si="391"/>
        <v>279.44</v>
      </c>
      <c r="BC183" s="3965"/>
      <c r="BD183" s="460">
        <f t="shared" si="373"/>
        <v>2933.26</v>
      </c>
      <c r="BE183" s="844"/>
      <c r="BF183" s="42">
        <f t="shared" si="374"/>
        <v>2933.26</v>
      </c>
      <c r="BG183" s="26">
        <f t="shared" si="380"/>
        <v>0</v>
      </c>
      <c r="BH183" s="26">
        <f t="shared" si="381"/>
        <v>0</v>
      </c>
      <c r="BI183" s="26"/>
      <c r="BJ183" s="26">
        <f t="shared" si="382"/>
        <v>0</v>
      </c>
      <c r="BK183" s="26">
        <f t="shared" si="383"/>
        <v>0</v>
      </c>
    </row>
    <row r="184" spans="1:63" ht="15.75" customHeight="1" thickBot="1" x14ac:dyDescent="0.35">
      <c r="A184" s="92"/>
      <c r="B184" s="3450" t="s">
        <v>994</v>
      </c>
      <c r="C184" s="3443" t="s">
        <v>905</v>
      </c>
      <c r="D184" s="3422"/>
      <c r="E184" s="3412"/>
      <c r="F184" s="1185"/>
      <c r="G184" s="3412"/>
      <c r="H184" s="1185"/>
      <c r="I184" s="844"/>
      <c r="J184" s="775">
        <f t="shared" si="384"/>
        <v>0</v>
      </c>
      <c r="K184" s="3412"/>
      <c r="L184" s="1185"/>
      <c r="M184" s="894"/>
      <c r="N184" s="774">
        <f t="shared" si="385"/>
        <v>0</v>
      </c>
      <c r="O184" s="3412"/>
      <c r="P184" s="1185"/>
      <c r="Q184" s="844"/>
      <c r="R184" s="775">
        <f t="shared" si="386"/>
        <v>0</v>
      </c>
      <c r="S184" s="3412"/>
      <c r="T184" s="1185"/>
      <c r="U184" s="844"/>
      <c r="V184" s="775">
        <f t="shared" si="387"/>
        <v>0</v>
      </c>
      <c r="W184" s="3412"/>
      <c r="X184" s="1185"/>
      <c r="Y184" s="894"/>
      <c r="Z184" s="774">
        <f t="shared" si="388"/>
        <v>0</v>
      </c>
      <c r="AA184" s="3965"/>
      <c r="AB184" s="460">
        <f t="shared" si="389"/>
        <v>0</v>
      </c>
      <c r="AC184" s="3412"/>
      <c r="AD184" s="1185"/>
      <c r="AE184" s="844"/>
      <c r="AF184" s="775">
        <f t="shared" si="390"/>
        <v>0</v>
      </c>
      <c r="AG184" s="3412"/>
      <c r="AH184" s="1185">
        <v>20.52</v>
      </c>
      <c r="AI184" s="844"/>
      <c r="AJ184" s="368">
        <f t="shared" si="367"/>
        <v>20.52</v>
      </c>
      <c r="AK184" s="3412"/>
      <c r="AL184" s="1185"/>
      <c r="AM184" s="894"/>
      <c r="AN184" s="613">
        <f t="shared" si="368"/>
        <v>20.52</v>
      </c>
      <c r="AO184" s="844"/>
      <c r="AP184" s="368">
        <f t="shared" si="369"/>
        <v>20.52</v>
      </c>
      <c r="AQ184" s="3412"/>
      <c r="AR184" s="1185"/>
      <c r="AS184" s="844"/>
      <c r="AT184" s="42">
        <f t="shared" si="370"/>
        <v>20.52</v>
      </c>
      <c r="AU184" s="3412"/>
      <c r="AV184" s="1185"/>
      <c r="AW184" s="844"/>
      <c r="AX184" s="42">
        <f t="shared" si="371"/>
        <v>20.52</v>
      </c>
      <c r="AY184" s="3412"/>
      <c r="AZ184" s="1185"/>
      <c r="BA184" s="894"/>
      <c r="BB184" s="613">
        <f t="shared" si="391"/>
        <v>0</v>
      </c>
      <c r="BC184" s="3965"/>
      <c r="BD184" s="460">
        <f t="shared" si="373"/>
        <v>20.52</v>
      </c>
      <c r="BE184" s="844"/>
      <c r="BF184" s="42">
        <f t="shared" si="374"/>
        <v>20.52</v>
      </c>
      <c r="BG184" s="26">
        <f t="shared" si="380"/>
        <v>0</v>
      </c>
      <c r="BH184" s="26">
        <f t="shared" si="381"/>
        <v>0</v>
      </c>
      <c r="BI184" s="26"/>
      <c r="BJ184" s="26">
        <f t="shared" si="382"/>
        <v>0</v>
      </c>
      <c r="BK184" s="26">
        <f t="shared" si="383"/>
        <v>0</v>
      </c>
    </row>
    <row r="185" spans="1:63" ht="15" thickBot="1" x14ac:dyDescent="0.35">
      <c r="A185" s="92"/>
      <c r="B185" s="3450" t="s">
        <v>994</v>
      </c>
      <c r="C185" s="3454" t="s">
        <v>942</v>
      </c>
      <c r="D185" s="3455"/>
      <c r="E185" s="3456"/>
      <c r="F185" s="2416"/>
      <c r="G185" s="3456"/>
      <c r="H185" s="2416">
        <v>184.8</v>
      </c>
      <c r="I185" s="2417"/>
      <c r="J185" s="775">
        <f t="shared" si="384"/>
        <v>184.8</v>
      </c>
      <c r="K185" s="3456"/>
      <c r="L185" s="2416"/>
      <c r="M185" s="2419"/>
      <c r="N185" s="774">
        <f t="shared" si="385"/>
        <v>184.8</v>
      </c>
      <c r="O185" s="3456"/>
      <c r="P185" s="2416"/>
      <c r="Q185" s="2417"/>
      <c r="R185" s="775">
        <f t="shared" si="386"/>
        <v>184.8</v>
      </c>
      <c r="S185" s="3456"/>
      <c r="T185" s="2416"/>
      <c r="U185" s="2417"/>
      <c r="V185" s="775">
        <f t="shared" si="387"/>
        <v>184.8</v>
      </c>
      <c r="W185" s="3456"/>
      <c r="X185" s="2416"/>
      <c r="Y185" s="2419"/>
      <c r="Z185" s="774">
        <f t="shared" si="388"/>
        <v>0</v>
      </c>
      <c r="AA185" s="3967"/>
      <c r="AB185" s="460">
        <f t="shared" si="389"/>
        <v>184.8</v>
      </c>
      <c r="AC185" s="3456"/>
      <c r="AD185" s="2416"/>
      <c r="AE185" s="2417"/>
      <c r="AF185" s="775">
        <f t="shared" si="390"/>
        <v>184.8</v>
      </c>
      <c r="AG185" s="3456"/>
      <c r="AH185" s="2416"/>
      <c r="AI185" s="2417"/>
      <c r="AJ185" s="368">
        <f t="shared" si="367"/>
        <v>184.8</v>
      </c>
      <c r="AK185" s="3456"/>
      <c r="AL185" s="2416"/>
      <c r="AM185" s="2419"/>
      <c r="AN185" s="613">
        <f t="shared" si="368"/>
        <v>0</v>
      </c>
      <c r="AO185" s="2417"/>
      <c r="AP185" s="368">
        <f t="shared" si="369"/>
        <v>184.8</v>
      </c>
      <c r="AQ185" s="3456"/>
      <c r="AR185" s="2416"/>
      <c r="AS185" s="2417"/>
      <c r="AT185" s="42">
        <f t="shared" si="370"/>
        <v>184.8</v>
      </c>
      <c r="AU185" s="3456"/>
      <c r="AV185" s="2416"/>
      <c r="AW185" s="2417"/>
      <c r="AX185" s="42">
        <f t="shared" si="371"/>
        <v>184.8</v>
      </c>
      <c r="AY185" s="3456"/>
      <c r="AZ185" s="2416"/>
      <c r="BA185" s="2419"/>
      <c r="BB185" s="613">
        <f t="shared" si="391"/>
        <v>0</v>
      </c>
      <c r="BC185" s="3967"/>
      <c r="BD185" s="460">
        <f t="shared" si="373"/>
        <v>0</v>
      </c>
      <c r="BE185" s="2417"/>
      <c r="BF185" s="42">
        <f t="shared" si="374"/>
        <v>184.8</v>
      </c>
      <c r="BG185" s="26">
        <f t="shared" si="380"/>
        <v>0</v>
      </c>
      <c r="BH185" s="26">
        <f t="shared" si="381"/>
        <v>0</v>
      </c>
      <c r="BI185" s="26"/>
      <c r="BJ185" s="26">
        <f t="shared" si="382"/>
        <v>0</v>
      </c>
      <c r="BK185" s="26">
        <f t="shared" si="383"/>
        <v>0</v>
      </c>
    </row>
    <row r="186" spans="1:63" ht="15.75" customHeight="1" thickBot="1" x14ac:dyDescent="0.35">
      <c r="A186" s="92"/>
      <c r="B186" s="3450" t="s">
        <v>994</v>
      </c>
      <c r="C186" s="3443" t="s">
        <v>900</v>
      </c>
      <c r="D186" s="156"/>
      <c r="E186" s="156"/>
      <c r="F186" s="1185"/>
      <c r="G186" s="156"/>
      <c r="H186" s="1185"/>
      <c r="I186" s="585"/>
      <c r="J186" s="775">
        <f t="shared" si="384"/>
        <v>0</v>
      </c>
      <c r="K186" s="156"/>
      <c r="L186" s="1185"/>
      <c r="M186" s="938"/>
      <c r="N186" s="774">
        <f t="shared" si="385"/>
        <v>0</v>
      </c>
      <c r="O186" s="156"/>
      <c r="P186" s="1185"/>
      <c r="Q186" s="585"/>
      <c r="R186" s="775">
        <f t="shared" si="386"/>
        <v>0</v>
      </c>
      <c r="S186" s="156"/>
      <c r="T186" s="1185"/>
      <c r="U186" s="585"/>
      <c r="V186" s="775">
        <f t="shared" si="387"/>
        <v>0</v>
      </c>
      <c r="W186" s="156"/>
      <c r="X186" s="1185"/>
      <c r="Y186" s="938"/>
      <c r="Z186" s="774">
        <f t="shared" si="388"/>
        <v>0</v>
      </c>
      <c r="AA186" s="2238"/>
      <c r="AB186" s="460">
        <f t="shared" si="389"/>
        <v>0</v>
      </c>
      <c r="AC186" s="156"/>
      <c r="AD186" s="1185"/>
      <c r="AE186" s="585"/>
      <c r="AF186" s="775">
        <f t="shared" si="390"/>
        <v>0</v>
      </c>
      <c r="AG186" s="156"/>
      <c r="AH186" s="1185"/>
      <c r="AI186" s="585"/>
      <c r="AJ186" s="368">
        <f t="shared" si="367"/>
        <v>0</v>
      </c>
      <c r="AK186" s="156"/>
      <c r="AL186" s="1185"/>
      <c r="AM186" s="938"/>
      <c r="AN186" s="613">
        <f t="shared" si="368"/>
        <v>0</v>
      </c>
      <c r="AO186" s="585"/>
      <c r="AP186" s="368">
        <f t="shared" si="369"/>
        <v>0</v>
      </c>
      <c r="AQ186" s="156"/>
      <c r="AR186" s="1185"/>
      <c r="AS186" s="585"/>
      <c r="AT186" s="42">
        <f t="shared" si="370"/>
        <v>0</v>
      </c>
      <c r="AU186" s="156"/>
      <c r="AV186" s="1185"/>
      <c r="AW186" s="585"/>
      <c r="AX186" s="42">
        <f t="shared" si="371"/>
        <v>0</v>
      </c>
      <c r="AY186" s="156"/>
      <c r="AZ186" s="1185"/>
      <c r="BA186" s="938"/>
      <c r="BB186" s="613">
        <f t="shared" si="391"/>
        <v>0</v>
      </c>
      <c r="BC186" s="2238"/>
      <c r="BD186" s="460">
        <f t="shared" si="373"/>
        <v>0</v>
      </c>
      <c r="BE186" s="585"/>
      <c r="BF186" s="42">
        <f t="shared" si="374"/>
        <v>0</v>
      </c>
      <c r="BG186" s="26">
        <f t="shared" si="380"/>
        <v>0</v>
      </c>
      <c r="BH186" s="26">
        <f t="shared" si="381"/>
        <v>0</v>
      </c>
      <c r="BI186" s="26"/>
      <c r="BJ186" s="26">
        <f t="shared" si="382"/>
        <v>0</v>
      </c>
      <c r="BK186" s="26">
        <f t="shared" si="383"/>
        <v>0</v>
      </c>
    </row>
    <row r="187" spans="1:63" ht="15.75" customHeight="1" thickBot="1" x14ac:dyDescent="0.35">
      <c r="A187" s="92"/>
      <c r="B187" s="3450" t="s">
        <v>994</v>
      </c>
      <c r="C187" s="3443" t="s">
        <v>1145</v>
      </c>
      <c r="D187" s="156"/>
      <c r="E187" s="156"/>
      <c r="F187" s="1185"/>
      <c r="G187" s="156"/>
      <c r="H187" s="1185"/>
      <c r="I187" s="585"/>
      <c r="J187" s="775">
        <f t="shared" si="384"/>
        <v>0</v>
      </c>
      <c r="K187" s="156"/>
      <c r="L187" s="1185"/>
      <c r="M187" s="938"/>
      <c r="N187" s="774">
        <f t="shared" si="385"/>
        <v>0</v>
      </c>
      <c r="O187" s="156"/>
      <c r="P187" s="1185"/>
      <c r="Q187" s="585"/>
      <c r="R187" s="775">
        <f t="shared" si="386"/>
        <v>0</v>
      </c>
      <c r="S187" s="156"/>
      <c r="T187" s="1185"/>
      <c r="U187" s="585"/>
      <c r="V187" s="775">
        <f t="shared" si="387"/>
        <v>0</v>
      </c>
      <c r="W187" s="156"/>
      <c r="X187" s="1185"/>
      <c r="Y187" s="938"/>
      <c r="Z187" s="774">
        <f t="shared" si="388"/>
        <v>0</v>
      </c>
      <c r="AA187" s="2238"/>
      <c r="AB187" s="460">
        <f t="shared" si="389"/>
        <v>0</v>
      </c>
      <c r="AC187" s="156"/>
      <c r="AD187" s="1185"/>
      <c r="AE187" s="585"/>
      <c r="AF187" s="775">
        <f t="shared" si="390"/>
        <v>0</v>
      </c>
      <c r="AG187" s="156"/>
      <c r="AH187" s="1185"/>
      <c r="AI187" s="585"/>
      <c r="AJ187" s="368">
        <f t="shared" si="367"/>
        <v>0</v>
      </c>
      <c r="AK187" s="156"/>
      <c r="AL187" s="1185"/>
      <c r="AM187" s="938"/>
      <c r="AN187" s="613">
        <f t="shared" si="368"/>
        <v>0</v>
      </c>
      <c r="AO187" s="585"/>
      <c r="AP187" s="368">
        <f t="shared" si="369"/>
        <v>0</v>
      </c>
      <c r="AQ187" s="156"/>
      <c r="AR187" s="1185"/>
      <c r="AS187" s="585"/>
      <c r="AT187" s="42">
        <f t="shared" si="370"/>
        <v>0</v>
      </c>
      <c r="AU187" s="156"/>
      <c r="AV187" s="1185"/>
      <c r="AW187" s="585"/>
      <c r="AX187" s="42">
        <f t="shared" si="371"/>
        <v>0</v>
      </c>
      <c r="AY187" s="156"/>
      <c r="AZ187" s="1185"/>
      <c r="BA187" s="938"/>
      <c r="BB187" s="613">
        <f t="shared" si="391"/>
        <v>0</v>
      </c>
      <c r="BC187" s="2238"/>
      <c r="BD187" s="460">
        <f t="shared" si="373"/>
        <v>0</v>
      </c>
      <c r="BE187" s="585"/>
      <c r="BF187" s="42">
        <f t="shared" si="374"/>
        <v>0</v>
      </c>
      <c r="BG187" s="26">
        <f t="shared" si="380"/>
        <v>0</v>
      </c>
      <c r="BH187" s="26">
        <f t="shared" si="381"/>
        <v>0</v>
      </c>
      <c r="BI187" s="26"/>
      <c r="BJ187" s="26">
        <f t="shared" si="382"/>
        <v>0</v>
      </c>
      <c r="BK187" s="26">
        <f t="shared" si="383"/>
        <v>0</v>
      </c>
    </row>
    <row r="188" spans="1:63" ht="15.75" customHeight="1" thickBot="1" x14ac:dyDescent="0.35">
      <c r="A188" s="92"/>
      <c r="B188" s="3451" t="s">
        <v>994</v>
      </c>
      <c r="C188" s="3446" t="s">
        <v>1148</v>
      </c>
      <c r="D188" s="885"/>
      <c r="E188" s="885"/>
      <c r="F188" s="107"/>
      <c r="G188" s="885"/>
      <c r="H188" s="107"/>
      <c r="I188" s="3266"/>
      <c r="J188" s="775">
        <f t="shared" si="384"/>
        <v>0</v>
      </c>
      <c r="K188" s="885"/>
      <c r="L188" s="107"/>
      <c r="M188" s="3267"/>
      <c r="N188" s="774">
        <f t="shared" si="385"/>
        <v>0</v>
      </c>
      <c r="O188" s="885"/>
      <c r="P188" s="107"/>
      <c r="Q188" s="3266"/>
      <c r="R188" s="775">
        <f t="shared" si="386"/>
        <v>0</v>
      </c>
      <c r="S188" s="885"/>
      <c r="T188" s="107"/>
      <c r="U188" s="3266"/>
      <c r="V188" s="775">
        <f t="shared" si="387"/>
        <v>0</v>
      </c>
      <c r="W188" s="885"/>
      <c r="X188" s="107"/>
      <c r="Y188" s="3267"/>
      <c r="Z188" s="774">
        <f t="shared" si="388"/>
        <v>0</v>
      </c>
      <c r="AA188" s="5725"/>
      <c r="AB188" s="460">
        <f t="shared" si="389"/>
        <v>0</v>
      </c>
      <c r="AC188" s="885"/>
      <c r="AD188" s="107"/>
      <c r="AE188" s="3266"/>
      <c r="AF188" s="775">
        <f t="shared" si="390"/>
        <v>0</v>
      </c>
      <c r="AG188" s="885"/>
      <c r="AH188" s="107"/>
      <c r="AI188" s="3266"/>
      <c r="AJ188" s="368">
        <f t="shared" si="367"/>
        <v>0</v>
      </c>
      <c r="AK188" s="885"/>
      <c r="AL188" s="107"/>
      <c r="AM188" s="3267"/>
      <c r="AN188" s="613">
        <f t="shared" si="368"/>
        <v>0</v>
      </c>
      <c r="AO188" s="3266"/>
      <c r="AP188" s="368">
        <f t="shared" si="369"/>
        <v>0</v>
      </c>
      <c r="AQ188" s="885"/>
      <c r="AR188" s="107"/>
      <c r="AS188" s="3266"/>
      <c r="AT188" s="42">
        <f t="shared" si="370"/>
        <v>0</v>
      </c>
      <c r="AU188" s="885"/>
      <c r="AV188" s="107"/>
      <c r="AW188" s="3266"/>
      <c r="AX188" s="42">
        <f t="shared" si="371"/>
        <v>0</v>
      </c>
      <c r="AY188" s="885"/>
      <c r="AZ188" s="107"/>
      <c r="BA188" s="3267"/>
      <c r="BB188" s="613">
        <f t="shared" si="391"/>
        <v>0</v>
      </c>
      <c r="BC188" s="5725"/>
      <c r="BD188" s="460">
        <f t="shared" si="373"/>
        <v>0</v>
      </c>
      <c r="BE188" s="3266"/>
      <c r="BF188" s="42">
        <f t="shared" si="374"/>
        <v>0</v>
      </c>
      <c r="BG188" s="26">
        <f t="shared" si="380"/>
        <v>0</v>
      </c>
      <c r="BH188" s="26">
        <f t="shared" si="381"/>
        <v>0</v>
      </c>
      <c r="BI188" s="26"/>
      <c r="BJ188" s="26">
        <f t="shared" si="382"/>
        <v>0</v>
      </c>
      <c r="BK188" s="26">
        <f t="shared" si="383"/>
        <v>0</v>
      </c>
    </row>
    <row r="189" spans="1:63" ht="15" thickBot="1" x14ac:dyDescent="0.35">
      <c r="A189" s="114"/>
      <c r="B189" s="3447" t="s">
        <v>865</v>
      </c>
      <c r="C189" s="3442" t="s">
        <v>1146</v>
      </c>
      <c r="D189" s="3417"/>
      <c r="E189" s="3427"/>
      <c r="F189" s="155"/>
      <c r="G189" s="3427"/>
      <c r="H189" s="155">
        <v>495.78</v>
      </c>
      <c r="I189" s="2788"/>
      <c r="J189" s="775">
        <f t="shared" si="384"/>
        <v>495.78</v>
      </c>
      <c r="K189" s="3427"/>
      <c r="L189" s="155">
        <v>363.68</v>
      </c>
      <c r="M189" s="3428"/>
      <c r="N189" s="774">
        <f t="shared" si="385"/>
        <v>859.46</v>
      </c>
      <c r="O189" s="3427"/>
      <c r="P189" s="155">
        <v>60.82</v>
      </c>
      <c r="Q189" s="2788"/>
      <c r="R189" s="775">
        <f t="shared" si="386"/>
        <v>920.28000000000009</v>
      </c>
      <c r="S189" s="3427"/>
      <c r="T189" s="155">
        <v>247.58</v>
      </c>
      <c r="U189" s="2788"/>
      <c r="V189" s="775">
        <f t="shared" si="387"/>
        <v>1167.8600000000001</v>
      </c>
      <c r="W189" s="3427"/>
      <c r="X189" s="155">
        <v>58.24</v>
      </c>
      <c r="Y189" s="3428"/>
      <c r="Z189" s="774">
        <f t="shared" si="388"/>
        <v>366.64000000000004</v>
      </c>
      <c r="AA189" s="4621"/>
      <c r="AB189" s="460">
        <f t="shared" si="389"/>
        <v>1226.1000000000001</v>
      </c>
      <c r="AC189" s="3427"/>
      <c r="AD189" s="155">
        <v>732.2</v>
      </c>
      <c r="AE189" s="2788"/>
      <c r="AF189" s="775">
        <f t="shared" si="390"/>
        <v>1958.3000000000002</v>
      </c>
      <c r="AG189" s="3427"/>
      <c r="AH189" s="155">
        <v>1737.6200000000001</v>
      </c>
      <c r="AI189" s="2788"/>
      <c r="AJ189" s="368">
        <f t="shared" si="367"/>
        <v>3695.92</v>
      </c>
      <c r="AK189" s="3427"/>
      <c r="AL189" s="155"/>
      <c r="AM189" s="3428"/>
      <c r="AN189" s="613">
        <f t="shared" si="368"/>
        <v>2469.8200000000002</v>
      </c>
      <c r="AO189" s="2788"/>
      <c r="AP189" s="368">
        <f t="shared" si="369"/>
        <v>3695.92</v>
      </c>
      <c r="AQ189" s="3427"/>
      <c r="AR189" s="155">
        <v>791.52</v>
      </c>
      <c r="AS189" s="2788"/>
      <c r="AT189" s="42">
        <f t="shared" si="370"/>
        <v>4487.4400000000005</v>
      </c>
      <c r="AU189" s="3427"/>
      <c r="AV189" s="155">
        <v>360.54</v>
      </c>
      <c r="AW189" s="2788"/>
      <c r="AX189" s="42">
        <f t="shared" si="371"/>
        <v>4847.9800000000005</v>
      </c>
      <c r="AY189" s="3427"/>
      <c r="AZ189" s="2537">
        <v>249.8</v>
      </c>
      <c r="BA189" s="3428"/>
      <c r="BB189" s="613">
        <f t="shared" si="391"/>
        <v>1401.86</v>
      </c>
      <c r="BC189" s="4621"/>
      <c r="BD189" s="460">
        <f t="shared" si="373"/>
        <v>3871.6800000000003</v>
      </c>
      <c r="BE189" s="2788"/>
      <c r="BF189" s="42">
        <f t="shared" si="374"/>
        <v>5097.7800000000007</v>
      </c>
      <c r="BG189" s="26">
        <f t="shared" si="380"/>
        <v>0</v>
      </c>
      <c r="BH189" s="26">
        <f t="shared" si="381"/>
        <v>0</v>
      </c>
      <c r="BI189" s="26"/>
      <c r="BJ189" s="26">
        <f t="shared" si="382"/>
        <v>0</v>
      </c>
      <c r="BK189" s="26">
        <f t="shared" si="383"/>
        <v>0</v>
      </c>
    </row>
    <row r="190" spans="1:63" ht="15.75" customHeight="1" thickBot="1" x14ac:dyDescent="0.35">
      <c r="A190" s="114"/>
      <c r="B190" s="3447" t="s">
        <v>865</v>
      </c>
      <c r="C190" s="3449" t="s">
        <v>1147</v>
      </c>
      <c r="D190" s="3430"/>
      <c r="E190" s="3431"/>
      <c r="F190" s="1186"/>
      <c r="G190" s="3431"/>
      <c r="H190" s="1186"/>
      <c r="I190" s="3432"/>
      <c r="J190" s="775">
        <f t="shared" si="384"/>
        <v>0</v>
      </c>
      <c r="K190" s="3431"/>
      <c r="L190" s="1186"/>
      <c r="M190" s="3433"/>
      <c r="N190" s="774">
        <f t="shared" si="385"/>
        <v>0</v>
      </c>
      <c r="O190" s="3431"/>
      <c r="P190" s="1186"/>
      <c r="Q190" s="3432"/>
      <c r="R190" s="775">
        <f t="shared" si="386"/>
        <v>0</v>
      </c>
      <c r="S190" s="3431"/>
      <c r="T190" s="1186"/>
      <c r="U190" s="3432"/>
      <c r="V190" s="775">
        <f t="shared" si="387"/>
        <v>0</v>
      </c>
      <c r="W190" s="3431"/>
      <c r="X190" s="1186"/>
      <c r="Y190" s="3433"/>
      <c r="Z190" s="774">
        <f t="shared" si="388"/>
        <v>0</v>
      </c>
      <c r="AA190" s="5721"/>
      <c r="AB190" s="460">
        <f t="shared" si="389"/>
        <v>0</v>
      </c>
      <c r="AC190" s="3431"/>
      <c r="AD190" s="1186"/>
      <c r="AE190" s="3432"/>
      <c r="AF190" s="775">
        <f t="shared" si="390"/>
        <v>0</v>
      </c>
      <c r="AG190" s="3431"/>
      <c r="AH190" s="1186"/>
      <c r="AI190" s="3432"/>
      <c r="AJ190" s="368">
        <f t="shared" si="367"/>
        <v>0</v>
      </c>
      <c r="AK190" s="3431"/>
      <c r="AL190" s="1186"/>
      <c r="AM190" s="3433"/>
      <c r="AN190" s="613">
        <f t="shared" si="368"/>
        <v>0</v>
      </c>
      <c r="AO190" s="3432"/>
      <c r="AP190" s="368">
        <f t="shared" si="369"/>
        <v>0</v>
      </c>
      <c r="AQ190" s="3431"/>
      <c r="AR190" s="1186">
        <v>180.58</v>
      </c>
      <c r="AS190" s="3432"/>
      <c r="AT190" s="42">
        <f t="shared" si="370"/>
        <v>180.58</v>
      </c>
      <c r="AU190" s="3431"/>
      <c r="AV190" s="1186"/>
      <c r="AW190" s="3432"/>
      <c r="AX190" s="42">
        <f t="shared" si="371"/>
        <v>180.58</v>
      </c>
      <c r="AY190" s="3431"/>
      <c r="AZ190" s="1186"/>
      <c r="BA190" s="3433"/>
      <c r="BB190" s="613">
        <f t="shared" si="391"/>
        <v>180.58</v>
      </c>
      <c r="BC190" s="5721"/>
      <c r="BD190" s="460">
        <f t="shared" si="373"/>
        <v>180.58</v>
      </c>
      <c r="BE190" s="3432"/>
      <c r="BF190" s="42">
        <f t="shared" si="374"/>
        <v>180.58</v>
      </c>
      <c r="BG190" s="26">
        <f t="shared" si="380"/>
        <v>0</v>
      </c>
      <c r="BH190" s="26">
        <f t="shared" si="381"/>
        <v>0</v>
      </c>
      <c r="BI190" s="26"/>
      <c r="BJ190" s="26">
        <f t="shared" si="382"/>
        <v>0</v>
      </c>
      <c r="BK190" s="26">
        <f t="shared" si="383"/>
        <v>0</v>
      </c>
    </row>
    <row r="191" spans="1:63" ht="15" thickBot="1" x14ac:dyDescent="0.35">
      <c r="A191" s="92"/>
      <c r="B191" s="3450" t="s">
        <v>865</v>
      </c>
      <c r="C191" s="3443" t="s">
        <v>877</v>
      </c>
      <c r="D191" s="3422"/>
      <c r="E191" s="3412"/>
      <c r="F191" s="1185">
        <v>62.34</v>
      </c>
      <c r="G191" s="3412"/>
      <c r="H191" s="1185">
        <v>349.26</v>
      </c>
      <c r="I191" s="844"/>
      <c r="J191" s="775">
        <f t="shared" si="384"/>
        <v>411.6</v>
      </c>
      <c r="K191" s="3412"/>
      <c r="L191" s="1185">
        <v>182.94</v>
      </c>
      <c r="M191" s="894"/>
      <c r="N191" s="774">
        <f t="shared" si="385"/>
        <v>594.54</v>
      </c>
      <c r="O191" s="3412"/>
      <c r="P191" s="1185"/>
      <c r="Q191" s="844"/>
      <c r="R191" s="775">
        <f t="shared" si="386"/>
        <v>594.54</v>
      </c>
      <c r="S191" s="3412"/>
      <c r="T191" s="1185"/>
      <c r="U191" s="844"/>
      <c r="V191" s="775">
        <f t="shared" si="387"/>
        <v>594.54</v>
      </c>
      <c r="W191" s="3412"/>
      <c r="X191" s="1185"/>
      <c r="Y191" s="894"/>
      <c r="Z191" s="774">
        <f t="shared" si="388"/>
        <v>0</v>
      </c>
      <c r="AA191" s="3965"/>
      <c r="AB191" s="460">
        <f t="shared" si="389"/>
        <v>594.54</v>
      </c>
      <c r="AC191" s="3412"/>
      <c r="AD191" s="1185">
        <v>775.54</v>
      </c>
      <c r="AE191" s="844"/>
      <c r="AF191" s="775">
        <f t="shared" si="390"/>
        <v>1370.08</v>
      </c>
      <c r="AG191" s="3412"/>
      <c r="AH191" s="1185">
        <v>572.99</v>
      </c>
      <c r="AI191" s="844"/>
      <c r="AJ191" s="368">
        <f t="shared" si="367"/>
        <v>1943.07</v>
      </c>
      <c r="AK191" s="3412"/>
      <c r="AL191" s="1185"/>
      <c r="AM191" s="894"/>
      <c r="AN191" s="613">
        <f t="shared" si="368"/>
        <v>1348.53</v>
      </c>
      <c r="AO191" s="844"/>
      <c r="AP191" s="368">
        <f t="shared" si="369"/>
        <v>1943.07</v>
      </c>
      <c r="AQ191" s="3412"/>
      <c r="AR191" s="1185">
        <v>383.94000000000005</v>
      </c>
      <c r="AS191" s="844"/>
      <c r="AT191" s="42">
        <f t="shared" si="370"/>
        <v>2327.0100000000002</v>
      </c>
      <c r="AU191" s="3412"/>
      <c r="AV191" s="1185">
        <v>40.24</v>
      </c>
      <c r="AW191" s="844"/>
      <c r="AX191" s="42">
        <f t="shared" si="371"/>
        <v>2367.25</v>
      </c>
      <c r="AY191" s="3412"/>
      <c r="AZ191" s="1185">
        <v>195.72</v>
      </c>
      <c r="BA191" s="894"/>
      <c r="BB191" s="613">
        <f t="shared" si="391"/>
        <v>619.90000000000009</v>
      </c>
      <c r="BC191" s="3965"/>
      <c r="BD191" s="460">
        <f t="shared" si="373"/>
        <v>1968.43</v>
      </c>
      <c r="BE191" s="844"/>
      <c r="BF191" s="42">
        <f t="shared" si="374"/>
        <v>2562.9699999999998</v>
      </c>
      <c r="BG191" s="26">
        <f t="shared" si="380"/>
        <v>0</v>
      </c>
      <c r="BH191" s="26">
        <f t="shared" si="381"/>
        <v>0</v>
      </c>
      <c r="BI191" s="26"/>
      <c r="BJ191" s="26">
        <f t="shared" si="382"/>
        <v>0</v>
      </c>
      <c r="BK191" s="26">
        <f t="shared" si="383"/>
        <v>0</v>
      </c>
    </row>
    <row r="192" spans="1:63" ht="15" thickBot="1" x14ac:dyDescent="0.35">
      <c r="A192" s="92"/>
      <c r="B192" s="3450" t="s">
        <v>865</v>
      </c>
      <c r="C192" s="3443" t="s">
        <v>896</v>
      </c>
      <c r="D192" s="3453"/>
      <c r="E192" s="3294"/>
      <c r="F192" s="2537"/>
      <c r="G192" s="3294"/>
      <c r="H192" s="2537">
        <v>300.5</v>
      </c>
      <c r="I192" s="2789"/>
      <c r="J192" s="775">
        <f t="shared" si="384"/>
        <v>300.5</v>
      </c>
      <c r="K192" s="3294"/>
      <c r="L192" s="2537"/>
      <c r="M192" s="2757"/>
      <c r="N192" s="774">
        <f t="shared" si="385"/>
        <v>300.5</v>
      </c>
      <c r="O192" s="3294"/>
      <c r="P192" s="2537">
        <v>57.54</v>
      </c>
      <c r="Q192" s="2789"/>
      <c r="R192" s="775">
        <f t="shared" si="386"/>
        <v>358.04</v>
      </c>
      <c r="S192" s="3294"/>
      <c r="T192" s="2537"/>
      <c r="U192" s="2789"/>
      <c r="V192" s="775">
        <f t="shared" si="387"/>
        <v>358.04</v>
      </c>
      <c r="W192" s="3294"/>
      <c r="X192" s="2537"/>
      <c r="Y192" s="2757"/>
      <c r="Z192" s="774">
        <f t="shared" si="388"/>
        <v>57.54</v>
      </c>
      <c r="AA192" s="3966"/>
      <c r="AB192" s="460">
        <f t="shared" si="389"/>
        <v>358.04</v>
      </c>
      <c r="AC192" s="3294"/>
      <c r="AD192" s="2537">
        <v>300.91999999999996</v>
      </c>
      <c r="AE192" s="2789"/>
      <c r="AF192" s="775">
        <f t="shared" si="390"/>
        <v>658.96</v>
      </c>
      <c r="AG192" s="3294"/>
      <c r="AH192" s="2537"/>
      <c r="AI192" s="2789"/>
      <c r="AJ192" s="368">
        <f t="shared" si="367"/>
        <v>658.96</v>
      </c>
      <c r="AK192" s="3294"/>
      <c r="AL192" s="2537"/>
      <c r="AM192" s="2757"/>
      <c r="AN192" s="613">
        <f t="shared" si="368"/>
        <v>300.91999999999996</v>
      </c>
      <c r="AO192" s="2789"/>
      <c r="AP192" s="368">
        <f t="shared" si="369"/>
        <v>658.96</v>
      </c>
      <c r="AQ192" s="3294"/>
      <c r="AR192" s="2537">
        <v>62.52</v>
      </c>
      <c r="AS192" s="2789"/>
      <c r="AT192" s="42">
        <f t="shared" si="370"/>
        <v>721.48</v>
      </c>
      <c r="AU192" s="3294"/>
      <c r="AV192" s="2537"/>
      <c r="AW192" s="2789"/>
      <c r="AX192" s="42">
        <f t="shared" si="371"/>
        <v>721.48</v>
      </c>
      <c r="AY192" s="3294"/>
      <c r="BA192" s="2757"/>
      <c r="BB192" s="613">
        <f t="shared" si="391"/>
        <v>62.52</v>
      </c>
      <c r="BC192" s="3966"/>
      <c r="BD192" s="460">
        <f t="shared" si="373"/>
        <v>363.43999999999994</v>
      </c>
      <c r="BE192" s="2789"/>
      <c r="BF192" s="42">
        <f t="shared" si="374"/>
        <v>721.48</v>
      </c>
      <c r="BG192" s="26">
        <f t="shared" si="380"/>
        <v>0</v>
      </c>
      <c r="BH192" s="26">
        <f t="shared" si="381"/>
        <v>0</v>
      </c>
      <c r="BI192" s="26"/>
      <c r="BJ192" s="26">
        <f t="shared" si="382"/>
        <v>0</v>
      </c>
      <c r="BK192" s="26">
        <f t="shared" si="383"/>
        <v>0</v>
      </c>
    </row>
    <row r="193" spans="1:63" ht="15" thickBot="1" x14ac:dyDescent="0.35">
      <c r="A193" s="151"/>
      <c r="B193" s="3450" t="s">
        <v>865</v>
      </c>
      <c r="C193" s="3443" t="s">
        <v>988</v>
      </c>
      <c r="D193" s="3443"/>
      <c r="E193" s="3412"/>
      <c r="F193" s="1185"/>
      <c r="G193" s="3412"/>
      <c r="H193" s="1185">
        <v>116.72</v>
      </c>
      <c r="I193" s="844"/>
      <c r="J193" s="775">
        <f t="shared" si="384"/>
        <v>116.72</v>
      </c>
      <c r="K193" s="3412"/>
      <c r="L193" s="1185"/>
      <c r="M193" s="894"/>
      <c r="N193" s="774">
        <f t="shared" si="385"/>
        <v>116.72</v>
      </c>
      <c r="O193" s="3412"/>
      <c r="P193" s="1185"/>
      <c r="Q193" s="844"/>
      <c r="R193" s="775">
        <f t="shared" si="386"/>
        <v>116.72</v>
      </c>
      <c r="S193" s="3412"/>
      <c r="T193" s="1185"/>
      <c r="U193" s="844"/>
      <c r="V193" s="775">
        <f t="shared" si="387"/>
        <v>116.72</v>
      </c>
      <c r="W193" s="3412"/>
      <c r="X193" s="1185"/>
      <c r="Y193" s="894"/>
      <c r="Z193" s="774">
        <f t="shared" si="388"/>
        <v>0</v>
      </c>
      <c r="AA193" s="3965"/>
      <c r="AB193" s="460">
        <f t="shared" si="389"/>
        <v>116.72</v>
      </c>
      <c r="AC193" s="3412"/>
      <c r="AD193" s="1185"/>
      <c r="AE193" s="844"/>
      <c r="AF193" s="775">
        <f t="shared" si="390"/>
        <v>116.72</v>
      </c>
      <c r="AG193" s="3412"/>
      <c r="AH193" s="1185">
        <v>312.79999999999995</v>
      </c>
      <c r="AI193" s="844"/>
      <c r="AJ193" s="368">
        <f t="shared" si="367"/>
        <v>429.52</v>
      </c>
      <c r="AK193" s="3412"/>
      <c r="AL193" s="1185"/>
      <c r="AM193" s="894"/>
      <c r="AN193" s="613">
        <f t="shared" si="368"/>
        <v>312.79999999999995</v>
      </c>
      <c r="AO193" s="844"/>
      <c r="AP193" s="368">
        <f t="shared" si="369"/>
        <v>429.52</v>
      </c>
      <c r="AQ193" s="3412"/>
      <c r="AR193" s="1185">
        <v>423.90000000000009</v>
      </c>
      <c r="AS193" s="844"/>
      <c r="AT193" s="42">
        <f t="shared" si="370"/>
        <v>853.42000000000007</v>
      </c>
      <c r="AU193" s="3412"/>
      <c r="AV193" s="1185"/>
      <c r="AW193" s="844"/>
      <c r="AX193" s="42">
        <f t="shared" si="371"/>
        <v>853.42000000000007</v>
      </c>
      <c r="AY193" s="3412"/>
      <c r="AZ193" s="1185"/>
      <c r="BA193" s="894"/>
      <c r="BB193" s="613">
        <f t="shared" si="391"/>
        <v>423.90000000000009</v>
      </c>
      <c r="BC193" s="3965"/>
      <c r="BD193" s="460">
        <f t="shared" si="373"/>
        <v>736.7</v>
      </c>
      <c r="BE193" s="844"/>
      <c r="BF193" s="42">
        <f t="shared" si="374"/>
        <v>853.42000000000007</v>
      </c>
      <c r="BG193" s="26">
        <f t="shared" si="380"/>
        <v>0</v>
      </c>
      <c r="BH193" s="26">
        <f t="shared" si="381"/>
        <v>0</v>
      </c>
      <c r="BI193" s="26"/>
      <c r="BJ193" s="26">
        <f t="shared" si="382"/>
        <v>0</v>
      </c>
      <c r="BK193" s="26">
        <f t="shared" si="383"/>
        <v>0</v>
      </c>
    </row>
    <row r="194" spans="1:63" ht="15.75" customHeight="1" thickBot="1" x14ac:dyDescent="0.35">
      <c r="A194" s="92"/>
      <c r="B194" s="3450" t="s">
        <v>865</v>
      </c>
      <c r="C194" s="3443" t="s">
        <v>905</v>
      </c>
      <c r="D194" s="3422"/>
      <c r="E194" s="3412"/>
      <c r="F194" s="1185"/>
      <c r="G194" s="3412"/>
      <c r="H194" s="1185"/>
      <c r="I194" s="844"/>
      <c r="J194" s="775">
        <f t="shared" si="384"/>
        <v>0</v>
      </c>
      <c r="K194" s="3412"/>
      <c r="L194" s="1185"/>
      <c r="M194" s="894"/>
      <c r="N194" s="774">
        <f t="shared" si="385"/>
        <v>0</v>
      </c>
      <c r="O194" s="3412"/>
      <c r="P194" s="1185"/>
      <c r="Q194" s="844"/>
      <c r="R194" s="775">
        <f t="shared" si="386"/>
        <v>0</v>
      </c>
      <c r="S194" s="3412"/>
      <c r="T194" s="1185"/>
      <c r="U194" s="844"/>
      <c r="V194" s="775">
        <f t="shared" si="387"/>
        <v>0</v>
      </c>
      <c r="W194" s="3412"/>
      <c r="X194" s="1185"/>
      <c r="Y194" s="894"/>
      <c r="Z194" s="774">
        <f t="shared" si="388"/>
        <v>0</v>
      </c>
      <c r="AA194" s="3965"/>
      <c r="AB194" s="460">
        <f t="shared" si="389"/>
        <v>0</v>
      </c>
      <c r="AC194" s="3412"/>
      <c r="AD194" s="1185">
        <v>183.24</v>
      </c>
      <c r="AE194" s="844"/>
      <c r="AF194" s="775">
        <f t="shared" si="390"/>
        <v>183.24</v>
      </c>
      <c r="AG194" s="3412"/>
      <c r="AH194" s="1185"/>
      <c r="AI194" s="844"/>
      <c r="AJ194" s="368">
        <f t="shared" si="367"/>
        <v>183.24</v>
      </c>
      <c r="AK194" s="3412"/>
      <c r="AL194" s="1185"/>
      <c r="AM194" s="894"/>
      <c r="AN194" s="613">
        <f t="shared" si="368"/>
        <v>183.24</v>
      </c>
      <c r="AO194" s="844"/>
      <c r="AP194" s="368">
        <f t="shared" ref="AP194:AP225" si="392">AJ194+AL194</f>
        <v>183.24</v>
      </c>
      <c r="AQ194" s="3412"/>
      <c r="AR194" s="1185">
        <v>62.2</v>
      </c>
      <c r="AS194" s="844"/>
      <c r="AT194" s="42">
        <f t="shared" si="370"/>
        <v>245.44</v>
      </c>
      <c r="AU194" s="3412"/>
      <c r="AV194" s="1185"/>
      <c r="AW194" s="844"/>
      <c r="AX194" s="42">
        <f t="shared" si="371"/>
        <v>245.44</v>
      </c>
      <c r="AY194" s="3412"/>
      <c r="AZ194" s="1185"/>
      <c r="BA194" s="894"/>
      <c r="BB194" s="613">
        <f t="shared" si="391"/>
        <v>62.2</v>
      </c>
      <c r="BC194" s="3965"/>
      <c r="BD194" s="460">
        <f t="shared" si="373"/>
        <v>245.44</v>
      </c>
      <c r="BE194" s="844"/>
      <c r="BF194" s="42">
        <f t="shared" si="374"/>
        <v>245.44</v>
      </c>
      <c r="BG194" s="26">
        <f t="shared" si="380"/>
        <v>0</v>
      </c>
      <c r="BH194" s="26">
        <f t="shared" si="381"/>
        <v>0</v>
      </c>
      <c r="BI194" s="26"/>
      <c r="BJ194" s="26">
        <f t="shared" si="382"/>
        <v>0</v>
      </c>
      <c r="BK194" s="26">
        <f t="shared" si="383"/>
        <v>0</v>
      </c>
    </row>
    <row r="195" spans="1:63" ht="15" thickBot="1" x14ac:dyDescent="0.35">
      <c r="A195" s="151"/>
      <c r="B195" s="3450" t="s">
        <v>865</v>
      </c>
      <c r="C195" s="3443" t="s">
        <v>1317</v>
      </c>
      <c r="D195" s="3443"/>
      <c r="E195" s="3412"/>
      <c r="F195" s="1185">
        <v>461.16</v>
      </c>
      <c r="G195" s="3412"/>
      <c r="H195" s="1185">
        <v>127.47999999999999</v>
      </c>
      <c r="I195" s="844"/>
      <c r="J195" s="775">
        <f t="shared" si="384"/>
        <v>588.64</v>
      </c>
      <c r="K195" s="3412"/>
      <c r="L195" s="1185"/>
      <c r="M195" s="894"/>
      <c r="N195" s="774">
        <f t="shared" si="385"/>
        <v>588.64</v>
      </c>
      <c r="O195" s="3412"/>
      <c r="P195" s="1185"/>
      <c r="Q195" s="844"/>
      <c r="R195" s="775">
        <f t="shared" si="386"/>
        <v>588.64</v>
      </c>
      <c r="S195" s="3412"/>
      <c r="T195" s="1185"/>
      <c r="U195" s="844"/>
      <c r="V195" s="775">
        <f t="shared" si="387"/>
        <v>588.64</v>
      </c>
      <c r="W195" s="3412"/>
      <c r="X195" s="1185"/>
      <c r="Y195" s="894"/>
      <c r="Z195" s="774">
        <f t="shared" si="388"/>
        <v>0</v>
      </c>
      <c r="AA195" s="3965"/>
      <c r="AB195" s="460">
        <f t="shared" si="389"/>
        <v>588.64</v>
      </c>
      <c r="AC195" s="3412"/>
      <c r="AD195" s="1185"/>
      <c r="AE195" s="844"/>
      <c r="AF195" s="775">
        <f t="shared" si="390"/>
        <v>588.64</v>
      </c>
      <c r="AG195" s="3412"/>
      <c r="AH195" s="1185">
        <v>153.08000000000001</v>
      </c>
      <c r="AI195" s="844"/>
      <c r="AJ195" s="368">
        <f t="shared" si="367"/>
        <v>741.72</v>
      </c>
      <c r="AK195" s="3412"/>
      <c r="AL195" s="1185"/>
      <c r="AM195" s="894"/>
      <c r="AN195" s="613">
        <f t="shared" si="368"/>
        <v>153.08000000000001</v>
      </c>
      <c r="AO195" s="844"/>
      <c r="AP195" s="368">
        <f t="shared" si="392"/>
        <v>741.72</v>
      </c>
      <c r="AQ195" s="3412"/>
      <c r="AR195" s="1185">
        <v>452.07</v>
      </c>
      <c r="AS195" s="844"/>
      <c r="AT195" s="42">
        <f t="shared" si="370"/>
        <v>1193.79</v>
      </c>
      <c r="AU195" s="3412"/>
      <c r="AV195" s="1185">
        <v>608.53</v>
      </c>
      <c r="AW195" s="844"/>
      <c r="AX195" s="42">
        <f t="shared" si="371"/>
        <v>1802.32</v>
      </c>
      <c r="AY195" s="3412"/>
      <c r="AZ195" s="1185">
        <v>39.79</v>
      </c>
      <c r="BA195" s="894"/>
      <c r="BB195" s="613">
        <f t="shared" si="391"/>
        <v>1100.3899999999999</v>
      </c>
      <c r="BC195" s="3965"/>
      <c r="BD195" s="460">
        <f t="shared" si="373"/>
        <v>1253.4699999999998</v>
      </c>
      <c r="BE195" s="844"/>
      <c r="BF195" s="42">
        <f t="shared" si="374"/>
        <v>1842.11</v>
      </c>
      <c r="BG195" s="26">
        <f t="shared" si="380"/>
        <v>0</v>
      </c>
      <c r="BH195" s="26">
        <f t="shared" si="381"/>
        <v>0</v>
      </c>
      <c r="BI195" s="26"/>
      <c r="BJ195" s="26">
        <f t="shared" si="382"/>
        <v>0</v>
      </c>
      <c r="BK195" s="26">
        <f t="shared" si="383"/>
        <v>0</v>
      </c>
    </row>
    <row r="196" spans="1:63" ht="15" thickBot="1" x14ac:dyDescent="0.35">
      <c r="A196" s="92"/>
      <c r="B196" s="3450" t="s">
        <v>865</v>
      </c>
      <c r="C196" s="3443" t="s">
        <v>899</v>
      </c>
      <c r="D196" s="156"/>
      <c r="E196" s="156"/>
      <c r="F196" s="1185">
        <v>466.65000000000003</v>
      </c>
      <c r="G196" s="156"/>
      <c r="H196" s="1185"/>
      <c r="I196" s="585"/>
      <c r="J196" s="775">
        <f t="shared" si="384"/>
        <v>466.65000000000003</v>
      </c>
      <c r="K196" s="156"/>
      <c r="L196" s="1185"/>
      <c r="M196" s="938"/>
      <c r="N196" s="774">
        <f t="shared" si="385"/>
        <v>466.65000000000003</v>
      </c>
      <c r="O196" s="156"/>
      <c r="P196" s="1185"/>
      <c r="Q196" s="585"/>
      <c r="R196" s="775">
        <f t="shared" si="386"/>
        <v>466.65000000000003</v>
      </c>
      <c r="S196" s="156"/>
      <c r="T196" s="1185"/>
      <c r="U196" s="585"/>
      <c r="V196" s="775">
        <f t="shared" si="387"/>
        <v>466.65000000000003</v>
      </c>
      <c r="W196" s="156"/>
      <c r="X196" s="1185"/>
      <c r="Y196" s="938"/>
      <c r="Z196" s="774">
        <f t="shared" si="388"/>
        <v>0</v>
      </c>
      <c r="AA196" s="2238"/>
      <c r="AB196" s="460">
        <f t="shared" si="389"/>
        <v>466.65000000000003</v>
      </c>
      <c r="AC196" s="156"/>
      <c r="AD196" s="1185">
        <v>118.46000000000001</v>
      </c>
      <c r="AE196" s="585"/>
      <c r="AF196" s="775">
        <f t="shared" si="390"/>
        <v>585.11</v>
      </c>
      <c r="AG196" s="156"/>
      <c r="AH196" s="1185"/>
      <c r="AI196" s="585"/>
      <c r="AJ196" s="368">
        <f t="shared" si="367"/>
        <v>585.11</v>
      </c>
      <c r="AK196" s="156"/>
      <c r="AL196" s="1185"/>
      <c r="AM196" s="938"/>
      <c r="AN196" s="613">
        <f t="shared" si="368"/>
        <v>118.46000000000001</v>
      </c>
      <c r="AO196" s="585"/>
      <c r="AP196" s="368">
        <f t="shared" si="392"/>
        <v>585.11</v>
      </c>
      <c r="AQ196" s="156"/>
      <c r="AR196" s="1185"/>
      <c r="AS196" s="585"/>
      <c r="AT196" s="42">
        <f t="shared" si="370"/>
        <v>585.11</v>
      </c>
      <c r="AU196" s="156"/>
      <c r="AV196" s="1185"/>
      <c r="AW196" s="585"/>
      <c r="AX196" s="42">
        <f t="shared" si="371"/>
        <v>585.11</v>
      </c>
      <c r="AY196" s="156"/>
      <c r="AZ196" s="1185"/>
      <c r="BA196" s="938"/>
      <c r="BB196" s="613">
        <f t="shared" si="391"/>
        <v>0</v>
      </c>
      <c r="BC196" s="2238"/>
      <c r="BD196" s="460">
        <f t="shared" ref="BD196:BD235" si="393">AN196+BB196</f>
        <v>118.46000000000001</v>
      </c>
      <c r="BE196" s="585"/>
      <c r="BF196" s="42">
        <f t="shared" si="374"/>
        <v>585.11</v>
      </c>
      <c r="BG196" s="26">
        <f t="shared" si="380"/>
        <v>0</v>
      </c>
      <c r="BH196" s="26">
        <f t="shared" si="381"/>
        <v>0</v>
      </c>
      <c r="BI196" s="26"/>
      <c r="BJ196" s="26">
        <f t="shared" si="382"/>
        <v>0</v>
      </c>
      <c r="BK196" s="26">
        <f t="shared" si="383"/>
        <v>0</v>
      </c>
    </row>
    <row r="197" spans="1:63" ht="15" thickBot="1" x14ac:dyDescent="0.35">
      <c r="A197" s="92"/>
      <c r="B197" s="3450" t="s">
        <v>865</v>
      </c>
      <c r="C197" s="3443" t="s">
        <v>942</v>
      </c>
      <c r="D197" s="3422"/>
      <c r="E197" s="3412"/>
      <c r="F197" s="1185"/>
      <c r="G197" s="3412"/>
      <c r="H197" s="1185">
        <v>557.69999999999993</v>
      </c>
      <c r="I197" s="844"/>
      <c r="J197" s="775">
        <f t="shared" si="384"/>
        <v>557.69999999999993</v>
      </c>
      <c r="K197" s="3412"/>
      <c r="L197" s="1185">
        <v>63.14</v>
      </c>
      <c r="M197" s="894"/>
      <c r="N197" s="774">
        <f t="shared" si="385"/>
        <v>620.83999999999992</v>
      </c>
      <c r="O197" s="3412"/>
      <c r="P197" s="1185"/>
      <c r="Q197" s="844"/>
      <c r="R197" s="775">
        <f t="shared" si="386"/>
        <v>620.83999999999992</v>
      </c>
      <c r="S197" s="3412"/>
      <c r="T197" s="1185"/>
      <c r="U197" s="844"/>
      <c r="V197" s="775">
        <f t="shared" si="387"/>
        <v>620.83999999999992</v>
      </c>
      <c r="W197" s="3412"/>
      <c r="X197" s="1185"/>
      <c r="Y197" s="894"/>
      <c r="Z197" s="774">
        <f t="shared" si="388"/>
        <v>0</v>
      </c>
      <c r="AA197" s="3965"/>
      <c r="AB197" s="460">
        <f t="shared" si="389"/>
        <v>620.83999999999992</v>
      </c>
      <c r="AC197" s="3412"/>
      <c r="AD197" s="1185"/>
      <c r="AE197" s="844"/>
      <c r="AF197" s="775">
        <f t="shared" si="390"/>
        <v>620.83999999999992</v>
      </c>
      <c r="AG197" s="3412"/>
      <c r="AH197" s="1185">
        <v>242.26</v>
      </c>
      <c r="AI197" s="844"/>
      <c r="AJ197" s="368">
        <f t="shared" si="367"/>
        <v>863.09999999999991</v>
      </c>
      <c r="AK197" s="3412"/>
      <c r="AL197" s="1185"/>
      <c r="AM197" s="894"/>
      <c r="AN197" s="613">
        <f t="shared" ref="AN197:AN226" si="394">AD197+AH197+AL197</f>
        <v>242.26</v>
      </c>
      <c r="AO197" s="844"/>
      <c r="AP197" s="368">
        <f t="shared" si="392"/>
        <v>863.09999999999991</v>
      </c>
      <c r="AQ197" s="3412"/>
      <c r="AR197" s="1185">
        <v>39.313000000000002</v>
      </c>
      <c r="AS197" s="844"/>
      <c r="AT197" s="42">
        <f t="shared" si="370"/>
        <v>902.4129999999999</v>
      </c>
      <c r="AU197" s="3412"/>
      <c r="AV197" s="1185"/>
      <c r="AW197" s="844"/>
      <c r="AX197" s="42">
        <f t="shared" si="371"/>
        <v>902.4129999999999</v>
      </c>
      <c r="AY197" s="3412"/>
      <c r="AZ197" s="1185"/>
      <c r="BA197" s="894"/>
      <c r="BB197" s="613">
        <f t="shared" si="391"/>
        <v>39.313000000000002</v>
      </c>
      <c r="BC197" s="3965"/>
      <c r="BD197" s="460">
        <f t="shared" si="393"/>
        <v>281.57299999999998</v>
      </c>
      <c r="BE197" s="844"/>
      <c r="BF197" s="42">
        <f t="shared" si="374"/>
        <v>902.4129999999999</v>
      </c>
      <c r="BG197" s="26">
        <f t="shared" si="380"/>
        <v>0</v>
      </c>
      <c r="BH197" s="26">
        <f t="shared" si="381"/>
        <v>0</v>
      </c>
      <c r="BI197" s="26"/>
      <c r="BJ197" s="26">
        <f t="shared" si="382"/>
        <v>0</v>
      </c>
      <c r="BK197" s="26">
        <f t="shared" si="383"/>
        <v>0</v>
      </c>
    </row>
    <row r="198" spans="1:63" ht="15.75" customHeight="1" thickBot="1" x14ac:dyDescent="0.35">
      <c r="A198" s="92"/>
      <c r="B198" s="3450" t="s">
        <v>865</v>
      </c>
      <c r="C198" s="3443" t="s">
        <v>1492</v>
      </c>
      <c r="D198" s="3422"/>
      <c r="E198" s="3412"/>
      <c r="F198" s="1185"/>
      <c r="G198" s="3412"/>
      <c r="H198" s="1185"/>
      <c r="I198" s="844"/>
      <c r="J198" s="775">
        <f t="shared" si="384"/>
        <v>0</v>
      </c>
      <c r="K198" s="3412"/>
      <c r="L198" s="1185"/>
      <c r="M198" s="894"/>
      <c r="N198" s="774">
        <f t="shared" si="385"/>
        <v>0</v>
      </c>
      <c r="O198" s="3412"/>
      <c r="P198" s="1185"/>
      <c r="Q198" s="844"/>
      <c r="R198" s="775">
        <f t="shared" si="386"/>
        <v>0</v>
      </c>
      <c r="S198" s="3412"/>
      <c r="T198" s="1185"/>
      <c r="U198" s="844"/>
      <c r="V198" s="775">
        <f t="shared" si="387"/>
        <v>0</v>
      </c>
      <c r="W198" s="3412"/>
      <c r="X198" s="1185"/>
      <c r="Y198" s="894"/>
      <c r="Z198" s="774">
        <f t="shared" si="388"/>
        <v>0</v>
      </c>
      <c r="AA198" s="3965"/>
      <c r="AB198" s="460">
        <f t="shared" si="389"/>
        <v>0</v>
      </c>
      <c r="AC198" s="3412"/>
      <c r="AD198" s="1185"/>
      <c r="AE198" s="844"/>
      <c r="AF198" s="775">
        <f t="shared" si="390"/>
        <v>0</v>
      </c>
      <c r="AG198" s="3412"/>
      <c r="AH198" s="1185"/>
      <c r="AI198" s="844"/>
      <c r="AJ198" s="368">
        <f t="shared" si="367"/>
        <v>0</v>
      </c>
      <c r="AK198" s="3412"/>
      <c r="AL198" s="1185"/>
      <c r="AM198" s="894"/>
      <c r="AN198" s="613">
        <f t="shared" si="394"/>
        <v>0</v>
      </c>
      <c r="AO198" s="844"/>
      <c r="AP198" s="368">
        <f t="shared" si="392"/>
        <v>0</v>
      </c>
      <c r="AQ198" s="3412"/>
      <c r="AR198" s="1185"/>
      <c r="AS198" s="844"/>
      <c r="AT198" s="42">
        <f t="shared" si="370"/>
        <v>0</v>
      </c>
      <c r="AU198" s="3412"/>
      <c r="AV198" s="1185"/>
      <c r="AW198" s="844"/>
      <c r="AX198" s="42">
        <f t="shared" si="371"/>
        <v>0</v>
      </c>
      <c r="AY198" s="3412"/>
      <c r="AZ198" s="1185"/>
      <c r="BA198" s="894"/>
      <c r="BB198" s="613">
        <f t="shared" si="391"/>
        <v>0</v>
      </c>
      <c r="BC198" s="3965"/>
      <c r="BD198" s="460">
        <f t="shared" si="393"/>
        <v>0</v>
      </c>
      <c r="BE198" s="844"/>
      <c r="BF198" s="42">
        <f t="shared" si="374"/>
        <v>0</v>
      </c>
      <c r="BG198" s="26">
        <f t="shared" si="380"/>
        <v>0</v>
      </c>
      <c r="BH198" s="26">
        <f t="shared" si="381"/>
        <v>0</v>
      </c>
      <c r="BI198" s="26"/>
      <c r="BJ198" s="26">
        <f t="shared" si="382"/>
        <v>0</v>
      </c>
      <c r="BK198" s="26">
        <f t="shared" si="383"/>
        <v>0</v>
      </c>
    </row>
    <row r="199" spans="1:63" ht="15.75" customHeight="1" thickBot="1" x14ac:dyDescent="0.35">
      <c r="A199" s="92"/>
      <c r="B199" s="3450" t="s">
        <v>865</v>
      </c>
      <c r="C199" s="3443" t="s">
        <v>1433</v>
      </c>
      <c r="D199" s="3422"/>
      <c r="E199" s="3412"/>
      <c r="F199" s="1185"/>
      <c r="G199" s="3412"/>
      <c r="H199" s="1185"/>
      <c r="I199" s="844"/>
      <c r="J199" s="775">
        <f t="shared" si="384"/>
        <v>0</v>
      </c>
      <c r="K199" s="3412"/>
      <c r="L199" s="1185"/>
      <c r="M199" s="894"/>
      <c r="N199" s="774">
        <f t="shared" si="385"/>
        <v>0</v>
      </c>
      <c r="O199" s="3412"/>
      <c r="P199" s="1185"/>
      <c r="Q199" s="844"/>
      <c r="R199" s="775">
        <f t="shared" si="386"/>
        <v>0</v>
      </c>
      <c r="S199" s="3412"/>
      <c r="T199" s="1185"/>
      <c r="U199" s="844"/>
      <c r="V199" s="775">
        <f t="shared" si="387"/>
        <v>0</v>
      </c>
      <c r="W199" s="3412"/>
      <c r="X199" s="1185"/>
      <c r="Y199" s="894"/>
      <c r="Z199" s="774">
        <f t="shared" si="388"/>
        <v>0</v>
      </c>
      <c r="AA199" s="3965"/>
      <c r="AB199" s="460">
        <f t="shared" si="389"/>
        <v>0</v>
      </c>
      <c r="AC199" s="3412"/>
      <c r="AD199" s="1185"/>
      <c r="AE199" s="844"/>
      <c r="AF199" s="775">
        <f t="shared" si="390"/>
        <v>0</v>
      </c>
      <c r="AG199" s="3412"/>
      <c r="AH199" s="1185"/>
      <c r="AI199" s="844"/>
      <c r="AJ199" s="368">
        <f t="shared" si="367"/>
        <v>0</v>
      </c>
      <c r="AK199" s="3412"/>
      <c r="AL199" s="1185"/>
      <c r="AM199" s="894"/>
      <c r="AN199" s="613">
        <f t="shared" si="394"/>
        <v>0</v>
      </c>
      <c r="AO199" s="844"/>
      <c r="AP199" s="368">
        <f t="shared" si="392"/>
        <v>0</v>
      </c>
      <c r="AQ199" s="3412"/>
      <c r="AR199" s="1185"/>
      <c r="AS199" s="844"/>
      <c r="AT199" s="42">
        <f t="shared" si="370"/>
        <v>0</v>
      </c>
      <c r="AU199" s="3412"/>
      <c r="AV199" s="1185"/>
      <c r="AW199" s="844"/>
      <c r="AX199" s="42">
        <f t="shared" si="371"/>
        <v>0</v>
      </c>
      <c r="AY199" s="3412"/>
      <c r="AZ199" s="1185"/>
      <c r="BA199" s="894"/>
      <c r="BB199" s="613">
        <f t="shared" si="391"/>
        <v>0</v>
      </c>
      <c r="BC199" s="3965"/>
      <c r="BD199" s="460">
        <f t="shared" si="393"/>
        <v>0</v>
      </c>
      <c r="BE199" s="844"/>
      <c r="BF199" s="42">
        <f t="shared" si="374"/>
        <v>0</v>
      </c>
      <c r="BG199" s="26">
        <f t="shared" si="380"/>
        <v>0</v>
      </c>
      <c r="BH199" s="26">
        <f t="shared" si="381"/>
        <v>0</v>
      </c>
      <c r="BI199" s="26"/>
      <c r="BJ199" s="26">
        <f t="shared" si="382"/>
        <v>0</v>
      </c>
      <c r="BK199" s="26">
        <f t="shared" si="383"/>
        <v>0</v>
      </c>
    </row>
    <row r="200" spans="1:63" ht="15.75" customHeight="1" thickBot="1" x14ac:dyDescent="0.35">
      <c r="A200" s="92"/>
      <c r="B200" s="3450" t="s">
        <v>865</v>
      </c>
      <c r="C200" s="3443" t="s">
        <v>1491</v>
      </c>
      <c r="D200" s="3422"/>
      <c r="E200" s="3412"/>
      <c r="F200" s="1185"/>
      <c r="G200" s="3412"/>
      <c r="H200" s="1185"/>
      <c r="I200" s="844"/>
      <c r="J200" s="775">
        <f t="shared" si="384"/>
        <v>0</v>
      </c>
      <c r="K200" s="3412"/>
      <c r="L200" s="1185"/>
      <c r="M200" s="894"/>
      <c r="N200" s="774">
        <f t="shared" si="385"/>
        <v>0</v>
      </c>
      <c r="O200" s="3412"/>
      <c r="P200" s="1185"/>
      <c r="Q200" s="844"/>
      <c r="R200" s="775">
        <f t="shared" si="386"/>
        <v>0</v>
      </c>
      <c r="S200" s="3412"/>
      <c r="T200" s="1185"/>
      <c r="U200" s="844"/>
      <c r="V200" s="775">
        <f t="shared" si="387"/>
        <v>0</v>
      </c>
      <c r="W200" s="3412"/>
      <c r="X200" s="1185"/>
      <c r="Y200" s="894"/>
      <c r="Z200" s="774">
        <f t="shared" si="388"/>
        <v>0</v>
      </c>
      <c r="AA200" s="3965"/>
      <c r="AB200" s="460">
        <f t="shared" si="389"/>
        <v>0</v>
      </c>
      <c r="AC200" s="3412"/>
      <c r="AD200" s="1185"/>
      <c r="AE200" s="844"/>
      <c r="AF200" s="775">
        <f t="shared" si="390"/>
        <v>0</v>
      </c>
      <c r="AG200" s="3412"/>
      <c r="AH200" s="1185"/>
      <c r="AI200" s="844"/>
      <c r="AJ200" s="368">
        <f t="shared" si="367"/>
        <v>0</v>
      </c>
      <c r="AK200" s="3412"/>
      <c r="AL200" s="1185"/>
      <c r="AM200" s="894"/>
      <c r="AN200" s="613">
        <f t="shared" si="394"/>
        <v>0</v>
      </c>
      <c r="AO200" s="844"/>
      <c r="AP200" s="368">
        <f t="shared" si="392"/>
        <v>0</v>
      </c>
      <c r="AQ200" s="3412"/>
      <c r="AR200" s="1185"/>
      <c r="AS200" s="844"/>
      <c r="AT200" s="42">
        <f t="shared" si="370"/>
        <v>0</v>
      </c>
      <c r="AU200" s="3412"/>
      <c r="AV200" s="1185"/>
      <c r="AW200" s="844"/>
      <c r="AX200" s="42">
        <f t="shared" si="371"/>
        <v>0</v>
      </c>
      <c r="AY200" s="3412"/>
      <c r="AZ200" s="1185"/>
      <c r="BA200" s="894"/>
      <c r="BB200" s="613">
        <f t="shared" si="391"/>
        <v>0</v>
      </c>
      <c r="BC200" s="3965"/>
      <c r="BD200" s="460">
        <f t="shared" si="393"/>
        <v>0</v>
      </c>
      <c r="BE200" s="844"/>
      <c r="BF200" s="42">
        <f t="shared" si="374"/>
        <v>0</v>
      </c>
      <c r="BG200" s="26">
        <f t="shared" si="380"/>
        <v>0</v>
      </c>
      <c r="BH200" s="26">
        <f t="shared" si="381"/>
        <v>0</v>
      </c>
      <c r="BI200" s="26"/>
      <c r="BJ200" s="26">
        <f t="shared" si="382"/>
        <v>0</v>
      </c>
      <c r="BK200" s="26">
        <f t="shared" si="383"/>
        <v>0</v>
      </c>
    </row>
    <row r="201" spans="1:63" ht="15" thickBot="1" x14ac:dyDescent="0.35">
      <c r="A201" s="92"/>
      <c r="B201" s="3450" t="s">
        <v>865</v>
      </c>
      <c r="C201" s="3443" t="s">
        <v>1144</v>
      </c>
      <c r="D201" s="156"/>
      <c r="E201" s="156"/>
      <c r="F201" s="1185">
        <v>3242.89</v>
      </c>
      <c r="G201" s="156"/>
      <c r="H201" s="1185">
        <v>6082.54</v>
      </c>
      <c r="I201" s="585"/>
      <c r="J201" s="775">
        <f t="shared" si="384"/>
        <v>9325.43</v>
      </c>
      <c r="K201" s="156"/>
      <c r="L201" s="1185">
        <v>5628.0299999999988</v>
      </c>
      <c r="M201" s="938"/>
      <c r="N201" s="774">
        <f t="shared" si="385"/>
        <v>14953.46</v>
      </c>
      <c r="O201" s="156"/>
      <c r="P201" s="1185">
        <v>9016.16</v>
      </c>
      <c r="Q201" s="585"/>
      <c r="R201" s="775">
        <f t="shared" si="386"/>
        <v>23969.62</v>
      </c>
      <c r="S201" s="156"/>
      <c r="T201" s="1185">
        <v>10555.499999999998</v>
      </c>
      <c r="U201" s="585"/>
      <c r="V201" s="775">
        <f t="shared" si="387"/>
        <v>34525.119999999995</v>
      </c>
      <c r="W201" s="156"/>
      <c r="X201" s="1185">
        <v>9723.43</v>
      </c>
      <c r="Y201" s="938"/>
      <c r="Z201" s="774">
        <f t="shared" si="388"/>
        <v>29295.089999999997</v>
      </c>
      <c r="AA201" s="2238"/>
      <c r="AB201" s="460">
        <f t="shared" si="389"/>
        <v>44248.549999999996</v>
      </c>
      <c r="AC201" s="156"/>
      <c r="AD201" s="1185">
        <v>7436.1100000000006</v>
      </c>
      <c r="AE201" s="585"/>
      <c r="AF201" s="775">
        <f t="shared" si="390"/>
        <v>51684.659999999996</v>
      </c>
      <c r="AG201" s="156"/>
      <c r="AH201" s="1185">
        <v>8484.840000000002</v>
      </c>
      <c r="AI201" s="585"/>
      <c r="AJ201" s="368">
        <f t="shared" si="367"/>
        <v>60169.5</v>
      </c>
      <c r="AK201" s="156"/>
      <c r="AL201" s="1185">
        <v>6217.9999999999991</v>
      </c>
      <c r="AM201" s="938"/>
      <c r="AN201" s="613">
        <f t="shared" si="394"/>
        <v>22138.95</v>
      </c>
      <c r="AO201" s="585"/>
      <c r="AP201" s="368">
        <f t="shared" si="392"/>
        <v>66387.5</v>
      </c>
      <c r="AQ201" s="156"/>
      <c r="AR201" s="1185">
        <v>9052.86</v>
      </c>
      <c r="AS201" s="585"/>
      <c r="AT201" s="42">
        <f t="shared" si="370"/>
        <v>75440.36</v>
      </c>
      <c r="AU201" s="156"/>
      <c r="AV201" s="1185">
        <v>8333.09</v>
      </c>
      <c r="AW201" s="585"/>
      <c r="AX201" s="42">
        <f t="shared" si="371"/>
        <v>83773.45</v>
      </c>
      <c r="AY201" s="156"/>
      <c r="AZ201" s="1185"/>
      <c r="BA201" s="938"/>
      <c r="BB201" s="613">
        <f t="shared" si="391"/>
        <v>17385.95</v>
      </c>
      <c r="BC201" s="2238"/>
      <c r="BD201" s="460">
        <f t="shared" si="393"/>
        <v>39524.9</v>
      </c>
      <c r="BE201" s="585"/>
      <c r="BF201" s="42">
        <f t="shared" si="374"/>
        <v>83773.45</v>
      </c>
      <c r="BG201" s="26">
        <f t="shared" si="380"/>
        <v>0</v>
      </c>
      <c r="BH201" s="26">
        <f t="shared" si="381"/>
        <v>0</v>
      </c>
      <c r="BI201" s="26"/>
      <c r="BJ201" s="26">
        <f t="shared" si="382"/>
        <v>0</v>
      </c>
      <c r="BK201" s="26">
        <f t="shared" si="383"/>
        <v>0</v>
      </c>
    </row>
    <row r="202" spans="1:63" ht="15" thickBot="1" x14ac:dyDescent="0.35">
      <c r="A202" s="92"/>
      <c r="B202" s="3450" t="s">
        <v>865</v>
      </c>
      <c r="C202" s="3443" t="s">
        <v>900</v>
      </c>
      <c r="D202" s="156"/>
      <c r="E202" s="156"/>
      <c r="F202" s="1185">
        <v>2388.84</v>
      </c>
      <c r="G202" s="156"/>
      <c r="H202" s="1185">
        <v>1637.2599999999998</v>
      </c>
      <c r="I202" s="585"/>
      <c r="J202" s="775">
        <f t="shared" si="384"/>
        <v>4026.1</v>
      </c>
      <c r="K202" s="156"/>
      <c r="L202" s="1185">
        <v>2158.02</v>
      </c>
      <c r="M202" s="938"/>
      <c r="N202" s="774">
        <f t="shared" si="385"/>
        <v>6184.12</v>
      </c>
      <c r="O202" s="156"/>
      <c r="P202" s="1185">
        <v>2393.17</v>
      </c>
      <c r="Q202" s="585"/>
      <c r="R202" s="775">
        <f t="shared" si="386"/>
        <v>8577.2900000000009</v>
      </c>
      <c r="S202" s="156"/>
      <c r="T202" s="1185">
        <v>1326.42</v>
      </c>
      <c r="U202" s="585"/>
      <c r="V202" s="775">
        <f t="shared" si="387"/>
        <v>9903.7100000000009</v>
      </c>
      <c r="W202" s="156"/>
      <c r="X202" s="1185">
        <v>1257.1299999999999</v>
      </c>
      <c r="Y202" s="938"/>
      <c r="Z202" s="774">
        <f t="shared" si="388"/>
        <v>4976.72</v>
      </c>
      <c r="AA202" s="2238"/>
      <c r="AB202" s="460">
        <f t="shared" si="389"/>
        <v>11160.84</v>
      </c>
      <c r="AC202" s="156"/>
      <c r="AD202" s="1185">
        <v>753.7</v>
      </c>
      <c r="AE202" s="585"/>
      <c r="AF202" s="775">
        <f t="shared" si="390"/>
        <v>11914.54</v>
      </c>
      <c r="AG202" s="156"/>
      <c r="AH202" s="1185">
        <v>952.17000000000007</v>
      </c>
      <c r="AI202" s="585"/>
      <c r="AJ202" s="368">
        <f t="shared" si="367"/>
        <v>12866.710000000001</v>
      </c>
      <c r="AK202" s="156"/>
      <c r="AL202" s="1185">
        <v>1193.1400000000001</v>
      </c>
      <c r="AM202" s="938"/>
      <c r="AN202" s="613">
        <f t="shared" si="394"/>
        <v>2899.01</v>
      </c>
      <c r="AO202" s="585"/>
      <c r="AP202" s="368">
        <f t="shared" si="392"/>
        <v>14059.85</v>
      </c>
      <c r="AQ202" s="156"/>
      <c r="AR202" s="1185">
        <v>979.02</v>
      </c>
      <c r="AS202" s="585"/>
      <c r="AT202" s="42">
        <f t="shared" si="370"/>
        <v>15038.87</v>
      </c>
      <c r="AU202" s="156"/>
      <c r="AV202" s="1185"/>
      <c r="AW202" s="585"/>
      <c r="AX202" s="42">
        <f t="shared" si="371"/>
        <v>15038.87</v>
      </c>
      <c r="AY202" s="156"/>
      <c r="AZ202" s="1185">
        <f>854.18+40.83</f>
        <v>895.01</v>
      </c>
      <c r="BA202" s="938"/>
      <c r="BB202" s="613">
        <f t="shared" si="391"/>
        <v>1874.03</v>
      </c>
      <c r="BC202" s="2238"/>
      <c r="BD202" s="460">
        <f t="shared" si="393"/>
        <v>4773.04</v>
      </c>
      <c r="BE202" s="585"/>
      <c r="BF202" s="42">
        <f t="shared" si="374"/>
        <v>15933.880000000001</v>
      </c>
      <c r="BG202" s="26">
        <f t="shared" si="380"/>
        <v>0</v>
      </c>
      <c r="BH202" s="26">
        <f t="shared" si="381"/>
        <v>0</v>
      </c>
      <c r="BI202" s="26"/>
      <c r="BJ202" s="26">
        <f t="shared" si="382"/>
        <v>0</v>
      </c>
      <c r="BK202" s="26">
        <f t="shared" si="383"/>
        <v>0</v>
      </c>
    </row>
    <row r="203" spans="1:63" ht="15" thickBot="1" x14ac:dyDescent="0.35">
      <c r="A203" s="92"/>
      <c r="B203" s="3450" t="s">
        <v>865</v>
      </c>
      <c r="C203" s="3443" t="s">
        <v>1892</v>
      </c>
      <c r="D203" s="156"/>
      <c r="E203" s="156"/>
      <c r="F203" s="1185"/>
      <c r="G203" s="156"/>
      <c r="H203" s="1185"/>
      <c r="I203" s="585"/>
      <c r="J203" s="775">
        <f t="shared" si="384"/>
        <v>0</v>
      </c>
      <c r="K203" s="156"/>
      <c r="L203" s="1185"/>
      <c r="M203" s="938"/>
      <c r="N203" s="774">
        <f t="shared" si="385"/>
        <v>0</v>
      </c>
      <c r="O203" s="156"/>
      <c r="P203" s="1185"/>
      <c r="Q203" s="585"/>
      <c r="R203" s="775">
        <f t="shared" si="386"/>
        <v>0</v>
      </c>
      <c r="S203" s="156"/>
      <c r="T203" s="1185">
        <v>187.36</v>
      </c>
      <c r="U203" s="585"/>
      <c r="V203" s="775">
        <f t="shared" si="387"/>
        <v>187.36</v>
      </c>
      <c r="W203" s="156"/>
      <c r="X203" s="1185">
        <v>558.38</v>
      </c>
      <c r="Y203" s="938"/>
      <c r="Z203" s="774">
        <f t="shared" si="388"/>
        <v>745.74</v>
      </c>
      <c r="AA203" s="2238"/>
      <c r="AB203" s="460">
        <f t="shared" si="389"/>
        <v>745.74</v>
      </c>
      <c r="AC203" s="156"/>
      <c r="AD203" s="1185">
        <v>60.66</v>
      </c>
      <c r="AE203" s="585"/>
      <c r="AF203" s="775">
        <f t="shared" si="390"/>
        <v>806.4</v>
      </c>
      <c r="AG203" s="156"/>
      <c r="AH203" s="1185"/>
      <c r="AI203" s="585"/>
      <c r="AJ203" s="368">
        <f t="shared" ref="AJ203:AJ223" si="395">AF203+AH203</f>
        <v>806.4</v>
      </c>
      <c r="AK203" s="156"/>
      <c r="AL203" s="1185"/>
      <c r="AM203" s="938"/>
      <c r="AN203" s="613">
        <f t="shared" si="394"/>
        <v>60.66</v>
      </c>
      <c r="AO203" s="585"/>
      <c r="AP203" s="368">
        <f t="shared" si="392"/>
        <v>806.4</v>
      </c>
      <c r="AQ203" s="156"/>
      <c r="AR203" s="1185">
        <v>197.96</v>
      </c>
      <c r="AS203" s="585"/>
      <c r="AT203" s="42">
        <f t="shared" ref="AT203:AT235" si="396">AP203+AR203</f>
        <v>1004.36</v>
      </c>
      <c r="AU203" s="156"/>
      <c r="AV203" s="1185">
        <v>40.32</v>
      </c>
      <c r="AW203" s="585"/>
      <c r="AX203" s="42">
        <f t="shared" ref="AX203:AX235" si="397">AT203+AV203</f>
        <v>1044.68</v>
      </c>
      <c r="AY203" s="156"/>
      <c r="AZ203" s="1185"/>
      <c r="BA203" s="938"/>
      <c r="BB203" s="613">
        <f t="shared" si="391"/>
        <v>238.28</v>
      </c>
      <c r="BC203" s="2238"/>
      <c r="BD203" s="460">
        <f t="shared" si="393"/>
        <v>298.94</v>
      </c>
      <c r="BE203" s="585"/>
      <c r="BF203" s="42">
        <f t="shared" ref="BF203:BF235" si="398">AX203+AZ203</f>
        <v>1044.68</v>
      </c>
      <c r="BG203" s="26">
        <f t="shared" si="380"/>
        <v>0</v>
      </c>
      <c r="BH203" s="26">
        <f t="shared" si="381"/>
        <v>0</v>
      </c>
      <c r="BI203" s="26"/>
      <c r="BJ203" s="26">
        <f t="shared" si="382"/>
        <v>0</v>
      </c>
      <c r="BK203" s="26">
        <f t="shared" si="383"/>
        <v>0</v>
      </c>
    </row>
    <row r="204" spans="1:63" ht="15.75" customHeight="1" thickBot="1" x14ac:dyDescent="0.35">
      <c r="A204" s="92"/>
      <c r="B204" s="3450" t="s">
        <v>865</v>
      </c>
      <c r="C204" s="3443" t="s">
        <v>1141</v>
      </c>
      <c r="D204" s="3422"/>
      <c r="E204" s="3412"/>
      <c r="F204" s="1185"/>
      <c r="G204" s="3412"/>
      <c r="H204" s="1185"/>
      <c r="I204" s="844"/>
      <c r="J204" s="775">
        <f t="shared" si="384"/>
        <v>0</v>
      </c>
      <c r="K204" s="3412"/>
      <c r="L204" s="1185"/>
      <c r="M204" s="894"/>
      <c r="N204" s="774">
        <f t="shared" si="385"/>
        <v>0</v>
      </c>
      <c r="O204" s="3412"/>
      <c r="P204" s="1185"/>
      <c r="Q204" s="844"/>
      <c r="R204" s="775">
        <f t="shared" si="386"/>
        <v>0</v>
      </c>
      <c r="S204" s="3412"/>
      <c r="T204" s="1185"/>
      <c r="U204" s="844"/>
      <c r="V204" s="775">
        <f t="shared" si="387"/>
        <v>0</v>
      </c>
      <c r="W204" s="3412"/>
      <c r="X204" s="1185"/>
      <c r="Y204" s="894"/>
      <c r="Z204" s="774">
        <f t="shared" si="388"/>
        <v>0</v>
      </c>
      <c r="AA204" s="3965"/>
      <c r="AB204" s="460">
        <f t="shared" si="389"/>
        <v>0</v>
      </c>
      <c r="AC204" s="3412"/>
      <c r="AD204" s="1185"/>
      <c r="AE204" s="844"/>
      <c r="AF204" s="775">
        <f t="shared" si="390"/>
        <v>0</v>
      </c>
      <c r="AG204" s="3412"/>
      <c r="AH204" s="1185"/>
      <c r="AI204" s="844"/>
      <c r="AJ204" s="368">
        <f t="shared" si="395"/>
        <v>0</v>
      </c>
      <c r="AK204" s="3412"/>
      <c r="AL204" s="1185"/>
      <c r="AM204" s="894"/>
      <c r="AN204" s="613">
        <f t="shared" si="394"/>
        <v>0</v>
      </c>
      <c r="AO204" s="844"/>
      <c r="AP204" s="368">
        <f t="shared" si="392"/>
        <v>0</v>
      </c>
      <c r="AQ204" s="3412"/>
      <c r="AR204" s="1185"/>
      <c r="AS204" s="844"/>
      <c r="AT204" s="42">
        <f t="shared" si="396"/>
        <v>0</v>
      </c>
      <c r="AU204" s="3412"/>
      <c r="AV204" s="1185"/>
      <c r="AW204" s="844"/>
      <c r="AX204" s="42">
        <f t="shared" si="397"/>
        <v>0</v>
      </c>
      <c r="AY204" s="3412"/>
      <c r="AZ204" s="1185"/>
      <c r="BA204" s="894"/>
      <c r="BB204" s="613">
        <f t="shared" si="391"/>
        <v>0</v>
      </c>
      <c r="BC204" s="3965"/>
      <c r="BD204" s="460">
        <f t="shared" si="393"/>
        <v>0</v>
      </c>
      <c r="BE204" s="844"/>
      <c r="BF204" s="42">
        <f t="shared" si="398"/>
        <v>0</v>
      </c>
      <c r="BG204" s="26">
        <f t="shared" si="380"/>
        <v>0</v>
      </c>
      <c r="BH204" s="26">
        <f t="shared" si="381"/>
        <v>0</v>
      </c>
      <c r="BI204" s="26"/>
      <c r="BJ204" s="26">
        <f t="shared" si="382"/>
        <v>0</v>
      </c>
      <c r="BK204" s="26">
        <f t="shared" si="383"/>
        <v>0</v>
      </c>
    </row>
    <row r="205" spans="1:63" ht="15.75" customHeight="1" thickBot="1" x14ac:dyDescent="0.35">
      <c r="A205" s="92"/>
      <c r="B205" s="3450" t="s">
        <v>865</v>
      </c>
      <c r="C205" s="4097" t="s">
        <v>1858</v>
      </c>
      <c r="D205" s="4098"/>
      <c r="E205" s="4099"/>
      <c r="F205" s="4100"/>
      <c r="G205" s="4099"/>
      <c r="H205" s="4100">
        <v>114.39</v>
      </c>
      <c r="I205" s="4101"/>
      <c r="J205" s="775">
        <f t="shared" si="384"/>
        <v>114.39</v>
      </c>
      <c r="K205" s="4099"/>
      <c r="L205" s="4100"/>
      <c r="M205" s="4102"/>
      <c r="N205" s="774">
        <f t="shared" si="385"/>
        <v>114.39</v>
      </c>
      <c r="O205" s="4099"/>
      <c r="P205" s="4100"/>
      <c r="Q205" s="4101"/>
      <c r="R205" s="775">
        <f t="shared" si="386"/>
        <v>114.39</v>
      </c>
      <c r="S205" s="4099"/>
      <c r="T205" s="4100"/>
      <c r="U205" s="4101"/>
      <c r="V205" s="775">
        <f t="shared" si="387"/>
        <v>114.39</v>
      </c>
      <c r="W205" s="4099"/>
      <c r="X205" s="4100"/>
      <c r="Y205" s="4102"/>
      <c r="Z205" s="774">
        <f t="shared" si="388"/>
        <v>0</v>
      </c>
      <c r="AA205" s="5726"/>
      <c r="AB205" s="460">
        <f t="shared" si="389"/>
        <v>114.39</v>
      </c>
      <c r="AC205" s="4099"/>
      <c r="AD205" s="4100"/>
      <c r="AE205" s="4101"/>
      <c r="AF205" s="775">
        <f t="shared" si="390"/>
        <v>114.39</v>
      </c>
      <c r="AG205" s="4099"/>
      <c r="AH205" s="4100"/>
      <c r="AI205" s="4101"/>
      <c r="AJ205" s="368">
        <f t="shared" si="395"/>
        <v>114.39</v>
      </c>
      <c r="AK205" s="4099"/>
      <c r="AL205" s="4100"/>
      <c r="AM205" s="4102"/>
      <c r="AN205" s="613">
        <f t="shared" si="394"/>
        <v>0</v>
      </c>
      <c r="AO205" s="4101"/>
      <c r="AP205" s="368">
        <f t="shared" si="392"/>
        <v>114.39</v>
      </c>
      <c r="AQ205" s="4099"/>
      <c r="AR205" s="4100"/>
      <c r="AS205" s="4101"/>
      <c r="AT205" s="42">
        <f t="shared" si="396"/>
        <v>114.39</v>
      </c>
      <c r="AU205" s="4099"/>
      <c r="AV205" s="4100"/>
      <c r="AW205" s="4101"/>
      <c r="AX205" s="42">
        <f t="shared" si="397"/>
        <v>114.39</v>
      </c>
      <c r="AY205" s="4099"/>
      <c r="AZ205" s="4100"/>
      <c r="BA205" s="4102"/>
      <c r="BB205" s="613">
        <f t="shared" si="391"/>
        <v>0</v>
      </c>
      <c r="BC205" s="5726"/>
      <c r="BD205" s="460">
        <f t="shared" si="393"/>
        <v>0</v>
      </c>
      <c r="BE205" s="4101"/>
      <c r="BF205" s="42">
        <f t="shared" si="398"/>
        <v>114.39</v>
      </c>
      <c r="BG205" s="26">
        <f t="shared" si="380"/>
        <v>0</v>
      </c>
      <c r="BH205" s="26">
        <f t="shared" si="381"/>
        <v>0</v>
      </c>
      <c r="BI205" s="26"/>
      <c r="BJ205" s="26">
        <f t="shared" si="382"/>
        <v>0</v>
      </c>
      <c r="BK205" s="26">
        <f t="shared" si="383"/>
        <v>0</v>
      </c>
    </row>
    <row r="206" spans="1:63" ht="15.75" customHeight="1" thickBot="1" x14ac:dyDescent="0.35">
      <c r="A206" s="92"/>
      <c r="B206" s="3450" t="s">
        <v>865</v>
      </c>
      <c r="C206" s="3443" t="s">
        <v>1145</v>
      </c>
      <c r="D206" s="3422"/>
      <c r="E206" s="3412"/>
      <c r="F206" s="1185"/>
      <c r="G206" s="3412"/>
      <c r="H206" s="1185"/>
      <c r="I206" s="844"/>
      <c r="J206" s="775">
        <f t="shared" si="384"/>
        <v>0</v>
      </c>
      <c r="K206" s="3412"/>
      <c r="L206" s="1185"/>
      <c r="M206" s="894"/>
      <c r="N206" s="774">
        <f t="shared" si="385"/>
        <v>0</v>
      </c>
      <c r="O206" s="3412"/>
      <c r="P206" s="1185"/>
      <c r="Q206" s="844"/>
      <c r="R206" s="775">
        <f t="shared" si="386"/>
        <v>0</v>
      </c>
      <c r="S206" s="3412"/>
      <c r="T206" s="1185"/>
      <c r="U206" s="844"/>
      <c r="V206" s="775">
        <f t="shared" si="387"/>
        <v>0</v>
      </c>
      <c r="W206" s="3412"/>
      <c r="X206" s="1185"/>
      <c r="Y206" s="894"/>
      <c r="Z206" s="774">
        <f t="shared" si="388"/>
        <v>0</v>
      </c>
      <c r="AA206" s="3965"/>
      <c r="AB206" s="460">
        <f t="shared" si="389"/>
        <v>0</v>
      </c>
      <c r="AC206" s="3412"/>
      <c r="AD206" s="1185"/>
      <c r="AE206" s="844"/>
      <c r="AF206" s="775">
        <f t="shared" si="390"/>
        <v>0</v>
      </c>
      <c r="AG206" s="3412"/>
      <c r="AH206" s="1185"/>
      <c r="AI206" s="844"/>
      <c r="AJ206" s="368">
        <f t="shared" si="395"/>
        <v>0</v>
      </c>
      <c r="AK206" s="3412"/>
      <c r="AL206" s="1185"/>
      <c r="AM206" s="894"/>
      <c r="AN206" s="613">
        <f t="shared" si="394"/>
        <v>0</v>
      </c>
      <c r="AO206" s="844"/>
      <c r="AP206" s="368">
        <f t="shared" si="392"/>
        <v>0</v>
      </c>
      <c r="AQ206" s="3412"/>
      <c r="AR206" s="1185"/>
      <c r="AS206" s="844"/>
      <c r="AT206" s="42">
        <f t="shared" si="396"/>
        <v>0</v>
      </c>
      <c r="AU206" s="3412"/>
      <c r="AV206" s="1185">
        <v>944</v>
      </c>
      <c r="AW206" s="844"/>
      <c r="AX206" s="42">
        <f t="shared" si="397"/>
        <v>944</v>
      </c>
      <c r="AY206" s="3412"/>
      <c r="AZ206" s="1185"/>
      <c r="BA206" s="894"/>
      <c r="BB206" s="613">
        <f t="shared" si="391"/>
        <v>944</v>
      </c>
      <c r="BC206" s="3965"/>
      <c r="BD206" s="460">
        <f t="shared" si="393"/>
        <v>944</v>
      </c>
      <c r="BE206" s="844"/>
      <c r="BF206" s="42">
        <f t="shared" si="398"/>
        <v>944</v>
      </c>
      <c r="BG206" s="26">
        <f t="shared" si="380"/>
        <v>0</v>
      </c>
      <c r="BH206" s="26">
        <f t="shared" si="381"/>
        <v>0</v>
      </c>
      <c r="BI206" s="26"/>
      <c r="BJ206" s="26">
        <f t="shared" si="382"/>
        <v>0</v>
      </c>
      <c r="BK206" s="26">
        <f t="shared" si="383"/>
        <v>0</v>
      </c>
    </row>
    <row r="207" spans="1:63" ht="15" thickBot="1" x14ac:dyDescent="0.35">
      <c r="A207" s="92"/>
      <c r="B207" s="3450" t="s">
        <v>865</v>
      </c>
      <c r="C207" s="3443" t="s">
        <v>878</v>
      </c>
      <c r="D207" s="3422"/>
      <c r="E207" s="3412"/>
      <c r="F207" s="1185">
        <v>1553.8</v>
      </c>
      <c r="G207" s="3412"/>
      <c r="H207" s="1185">
        <v>118.03999999999999</v>
      </c>
      <c r="I207" s="844"/>
      <c r="J207" s="775">
        <f t="shared" si="384"/>
        <v>1671.84</v>
      </c>
      <c r="K207" s="3412"/>
      <c r="L207" s="1185">
        <v>786.96</v>
      </c>
      <c r="M207" s="894"/>
      <c r="N207" s="774">
        <f t="shared" si="385"/>
        <v>2458.8000000000002</v>
      </c>
      <c r="O207" s="3412"/>
      <c r="P207" s="1185">
        <v>959.27999999999986</v>
      </c>
      <c r="Q207" s="844"/>
      <c r="R207" s="775">
        <f t="shared" si="386"/>
        <v>3418.08</v>
      </c>
      <c r="S207" s="3412"/>
      <c r="T207" s="1185">
        <v>64.16</v>
      </c>
      <c r="U207" s="844"/>
      <c r="V207" s="775">
        <f t="shared" si="387"/>
        <v>3482.24</v>
      </c>
      <c r="W207" s="3412"/>
      <c r="X207" s="1185"/>
      <c r="Y207" s="894"/>
      <c r="Z207" s="774">
        <f t="shared" si="388"/>
        <v>1023.4399999999998</v>
      </c>
      <c r="AA207" s="3965"/>
      <c r="AB207" s="460">
        <f t="shared" si="389"/>
        <v>3482.24</v>
      </c>
      <c r="AC207" s="3412"/>
      <c r="AD207" s="1185">
        <v>1471.54</v>
      </c>
      <c r="AE207" s="844"/>
      <c r="AF207" s="775">
        <f t="shared" si="390"/>
        <v>4953.78</v>
      </c>
      <c r="AG207" s="3412"/>
      <c r="AH207" s="1185">
        <v>37.619999999999997</v>
      </c>
      <c r="AI207" s="844"/>
      <c r="AJ207" s="368">
        <f t="shared" si="395"/>
        <v>4991.3999999999996</v>
      </c>
      <c r="AK207" s="3412"/>
      <c r="AL207" s="1185"/>
      <c r="AM207" s="894"/>
      <c r="AN207" s="613">
        <f t="shared" si="394"/>
        <v>1509.1599999999999</v>
      </c>
      <c r="AO207" s="844"/>
      <c r="AP207" s="368">
        <f t="shared" si="392"/>
        <v>4991.3999999999996</v>
      </c>
      <c r="AQ207" s="3412"/>
      <c r="AR207" s="1185">
        <v>247.94</v>
      </c>
      <c r="AS207" s="844"/>
      <c r="AT207" s="42">
        <f t="shared" si="396"/>
        <v>5239.3399999999992</v>
      </c>
      <c r="AU207" s="3412"/>
      <c r="AV207" s="1185">
        <v>749.32</v>
      </c>
      <c r="AW207" s="844"/>
      <c r="AX207" s="42">
        <f t="shared" si="397"/>
        <v>5988.6599999999989</v>
      </c>
      <c r="AY207" s="3412"/>
      <c r="AZ207" s="1185">
        <v>121.68</v>
      </c>
      <c r="BA207" s="894"/>
      <c r="BB207" s="613">
        <f t="shared" si="391"/>
        <v>1118.94</v>
      </c>
      <c r="BC207" s="3965"/>
      <c r="BD207" s="460">
        <f t="shared" si="393"/>
        <v>2628.1</v>
      </c>
      <c r="BE207" s="844"/>
      <c r="BF207" s="42">
        <f t="shared" si="398"/>
        <v>6110.3399999999992</v>
      </c>
      <c r="BG207" s="26">
        <f t="shared" si="380"/>
        <v>0</v>
      </c>
      <c r="BH207" s="26">
        <f t="shared" si="381"/>
        <v>0</v>
      </c>
      <c r="BI207" s="26"/>
      <c r="BJ207" s="26">
        <f t="shared" si="382"/>
        <v>0</v>
      </c>
      <c r="BK207" s="26">
        <f t="shared" si="383"/>
        <v>0</v>
      </c>
    </row>
    <row r="208" spans="1:63" ht="15" thickBot="1" x14ac:dyDescent="0.35">
      <c r="A208" s="151"/>
      <c r="B208" s="3450" t="s">
        <v>865</v>
      </c>
      <c r="C208" s="3443" t="s">
        <v>1148</v>
      </c>
      <c r="D208" s="3422"/>
      <c r="E208" s="3412"/>
      <c r="F208" s="1185">
        <v>1478.66</v>
      </c>
      <c r="G208" s="3412"/>
      <c r="H208" s="1185">
        <v>6974.48</v>
      </c>
      <c r="I208" s="844"/>
      <c r="J208" s="775">
        <f t="shared" si="384"/>
        <v>8453.14</v>
      </c>
      <c r="K208" s="3412"/>
      <c r="L208" s="1185">
        <v>3928.4800000000005</v>
      </c>
      <c r="M208" s="894"/>
      <c r="N208" s="774">
        <f t="shared" si="385"/>
        <v>12381.619999999999</v>
      </c>
      <c r="O208" s="3412"/>
      <c r="P208" s="1185">
        <v>6099.73</v>
      </c>
      <c r="Q208" s="844"/>
      <c r="R208" s="775">
        <f t="shared" si="386"/>
        <v>18481.349999999999</v>
      </c>
      <c r="S208" s="3412"/>
      <c r="T208" s="1185">
        <v>4633.2500000000009</v>
      </c>
      <c r="U208" s="844"/>
      <c r="V208" s="775">
        <f t="shared" si="387"/>
        <v>23114.6</v>
      </c>
      <c r="W208" s="3412"/>
      <c r="X208" s="1185">
        <v>4740.5</v>
      </c>
      <c r="Y208" s="894"/>
      <c r="Z208" s="774">
        <f t="shared" si="388"/>
        <v>15473.48</v>
      </c>
      <c r="AA208" s="3965"/>
      <c r="AB208" s="460">
        <f t="shared" si="389"/>
        <v>27855.1</v>
      </c>
      <c r="AC208" s="3412"/>
      <c r="AD208" s="1185">
        <v>5437.74</v>
      </c>
      <c r="AE208" s="844"/>
      <c r="AF208" s="775">
        <f t="shared" si="390"/>
        <v>33292.839999999997</v>
      </c>
      <c r="AG208" s="3412"/>
      <c r="AH208" s="1185">
        <v>6882.8</v>
      </c>
      <c r="AI208" s="844"/>
      <c r="AJ208" s="368">
        <f t="shared" si="395"/>
        <v>40175.64</v>
      </c>
      <c r="AK208" s="3412"/>
      <c r="AL208" s="1185">
        <v>3954.5900000000006</v>
      </c>
      <c r="AM208" s="894"/>
      <c r="AN208" s="613">
        <f t="shared" si="394"/>
        <v>16275.130000000001</v>
      </c>
      <c r="AO208" s="844"/>
      <c r="AP208" s="368">
        <f t="shared" si="392"/>
        <v>44130.23</v>
      </c>
      <c r="AQ208" s="3412"/>
      <c r="AR208" s="1185">
        <v>4219.6899999999987</v>
      </c>
      <c r="AS208" s="844"/>
      <c r="AT208" s="42">
        <f t="shared" si="396"/>
        <v>48349.919999999998</v>
      </c>
      <c r="AU208" s="3412"/>
      <c r="AV208" s="1185">
        <v>8618.51</v>
      </c>
      <c r="AW208" s="844"/>
      <c r="AX208" s="42">
        <f t="shared" si="397"/>
        <v>56968.43</v>
      </c>
      <c r="AY208" s="3412"/>
      <c r="AZ208" s="1185">
        <v>7097.08</v>
      </c>
      <c r="BA208" s="894"/>
      <c r="BB208" s="613">
        <f t="shared" si="391"/>
        <v>19935.28</v>
      </c>
      <c r="BC208" s="3965"/>
      <c r="BD208" s="460">
        <f t="shared" si="393"/>
        <v>36210.410000000003</v>
      </c>
      <c r="BE208" s="844"/>
      <c r="BF208" s="42">
        <f t="shared" si="398"/>
        <v>64065.51</v>
      </c>
      <c r="BG208" s="26">
        <f t="shared" si="380"/>
        <v>0</v>
      </c>
      <c r="BH208" s="26">
        <f t="shared" si="381"/>
        <v>0</v>
      </c>
      <c r="BI208" s="26"/>
      <c r="BJ208" s="26">
        <f t="shared" si="382"/>
        <v>0</v>
      </c>
      <c r="BK208" s="26">
        <f t="shared" si="383"/>
        <v>0</v>
      </c>
    </row>
    <row r="209" spans="1:63" ht="15" thickBot="1" x14ac:dyDescent="0.35">
      <c r="A209" s="151"/>
      <c r="B209" s="3451" t="s">
        <v>865</v>
      </c>
      <c r="C209" s="3446" t="s">
        <v>1276</v>
      </c>
      <c r="D209" s="3424"/>
      <c r="E209" s="3425"/>
      <c r="F209" s="107">
        <v>550.80000000000007</v>
      </c>
      <c r="G209" s="3425"/>
      <c r="H209" s="107">
        <v>1271.58</v>
      </c>
      <c r="I209" s="2791"/>
      <c r="J209" s="775">
        <f t="shared" si="384"/>
        <v>1822.38</v>
      </c>
      <c r="K209" s="3425"/>
      <c r="L209" s="107">
        <v>517.29</v>
      </c>
      <c r="M209" s="3426"/>
      <c r="N209" s="774">
        <f t="shared" si="385"/>
        <v>2339.67</v>
      </c>
      <c r="O209" s="3425"/>
      <c r="P209" s="107">
        <v>996.20000000000016</v>
      </c>
      <c r="Q209" s="2791"/>
      <c r="R209" s="775">
        <f t="shared" si="386"/>
        <v>3335.8700000000003</v>
      </c>
      <c r="S209" s="3425"/>
      <c r="T209" s="107">
        <v>260.81</v>
      </c>
      <c r="U209" s="2791"/>
      <c r="V209" s="775">
        <f t="shared" si="387"/>
        <v>3596.6800000000003</v>
      </c>
      <c r="W209" s="3425"/>
      <c r="X209" s="107">
        <v>1275.9900000000002</v>
      </c>
      <c r="Y209" s="3426"/>
      <c r="Z209" s="774">
        <f t="shared" si="388"/>
        <v>2533.0000000000005</v>
      </c>
      <c r="AA209" s="5720"/>
      <c r="AB209" s="460">
        <f t="shared" si="389"/>
        <v>4872.67</v>
      </c>
      <c r="AC209" s="3425"/>
      <c r="AD209" s="107">
        <v>400.21999999999997</v>
      </c>
      <c r="AE209" s="2791"/>
      <c r="AF209" s="775">
        <f t="shared" si="390"/>
        <v>5272.89</v>
      </c>
      <c r="AG209" s="3425"/>
      <c r="AH209" s="107">
        <v>1004.6299999999999</v>
      </c>
      <c r="AI209" s="2791"/>
      <c r="AJ209" s="368">
        <f t="shared" si="395"/>
        <v>6277.52</v>
      </c>
      <c r="AK209" s="3425"/>
      <c r="AL209" s="107">
        <v>906.33999999999992</v>
      </c>
      <c r="AM209" s="3426"/>
      <c r="AN209" s="613">
        <f t="shared" si="394"/>
        <v>2311.1899999999996</v>
      </c>
      <c r="AO209" s="2791"/>
      <c r="AP209" s="368">
        <f t="shared" si="392"/>
        <v>7183.8600000000006</v>
      </c>
      <c r="AQ209" s="3425"/>
      <c r="AR209" s="107"/>
      <c r="AS209" s="2791"/>
      <c r="AT209" s="42">
        <f t="shared" si="396"/>
        <v>7183.8600000000006</v>
      </c>
      <c r="AU209" s="3425"/>
      <c r="AV209" s="107">
        <v>1281.72</v>
      </c>
      <c r="AW209" s="2791"/>
      <c r="AX209" s="42">
        <f t="shared" si="397"/>
        <v>8465.58</v>
      </c>
      <c r="AY209" s="3425"/>
      <c r="AZ209" s="107">
        <v>5443.73</v>
      </c>
      <c r="BA209" s="3426"/>
      <c r="BB209" s="613">
        <f t="shared" si="391"/>
        <v>6725.45</v>
      </c>
      <c r="BC209" s="5720"/>
      <c r="BD209" s="460">
        <f t="shared" si="393"/>
        <v>9036.64</v>
      </c>
      <c r="BE209" s="2791"/>
      <c r="BF209" s="42">
        <f t="shared" si="398"/>
        <v>13909.31</v>
      </c>
      <c r="BG209" s="26">
        <f t="shared" si="380"/>
        <v>0</v>
      </c>
      <c r="BH209" s="26">
        <f t="shared" si="381"/>
        <v>0</v>
      </c>
      <c r="BI209" s="26"/>
      <c r="BJ209" s="26">
        <f t="shared" si="382"/>
        <v>0</v>
      </c>
      <c r="BK209" s="26">
        <f t="shared" si="383"/>
        <v>0</v>
      </c>
    </row>
    <row r="210" spans="1:63" ht="15" thickBot="1" x14ac:dyDescent="0.35">
      <c r="A210" s="151"/>
      <c r="B210" s="3447" t="s">
        <v>866</v>
      </c>
      <c r="C210" s="3442" t="s">
        <v>942</v>
      </c>
      <c r="D210" s="3417"/>
      <c r="E210" s="3427"/>
      <c r="F210" s="155"/>
      <c r="G210" s="3427"/>
      <c r="H210" s="155">
        <v>57.6</v>
      </c>
      <c r="I210" s="2788"/>
      <c r="J210" s="775">
        <f t="shared" si="384"/>
        <v>57.6</v>
      </c>
      <c r="K210" s="3427"/>
      <c r="L210" s="155"/>
      <c r="M210" s="3428"/>
      <c r="N210" s="774">
        <f t="shared" si="385"/>
        <v>57.6</v>
      </c>
      <c r="O210" s="3427"/>
      <c r="P210" s="155"/>
      <c r="Q210" s="2788"/>
      <c r="R210" s="775">
        <f t="shared" si="386"/>
        <v>57.6</v>
      </c>
      <c r="S210" s="3427"/>
      <c r="T210" s="155"/>
      <c r="U210" s="2788"/>
      <c r="V210" s="775">
        <f t="shared" si="387"/>
        <v>57.6</v>
      </c>
      <c r="W210" s="3427"/>
      <c r="X210" s="155"/>
      <c r="Y210" s="3428"/>
      <c r="Z210" s="774">
        <f t="shared" si="388"/>
        <v>0</v>
      </c>
      <c r="AA210" s="4621"/>
      <c r="AB210" s="460">
        <f t="shared" si="389"/>
        <v>57.6</v>
      </c>
      <c r="AC210" s="3427"/>
      <c r="AD210" s="155"/>
      <c r="AE210" s="2788"/>
      <c r="AF210" s="775">
        <f t="shared" si="390"/>
        <v>57.6</v>
      </c>
      <c r="AG210" s="3427"/>
      <c r="AH210" s="155"/>
      <c r="AI210" s="2788"/>
      <c r="AJ210" s="368">
        <f t="shared" si="395"/>
        <v>57.6</v>
      </c>
      <c r="AK210" s="3427"/>
      <c r="AL210" s="155"/>
      <c r="AM210" s="3428"/>
      <c r="AN210" s="613">
        <f t="shared" si="394"/>
        <v>0</v>
      </c>
      <c r="AO210" s="2788"/>
      <c r="AP210" s="368">
        <f t="shared" si="392"/>
        <v>57.6</v>
      </c>
      <c r="AQ210" s="3427"/>
      <c r="AR210" s="155"/>
      <c r="AS210" s="2788"/>
      <c r="AT210" s="42">
        <f t="shared" si="396"/>
        <v>57.6</v>
      </c>
      <c r="AU210" s="3427"/>
      <c r="AV210" s="155"/>
      <c r="AW210" s="2788"/>
      <c r="AX210" s="42">
        <f t="shared" si="397"/>
        <v>57.6</v>
      </c>
      <c r="AY210" s="3427"/>
      <c r="AZ210" s="155"/>
      <c r="BA210" s="3428"/>
      <c r="BB210" s="613">
        <f t="shared" si="391"/>
        <v>0</v>
      </c>
      <c r="BC210" s="4621"/>
      <c r="BD210" s="460">
        <f t="shared" si="393"/>
        <v>0</v>
      </c>
      <c r="BE210" s="2788"/>
      <c r="BF210" s="42">
        <f t="shared" si="398"/>
        <v>57.6</v>
      </c>
      <c r="BG210" s="26">
        <f t="shared" si="380"/>
        <v>0</v>
      </c>
      <c r="BH210" s="26">
        <f t="shared" si="381"/>
        <v>0</v>
      </c>
      <c r="BI210" s="26"/>
      <c r="BJ210" s="26">
        <f t="shared" si="382"/>
        <v>0</v>
      </c>
      <c r="BK210" s="26">
        <f t="shared" si="383"/>
        <v>0</v>
      </c>
    </row>
    <row r="211" spans="1:63" ht="15" thickBot="1" x14ac:dyDescent="0.35">
      <c r="A211" s="151"/>
      <c r="B211" s="3450" t="s">
        <v>866</v>
      </c>
      <c r="C211" s="3443" t="s">
        <v>988</v>
      </c>
      <c r="D211" s="3422"/>
      <c r="E211" s="3412"/>
      <c r="F211" s="1185">
        <v>756.89</v>
      </c>
      <c r="G211" s="3412"/>
      <c r="H211" s="1185">
        <v>368.26</v>
      </c>
      <c r="I211" s="844"/>
      <c r="J211" s="775">
        <f t="shared" si="384"/>
        <v>1125.1500000000001</v>
      </c>
      <c r="K211" s="3412"/>
      <c r="L211" s="1185">
        <v>525.28</v>
      </c>
      <c r="M211" s="894"/>
      <c r="N211" s="774">
        <f t="shared" si="385"/>
        <v>1650.43</v>
      </c>
      <c r="O211" s="3412"/>
      <c r="P211" s="1185">
        <v>355.22</v>
      </c>
      <c r="Q211" s="844"/>
      <c r="R211" s="775">
        <f t="shared" si="386"/>
        <v>2005.65</v>
      </c>
      <c r="S211" s="3412"/>
      <c r="T211" s="1185">
        <v>554.47</v>
      </c>
      <c r="U211" s="844"/>
      <c r="V211" s="775">
        <f t="shared" si="387"/>
        <v>2560.12</v>
      </c>
      <c r="W211" s="3412"/>
      <c r="X211" s="1185">
        <v>1177.52</v>
      </c>
      <c r="Y211" s="894"/>
      <c r="Z211" s="774">
        <f t="shared" si="388"/>
        <v>2087.21</v>
      </c>
      <c r="AA211" s="3965"/>
      <c r="AB211" s="460">
        <f t="shared" si="389"/>
        <v>3737.6400000000003</v>
      </c>
      <c r="AC211" s="3412"/>
      <c r="AD211" s="1185"/>
      <c r="AE211" s="844"/>
      <c r="AF211" s="775">
        <f t="shared" si="390"/>
        <v>3737.6400000000003</v>
      </c>
      <c r="AG211" s="3412"/>
      <c r="AH211" s="1185">
        <v>269.67599999999999</v>
      </c>
      <c r="AI211" s="844"/>
      <c r="AJ211" s="368">
        <f t="shared" si="395"/>
        <v>4007.3160000000003</v>
      </c>
      <c r="AK211" s="3412"/>
      <c r="AL211" s="1185">
        <v>337.46000000000004</v>
      </c>
      <c r="AM211" s="894"/>
      <c r="AN211" s="613">
        <f t="shared" si="394"/>
        <v>607.13599999999997</v>
      </c>
      <c r="AO211" s="844"/>
      <c r="AP211" s="368">
        <f t="shared" si="392"/>
        <v>4344.7759999999998</v>
      </c>
      <c r="AQ211" s="3412"/>
      <c r="AR211" s="1185">
        <v>348.75</v>
      </c>
      <c r="AS211" s="844"/>
      <c r="AT211" s="42">
        <f t="shared" si="396"/>
        <v>4693.5259999999998</v>
      </c>
      <c r="AU211" s="3412"/>
      <c r="AV211" s="1185">
        <v>907.09</v>
      </c>
      <c r="AW211" s="844"/>
      <c r="AX211" s="42">
        <f t="shared" si="397"/>
        <v>5600.616</v>
      </c>
      <c r="AY211" s="3412"/>
      <c r="AZ211" s="1185">
        <v>246.84</v>
      </c>
      <c r="BA211" s="894"/>
      <c r="BB211" s="613">
        <f t="shared" si="391"/>
        <v>1502.68</v>
      </c>
      <c r="BC211" s="3965"/>
      <c r="BD211" s="460">
        <f t="shared" si="393"/>
        <v>2109.8159999999998</v>
      </c>
      <c r="BE211" s="844"/>
      <c r="BF211" s="42">
        <f t="shared" si="398"/>
        <v>5847.4560000000001</v>
      </c>
      <c r="BG211" s="26">
        <f t="shared" ref="BG211:BG274" si="399">AY211+AU211+AQ211+AK211+AG211+AC211+W211+S211+O211+K211+G211+E211-BE211</f>
        <v>0</v>
      </c>
      <c r="BH211" s="26">
        <f t="shared" ref="BH211:BH274" si="400">AZ211+AV211+AR211+AL211+AH211+AD211+X211+T211+P211+L211+H211+F211-BF211</f>
        <v>0</v>
      </c>
      <c r="BI211" s="26"/>
      <c r="BJ211" s="26">
        <f t="shared" ref="BJ211:BJ274" si="401">AY211+AU211+AQ211+AK211+AG211+AC211-BC211</f>
        <v>0</v>
      </c>
      <c r="BK211" s="26">
        <f t="shared" ref="BK211:BK274" si="402">AZ211+AV211+AR211+AL211+AH211+AD211-BD211</f>
        <v>0</v>
      </c>
    </row>
    <row r="212" spans="1:63" ht="20.25" customHeight="1" thickBot="1" x14ac:dyDescent="0.35">
      <c r="A212" s="151"/>
      <c r="B212" s="3450" t="s">
        <v>866</v>
      </c>
      <c r="C212" s="3443" t="s">
        <v>1586</v>
      </c>
      <c r="D212" s="3422"/>
      <c r="E212" s="3412"/>
      <c r="F212" s="1185"/>
      <c r="G212" s="3412"/>
      <c r="H212" s="1185"/>
      <c r="I212" s="844"/>
      <c r="J212" s="775">
        <f t="shared" si="384"/>
        <v>0</v>
      </c>
      <c r="K212" s="3412"/>
      <c r="L212" s="1185"/>
      <c r="M212" s="894"/>
      <c r="N212" s="774">
        <f t="shared" si="385"/>
        <v>0</v>
      </c>
      <c r="O212" s="3412"/>
      <c r="P212" s="1185"/>
      <c r="Q212" s="844"/>
      <c r="R212" s="775">
        <f t="shared" si="386"/>
        <v>0</v>
      </c>
      <c r="S212" s="3412"/>
      <c r="T212" s="1185"/>
      <c r="U212" s="844"/>
      <c r="V212" s="775">
        <f t="shared" si="387"/>
        <v>0</v>
      </c>
      <c r="W212" s="3412"/>
      <c r="X212" s="1185"/>
      <c r="Y212" s="894"/>
      <c r="Z212" s="774">
        <f t="shared" si="388"/>
        <v>0</v>
      </c>
      <c r="AA212" s="3965"/>
      <c r="AB212" s="460">
        <f t="shared" si="389"/>
        <v>0</v>
      </c>
      <c r="AC212" s="3412"/>
      <c r="AD212" s="1185"/>
      <c r="AE212" s="844"/>
      <c r="AF212" s="775">
        <f t="shared" si="390"/>
        <v>0</v>
      </c>
      <c r="AG212" s="3412"/>
      <c r="AH212" s="1185"/>
      <c r="AI212" s="844"/>
      <c r="AJ212" s="368">
        <f t="shared" si="395"/>
        <v>0</v>
      </c>
      <c r="AK212" s="3412"/>
      <c r="AL212" s="1185"/>
      <c r="AM212" s="894"/>
      <c r="AN212" s="613">
        <f t="shared" si="394"/>
        <v>0</v>
      </c>
      <c r="AO212" s="844"/>
      <c r="AP212" s="368">
        <f t="shared" si="392"/>
        <v>0</v>
      </c>
      <c r="AQ212" s="3412"/>
      <c r="AR212" s="1185"/>
      <c r="AS212" s="844"/>
      <c r="AT212" s="42">
        <f t="shared" si="396"/>
        <v>0</v>
      </c>
      <c r="AU212" s="3412"/>
      <c r="AV212" s="1185"/>
      <c r="AW212" s="844"/>
      <c r="AX212" s="42">
        <f t="shared" si="397"/>
        <v>0</v>
      </c>
      <c r="AY212" s="3412"/>
      <c r="AZ212" s="1185"/>
      <c r="BA212" s="894"/>
      <c r="BB212" s="613">
        <f t="shared" si="391"/>
        <v>0</v>
      </c>
      <c r="BC212" s="3965"/>
      <c r="BD212" s="460">
        <f t="shared" si="393"/>
        <v>0</v>
      </c>
      <c r="BE212" s="844"/>
      <c r="BF212" s="42">
        <f t="shared" si="398"/>
        <v>0</v>
      </c>
      <c r="BG212" s="26">
        <f t="shared" si="399"/>
        <v>0</v>
      </c>
      <c r="BH212" s="26">
        <f t="shared" si="400"/>
        <v>0</v>
      </c>
      <c r="BI212" s="26"/>
      <c r="BJ212" s="26">
        <f t="shared" si="401"/>
        <v>0</v>
      </c>
      <c r="BK212" s="26">
        <f t="shared" si="402"/>
        <v>0</v>
      </c>
    </row>
    <row r="213" spans="1:63" ht="19.5" customHeight="1" thickBot="1" x14ac:dyDescent="0.35">
      <c r="A213" s="151"/>
      <c r="B213" s="3450" t="s">
        <v>866</v>
      </c>
      <c r="C213" s="3443" t="s">
        <v>896</v>
      </c>
      <c r="D213" s="3443"/>
      <c r="E213" s="3412"/>
      <c r="F213" s="1185">
        <v>481.32</v>
      </c>
      <c r="G213" s="3412"/>
      <c r="H213" s="1185">
        <v>251.24</v>
      </c>
      <c r="I213" s="844"/>
      <c r="J213" s="775">
        <f t="shared" si="384"/>
        <v>732.56</v>
      </c>
      <c r="K213" s="3412"/>
      <c r="L213" s="1185">
        <v>502.02</v>
      </c>
      <c r="M213" s="894"/>
      <c r="N213" s="774">
        <f t="shared" si="385"/>
        <v>1234.58</v>
      </c>
      <c r="O213" s="3412"/>
      <c r="P213" s="1185">
        <v>302.06</v>
      </c>
      <c r="Q213" s="844"/>
      <c r="R213" s="775">
        <f t="shared" si="386"/>
        <v>1536.6399999999999</v>
      </c>
      <c r="S213" s="3412"/>
      <c r="T213" s="1185">
        <v>123.38</v>
      </c>
      <c r="U213" s="844"/>
      <c r="V213" s="775">
        <f t="shared" si="387"/>
        <v>1660.02</v>
      </c>
      <c r="W213" s="3412"/>
      <c r="X213" s="1185">
        <v>186.73999999999998</v>
      </c>
      <c r="Y213" s="894"/>
      <c r="Z213" s="774">
        <f t="shared" si="388"/>
        <v>612.17999999999995</v>
      </c>
      <c r="AA213" s="3965"/>
      <c r="AB213" s="460">
        <f t="shared" si="389"/>
        <v>1846.7599999999998</v>
      </c>
      <c r="AC213" s="3412"/>
      <c r="AD213" s="1185"/>
      <c r="AE213" s="844"/>
      <c r="AF213" s="775">
        <f t="shared" si="390"/>
        <v>1846.7599999999998</v>
      </c>
      <c r="AG213" s="3412"/>
      <c r="AH213" s="1185">
        <v>29.68</v>
      </c>
      <c r="AI213" s="844"/>
      <c r="AJ213" s="368">
        <f t="shared" si="395"/>
        <v>1876.4399999999998</v>
      </c>
      <c r="AK213" s="3412"/>
      <c r="AL213" s="1185">
        <v>630.76</v>
      </c>
      <c r="AM213" s="894"/>
      <c r="AN213" s="613">
        <f t="shared" si="394"/>
        <v>660.43999999999994</v>
      </c>
      <c r="AO213" s="844"/>
      <c r="AP213" s="368">
        <f t="shared" si="392"/>
        <v>2507.1999999999998</v>
      </c>
      <c r="AQ213" s="3412"/>
      <c r="AR213" s="1185">
        <v>626.42000000000007</v>
      </c>
      <c r="AS213" s="844"/>
      <c r="AT213" s="42">
        <f t="shared" si="396"/>
        <v>3133.62</v>
      </c>
      <c r="AU213" s="3412"/>
      <c r="AV213" s="1185">
        <v>42.18</v>
      </c>
      <c r="AW213" s="844"/>
      <c r="AX213" s="42">
        <f t="shared" si="397"/>
        <v>3175.7999999999997</v>
      </c>
      <c r="AY213" s="3412"/>
      <c r="AZ213" s="1185">
        <v>101.55</v>
      </c>
      <c r="BA213" s="894"/>
      <c r="BB213" s="613">
        <f t="shared" si="391"/>
        <v>770.15</v>
      </c>
      <c r="BC213" s="3965"/>
      <c r="BD213" s="460">
        <f t="shared" si="393"/>
        <v>1430.59</v>
      </c>
      <c r="BE213" s="844"/>
      <c r="BF213" s="42">
        <f t="shared" si="398"/>
        <v>3277.35</v>
      </c>
      <c r="BG213" s="26">
        <f t="shared" si="399"/>
        <v>0</v>
      </c>
      <c r="BH213" s="26">
        <f t="shared" si="400"/>
        <v>0</v>
      </c>
      <c r="BI213" s="26"/>
      <c r="BJ213" s="26">
        <f t="shared" si="401"/>
        <v>0</v>
      </c>
      <c r="BK213" s="26">
        <f t="shared" si="402"/>
        <v>0</v>
      </c>
    </row>
    <row r="214" spans="1:63" ht="15.75" customHeight="1" thickBot="1" x14ac:dyDescent="0.35">
      <c r="A214" s="151"/>
      <c r="B214" s="3450" t="s">
        <v>866</v>
      </c>
      <c r="C214" s="3443" t="s">
        <v>1593</v>
      </c>
      <c r="D214" s="3422"/>
      <c r="E214" s="3412"/>
      <c r="F214" s="1185"/>
      <c r="G214" s="3412"/>
      <c r="H214" s="1185"/>
      <c r="I214" s="844"/>
      <c r="J214" s="775">
        <f t="shared" si="384"/>
        <v>0</v>
      </c>
      <c r="K214" s="3412"/>
      <c r="L214" s="1185"/>
      <c r="M214" s="894"/>
      <c r="N214" s="774">
        <f t="shared" si="385"/>
        <v>0</v>
      </c>
      <c r="O214" s="3412"/>
      <c r="P214" s="1185"/>
      <c r="Q214" s="844"/>
      <c r="R214" s="775">
        <f t="shared" si="386"/>
        <v>0</v>
      </c>
      <c r="S214" s="3412"/>
      <c r="T214" s="1185"/>
      <c r="U214" s="844"/>
      <c r="V214" s="775">
        <f t="shared" si="387"/>
        <v>0</v>
      </c>
      <c r="W214" s="3412"/>
      <c r="X214" s="1185"/>
      <c r="Y214" s="894"/>
      <c r="Z214" s="774">
        <f t="shared" si="388"/>
        <v>0</v>
      </c>
      <c r="AA214" s="3965"/>
      <c r="AB214" s="460">
        <f t="shared" si="389"/>
        <v>0</v>
      </c>
      <c r="AC214" s="3412"/>
      <c r="AD214" s="1185"/>
      <c r="AE214" s="844"/>
      <c r="AF214" s="775">
        <f t="shared" si="390"/>
        <v>0</v>
      </c>
      <c r="AG214" s="3412"/>
      <c r="AH214" s="1185"/>
      <c r="AI214" s="844"/>
      <c r="AJ214" s="368">
        <f t="shared" si="395"/>
        <v>0</v>
      </c>
      <c r="AK214" s="3412"/>
      <c r="AL214" s="1185"/>
      <c r="AM214" s="894"/>
      <c r="AN214" s="613">
        <f t="shared" si="394"/>
        <v>0</v>
      </c>
      <c r="AO214" s="844"/>
      <c r="AP214" s="368">
        <f t="shared" si="392"/>
        <v>0</v>
      </c>
      <c r="AQ214" s="3412"/>
      <c r="AR214" s="1185"/>
      <c r="AS214" s="844"/>
      <c r="AT214" s="42">
        <f t="shared" si="396"/>
        <v>0</v>
      </c>
      <c r="AU214" s="3412"/>
      <c r="AV214" s="1185"/>
      <c r="AW214" s="844"/>
      <c r="AX214" s="42">
        <f t="shared" si="397"/>
        <v>0</v>
      </c>
      <c r="AY214" s="3412"/>
      <c r="AZ214" s="1185"/>
      <c r="BA214" s="894"/>
      <c r="BB214" s="613">
        <f t="shared" si="391"/>
        <v>0</v>
      </c>
      <c r="BC214" s="3965"/>
      <c r="BD214" s="460">
        <f t="shared" si="393"/>
        <v>0</v>
      </c>
      <c r="BE214" s="844"/>
      <c r="BF214" s="42">
        <f t="shared" si="398"/>
        <v>0</v>
      </c>
      <c r="BG214" s="26">
        <f t="shared" si="399"/>
        <v>0</v>
      </c>
      <c r="BH214" s="26">
        <f t="shared" si="400"/>
        <v>0</v>
      </c>
      <c r="BI214" s="26"/>
      <c r="BJ214" s="26">
        <f t="shared" si="401"/>
        <v>0</v>
      </c>
      <c r="BK214" s="26">
        <f t="shared" si="402"/>
        <v>0</v>
      </c>
    </row>
    <row r="215" spans="1:63" ht="15" thickBot="1" x14ac:dyDescent="0.35">
      <c r="A215" s="151"/>
      <c r="B215" s="3450" t="s">
        <v>866</v>
      </c>
      <c r="C215" s="3443" t="s">
        <v>877</v>
      </c>
      <c r="D215" s="3422"/>
      <c r="E215" s="3412"/>
      <c r="F215" s="1185">
        <v>499.24</v>
      </c>
      <c r="G215" s="3412"/>
      <c r="H215" s="1185">
        <v>489.58000000000004</v>
      </c>
      <c r="I215" s="844"/>
      <c r="J215" s="775">
        <f t="shared" si="384"/>
        <v>988.82</v>
      </c>
      <c r="K215" s="3412"/>
      <c r="L215" s="1185">
        <v>431.18</v>
      </c>
      <c r="M215" s="894"/>
      <c r="N215" s="774">
        <f t="shared" si="385"/>
        <v>1420</v>
      </c>
      <c r="O215" s="3412"/>
      <c r="P215" s="1185">
        <v>353.12</v>
      </c>
      <c r="Q215" s="844"/>
      <c r="R215" s="775">
        <f t="shared" si="386"/>
        <v>1773.12</v>
      </c>
      <c r="S215" s="3412"/>
      <c r="T215" s="1185">
        <v>1111.52</v>
      </c>
      <c r="U215" s="844"/>
      <c r="V215" s="775">
        <f t="shared" si="387"/>
        <v>2884.64</v>
      </c>
      <c r="W215" s="3412"/>
      <c r="X215" s="1185">
        <v>560.68000000000006</v>
      </c>
      <c r="Y215" s="894"/>
      <c r="Z215" s="774">
        <f t="shared" si="388"/>
        <v>2025.32</v>
      </c>
      <c r="AA215" s="3965"/>
      <c r="AB215" s="460">
        <f t="shared" si="389"/>
        <v>3445.3199999999997</v>
      </c>
      <c r="AC215" s="3412"/>
      <c r="AD215" s="1185"/>
      <c r="AE215" s="844"/>
      <c r="AF215" s="775">
        <f t="shared" si="390"/>
        <v>3445.3199999999997</v>
      </c>
      <c r="AG215" s="3412"/>
      <c r="AH215" s="1185">
        <v>688.36</v>
      </c>
      <c r="AI215" s="844"/>
      <c r="AJ215" s="368">
        <f t="shared" si="395"/>
        <v>4133.6799999999994</v>
      </c>
      <c r="AK215" s="3412"/>
      <c r="AL215" s="1185">
        <v>603.78</v>
      </c>
      <c r="AM215" s="894"/>
      <c r="AN215" s="613">
        <f t="shared" si="394"/>
        <v>1292.1399999999999</v>
      </c>
      <c r="AO215" s="844"/>
      <c r="AP215" s="368">
        <f t="shared" si="392"/>
        <v>4737.4599999999991</v>
      </c>
      <c r="AQ215" s="3412"/>
      <c r="AR215" s="1185">
        <v>924.80000000000007</v>
      </c>
      <c r="AS215" s="844"/>
      <c r="AT215" s="42">
        <f t="shared" si="396"/>
        <v>5662.2599999999993</v>
      </c>
      <c r="AU215" s="3412"/>
      <c r="AV215" s="1185">
        <v>211.15</v>
      </c>
      <c r="AW215" s="844"/>
      <c r="AX215" s="42">
        <f t="shared" si="397"/>
        <v>5873.4099999999989</v>
      </c>
      <c r="AY215" s="3412"/>
      <c r="AZ215" s="1185">
        <v>627.05999999999995</v>
      </c>
      <c r="BA215" s="894"/>
      <c r="BB215" s="613">
        <f t="shared" si="391"/>
        <v>1763.01</v>
      </c>
      <c r="BC215" s="3965"/>
      <c r="BD215" s="460">
        <f t="shared" si="393"/>
        <v>3055.1499999999996</v>
      </c>
      <c r="BE215" s="844"/>
      <c r="BF215" s="42">
        <f t="shared" si="398"/>
        <v>6500.4699999999993</v>
      </c>
      <c r="BG215" s="26">
        <f t="shared" si="399"/>
        <v>0</v>
      </c>
      <c r="BH215" s="26">
        <f t="shared" si="400"/>
        <v>0</v>
      </c>
      <c r="BI215" s="26"/>
      <c r="BJ215" s="26">
        <f t="shared" si="401"/>
        <v>0</v>
      </c>
      <c r="BK215" s="26">
        <f t="shared" si="402"/>
        <v>0</v>
      </c>
    </row>
    <row r="216" spans="1:63" ht="15" thickBot="1" x14ac:dyDescent="0.35">
      <c r="A216" s="151"/>
      <c r="B216" s="3450" t="s">
        <v>866</v>
      </c>
      <c r="C216" s="3443" t="s">
        <v>1147</v>
      </c>
      <c r="D216" s="3422"/>
      <c r="E216" s="3412"/>
      <c r="F216" s="1185">
        <v>252.2</v>
      </c>
      <c r="G216" s="3412"/>
      <c r="H216" s="1185">
        <v>186.76</v>
      </c>
      <c r="I216" s="844"/>
      <c r="J216" s="775">
        <f t="shared" si="384"/>
        <v>438.96</v>
      </c>
      <c r="K216" s="3412"/>
      <c r="L216" s="1185">
        <v>60.04</v>
      </c>
      <c r="M216" s="894"/>
      <c r="N216" s="774">
        <f t="shared" si="385"/>
        <v>499</v>
      </c>
      <c r="O216" s="3412"/>
      <c r="P216" s="1185">
        <v>176.26</v>
      </c>
      <c r="Q216" s="844"/>
      <c r="R216" s="775">
        <f t="shared" si="386"/>
        <v>675.26</v>
      </c>
      <c r="S216" s="3412"/>
      <c r="T216" s="1185">
        <v>122.66</v>
      </c>
      <c r="U216" s="844"/>
      <c r="V216" s="775">
        <f t="shared" si="387"/>
        <v>797.92</v>
      </c>
      <c r="W216" s="3412"/>
      <c r="X216" s="1185">
        <v>250.32</v>
      </c>
      <c r="Y216" s="894"/>
      <c r="Z216" s="774">
        <f t="shared" si="388"/>
        <v>549.24</v>
      </c>
      <c r="AA216" s="3965"/>
      <c r="AB216" s="460">
        <f t="shared" si="389"/>
        <v>1048.24</v>
      </c>
      <c r="AC216" s="3412"/>
      <c r="AD216" s="1185"/>
      <c r="AE216" s="844"/>
      <c r="AF216" s="775">
        <f t="shared" si="390"/>
        <v>1048.24</v>
      </c>
      <c r="AG216" s="3412"/>
      <c r="AH216" s="1185"/>
      <c r="AI216" s="844"/>
      <c r="AJ216" s="368">
        <f t="shared" si="395"/>
        <v>1048.24</v>
      </c>
      <c r="AK216" s="3412"/>
      <c r="AL216" s="1185">
        <v>310.86</v>
      </c>
      <c r="AM216" s="894"/>
      <c r="AN216" s="613">
        <f t="shared" si="394"/>
        <v>310.86</v>
      </c>
      <c r="AO216" s="844"/>
      <c r="AP216" s="368">
        <f t="shared" si="392"/>
        <v>1359.1</v>
      </c>
      <c r="AQ216" s="3412"/>
      <c r="AR216" s="1185">
        <v>372.22</v>
      </c>
      <c r="AS216" s="844"/>
      <c r="AT216" s="42">
        <f t="shared" si="396"/>
        <v>1731.32</v>
      </c>
      <c r="AU216" s="3412"/>
      <c r="AV216" s="1185">
        <v>271.2</v>
      </c>
      <c r="AW216" s="844"/>
      <c r="AX216" s="42">
        <f t="shared" si="397"/>
        <v>2002.52</v>
      </c>
      <c r="AY216" s="3412"/>
      <c r="AZ216" s="1185"/>
      <c r="BA216" s="894"/>
      <c r="BB216" s="613">
        <f t="shared" si="391"/>
        <v>643.42000000000007</v>
      </c>
      <c r="BC216" s="3965"/>
      <c r="BD216" s="460">
        <f t="shared" si="393"/>
        <v>954.28000000000009</v>
      </c>
      <c r="BE216" s="844"/>
      <c r="BF216" s="42">
        <f t="shared" si="398"/>
        <v>2002.52</v>
      </c>
      <c r="BG216" s="26">
        <f t="shared" si="399"/>
        <v>0</v>
      </c>
      <c r="BH216" s="26">
        <f t="shared" si="400"/>
        <v>0</v>
      </c>
      <c r="BI216" s="26"/>
      <c r="BJ216" s="26">
        <f t="shared" si="401"/>
        <v>0</v>
      </c>
      <c r="BK216" s="26">
        <f t="shared" si="402"/>
        <v>0</v>
      </c>
    </row>
    <row r="217" spans="1:63" ht="20.25" customHeight="1" thickBot="1" x14ac:dyDescent="0.35">
      <c r="A217" s="151"/>
      <c r="B217" s="3450" t="s">
        <v>866</v>
      </c>
      <c r="C217" s="3443" t="s">
        <v>1146</v>
      </c>
      <c r="D217" s="3422"/>
      <c r="E217" s="3412"/>
      <c r="F217" s="1185">
        <v>1166.21</v>
      </c>
      <c r="G217" s="3412"/>
      <c r="H217" s="1185">
        <v>1573.5600000000002</v>
      </c>
      <c r="I217" s="844"/>
      <c r="J217" s="775">
        <f t="shared" ref="J217:J289" si="403">F217+H217</f>
        <v>2739.7700000000004</v>
      </c>
      <c r="K217" s="3412"/>
      <c r="L217" s="1185">
        <v>1386.56</v>
      </c>
      <c r="M217" s="894"/>
      <c r="N217" s="774">
        <f t="shared" ref="N217:N289" si="404">J217+L217</f>
        <v>4126.33</v>
      </c>
      <c r="O217" s="3412"/>
      <c r="P217" s="1185">
        <v>1005.6700000000001</v>
      </c>
      <c r="Q217" s="844"/>
      <c r="R217" s="775">
        <f t="shared" ref="R217:R289" si="405">N217+P217</f>
        <v>5132</v>
      </c>
      <c r="S217" s="3412"/>
      <c r="T217" s="1185">
        <v>1812.4</v>
      </c>
      <c r="U217" s="844"/>
      <c r="V217" s="775">
        <f t="shared" ref="V217:V289" si="406">R217+T217</f>
        <v>6944.4</v>
      </c>
      <c r="W217" s="3412"/>
      <c r="X217" s="1185">
        <v>809.02</v>
      </c>
      <c r="Y217" s="894"/>
      <c r="Z217" s="774">
        <f t="shared" ref="Z217:Z289" si="407">P217+T217+X217</f>
        <v>3627.09</v>
      </c>
      <c r="AA217" s="3965"/>
      <c r="AB217" s="460">
        <f t="shared" ref="AB217:AB289" si="408">N217+Z217</f>
        <v>7753.42</v>
      </c>
      <c r="AC217" s="3412"/>
      <c r="AD217" s="1185"/>
      <c r="AE217" s="844"/>
      <c r="AF217" s="775">
        <f t="shared" ref="AF217:AF289" si="409">AB217+AD217</f>
        <v>7753.42</v>
      </c>
      <c r="AG217" s="3412"/>
      <c r="AH217" s="1185">
        <v>930.26</v>
      </c>
      <c r="AI217" s="844"/>
      <c r="AJ217" s="368">
        <f t="shared" si="395"/>
        <v>8683.68</v>
      </c>
      <c r="AK217" s="3412"/>
      <c r="AL217" s="1185">
        <v>623.58000000000004</v>
      </c>
      <c r="AM217" s="894"/>
      <c r="AN217" s="613">
        <f t="shared" si="394"/>
        <v>1553.8400000000001</v>
      </c>
      <c r="AO217" s="844"/>
      <c r="AP217" s="368">
        <f t="shared" si="392"/>
        <v>9307.26</v>
      </c>
      <c r="AQ217" s="3412"/>
      <c r="AR217" s="1185">
        <v>1245.22</v>
      </c>
      <c r="AS217" s="844"/>
      <c r="AT217" s="42">
        <f t="shared" si="396"/>
        <v>10552.48</v>
      </c>
      <c r="AU217" s="3412"/>
      <c r="AV217" s="1185">
        <v>328.51</v>
      </c>
      <c r="AW217" s="844"/>
      <c r="AX217" s="42">
        <f t="shared" si="397"/>
        <v>10880.99</v>
      </c>
      <c r="AY217" s="3412"/>
      <c r="AZ217" s="1185">
        <v>1631.89</v>
      </c>
      <c r="BA217" s="894"/>
      <c r="BB217" s="613">
        <f t="shared" si="391"/>
        <v>3205.62</v>
      </c>
      <c r="BC217" s="3965"/>
      <c r="BD217" s="460">
        <f t="shared" si="393"/>
        <v>4759.46</v>
      </c>
      <c r="BE217" s="844"/>
      <c r="BF217" s="42">
        <f t="shared" si="398"/>
        <v>12512.88</v>
      </c>
      <c r="BG217" s="26">
        <f t="shared" si="399"/>
        <v>0</v>
      </c>
      <c r="BH217" s="26">
        <f t="shared" si="400"/>
        <v>0</v>
      </c>
      <c r="BI217" s="26"/>
      <c r="BJ217" s="26">
        <f t="shared" si="401"/>
        <v>0</v>
      </c>
      <c r="BK217" s="26">
        <f t="shared" si="402"/>
        <v>0</v>
      </c>
    </row>
    <row r="218" spans="1:63" ht="20.25" customHeight="1" thickBot="1" x14ac:dyDescent="0.35">
      <c r="A218" s="151"/>
      <c r="B218" s="3450" t="s">
        <v>866</v>
      </c>
      <c r="C218" s="3443" t="s">
        <v>905</v>
      </c>
      <c r="D218" s="5459"/>
      <c r="E218" s="5480"/>
      <c r="F218" s="5453"/>
      <c r="G218" s="5480"/>
      <c r="H218" s="5453"/>
      <c r="I218" s="5481"/>
      <c r="J218" s="5460"/>
      <c r="K218" s="5480"/>
      <c r="L218" s="5453"/>
      <c r="M218" s="5482"/>
      <c r="N218" s="5461"/>
      <c r="O218" s="5480"/>
      <c r="P218" s="5453"/>
      <c r="Q218" s="5481"/>
      <c r="R218" s="5460"/>
      <c r="S218" s="5480"/>
      <c r="T218" s="5453"/>
      <c r="U218" s="5481"/>
      <c r="V218" s="5460"/>
      <c r="W218" s="5480"/>
      <c r="X218" s="5453"/>
      <c r="Y218" s="5482"/>
      <c r="Z218" s="5461"/>
      <c r="AA218" s="5727"/>
      <c r="AB218" s="5712"/>
      <c r="AC218" s="5480"/>
      <c r="AD218" s="5453"/>
      <c r="AE218" s="5481"/>
      <c r="AF218" s="5460"/>
      <c r="AG218" s="5480"/>
      <c r="AH218" s="5453"/>
      <c r="AI218" s="5481"/>
      <c r="AJ218" s="368"/>
      <c r="AK218" s="5480"/>
      <c r="AL218" s="5453"/>
      <c r="AM218" s="5482"/>
      <c r="AN218" s="613"/>
      <c r="AO218" s="5481"/>
      <c r="AP218" s="368"/>
      <c r="AQ218" s="5480"/>
      <c r="AR218" s="5453"/>
      <c r="AS218" s="5481"/>
      <c r="AT218" s="42"/>
      <c r="AU218" s="5480"/>
      <c r="AV218" s="5453"/>
      <c r="AW218" s="5481"/>
      <c r="AX218" s="42"/>
      <c r="AY218" s="5480"/>
      <c r="AZ218" s="5453">
        <v>118.88</v>
      </c>
      <c r="BA218" s="5482"/>
      <c r="BB218" s="613">
        <f t="shared" ref="BB218" si="410">AR218+AV218+AZ218</f>
        <v>118.88</v>
      </c>
      <c r="BC218" s="3965"/>
      <c r="BD218" s="460">
        <f t="shared" ref="BD218" si="411">AN218+BB218</f>
        <v>118.88</v>
      </c>
      <c r="BE218" s="844"/>
      <c r="BF218" s="42">
        <f t="shared" si="398"/>
        <v>118.88</v>
      </c>
      <c r="BG218" s="26">
        <f t="shared" si="399"/>
        <v>0</v>
      </c>
      <c r="BH218" s="26">
        <f t="shared" si="400"/>
        <v>0</v>
      </c>
      <c r="BI218" s="26"/>
      <c r="BJ218" s="26">
        <f t="shared" si="401"/>
        <v>0</v>
      </c>
      <c r="BK218" s="26">
        <f t="shared" si="402"/>
        <v>0</v>
      </c>
    </row>
    <row r="219" spans="1:63" ht="20.25" customHeight="1" thickBot="1" x14ac:dyDescent="0.35">
      <c r="A219" s="151"/>
      <c r="B219" s="3450" t="s">
        <v>866</v>
      </c>
      <c r="C219" s="3443" t="s">
        <v>1142</v>
      </c>
      <c r="D219" s="5459"/>
      <c r="E219" s="5480"/>
      <c r="F219" s="5453"/>
      <c r="G219" s="5480"/>
      <c r="H219" s="5453"/>
      <c r="I219" s="5481"/>
      <c r="J219" s="5460"/>
      <c r="K219" s="5480"/>
      <c r="L219" s="5453"/>
      <c r="M219" s="5482"/>
      <c r="N219" s="5461"/>
      <c r="O219" s="5480"/>
      <c r="P219" s="5453"/>
      <c r="Q219" s="5481"/>
      <c r="R219" s="5460"/>
      <c r="S219" s="5480"/>
      <c r="T219" s="5453"/>
      <c r="U219" s="5481"/>
      <c r="V219" s="5460"/>
      <c r="W219" s="5480"/>
      <c r="X219" s="5453"/>
      <c r="Y219" s="5482"/>
      <c r="Z219" s="5461"/>
      <c r="AA219" s="5727"/>
      <c r="AB219" s="5712"/>
      <c r="AC219" s="5480"/>
      <c r="AD219" s="5453"/>
      <c r="AE219" s="5481"/>
      <c r="AF219" s="5460"/>
      <c r="AG219" s="5480"/>
      <c r="AH219" s="5453"/>
      <c r="AI219" s="5481"/>
      <c r="AJ219" s="368"/>
      <c r="AK219" s="5480"/>
      <c r="AL219" s="5453"/>
      <c r="AM219" s="5482"/>
      <c r="AN219" s="613"/>
      <c r="AO219" s="5481"/>
      <c r="AP219" s="368"/>
      <c r="AQ219" s="5480"/>
      <c r="AR219" s="5453"/>
      <c r="AS219" s="5481"/>
      <c r="AT219" s="42"/>
      <c r="AU219" s="5480"/>
      <c r="AV219" s="5453"/>
      <c r="AW219" s="5481"/>
      <c r="AX219" s="42"/>
      <c r="AY219" s="5480"/>
      <c r="AZ219" s="5453">
        <v>357.44</v>
      </c>
      <c r="BA219" s="5482"/>
      <c r="BB219" s="613">
        <f t="shared" ref="BB219" si="412">AR219+AV219+AZ219</f>
        <v>357.44</v>
      </c>
      <c r="BC219" s="3965"/>
      <c r="BD219" s="460">
        <f t="shared" ref="BD219" si="413">AN219+BB219</f>
        <v>357.44</v>
      </c>
      <c r="BE219" s="844"/>
      <c r="BF219" s="42">
        <f t="shared" si="398"/>
        <v>357.44</v>
      </c>
      <c r="BG219" s="26">
        <f t="shared" si="399"/>
        <v>0</v>
      </c>
      <c r="BH219" s="26">
        <f t="shared" si="400"/>
        <v>0</v>
      </c>
      <c r="BI219" s="26"/>
      <c r="BJ219" s="26">
        <f t="shared" si="401"/>
        <v>0</v>
      </c>
      <c r="BK219" s="26">
        <f t="shared" si="402"/>
        <v>0</v>
      </c>
    </row>
    <row r="220" spans="1:63" ht="19.5" customHeight="1" thickBot="1" x14ac:dyDescent="0.35">
      <c r="A220" s="151"/>
      <c r="B220" s="3450" t="s">
        <v>866</v>
      </c>
      <c r="C220" s="3443" t="s">
        <v>1317</v>
      </c>
      <c r="D220" s="3443"/>
      <c r="E220" s="3412"/>
      <c r="F220" s="1185"/>
      <c r="G220" s="3412"/>
      <c r="H220" s="1185"/>
      <c r="I220" s="844"/>
      <c r="J220" s="775">
        <f t="shared" si="403"/>
        <v>0</v>
      </c>
      <c r="K220" s="3412"/>
      <c r="L220" s="1185">
        <v>123.7</v>
      </c>
      <c r="M220" s="894"/>
      <c r="N220" s="774">
        <f t="shared" si="404"/>
        <v>123.7</v>
      </c>
      <c r="O220" s="3412"/>
      <c r="P220" s="1185">
        <v>677.18</v>
      </c>
      <c r="Q220" s="844"/>
      <c r="R220" s="775">
        <f t="shared" si="405"/>
        <v>800.88</v>
      </c>
      <c r="S220" s="3412"/>
      <c r="T220" s="1185">
        <v>186.22</v>
      </c>
      <c r="U220" s="844"/>
      <c r="V220" s="775">
        <f t="shared" si="406"/>
        <v>987.1</v>
      </c>
      <c r="W220" s="3412"/>
      <c r="X220" s="1185">
        <v>1233.23</v>
      </c>
      <c r="Y220" s="894"/>
      <c r="Z220" s="774">
        <f t="shared" si="407"/>
        <v>2096.63</v>
      </c>
      <c r="AA220" s="3965"/>
      <c r="AB220" s="460">
        <f t="shared" si="408"/>
        <v>2220.33</v>
      </c>
      <c r="AC220" s="3412"/>
      <c r="AD220" s="1185">
        <v>61.44</v>
      </c>
      <c r="AE220" s="844"/>
      <c r="AF220" s="775">
        <f t="shared" si="409"/>
        <v>2281.77</v>
      </c>
      <c r="AG220" s="3412"/>
      <c r="AH220" s="1185"/>
      <c r="AI220" s="844"/>
      <c r="AJ220" s="368">
        <f t="shared" si="395"/>
        <v>2281.77</v>
      </c>
      <c r="AK220" s="3412"/>
      <c r="AL220" s="1185"/>
      <c r="AM220" s="894"/>
      <c r="AN220" s="613">
        <f t="shared" si="394"/>
        <v>61.44</v>
      </c>
      <c r="AO220" s="844"/>
      <c r="AP220" s="368">
        <f t="shared" si="392"/>
        <v>2281.77</v>
      </c>
      <c r="AQ220" s="3412"/>
      <c r="AR220" s="1185">
        <v>450.30999999999995</v>
      </c>
      <c r="AS220" s="844"/>
      <c r="AT220" s="42">
        <f t="shared" si="396"/>
        <v>2732.08</v>
      </c>
      <c r="AU220" s="3412"/>
      <c r="AV220" s="1185">
        <v>204.87</v>
      </c>
      <c r="AW220" s="844"/>
      <c r="AX220" s="42">
        <f t="shared" si="397"/>
        <v>2936.95</v>
      </c>
      <c r="AY220" s="3412"/>
      <c r="AZ220" s="1185"/>
      <c r="BA220" s="894"/>
      <c r="BB220" s="613">
        <f t="shared" si="391"/>
        <v>655.17999999999995</v>
      </c>
      <c r="BC220" s="3965"/>
      <c r="BD220" s="460">
        <f t="shared" si="393"/>
        <v>716.61999999999989</v>
      </c>
      <c r="BE220" s="844"/>
      <c r="BF220" s="42">
        <f t="shared" si="398"/>
        <v>2936.95</v>
      </c>
      <c r="BG220" s="26">
        <f t="shared" si="399"/>
        <v>0</v>
      </c>
      <c r="BH220" s="26">
        <f t="shared" si="400"/>
        <v>0</v>
      </c>
      <c r="BI220" s="26"/>
      <c r="BJ220" s="26">
        <f t="shared" si="401"/>
        <v>0</v>
      </c>
      <c r="BK220" s="26">
        <f t="shared" si="402"/>
        <v>0</v>
      </c>
    </row>
    <row r="221" spans="1:63" ht="15" thickBot="1" x14ac:dyDescent="0.35">
      <c r="A221" s="151"/>
      <c r="B221" s="3450" t="s">
        <v>866</v>
      </c>
      <c r="C221" s="3443" t="s">
        <v>993</v>
      </c>
      <c r="D221" s="202"/>
      <c r="E221" s="202"/>
      <c r="F221" s="1118">
        <v>510.86</v>
      </c>
      <c r="G221" s="202"/>
      <c r="H221" s="1118">
        <v>432.36</v>
      </c>
      <c r="I221" s="585"/>
      <c r="J221" s="775">
        <f t="shared" si="403"/>
        <v>943.22</v>
      </c>
      <c r="K221" s="202"/>
      <c r="L221" s="1118">
        <v>372.38</v>
      </c>
      <c r="M221" s="938"/>
      <c r="N221" s="774">
        <f t="shared" si="404"/>
        <v>1315.6</v>
      </c>
      <c r="O221" s="202"/>
      <c r="P221" s="1118">
        <v>124.16</v>
      </c>
      <c r="Q221" s="585"/>
      <c r="R221" s="775">
        <f t="shared" si="405"/>
        <v>1439.76</v>
      </c>
      <c r="S221" s="202"/>
      <c r="T221" s="1118"/>
      <c r="U221" s="585"/>
      <c r="V221" s="775">
        <f t="shared" si="406"/>
        <v>1439.76</v>
      </c>
      <c r="W221" s="202"/>
      <c r="X221" s="1118"/>
      <c r="Y221" s="938"/>
      <c r="Z221" s="774">
        <f t="shared" si="407"/>
        <v>124.16</v>
      </c>
      <c r="AA221" s="2238"/>
      <c r="AB221" s="460">
        <f t="shared" si="408"/>
        <v>1439.76</v>
      </c>
      <c r="AC221" s="202"/>
      <c r="AD221" s="1118"/>
      <c r="AE221" s="585"/>
      <c r="AF221" s="775">
        <f t="shared" si="409"/>
        <v>1439.76</v>
      </c>
      <c r="AG221" s="202"/>
      <c r="AH221" s="1118">
        <v>189.03</v>
      </c>
      <c r="AI221" s="585"/>
      <c r="AJ221" s="368">
        <f t="shared" si="395"/>
        <v>1628.79</v>
      </c>
      <c r="AK221" s="202"/>
      <c r="AL221" s="1118"/>
      <c r="AM221" s="938"/>
      <c r="AN221" s="613">
        <f t="shared" si="394"/>
        <v>189.03</v>
      </c>
      <c r="AO221" s="585"/>
      <c r="AP221" s="368">
        <f t="shared" si="392"/>
        <v>1628.79</v>
      </c>
      <c r="AQ221" s="202"/>
      <c r="AR221" s="1118"/>
      <c r="AS221" s="585"/>
      <c r="AT221" s="42">
        <f t="shared" si="396"/>
        <v>1628.79</v>
      </c>
      <c r="AU221" s="202"/>
      <c r="AV221" s="1118">
        <v>302.26</v>
      </c>
      <c r="AW221" s="585"/>
      <c r="AX221" s="42">
        <f t="shared" si="397"/>
        <v>1931.05</v>
      </c>
      <c r="AY221" s="202"/>
      <c r="AZ221" s="1118">
        <v>386.41</v>
      </c>
      <c r="BA221" s="938"/>
      <c r="BB221" s="613">
        <f t="shared" si="391"/>
        <v>688.67000000000007</v>
      </c>
      <c r="BC221" s="2238"/>
      <c r="BD221" s="460">
        <f t="shared" si="393"/>
        <v>877.7</v>
      </c>
      <c r="BE221" s="585"/>
      <c r="BF221" s="42">
        <f t="shared" si="398"/>
        <v>2317.46</v>
      </c>
      <c r="BG221" s="26">
        <f t="shared" si="399"/>
        <v>0</v>
      </c>
      <c r="BH221" s="26">
        <f t="shared" si="400"/>
        <v>0</v>
      </c>
      <c r="BI221" s="26"/>
      <c r="BJ221" s="26">
        <f t="shared" si="401"/>
        <v>0</v>
      </c>
      <c r="BK221" s="26">
        <f t="shared" si="402"/>
        <v>0</v>
      </c>
    </row>
    <row r="222" spans="1:63" ht="15.75" customHeight="1" thickBot="1" x14ac:dyDescent="0.35">
      <c r="A222" s="151"/>
      <c r="B222" s="3450" t="s">
        <v>866</v>
      </c>
      <c r="C222" s="3452" t="s">
        <v>1141</v>
      </c>
      <c r="D222" s="2862"/>
      <c r="E222" s="2862"/>
      <c r="F222" s="2599"/>
      <c r="G222" s="2862"/>
      <c r="H222" s="2599"/>
      <c r="I222" s="2882"/>
      <c r="J222" s="775">
        <f t="shared" si="403"/>
        <v>0</v>
      </c>
      <c r="K222" s="2862"/>
      <c r="L222" s="2599"/>
      <c r="M222" s="3249"/>
      <c r="N222" s="774">
        <f t="shared" si="404"/>
        <v>0</v>
      </c>
      <c r="O222" s="2862"/>
      <c r="P222" s="2599"/>
      <c r="Q222" s="2882"/>
      <c r="R222" s="775">
        <f t="shared" si="405"/>
        <v>0</v>
      </c>
      <c r="S222" s="2862"/>
      <c r="T222" s="2599"/>
      <c r="U222" s="2882"/>
      <c r="V222" s="775">
        <f t="shared" si="406"/>
        <v>0</v>
      </c>
      <c r="W222" s="2862"/>
      <c r="X222" s="2599"/>
      <c r="Y222" s="3249"/>
      <c r="Z222" s="774">
        <f t="shared" si="407"/>
        <v>0</v>
      </c>
      <c r="AA222" s="3250"/>
      <c r="AB222" s="460">
        <f t="shared" si="408"/>
        <v>0</v>
      </c>
      <c r="AC222" s="2862"/>
      <c r="AD222" s="2599"/>
      <c r="AE222" s="2882"/>
      <c r="AF222" s="775">
        <f t="shared" si="409"/>
        <v>0</v>
      </c>
      <c r="AG222" s="2862"/>
      <c r="AH222" s="2599"/>
      <c r="AI222" s="2882"/>
      <c r="AJ222" s="368">
        <f t="shared" si="395"/>
        <v>0</v>
      </c>
      <c r="AK222" s="2862"/>
      <c r="AL222" s="2599"/>
      <c r="AM222" s="3249"/>
      <c r="AN222" s="613">
        <f t="shared" si="394"/>
        <v>0</v>
      </c>
      <c r="AO222" s="2882"/>
      <c r="AP222" s="368">
        <f t="shared" si="392"/>
        <v>0</v>
      </c>
      <c r="AQ222" s="2862"/>
      <c r="AR222" s="2599"/>
      <c r="AS222" s="2882"/>
      <c r="AT222" s="42">
        <f t="shared" si="396"/>
        <v>0</v>
      </c>
      <c r="AU222" s="2862"/>
      <c r="AV222" s="2599"/>
      <c r="AW222" s="2882"/>
      <c r="AX222" s="42">
        <f t="shared" si="397"/>
        <v>0</v>
      </c>
      <c r="AY222" s="2862"/>
      <c r="AZ222" s="2599"/>
      <c r="BA222" s="3249"/>
      <c r="BB222" s="613">
        <f t="shared" si="391"/>
        <v>0</v>
      </c>
      <c r="BC222" s="3250"/>
      <c r="BD222" s="460">
        <f t="shared" si="393"/>
        <v>0</v>
      </c>
      <c r="BE222" s="2882"/>
      <c r="BF222" s="42">
        <f t="shared" si="398"/>
        <v>0</v>
      </c>
      <c r="BG222" s="26">
        <f t="shared" si="399"/>
        <v>0</v>
      </c>
      <c r="BH222" s="26">
        <f t="shared" si="400"/>
        <v>0</v>
      </c>
      <c r="BI222" s="26"/>
      <c r="BJ222" s="26">
        <f t="shared" si="401"/>
        <v>0</v>
      </c>
      <c r="BK222" s="26">
        <f t="shared" si="402"/>
        <v>0</v>
      </c>
    </row>
    <row r="223" spans="1:63" ht="15.75" customHeight="1" thickBot="1" x14ac:dyDescent="0.35">
      <c r="A223" s="151"/>
      <c r="B223" s="3450" t="s">
        <v>866</v>
      </c>
      <c r="C223" s="3443" t="s">
        <v>900</v>
      </c>
      <c r="D223" s="202"/>
      <c r="E223" s="202"/>
      <c r="F223" s="1118"/>
      <c r="G223" s="202"/>
      <c r="H223" s="1118"/>
      <c r="I223" s="585"/>
      <c r="J223" s="775">
        <f t="shared" si="403"/>
        <v>0</v>
      </c>
      <c r="K223" s="202"/>
      <c r="L223" s="1118"/>
      <c r="M223" s="938"/>
      <c r="N223" s="774">
        <f t="shared" si="404"/>
        <v>0</v>
      </c>
      <c r="O223" s="202"/>
      <c r="P223" s="1118"/>
      <c r="Q223" s="585"/>
      <c r="R223" s="775">
        <f t="shared" si="405"/>
        <v>0</v>
      </c>
      <c r="S223" s="202"/>
      <c r="T223" s="1118"/>
      <c r="U223" s="585"/>
      <c r="V223" s="775">
        <f t="shared" si="406"/>
        <v>0</v>
      </c>
      <c r="W223" s="202"/>
      <c r="X223" s="1118"/>
      <c r="Y223" s="938"/>
      <c r="Z223" s="774">
        <f t="shared" si="407"/>
        <v>0</v>
      </c>
      <c r="AA223" s="2238"/>
      <c r="AB223" s="460">
        <f t="shared" si="408"/>
        <v>0</v>
      </c>
      <c r="AC223" s="202"/>
      <c r="AD223" s="1118"/>
      <c r="AE223" s="585"/>
      <c r="AF223" s="775">
        <f t="shared" si="409"/>
        <v>0</v>
      </c>
      <c r="AG223" s="202"/>
      <c r="AH223" s="1118"/>
      <c r="AI223" s="585"/>
      <c r="AJ223" s="368">
        <f t="shared" si="395"/>
        <v>0</v>
      </c>
      <c r="AK223" s="202"/>
      <c r="AL223" s="1118"/>
      <c r="AM223" s="938"/>
      <c r="AN223" s="613">
        <f t="shared" si="394"/>
        <v>0</v>
      </c>
      <c r="AO223" s="585"/>
      <c r="AP223" s="368">
        <f t="shared" si="392"/>
        <v>0</v>
      </c>
      <c r="AQ223" s="202"/>
      <c r="AR223" s="1118"/>
      <c r="AS223" s="585"/>
      <c r="AT223" s="42">
        <f t="shared" si="396"/>
        <v>0</v>
      </c>
      <c r="AU223" s="202"/>
      <c r="AV223" s="1118"/>
      <c r="AW223" s="585"/>
      <c r="AX223" s="42">
        <f t="shared" si="397"/>
        <v>0</v>
      </c>
      <c r="AY223" s="202"/>
      <c r="AZ223" s="1118"/>
      <c r="BA223" s="938"/>
      <c r="BB223" s="613">
        <f t="shared" si="391"/>
        <v>0</v>
      </c>
      <c r="BC223" s="2238"/>
      <c r="BD223" s="460">
        <f t="shared" si="393"/>
        <v>0</v>
      </c>
      <c r="BE223" s="585"/>
      <c r="BF223" s="42">
        <f t="shared" si="398"/>
        <v>0</v>
      </c>
      <c r="BG223" s="26">
        <f t="shared" si="399"/>
        <v>0</v>
      </c>
      <c r="BH223" s="26">
        <f t="shared" si="400"/>
        <v>0</v>
      </c>
      <c r="BI223" s="26"/>
      <c r="BJ223" s="26">
        <f t="shared" si="401"/>
        <v>0</v>
      </c>
      <c r="BK223" s="26">
        <f t="shared" si="402"/>
        <v>0</v>
      </c>
    </row>
    <row r="224" spans="1:63" ht="15.75" customHeight="1" thickBot="1" x14ac:dyDescent="0.35">
      <c r="A224" s="151"/>
      <c r="B224" s="3450" t="s">
        <v>866</v>
      </c>
      <c r="C224" s="3443" t="s">
        <v>1145</v>
      </c>
      <c r="D224" s="202"/>
      <c r="E224" s="202"/>
      <c r="F224" s="1118"/>
      <c r="G224" s="202"/>
      <c r="H224" s="1118"/>
      <c r="I224" s="585"/>
      <c r="J224" s="775">
        <f t="shared" si="403"/>
        <v>0</v>
      </c>
      <c r="K224" s="202"/>
      <c r="L224" s="1118"/>
      <c r="M224" s="938"/>
      <c r="N224" s="774">
        <f t="shared" si="404"/>
        <v>0</v>
      </c>
      <c r="O224" s="202"/>
      <c r="P224" s="1118"/>
      <c r="Q224" s="585"/>
      <c r="R224" s="775">
        <f t="shared" si="405"/>
        <v>0</v>
      </c>
      <c r="S224" s="202"/>
      <c r="T224" s="1118"/>
      <c r="U224" s="585"/>
      <c r="V224" s="775">
        <f t="shared" si="406"/>
        <v>0</v>
      </c>
      <c r="W224" s="202"/>
      <c r="X224" s="1118"/>
      <c r="Y224" s="938"/>
      <c r="Z224" s="774">
        <f t="shared" si="407"/>
        <v>0</v>
      </c>
      <c r="AA224" s="2238"/>
      <c r="AB224" s="460">
        <f t="shared" si="408"/>
        <v>0</v>
      </c>
      <c r="AC224" s="202"/>
      <c r="AD224" s="1118"/>
      <c r="AE224" s="585"/>
      <c r="AF224" s="775">
        <f t="shared" si="409"/>
        <v>0</v>
      </c>
      <c r="AG224" s="202"/>
      <c r="AH224" s="1118"/>
      <c r="AI224" s="585"/>
      <c r="AJ224" s="775">
        <f t="shared" ref="AJ224:AJ236" si="414">AF224+AH224</f>
        <v>0</v>
      </c>
      <c r="AK224" s="202"/>
      <c r="AL224" s="1118"/>
      <c r="AM224" s="938"/>
      <c r="AN224" s="613">
        <f t="shared" si="394"/>
        <v>0</v>
      </c>
      <c r="AO224" s="585"/>
      <c r="AP224" s="368">
        <f t="shared" si="392"/>
        <v>0</v>
      </c>
      <c r="AQ224" s="202"/>
      <c r="AR224" s="1118"/>
      <c r="AS224" s="585"/>
      <c r="AT224" s="42">
        <f t="shared" si="396"/>
        <v>0</v>
      </c>
      <c r="AU224" s="202"/>
      <c r="AV224" s="1118"/>
      <c r="AW224" s="585"/>
      <c r="AX224" s="42">
        <f t="shared" si="397"/>
        <v>0</v>
      </c>
      <c r="AY224" s="202"/>
      <c r="AZ224" s="1118"/>
      <c r="BA224" s="938"/>
      <c r="BB224" s="613">
        <f t="shared" si="391"/>
        <v>0</v>
      </c>
      <c r="BC224" s="2238"/>
      <c r="BD224" s="460">
        <f t="shared" si="393"/>
        <v>0</v>
      </c>
      <c r="BE224" s="585"/>
      <c r="BF224" s="42">
        <f t="shared" si="398"/>
        <v>0</v>
      </c>
      <c r="BG224" s="26">
        <f t="shared" si="399"/>
        <v>0</v>
      </c>
      <c r="BH224" s="26">
        <f t="shared" si="400"/>
        <v>0</v>
      </c>
      <c r="BI224" s="26"/>
      <c r="BJ224" s="26">
        <f t="shared" si="401"/>
        <v>0</v>
      </c>
      <c r="BK224" s="26">
        <f t="shared" si="402"/>
        <v>0</v>
      </c>
    </row>
    <row r="225" spans="1:63" ht="15" thickBot="1" x14ac:dyDescent="0.35">
      <c r="A225" s="151"/>
      <c r="B225" s="3450" t="s">
        <v>866</v>
      </c>
      <c r="C225" s="3443" t="s">
        <v>1144</v>
      </c>
      <c r="D225" s="3443"/>
      <c r="E225" s="3412"/>
      <c r="F225" s="1185">
        <v>509.86</v>
      </c>
      <c r="G225" s="3412"/>
      <c r="H225" s="1185"/>
      <c r="I225" s="844"/>
      <c r="J225" s="775">
        <f t="shared" si="403"/>
        <v>509.86</v>
      </c>
      <c r="K225" s="3412"/>
      <c r="L225" s="1185"/>
      <c r="M225" s="894"/>
      <c r="N225" s="774">
        <f t="shared" si="404"/>
        <v>509.86</v>
      </c>
      <c r="O225" s="3412"/>
      <c r="P225" s="1185"/>
      <c r="Q225" s="844"/>
      <c r="R225" s="775">
        <f t="shared" si="405"/>
        <v>509.86</v>
      </c>
      <c r="S225" s="3412"/>
      <c r="T225" s="1185"/>
      <c r="U225" s="844"/>
      <c r="V225" s="775">
        <f t="shared" si="406"/>
        <v>509.86</v>
      </c>
      <c r="W225" s="3412"/>
      <c r="X225" s="1185"/>
      <c r="Y225" s="894"/>
      <c r="Z225" s="774">
        <f t="shared" si="407"/>
        <v>0</v>
      </c>
      <c r="AA225" s="3965"/>
      <c r="AB225" s="460">
        <f t="shared" si="408"/>
        <v>509.86</v>
      </c>
      <c r="AC225" s="3412"/>
      <c r="AD225" s="1185"/>
      <c r="AE225" s="844"/>
      <c r="AF225" s="775">
        <f t="shared" si="409"/>
        <v>509.86</v>
      </c>
      <c r="AG225" s="3412"/>
      <c r="AH225" s="1185"/>
      <c r="AI225" s="844"/>
      <c r="AJ225" s="775">
        <f t="shared" si="414"/>
        <v>509.86</v>
      </c>
      <c r="AK225" s="3412"/>
      <c r="AL225" s="1185"/>
      <c r="AM225" s="894"/>
      <c r="AN225" s="613">
        <f t="shared" si="394"/>
        <v>0</v>
      </c>
      <c r="AO225" s="844"/>
      <c r="AP225" s="368">
        <f t="shared" si="392"/>
        <v>509.86</v>
      </c>
      <c r="AQ225" s="3412"/>
      <c r="AR225" s="1185"/>
      <c r="AS225" s="844"/>
      <c r="AT225" s="42">
        <f t="shared" si="396"/>
        <v>509.86</v>
      </c>
      <c r="AU225" s="3412"/>
      <c r="AV225" s="1185"/>
      <c r="AW225" s="844"/>
      <c r="AX225" s="42">
        <f t="shared" si="397"/>
        <v>509.86</v>
      </c>
      <c r="AY225" s="3412"/>
      <c r="AZ225" s="1185"/>
      <c r="BA225" s="894"/>
      <c r="BB225" s="613">
        <f t="shared" si="391"/>
        <v>0</v>
      </c>
      <c r="BC225" s="3965"/>
      <c r="BD225" s="460">
        <f t="shared" si="393"/>
        <v>0</v>
      </c>
      <c r="BE225" s="844"/>
      <c r="BF225" s="42">
        <f t="shared" si="398"/>
        <v>509.86</v>
      </c>
      <c r="BG225" s="26">
        <f t="shared" si="399"/>
        <v>0</v>
      </c>
      <c r="BH225" s="26">
        <f t="shared" si="400"/>
        <v>0</v>
      </c>
      <c r="BI225" s="26"/>
      <c r="BJ225" s="26">
        <f t="shared" si="401"/>
        <v>0</v>
      </c>
      <c r="BK225" s="26">
        <f t="shared" si="402"/>
        <v>0</v>
      </c>
    </row>
    <row r="226" spans="1:63" ht="15.75" customHeight="1" thickBot="1" x14ac:dyDescent="0.35">
      <c r="A226" s="151"/>
      <c r="B226" s="3450" t="s">
        <v>866</v>
      </c>
      <c r="C226" s="3443" t="s">
        <v>1276</v>
      </c>
      <c r="D226" s="3443"/>
      <c r="E226" s="3412"/>
      <c r="F226" s="1185"/>
      <c r="G226" s="3412"/>
      <c r="H226" s="1185"/>
      <c r="I226" s="844"/>
      <c r="J226" s="775">
        <f t="shared" si="403"/>
        <v>0</v>
      </c>
      <c r="K226" s="3412"/>
      <c r="L226" s="1185"/>
      <c r="M226" s="894"/>
      <c r="N226" s="774">
        <f t="shared" si="404"/>
        <v>0</v>
      </c>
      <c r="O226" s="3412"/>
      <c r="P226" s="1185"/>
      <c r="Q226" s="844"/>
      <c r="R226" s="775">
        <f t="shared" si="405"/>
        <v>0</v>
      </c>
      <c r="S226" s="3412"/>
      <c r="T226" s="1185"/>
      <c r="U226" s="844"/>
      <c r="V226" s="775">
        <f t="shared" si="406"/>
        <v>0</v>
      </c>
      <c r="W226" s="3412"/>
      <c r="X226" s="1185"/>
      <c r="Y226" s="894"/>
      <c r="Z226" s="774">
        <f t="shared" si="407"/>
        <v>0</v>
      </c>
      <c r="AA226" s="3965"/>
      <c r="AB226" s="460">
        <f t="shared" si="408"/>
        <v>0</v>
      </c>
      <c r="AC226" s="3412"/>
      <c r="AD226" s="1185"/>
      <c r="AE226" s="844"/>
      <c r="AF226" s="775">
        <f t="shared" si="409"/>
        <v>0</v>
      </c>
      <c r="AG226" s="3412"/>
      <c r="AH226" s="1185"/>
      <c r="AI226" s="844"/>
      <c r="AJ226" s="775">
        <f t="shared" si="414"/>
        <v>0</v>
      </c>
      <c r="AK226" s="3412"/>
      <c r="AL226" s="1185"/>
      <c r="AM226" s="894"/>
      <c r="AN226" s="613">
        <f t="shared" si="394"/>
        <v>0</v>
      </c>
      <c r="AO226" s="844"/>
      <c r="AP226" s="775">
        <f t="shared" ref="AP226:AP236" si="415">AJ226+AL226</f>
        <v>0</v>
      </c>
      <c r="AQ226" s="3412"/>
      <c r="AR226" s="1185"/>
      <c r="AS226" s="844"/>
      <c r="AT226" s="42">
        <f t="shared" si="396"/>
        <v>0</v>
      </c>
      <c r="AU226" s="3412"/>
      <c r="AV226" s="1185"/>
      <c r="AW226" s="844"/>
      <c r="AX226" s="42">
        <f t="shared" si="397"/>
        <v>0</v>
      </c>
      <c r="AY226" s="3412"/>
      <c r="AZ226" s="1185"/>
      <c r="BA226" s="894"/>
      <c r="BB226" s="613">
        <f t="shared" si="391"/>
        <v>0</v>
      </c>
      <c r="BC226" s="3965"/>
      <c r="BD226" s="460">
        <f t="shared" si="393"/>
        <v>0</v>
      </c>
      <c r="BE226" s="844"/>
      <c r="BF226" s="42">
        <f t="shared" si="398"/>
        <v>0</v>
      </c>
      <c r="BG226" s="26">
        <f t="shared" si="399"/>
        <v>0</v>
      </c>
      <c r="BH226" s="26">
        <f t="shared" si="400"/>
        <v>0</v>
      </c>
      <c r="BI226" s="26"/>
      <c r="BJ226" s="26">
        <f t="shared" si="401"/>
        <v>0</v>
      </c>
      <c r="BK226" s="26">
        <f t="shared" si="402"/>
        <v>0</v>
      </c>
    </row>
    <row r="227" spans="1:63" ht="15" thickBot="1" x14ac:dyDescent="0.35">
      <c r="A227" s="151"/>
      <c r="B227" s="3451" t="s">
        <v>866</v>
      </c>
      <c r="C227" s="3446" t="s">
        <v>1148</v>
      </c>
      <c r="D227" s="3446"/>
      <c r="E227" s="3425"/>
      <c r="F227" s="107">
        <v>529.61999999999989</v>
      </c>
      <c r="G227" s="3425"/>
      <c r="H227" s="107">
        <v>662.66000000000008</v>
      </c>
      <c r="I227" s="2791"/>
      <c r="J227" s="775">
        <f t="shared" si="403"/>
        <v>1192.28</v>
      </c>
      <c r="K227" s="3425"/>
      <c r="L227" s="107">
        <v>626.24</v>
      </c>
      <c r="M227" s="3426"/>
      <c r="N227" s="774">
        <f t="shared" si="404"/>
        <v>1818.52</v>
      </c>
      <c r="O227" s="3425"/>
      <c r="P227" s="107">
        <v>81.64</v>
      </c>
      <c r="Q227" s="2791"/>
      <c r="R227" s="775">
        <f t="shared" si="405"/>
        <v>1900.16</v>
      </c>
      <c r="S227" s="3425"/>
      <c r="T227" s="107">
        <v>920.01</v>
      </c>
      <c r="U227" s="2791"/>
      <c r="V227" s="775">
        <f t="shared" si="406"/>
        <v>2820.17</v>
      </c>
      <c r="W227" s="3425"/>
      <c r="X227" s="107">
        <v>1260.1399999999999</v>
      </c>
      <c r="Y227" s="3426"/>
      <c r="Z227" s="774">
        <f t="shared" si="407"/>
        <v>2261.79</v>
      </c>
      <c r="AA227" s="5720"/>
      <c r="AB227" s="460">
        <f t="shared" si="408"/>
        <v>4080.31</v>
      </c>
      <c r="AC227" s="3425"/>
      <c r="AD227" s="107"/>
      <c r="AE227" s="2791"/>
      <c r="AF227" s="775">
        <f t="shared" si="409"/>
        <v>4080.31</v>
      </c>
      <c r="AG227" s="3425"/>
      <c r="AH227" s="107">
        <v>2010.9900000000002</v>
      </c>
      <c r="AI227" s="2791"/>
      <c r="AJ227" s="584">
        <f t="shared" si="414"/>
        <v>6091.3</v>
      </c>
      <c r="AK227" s="3425"/>
      <c r="AL227" s="107">
        <v>628.13000000000011</v>
      </c>
      <c r="AM227" s="3426"/>
      <c r="AN227" s="483">
        <f t="shared" ref="AN227:AN236" si="416">AD227+AH227+AL227</f>
        <v>2639.1200000000003</v>
      </c>
      <c r="AO227" s="2791"/>
      <c r="AP227" s="584">
        <f t="shared" si="415"/>
        <v>6719.43</v>
      </c>
      <c r="AQ227" s="3425"/>
      <c r="AR227" s="107">
        <v>318.62</v>
      </c>
      <c r="AS227" s="2791"/>
      <c r="AT227" s="42">
        <f t="shared" si="396"/>
        <v>7038.05</v>
      </c>
      <c r="AU227" s="3425"/>
      <c r="AV227" s="107">
        <v>440.99</v>
      </c>
      <c r="AW227" s="2791"/>
      <c r="AX227" s="42">
        <f t="shared" si="397"/>
        <v>7479.04</v>
      </c>
      <c r="AY227" s="3425"/>
      <c r="AZ227" s="107">
        <v>284.85000000000002</v>
      </c>
      <c r="BA227" s="3426"/>
      <c r="BB227" s="613">
        <f t="shared" si="391"/>
        <v>1044.46</v>
      </c>
      <c r="BC227" s="5720"/>
      <c r="BD227" s="460">
        <f t="shared" si="393"/>
        <v>3683.5800000000004</v>
      </c>
      <c r="BE227" s="2791"/>
      <c r="BF227" s="42">
        <f t="shared" si="398"/>
        <v>7763.89</v>
      </c>
      <c r="BG227" s="26">
        <f t="shared" si="399"/>
        <v>0</v>
      </c>
      <c r="BH227" s="26">
        <f t="shared" si="400"/>
        <v>0</v>
      </c>
      <c r="BI227" s="26"/>
      <c r="BJ227" s="26">
        <f t="shared" si="401"/>
        <v>0</v>
      </c>
      <c r="BK227" s="26">
        <f t="shared" si="402"/>
        <v>0</v>
      </c>
    </row>
    <row r="228" spans="1:63" ht="15" thickBot="1" x14ac:dyDescent="0.35">
      <c r="A228" s="151"/>
      <c r="B228" s="4890" t="s">
        <v>2046</v>
      </c>
      <c r="C228" s="3487" t="s">
        <v>870</v>
      </c>
      <c r="D228" s="3487"/>
      <c r="E228" s="3436"/>
      <c r="F228" s="3437"/>
      <c r="G228" s="3436"/>
      <c r="H228" s="3437"/>
      <c r="I228" s="3438"/>
      <c r="J228" s="775">
        <f t="shared" si="403"/>
        <v>0</v>
      </c>
      <c r="K228" s="3436"/>
      <c r="L228" s="3437">
        <v>2413.7600000000002</v>
      </c>
      <c r="M228" s="3439"/>
      <c r="N228" s="774">
        <f t="shared" si="404"/>
        <v>2413.7600000000002</v>
      </c>
      <c r="O228" s="3436"/>
      <c r="P228" s="3437">
        <v>1332.1200000000001</v>
      </c>
      <c r="Q228" s="3438"/>
      <c r="R228" s="775">
        <f t="shared" si="405"/>
        <v>3745.88</v>
      </c>
      <c r="S228" s="3436"/>
      <c r="T228" s="3437">
        <v>74.930000000000007</v>
      </c>
      <c r="U228" s="3438"/>
      <c r="V228" s="775">
        <f t="shared" si="406"/>
        <v>3820.81</v>
      </c>
      <c r="W228" s="3436"/>
      <c r="X228" s="3437"/>
      <c r="Y228" s="3439"/>
      <c r="Z228" s="774">
        <f t="shared" si="407"/>
        <v>1407.0500000000002</v>
      </c>
      <c r="AA228" s="5722"/>
      <c r="AB228" s="460">
        <f t="shared" si="408"/>
        <v>3820.8100000000004</v>
      </c>
      <c r="AC228" s="3436"/>
      <c r="AD228" s="3437">
        <v>33.880000000000003</v>
      </c>
      <c r="AE228" s="3438"/>
      <c r="AF228" s="775">
        <f t="shared" si="409"/>
        <v>3854.6900000000005</v>
      </c>
      <c r="AG228" s="3436"/>
      <c r="AH228" s="3437">
        <v>13.59</v>
      </c>
      <c r="AI228" s="3438"/>
      <c r="AJ228" s="584">
        <f t="shared" si="414"/>
        <v>3868.2800000000007</v>
      </c>
      <c r="AK228" s="3436"/>
      <c r="AL228" s="3437"/>
      <c r="AM228" s="3439"/>
      <c r="AN228" s="483">
        <f t="shared" si="416"/>
        <v>47.47</v>
      </c>
      <c r="AO228" s="3438"/>
      <c r="AP228" s="584">
        <f t="shared" si="415"/>
        <v>3868.2800000000007</v>
      </c>
      <c r="AQ228" s="3436"/>
      <c r="AR228" s="3437"/>
      <c r="AS228" s="3438"/>
      <c r="AT228" s="42">
        <f t="shared" si="396"/>
        <v>3868.2800000000007</v>
      </c>
      <c r="AU228" s="3436"/>
      <c r="AV228" s="3437"/>
      <c r="AW228" s="3438"/>
      <c r="AX228" s="42">
        <f t="shared" si="397"/>
        <v>3868.2800000000007</v>
      </c>
      <c r="AY228" s="3436"/>
      <c r="AZ228" s="3437"/>
      <c r="BA228" s="3439"/>
      <c r="BB228" s="613">
        <f t="shared" si="391"/>
        <v>0</v>
      </c>
      <c r="BC228" s="5722"/>
      <c r="BD228" s="460">
        <f t="shared" si="393"/>
        <v>47.47</v>
      </c>
      <c r="BE228" s="3438"/>
      <c r="BF228" s="42">
        <f t="shared" si="398"/>
        <v>3868.2800000000007</v>
      </c>
      <c r="BG228" s="26">
        <f t="shared" si="399"/>
        <v>0</v>
      </c>
      <c r="BH228" s="26">
        <f t="shared" si="400"/>
        <v>0</v>
      </c>
      <c r="BI228" s="26"/>
      <c r="BJ228" s="26">
        <f t="shared" si="401"/>
        <v>0</v>
      </c>
      <c r="BK228" s="26">
        <f t="shared" si="402"/>
        <v>0</v>
      </c>
    </row>
    <row r="229" spans="1:63" ht="15" thickBot="1" x14ac:dyDescent="0.35">
      <c r="A229" s="151"/>
      <c r="B229" s="4890" t="s">
        <v>2046</v>
      </c>
      <c r="C229" s="3487" t="s">
        <v>879</v>
      </c>
      <c r="D229" s="3487"/>
      <c r="E229" s="3436"/>
      <c r="F229" s="3437"/>
      <c r="G229" s="3436"/>
      <c r="H229" s="3437"/>
      <c r="I229" s="3438"/>
      <c r="J229" s="775">
        <f t="shared" si="403"/>
        <v>0</v>
      </c>
      <c r="K229" s="3436"/>
      <c r="L229" s="3437">
        <v>2699.1199999999994</v>
      </c>
      <c r="M229" s="3439"/>
      <c r="N229" s="774">
        <f t="shared" si="404"/>
        <v>2699.1199999999994</v>
      </c>
      <c r="O229" s="3436"/>
      <c r="P229" s="3437">
        <v>9269.260000000002</v>
      </c>
      <c r="Q229" s="3438"/>
      <c r="R229" s="775">
        <f t="shared" si="405"/>
        <v>11968.380000000001</v>
      </c>
      <c r="S229" s="3436"/>
      <c r="T229" s="3437"/>
      <c r="U229" s="3438"/>
      <c r="V229" s="775">
        <f t="shared" si="406"/>
        <v>11968.380000000001</v>
      </c>
      <c r="W229" s="3436"/>
      <c r="X229" s="3437"/>
      <c r="Y229" s="3439"/>
      <c r="Z229" s="774">
        <f t="shared" si="407"/>
        <v>9269.260000000002</v>
      </c>
      <c r="AA229" s="5722"/>
      <c r="AB229" s="460">
        <f t="shared" si="408"/>
        <v>11968.380000000001</v>
      </c>
      <c r="AC229" s="3436"/>
      <c r="AD229" s="3437"/>
      <c r="AE229" s="3438"/>
      <c r="AF229" s="775">
        <f t="shared" si="409"/>
        <v>11968.380000000001</v>
      </c>
      <c r="AG229" s="3436"/>
      <c r="AH229" s="3437">
        <v>17.89</v>
      </c>
      <c r="AI229" s="3438"/>
      <c r="AJ229" s="584">
        <f t="shared" si="414"/>
        <v>11986.27</v>
      </c>
      <c r="AK229" s="3436"/>
      <c r="AL229" s="3437">
        <v>17.981000000000002</v>
      </c>
      <c r="AM229" s="3439"/>
      <c r="AN229" s="483">
        <f t="shared" si="416"/>
        <v>35.871000000000002</v>
      </c>
      <c r="AO229" s="3438"/>
      <c r="AP229" s="584">
        <f t="shared" si="415"/>
        <v>12004.251</v>
      </c>
      <c r="AQ229" s="3436"/>
      <c r="AR229" s="3437"/>
      <c r="AS229" s="3438"/>
      <c r="AT229" s="42">
        <f t="shared" si="396"/>
        <v>12004.251</v>
      </c>
      <c r="AU229" s="3436"/>
      <c r="AV229" s="3437"/>
      <c r="AW229" s="3438"/>
      <c r="AX229" s="42">
        <f t="shared" si="397"/>
        <v>12004.251</v>
      </c>
      <c r="AY229" s="3436"/>
      <c r="AZ229" s="3437"/>
      <c r="BA229" s="3439"/>
      <c r="BB229" s="613">
        <f t="shared" si="391"/>
        <v>0</v>
      </c>
      <c r="BC229" s="5722"/>
      <c r="BD229" s="460">
        <f t="shared" si="393"/>
        <v>35.871000000000002</v>
      </c>
      <c r="BE229" s="3438"/>
      <c r="BF229" s="42">
        <f t="shared" si="398"/>
        <v>12004.251</v>
      </c>
      <c r="BG229" s="26">
        <f t="shared" si="399"/>
        <v>0</v>
      </c>
      <c r="BH229" s="26">
        <f t="shared" si="400"/>
        <v>0</v>
      </c>
      <c r="BI229" s="26"/>
      <c r="BJ229" s="26">
        <f t="shared" si="401"/>
        <v>0</v>
      </c>
      <c r="BK229" s="26">
        <f t="shared" si="402"/>
        <v>0</v>
      </c>
    </row>
    <row r="230" spans="1:63" ht="15" thickBot="1" x14ac:dyDescent="0.35">
      <c r="A230" s="151"/>
      <c r="B230" s="3447" t="s">
        <v>867</v>
      </c>
      <c r="C230" s="3442" t="s">
        <v>870</v>
      </c>
      <c r="D230" s="3442"/>
      <c r="E230" s="3427"/>
      <c r="F230" s="155">
        <v>56.5</v>
      </c>
      <c r="G230" s="3427"/>
      <c r="H230" s="155">
        <v>53.82</v>
      </c>
      <c r="I230" s="2788"/>
      <c r="J230" s="775">
        <f t="shared" si="403"/>
        <v>110.32</v>
      </c>
      <c r="K230" s="3427"/>
      <c r="L230" s="155">
        <v>2294.2400000000007</v>
      </c>
      <c r="M230" s="3428"/>
      <c r="N230" s="774">
        <f t="shared" si="404"/>
        <v>2404.5600000000009</v>
      </c>
      <c r="O230" s="3427"/>
      <c r="P230" s="155">
        <v>955.5</v>
      </c>
      <c r="Q230" s="2788"/>
      <c r="R230" s="775">
        <f t="shared" si="405"/>
        <v>3360.0600000000009</v>
      </c>
      <c r="S230" s="3427"/>
      <c r="T230" s="155"/>
      <c r="U230" s="2788"/>
      <c r="V230" s="775">
        <f t="shared" si="406"/>
        <v>3360.0600000000009</v>
      </c>
      <c r="W230" s="3427"/>
      <c r="X230" s="155"/>
      <c r="Y230" s="3428"/>
      <c r="Z230" s="774">
        <f t="shared" si="407"/>
        <v>955.5</v>
      </c>
      <c r="AA230" s="4621"/>
      <c r="AB230" s="460">
        <f t="shared" si="408"/>
        <v>3360.0600000000009</v>
      </c>
      <c r="AC230" s="3427"/>
      <c r="AD230" s="155"/>
      <c r="AE230" s="2788"/>
      <c r="AF230" s="775">
        <f t="shared" si="409"/>
        <v>3360.0600000000009</v>
      </c>
      <c r="AG230" s="3427"/>
      <c r="AH230" s="155"/>
      <c r="AI230" s="2788"/>
      <c r="AJ230" s="584">
        <f t="shared" si="414"/>
        <v>3360.0600000000009</v>
      </c>
      <c r="AK230" s="3427"/>
      <c r="AL230" s="155">
        <v>37.959000000000003</v>
      </c>
      <c r="AM230" s="3428"/>
      <c r="AN230" s="483">
        <f t="shared" si="416"/>
        <v>37.959000000000003</v>
      </c>
      <c r="AO230" s="2788"/>
      <c r="AP230" s="584">
        <f t="shared" si="415"/>
        <v>3398.0190000000007</v>
      </c>
      <c r="AQ230" s="3427"/>
      <c r="AR230" s="155"/>
      <c r="AS230" s="2788"/>
      <c r="AT230" s="42">
        <f t="shared" si="396"/>
        <v>3398.0190000000007</v>
      </c>
      <c r="AU230" s="3427"/>
      <c r="AV230" s="155"/>
      <c r="AW230" s="2788"/>
      <c r="AX230" s="42">
        <f t="shared" si="397"/>
        <v>3398.0190000000007</v>
      </c>
      <c r="AY230" s="3427"/>
      <c r="AZ230" s="155"/>
      <c r="BA230" s="3428"/>
      <c r="BB230" s="613">
        <f t="shared" si="391"/>
        <v>0</v>
      </c>
      <c r="BC230" s="4621"/>
      <c r="BD230" s="460">
        <f t="shared" si="393"/>
        <v>37.959000000000003</v>
      </c>
      <c r="BE230" s="2788"/>
      <c r="BF230" s="42">
        <f t="shared" si="398"/>
        <v>3398.0190000000007</v>
      </c>
      <c r="BG230" s="26">
        <f t="shared" si="399"/>
        <v>0</v>
      </c>
      <c r="BH230" s="26">
        <f t="shared" si="400"/>
        <v>0</v>
      </c>
      <c r="BI230" s="26"/>
      <c r="BJ230" s="26">
        <f t="shared" si="401"/>
        <v>0</v>
      </c>
      <c r="BK230" s="26">
        <f t="shared" si="402"/>
        <v>0</v>
      </c>
    </row>
    <row r="231" spans="1:63" ht="15" thickBot="1" x14ac:dyDescent="0.35">
      <c r="A231" s="151"/>
      <c r="B231" s="4890" t="s">
        <v>867</v>
      </c>
      <c r="C231" s="3487" t="s">
        <v>879</v>
      </c>
      <c r="D231" s="3487"/>
      <c r="E231" s="3436"/>
      <c r="F231" s="3437"/>
      <c r="G231" s="3436"/>
      <c r="H231" s="3437"/>
      <c r="I231" s="3438"/>
      <c r="J231" s="775">
        <f t="shared" si="403"/>
        <v>0</v>
      </c>
      <c r="K231" s="3436"/>
      <c r="L231" s="3437">
        <v>838.88000000000011</v>
      </c>
      <c r="M231" s="3439"/>
      <c r="N231" s="774">
        <f t="shared" si="404"/>
        <v>838.88000000000011</v>
      </c>
      <c r="O231" s="3436"/>
      <c r="P231" s="3437"/>
      <c r="Q231" s="3438"/>
      <c r="R231" s="775">
        <f t="shared" si="405"/>
        <v>838.88000000000011</v>
      </c>
      <c r="S231" s="3436"/>
      <c r="T231" s="3437"/>
      <c r="U231" s="3438"/>
      <c r="V231" s="775">
        <f t="shared" si="406"/>
        <v>838.88000000000011</v>
      </c>
      <c r="W231" s="3436"/>
      <c r="X231" s="3437"/>
      <c r="Y231" s="3439"/>
      <c r="Z231" s="774">
        <f t="shared" si="407"/>
        <v>0</v>
      </c>
      <c r="AA231" s="5722"/>
      <c r="AB231" s="460">
        <f t="shared" si="408"/>
        <v>838.88000000000011</v>
      </c>
      <c r="AC231" s="3436"/>
      <c r="AD231" s="3437"/>
      <c r="AE231" s="3438"/>
      <c r="AF231" s="775">
        <f t="shared" si="409"/>
        <v>838.88000000000011</v>
      </c>
      <c r="AG231" s="3436"/>
      <c r="AH231" s="3437"/>
      <c r="AI231" s="3438"/>
      <c r="AJ231" s="584">
        <f t="shared" si="414"/>
        <v>838.88000000000011</v>
      </c>
      <c r="AK231" s="3436"/>
      <c r="AL231" s="3437"/>
      <c r="AM231" s="3439"/>
      <c r="AN231" s="483">
        <f t="shared" si="416"/>
        <v>0</v>
      </c>
      <c r="AO231" s="3438"/>
      <c r="AP231" s="584">
        <f t="shared" si="415"/>
        <v>838.88000000000011</v>
      </c>
      <c r="AQ231" s="3436"/>
      <c r="AR231" s="3437"/>
      <c r="AS231" s="3438"/>
      <c r="AT231" s="42">
        <f t="shared" si="396"/>
        <v>838.88000000000011</v>
      </c>
      <c r="AU231" s="3436"/>
      <c r="AV231" s="3437"/>
      <c r="AW231" s="3438"/>
      <c r="AX231" s="42">
        <f t="shared" si="397"/>
        <v>838.88000000000011</v>
      </c>
      <c r="AY231" s="3436"/>
      <c r="AZ231" s="3437"/>
      <c r="BA231" s="3439"/>
      <c r="BB231" s="613">
        <f t="shared" si="391"/>
        <v>0</v>
      </c>
      <c r="BC231" s="5722"/>
      <c r="BD231" s="460">
        <f t="shared" si="393"/>
        <v>0</v>
      </c>
      <c r="BE231" s="3438"/>
      <c r="BF231" s="42">
        <f t="shared" si="398"/>
        <v>838.88000000000011</v>
      </c>
      <c r="BG231" s="26">
        <f t="shared" si="399"/>
        <v>0</v>
      </c>
      <c r="BH231" s="26">
        <f t="shared" si="400"/>
        <v>0</v>
      </c>
      <c r="BI231" s="26"/>
      <c r="BJ231" s="26">
        <f t="shared" si="401"/>
        <v>0</v>
      </c>
      <c r="BK231" s="26">
        <f t="shared" si="402"/>
        <v>0</v>
      </c>
    </row>
    <row r="232" spans="1:63" ht="15" thickBot="1" x14ac:dyDescent="0.35">
      <c r="A232" s="92"/>
      <c r="B232" s="3451" t="s">
        <v>867</v>
      </c>
      <c r="C232" s="3446" t="s">
        <v>858</v>
      </c>
      <c r="D232" s="3446"/>
      <c r="E232" s="3425"/>
      <c r="F232" s="107"/>
      <c r="G232" s="3425"/>
      <c r="H232" s="107"/>
      <c r="I232" s="2791"/>
      <c r="J232" s="775">
        <f t="shared" si="403"/>
        <v>0</v>
      </c>
      <c r="K232" s="3425"/>
      <c r="L232" s="107"/>
      <c r="M232" s="3426"/>
      <c r="N232" s="774">
        <f t="shared" si="404"/>
        <v>0</v>
      </c>
      <c r="O232" s="3425"/>
      <c r="P232" s="107"/>
      <c r="Q232" s="2791"/>
      <c r="R232" s="775">
        <f t="shared" si="405"/>
        <v>0</v>
      </c>
      <c r="S232" s="3425"/>
      <c r="T232" s="107"/>
      <c r="U232" s="2791"/>
      <c r="V232" s="775">
        <f t="shared" si="406"/>
        <v>0</v>
      </c>
      <c r="W232" s="3425"/>
      <c r="X232" s="107"/>
      <c r="Y232" s="3426"/>
      <c r="Z232" s="774">
        <f t="shared" si="407"/>
        <v>0</v>
      </c>
      <c r="AA232" s="5720"/>
      <c r="AB232" s="460">
        <f t="shared" si="408"/>
        <v>0</v>
      </c>
      <c r="AC232" s="3425"/>
      <c r="AD232" s="107"/>
      <c r="AE232" s="2791"/>
      <c r="AF232" s="775">
        <f t="shared" si="409"/>
        <v>0</v>
      </c>
      <c r="AG232" s="3425"/>
      <c r="AH232" s="107"/>
      <c r="AI232" s="2791"/>
      <c r="AJ232" s="584">
        <f t="shared" si="414"/>
        <v>0</v>
      </c>
      <c r="AK232" s="3425"/>
      <c r="AL232" s="107"/>
      <c r="AM232" s="3426"/>
      <c r="AN232" s="483">
        <f t="shared" si="416"/>
        <v>0</v>
      </c>
      <c r="AO232" s="2791"/>
      <c r="AP232" s="584">
        <f t="shared" si="415"/>
        <v>0</v>
      </c>
      <c r="AQ232" s="3425"/>
      <c r="AR232" s="107"/>
      <c r="AS232" s="2791"/>
      <c r="AT232" s="42">
        <f t="shared" si="396"/>
        <v>0</v>
      </c>
      <c r="AU232" s="3425"/>
      <c r="AV232" s="107"/>
      <c r="AW232" s="2791"/>
      <c r="AX232" s="42">
        <f t="shared" si="397"/>
        <v>0</v>
      </c>
      <c r="AY232" s="3425"/>
      <c r="AZ232" s="107"/>
      <c r="BA232" s="3426"/>
      <c r="BB232" s="613">
        <f t="shared" si="391"/>
        <v>0</v>
      </c>
      <c r="BC232" s="5720"/>
      <c r="BD232" s="460">
        <f t="shared" si="393"/>
        <v>0</v>
      </c>
      <c r="BE232" s="2791"/>
      <c r="BF232" s="42">
        <f t="shared" si="398"/>
        <v>0</v>
      </c>
      <c r="BG232" s="26">
        <f t="shared" si="399"/>
        <v>0</v>
      </c>
      <c r="BH232" s="26">
        <f t="shared" si="400"/>
        <v>0</v>
      </c>
      <c r="BI232" s="26"/>
      <c r="BJ232" s="26">
        <f t="shared" si="401"/>
        <v>0</v>
      </c>
      <c r="BK232" s="26">
        <f t="shared" si="402"/>
        <v>0</v>
      </c>
    </row>
    <row r="233" spans="1:63" ht="15" thickBot="1" x14ac:dyDescent="0.35">
      <c r="A233" s="92"/>
      <c r="B233" s="3457" t="s">
        <v>77</v>
      </c>
      <c r="C233" s="3449" t="s">
        <v>1778</v>
      </c>
      <c r="D233" s="3449"/>
      <c r="E233" s="3431"/>
      <c r="F233" s="1186">
        <f>F11</f>
        <v>0</v>
      </c>
      <c r="G233" s="3431"/>
      <c r="H233" s="1186">
        <f>H11</f>
        <v>0</v>
      </c>
      <c r="I233" s="3432"/>
      <c r="J233" s="775">
        <f t="shared" si="403"/>
        <v>0</v>
      </c>
      <c r="K233" s="3431"/>
      <c r="L233" s="1186">
        <f>L11</f>
        <v>0</v>
      </c>
      <c r="M233" s="3433"/>
      <c r="N233" s="774">
        <f t="shared" si="404"/>
        <v>0</v>
      </c>
      <c r="O233" s="3431"/>
      <c r="P233" s="1186">
        <f>P11</f>
        <v>64.099999999999994</v>
      </c>
      <c r="Q233" s="3432"/>
      <c r="R233" s="775">
        <f t="shared" si="405"/>
        <v>64.099999999999994</v>
      </c>
      <c r="S233" s="3431"/>
      <c r="T233" s="1186">
        <f>T11</f>
        <v>1485.1599999999999</v>
      </c>
      <c r="U233" s="3432"/>
      <c r="V233" s="775">
        <f t="shared" si="406"/>
        <v>1549.2599999999998</v>
      </c>
      <c r="W233" s="3431"/>
      <c r="X233" s="1186">
        <f>X11</f>
        <v>693.72</v>
      </c>
      <c r="Y233" s="3433"/>
      <c r="Z233" s="774">
        <f t="shared" si="407"/>
        <v>2242.9799999999996</v>
      </c>
      <c r="AA233" s="5721"/>
      <c r="AB233" s="460">
        <f t="shared" si="408"/>
        <v>2242.9799999999996</v>
      </c>
      <c r="AC233" s="3431"/>
      <c r="AD233" s="1186">
        <f>AD11</f>
        <v>747.82</v>
      </c>
      <c r="AE233" s="3432"/>
      <c r="AF233" s="775">
        <f t="shared" si="409"/>
        <v>2990.7999999999997</v>
      </c>
      <c r="AG233" s="3431"/>
      <c r="AH233" s="1186">
        <f>AH11</f>
        <v>0</v>
      </c>
      <c r="AI233" s="3432"/>
      <c r="AJ233" s="567">
        <f t="shared" si="414"/>
        <v>2990.7999999999997</v>
      </c>
      <c r="AK233" s="3431"/>
      <c r="AL233" s="1186">
        <f>AL11</f>
        <v>244.1</v>
      </c>
      <c r="AM233" s="3433"/>
      <c r="AN233" s="482">
        <f t="shared" si="416"/>
        <v>991.92000000000007</v>
      </c>
      <c r="AO233" s="3432"/>
      <c r="AP233" s="584">
        <f t="shared" si="415"/>
        <v>3234.8999999999996</v>
      </c>
      <c r="AQ233" s="3431"/>
      <c r="AR233" s="1186">
        <f>AR11</f>
        <v>0</v>
      </c>
      <c r="AS233" s="3432"/>
      <c r="AT233" s="42">
        <f t="shared" si="396"/>
        <v>3234.8999999999996</v>
      </c>
      <c r="AU233" s="3431"/>
      <c r="AV233" s="1186">
        <v>0</v>
      </c>
      <c r="AW233" s="3432"/>
      <c r="AX233" s="42">
        <f t="shared" si="397"/>
        <v>3234.8999999999996</v>
      </c>
      <c r="AY233" s="3431"/>
      <c r="AZ233" s="1186"/>
      <c r="BA233" s="3433"/>
      <c r="BB233" s="613">
        <f t="shared" si="391"/>
        <v>0</v>
      </c>
      <c r="BC233" s="5721"/>
      <c r="BD233" s="460">
        <f t="shared" si="393"/>
        <v>991.92000000000007</v>
      </c>
      <c r="BE233" s="3432"/>
      <c r="BF233" s="42">
        <f t="shared" si="398"/>
        <v>3234.8999999999996</v>
      </c>
      <c r="BG233" s="26">
        <f t="shared" si="399"/>
        <v>0</v>
      </c>
      <c r="BH233" s="26">
        <f t="shared" si="400"/>
        <v>0</v>
      </c>
      <c r="BI233" s="26"/>
      <c r="BJ233" s="26">
        <f t="shared" si="401"/>
        <v>0</v>
      </c>
      <c r="BK233" s="26">
        <f t="shared" si="402"/>
        <v>0</v>
      </c>
    </row>
    <row r="234" spans="1:63" ht="15" thickBot="1" x14ac:dyDescent="0.35">
      <c r="A234" s="92"/>
      <c r="B234" s="3457" t="s">
        <v>77</v>
      </c>
      <c r="C234" s="3449" t="s">
        <v>2316</v>
      </c>
      <c r="D234" s="3449"/>
      <c r="E234" s="3431"/>
      <c r="F234" s="1186"/>
      <c r="G234" s="3431"/>
      <c r="H234" s="1186"/>
      <c r="I234" s="3432"/>
      <c r="J234" s="5120"/>
      <c r="K234" s="3431"/>
      <c r="L234" s="1186"/>
      <c r="M234" s="3433"/>
      <c r="N234" s="5121"/>
      <c r="O234" s="3431"/>
      <c r="P234" s="1186"/>
      <c r="Q234" s="3432"/>
      <c r="R234" s="5120"/>
      <c r="S234" s="3431"/>
      <c r="T234" s="1186"/>
      <c r="U234" s="3432"/>
      <c r="V234" s="5120"/>
      <c r="W234" s="3431"/>
      <c r="X234" s="1186"/>
      <c r="Y234" s="3433"/>
      <c r="Z234" s="5121"/>
      <c r="AA234" s="5721"/>
      <c r="AB234" s="5406"/>
      <c r="AC234" s="3431"/>
      <c r="AD234" s="1186"/>
      <c r="AE234" s="3432"/>
      <c r="AF234" s="5120"/>
      <c r="AG234" s="3431"/>
      <c r="AH234" s="1186"/>
      <c r="AI234" s="3432"/>
      <c r="AJ234" s="567"/>
      <c r="AK234" s="3431"/>
      <c r="AL234" s="1186"/>
      <c r="AM234" s="3433"/>
      <c r="AN234" s="482"/>
      <c r="AO234" s="3432"/>
      <c r="AP234" s="4425"/>
      <c r="AQ234" s="3431"/>
      <c r="AR234" s="1186"/>
      <c r="AS234" s="3432"/>
      <c r="AT234" s="42"/>
      <c r="AU234" s="3431"/>
      <c r="AV234" s="1186">
        <v>311.56</v>
      </c>
      <c r="AW234" s="3432"/>
      <c r="AX234" s="42">
        <f t="shared" si="397"/>
        <v>311.56</v>
      </c>
      <c r="AY234" s="3431"/>
      <c r="AZ234" s="1186"/>
      <c r="BA234" s="3433"/>
      <c r="BB234" s="613">
        <f t="shared" si="391"/>
        <v>311.56</v>
      </c>
      <c r="BC234" s="5721"/>
      <c r="BD234" s="460">
        <f t="shared" si="393"/>
        <v>311.56</v>
      </c>
      <c r="BE234" s="3432"/>
      <c r="BF234" s="42">
        <f t="shared" si="398"/>
        <v>311.56</v>
      </c>
      <c r="BG234" s="26">
        <f t="shared" si="399"/>
        <v>0</v>
      </c>
      <c r="BH234" s="26">
        <f t="shared" si="400"/>
        <v>0</v>
      </c>
      <c r="BI234" s="26"/>
      <c r="BJ234" s="26">
        <f t="shared" si="401"/>
        <v>0</v>
      </c>
      <c r="BK234" s="26">
        <f t="shared" si="402"/>
        <v>0</v>
      </c>
    </row>
    <row r="235" spans="1:63" x14ac:dyDescent="0.3">
      <c r="A235" s="92"/>
      <c r="B235" s="3458" t="s">
        <v>553</v>
      </c>
      <c r="C235" s="202"/>
      <c r="D235" s="202"/>
      <c r="E235" s="846"/>
      <c r="F235" s="1118">
        <f>F12</f>
        <v>0</v>
      </c>
      <c r="G235" s="846"/>
      <c r="H235" s="1118">
        <f>H12</f>
        <v>0</v>
      </c>
      <c r="I235" s="844"/>
      <c r="J235" s="775">
        <f t="shared" si="403"/>
        <v>0</v>
      </c>
      <c r="K235" s="846"/>
      <c r="L235" s="1118">
        <f>L12</f>
        <v>0</v>
      </c>
      <c r="M235" s="894"/>
      <c r="N235" s="774">
        <f t="shared" si="404"/>
        <v>0</v>
      </c>
      <c r="O235" s="846"/>
      <c r="P235" s="1118">
        <f>P12</f>
        <v>0</v>
      </c>
      <c r="Q235" s="844"/>
      <c r="R235" s="775">
        <f t="shared" si="405"/>
        <v>0</v>
      </c>
      <c r="S235" s="846"/>
      <c r="T235" s="1118">
        <f>T12</f>
        <v>0</v>
      </c>
      <c r="U235" s="844"/>
      <c r="V235" s="775">
        <f t="shared" si="406"/>
        <v>0</v>
      </c>
      <c r="W235" s="846"/>
      <c r="X235" s="1118">
        <f>X12</f>
        <v>0</v>
      </c>
      <c r="Y235" s="894"/>
      <c r="Z235" s="774">
        <f t="shared" si="407"/>
        <v>0</v>
      </c>
      <c r="AA235" s="3965"/>
      <c r="AB235" s="460">
        <f t="shared" si="408"/>
        <v>0</v>
      </c>
      <c r="AC235" s="846"/>
      <c r="AD235" s="1118">
        <f>AD12</f>
        <v>0</v>
      </c>
      <c r="AE235" s="844"/>
      <c r="AF235" s="775">
        <f t="shared" si="409"/>
        <v>0</v>
      </c>
      <c r="AG235" s="846"/>
      <c r="AH235" s="1118">
        <f>AH12</f>
        <v>0</v>
      </c>
      <c r="AI235" s="844"/>
      <c r="AJ235" s="775">
        <f t="shared" si="414"/>
        <v>0</v>
      </c>
      <c r="AK235" s="846"/>
      <c r="AL235" s="1118">
        <f>AL12</f>
        <v>0</v>
      </c>
      <c r="AM235" s="894"/>
      <c r="AN235" s="774">
        <f t="shared" si="416"/>
        <v>0</v>
      </c>
      <c r="AO235" s="844"/>
      <c r="AP235" s="775">
        <f t="shared" si="415"/>
        <v>0</v>
      </c>
      <c r="AQ235" s="846"/>
      <c r="AR235" s="1118">
        <f>AR12</f>
        <v>0</v>
      </c>
      <c r="AS235" s="844"/>
      <c r="AT235" s="42">
        <f t="shared" si="396"/>
        <v>0</v>
      </c>
      <c r="AU235" s="846"/>
      <c r="AV235" s="1118">
        <f>AV12</f>
        <v>0</v>
      </c>
      <c r="AW235" s="844"/>
      <c r="AX235" s="42">
        <f t="shared" si="397"/>
        <v>0</v>
      </c>
      <c r="AY235" s="846"/>
      <c r="AZ235" s="1118">
        <f>AZ12</f>
        <v>0</v>
      </c>
      <c r="BA235" s="894"/>
      <c r="BB235" s="613">
        <f t="shared" si="391"/>
        <v>0</v>
      </c>
      <c r="BC235" s="3965"/>
      <c r="BD235" s="460">
        <f t="shared" si="393"/>
        <v>0</v>
      </c>
      <c r="BE235" s="844"/>
      <c r="BF235" s="42">
        <f t="shared" si="398"/>
        <v>0</v>
      </c>
      <c r="BG235" s="26">
        <f t="shared" si="399"/>
        <v>0</v>
      </c>
      <c r="BH235" s="26">
        <f t="shared" si="400"/>
        <v>0</v>
      </c>
      <c r="BI235" s="26"/>
      <c r="BJ235" s="26">
        <f t="shared" si="401"/>
        <v>0</v>
      </c>
      <c r="BK235" s="26">
        <f t="shared" si="402"/>
        <v>0</v>
      </c>
    </row>
    <row r="236" spans="1:63" x14ac:dyDescent="0.3">
      <c r="A236" s="92"/>
      <c r="B236" s="3459" t="s">
        <v>33</v>
      </c>
      <c r="C236" s="202"/>
      <c r="D236" s="452">
        <f>+D13</f>
        <v>500000</v>
      </c>
      <c r="E236" s="452">
        <f>+E13</f>
        <v>42500</v>
      </c>
      <c r="F236" s="452">
        <f>SUM(F100:F235)</f>
        <v>33332.799999999996</v>
      </c>
      <c r="G236" s="452">
        <f>+G13</f>
        <v>44000</v>
      </c>
      <c r="H236" s="452">
        <f>SUM(H100:H235)</f>
        <v>39367.020000000004</v>
      </c>
      <c r="I236" s="371">
        <f>E236+G236</f>
        <v>86500</v>
      </c>
      <c r="J236" s="775">
        <f t="shared" si="403"/>
        <v>72699.820000000007</v>
      </c>
      <c r="K236" s="452">
        <f>+K13</f>
        <v>42500</v>
      </c>
      <c r="L236" s="452">
        <f>SUM(L100:L235)</f>
        <v>37508.06</v>
      </c>
      <c r="M236" s="373">
        <f>E236+G236+K236</f>
        <v>129000</v>
      </c>
      <c r="N236" s="774">
        <f t="shared" si="404"/>
        <v>110207.88</v>
      </c>
      <c r="O236" s="452">
        <f>+O13</f>
        <v>44000</v>
      </c>
      <c r="P236" s="452">
        <f>SUM(P100:P235)</f>
        <v>44197.29</v>
      </c>
      <c r="Q236" s="371">
        <f>M236+O236</f>
        <v>173000</v>
      </c>
      <c r="R236" s="775">
        <f t="shared" si="405"/>
        <v>154405.17000000001</v>
      </c>
      <c r="S236" s="452">
        <f>+S13</f>
        <v>44000</v>
      </c>
      <c r="T236" s="452">
        <f>SUM(T100:T235)</f>
        <v>42211.700000000012</v>
      </c>
      <c r="U236" s="371">
        <f>Q236+S236</f>
        <v>217000</v>
      </c>
      <c r="V236" s="775">
        <f t="shared" si="406"/>
        <v>196616.87000000002</v>
      </c>
      <c r="W236" s="452">
        <f>+W13</f>
        <v>25000</v>
      </c>
      <c r="X236" s="452">
        <f>SUM(X100:X235)</f>
        <v>37026.69</v>
      </c>
      <c r="Y236" s="373">
        <f t="shared" ref="Y236" si="417">O236+S236+W236</f>
        <v>113000</v>
      </c>
      <c r="Z236" s="774">
        <f t="shared" si="407"/>
        <v>123435.68000000002</v>
      </c>
      <c r="AA236" s="539">
        <f>M236+Y236</f>
        <v>242000</v>
      </c>
      <c r="AB236" s="460">
        <f t="shared" si="408"/>
        <v>233643.56000000003</v>
      </c>
      <c r="AC236" s="452">
        <f>+AC13</f>
        <v>42500</v>
      </c>
      <c r="AD236" s="452">
        <f>SUM(AD100:AD235)</f>
        <v>31780.120000000003</v>
      </c>
      <c r="AE236" s="371">
        <f>AA236+AC236</f>
        <v>284500</v>
      </c>
      <c r="AF236" s="775">
        <f t="shared" si="409"/>
        <v>265423.68000000005</v>
      </c>
      <c r="AG236" s="452">
        <f>+AG13</f>
        <v>42500</v>
      </c>
      <c r="AH236" s="452">
        <f>SUM(AH100:AH235)</f>
        <v>38334.73599999999</v>
      </c>
      <c r="AI236" s="371">
        <f>AE236+AG236</f>
        <v>327000</v>
      </c>
      <c r="AJ236" s="371">
        <f t="shared" si="414"/>
        <v>303758.41600000003</v>
      </c>
      <c r="AK236" s="452">
        <f>+AK13</f>
        <v>44000</v>
      </c>
      <c r="AL236" s="452">
        <f>SUM(AL100:AL235)</f>
        <v>41431.910000000003</v>
      </c>
      <c r="AM236" s="373">
        <f t="shared" ref="AM236" si="418">AC236+AG236+AK236</f>
        <v>129000</v>
      </c>
      <c r="AN236" s="373">
        <f t="shared" si="416"/>
        <v>111546.766</v>
      </c>
      <c r="AO236" s="371">
        <f t="shared" ref="AO236" si="419">AI236+AK236</f>
        <v>371000</v>
      </c>
      <c r="AP236" s="371">
        <f t="shared" si="415"/>
        <v>345190.326</v>
      </c>
      <c r="AQ236" s="452">
        <f>+AQ13</f>
        <v>44500</v>
      </c>
      <c r="AR236" s="452">
        <f>SUM(AR100:AR235)</f>
        <v>39752.561000000002</v>
      </c>
      <c r="AS236" s="371">
        <f>AO236+AQ236</f>
        <v>415500</v>
      </c>
      <c r="AT236" s="371">
        <f t="shared" ref="AT236" si="420">AP236+AR236</f>
        <v>384942.88699999999</v>
      </c>
      <c r="AU236" s="452">
        <f>+AU13</f>
        <v>40000</v>
      </c>
      <c r="AV236" s="452">
        <f>SUM(AV100:AV235)</f>
        <v>42183.4</v>
      </c>
      <c r="AW236" s="371">
        <f>AS236+AU236</f>
        <v>455500</v>
      </c>
      <c r="AX236" s="371">
        <f t="shared" ref="AX236" si="421">AT236+AV236</f>
        <v>427126.28700000001</v>
      </c>
      <c r="AY236" s="452">
        <f>+AY13</f>
        <v>44500</v>
      </c>
      <c r="AZ236" s="452">
        <f>SUM(AZ100:AZ235)</f>
        <v>48073.320000000007</v>
      </c>
      <c r="BA236" s="373">
        <f t="shared" ref="BA236" si="422">AQ236+AU236+AY236</f>
        <v>129000</v>
      </c>
      <c r="BB236" s="373">
        <f t="shared" ref="BB236" si="423">AR236+AV236+AZ236</f>
        <v>130009.28100000002</v>
      </c>
      <c r="BC236" s="539">
        <f>AM236+BA236</f>
        <v>258000</v>
      </c>
      <c r="BD236" s="539">
        <f>AN236+BB236</f>
        <v>241556.04700000002</v>
      </c>
      <c r="BE236" s="371">
        <f>AW236+AY236</f>
        <v>500000</v>
      </c>
      <c r="BF236" s="371">
        <f t="shared" ref="BF236" si="424">AX236+AZ236</f>
        <v>475199.60700000002</v>
      </c>
      <c r="BG236" s="26">
        <f t="shared" si="399"/>
        <v>0</v>
      </c>
      <c r="BH236" s="26">
        <f t="shared" si="400"/>
        <v>0</v>
      </c>
      <c r="BI236" s="26"/>
      <c r="BJ236" s="26">
        <f t="shared" si="401"/>
        <v>0</v>
      </c>
      <c r="BK236" s="26">
        <f t="shared" si="402"/>
        <v>0</v>
      </c>
    </row>
    <row r="237" spans="1:63" x14ac:dyDescent="0.3">
      <c r="A237" s="151"/>
      <c r="B237" s="3460" t="s">
        <v>632</v>
      </c>
      <c r="C237" s="3782"/>
      <c r="D237" s="1654"/>
      <c r="E237" s="1654"/>
      <c r="F237" s="1654"/>
      <c r="G237" s="1654"/>
      <c r="H237" s="1654"/>
      <c r="I237" s="5693"/>
      <c r="J237" s="775">
        <f t="shared" si="403"/>
        <v>0</v>
      </c>
      <c r="K237" s="1654"/>
      <c r="L237" s="1654"/>
      <c r="M237" s="5705"/>
      <c r="N237" s="774">
        <f t="shared" si="404"/>
        <v>0</v>
      </c>
      <c r="O237" s="1654"/>
      <c r="P237" s="1654"/>
      <c r="Q237" s="5698"/>
      <c r="R237" s="775">
        <f t="shared" si="405"/>
        <v>0</v>
      </c>
      <c r="S237" s="1654"/>
      <c r="T237" s="1654"/>
      <c r="U237" s="5698"/>
      <c r="V237" s="775">
        <f t="shared" si="406"/>
        <v>0</v>
      </c>
      <c r="W237" s="1654"/>
      <c r="X237" s="1654"/>
      <c r="Y237" s="5705"/>
      <c r="Z237" s="774">
        <f t="shared" si="407"/>
        <v>0</v>
      </c>
      <c r="AA237" s="5728"/>
      <c r="AB237" s="460">
        <f t="shared" si="408"/>
        <v>0</v>
      </c>
      <c r="AC237" s="1654"/>
      <c r="AD237" s="1654"/>
      <c r="AE237" s="5698"/>
      <c r="AF237" s="775">
        <f t="shared" si="409"/>
        <v>0</v>
      </c>
      <c r="AG237" s="1654"/>
      <c r="AH237" s="1654"/>
      <c r="AI237" s="5698"/>
      <c r="AJ237" s="5698"/>
      <c r="AK237" s="1654"/>
      <c r="AL237" s="1654"/>
      <c r="AM237" s="5705"/>
      <c r="AN237" s="5705"/>
      <c r="AO237" s="5698"/>
      <c r="AP237" s="5698"/>
      <c r="AQ237" s="1654"/>
      <c r="AR237" s="1654"/>
      <c r="AS237" s="5698"/>
      <c r="AT237" s="5698"/>
      <c r="AU237" s="1654"/>
      <c r="AV237" s="1654"/>
      <c r="AW237" s="5698"/>
      <c r="AX237" s="5698"/>
      <c r="AY237" s="1654"/>
      <c r="AZ237" s="1654"/>
      <c r="BA237" s="5705"/>
      <c r="BB237" s="5705"/>
      <c r="BC237" s="5728"/>
      <c r="BD237" s="5728"/>
      <c r="BE237" s="5698"/>
      <c r="BF237" s="5698"/>
      <c r="BG237" s="26">
        <f t="shared" si="399"/>
        <v>0</v>
      </c>
      <c r="BH237" s="26">
        <f t="shared" si="400"/>
        <v>0</v>
      </c>
      <c r="BI237" s="26"/>
      <c r="BJ237" s="26">
        <f t="shared" si="401"/>
        <v>0</v>
      </c>
      <c r="BK237" s="26">
        <f t="shared" si="402"/>
        <v>0</v>
      </c>
    </row>
    <row r="238" spans="1:63" x14ac:dyDescent="0.3">
      <c r="A238" s="92"/>
      <c r="B238" s="3461" t="s">
        <v>1834</v>
      </c>
      <c r="C238" s="202"/>
      <c r="D238" s="202"/>
      <c r="E238" s="3462"/>
      <c r="F238" s="1118"/>
      <c r="G238" s="3462"/>
      <c r="H238" s="1118"/>
      <c r="I238" s="3463"/>
      <c r="J238" s="775">
        <f t="shared" si="403"/>
        <v>0</v>
      </c>
      <c r="K238" s="3462"/>
      <c r="L238" s="1118"/>
      <c r="M238" s="3464"/>
      <c r="N238" s="774">
        <f t="shared" si="404"/>
        <v>0</v>
      </c>
      <c r="O238" s="3462"/>
      <c r="P238" s="1118"/>
      <c r="Q238" s="3463"/>
      <c r="R238" s="775">
        <f t="shared" si="405"/>
        <v>0</v>
      </c>
      <c r="S238" s="3462"/>
      <c r="T238" s="1118"/>
      <c r="U238" s="3463"/>
      <c r="V238" s="775">
        <f t="shared" si="406"/>
        <v>0</v>
      </c>
      <c r="W238" s="3462"/>
      <c r="X238" s="1118"/>
      <c r="Y238" s="3464"/>
      <c r="Z238" s="774">
        <f t="shared" si="407"/>
        <v>0</v>
      </c>
      <c r="AA238" s="5729"/>
      <c r="AB238" s="460">
        <f t="shared" si="408"/>
        <v>0</v>
      </c>
      <c r="AC238" s="3462"/>
      <c r="AD238" s="1118"/>
      <c r="AE238" s="3463"/>
      <c r="AF238" s="775">
        <f t="shared" si="409"/>
        <v>0</v>
      </c>
      <c r="AG238" s="3462"/>
      <c r="AH238" s="1118"/>
      <c r="AI238" s="3463"/>
      <c r="AJ238" s="775"/>
      <c r="AK238" s="3462"/>
      <c r="AL238" s="1118"/>
      <c r="AM238" s="3464"/>
      <c r="AN238" s="774"/>
      <c r="AO238" s="3463"/>
      <c r="AP238" s="775"/>
      <c r="AQ238" s="3462"/>
      <c r="AR238" s="1118"/>
      <c r="AS238" s="3463"/>
      <c r="AT238" s="775"/>
      <c r="AU238" s="3462"/>
      <c r="AV238" s="1118"/>
      <c r="AW238" s="3463"/>
      <c r="AX238" s="775"/>
      <c r="AY238" s="3462"/>
      <c r="AZ238" s="1118"/>
      <c r="BA238" s="3464"/>
      <c r="BB238" s="774"/>
      <c r="BC238" s="5729"/>
      <c r="BD238" s="460"/>
      <c r="BE238" s="3463"/>
      <c r="BF238" s="775"/>
      <c r="BG238" s="26">
        <f t="shared" si="399"/>
        <v>0</v>
      </c>
      <c r="BH238" s="26">
        <f t="shared" si="400"/>
        <v>0</v>
      </c>
      <c r="BI238" s="26"/>
      <c r="BJ238" s="26">
        <f t="shared" si="401"/>
        <v>0</v>
      </c>
      <c r="BK238" s="26">
        <f t="shared" si="402"/>
        <v>0</v>
      </c>
    </row>
    <row r="239" spans="1:63" x14ac:dyDescent="0.3">
      <c r="A239" s="92"/>
      <c r="B239" s="3465" t="s">
        <v>695</v>
      </c>
      <c r="C239" s="202" t="s">
        <v>50</v>
      </c>
      <c r="D239" s="156"/>
      <c r="E239" s="3462"/>
      <c r="F239" s="1118"/>
      <c r="G239" s="3462"/>
      <c r="H239" s="1118"/>
      <c r="I239" s="3463"/>
      <c r="J239" s="775">
        <f t="shared" si="403"/>
        <v>0</v>
      </c>
      <c r="K239" s="3462"/>
      <c r="L239" s="1118"/>
      <c r="M239" s="3464"/>
      <c r="N239" s="774">
        <f t="shared" si="404"/>
        <v>0</v>
      </c>
      <c r="O239" s="3462"/>
      <c r="P239" s="1118"/>
      <c r="Q239" s="3463"/>
      <c r="R239" s="775">
        <f t="shared" si="405"/>
        <v>0</v>
      </c>
      <c r="S239" s="3462"/>
      <c r="T239" s="1118"/>
      <c r="U239" s="3463"/>
      <c r="V239" s="775">
        <f t="shared" si="406"/>
        <v>0</v>
      </c>
      <c r="W239" s="3462"/>
      <c r="X239" s="1118"/>
      <c r="Y239" s="3464"/>
      <c r="Z239" s="774">
        <f t="shared" si="407"/>
        <v>0</v>
      </c>
      <c r="AA239" s="5729"/>
      <c r="AB239" s="460">
        <f t="shared" si="408"/>
        <v>0</v>
      </c>
      <c r="AC239" s="3462"/>
      <c r="AD239" s="1118"/>
      <c r="AE239" s="3463"/>
      <c r="AF239" s="775">
        <f t="shared" si="409"/>
        <v>0</v>
      </c>
      <c r="AG239" s="3462"/>
      <c r="AH239" s="1118"/>
      <c r="AI239" s="3463"/>
      <c r="AJ239" s="775">
        <f t="shared" ref="AJ239:AJ254" si="425">AF239+AH239</f>
        <v>0</v>
      </c>
      <c r="AK239" s="3462"/>
      <c r="AL239" s="1118"/>
      <c r="AM239" s="3464"/>
      <c r="AN239" s="774">
        <f t="shared" ref="AN239:AN255" si="426">AD239+AH239+AL239</f>
        <v>0</v>
      </c>
      <c r="AO239" s="3463"/>
      <c r="AP239" s="775">
        <f t="shared" ref="AP239:AP255" si="427">AJ239+AL239</f>
        <v>0</v>
      </c>
      <c r="AQ239" s="3462"/>
      <c r="AR239" s="1118"/>
      <c r="AS239" s="3463"/>
      <c r="AT239" s="775">
        <f t="shared" ref="AT239:AT254" si="428">AP239+AR239</f>
        <v>0</v>
      </c>
      <c r="AU239" s="3462"/>
      <c r="AV239" s="1118"/>
      <c r="AW239" s="3463"/>
      <c r="AX239" s="775">
        <f t="shared" ref="AX239:AX256" si="429">AT239+AV239</f>
        <v>0</v>
      </c>
      <c r="AY239" s="3462"/>
      <c r="AZ239" s="1118">
        <v>120.98</v>
      </c>
      <c r="BA239" s="3464"/>
      <c r="BB239" s="774">
        <f t="shared" ref="BB239" si="430">AR239+AV239+AZ239</f>
        <v>120.98</v>
      </c>
      <c r="BC239" s="5729"/>
      <c r="BD239" s="460">
        <f t="shared" ref="BD239" si="431">AN239+BB239</f>
        <v>120.98</v>
      </c>
      <c r="BE239" s="3463"/>
      <c r="BF239" s="775">
        <f t="shared" ref="BF239" si="432">AX239+AZ239</f>
        <v>120.98</v>
      </c>
      <c r="BG239" s="26">
        <f t="shared" si="399"/>
        <v>0</v>
      </c>
      <c r="BH239" s="26">
        <f t="shared" si="400"/>
        <v>0</v>
      </c>
      <c r="BI239" s="26"/>
      <c r="BJ239" s="26">
        <f t="shared" si="401"/>
        <v>0</v>
      </c>
      <c r="BK239" s="26">
        <f t="shared" si="402"/>
        <v>0</v>
      </c>
    </row>
    <row r="240" spans="1:63" x14ac:dyDescent="0.3">
      <c r="A240" s="92"/>
      <c r="B240" s="3461" t="s">
        <v>2343</v>
      </c>
      <c r="C240" s="202" t="s">
        <v>50</v>
      </c>
      <c r="D240" s="5462"/>
      <c r="E240" s="5483"/>
      <c r="F240" s="5458"/>
      <c r="G240" s="5483"/>
      <c r="H240" s="5458"/>
      <c r="I240" s="5484"/>
      <c r="J240" s="5460"/>
      <c r="K240" s="5483"/>
      <c r="L240" s="5458"/>
      <c r="M240" s="5485"/>
      <c r="N240" s="5461"/>
      <c r="O240" s="5483"/>
      <c r="P240" s="5458"/>
      <c r="Q240" s="5484"/>
      <c r="R240" s="5460"/>
      <c r="S240" s="5483"/>
      <c r="T240" s="5458"/>
      <c r="U240" s="5484"/>
      <c r="V240" s="5460"/>
      <c r="W240" s="5483"/>
      <c r="X240" s="5458"/>
      <c r="Y240" s="5485"/>
      <c r="Z240" s="5461"/>
      <c r="AA240" s="5730"/>
      <c r="AB240" s="5712"/>
      <c r="AC240" s="5483"/>
      <c r="AD240" s="5458"/>
      <c r="AE240" s="5484"/>
      <c r="AF240" s="5460"/>
      <c r="AG240" s="5483"/>
      <c r="AH240" s="5458"/>
      <c r="AI240" s="5484"/>
      <c r="AJ240" s="5460"/>
      <c r="AK240" s="5483"/>
      <c r="AL240" s="5458"/>
      <c r="AM240" s="5485"/>
      <c r="AN240" s="5461"/>
      <c r="AO240" s="5484"/>
      <c r="AP240" s="5460"/>
      <c r="AQ240" s="5483"/>
      <c r="AR240" s="5458"/>
      <c r="AS240" s="5484"/>
      <c r="AT240" s="5460"/>
      <c r="AU240" s="5483"/>
      <c r="AV240" s="5458"/>
      <c r="AW240" s="5484"/>
      <c r="AX240" s="5460"/>
      <c r="AY240" s="5483"/>
      <c r="AZ240" s="5458"/>
      <c r="BA240" s="5485"/>
      <c r="BB240" s="5461"/>
      <c r="BC240" s="5730"/>
      <c r="BD240" s="5712"/>
      <c r="BE240" s="5484"/>
      <c r="BF240" s="5460"/>
      <c r="BG240" s="26">
        <f t="shared" si="399"/>
        <v>0</v>
      </c>
      <c r="BH240" s="26">
        <f t="shared" si="400"/>
        <v>0</v>
      </c>
      <c r="BI240" s="26"/>
      <c r="BJ240" s="26">
        <f t="shared" si="401"/>
        <v>0</v>
      </c>
      <c r="BK240" s="26">
        <f t="shared" si="402"/>
        <v>0</v>
      </c>
    </row>
    <row r="241" spans="1:63" x14ac:dyDescent="0.3">
      <c r="A241" s="92"/>
      <c r="B241" s="3465" t="s">
        <v>695</v>
      </c>
      <c r="C241" s="202" t="s">
        <v>50</v>
      </c>
      <c r="D241" s="5462"/>
      <c r="E241" s="5483"/>
      <c r="F241" s="5458"/>
      <c r="G241" s="5483"/>
      <c r="H241" s="5458"/>
      <c r="I241" s="5484"/>
      <c r="J241" s="5460"/>
      <c r="K241" s="5483"/>
      <c r="L241" s="5458"/>
      <c r="M241" s="5485"/>
      <c r="N241" s="5461"/>
      <c r="O241" s="5483"/>
      <c r="P241" s="5458"/>
      <c r="Q241" s="5484"/>
      <c r="R241" s="5460"/>
      <c r="S241" s="5483"/>
      <c r="T241" s="5458"/>
      <c r="U241" s="5484"/>
      <c r="V241" s="5460"/>
      <c r="W241" s="5483"/>
      <c r="X241" s="5458"/>
      <c r="Y241" s="5485"/>
      <c r="Z241" s="5461"/>
      <c r="AA241" s="5730"/>
      <c r="AB241" s="5712"/>
      <c r="AC241" s="5483"/>
      <c r="AD241" s="5458"/>
      <c r="AE241" s="5484"/>
      <c r="AF241" s="5460"/>
      <c r="AG241" s="5483"/>
      <c r="AH241" s="5458"/>
      <c r="AI241" s="5484"/>
      <c r="AJ241" s="5460"/>
      <c r="AK241" s="5483"/>
      <c r="AL241" s="5458"/>
      <c r="AM241" s="5485"/>
      <c r="AN241" s="5461"/>
      <c r="AO241" s="5484"/>
      <c r="AP241" s="5460"/>
      <c r="AQ241" s="5483"/>
      <c r="AR241" s="5458"/>
      <c r="AS241" s="5484"/>
      <c r="AT241" s="5460"/>
      <c r="AU241" s="5483"/>
      <c r="AV241" s="5458"/>
      <c r="AW241" s="5484"/>
      <c r="AX241" s="5460"/>
      <c r="AY241" s="5483"/>
      <c r="AZ241" s="5458">
        <v>118.88</v>
      </c>
      <c r="BA241" s="5485"/>
      <c r="BB241" s="774">
        <f t="shared" ref="BB241" si="433">AR241+AV241+AZ241</f>
        <v>118.88</v>
      </c>
      <c r="BC241" s="5729"/>
      <c r="BD241" s="460">
        <f t="shared" ref="BD241" si="434">AN241+BB241</f>
        <v>118.88</v>
      </c>
      <c r="BE241" s="3463"/>
      <c r="BF241" s="775">
        <f t="shared" ref="BF241" si="435">AX241+AZ241</f>
        <v>118.88</v>
      </c>
      <c r="BG241" s="26">
        <f t="shared" si="399"/>
        <v>0</v>
      </c>
      <c r="BH241" s="26">
        <f t="shared" si="400"/>
        <v>0</v>
      </c>
      <c r="BI241" s="26"/>
      <c r="BJ241" s="26">
        <f t="shared" si="401"/>
        <v>0</v>
      </c>
      <c r="BK241" s="26">
        <f t="shared" si="402"/>
        <v>0</v>
      </c>
    </row>
    <row r="242" spans="1:63" x14ac:dyDescent="0.3">
      <c r="A242" s="92"/>
      <c r="B242" s="3461" t="s">
        <v>2344</v>
      </c>
      <c r="C242" s="202" t="s">
        <v>50</v>
      </c>
      <c r="D242" s="5462"/>
      <c r="E242" s="5483"/>
      <c r="F242" s="5458"/>
      <c r="G242" s="5483"/>
      <c r="H242" s="5458"/>
      <c r="I242" s="5484"/>
      <c r="J242" s="5460"/>
      <c r="K242" s="5483"/>
      <c r="L242" s="5458"/>
      <c r="M242" s="5485"/>
      <c r="N242" s="5461"/>
      <c r="O242" s="5483"/>
      <c r="P242" s="5458"/>
      <c r="Q242" s="5484"/>
      <c r="R242" s="5460"/>
      <c r="S242" s="5483"/>
      <c r="T242" s="5458"/>
      <c r="U242" s="5484"/>
      <c r="V242" s="5460"/>
      <c r="W242" s="5483"/>
      <c r="X242" s="5458"/>
      <c r="Y242" s="5485"/>
      <c r="Z242" s="5461"/>
      <c r="AA242" s="5730"/>
      <c r="AB242" s="5712"/>
      <c r="AC242" s="5483"/>
      <c r="AD242" s="5458"/>
      <c r="AE242" s="5484"/>
      <c r="AF242" s="5460"/>
      <c r="AG242" s="5483"/>
      <c r="AH242" s="5458"/>
      <c r="AI242" s="5484"/>
      <c r="AJ242" s="5460"/>
      <c r="AK242" s="5483"/>
      <c r="AL242" s="5458"/>
      <c r="AM242" s="5485"/>
      <c r="AN242" s="5461"/>
      <c r="AO242" s="5484"/>
      <c r="AP242" s="5460"/>
      <c r="AQ242" s="5483"/>
      <c r="AR242" s="5458"/>
      <c r="AS242" s="5484"/>
      <c r="AT242" s="5460"/>
      <c r="AU242" s="5483"/>
      <c r="AV242" s="5458"/>
      <c r="AW242" s="5484"/>
      <c r="AX242" s="5460"/>
      <c r="AY242" s="5483"/>
      <c r="AZ242" s="5458"/>
      <c r="BA242" s="5485"/>
      <c r="BB242" s="5461"/>
      <c r="BC242" s="5730"/>
      <c r="BD242" s="5712"/>
      <c r="BE242" s="5484"/>
      <c r="BF242" s="5460"/>
      <c r="BG242" s="26">
        <f t="shared" si="399"/>
        <v>0</v>
      </c>
      <c r="BH242" s="26">
        <f t="shared" si="400"/>
        <v>0</v>
      </c>
      <c r="BI242" s="26"/>
      <c r="BJ242" s="26">
        <f t="shared" si="401"/>
        <v>0</v>
      </c>
      <c r="BK242" s="26">
        <f t="shared" si="402"/>
        <v>0</v>
      </c>
    </row>
    <row r="243" spans="1:63" x14ac:dyDescent="0.3">
      <c r="A243" s="92"/>
      <c r="B243" s="3465" t="s">
        <v>695</v>
      </c>
      <c r="C243" s="202" t="s">
        <v>50</v>
      </c>
      <c r="D243" s="5462"/>
      <c r="E243" s="5483"/>
      <c r="F243" s="5458"/>
      <c r="G243" s="5483"/>
      <c r="H243" s="5458"/>
      <c r="I243" s="5484"/>
      <c r="J243" s="5460"/>
      <c r="K243" s="5483"/>
      <c r="L243" s="5458"/>
      <c r="M243" s="5485"/>
      <c r="N243" s="5461"/>
      <c r="O243" s="5483"/>
      <c r="P243" s="5458"/>
      <c r="Q243" s="5484"/>
      <c r="R243" s="5460"/>
      <c r="S243" s="5483"/>
      <c r="T243" s="5458"/>
      <c r="U243" s="5484"/>
      <c r="V243" s="5460"/>
      <c r="W243" s="5483"/>
      <c r="X243" s="5458"/>
      <c r="Y243" s="5485"/>
      <c r="Z243" s="5461"/>
      <c r="AA243" s="5730"/>
      <c r="AB243" s="5712"/>
      <c r="AC243" s="5483"/>
      <c r="AD243" s="5458"/>
      <c r="AE243" s="5484"/>
      <c r="AF243" s="5460"/>
      <c r="AG243" s="5483"/>
      <c r="AH243" s="5458"/>
      <c r="AI243" s="5484"/>
      <c r="AJ243" s="5460"/>
      <c r="AK243" s="5483"/>
      <c r="AL243" s="5458"/>
      <c r="AM243" s="5485"/>
      <c r="AN243" s="5461"/>
      <c r="AO243" s="5484"/>
      <c r="AP243" s="5460"/>
      <c r="AQ243" s="5483"/>
      <c r="AR243" s="5458"/>
      <c r="AS243" s="5484"/>
      <c r="AT243" s="5460"/>
      <c r="AU243" s="5483"/>
      <c r="AV243" s="5458"/>
      <c r="AW243" s="5484"/>
      <c r="AX243" s="5460"/>
      <c r="AY243" s="5483"/>
      <c r="AZ243" s="5458">
        <v>357.44</v>
      </c>
      <c r="BA243" s="5485"/>
      <c r="BB243" s="774">
        <f t="shared" ref="BB243" si="436">AR243+AV243+AZ243</f>
        <v>357.44</v>
      </c>
      <c r="BC243" s="5729"/>
      <c r="BD243" s="460">
        <f t="shared" ref="BD243" si="437">AN243+BB243</f>
        <v>357.44</v>
      </c>
      <c r="BE243" s="3463"/>
      <c r="BF243" s="775">
        <f t="shared" ref="BF243" si="438">AX243+AZ243</f>
        <v>357.44</v>
      </c>
      <c r="BG243" s="26">
        <f t="shared" si="399"/>
        <v>0</v>
      </c>
      <c r="BH243" s="26">
        <f t="shared" si="400"/>
        <v>0</v>
      </c>
      <c r="BI243" s="26"/>
      <c r="BJ243" s="26">
        <f t="shared" si="401"/>
        <v>0</v>
      </c>
      <c r="BK243" s="26">
        <f t="shared" si="402"/>
        <v>0</v>
      </c>
    </row>
    <row r="244" spans="1:63" x14ac:dyDescent="0.3">
      <c r="A244" s="92"/>
      <c r="B244" s="3461" t="s">
        <v>1121</v>
      </c>
      <c r="C244" s="202" t="s">
        <v>50</v>
      </c>
      <c r="D244" s="156"/>
      <c r="E244" s="3462"/>
      <c r="F244" s="1118"/>
      <c r="G244" s="3462"/>
      <c r="H244" s="1118"/>
      <c r="I244" s="3463"/>
      <c r="J244" s="775">
        <f t="shared" si="403"/>
        <v>0</v>
      </c>
      <c r="K244" s="3462"/>
      <c r="L244" s="1118"/>
      <c r="M244" s="3464"/>
      <c r="N244" s="774">
        <f t="shared" si="404"/>
        <v>0</v>
      </c>
      <c r="O244" s="3462"/>
      <c r="P244" s="1118"/>
      <c r="Q244" s="3463"/>
      <c r="R244" s="775">
        <f t="shared" si="405"/>
        <v>0</v>
      </c>
      <c r="S244" s="3462"/>
      <c r="T244" s="1118"/>
      <c r="U244" s="3463"/>
      <c r="V244" s="775">
        <f t="shared" si="406"/>
        <v>0</v>
      </c>
      <c r="W244" s="3462"/>
      <c r="X244" s="1118"/>
      <c r="Y244" s="3464"/>
      <c r="Z244" s="774">
        <f t="shared" si="407"/>
        <v>0</v>
      </c>
      <c r="AA244" s="5729"/>
      <c r="AB244" s="460">
        <f t="shared" si="408"/>
        <v>0</v>
      </c>
      <c r="AC244" s="3462"/>
      <c r="AD244" s="1118"/>
      <c r="AE244" s="3463"/>
      <c r="AF244" s="775">
        <f t="shared" si="409"/>
        <v>0</v>
      </c>
      <c r="AG244" s="3462"/>
      <c r="AH244" s="1118"/>
      <c r="AI244" s="3463"/>
      <c r="AJ244" s="775"/>
      <c r="AK244" s="3462"/>
      <c r="AL244" s="1118"/>
      <c r="AM244" s="3464"/>
      <c r="AN244" s="774">
        <f t="shared" si="426"/>
        <v>0</v>
      </c>
      <c r="AO244" s="3463"/>
      <c r="AP244" s="775">
        <f t="shared" si="427"/>
        <v>0</v>
      </c>
      <c r="AQ244" s="3462"/>
      <c r="AR244" s="1118"/>
      <c r="AS244" s="3463"/>
      <c r="AT244" s="775">
        <f t="shared" si="428"/>
        <v>0</v>
      </c>
      <c r="AU244" s="3462"/>
      <c r="AV244" s="1118"/>
      <c r="AW244" s="3463"/>
      <c r="AX244" s="775">
        <f t="shared" si="429"/>
        <v>0</v>
      </c>
      <c r="AY244" s="3462"/>
      <c r="AZ244" s="1118"/>
      <c r="BA244" s="3464"/>
      <c r="BB244" s="774"/>
      <c r="BC244" s="5729"/>
      <c r="BD244" s="460"/>
      <c r="BE244" s="3463"/>
      <c r="BF244" s="775"/>
      <c r="BG244" s="26">
        <f t="shared" si="399"/>
        <v>0</v>
      </c>
      <c r="BH244" s="26">
        <f t="shared" si="400"/>
        <v>0</v>
      </c>
      <c r="BI244" s="26"/>
      <c r="BJ244" s="26">
        <f t="shared" si="401"/>
        <v>0</v>
      </c>
      <c r="BK244" s="26">
        <f t="shared" si="402"/>
        <v>0</v>
      </c>
    </row>
    <row r="245" spans="1:63" x14ac:dyDescent="0.3">
      <c r="A245" s="92"/>
      <c r="B245" s="3465" t="s">
        <v>695</v>
      </c>
      <c r="C245" s="202" t="s">
        <v>50</v>
      </c>
      <c r="D245" s="156"/>
      <c r="E245" s="3462"/>
      <c r="F245" s="1118">
        <v>40.54</v>
      </c>
      <c r="G245" s="3462"/>
      <c r="H245" s="1118"/>
      <c r="I245" s="3463"/>
      <c r="J245" s="775">
        <f t="shared" si="403"/>
        <v>40.54</v>
      </c>
      <c r="K245" s="3462"/>
      <c r="L245" s="1118"/>
      <c r="M245" s="3464"/>
      <c r="N245" s="774">
        <f t="shared" si="404"/>
        <v>40.54</v>
      </c>
      <c r="O245" s="3462"/>
      <c r="P245" s="1118"/>
      <c r="Q245" s="3463"/>
      <c r="R245" s="775">
        <f t="shared" si="405"/>
        <v>40.54</v>
      </c>
      <c r="S245" s="3462"/>
      <c r="T245" s="1118"/>
      <c r="U245" s="3463"/>
      <c r="V245" s="775">
        <f t="shared" si="406"/>
        <v>40.54</v>
      </c>
      <c r="W245" s="3462"/>
      <c r="X245" s="1118"/>
      <c r="Y245" s="3464"/>
      <c r="Z245" s="774">
        <f t="shared" si="407"/>
        <v>0</v>
      </c>
      <c r="AA245" s="5729"/>
      <c r="AB245" s="460">
        <f t="shared" si="408"/>
        <v>40.54</v>
      </c>
      <c r="AC245" s="3462"/>
      <c r="AD245" s="1118"/>
      <c r="AE245" s="3463"/>
      <c r="AF245" s="775">
        <f t="shared" si="409"/>
        <v>40.54</v>
      </c>
      <c r="AG245" s="3462"/>
      <c r="AH245" s="1118">
        <v>119.21</v>
      </c>
      <c r="AI245" s="3463"/>
      <c r="AJ245" s="775">
        <f t="shared" si="425"/>
        <v>159.75</v>
      </c>
      <c r="AK245" s="3462"/>
      <c r="AL245" s="1118">
        <v>248.22</v>
      </c>
      <c r="AM245" s="3464"/>
      <c r="AN245" s="774">
        <f t="shared" si="426"/>
        <v>367.43</v>
      </c>
      <c r="AO245" s="3463"/>
      <c r="AP245" s="775">
        <f t="shared" si="427"/>
        <v>407.97</v>
      </c>
      <c r="AQ245" s="3462"/>
      <c r="AR245" s="1118"/>
      <c r="AS245" s="3463"/>
      <c r="AT245" s="775">
        <f t="shared" si="428"/>
        <v>407.97</v>
      </c>
      <c r="AU245" s="3462"/>
      <c r="AV245" s="1118"/>
      <c r="AW245" s="3463"/>
      <c r="AX245" s="775">
        <f t="shared" si="429"/>
        <v>407.97</v>
      </c>
      <c r="AY245" s="3462"/>
      <c r="AZ245" s="1118">
        <v>61.1</v>
      </c>
      <c r="BA245" s="3464"/>
      <c r="BB245" s="774">
        <f t="shared" ref="BB245:BB254" si="439">AR245+AV245+AZ245</f>
        <v>61.1</v>
      </c>
      <c r="BC245" s="5729"/>
      <c r="BD245" s="460">
        <f t="shared" ref="BD245:BD254" si="440">AN245+BB245</f>
        <v>428.53000000000003</v>
      </c>
      <c r="BE245" s="3463"/>
      <c r="BF245" s="775">
        <f t="shared" ref="BF245:BF254" si="441">AX245+AZ245</f>
        <v>469.07000000000005</v>
      </c>
      <c r="BG245" s="26">
        <f t="shared" si="399"/>
        <v>0</v>
      </c>
      <c r="BH245" s="26">
        <f t="shared" si="400"/>
        <v>0</v>
      </c>
      <c r="BI245" s="26"/>
      <c r="BJ245" s="26">
        <f t="shared" si="401"/>
        <v>0</v>
      </c>
      <c r="BK245" s="26">
        <f t="shared" si="402"/>
        <v>0</v>
      </c>
    </row>
    <row r="246" spans="1:63" x14ac:dyDescent="0.3">
      <c r="A246" s="92"/>
      <c r="B246" s="3461" t="s">
        <v>1440</v>
      </c>
      <c r="C246" s="202" t="s">
        <v>50</v>
      </c>
      <c r="D246" s="202"/>
      <c r="E246" s="3462"/>
      <c r="F246" s="1118"/>
      <c r="G246" s="3462"/>
      <c r="H246" s="1118"/>
      <c r="I246" s="3463"/>
      <c r="J246" s="775">
        <f t="shared" si="403"/>
        <v>0</v>
      </c>
      <c r="K246" s="3462"/>
      <c r="L246" s="1118"/>
      <c r="M246" s="3464"/>
      <c r="N246" s="774">
        <f t="shared" si="404"/>
        <v>0</v>
      </c>
      <c r="O246" s="3462"/>
      <c r="P246" s="1118"/>
      <c r="Q246" s="3463"/>
      <c r="R246" s="775">
        <f t="shared" si="405"/>
        <v>0</v>
      </c>
      <c r="S246" s="3462"/>
      <c r="T246" s="1118"/>
      <c r="U246" s="3463"/>
      <c r="V246" s="775">
        <f t="shared" si="406"/>
        <v>0</v>
      </c>
      <c r="W246" s="3462"/>
      <c r="X246" s="1118"/>
      <c r="Y246" s="3464"/>
      <c r="Z246" s="774">
        <f t="shared" si="407"/>
        <v>0</v>
      </c>
      <c r="AA246" s="5729"/>
      <c r="AB246" s="460">
        <f t="shared" si="408"/>
        <v>0</v>
      </c>
      <c r="AC246" s="3462"/>
      <c r="AD246" s="1118"/>
      <c r="AE246" s="3463"/>
      <c r="AF246" s="775">
        <f t="shared" si="409"/>
        <v>0</v>
      </c>
      <c r="AG246" s="3462"/>
      <c r="AH246" s="1118"/>
      <c r="AI246" s="3463"/>
      <c r="AJ246" s="775"/>
      <c r="AK246" s="3462"/>
      <c r="AL246" s="1118"/>
      <c r="AM246" s="3464"/>
      <c r="AN246" s="774">
        <f t="shared" si="426"/>
        <v>0</v>
      </c>
      <c r="AO246" s="3463"/>
      <c r="AP246" s="775">
        <f t="shared" si="427"/>
        <v>0</v>
      </c>
      <c r="AQ246" s="3462"/>
      <c r="AR246" s="1118"/>
      <c r="AS246" s="3463"/>
      <c r="AT246" s="775">
        <f t="shared" si="428"/>
        <v>0</v>
      </c>
      <c r="AU246" s="3462"/>
      <c r="AV246" s="1118"/>
      <c r="AW246" s="3463"/>
      <c r="AX246" s="775">
        <f t="shared" si="429"/>
        <v>0</v>
      </c>
      <c r="AY246" s="3462"/>
      <c r="AZ246" s="1118"/>
      <c r="BA246" s="3464"/>
      <c r="BB246" s="774"/>
      <c r="BC246" s="5729"/>
      <c r="BD246" s="460"/>
      <c r="BE246" s="3463"/>
      <c r="BF246" s="775"/>
      <c r="BG246" s="26">
        <f t="shared" si="399"/>
        <v>0</v>
      </c>
      <c r="BH246" s="26">
        <f t="shared" si="400"/>
        <v>0</v>
      </c>
      <c r="BI246" s="26"/>
      <c r="BJ246" s="26">
        <f t="shared" si="401"/>
        <v>0</v>
      </c>
      <c r="BK246" s="26">
        <f t="shared" si="402"/>
        <v>0</v>
      </c>
    </row>
    <row r="247" spans="1:63" x14ac:dyDescent="0.3">
      <c r="A247" s="92"/>
      <c r="B247" s="3465" t="s">
        <v>695</v>
      </c>
      <c r="C247" s="202" t="s">
        <v>50</v>
      </c>
      <c r="D247" s="156"/>
      <c r="E247" s="3462"/>
      <c r="F247" s="1118"/>
      <c r="G247" s="3462"/>
      <c r="H247" s="1118"/>
      <c r="I247" s="3463"/>
      <c r="J247" s="775">
        <f t="shared" si="403"/>
        <v>0</v>
      </c>
      <c r="K247" s="3462"/>
      <c r="L247" s="1118"/>
      <c r="M247" s="3464"/>
      <c r="N247" s="774">
        <f t="shared" si="404"/>
        <v>0</v>
      </c>
      <c r="O247" s="3462"/>
      <c r="P247" s="1118">
        <v>38.94</v>
      </c>
      <c r="Q247" s="3463"/>
      <c r="R247" s="775">
        <f t="shared" si="405"/>
        <v>38.94</v>
      </c>
      <c r="S247" s="3462"/>
      <c r="T247" s="1118"/>
      <c r="U247" s="3463"/>
      <c r="V247" s="775">
        <f t="shared" si="406"/>
        <v>38.94</v>
      </c>
      <c r="W247" s="3462"/>
      <c r="X247" s="1118"/>
      <c r="Y247" s="3464"/>
      <c r="Z247" s="774">
        <f t="shared" si="407"/>
        <v>38.94</v>
      </c>
      <c r="AA247" s="5729"/>
      <c r="AB247" s="460">
        <f t="shared" si="408"/>
        <v>38.94</v>
      </c>
      <c r="AC247" s="3462"/>
      <c r="AD247" s="1118"/>
      <c r="AE247" s="3463"/>
      <c r="AF247" s="775">
        <f t="shared" si="409"/>
        <v>38.94</v>
      </c>
      <c r="AG247" s="3462"/>
      <c r="AH247" s="1118"/>
      <c r="AI247" s="3463"/>
      <c r="AJ247" s="775">
        <f t="shared" si="425"/>
        <v>38.94</v>
      </c>
      <c r="AK247" s="3462"/>
      <c r="AL247" s="1118"/>
      <c r="AM247" s="3464"/>
      <c r="AN247" s="774">
        <f t="shared" si="426"/>
        <v>0</v>
      </c>
      <c r="AO247" s="3463"/>
      <c r="AP247" s="775">
        <f t="shared" si="427"/>
        <v>38.94</v>
      </c>
      <c r="AQ247" s="3462"/>
      <c r="AR247" s="1118"/>
      <c r="AS247" s="3463"/>
      <c r="AT247" s="775">
        <f t="shared" si="428"/>
        <v>38.94</v>
      </c>
      <c r="AU247" s="3462"/>
      <c r="AV247" s="1118"/>
      <c r="AW247" s="3463"/>
      <c r="AX247" s="775">
        <f t="shared" si="429"/>
        <v>38.94</v>
      </c>
      <c r="AY247" s="3462"/>
      <c r="AZ247" s="1118">
        <v>854.18</v>
      </c>
      <c r="BA247" s="3464"/>
      <c r="BB247" s="774">
        <f t="shared" si="439"/>
        <v>854.18</v>
      </c>
      <c r="BC247" s="5729"/>
      <c r="BD247" s="460">
        <f t="shared" si="440"/>
        <v>854.18</v>
      </c>
      <c r="BE247" s="3463"/>
      <c r="BF247" s="775">
        <f t="shared" si="441"/>
        <v>893.11999999999989</v>
      </c>
      <c r="BG247" s="26">
        <f t="shared" si="399"/>
        <v>0</v>
      </c>
      <c r="BH247" s="26">
        <f t="shared" si="400"/>
        <v>0</v>
      </c>
      <c r="BI247" s="26"/>
      <c r="BJ247" s="26">
        <f t="shared" si="401"/>
        <v>0</v>
      </c>
      <c r="BK247" s="26">
        <f t="shared" si="402"/>
        <v>0</v>
      </c>
    </row>
    <row r="248" spans="1:63" x14ac:dyDescent="0.3">
      <c r="A248" s="92"/>
      <c r="B248" s="3461" t="s">
        <v>1824</v>
      </c>
      <c r="C248" s="202" t="s">
        <v>50</v>
      </c>
      <c r="D248" s="2546"/>
      <c r="E248" s="3870"/>
      <c r="F248" s="2599"/>
      <c r="G248" s="3870"/>
      <c r="H248" s="2599"/>
      <c r="I248" s="3871"/>
      <c r="J248" s="775">
        <f t="shared" si="403"/>
        <v>0</v>
      </c>
      <c r="K248" s="3870"/>
      <c r="L248" s="2599"/>
      <c r="M248" s="3872"/>
      <c r="N248" s="774">
        <f t="shared" si="404"/>
        <v>0</v>
      </c>
      <c r="O248" s="3870"/>
      <c r="P248" s="2599"/>
      <c r="Q248" s="3871"/>
      <c r="R248" s="775">
        <f t="shared" si="405"/>
        <v>0</v>
      </c>
      <c r="S248" s="3870"/>
      <c r="T248" s="2599"/>
      <c r="U248" s="3871"/>
      <c r="V248" s="775">
        <f t="shared" si="406"/>
        <v>0</v>
      </c>
      <c r="W248" s="3870"/>
      <c r="X248" s="2599"/>
      <c r="Y248" s="3872"/>
      <c r="Z248" s="774">
        <f t="shared" si="407"/>
        <v>0</v>
      </c>
      <c r="AA248" s="5731"/>
      <c r="AB248" s="460">
        <f t="shared" si="408"/>
        <v>0</v>
      </c>
      <c r="AC248" s="3870"/>
      <c r="AD248" s="2599"/>
      <c r="AE248" s="3871"/>
      <c r="AF248" s="775">
        <f t="shared" si="409"/>
        <v>0</v>
      </c>
      <c r="AG248" s="3870"/>
      <c r="AH248" s="2599"/>
      <c r="AI248" s="3871"/>
      <c r="AJ248" s="775"/>
      <c r="AK248" s="3870"/>
      <c r="AL248" s="2599"/>
      <c r="AM248" s="3872"/>
      <c r="AN248" s="774">
        <f t="shared" si="426"/>
        <v>0</v>
      </c>
      <c r="AO248" s="3871"/>
      <c r="AP248" s="775">
        <f t="shared" si="427"/>
        <v>0</v>
      </c>
      <c r="AQ248" s="3870"/>
      <c r="AR248" s="2599"/>
      <c r="AS248" s="3871"/>
      <c r="AT248" s="775">
        <f t="shared" si="428"/>
        <v>0</v>
      </c>
      <c r="AU248" s="3870"/>
      <c r="AV248" s="2599"/>
      <c r="AW248" s="3871"/>
      <c r="AX248" s="775">
        <f t="shared" si="429"/>
        <v>0</v>
      </c>
      <c r="AY248" s="3870"/>
      <c r="AZ248" s="2599"/>
      <c r="BA248" s="3872"/>
      <c r="BB248" s="774"/>
      <c r="BC248" s="5729"/>
      <c r="BD248" s="460"/>
      <c r="BE248" s="3463"/>
      <c r="BF248" s="775"/>
      <c r="BG248" s="26">
        <f t="shared" si="399"/>
        <v>0</v>
      </c>
      <c r="BH248" s="26">
        <f t="shared" si="400"/>
        <v>0</v>
      </c>
      <c r="BI248" s="26"/>
      <c r="BJ248" s="26">
        <f t="shared" si="401"/>
        <v>0</v>
      </c>
      <c r="BK248" s="26">
        <f t="shared" si="402"/>
        <v>0</v>
      </c>
    </row>
    <row r="249" spans="1:63" x14ac:dyDescent="0.3">
      <c r="A249" s="92"/>
      <c r="B249" s="3869" t="s">
        <v>695</v>
      </c>
      <c r="C249" s="202" t="s">
        <v>50</v>
      </c>
      <c r="D249" s="2546"/>
      <c r="E249" s="3870"/>
      <c r="F249" s="2599"/>
      <c r="G249" s="3870"/>
      <c r="H249" s="2599"/>
      <c r="I249" s="3871"/>
      <c r="J249" s="775">
        <f t="shared" si="403"/>
        <v>0</v>
      </c>
      <c r="K249" s="3870"/>
      <c r="L249" s="2599"/>
      <c r="M249" s="3872"/>
      <c r="N249" s="774">
        <f t="shared" si="404"/>
        <v>0</v>
      </c>
      <c r="O249" s="3870"/>
      <c r="P249" s="2599"/>
      <c r="Q249" s="3871"/>
      <c r="R249" s="775">
        <f t="shared" si="405"/>
        <v>0</v>
      </c>
      <c r="S249" s="3870"/>
      <c r="T249" s="2599"/>
      <c r="U249" s="3871"/>
      <c r="V249" s="775">
        <f t="shared" si="406"/>
        <v>0</v>
      </c>
      <c r="W249" s="3870"/>
      <c r="X249" s="2599"/>
      <c r="Y249" s="3872"/>
      <c r="Z249" s="774">
        <f t="shared" si="407"/>
        <v>0</v>
      </c>
      <c r="AA249" s="5731"/>
      <c r="AB249" s="460">
        <f t="shared" si="408"/>
        <v>0</v>
      </c>
      <c r="AC249" s="3870"/>
      <c r="AD249" s="2599"/>
      <c r="AE249" s="3871"/>
      <c r="AF249" s="775">
        <f t="shared" si="409"/>
        <v>0</v>
      </c>
      <c r="AG249" s="3870"/>
      <c r="AH249" s="2599"/>
      <c r="AI249" s="3871"/>
      <c r="AJ249" s="775">
        <f t="shared" si="425"/>
        <v>0</v>
      </c>
      <c r="AK249" s="3870"/>
      <c r="AL249" s="2599"/>
      <c r="AM249" s="3872"/>
      <c r="AN249" s="774">
        <f t="shared" si="426"/>
        <v>0</v>
      </c>
      <c r="AO249" s="3871"/>
      <c r="AP249" s="775">
        <f t="shared" si="427"/>
        <v>0</v>
      </c>
      <c r="AQ249" s="3870"/>
      <c r="AR249" s="2599"/>
      <c r="AS249" s="3871"/>
      <c r="AT249" s="775">
        <f t="shared" si="428"/>
        <v>0</v>
      </c>
      <c r="AU249" s="3870"/>
      <c r="AV249" s="2599"/>
      <c r="AW249" s="3871"/>
      <c r="AX249" s="775">
        <f t="shared" si="429"/>
        <v>0</v>
      </c>
      <c r="AY249" s="3870"/>
      <c r="AZ249" s="2599"/>
      <c r="BA249" s="3872"/>
      <c r="BB249" s="774">
        <f t="shared" si="439"/>
        <v>0</v>
      </c>
      <c r="BC249" s="5729"/>
      <c r="BD249" s="460">
        <f t="shared" si="440"/>
        <v>0</v>
      </c>
      <c r="BE249" s="3463"/>
      <c r="BF249" s="775">
        <f t="shared" si="441"/>
        <v>0</v>
      </c>
      <c r="BG249" s="26">
        <f t="shared" si="399"/>
        <v>0</v>
      </c>
      <c r="BH249" s="26">
        <f t="shared" si="400"/>
        <v>0</v>
      </c>
      <c r="BI249" s="26"/>
      <c r="BJ249" s="26">
        <f t="shared" si="401"/>
        <v>0</v>
      </c>
      <c r="BK249" s="26">
        <f t="shared" si="402"/>
        <v>0</v>
      </c>
    </row>
    <row r="250" spans="1:63" x14ac:dyDescent="0.3">
      <c r="A250" s="92"/>
      <c r="B250" s="3461" t="s">
        <v>1857</v>
      </c>
      <c r="C250" s="202" t="s">
        <v>50</v>
      </c>
      <c r="D250" s="4060"/>
      <c r="E250" s="4092"/>
      <c r="F250" s="4086"/>
      <c r="G250" s="4092"/>
      <c r="H250" s="4086"/>
      <c r="I250" s="4093"/>
      <c r="J250" s="775">
        <f t="shared" si="403"/>
        <v>0</v>
      </c>
      <c r="K250" s="4092"/>
      <c r="L250" s="4086"/>
      <c r="M250" s="4095"/>
      <c r="N250" s="774">
        <f t="shared" si="404"/>
        <v>0</v>
      </c>
      <c r="O250" s="4092"/>
      <c r="P250" s="4086"/>
      <c r="Q250" s="4093"/>
      <c r="R250" s="775">
        <f t="shared" si="405"/>
        <v>0</v>
      </c>
      <c r="S250" s="4092"/>
      <c r="T250" s="4086"/>
      <c r="U250" s="4093"/>
      <c r="V250" s="775">
        <f t="shared" si="406"/>
        <v>0</v>
      </c>
      <c r="W250" s="4092"/>
      <c r="X250" s="4086"/>
      <c r="Y250" s="4095"/>
      <c r="Z250" s="774">
        <f t="shared" si="407"/>
        <v>0</v>
      </c>
      <c r="AA250" s="5732"/>
      <c r="AB250" s="460">
        <f t="shared" si="408"/>
        <v>0</v>
      </c>
      <c r="AC250" s="4092"/>
      <c r="AD250" s="4086"/>
      <c r="AE250" s="4093"/>
      <c r="AF250" s="775">
        <f t="shared" si="409"/>
        <v>0</v>
      </c>
      <c r="AG250" s="4092"/>
      <c r="AH250" s="4086"/>
      <c r="AI250" s="4093"/>
      <c r="AJ250" s="4094"/>
      <c r="AK250" s="4092"/>
      <c r="AL250" s="4086"/>
      <c r="AM250" s="4095"/>
      <c r="AN250" s="774">
        <f t="shared" si="426"/>
        <v>0</v>
      </c>
      <c r="AO250" s="4093"/>
      <c r="AP250" s="775">
        <f t="shared" si="427"/>
        <v>0</v>
      </c>
      <c r="AQ250" s="4092"/>
      <c r="AR250" s="4086"/>
      <c r="AS250" s="4093"/>
      <c r="AT250" s="775">
        <f t="shared" si="428"/>
        <v>0</v>
      </c>
      <c r="AU250" s="4092"/>
      <c r="AV250" s="4086"/>
      <c r="AW250" s="4093"/>
      <c r="AX250" s="775">
        <f t="shared" si="429"/>
        <v>0</v>
      </c>
      <c r="AY250" s="4092"/>
      <c r="AZ250" s="4086"/>
      <c r="BA250" s="4095"/>
      <c r="BB250" s="774"/>
      <c r="BC250" s="5729"/>
      <c r="BD250" s="460"/>
      <c r="BE250" s="3463"/>
      <c r="BF250" s="775"/>
      <c r="BG250" s="26">
        <f t="shared" si="399"/>
        <v>0</v>
      </c>
      <c r="BH250" s="26">
        <f t="shared" si="400"/>
        <v>0</v>
      </c>
      <c r="BI250" s="26"/>
      <c r="BJ250" s="26">
        <f t="shared" si="401"/>
        <v>0</v>
      </c>
      <c r="BK250" s="26">
        <f t="shared" si="402"/>
        <v>0</v>
      </c>
    </row>
    <row r="251" spans="1:63" x14ac:dyDescent="0.3">
      <c r="A251" s="92"/>
      <c r="B251" s="4091" t="s">
        <v>695</v>
      </c>
      <c r="C251" s="202" t="s">
        <v>50</v>
      </c>
      <c r="D251" s="4060"/>
      <c r="E251" s="4092"/>
      <c r="F251" s="4086"/>
      <c r="G251" s="4092"/>
      <c r="H251" s="4086">
        <v>114.39</v>
      </c>
      <c r="I251" s="4093"/>
      <c r="J251" s="775">
        <f t="shared" si="403"/>
        <v>114.39</v>
      </c>
      <c r="K251" s="4092"/>
      <c r="L251" s="4086"/>
      <c r="M251" s="4095"/>
      <c r="N251" s="774">
        <f t="shared" si="404"/>
        <v>114.39</v>
      </c>
      <c r="O251" s="4092"/>
      <c r="P251" s="4086"/>
      <c r="Q251" s="4093"/>
      <c r="R251" s="775">
        <f t="shared" si="405"/>
        <v>114.39</v>
      </c>
      <c r="S251" s="4092"/>
      <c r="T251" s="4086"/>
      <c r="U251" s="4093"/>
      <c r="V251" s="775">
        <f t="shared" si="406"/>
        <v>114.39</v>
      </c>
      <c r="W251" s="4092"/>
      <c r="X251" s="4086"/>
      <c r="Y251" s="4095"/>
      <c r="Z251" s="774">
        <f t="shared" si="407"/>
        <v>0</v>
      </c>
      <c r="AA251" s="5732"/>
      <c r="AB251" s="460">
        <f t="shared" si="408"/>
        <v>114.39</v>
      </c>
      <c r="AC251" s="4092"/>
      <c r="AD251" s="4086"/>
      <c r="AE251" s="4093"/>
      <c r="AF251" s="775">
        <f t="shared" si="409"/>
        <v>114.39</v>
      </c>
      <c r="AG251" s="4092"/>
      <c r="AH251" s="4086"/>
      <c r="AI251" s="4093"/>
      <c r="AJ251" s="775">
        <f t="shared" si="425"/>
        <v>114.39</v>
      </c>
      <c r="AK251" s="4092"/>
      <c r="AL251" s="4086"/>
      <c r="AM251" s="4095"/>
      <c r="AN251" s="774">
        <f t="shared" si="426"/>
        <v>0</v>
      </c>
      <c r="AO251" s="4093"/>
      <c r="AP251" s="775">
        <f t="shared" si="427"/>
        <v>114.39</v>
      </c>
      <c r="AQ251" s="4092"/>
      <c r="AR251" s="4086"/>
      <c r="AS251" s="4093"/>
      <c r="AT251" s="775">
        <f t="shared" si="428"/>
        <v>114.39</v>
      </c>
      <c r="AU251" s="4092"/>
      <c r="AV251" s="4086"/>
      <c r="AW251" s="4093"/>
      <c r="AX251" s="775">
        <f t="shared" si="429"/>
        <v>114.39</v>
      </c>
      <c r="AY251" s="4092"/>
      <c r="AZ251" s="4086">
        <v>104.26</v>
      </c>
      <c r="BA251" s="4095"/>
      <c r="BB251" s="774">
        <f t="shared" si="439"/>
        <v>104.26</v>
      </c>
      <c r="BC251" s="5729"/>
      <c r="BD251" s="460">
        <f t="shared" si="440"/>
        <v>104.26</v>
      </c>
      <c r="BE251" s="3463"/>
      <c r="BF251" s="775">
        <f t="shared" si="441"/>
        <v>218.65</v>
      </c>
      <c r="BG251" s="26">
        <f t="shared" si="399"/>
        <v>0</v>
      </c>
      <c r="BH251" s="26">
        <f t="shared" si="400"/>
        <v>0</v>
      </c>
      <c r="BI251" s="26"/>
      <c r="BJ251" s="26">
        <f t="shared" si="401"/>
        <v>0</v>
      </c>
      <c r="BK251" s="26">
        <f t="shared" si="402"/>
        <v>0</v>
      </c>
    </row>
    <row r="252" spans="1:63" x14ac:dyDescent="0.3">
      <c r="A252" s="92"/>
      <c r="B252" s="3461" t="s">
        <v>2099</v>
      </c>
      <c r="C252" s="202" t="s">
        <v>50</v>
      </c>
      <c r="D252" s="202"/>
      <c r="E252" s="3462"/>
      <c r="F252" s="1118"/>
      <c r="G252" s="3462"/>
      <c r="H252" s="1118"/>
      <c r="I252" s="3463"/>
      <c r="J252" s="775">
        <f t="shared" si="403"/>
        <v>0</v>
      </c>
      <c r="K252" s="3462"/>
      <c r="L252" s="1118"/>
      <c r="M252" s="3464"/>
      <c r="N252" s="774">
        <f t="shared" si="404"/>
        <v>0</v>
      </c>
      <c r="O252" s="3462"/>
      <c r="P252" s="1118"/>
      <c r="Q252" s="3463"/>
      <c r="R252" s="775">
        <f t="shared" si="405"/>
        <v>0</v>
      </c>
      <c r="S252" s="3462"/>
      <c r="T252" s="1118"/>
      <c r="U252" s="3463"/>
      <c r="V252" s="775">
        <f t="shared" si="406"/>
        <v>0</v>
      </c>
      <c r="W252" s="3462"/>
      <c r="X252" s="1118"/>
      <c r="Y252" s="3464"/>
      <c r="Z252" s="774">
        <f t="shared" si="407"/>
        <v>0</v>
      </c>
      <c r="AA252" s="5729"/>
      <c r="AB252" s="460">
        <f t="shared" si="408"/>
        <v>0</v>
      </c>
      <c r="AC252" s="3462"/>
      <c r="AD252" s="1118"/>
      <c r="AE252" s="3463"/>
      <c r="AF252" s="775">
        <f t="shared" si="409"/>
        <v>0</v>
      </c>
      <c r="AG252" s="3462"/>
      <c r="AH252" s="1118"/>
      <c r="AI252" s="3463"/>
      <c r="AJ252" s="775"/>
      <c r="AK252" s="3462"/>
      <c r="AL252" s="1118"/>
      <c r="AM252" s="3464"/>
      <c r="AN252" s="774">
        <f t="shared" si="426"/>
        <v>0</v>
      </c>
      <c r="AO252" s="3463"/>
      <c r="AP252" s="775">
        <f t="shared" si="427"/>
        <v>0</v>
      </c>
      <c r="AQ252" s="3462"/>
      <c r="AR252" s="1118"/>
      <c r="AS252" s="3463"/>
      <c r="AT252" s="775">
        <f t="shared" si="428"/>
        <v>0</v>
      </c>
      <c r="AU252" s="3462"/>
      <c r="AV252" s="1118"/>
      <c r="AW252" s="3463"/>
      <c r="AX252" s="775">
        <f t="shared" si="429"/>
        <v>0</v>
      </c>
      <c r="AY252" s="3462"/>
      <c r="AZ252" s="1118"/>
      <c r="BA252" s="3464"/>
      <c r="BB252" s="774"/>
      <c r="BC252" s="5729"/>
      <c r="BD252" s="460"/>
      <c r="BE252" s="3463"/>
      <c r="BF252" s="775"/>
      <c r="BG252" s="26">
        <f t="shared" si="399"/>
        <v>0</v>
      </c>
      <c r="BH252" s="26">
        <f t="shared" si="400"/>
        <v>0</v>
      </c>
      <c r="BI252" s="26"/>
      <c r="BJ252" s="26">
        <f t="shared" si="401"/>
        <v>0</v>
      </c>
      <c r="BK252" s="26">
        <f t="shared" si="402"/>
        <v>0</v>
      </c>
    </row>
    <row r="253" spans="1:63" x14ac:dyDescent="0.3">
      <c r="A253" s="92"/>
      <c r="B253" s="3465" t="s">
        <v>695</v>
      </c>
      <c r="C253" s="202" t="s">
        <v>50</v>
      </c>
      <c r="D253" s="156"/>
      <c r="E253" s="3462"/>
      <c r="F253" s="1118"/>
      <c r="G253" s="3462"/>
      <c r="H253" s="1118"/>
      <c r="I253" s="3463"/>
      <c r="J253" s="775">
        <f t="shared" si="403"/>
        <v>0</v>
      </c>
      <c r="K253" s="3462"/>
      <c r="L253" s="1118"/>
      <c r="M253" s="3464"/>
      <c r="N253" s="774">
        <f t="shared" si="404"/>
        <v>0</v>
      </c>
      <c r="O253" s="3462"/>
      <c r="P253" s="1118"/>
      <c r="Q253" s="3463"/>
      <c r="R253" s="775">
        <f t="shared" si="405"/>
        <v>0</v>
      </c>
      <c r="S253" s="3462"/>
      <c r="T253" s="1118">
        <v>158.79</v>
      </c>
      <c r="U253" s="3463"/>
      <c r="V253" s="775">
        <f t="shared" si="406"/>
        <v>158.79</v>
      </c>
      <c r="W253" s="3462"/>
      <c r="X253" s="1118">
        <v>39.89</v>
      </c>
      <c r="Y253" s="3464"/>
      <c r="Z253" s="774">
        <f t="shared" si="407"/>
        <v>198.68</v>
      </c>
      <c r="AA253" s="5729"/>
      <c r="AB253" s="460">
        <f t="shared" si="408"/>
        <v>198.68</v>
      </c>
      <c r="AC253" s="3462"/>
      <c r="AD253" s="1118"/>
      <c r="AE253" s="3463"/>
      <c r="AF253" s="775">
        <f t="shared" si="409"/>
        <v>198.68</v>
      </c>
      <c r="AG253" s="3462"/>
      <c r="AH253" s="1118"/>
      <c r="AI253" s="3463"/>
      <c r="AJ253" s="775">
        <f t="shared" si="425"/>
        <v>198.68</v>
      </c>
      <c r="AK253" s="3462"/>
      <c r="AL253" s="1118"/>
      <c r="AM253" s="3464"/>
      <c r="AN253" s="774">
        <f t="shared" si="426"/>
        <v>0</v>
      </c>
      <c r="AO253" s="3463"/>
      <c r="AP253" s="775">
        <f t="shared" si="427"/>
        <v>198.68</v>
      </c>
      <c r="AQ253" s="3462"/>
      <c r="AR253" s="1118"/>
      <c r="AS253" s="3463"/>
      <c r="AT253" s="775">
        <f t="shared" si="428"/>
        <v>198.68</v>
      </c>
      <c r="AU253" s="3462"/>
      <c r="AV253" s="1118"/>
      <c r="AW253" s="3463"/>
      <c r="AX253" s="775">
        <f t="shared" si="429"/>
        <v>198.68</v>
      </c>
      <c r="AY253" s="3462"/>
      <c r="AZ253" s="1118"/>
      <c r="BA253" s="3464"/>
      <c r="BB253" s="774">
        <f t="shared" si="439"/>
        <v>0</v>
      </c>
      <c r="BC253" s="5729"/>
      <c r="BD253" s="460">
        <f t="shared" si="440"/>
        <v>0</v>
      </c>
      <c r="BE253" s="3463"/>
      <c r="BF253" s="775">
        <f t="shared" si="441"/>
        <v>198.68</v>
      </c>
      <c r="BG253" s="26">
        <f t="shared" si="399"/>
        <v>0</v>
      </c>
      <c r="BH253" s="26">
        <f t="shared" si="400"/>
        <v>0</v>
      </c>
      <c r="BI253" s="26"/>
      <c r="BJ253" s="26">
        <f t="shared" si="401"/>
        <v>0</v>
      </c>
      <c r="BK253" s="26">
        <f t="shared" si="402"/>
        <v>0</v>
      </c>
    </row>
    <row r="254" spans="1:63" ht="21.15" customHeight="1" x14ac:dyDescent="0.3">
      <c r="A254" s="151"/>
      <c r="B254" s="3461" t="s">
        <v>1833</v>
      </c>
      <c r="C254" s="202" t="s">
        <v>50</v>
      </c>
      <c r="D254" s="156"/>
      <c r="E254" s="3462"/>
      <c r="F254" s="1118"/>
      <c r="G254" s="3462"/>
      <c r="H254" s="1118"/>
      <c r="I254" s="3463"/>
      <c r="J254" s="775">
        <f t="shared" si="403"/>
        <v>0</v>
      </c>
      <c r="K254" s="3462"/>
      <c r="L254" s="1118"/>
      <c r="M254" s="3464"/>
      <c r="N254" s="774">
        <f t="shared" si="404"/>
        <v>0</v>
      </c>
      <c r="O254" s="3462"/>
      <c r="P254" s="1118"/>
      <c r="Q254" s="3463"/>
      <c r="R254" s="775">
        <f t="shared" si="405"/>
        <v>0</v>
      </c>
      <c r="S254" s="3462"/>
      <c r="T254" s="1118"/>
      <c r="U254" s="3463"/>
      <c r="V254" s="775">
        <f t="shared" si="406"/>
        <v>0</v>
      </c>
      <c r="W254" s="3462"/>
      <c r="X254" s="1118"/>
      <c r="Y254" s="3464"/>
      <c r="Z254" s="774">
        <f t="shared" si="407"/>
        <v>0</v>
      </c>
      <c r="AA254" s="5729"/>
      <c r="AB254" s="460">
        <f t="shared" si="408"/>
        <v>0</v>
      </c>
      <c r="AC254" s="3462"/>
      <c r="AD254" s="1118"/>
      <c r="AE254" s="3463"/>
      <c r="AF254" s="775">
        <f t="shared" si="409"/>
        <v>0</v>
      </c>
      <c r="AG254" s="3462"/>
      <c r="AH254" s="1118"/>
      <c r="AI254" s="3463"/>
      <c r="AJ254" s="775">
        <f t="shared" si="425"/>
        <v>0</v>
      </c>
      <c r="AK254" s="3462"/>
      <c r="AL254" s="1118"/>
      <c r="AM254" s="3464"/>
      <c r="AN254" s="774">
        <f t="shared" si="426"/>
        <v>0</v>
      </c>
      <c r="AO254" s="3463"/>
      <c r="AP254" s="775">
        <f t="shared" si="427"/>
        <v>0</v>
      </c>
      <c r="AQ254" s="3462"/>
      <c r="AR254" s="1118"/>
      <c r="AS254" s="3463"/>
      <c r="AT254" s="775">
        <f t="shared" si="428"/>
        <v>0</v>
      </c>
      <c r="AU254" s="3462"/>
      <c r="AV254" s="1118"/>
      <c r="AW254" s="3463"/>
      <c r="AX254" s="775">
        <f t="shared" si="429"/>
        <v>0</v>
      </c>
      <c r="AY254" s="3462"/>
      <c r="AZ254" s="1118"/>
      <c r="BA254" s="3464"/>
      <c r="BB254" s="774">
        <f t="shared" si="439"/>
        <v>0</v>
      </c>
      <c r="BC254" s="5729"/>
      <c r="BD254" s="460">
        <f t="shared" si="440"/>
        <v>0</v>
      </c>
      <c r="BE254" s="3463"/>
      <c r="BF254" s="775">
        <f t="shared" si="441"/>
        <v>0</v>
      </c>
      <c r="BG254" s="26">
        <f t="shared" si="399"/>
        <v>0</v>
      </c>
      <c r="BH254" s="26">
        <f t="shared" si="400"/>
        <v>0</v>
      </c>
      <c r="BI254" s="26"/>
      <c r="BJ254" s="26">
        <f t="shared" si="401"/>
        <v>0</v>
      </c>
      <c r="BK254" s="26">
        <f t="shared" si="402"/>
        <v>0</v>
      </c>
    </row>
    <row r="255" spans="1:63" x14ac:dyDescent="0.3">
      <c r="A255" s="151"/>
      <c r="B255" s="3465" t="s">
        <v>695</v>
      </c>
      <c r="C255" s="202" t="s">
        <v>50</v>
      </c>
      <c r="D255" s="156"/>
      <c r="E255" s="3462"/>
      <c r="F255" s="1118"/>
      <c r="G255" s="3462"/>
      <c r="H255" s="1118"/>
      <c r="I255" s="3463"/>
      <c r="J255" s="775">
        <f t="shared" si="403"/>
        <v>0</v>
      </c>
      <c r="K255" s="3462"/>
      <c r="L255" s="1118"/>
      <c r="M255" s="3464"/>
      <c r="N255" s="774">
        <f t="shared" si="404"/>
        <v>0</v>
      </c>
      <c r="O255" s="3462"/>
      <c r="P255" s="1118"/>
      <c r="Q255" s="3463"/>
      <c r="R255" s="775">
        <f t="shared" si="405"/>
        <v>0</v>
      </c>
      <c r="S255" s="3462"/>
      <c r="T255" s="1118"/>
      <c r="U255" s="3463"/>
      <c r="V255" s="775">
        <f t="shared" si="406"/>
        <v>0</v>
      </c>
      <c r="W255" s="3462"/>
      <c r="X255" s="1118"/>
      <c r="Y255" s="3464"/>
      <c r="Z255" s="774">
        <f t="shared" si="407"/>
        <v>0</v>
      </c>
      <c r="AA255" s="5729"/>
      <c r="AB255" s="460">
        <f t="shared" si="408"/>
        <v>0</v>
      </c>
      <c r="AC255" s="3462"/>
      <c r="AD255" s="1118"/>
      <c r="AE255" s="3463"/>
      <c r="AF255" s="775">
        <f t="shared" si="409"/>
        <v>0</v>
      </c>
      <c r="AG255" s="3462"/>
      <c r="AH255" s="1118"/>
      <c r="AI255" s="3463"/>
      <c r="AJ255" s="775">
        <f t="shared" ref="AJ255:AJ256" si="442">AF255+AH255</f>
        <v>0</v>
      </c>
      <c r="AK255" s="3462"/>
      <c r="AL255" s="1118"/>
      <c r="AM255" s="3464"/>
      <c r="AN255" s="774">
        <f t="shared" si="426"/>
        <v>0</v>
      </c>
      <c r="AO255" s="3463"/>
      <c r="AP255" s="775">
        <f t="shared" si="427"/>
        <v>0</v>
      </c>
      <c r="AQ255" s="3462"/>
      <c r="AR255" s="1118"/>
      <c r="AS255" s="3463"/>
      <c r="AT255" s="775">
        <f t="shared" ref="AT255:AT256" si="443">AP255+AR255</f>
        <v>0</v>
      </c>
      <c r="AU255" s="3462"/>
      <c r="AV255" s="1118"/>
      <c r="AW255" s="3463"/>
      <c r="AX255" s="775">
        <f t="shared" si="429"/>
        <v>0</v>
      </c>
      <c r="AY255" s="3462"/>
      <c r="AZ255" s="1118"/>
      <c r="BA255" s="3464"/>
      <c r="BB255" s="774">
        <f t="shared" ref="BB255" si="444">AR255+AV255+AZ255</f>
        <v>0</v>
      </c>
      <c r="BC255" s="5729"/>
      <c r="BD255" s="460">
        <f t="shared" ref="BD255" si="445">AN255+BB255</f>
        <v>0</v>
      </c>
      <c r="BE255" s="3463"/>
      <c r="BF255" s="775">
        <f t="shared" ref="BF255:BF256" si="446">AX255+AZ255</f>
        <v>0</v>
      </c>
      <c r="BG255" s="26">
        <f t="shared" si="399"/>
        <v>0</v>
      </c>
      <c r="BH255" s="26">
        <f t="shared" si="400"/>
        <v>0</v>
      </c>
      <c r="BI255" s="26"/>
      <c r="BJ255" s="26">
        <f t="shared" si="401"/>
        <v>0</v>
      </c>
      <c r="BK255" s="26">
        <f t="shared" si="402"/>
        <v>0</v>
      </c>
    </row>
    <row r="256" spans="1:63" ht="20.25" customHeight="1" x14ac:dyDescent="0.3">
      <c r="A256" s="151"/>
      <c r="B256" s="3466" t="s">
        <v>2</v>
      </c>
      <c r="C256" s="202" t="s">
        <v>50</v>
      </c>
      <c r="D256" s="1185">
        <f>+D9</f>
        <v>60000.000000000007</v>
      </c>
      <c r="E256" s="1185">
        <f>+E9</f>
        <v>5454.545454545455</v>
      </c>
      <c r="F256" s="452">
        <f>SUM(F238:F255)</f>
        <v>40.54</v>
      </c>
      <c r="G256" s="1185">
        <f>+G9</f>
        <v>5454.545454545455</v>
      </c>
      <c r="H256" s="452">
        <f>SUM(H238:H255)</f>
        <v>114.39</v>
      </c>
      <c r="I256" s="775">
        <f>E256+G256</f>
        <v>10909.09090909091</v>
      </c>
      <c r="J256" s="775">
        <f t="shared" si="403"/>
        <v>154.93</v>
      </c>
      <c r="K256" s="1185">
        <f>+K9</f>
        <v>5454.545454545455</v>
      </c>
      <c r="L256" s="452">
        <f>SUM(L238:L255)</f>
        <v>0</v>
      </c>
      <c r="M256" s="774">
        <f>E256+G256+K256</f>
        <v>16363.636363636364</v>
      </c>
      <c r="N256" s="774">
        <f t="shared" si="404"/>
        <v>154.93</v>
      </c>
      <c r="O256" s="1185">
        <f>+O9</f>
        <v>5454.545454545455</v>
      </c>
      <c r="P256" s="452">
        <f>SUM(P238:P255)</f>
        <v>38.94</v>
      </c>
      <c r="Q256" s="775">
        <f>M256+O256</f>
        <v>21818.18181818182</v>
      </c>
      <c r="R256" s="775">
        <f t="shared" si="405"/>
        <v>193.87</v>
      </c>
      <c r="S256" s="1185">
        <f>+S9</f>
        <v>5454.545454545455</v>
      </c>
      <c r="T256" s="452">
        <f>SUM(T238:T255)</f>
        <v>158.79</v>
      </c>
      <c r="U256" s="775">
        <f>Q256+S256</f>
        <v>27272.727272727276</v>
      </c>
      <c r="V256" s="775">
        <f t="shared" si="406"/>
        <v>352.65999999999997</v>
      </c>
      <c r="W256" s="1185">
        <f>+W9</f>
        <v>0</v>
      </c>
      <c r="X256" s="452">
        <f>SUM(X238:X255)</f>
        <v>39.89</v>
      </c>
      <c r="Y256" s="774">
        <f>O256+S256+W256</f>
        <v>10909.09090909091</v>
      </c>
      <c r="Z256" s="774">
        <f t="shared" si="407"/>
        <v>237.62</v>
      </c>
      <c r="AA256" s="460">
        <f>M256+Y256</f>
        <v>27272.727272727272</v>
      </c>
      <c r="AB256" s="460">
        <f t="shared" si="408"/>
        <v>392.55</v>
      </c>
      <c r="AC256" s="1185">
        <f>+AC9</f>
        <v>5454.545454545455</v>
      </c>
      <c r="AD256" s="452">
        <f>SUM(AD238:AD255)</f>
        <v>0</v>
      </c>
      <c r="AE256" s="775">
        <f>AA256+AC256</f>
        <v>32727.272727272728</v>
      </c>
      <c r="AF256" s="775">
        <f t="shared" si="409"/>
        <v>392.55</v>
      </c>
      <c r="AG256" s="1185">
        <f>+AG9</f>
        <v>5454.545454545455</v>
      </c>
      <c r="AH256" s="452">
        <f>SUM(AH238:AH255)</f>
        <v>119.21</v>
      </c>
      <c r="AI256" s="775">
        <f>AE256+AG256</f>
        <v>38181.818181818184</v>
      </c>
      <c r="AJ256" s="371">
        <f t="shared" si="442"/>
        <v>511.76</v>
      </c>
      <c r="AK256" s="1185">
        <f>+AK9</f>
        <v>5454.545454545455</v>
      </c>
      <c r="AL256" s="452">
        <f>SUM(AL238:AL255)</f>
        <v>248.22</v>
      </c>
      <c r="AM256" s="774">
        <f>AC256+AG256+AK256</f>
        <v>16363.636363636364</v>
      </c>
      <c r="AN256" s="373">
        <f>AD256+AH256+AL256</f>
        <v>367.43</v>
      </c>
      <c r="AO256" s="775">
        <f t="shared" ref="AO256:AP256" si="447">AI256+AK256</f>
        <v>43636.36363636364</v>
      </c>
      <c r="AP256" s="371">
        <f t="shared" si="447"/>
        <v>759.98</v>
      </c>
      <c r="AQ256" s="1185">
        <f>+AQ9</f>
        <v>5454.545454545455</v>
      </c>
      <c r="AR256" s="452">
        <f>SUM(AR238:AR255)</f>
        <v>0</v>
      </c>
      <c r="AS256" s="775">
        <f>AO256+AQ256</f>
        <v>49090.909090909096</v>
      </c>
      <c r="AT256" s="371">
        <f t="shared" si="443"/>
        <v>759.98</v>
      </c>
      <c r="AU256" s="1185">
        <f>+AU9</f>
        <v>5454.545454545455</v>
      </c>
      <c r="AV256" s="452">
        <f>SUM(AV238:AV255)</f>
        <v>0</v>
      </c>
      <c r="AW256" s="775">
        <f>AS256+AU256</f>
        <v>54545.454545454551</v>
      </c>
      <c r="AX256" s="371">
        <f t="shared" si="429"/>
        <v>759.98</v>
      </c>
      <c r="AY256" s="1185">
        <f>+AY9</f>
        <v>5454.545454545455</v>
      </c>
      <c r="AZ256" s="452">
        <f>SUM(AZ238:AZ255)</f>
        <v>1616.84</v>
      </c>
      <c r="BA256" s="774">
        <f>AQ256+AU256+AY256</f>
        <v>16363.636363636364</v>
      </c>
      <c r="BB256" s="373">
        <f>AR256+AV256+AZ256</f>
        <v>1616.84</v>
      </c>
      <c r="BC256" s="460">
        <f t="shared" ref="BC256" si="448">AM256+BA256</f>
        <v>32727.272727272728</v>
      </c>
      <c r="BD256" s="539">
        <f>AN256+BB256</f>
        <v>1984.27</v>
      </c>
      <c r="BE256" s="775">
        <f>AW256+AY256</f>
        <v>60000.000000000007</v>
      </c>
      <c r="BF256" s="371">
        <f t="shared" si="446"/>
        <v>2376.8199999999997</v>
      </c>
      <c r="BG256" s="26">
        <f t="shared" si="399"/>
        <v>0</v>
      </c>
      <c r="BH256" s="26">
        <f t="shared" si="400"/>
        <v>0</v>
      </c>
      <c r="BI256" s="26"/>
      <c r="BJ256" s="26">
        <f t="shared" si="401"/>
        <v>0</v>
      </c>
      <c r="BK256" s="26">
        <f t="shared" si="402"/>
        <v>0</v>
      </c>
    </row>
    <row r="257" spans="1:63" ht="20.25" customHeight="1" x14ac:dyDescent="0.3">
      <c r="A257" s="151"/>
      <c r="B257" s="3467"/>
      <c r="C257" s="637"/>
      <c r="D257" s="637"/>
      <c r="E257" s="637"/>
      <c r="F257" s="1325"/>
      <c r="G257" s="637"/>
      <c r="H257" s="1325"/>
      <c r="I257" s="866"/>
      <c r="J257" s="775">
        <f t="shared" si="403"/>
        <v>0</v>
      </c>
      <c r="K257" s="637"/>
      <c r="L257" s="1325"/>
      <c r="M257" s="867"/>
      <c r="N257" s="774">
        <f t="shared" si="404"/>
        <v>0</v>
      </c>
      <c r="O257" s="637"/>
      <c r="P257" s="1325"/>
      <c r="Q257" s="866"/>
      <c r="R257" s="775">
        <f t="shared" si="405"/>
        <v>0</v>
      </c>
      <c r="S257" s="637"/>
      <c r="T257" s="1325"/>
      <c r="U257" s="866"/>
      <c r="V257" s="775">
        <f t="shared" si="406"/>
        <v>0</v>
      </c>
      <c r="W257" s="637"/>
      <c r="X257" s="1325"/>
      <c r="Y257" s="867"/>
      <c r="Z257" s="774">
        <f t="shared" si="407"/>
        <v>0</v>
      </c>
      <c r="AA257" s="5733"/>
      <c r="AB257" s="460">
        <f t="shared" si="408"/>
        <v>0</v>
      </c>
      <c r="AC257" s="637"/>
      <c r="AD257" s="1325"/>
      <c r="AE257" s="866"/>
      <c r="AF257" s="775">
        <f t="shared" si="409"/>
        <v>0</v>
      </c>
      <c r="AG257" s="637"/>
      <c r="AH257" s="1325"/>
      <c r="AI257" s="866"/>
      <c r="AJ257" s="3468"/>
      <c r="AK257" s="637"/>
      <c r="AL257" s="1325"/>
      <c r="AM257" s="867"/>
      <c r="AN257" s="1693"/>
      <c r="AO257" s="866"/>
      <c r="AP257" s="3468"/>
      <c r="AQ257" s="637"/>
      <c r="AR257" s="1325"/>
      <c r="AS257" s="866"/>
      <c r="AT257" s="3468"/>
      <c r="AU257" s="637"/>
      <c r="AV257" s="1325"/>
      <c r="AW257" s="866"/>
      <c r="AX257" s="3468"/>
      <c r="AY257" s="637"/>
      <c r="AZ257" s="1325"/>
      <c r="BA257" s="867"/>
      <c r="BB257" s="1693"/>
      <c r="BC257" s="5733"/>
      <c r="BD257" s="5756"/>
      <c r="BE257" s="866"/>
      <c r="BF257" s="3468"/>
      <c r="BG257" s="26">
        <f t="shared" si="399"/>
        <v>0</v>
      </c>
      <c r="BH257" s="26">
        <f t="shared" si="400"/>
        <v>0</v>
      </c>
      <c r="BI257" s="26"/>
      <c r="BJ257" s="26">
        <f t="shared" si="401"/>
        <v>0</v>
      </c>
      <c r="BK257" s="26">
        <f t="shared" si="402"/>
        <v>0</v>
      </c>
    </row>
    <row r="258" spans="1:63" ht="40.5" customHeight="1" x14ac:dyDescent="0.3">
      <c r="A258" s="151"/>
      <c r="B258" s="3469" t="s">
        <v>320</v>
      </c>
      <c r="C258" s="5767" t="s">
        <v>844</v>
      </c>
      <c r="D258" s="3401"/>
      <c r="E258" s="3401"/>
      <c r="F258" s="3401"/>
      <c r="G258" s="3401"/>
      <c r="H258" s="3401"/>
      <c r="I258" s="3470"/>
      <c r="J258" s="775">
        <f t="shared" si="403"/>
        <v>0</v>
      </c>
      <c r="K258" s="3401"/>
      <c r="L258" s="3401"/>
      <c r="M258" s="3471"/>
      <c r="N258" s="774">
        <f t="shared" si="404"/>
        <v>0</v>
      </c>
      <c r="O258" s="3401"/>
      <c r="P258" s="3401"/>
      <c r="Q258" s="3470"/>
      <c r="R258" s="775">
        <f t="shared" si="405"/>
        <v>0</v>
      </c>
      <c r="S258" s="3401"/>
      <c r="T258" s="3401"/>
      <c r="U258" s="3470"/>
      <c r="V258" s="775">
        <f t="shared" si="406"/>
        <v>0</v>
      </c>
      <c r="W258" s="3401"/>
      <c r="X258" s="3401"/>
      <c r="Y258" s="3471"/>
      <c r="Z258" s="774">
        <f t="shared" si="407"/>
        <v>0</v>
      </c>
      <c r="AA258" s="3523"/>
      <c r="AB258" s="460">
        <f t="shared" si="408"/>
        <v>0</v>
      </c>
      <c r="AC258" s="3401"/>
      <c r="AD258" s="3401"/>
      <c r="AE258" s="3470"/>
      <c r="AF258" s="775">
        <f t="shared" si="409"/>
        <v>0</v>
      </c>
      <c r="AG258" s="3401"/>
      <c r="AH258" s="3401"/>
      <c r="AI258" s="3470"/>
      <c r="AJ258" s="3470"/>
      <c r="AK258" s="3401"/>
      <c r="AL258" s="3401"/>
      <c r="AM258" s="3471"/>
      <c r="AN258" s="3471"/>
      <c r="AO258" s="3470"/>
      <c r="AP258" s="3470"/>
      <c r="AQ258" s="3401"/>
      <c r="AR258" s="3401"/>
      <c r="AS258" s="3470"/>
      <c r="AT258" s="3470"/>
      <c r="AU258" s="3401"/>
      <c r="AV258" s="3401"/>
      <c r="AW258" s="3470"/>
      <c r="AX258" s="3470"/>
      <c r="AY258" s="3401"/>
      <c r="AZ258" s="3401"/>
      <c r="BA258" s="3471"/>
      <c r="BB258" s="3471"/>
      <c r="BC258" s="3523"/>
      <c r="BD258" s="3523"/>
      <c r="BE258" s="3470"/>
      <c r="BF258" s="3470"/>
      <c r="BG258" s="26">
        <f t="shared" si="399"/>
        <v>0</v>
      </c>
      <c r="BH258" s="26">
        <f t="shared" si="400"/>
        <v>0</v>
      </c>
      <c r="BI258" s="26"/>
      <c r="BJ258" s="26">
        <f t="shared" si="401"/>
        <v>0</v>
      </c>
      <c r="BK258" s="26">
        <f t="shared" si="402"/>
        <v>0</v>
      </c>
    </row>
    <row r="259" spans="1:63" ht="20.25" customHeight="1" x14ac:dyDescent="0.3">
      <c r="A259" s="151"/>
      <c r="B259" s="3472" t="s">
        <v>852</v>
      </c>
      <c r="C259" s="3443" t="s">
        <v>995</v>
      </c>
      <c r="D259" s="3443"/>
      <c r="E259" s="3473"/>
      <c r="F259" s="1118"/>
      <c r="G259" s="3473"/>
      <c r="H259" s="1118"/>
      <c r="I259" s="3474"/>
      <c r="J259" s="775">
        <f t="shared" si="403"/>
        <v>0</v>
      </c>
      <c r="K259" s="3473"/>
      <c r="L259" s="1118"/>
      <c r="M259" s="3475"/>
      <c r="N259" s="774">
        <f t="shared" si="404"/>
        <v>0</v>
      </c>
      <c r="O259" s="3473"/>
      <c r="P259" s="1118"/>
      <c r="Q259" s="3474"/>
      <c r="R259" s="775">
        <f t="shared" si="405"/>
        <v>0</v>
      </c>
      <c r="S259" s="3473"/>
      <c r="T259" s="1118"/>
      <c r="U259" s="3474"/>
      <c r="V259" s="775">
        <f t="shared" si="406"/>
        <v>0</v>
      </c>
      <c r="W259" s="3473"/>
      <c r="X259" s="1118"/>
      <c r="Y259" s="3475"/>
      <c r="Z259" s="774">
        <f t="shared" si="407"/>
        <v>0</v>
      </c>
      <c r="AA259" s="5734"/>
      <c r="AB259" s="460">
        <f t="shared" si="408"/>
        <v>0</v>
      </c>
      <c r="AC259" s="3473"/>
      <c r="AD259" s="1118"/>
      <c r="AE259" s="3474"/>
      <c r="AF259" s="775">
        <f t="shared" si="409"/>
        <v>0</v>
      </c>
      <c r="AG259" s="3473"/>
      <c r="AH259" s="1118">
        <v>28.334</v>
      </c>
      <c r="AI259" s="3474"/>
      <c r="AJ259" s="775">
        <f>AF259+AH259</f>
        <v>28.334</v>
      </c>
      <c r="AK259" s="3473"/>
      <c r="AL259" s="1118"/>
      <c r="AM259" s="3475"/>
      <c r="AN259" s="441">
        <f t="shared" ref="AN259:AN299" si="449">AD259+AH259+AL259</f>
        <v>28.334</v>
      </c>
      <c r="AO259" s="3474"/>
      <c r="AP259" s="775">
        <f t="shared" ref="AO259:AP302" si="450">AJ259+AL259</f>
        <v>28.334</v>
      </c>
      <c r="AQ259" s="3473"/>
      <c r="AR259" s="1118"/>
      <c r="AS259" s="3474"/>
      <c r="AT259" s="775">
        <f>AP259+AR259</f>
        <v>28.334</v>
      </c>
      <c r="AU259" s="3473"/>
      <c r="AV259" s="1118"/>
      <c r="AW259" s="3474"/>
      <c r="AX259" s="775">
        <f>AT259+AV259</f>
        <v>28.334</v>
      </c>
      <c r="AY259" s="3473"/>
      <c r="AZ259" s="1118"/>
      <c r="BA259" s="3475"/>
      <c r="BB259" s="441">
        <f t="shared" ref="BB259:BB296" si="451">AR259+AV259+AZ259</f>
        <v>0</v>
      </c>
      <c r="BC259" s="5734"/>
      <c r="BD259" s="460">
        <f t="shared" ref="BD259:BD298" si="452">AN259+BB259</f>
        <v>28.334</v>
      </c>
      <c r="BE259" s="3474"/>
      <c r="BF259" s="775">
        <f>AX259+AZ259</f>
        <v>28.334</v>
      </c>
      <c r="BG259" s="26">
        <f t="shared" si="399"/>
        <v>0</v>
      </c>
      <c r="BH259" s="26">
        <f t="shared" si="400"/>
        <v>0</v>
      </c>
      <c r="BI259" s="26"/>
      <c r="BJ259" s="26">
        <f t="shared" si="401"/>
        <v>0</v>
      </c>
      <c r="BK259" s="26">
        <f t="shared" si="402"/>
        <v>0</v>
      </c>
    </row>
    <row r="260" spans="1:63" x14ac:dyDescent="0.3">
      <c r="A260" s="151"/>
      <c r="B260" s="5288" t="s">
        <v>852</v>
      </c>
      <c r="C260" s="5289" t="s">
        <v>879</v>
      </c>
      <c r="D260" s="4421"/>
      <c r="E260" s="4422"/>
      <c r="F260" s="4423"/>
      <c r="G260" s="4422"/>
      <c r="H260" s="4423"/>
      <c r="I260" s="4424"/>
      <c r="J260" s="775">
        <f t="shared" si="403"/>
        <v>0</v>
      </c>
      <c r="K260" s="4422"/>
      <c r="L260" s="4423"/>
      <c r="M260" s="4426"/>
      <c r="N260" s="774">
        <f t="shared" si="404"/>
        <v>0</v>
      </c>
      <c r="O260" s="4422"/>
      <c r="P260" s="4423"/>
      <c r="Q260" s="4424"/>
      <c r="R260" s="775">
        <f t="shared" si="405"/>
        <v>0</v>
      </c>
      <c r="S260" s="4422"/>
      <c r="T260" s="4423"/>
      <c r="U260" s="4424"/>
      <c r="V260" s="775">
        <f t="shared" si="406"/>
        <v>0</v>
      </c>
      <c r="W260" s="4422"/>
      <c r="X260" s="4423"/>
      <c r="Y260" s="4426"/>
      <c r="Z260" s="774">
        <f t="shared" si="407"/>
        <v>0</v>
      </c>
      <c r="AA260" s="5735"/>
      <c r="AB260" s="460">
        <f t="shared" si="408"/>
        <v>0</v>
      </c>
      <c r="AC260" s="4422"/>
      <c r="AD260" s="4423"/>
      <c r="AE260" s="4424"/>
      <c r="AF260" s="775">
        <f t="shared" si="409"/>
        <v>0</v>
      </c>
      <c r="AG260" s="4422"/>
      <c r="AH260" s="4423">
        <v>30.513999999999999</v>
      </c>
      <c r="AI260" s="5290"/>
      <c r="AJ260" s="4425">
        <f t="shared" ref="AJ260:AJ298" si="453">AF260+AH260</f>
        <v>30.513999999999999</v>
      </c>
      <c r="AK260" s="4422"/>
      <c r="AL260" s="4423"/>
      <c r="AM260" s="4426"/>
      <c r="AN260" s="4427">
        <f t="shared" si="449"/>
        <v>30.513999999999999</v>
      </c>
      <c r="AO260" s="4424"/>
      <c r="AP260" s="4425">
        <f t="shared" si="450"/>
        <v>30.513999999999999</v>
      </c>
      <c r="AQ260" s="4422"/>
      <c r="AR260" s="4423"/>
      <c r="AS260" s="4424"/>
      <c r="AT260" s="4425">
        <f t="shared" ref="AT260:AT323" si="454">AP260+AR260</f>
        <v>30.513999999999999</v>
      </c>
      <c r="AU260" s="4422"/>
      <c r="AV260" s="4423"/>
      <c r="AW260" s="4424"/>
      <c r="AX260" s="4425">
        <f t="shared" ref="AX260:AX292" si="455">AT260+AV260</f>
        <v>30.513999999999999</v>
      </c>
      <c r="AY260" s="4422"/>
      <c r="AZ260" s="4423"/>
      <c r="BA260" s="4426"/>
      <c r="BB260" s="4427">
        <f t="shared" si="451"/>
        <v>0</v>
      </c>
      <c r="BC260" s="5735"/>
      <c r="BD260" s="5742">
        <f t="shared" si="452"/>
        <v>30.513999999999999</v>
      </c>
      <c r="BE260" s="4424"/>
      <c r="BF260" s="4425">
        <f t="shared" ref="BF260:BF296" si="456">AX260+AZ260</f>
        <v>30.513999999999999</v>
      </c>
      <c r="BG260" s="26">
        <f t="shared" si="399"/>
        <v>0</v>
      </c>
      <c r="BH260" s="26">
        <f t="shared" si="400"/>
        <v>0</v>
      </c>
      <c r="BI260" s="26"/>
      <c r="BJ260" s="26">
        <f t="shared" si="401"/>
        <v>0</v>
      </c>
      <c r="BK260" s="26">
        <f t="shared" si="402"/>
        <v>0</v>
      </c>
    </row>
    <row r="261" spans="1:63" ht="15" thickBot="1" x14ac:dyDescent="0.35">
      <c r="A261" s="151"/>
      <c r="B261" s="4895" t="s">
        <v>852</v>
      </c>
      <c r="C261" s="3487" t="s">
        <v>870</v>
      </c>
      <c r="D261" s="3487"/>
      <c r="E261" s="3488"/>
      <c r="F261" s="2234"/>
      <c r="G261" s="3488"/>
      <c r="H261" s="2234"/>
      <c r="I261" s="3489"/>
      <c r="J261" s="5120"/>
      <c r="K261" s="3488"/>
      <c r="L261" s="2234"/>
      <c r="M261" s="4972"/>
      <c r="N261" s="5121"/>
      <c r="O261" s="3488"/>
      <c r="P261" s="2234"/>
      <c r="Q261" s="3489"/>
      <c r="R261" s="5120"/>
      <c r="S261" s="3488"/>
      <c r="T261" s="2234"/>
      <c r="U261" s="3489"/>
      <c r="V261" s="5120"/>
      <c r="W261" s="3488"/>
      <c r="X261" s="2234"/>
      <c r="Y261" s="4972"/>
      <c r="Z261" s="5121"/>
      <c r="AA261" s="5736"/>
      <c r="AB261" s="5406"/>
      <c r="AC261" s="3488"/>
      <c r="AD261" s="2234"/>
      <c r="AE261" s="3489"/>
      <c r="AF261" s="5120"/>
      <c r="AG261" s="3488"/>
      <c r="AH261" s="2234"/>
      <c r="AI261" s="3489"/>
      <c r="AJ261" s="4425">
        <f t="shared" ref="AJ261" si="457">AF261+AH261</f>
        <v>0</v>
      </c>
      <c r="AK261" s="4422"/>
      <c r="AL261" s="4423">
        <v>125.22</v>
      </c>
      <c r="AM261" s="4426"/>
      <c r="AN261" s="4427">
        <f t="shared" ref="AN261" si="458">AD261+AH261+AL261</f>
        <v>125.22</v>
      </c>
      <c r="AO261" s="4424"/>
      <c r="AP261" s="4425">
        <f t="shared" ref="AP261" si="459">AJ261+AL261</f>
        <v>125.22</v>
      </c>
      <c r="AQ261" s="4422"/>
      <c r="AR261" s="4423">
        <v>31.126000000000001</v>
      </c>
      <c r="AS261" s="4424"/>
      <c r="AT261" s="4425">
        <f t="shared" si="454"/>
        <v>156.346</v>
      </c>
      <c r="AU261" s="4422"/>
      <c r="AV261" s="4423"/>
      <c r="AW261" s="4424"/>
      <c r="AX261" s="4425">
        <f t="shared" ref="AX261:AX262" si="460">AT261+AV261</f>
        <v>156.346</v>
      </c>
      <c r="AY261" s="4422"/>
      <c r="AZ261" s="4423">
        <v>11.24</v>
      </c>
      <c r="BA261" s="4426"/>
      <c r="BB261" s="4427">
        <f t="shared" ref="BB261" si="461">AR261+AV261+AZ261</f>
        <v>42.366</v>
      </c>
      <c r="BC261" s="5735"/>
      <c r="BD261" s="5742">
        <f t="shared" ref="BD261" si="462">AN261+BB261</f>
        <v>167.58600000000001</v>
      </c>
      <c r="BE261" s="4424"/>
      <c r="BF261" s="4425">
        <f t="shared" ref="BF261" si="463">AX261+AZ261</f>
        <v>167.58600000000001</v>
      </c>
      <c r="BG261" s="26">
        <f t="shared" si="399"/>
        <v>0</v>
      </c>
      <c r="BH261" s="26">
        <f t="shared" si="400"/>
        <v>0</v>
      </c>
      <c r="BI261" s="26"/>
      <c r="BJ261" s="26">
        <f t="shared" si="401"/>
        <v>0</v>
      </c>
      <c r="BK261" s="26">
        <f t="shared" si="402"/>
        <v>0</v>
      </c>
    </row>
    <row r="262" spans="1:63" ht="15" thickBot="1" x14ac:dyDescent="0.35">
      <c r="A262" s="151"/>
      <c r="B262" s="3494" t="s">
        <v>1900</v>
      </c>
      <c r="C262" s="3495" t="s">
        <v>870</v>
      </c>
      <c r="D262" s="3495"/>
      <c r="E262" s="3496"/>
      <c r="F262" s="2912">
        <v>125.06</v>
      </c>
      <c r="G262" s="3496"/>
      <c r="H262" s="2912"/>
      <c r="I262" s="3497"/>
      <c r="J262" s="775">
        <f t="shared" si="403"/>
        <v>125.06</v>
      </c>
      <c r="K262" s="3496"/>
      <c r="L262" s="2912">
        <v>1703.7999999999997</v>
      </c>
      <c r="M262" s="4428"/>
      <c r="N262" s="774">
        <f t="shared" si="404"/>
        <v>1828.8599999999997</v>
      </c>
      <c r="O262" s="3496"/>
      <c r="P262" s="2912">
        <v>318.7</v>
      </c>
      <c r="Q262" s="3497"/>
      <c r="R262" s="775">
        <f t="shared" si="405"/>
        <v>2147.5599999999995</v>
      </c>
      <c r="S262" s="3496"/>
      <c r="T262" s="2912">
        <v>40.93</v>
      </c>
      <c r="U262" s="3497"/>
      <c r="V262" s="775">
        <f t="shared" si="406"/>
        <v>2188.4899999999993</v>
      </c>
      <c r="W262" s="3496"/>
      <c r="X262" s="2912">
        <v>192.64</v>
      </c>
      <c r="Y262" s="4428"/>
      <c r="Z262" s="774">
        <f t="shared" si="407"/>
        <v>552.27</v>
      </c>
      <c r="AA262" s="5737"/>
      <c r="AB262" s="460">
        <f t="shared" si="408"/>
        <v>2381.1299999999997</v>
      </c>
      <c r="AC262" s="3496"/>
      <c r="AD262" s="2912">
        <v>64.48</v>
      </c>
      <c r="AE262" s="3497"/>
      <c r="AF262" s="775">
        <f t="shared" si="409"/>
        <v>2445.6099999999997</v>
      </c>
      <c r="AG262" s="3496"/>
      <c r="AH262" s="2912"/>
      <c r="AI262" s="3497"/>
      <c r="AJ262" s="4425">
        <f t="shared" si="453"/>
        <v>2445.6099999999997</v>
      </c>
      <c r="AK262" s="3496"/>
      <c r="AL262" s="2912"/>
      <c r="AM262" s="4428"/>
      <c r="AN262" s="4427">
        <f t="shared" ref="AN262:AN266" si="464">AD262+AH262+AL262</f>
        <v>64.48</v>
      </c>
      <c r="AO262" s="4424"/>
      <c r="AP262" s="4425">
        <f t="shared" ref="AP262:AP266" si="465">AJ262+AL262</f>
        <v>2445.6099999999997</v>
      </c>
      <c r="AQ262" s="3496"/>
      <c r="AR262" s="2912">
        <v>15.734999999999999</v>
      </c>
      <c r="AS262" s="3497"/>
      <c r="AT262" s="2913">
        <f t="shared" si="454"/>
        <v>2461.3449999999998</v>
      </c>
      <c r="AU262" s="3496"/>
      <c r="AV262" s="2912"/>
      <c r="AW262" s="3497"/>
      <c r="AX262" s="4425">
        <f t="shared" si="460"/>
        <v>2461.3449999999998</v>
      </c>
      <c r="AY262" s="3496"/>
      <c r="AZ262" s="2912">
        <v>4028.89</v>
      </c>
      <c r="BA262" s="4428"/>
      <c r="BB262" s="4427">
        <f t="shared" si="451"/>
        <v>4044.625</v>
      </c>
      <c r="BC262" s="5737"/>
      <c r="BD262" s="5742">
        <f t="shared" si="452"/>
        <v>4109.1049999999996</v>
      </c>
      <c r="BE262" s="3497"/>
      <c r="BF262" s="4425">
        <f t="shared" si="456"/>
        <v>6490.2349999999997</v>
      </c>
      <c r="BG262" s="26">
        <f t="shared" si="399"/>
        <v>0</v>
      </c>
      <c r="BH262" s="26">
        <f t="shared" si="400"/>
        <v>0</v>
      </c>
      <c r="BI262" s="26"/>
      <c r="BJ262" s="26">
        <f t="shared" si="401"/>
        <v>0</v>
      </c>
      <c r="BK262" s="26">
        <f t="shared" si="402"/>
        <v>0</v>
      </c>
    </row>
    <row r="263" spans="1:63" x14ac:dyDescent="0.3">
      <c r="A263" s="151"/>
      <c r="B263" s="4041" t="s">
        <v>851</v>
      </c>
      <c r="C263" s="3449" t="s">
        <v>1139</v>
      </c>
      <c r="D263" s="3449"/>
      <c r="E263" s="3492"/>
      <c r="F263" s="1288">
        <v>2606.42</v>
      </c>
      <c r="G263" s="3492"/>
      <c r="H263" s="1288">
        <v>3329.1699999999996</v>
      </c>
      <c r="I263" s="3493"/>
      <c r="J263" s="775">
        <f t="shared" si="403"/>
        <v>5935.59</v>
      </c>
      <c r="K263" s="3492"/>
      <c r="L263" s="1288">
        <v>2553.2999999999997</v>
      </c>
      <c r="M263" s="4385"/>
      <c r="N263" s="774">
        <f t="shared" si="404"/>
        <v>8488.89</v>
      </c>
      <c r="O263" s="3492"/>
      <c r="P263" s="1288">
        <v>2770.58</v>
      </c>
      <c r="Q263" s="3493"/>
      <c r="R263" s="775">
        <f t="shared" si="405"/>
        <v>11259.47</v>
      </c>
      <c r="S263" s="3492"/>
      <c r="T263" s="1288">
        <v>1418.6100000000001</v>
      </c>
      <c r="U263" s="3493"/>
      <c r="V263" s="775">
        <f t="shared" si="406"/>
        <v>12678.08</v>
      </c>
      <c r="W263" s="3492"/>
      <c r="X263" s="1288">
        <v>763.62000000000012</v>
      </c>
      <c r="Y263" s="4385"/>
      <c r="Z263" s="774">
        <f t="shared" si="407"/>
        <v>4952.8100000000004</v>
      </c>
      <c r="AA263" s="5738"/>
      <c r="AB263" s="460">
        <f t="shared" si="408"/>
        <v>13441.7</v>
      </c>
      <c r="AC263" s="3492"/>
      <c r="AD263" s="1288">
        <v>1451.5499999999997</v>
      </c>
      <c r="AE263" s="3493"/>
      <c r="AF263" s="775">
        <f t="shared" si="409"/>
        <v>14893.25</v>
      </c>
      <c r="AG263" s="3492"/>
      <c r="AH263" s="1288">
        <v>1039.394</v>
      </c>
      <c r="AI263" s="3493"/>
      <c r="AJ263" s="4425">
        <f t="shared" si="453"/>
        <v>15932.644</v>
      </c>
      <c r="AK263" s="3492"/>
      <c r="AL263" s="1288">
        <v>3077.92</v>
      </c>
      <c r="AM263" s="4385"/>
      <c r="AN263" s="4427">
        <f t="shared" si="464"/>
        <v>5568.8639999999996</v>
      </c>
      <c r="AO263" s="4424"/>
      <c r="AP263" s="4425">
        <f t="shared" si="465"/>
        <v>19010.563999999998</v>
      </c>
      <c r="AQ263" s="3492"/>
      <c r="AR263" s="1288">
        <v>4885.92</v>
      </c>
      <c r="AS263" s="3493"/>
      <c r="AT263" s="567">
        <f t="shared" si="454"/>
        <v>23896.483999999997</v>
      </c>
      <c r="AU263" s="3492"/>
      <c r="AV263" s="1288">
        <v>5067.51</v>
      </c>
      <c r="AW263" s="3493"/>
      <c r="AX263" s="61">
        <f t="shared" si="455"/>
        <v>28963.993999999999</v>
      </c>
      <c r="AY263" s="3492"/>
      <c r="AZ263" s="1288">
        <v>6735.2</v>
      </c>
      <c r="BA263" s="4385"/>
      <c r="BB263" s="4386">
        <f t="shared" si="451"/>
        <v>16688.63</v>
      </c>
      <c r="BC263" s="5738"/>
      <c r="BD263" s="1584">
        <f t="shared" si="452"/>
        <v>22257.493999999999</v>
      </c>
      <c r="BE263" s="3493"/>
      <c r="BF263" s="567">
        <f t="shared" si="456"/>
        <v>35699.193999999996</v>
      </c>
      <c r="BG263" s="26">
        <f t="shared" si="399"/>
        <v>0</v>
      </c>
      <c r="BH263" s="26">
        <f t="shared" si="400"/>
        <v>0</v>
      </c>
      <c r="BI263" s="26"/>
      <c r="BJ263" s="26">
        <f t="shared" si="401"/>
        <v>0</v>
      </c>
      <c r="BK263" s="26">
        <f t="shared" si="402"/>
        <v>0</v>
      </c>
    </row>
    <row r="264" spans="1:63" x14ac:dyDescent="0.3">
      <c r="A264" s="151"/>
      <c r="B264" s="842" t="s">
        <v>851</v>
      </c>
      <c r="C264" s="4387" t="s">
        <v>870</v>
      </c>
      <c r="D264" s="4387"/>
      <c r="E264" s="4388"/>
      <c r="F264" s="4389">
        <v>3109.04</v>
      </c>
      <c r="G264" s="4388"/>
      <c r="H264" s="4389">
        <v>4506.4000000000005</v>
      </c>
      <c r="I264" s="4390"/>
      <c r="J264" s="775">
        <f t="shared" si="403"/>
        <v>7615.4400000000005</v>
      </c>
      <c r="K264" s="4388"/>
      <c r="L264" s="4389">
        <v>4565.2899999999991</v>
      </c>
      <c r="M264" s="4391"/>
      <c r="N264" s="774">
        <f t="shared" si="404"/>
        <v>12180.73</v>
      </c>
      <c r="O264" s="4388"/>
      <c r="P264" s="4389">
        <v>6944.8000000000011</v>
      </c>
      <c r="Q264" s="4390"/>
      <c r="R264" s="775">
        <f t="shared" si="405"/>
        <v>19125.53</v>
      </c>
      <c r="S264" s="4388"/>
      <c r="T264" s="4389">
        <v>5187.9499999999989</v>
      </c>
      <c r="U264" s="4390"/>
      <c r="V264" s="775">
        <f t="shared" si="406"/>
        <v>24313.479999999996</v>
      </c>
      <c r="W264" s="4388"/>
      <c r="X264" s="4389">
        <v>2448.8000000000002</v>
      </c>
      <c r="Y264" s="4391"/>
      <c r="Z264" s="774">
        <f t="shared" si="407"/>
        <v>14581.55</v>
      </c>
      <c r="AA264" s="5739"/>
      <c r="AB264" s="460">
        <f t="shared" si="408"/>
        <v>26762.28</v>
      </c>
      <c r="AC264" s="4388"/>
      <c r="AD264" s="4389">
        <v>1587.6500000000003</v>
      </c>
      <c r="AE264" s="4390"/>
      <c r="AF264" s="775">
        <f t="shared" si="409"/>
        <v>28349.93</v>
      </c>
      <c r="AG264" s="4388"/>
      <c r="AH264" s="4389">
        <v>104.89</v>
      </c>
      <c r="AI264" s="4390"/>
      <c r="AJ264" s="4425">
        <f t="shared" si="453"/>
        <v>28454.82</v>
      </c>
      <c r="AK264" s="4388"/>
      <c r="AL264" s="4389">
        <v>2670.62</v>
      </c>
      <c r="AM264" s="4391"/>
      <c r="AN264" s="4427">
        <f t="shared" si="464"/>
        <v>4363.16</v>
      </c>
      <c r="AO264" s="4424"/>
      <c r="AP264" s="4425">
        <f t="shared" si="465"/>
        <v>31125.439999999999</v>
      </c>
      <c r="AQ264" s="4388"/>
      <c r="AR264" s="4389">
        <v>9.8699999999999992</v>
      </c>
      <c r="AS264" s="4390"/>
      <c r="AT264" s="4392">
        <f t="shared" si="454"/>
        <v>31135.309999999998</v>
      </c>
      <c r="AU264" s="4388"/>
      <c r="AV264" s="4389"/>
      <c r="AW264" s="4390"/>
      <c r="AX264" s="38">
        <f t="shared" si="455"/>
        <v>31135.309999999998</v>
      </c>
      <c r="AY264" s="4388"/>
      <c r="AZ264" s="4389">
        <v>2158.6460000000002</v>
      </c>
      <c r="BA264" s="3475"/>
      <c r="BB264" s="4386">
        <f t="shared" si="451"/>
        <v>2168.5160000000001</v>
      </c>
      <c r="BC264" s="5734"/>
      <c r="BD264" s="1584">
        <f t="shared" si="452"/>
        <v>6531.6759999999995</v>
      </c>
      <c r="BE264" s="3474"/>
      <c r="BF264" s="567">
        <f t="shared" si="456"/>
        <v>33293.955999999998</v>
      </c>
      <c r="BG264" s="26">
        <f t="shared" si="399"/>
        <v>0</v>
      </c>
      <c r="BH264" s="26">
        <f t="shared" si="400"/>
        <v>0</v>
      </c>
      <c r="BI264" s="26"/>
      <c r="BJ264" s="26">
        <f t="shared" si="401"/>
        <v>0</v>
      </c>
      <c r="BK264" s="26">
        <f t="shared" si="402"/>
        <v>0</v>
      </c>
    </row>
    <row r="265" spans="1:63" x14ac:dyDescent="0.3">
      <c r="A265" s="151"/>
      <c r="B265" s="842" t="s">
        <v>851</v>
      </c>
      <c r="C265" s="4387" t="s">
        <v>879</v>
      </c>
      <c r="D265" s="4387"/>
      <c r="E265" s="4388"/>
      <c r="F265" s="4389">
        <v>4228.2300000000005</v>
      </c>
      <c r="G265" s="4388"/>
      <c r="H265" s="4389">
        <v>6571.0600000000022</v>
      </c>
      <c r="I265" s="4390"/>
      <c r="J265" s="775">
        <f t="shared" si="403"/>
        <v>10799.290000000003</v>
      </c>
      <c r="K265" s="4388"/>
      <c r="L265" s="4389">
        <v>9076.2199999999993</v>
      </c>
      <c r="M265" s="4391"/>
      <c r="N265" s="774">
        <f t="shared" si="404"/>
        <v>19875.510000000002</v>
      </c>
      <c r="O265" s="4388"/>
      <c r="P265" s="4389">
        <v>7564.7600000000011</v>
      </c>
      <c r="Q265" s="4390"/>
      <c r="R265" s="775">
        <f t="shared" si="405"/>
        <v>27440.270000000004</v>
      </c>
      <c r="S265" s="4388"/>
      <c r="T265" s="4389">
        <v>3975.4000000000005</v>
      </c>
      <c r="U265" s="4390"/>
      <c r="V265" s="775">
        <f t="shared" si="406"/>
        <v>31415.670000000006</v>
      </c>
      <c r="W265" s="4388"/>
      <c r="X265" s="4389">
        <v>12348.01</v>
      </c>
      <c r="Y265" s="4391"/>
      <c r="Z265" s="774">
        <f t="shared" si="407"/>
        <v>23888.170000000002</v>
      </c>
      <c r="AA265" s="5739"/>
      <c r="AB265" s="460">
        <f t="shared" si="408"/>
        <v>43763.680000000008</v>
      </c>
      <c r="AC265" s="4388"/>
      <c r="AD265" s="4389">
        <v>8295.32</v>
      </c>
      <c r="AE265" s="4390"/>
      <c r="AF265" s="775">
        <f t="shared" si="409"/>
        <v>52059.000000000007</v>
      </c>
      <c r="AG265" s="4388"/>
      <c r="AH265" s="4389">
        <v>9618.8560000000016</v>
      </c>
      <c r="AI265" s="4390"/>
      <c r="AJ265" s="4425">
        <f t="shared" si="453"/>
        <v>61677.856000000007</v>
      </c>
      <c r="AK265" s="4388"/>
      <c r="AL265" s="4389">
        <v>11957.259999999998</v>
      </c>
      <c r="AM265" s="4391"/>
      <c r="AN265" s="4427">
        <f t="shared" si="464"/>
        <v>29871.435999999998</v>
      </c>
      <c r="AO265" s="4424"/>
      <c r="AP265" s="4425">
        <f t="shared" si="465"/>
        <v>73635.116000000009</v>
      </c>
      <c r="AQ265" s="4388"/>
      <c r="AR265" s="4389">
        <v>6709.6999999999989</v>
      </c>
      <c r="AS265" s="4390"/>
      <c r="AT265" s="4392">
        <f t="shared" si="454"/>
        <v>80344.816000000006</v>
      </c>
      <c r="AU265" s="4388"/>
      <c r="AV265" s="4389">
        <v>10274.030000000001</v>
      </c>
      <c r="AW265" s="4390"/>
      <c r="AX265" s="38">
        <f t="shared" si="455"/>
        <v>90618.846000000005</v>
      </c>
      <c r="AY265" s="4388"/>
      <c r="AZ265" s="4389">
        <v>8889.0499999999993</v>
      </c>
      <c r="BA265" s="3475"/>
      <c r="BB265" s="4386">
        <f t="shared" si="451"/>
        <v>25872.78</v>
      </c>
      <c r="BC265" s="5734"/>
      <c r="BD265" s="1584">
        <f t="shared" si="452"/>
        <v>55744.216</v>
      </c>
      <c r="BE265" s="3474"/>
      <c r="BF265" s="567">
        <f t="shared" si="456"/>
        <v>99507.896000000008</v>
      </c>
      <c r="BG265" s="26">
        <f t="shared" si="399"/>
        <v>0</v>
      </c>
      <c r="BH265" s="26">
        <f t="shared" si="400"/>
        <v>0</v>
      </c>
      <c r="BI265" s="26"/>
      <c r="BJ265" s="26">
        <f t="shared" si="401"/>
        <v>0</v>
      </c>
      <c r="BK265" s="26">
        <f t="shared" si="402"/>
        <v>0</v>
      </c>
    </row>
    <row r="266" spans="1:63" ht="20.25" customHeight="1" x14ac:dyDescent="0.3">
      <c r="A266" s="151"/>
      <c r="B266" s="842" t="s">
        <v>851</v>
      </c>
      <c r="C266" s="4387" t="s">
        <v>995</v>
      </c>
      <c r="D266" s="4387"/>
      <c r="E266" s="4388"/>
      <c r="F266" s="4389"/>
      <c r="G266" s="4388"/>
      <c r="H266" s="4389"/>
      <c r="I266" s="4390"/>
      <c r="J266" s="775">
        <f t="shared" si="403"/>
        <v>0</v>
      </c>
      <c r="K266" s="4388"/>
      <c r="L266" s="4389"/>
      <c r="M266" s="4391"/>
      <c r="N266" s="774">
        <f t="shared" si="404"/>
        <v>0</v>
      </c>
      <c r="O266" s="4388"/>
      <c r="P266" s="4389"/>
      <c r="Q266" s="4390"/>
      <c r="R266" s="775">
        <f t="shared" si="405"/>
        <v>0</v>
      </c>
      <c r="S266" s="4388"/>
      <c r="T266" s="4389"/>
      <c r="U266" s="4390"/>
      <c r="V266" s="775">
        <f t="shared" si="406"/>
        <v>0</v>
      </c>
      <c r="W266" s="4388"/>
      <c r="X266" s="4389"/>
      <c r="Y266" s="4391"/>
      <c r="Z266" s="774">
        <f t="shared" si="407"/>
        <v>0</v>
      </c>
      <c r="AA266" s="5739"/>
      <c r="AB266" s="460">
        <f t="shared" si="408"/>
        <v>0</v>
      </c>
      <c r="AC266" s="4388"/>
      <c r="AD266" s="4389"/>
      <c r="AE266" s="4390"/>
      <c r="AF266" s="775">
        <f t="shared" si="409"/>
        <v>0</v>
      </c>
      <c r="AG266" s="4388"/>
      <c r="AH266" s="4389"/>
      <c r="AI266" s="4390"/>
      <c r="AJ266" s="4425">
        <f t="shared" si="453"/>
        <v>0</v>
      </c>
      <c r="AK266" s="4388"/>
      <c r="AL266" s="4389">
        <v>21.137</v>
      </c>
      <c r="AM266" s="4391"/>
      <c r="AN266" s="4427">
        <f t="shared" si="464"/>
        <v>21.137</v>
      </c>
      <c r="AO266" s="4424"/>
      <c r="AP266" s="4425">
        <f t="shared" si="465"/>
        <v>21.137</v>
      </c>
      <c r="AQ266" s="4388"/>
      <c r="AR266" s="4389"/>
      <c r="AS266" s="4390"/>
      <c r="AT266" s="4392">
        <f t="shared" si="454"/>
        <v>21.137</v>
      </c>
      <c r="AU266" s="4388"/>
      <c r="AV266" s="4389"/>
      <c r="AW266" s="4390"/>
      <c r="AX266" s="38">
        <f t="shared" si="455"/>
        <v>21.137</v>
      </c>
      <c r="AY266" s="4388"/>
      <c r="AZ266" s="4389"/>
      <c r="BA266" s="3475"/>
      <c r="BB266" s="4386">
        <f t="shared" si="451"/>
        <v>0</v>
      </c>
      <c r="BC266" s="5734"/>
      <c r="BD266" s="1584">
        <f t="shared" si="452"/>
        <v>21.137</v>
      </c>
      <c r="BE266" s="3474"/>
      <c r="BF266" s="567">
        <f t="shared" si="456"/>
        <v>21.137</v>
      </c>
      <c r="BG266" s="26">
        <f t="shared" si="399"/>
        <v>0</v>
      </c>
      <c r="BH266" s="26">
        <f t="shared" si="400"/>
        <v>0</v>
      </c>
      <c r="BI266" s="26"/>
      <c r="BJ266" s="26">
        <f t="shared" si="401"/>
        <v>0</v>
      </c>
      <c r="BK266" s="26">
        <f t="shared" si="402"/>
        <v>0</v>
      </c>
    </row>
    <row r="267" spans="1:63" x14ac:dyDescent="0.3">
      <c r="A267" s="151"/>
      <c r="B267" s="842" t="s">
        <v>851</v>
      </c>
      <c r="C267" s="4387" t="s">
        <v>1366</v>
      </c>
      <c r="D267" s="4387"/>
      <c r="E267" s="4388"/>
      <c r="F267" s="4389"/>
      <c r="G267" s="4388"/>
      <c r="H267" s="4389"/>
      <c r="I267" s="4390"/>
      <c r="J267" s="775">
        <f t="shared" si="403"/>
        <v>0</v>
      </c>
      <c r="K267" s="4388"/>
      <c r="L267" s="4389"/>
      <c r="M267" s="4391"/>
      <c r="N267" s="774">
        <f t="shared" si="404"/>
        <v>0</v>
      </c>
      <c r="O267" s="4388"/>
      <c r="P267" s="4389"/>
      <c r="Q267" s="4390"/>
      <c r="R267" s="775">
        <f t="shared" si="405"/>
        <v>0</v>
      </c>
      <c r="S267" s="4388"/>
      <c r="T267" s="4389"/>
      <c r="U267" s="4390"/>
      <c r="V267" s="775">
        <f t="shared" si="406"/>
        <v>0</v>
      </c>
      <c r="W267" s="4388"/>
      <c r="X267" s="4389"/>
      <c r="Y267" s="4391"/>
      <c r="Z267" s="774">
        <f t="shared" si="407"/>
        <v>0</v>
      </c>
      <c r="AA267" s="5739"/>
      <c r="AB267" s="460">
        <f t="shared" si="408"/>
        <v>0</v>
      </c>
      <c r="AC267" s="4388"/>
      <c r="AD267" s="4389"/>
      <c r="AE267" s="4390"/>
      <c r="AF267" s="775">
        <f t="shared" si="409"/>
        <v>0</v>
      </c>
      <c r="AG267" s="4388"/>
      <c r="AH267" s="4389">
        <v>39.685000000000002</v>
      </c>
      <c r="AI267" s="4390"/>
      <c r="AJ267" s="4425">
        <f t="shared" si="453"/>
        <v>39.685000000000002</v>
      </c>
      <c r="AK267" s="4388"/>
      <c r="AL267" s="4389">
        <v>62.26</v>
      </c>
      <c r="AM267" s="4391"/>
      <c r="AN267" s="4393">
        <f t="shared" si="449"/>
        <v>101.94499999999999</v>
      </c>
      <c r="AO267" s="4390"/>
      <c r="AP267" s="4392">
        <f t="shared" si="450"/>
        <v>101.94499999999999</v>
      </c>
      <c r="AQ267" s="4388"/>
      <c r="AR267" s="4389"/>
      <c r="AS267" s="4390"/>
      <c r="AT267" s="4392">
        <f t="shared" si="454"/>
        <v>101.94499999999999</v>
      </c>
      <c r="AU267" s="4388"/>
      <c r="AV267" s="4389"/>
      <c r="AW267" s="4390"/>
      <c r="AX267" s="38">
        <f t="shared" si="455"/>
        <v>101.94499999999999</v>
      </c>
      <c r="AY267" s="4388"/>
      <c r="AZ267" s="4389"/>
      <c r="BA267" s="3475"/>
      <c r="BB267" s="4386">
        <f t="shared" si="451"/>
        <v>0</v>
      </c>
      <c r="BC267" s="5734"/>
      <c r="BD267" s="1584">
        <f t="shared" si="452"/>
        <v>101.94499999999999</v>
      </c>
      <c r="BE267" s="3474"/>
      <c r="BF267" s="567">
        <f t="shared" si="456"/>
        <v>101.94499999999999</v>
      </c>
      <c r="BG267" s="26">
        <f t="shared" si="399"/>
        <v>0</v>
      </c>
      <c r="BH267" s="26">
        <f t="shared" si="400"/>
        <v>0</v>
      </c>
      <c r="BI267" s="26"/>
      <c r="BJ267" s="26">
        <f t="shared" si="401"/>
        <v>0</v>
      </c>
      <c r="BK267" s="26">
        <f t="shared" si="402"/>
        <v>0</v>
      </c>
    </row>
    <row r="268" spans="1:63" ht="15" thickBot="1" x14ac:dyDescent="0.35">
      <c r="A268" s="151"/>
      <c r="B268" s="2780" t="s">
        <v>851</v>
      </c>
      <c r="C268" s="3446" t="s">
        <v>996</v>
      </c>
      <c r="D268" s="3446"/>
      <c r="E268" s="3484"/>
      <c r="F268" s="229"/>
      <c r="G268" s="3484"/>
      <c r="H268" s="229"/>
      <c r="I268" s="3485"/>
      <c r="J268" s="775">
        <f t="shared" si="403"/>
        <v>0</v>
      </c>
      <c r="K268" s="3484"/>
      <c r="L268" s="229">
        <v>1526.6800000000003</v>
      </c>
      <c r="M268" s="4394"/>
      <c r="N268" s="774">
        <f t="shared" si="404"/>
        <v>1526.6800000000003</v>
      </c>
      <c r="O268" s="3484"/>
      <c r="P268" s="229"/>
      <c r="Q268" s="3485"/>
      <c r="R268" s="775">
        <f t="shared" si="405"/>
        <v>1526.6800000000003</v>
      </c>
      <c r="S268" s="3484"/>
      <c r="T268" s="229">
        <v>1616.32</v>
      </c>
      <c r="U268" s="3485"/>
      <c r="V268" s="775">
        <f t="shared" si="406"/>
        <v>3143</v>
      </c>
      <c r="W268" s="3484"/>
      <c r="X268" s="229"/>
      <c r="Y268" s="4394"/>
      <c r="Z268" s="774">
        <f t="shared" si="407"/>
        <v>1616.32</v>
      </c>
      <c r="AA268" s="5740"/>
      <c r="AB268" s="460">
        <f t="shared" si="408"/>
        <v>3143</v>
      </c>
      <c r="AC268" s="3484"/>
      <c r="AD268" s="229">
        <v>191.33999999999997</v>
      </c>
      <c r="AE268" s="3485"/>
      <c r="AF268" s="775">
        <f t="shared" si="409"/>
        <v>3334.34</v>
      </c>
      <c r="AG268" s="3484"/>
      <c r="AH268" s="229">
        <v>3037.12</v>
      </c>
      <c r="AI268" s="3485"/>
      <c r="AJ268" s="4425">
        <f t="shared" si="453"/>
        <v>6371.46</v>
      </c>
      <c r="AK268" s="3484"/>
      <c r="AL268" s="229">
        <v>24.864999999999998</v>
      </c>
      <c r="AM268" s="4394"/>
      <c r="AN268" s="1070">
        <f t="shared" si="449"/>
        <v>3253.3249999999998</v>
      </c>
      <c r="AO268" s="3485"/>
      <c r="AP268" s="584">
        <f t="shared" si="450"/>
        <v>6396.3249999999998</v>
      </c>
      <c r="AQ268" s="3484"/>
      <c r="AR268" s="229"/>
      <c r="AS268" s="3485"/>
      <c r="AT268" s="584">
        <f t="shared" si="454"/>
        <v>6396.3249999999998</v>
      </c>
      <c r="AU268" s="3484"/>
      <c r="AV268" s="229"/>
      <c r="AW268" s="3485"/>
      <c r="AX268" s="43">
        <f t="shared" si="455"/>
        <v>6396.3249999999998</v>
      </c>
      <c r="AY268" s="3484"/>
      <c r="AZ268" s="229"/>
      <c r="BA268" s="3475"/>
      <c r="BB268" s="4386">
        <f t="shared" si="451"/>
        <v>0</v>
      </c>
      <c r="BC268" s="5734"/>
      <c r="BD268" s="1584">
        <f t="shared" si="452"/>
        <v>3253.3249999999998</v>
      </c>
      <c r="BE268" s="3474"/>
      <c r="BF268" s="567">
        <f t="shared" si="456"/>
        <v>6396.3249999999998</v>
      </c>
      <c r="BG268" s="26">
        <f t="shared" si="399"/>
        <v>0</v>
      </c>
      <c r="BH268" s="26">
        <f t="shared" si="400"/>
        <v>0</v>
      </c>
      <c r="BI268" s="26"/>
      <c r="BJ268" s="26">
        <f t="shared" si="401"/>
        <v>0</v>
      </c>
      <c r="BK268" s="26">
        <f t="shared" si="402"/>
        <v>0</v>
      </c>
    </row>
    <row r="269" spans="1:63" ht="15" thickBot="1" x14ac:dyDescent="0.35">
      <c r="A269" s="151"/>
      <c r="B269" s="4895" t="s">
        <v>943</v>
      </c>
      <c r="C269" s="3487" t="s">
        <v>870</v>
      </c>
      <c r="D269" s="3487"/>
      <c r="E269" s="3488"/>
      <c r="F269" s="2234"/>
      <c r="G269" s="3488"/>
      <c r="H269" s="2234"/>
      <c r="I269" s="3489"/>
      <c r="J269" s="4936"/>
      <c r="K269" s="3488"/>
      <c r="L269" s="2234"/>
      <c r="M269" s="4972"/>
      <c r="N269" s="4937"/>
      <c r="O269" s="3488"/>
      <c r="P269" s="2234"/>
      <c r="Q269" s="3489"/>
      <c r="R269" s="4936"/>
      <c r="S269" s="3488"/>
      <c r="T269" s="2234"/>
      <c r="U269" s="3489"/>
      <c r="V269" s="4936"/>
      <c r="W269" s="3488"/>
      <c r="X269" s="2234">
        <v>848.38</v>
      </c>
      <c r="Y269" s="4972"/>
      <c r="Z269" s="774">
        <f t="shared" si="407"/>
        <v>848.38</v>
      </c>
      <c r="AA269" s="5736"/>
      <c r="AB269" s="460">
        <f t="shared" si="408"/>
        <v>848.38</v>
      </c>
      <c r="AC269" s="3488"/>
      <c r="AD269" s="2234">
        <v>251.94</v>
      </c>
      <c r="AE269" s="3489"/>
      <c r="AF269" s="775">
        <f t="shared" si="409"/>
        <v>1100.32</v>
      </c>
      <c r="AG269" s="3488"/>
      <c r="AH269" s="2234"/>
      <c r="AI269" s="3489"/>
      <c r="AJ269" s="4425">
        <f t="shared" si="453"/>
        <v>1100.32</v>
      </c>
      <c r="AK269" s="3488"/>
      <c r="AL269" s="2234"/>
      <c r="AM269" s="4972"/>
      <c r="AN269" s="1070">
        <f t="shared" ref="AN269" si="466">AD269+AH269+AL269</f>
        <v>251.94</v>
      </c>
      <c r="AO269" s="3485"/>
      <c r="AP269" s="584">
        <f t="shared" ref="AP269" si="467">AJ269+AL269</f>
        <v>1100.32</v>
      </c>
      <c r="AQ269" s="3488"/>
      <c r="AR269" s="2234">
        <v>1099.3400000000001</v>
      </c>
      <c r="AS269" s="3485"/>
      <c r="AT269" s="584">
        <f t="shared" si="454"/>
        <v>2199.66</v>
      </c>
      <c r="AU269" s="3488"/>
      <c r="AV269" s="2234">
        <v>404.47</v>
      </c>
      <c r="AW269" s="3485"/>
      <c r="AX269" s="43">
        <f t="shared" ref="AX269" si="468">AT269+AV269</f>
        <v>2604.13</v>
      </c>
      <c r="AY269" s="3488"/>
      <c r="AZ269" s="2234"/>
      <c r="BA269" s="3475"/>
      <c r="BB269" s="4386">
        <f t="shared" ref="BB269" si="469">AR269+AV269+AZ269</f>
        <v>1503.8100000000002</v>
      </c>
      <c r="BC269" s="5734"/>
      <c r="BD269" s="1584">
        <f t="shared" ref="BD269" si="470">AN269+BB269</f>
        <v>1755.7500000000002</v>
      </c>
      <c r="BE269" s="3474"/>
      <c r="BF269" s="567">
        <f t="shared" ref="BF269" si="471">AX269+AZ269</f>
        <v>2604.13</v>
      </c>
      <c r="BG269" s="26">
        <f t="shared" si="399"/>
        <v>0</v>
      </c>
      <c r="BH269" s="26">
        <f t="shared" si="400"/>
        <v>0</v>
      </c>
      <c r="BI269" s="26"/>
      <c r="BJ269" s="26">
        <f t="shared" si="401"/>
        <v>0</v>
      </c>
      <c r="BK269" s="26">
        <f t="shared" si="402"/>
        <v>0</v>
      </c>
    </row>
    <row r="270" spans="1:63" ht="15" thickBot="1" x14ac:dyDescent="0.35">
      <c r="A270" s="151"/>
      <c r="B270" s="3486" t="s">
        <v>943</v>
      </c>
      <c r="C270" s="3487" t="s">
        <v>879</v>
      </c>
      <c r="D270" s="3487"/>
      <c r="E270" s="3488"/>
      <c r="F270" s="2234"/>
      <c r="G270" s="3488"/>
      <c r="H270" s="2234"/>
      <c r="I270" s="3489"/>
      <c r="J270" s="775">
        <f t="shared" si="403"/>
        <v>0</v>
      </c>
      <c r="K270" s="3488"/>
      <c r="L270" s="2234"/>
      <c r="M270" s="4385"/>
      <c r="N270" s="774">
        <f t="shared" si="404"/>
        <v>0</v>
      </c>
      <c r="O270" s="3488"/>
      <c r="P270" s="2234">
        <v>3376.12</v>
      </c>
      <c r="Q270" s="3493"/>
      <c r="R270" s="775">
        <f t="shared" si="405"/>
        <v>3376.12</v>
      </c>
      <c r="S270" s="3488"/>
      <c r="T270" s="2234"/>
      <c r="U270" s="3493"/>
      <c r="V270" s="775">
        <f t="shared" si="406"/>
        <v>3376.12</v>
      </c>
      <c r="W270" s="3488"/>
      <c r="X270" s="2234">
        <v>744.69999999999993</v>
      </c>
      <c r="Y270" s="4385"/>
      <c r="Z270" s="774">
        <f t="shared" si="407"/>
        <v>4120.82</v>
      </c>
      <c r="AA270" s="5738"/>
      <c r="AB270" s="460">
        <f t="shared" si="408"/>
        <v>4120.82</v>
      </c>
      <c r="AC270" s="3488"/>
      <c r="AD270" s="2234">
        <v>259.5</v>
      </c>
      <c r="AE270" s="3493"/>
      <c r="AF270" s="775">
        <f t="shared" si="409"/>
        <v>4380.32</v>
      </c>
      <c r="AG270" s="3488"/>
      <c r="AH270" s="2234"/>
      <c r="AI270" s="3493"/>
      <c r="AJ270" s="4425">
        <f t="shared" si="453"/>
        <v>4380.32</v>
      </c>
      <c r="AK270" s="3488"/>
      <c r="AL270" s="2234">
        <v>21.405999999999999</v>
      </c>
      <c r="AM270" s="4385"/>
      <c r="AN270" s="4386">
        <f t="shared" si="449"/>
        <v>280.90600000000001</v>
      </c>
      <c r="AO270" s="3493"/>
      <c r="AP270" s="567">
        <f t="shared" si="450"/>
        <v>4401.7259999999997</v>
      </c>
      <c r="AQ270" s="3488"/>
      <c r="AR270" s="2234">
        <v>710.57999999999993</v>
      </c>
      <c r="AS270" s="3493"/>
      <c r="AT270" s="567">
        <f t="shared" si="454"/>
        <v>5112.3059999999996</v>
      </c>
      <c r="AU270" s="3488"/>
      <c r="AV270" s="2234">
        <v>840.58</v>
      </c>
      <c r="AW270" s="3493"/>
      <c r="AX270" s="567">
        <f t="shared" si="455"/>
        <v>5952.8859999999995</v>
      </c>
      <c r="AY270" s="3488"/>
      <c r="AZ270" s="2234"/>
      <c r="BA270" s="3475"/>
      <c r="BB270" s="4386">
        <f t="shared" si="451"/>
        <v>1551.1599999999999</v>
      </c>
      <c r="BC270" s="5734"/>
      <c r="BD270" s="1584">
        <f t="shared" si="452"/>
        <v>1832.0659999999998</v>
      </c>
      <c r="BE270" s="3474"/>
      <c r="BF270" s="567">
        <f t="shared" si="456"/>
        <v>5952.8859999999995</v>
      </c>
      <c r="BG270" s="26">
        <f t="shared" si="399"/>
        <v>0</v>
      </c>
      <c r="BH270" s="26">
        <f t="shared" si="400"/>
        <v>0</v>
      </c>
      <c r="BI270" s="26"/>
      <c r="BJ270" s="26">
        <f t="shared" si="401"/>
        <v>0</v>
      </c>
      <c r="BK270" s="26">
        <f t="shared" si="402"/>
        <v>0</v>
      </c>
    </row>
    <row r="271" spans="1:63" x14ac:dyDescent="0.3">
      <c r="A271" s="151"/>
      <c r="B271" s="2776" t="s">
        <v>1518</v>
      </c>
      <c r="C271" s="3442" t="s">
        <v>870</v>
      </c>
      <c r="D271" s="3442"/>
      <c r="E271" s="3480"/>
      <c r="F271" s="270">
        <v>1715.5</v>
      </c>
      <c r="G271" s="3480"/>
      <c r="H271" s="270"/>
      <c r="I271" s="3481"/>
      <c r="J271" s="775">
        <f t="shared" si="403"/>
        <v>1715.5</v>
      </c>
      <c r="K271" s="3480"/>
      <c r="L271" s="270"/>
      <c r="M271" s="3475"/>
      <c r="N271" s="774">
        <f t="shared" si="404"/>
        <v>1715.5</v>
      </c>
      <c r="O271" s="3480"/>
      <c r="P271" s="270">
        <v>2099.58</v>
      </c>
      <c r="Q271" s="3474"/>
      <c r="R271" s="775">
        <f t="shared" si="405"/>
        <v>3815.08</v>
      </c>
      <c r="S271" s="3480"/>
      <c r="T271" s="270">
        <v>130.27999999999997</v>
      </c>
      <c r="U271" s="3474"/>
      <c r="V271" s="775">
        <f t="shared" si="406"/>
        <v>3945.3599999999997</v>
      </c>
      <c r="W271" s="3480"/>
      <c r="X271" s="270"/>
      <c r="Y271" s="3475"/>
      <c r="Z271" s="774">
        <f t="shared" si="407"/>
        <v>2229.8599999999997</v>
      </c>
      <c r="AA271" s="5734"/>
      <c r="AB271" s="460">
        <f t="shared" si="408"/>
        <v>3945.3599999999997</v>
      </c>
      <c r="AC271" s="3480"/>
      <c r="AD271" s="270"/>
      <c r="AE271" s="3474"/>
      <c r="AF271" s="775">
        <f t="shared" si="409"/>
        <v>3945.3599999999997</v>
      </c>
      <c r="AG271" s="3480"/>
      <c r="AH271" s="270"/>
      <c r="AI271" s="3474"/>
      <c r="AJ271" s="775">
        <f t="shared" si="453"/>
        <v>3945.3599999999997</v>
      </c>
      <c r="AK271" s="3480"/>
      <c r="AL271" s="270">
        <v>63.98</v>
      </c>
      <c r="AM271" s="3475"/>
      <c r="AN271" s="441">
        <f t="shared" si="449"/>
        <v>63.98</v>
      </c>
      <c r="AO271" s="3474"/>
      <c r="AP271" s="775">
        <f t="shared" si="450"/>
        <v>4009.3399999999997</v>
      </c>
      <c r="AQ271" s="3480"/>
      <c r="AR271" s="270">
        <v>63.49</v>
      </c>
      <c r="AS271" s="3474"/>
      <c r="AT271" s="775">
        <f t="shared" si="454"/>
        <v>4072.8299999999995</v>
      </c>
      <c r="AU271" s="3480"/>
      <c r="AV271" s="270"/>
      <c r="AW271" s="3474"/>
      <c r="AX271" s="775">
        <f t="shared" si="455"/>
        <v>4072.8299999999995</v>
      </c>
      <c r="AY271" s="3480"/>
      <c r="AZ271" s="270"/>
      <c r="BA271" s="3475"/>
      <c r="BB271" s="4386">
        <f t="shared" si="451"/>
        <v>63.49</v>
      </c>
      <c r="BC271" s="5734"/>
      <c r="BD271" s="1584">
        <f t="shared" si="452"/>
        <v>127.47</v>
      </c>
      <c r="BE271" s="3474"/>
      <c r="BF271" s="567">
        <f t="shared" si="456"/>
        <v>4072.8299999999995</v>
      </c>
      <c r="BG271" s="26">
        <f t="shared" si="399"/>
        <v>0</v>
      </c>
      <c r="BH271" s="26">
        <f t="shared" si="400"/>
        <v>0</v>
      </c>
      <c r="BI271" s="26"/>
      <c r="BJ271" s="26">
        <f t="shared" si="401"/>
        <v>0</v>
      </c>
      <c r="BK271" s="26">
        <f t="shared" si="402"/>
        <v>0</v>
      </c>
    </row>
    <row r="272" spans="1:63" x14ac:dyDescent="0.3">
      <c r="A272" s="151"/>
      <c r="B272" s="4838" t="s">
        <v>1518</v>
      </c>
      <c r="C272" s="3487" t="s">
        <v>996</v>
      </c>
      <c r="D272" s="3487"/>
      <c r="E272" s="3488"/>
      <c r="F272" s="2234"/>
      <c r="G272" s="3488"/>
      <c r="H272" s="2234"/>
      <c r="I272" s="3489"/>
      <c r="J272" s="775">
        <f t="shared" si="403"/>
        <v>0</v>
      </c>
      <c r="K272" s="3488"/>
      <c r="L272" s="2234"/>
      <c r="M272" s="4933"/>
      <c r="N272" s="774">
        <f t="shared" si="404"/>
        <v>0</v>
      </c>
      <c r="O272" s="3488"/>
      <c r="P272" s="2234"/>
      <c r="Q272" s="4934"/>
      <c r="R272" s="775">
        <f t="shared" si="405"/>
        <v>0</v>
      </c>
      <c r="S272" s="3488"/>
      <c r="T272" s="2234">
        <v>970.64</v>
      </c>
      <c r="U272" s="4934"/>
      <c r="V272" s="775">
        <f t="shared" si="406"/>
        <v>970.64</v>
      </c>
      <c r="W272" s="3488"/>
      <c r="X272" s="2234">
        <v>79.55</v>
      </c>
      <c r="Y272" s="4933"/>
      <c r="Z272" s="774">
        <f t="shared" si="407"/>
        <v>1050.19</v>
      </c>
      <c r="AA272" s="5741"/>
      <c r="AB272" s="460">
        <f t="shared" si="408"/>
        <v>1050.19</v>
      </c>
      <c r="AC272" s="3488"/>
      <c r="AD272" s="2234"/>
      <c r="AE272" s="4934"/>
      <c r="AF272" s="775">
        <f t="shared" si="409"/>
        <v>1050.19</v>
      </c>
      <c r="AG272" s="3488"/>
      <c r="AH272" s="2234"/>
      <c r="AI272" s="4934"/>
      <c r="AJ272" s="775">
        <f t="shared" si="453"/>
        <v>1050.19</v>
      </c>
      <c r="AK272" s="3488"/>
      <c r="AL272" s="2234">
        <v>19.567</v>
      </c>
      <c r="AM272" s="4933"/>
      <c r="AN272" s="441">
        <f t="shared" si="449"/>
        <v>19.567</v>
      </c>
      <c r="AO272" s="4934"/>
      <c r="AP272" s="775">
        <f t="shared" si="450"/>
        <v>1069.7570000000001</v>
      </c>
      <c r="AQ272" s="3488"/>
      <c r="AR272" s="2234"/>
      <c r="AS272" s="4934"/>
      <c r="AT272" s="4843">
        <f t="shared" si="454"/>
        <v>1069.7570000000001</v>
      </c>
      <c r="AU272" s="3488"/>
      <c r="AV272" s="2234"/>
      <c r="AW272" s="4934"/>
      <c r="AX272" s="775">
        <f t="shared" si="455"/>
        <v>1069.7570000000001</v>
      </c>
      <c r="AY272" s="3488"/>
      <c r="AZ272" s="2234"/>
      <c r="BA272" s="4933"/>
      <c r="BB272" s="4386">
        <f t="shared" ref="BB272" si="472">AR272+AV272+AZ272</f>
        <v>0</v>
      </c>
      <c r="BC272" s="5734"/>
      <c r="BD272" s="1584">
        <f t="shared" ref="BD272" si="473">AN272+BB272</f>
        <v>19.567</v>
      </c>
      <c r="BE272" s="3474"/>
      <c r="BF272" s="567">
        <f t="shared" ref="BF272" si="474">AX272+AZ272</f>
        <v>1069.7570000000001</v>
      </c>
      <c r="BG272" s="26">
        <f t="shared" si="399"/>
        <v>0</v>
      </c>
      <c r="BH272" s="26">
        <f t="shared" si="400"/>
        <v>0</v>
      </c>
      <c r="BI272" s="26"/>
      <c r="BJ272" s="26">
        <f t="shared" si="401"/>
        <v>0</v>
      </c>
      <c r="BK272" s="26">
        <f t="shared" si="402"/>
        <v>0</v>
      </c>
    </row>
    <row r="273" spans="1:63" ht="15" thickBot="1" x14ac:dyDescent="0.35">
      <c r="A273" s="151"/>
      <c r="B273" s="2780" t="s">
        <v>1518</v>
      </c>
      <c r="C273" s="3446" t="s">
        <v>879</v>
      </c>
      <c r="D273" s="3446"/>
      <c r="E273" s="3484"/>
      <c r="F273" s="229">
        <v>4419.5600000000004</v>
      </c>
      <c r="G273" s="3484"/>
      <c r="H273" s="229">
        <v>65.599999999999994</v>
      </c>
      <c r="I273" s="3485"/>
      <c r="J273" s="775">
        <f t="shared" si="403"/>
        <v>4485.1600000000008</v>
      </c>
      <c r="K273" s="3484"/>
      <c r="L273" s="229"/>
      <c r="M273" s="3475"/>
      <c r="N273" s="774">
        <f t="shared" si="404"/>
        <v>4485.1600000000008</v>
      </c>
      <c r="O273" s="3484"/>
      <c r="P273" s="229">
        <v>3889.9</v>
      </c>
      <c r="Q273" s="3474"/>
      <c r="R273" s="775">
        <f t="shared" si="405"/>
        <v>8375.0600000000013</v>
      </c>
      <c r="S273" s="3484"/>
      <c r="T273" s="229">
        <v>8653.24</v>
      </c>
      <c r="U273" s="3474"/>
      <c r="V273" s="775">
        <f t="shared" si="406"/>
        <v>17028.300000000003</v>
      </c>
      <c r="W273" s="3484"/>
      <c r="X273" s="229"/>
      <c r="Y273" s="3475"/>
      <c r="Z273" s="774">
        <f t="shared" si="407"/>
        <v>12543.14</v>
      </c>
      <c r="AA273" s="5734"/>
      <c r="AB273" s="460">
        <f t="shared" si="408"/>
        <v>17028.3</v>
      </c>
      <c r="AC273" s="3484"/>
      <c r="AD273" s="229">
        <v>69.13</v>
      </c>
      <c r="AE273" s="3474"/>
      <c r="AF273" s="775">
        <f t="shared" si="409"/>
        <v>17097.43</v>
      </c>
      <c r="AG273" s="3484"/>
      <c r="AH273" s="229">
        <v>34.085999999999999</v>
      </c>
      <c r="AI273" s="3474"/>
      <c r="AJ273" s="775">
        <f t="shared" si="453"/>
        <v>17131.516</v>
      </c>
      <c r="AK273" s="3484"/>
      <c r="AL273" s="229">
        <v>15.739000000000001</v>
      </c>
      <c r="AM273" s="3475"/>
      <c r="AN273" s="441">
        <f t="shared" si="449"/>
        <v>118.955</v>
      </c>
      <c r="AO273" s="3474"/>
      <c r="AP273" s="775">
        <f t="shared" si="450"/>
        <v>17147.255000000001</v>
      </c>
      <c r="AQ273" s="3484"/>
      <c r="AR273" s="229"/>
      <c r="AS273" s="3474"/>
      <c r="AT273" s="775">
        <f t="shared" si="454"/>
        <v>17147.255000000001</v>
      </c>
      <c r="AU273" s="3484"/>
      <c r="AV273" s="229"/>
      <c r="AW273" s="3474"/>
      <c r="AX273" s="775">
        <f t="shared" si="455"/>
        <v>17147.255000000001</v>
      </c>
      <c r="AY273" s="3484"/>
      <c r="AZ273" s="229"/>
      <c r="BA273" s="3475"/>
      <c r="BB273" s="4386">
        <f t="shared" si="451"/>
        <v>0</v>
      </c>
      <c r="BC273" s="5734"/>
      <c r="BD273" s="1584">
        <f t="shared" si="452"/>
        <v>118.955</v>
      </c>
      <c r="BE273" s="3474"/>
      <c r="BF273" s="567">
        <f t="shared" si="456"/>
        <v>17147.255000000001</v>
      </c>
      <c r="BG273" s="26">
        <f t="shared" si="399"/>
        <v>0</v>
      </c>
      <c r="BH273" s="26">
        <f t="shared" si="400"/>
        <v>0</v>
      </c>
      <c r="BI273" s="26"/>
      <c r="BJ273" s="26">
        <f t="shared" si="401"/>
        <v>0</v>
      </c>
      <c r="BK273" s="26">
        <f t="shared" si="402"/>
        <v>0</v>
      </c>
    </row>
    <row r="274" spans="1:63" ht="15.75" customHeight="1" thickBot="1" x14ac:dyDescent="0.35">
      <c r="A274" s="151"/>
      <c r="B274" s="3486" t="s">
        <v>853</v>
      </c>
      <c r="C274" s="3487" t="s">
        <v>1366</v>
      </c>
      <c r="D274" s="3487"/>
      <c r="E274" s="3488"/>
      <c r="F274" s="2234"/>
      <c r="G274" s="3488"/>
      <c r="H274" s="2234"/>
      <c r="I274" s="3489"/>
      <c r="J274" s="775">
        <f t="shared" si="403"/>
        <v>0</v>
      </c>
      <c r="K274" s="3488"/>
      <c r="L274" s="2234">
        <v>63.38</v>
      </c>
      <c r="M274" s="3475"/>
      <c r="N274" s="774">
        <f t="shared" si="404"/>
        <v>63.38</v>
      </c>
      <c r="O274" s="3488"/>
      <c r="P274" s="2234"/>
      <c r="Q274" s="3474"/>
      <c r="R274" s="775">
        <f t="shared" si="405"/>
        <v>63.38</v>
      </c>
      <c r="S274" s="3488"/>
      <c r="T274" s="2234"/>
      <c r="U274" s="3474"/>
      <c r="V274" s="775">
        <f t="shared" si="406"/>
        <v>63.38</v>
      </c>
      <c r="W274" s="3488"/>
      <c r="X274" s="2234"/>
      <c r="Y274" s="3475"/>
      <c r="Z274" s="774">
        <f t="shared" si="407"/>
        <v>0</v>
      </c>
      <c r="AA274" s="5734"/>
      <c r="AB274" s="460">
        <f t="shared" si="408"/>
        <v>63.38</v>
      </c>
      <c r="AC274" s="3488"/>
      <c r="AD274" s="2234">
        <v>64.760000000000005</v>
      </c>
      <c r="AE274" s="3474"/>
      <c r="AF274" s="775">
        <f t="shared" si="409"/>
        <v>128.14000000000001</v>
      </c>
      <c r="AG274" s="3488"/>
      <c r="AH274" s="2234"/>
      <c r="AI274" s="3474"/>
      <c r="AJ274" s="775">
        <f t="shared" si="453"/>
        <v>128.14000000000001</v>
      </c>
      <c r="AK274" s="3488"/>
      <c r="AL274" s="2234"/>
      <c r="AM274" s="3475"/>
      <c r="AN274" s="441">
        <f t="shared" si="449"/>
        <v>64.760000000000005</v>
      </c>
      <c r="AO274" s="3474"/>
      <c r="AP274" s="775">
        <f t="shared" si="450"/>
        <v>128.14000000000001</v>
      </c>
      <c r="AQ274" s="3488"/>
      <c r="AR274" s="2234"/>
      <c r="AS274" s="3474"/>
      <c r="AT274" s="775">
        <f t="shared" si="454"/>
        <v>128.14000000000001</v>
      </c>
      <c r="AU274" s="3488"/>
      <c r="AV274" s="2234"/>
      <c r="AW274" s="3474"/>
      <c r="AX274" s="775">
        <f t="shared" si="455"/>
        <v>128.14000000000001</v>
      </c>
      <c r="AY274" s="3488"/>
      <c r="AZ274" s="2234"/>
      <c r="BA274" s="3475"/>
      <c r="BB274" s="4386">
        <f t="shared" si="451"/>
        <v>0</v>
      </c>
      <c r="BC274" s="5734"/>
      <c r="BD274" s="1584">
        <f t="shared" si="452"/>
        <v>64.760000000000005</v>
      </c>
      <c r="BE274" s="3474"/>
      <c r="BF274" s="567">
        <f t="shared" si="456"/>
        <v>128.14000000000001</v>
      </c>
      <c r="BG274" s="26">
        <f t="shared" si="399"/>
        <v>0</v>
      </c>
      <c r="BH274" s="26">
        <f t="shared" si="400"/>
        <v>0</v>
      </c>
      <c r="BI274" s="26"/>
      <c r="BJ274" s="26">
        <f t="shared" si="401"/>
        <v>0</v>
      </c>
      <c r="BK274" s="26">
        <f t="shared" si="402"/>
        <v>0</v>
      </c>
    </row>
    <row r="275" spans="1:63" x14ac:dyDescent="0.3">
      <c r="A275" s="151"/>
      <c r="B275" s="2776" t="s">
        <v>853</v>
      </c>
      <c r="C275" s="3442" t="s">
        <v>870</v>
      </c>
      <c r="D275" s="3442"/>
      <c r="E275" s="3480"/>
      <c r="F275" s="270"/>
      <c r="G275" s="3480"/>
      <c r="H275" s="270">
        <v>1910</v>
      </c>
      <c r="I275" s="3481"/>
      <c r="J275" s="775">
        <f t="shared" si="403"/>
        <v>1910</v>
      </c>
      <c r="K275" s="3480"/>
      <c r="L275" s="270">
        <v>1992.2999999999997</v>
      </c>
      <c r="M275" s="3475"/>
      <c r="N275" s="774">
        <f t="shared" si="404"/>
        <v>3902.2999999999997</v>
      </c>
      <c r="O275" s="3480"/>
      <c r="P275" s="270">
        <v>1914.2300000000005</v>
      </c>
      <c r="Q275" s="3474"/>
      <c r="R275" s="775">
        <f t="shared" si="405"/>
        <v>5816.5300000000007</v>
      </c>
      <c r="S275" s="3480"/>
      <c r="T275" s="270">
        <v>255.96</v>
      </c>
      <c r="U275" s="3474"/>
      <c r="V275" s="775">
        <f t="shared" si="406"/>
        <v>6072.4900000000007</v>
      </c>
      <c r="W275" s="3480"/>
      <c r="X275" s="270"/>
      <c r="Y275" s="3475"/>
      <c r="Z275" s="774">
        <f t="shared" si="407"/>
        <v>2170.1900000000005</v>
      </c>
      <c r="AA275" s="5734"/>
      <c r="AB275" s="460">
        <f t="shared" si="408"/>
        <v>6072.49</v>
      </c>
      <c r="AC275" s="3480"/>
      <c r="AD275" s="270"/>
      <c r="AE275" s="3474"/>
      <c r="AF275" s="775">
        <f t="shared" si="409"/>
        <v>6072.49</v>
      </c>
      <c r="AG275" s="3480"/>
      <c r="AH275" s="270">
        <v>37.536000000000001</v>
      </c>
      <c r="AI275" s="3474"/>
      <c r="AJ275" s="775">
        <f t="shared" si="453"/>
        <v>6110.0259999999998</v>
      </c>
      <c r="AK275" s="3480"/>
      <c r="AL275" s="270">
        <v>62</v>
      </c>
      <c r="AM275" s="3475"/>
      <c r="AN275" s="441">
        <f t="shared" si="449"/>
        <v>99.536000000000001</v>
      </c>
      <c r="AO275" s="3474"/>
      <c r="AP275" s="775">
        <f t="shared" si="450"/>
        <v>6172.0259999999998</v>
      </c>
      <c r="AQ275" s="3480"/>
      <c r="AR275" s="270">
        <v>57.42</v>
      </c>
      <c r="AS275" s="3474"/>
      <c r="AT275" s="775">
        <f t="shared" si="454"/>
        <v>6229.4459999999999</v>
      </c>
      <c r="AU275" s="3480"/>
      <c r="AV275" s="270">
        <v>2192.06</v>
      </c>
      <c r="AW275" s="3474"/>
      <c r="AX275" s="775">
        <f t="shared" si="455"/>
        <v>8421.5059999999994</v>
      </c>
      <c r="AY275" s="3480"/>
      <c r="AZ275" s="270">
        <v>70.811999999999998</v>
      </c>
      <c r="BA275" s="3475"/>
      <c r="BB275" s="4386">
        <f t="shared" si="451"/>
        <v>2320.2919999999999</v>
      </c>
      <c r="BC275" s="5734"/>
      <c r="BD275" s="1584">
        <f t="shared" si="452"/>
        <v>2419.828</v>
      </c>
      <c r="BE275" s="3474"/>
      <c r="BF275" s="567">
        <f t="shared" si="456"/>
        <v>8492.3179999999993</v>
      </c>
      <c r="BG275" s="26">
        <f t="shared" ref="BG275:BG338" si="475">AY275+AU275+AQ275+AK275+AG275+AC275+W275+S275+O275+K275+G275+E275-BE275</f>
        <v>0</v>
      </c>
      <c r="BH275" s="26">
        <f t="shared" ref="BH275:BH338" si="476">AZ275+AV275+AR275+AL275+AH275+AD275+X275+T275+P275+L275+H275+F275-BF275</f>
        <v>0</v>
      </c>
      <c r="BI275" s="26"/>
      <c r="BJ275" s="26">
        <f t="shared" ref="BJ275:BJ338" si="477">AY275+AU275+AQ275+AK275+AG275+AC275-BC275</f>
        <v>0</v>
      </c>
      <c r="BK275" s="26">
        <f t="shared" ref="BK275:BK338" si="478">AZ275+AV275+AR275+AL275+AH275+AD275-BD275</f>
        <v>0</v>
      </c>
    </row>
    <row r="276" spans="1:63" x14ac:dyDescent="0.3">
      <c r="A276" s="151"/>
      <c r="B276" s="842" t="s">
        <v>853</v>
      </c>
      <c r="C276" s="3452" t="s">
        <v>879</v>
      </c>
      <c r="D276" s="3452"/>
      <c r="E276" s="3482"/>
      <c r="F276" s="2599"/>
      <c r="G276" s="3482"/>
      <c r="H276" s="2599">
        <v>4479.3000000000011</v>
      </c>
      <c r="I276" s="3483"/>
      <c r="J276" s="775">
        <f t="shared" si="403"/>
        <v>4479.3000000000011</v>
      </c>
      <c r="K276" s="3482"/>
      <c r="L276" s="2599">
        <v>567.8599999999999</v>
      </c>
      <c r="M276" s="3475"/>
      <c r="N276" s="774">
        <f t="shared" si="404"/>
        <v>5047.1600000000008</v>
      </c>
      <c r="O276" s="3482"/>
      <c r="P276" s="2599">
        <v>5297.44</v>
      </c>
      <c r="Q276" s="3474"/>
      <c r="R276" s="775">
        <f t="shared" si="405"/>
        <v>10344.6</v>
      </c>
      <c r="S276" s="3482"/>
      <c r="T276" s="2599">
        <v>3852.24</v>
      </c>
      <c r="U276" s="3474"/>
      <c r="V276" s="775">
        <f t="shared" si="406"/>
        <v>14196.84</v>
      </c>
      <c r="W276" s="3482"/>
      <c r="X276" s="2599"/>
      <c r="Y276" s="3475"/>
      <c r="Z276" s="774">
        <f t="shared" si="407"/>
        <v>9149.68</v>
      </c>
      <c r="AA276" s="5734"/>
      <c r="AB276" s="460">
        <f t="shared" si="408"/>
        <v>14196.84</v>
      </c>
      <c r="AC276" s="3482"/>
      <c r="AD276" s="2599"/>
      <c r="AE276" s="3474"/>
      <c r="AF276" s="775">
        <f t="shared" si="409"/>
        <v>14196.84</v>
      </c>
      <c r="AG276" s="3482"/>
      <c r="AH276" s="2599">
        <v>8606.7599999999984</v>
      </c>
      <c r="AI276" s="3474"/>
      <c r="AJ276" s="775">
        <f t="shared" si="453"/>
        <v>22803.599999999999</v>
      </c>
      <c r="AK276" s="3482"/>
      <c r="AL276" s="2599">
        <v>2036.65</v>
      </c>
      <c r="AM276" s="3475"/>
      <c r="AN276" s="441">
        <f t="shared" si="449"/>
        <v>10643.409999999998</v>
      </c>
      <c r="AO276" s="3474"/>
      <c r="AP276" s="775">
        <f t="shared" si="450"/>
        <v>24840.25</v>
      </c>
      <c r="AQ276" s="3482"/>
      <c r="AR276" s="2599">
        <v>8827.4820000000018</v>
      </c>
      <c r="AS276" s="3474"/>
      <c r="AT276" s="775">
        <f t="shared" si="454"/>
        <v>33667.732000000004</v>
      </c>
      <c r="AU276" s="3482"/>
      <c r="AV276" s="2599">
        <v>5162.97</v>
      </c>
      <c r="AW276" s="3474"/>
      <c r="AX276" s="775">
        <f t="shared" si="455"/>
        <v>38830.702000000005</v>
      </c>
      <c r="AY276" s="3482"/>
      <c r="AZ276" s="2599">
        <v>5625.1289999999999</v>
      </c>
      <c r="BA276" s="3475"/>
      <c r="BB276" s="4386">
        <f t="shared" si="451"/>
        <v>19615.581000000002</v>
      </c>
      <c r="BC276" s="5734"/>
      <c r="BD276" s="1584">
        <f t="shared" si="452"/>
        <v>30258.991000000002</v>
      </c>
      <c r="BE276" s="3474"/>
      <c r="BF276" s="567">
        <f t="shared" si="456"/>
        <v>44455.831000000006</v>
      </c>
      <c r="BG276" s="26">
        <f t="shared" si="475"/>
        <v>0</v>
      </c>
      <c r="BH276" s="26">
        <f t="shared" si="476"/>
        <v>0</v>
      </c>
      <c r="BI276" s="26"/>
      <c r="BJ276" s="26">
        <f t="shared" si="477"/>
        <v>0</v>
      </c>
      <c r="BK276" s="26">
        <f t="shared" si="478"/>
        <v>0</v>
      </c>
    </row>
    <row r="277" spans="1:63" ht="15" customHeight="1" x14ac:dyDescent="0.3">
      <c r="A277" s="151"/>
      <c r="B277" s="842" t="s">
        <v>853</v>
      </c>
      <c r="C277" s="3452" t="s">
        <v>995</v>
      </c>
      <c r="D277" s="3452"/>
      <c r="E277" s="3482"/>
      <c r="F277" s="2599"/>
      <c r="G277" s="3482"/>
      <c r="H277" s="2599"/>
      <c r="I277" s="3483"/>
      <c r="J277" s="775">
        <f t="shared" si="403"/>
        <v>0</v>
      </c>
      <c r="K277" s="3482"/>
      <c r="L277" s="2599"/>
      <c r="M277" s="3475"/>
      <c r="N277" s="774">
        <f t="shared" si="404"/>
        <v>0</v>
      </c>
      <c r="O277" s="3482"/>
      <c r="P277" s="2599"/>
      <c r="Q277" s="3474"/>
      <c r="R277" s="775">
        <f t="shared" si="405"/>
        <v>0</v>
      </c>
      <c r="S277" s="3482"/>
      <c r="T277" s="2599"/>
      <c r="U277" s="3474"/>
      <c r="V277" s="775">
        <f t="shared" si="406"/>
        <v>0</v>
      </c>
      <c r="W277" s="3482"/>
      <c r="X277" s="2599"/>
      <c r="Y277" s="3475"/>
      <c r="Z277" s="774">
        <f t="shared" si="407"/>
        <v>0</v>
      </c>
      <c r="AA277" s="5734"/>
      <c r="AB277" s="460">
        <f t="shared" si="408"/>
        <v>0</v>
      </c>
      <c r="AC277" s="3482"/>
      <c r="AD277" s="2599"/>
      <c r="AE277" s="3474"/>
      <c r="AF277" s="775">
        <f t="shared" si="409"/>
        <v>0</v>
      </c>
      <c r="AG277" s="3482"/>
      <c r="AH277" s="2599"/>
      <c r="AI277" s="3474"/>
      <c r="AJ277" s="775">
        <f t="shared" si="453"/>
        <v>0</v>
      </c>
      <c r="AK277" s="3482"/>
      <c r="AL277" s="2599"/>
      <c r="AM277" s="3475"/>
      <c r="AN277" s="441">
        <f t="shared" si="449"/>
        <v>0</v>
      </c>
      <c r="AO277" s="3474"/>
      <c r="AP277" s="775">
        <f t="shared" si="450"/>
        <v>0</v>
      </c>
      <c r="AQ277" s="3482"/>
      <c r="AR277" s="2599"/>
      <c r="AS277" s="3474"/>
      <c r="AT277" s="775">
        <f t="shared" si="454"/>
        <v>0</v>
      </c>
      <c r="AU277" s="3482"/>
      <c r="AV277" s="2599"/>
      <c r="AW277" s="3474"/>
      <c r="AX277" s="775">
        <f t="shared" si="455"/>
        <v>0</v>
      </c>
      <c r="AY277" s="3482"/>
      <c r="AZ277" s="2599"/>
      <c r="BA277" s="3475"/>
      <c r="BB277" s="4386">
        <f t="shared" si="451"/>
        <v>0</v>
      </c>
      <c r="BC277" s="5734"/>
      <c r="BD277" s="1584">
        <f t="shared" si="452"/>
        <v>0</v>
      </c>
      <c r="BE277" s="3474"/>
      <c r="BF277" s="567">
        <f t="shared" si="456"/>
        <v>0</v>
      </c>
      <c r="BG277" s="26">
        <f t="shared" si="475"/>
        <v>0</v>
      </c>
      <c r="BH277" s="26">
        <f t="shared" si="476"/>
        <v>0</v>
      </c>
      <c r="BI277" s="26"/>
      <c r="BJ277" s="26">
        <f t="shared" si="477"/>
        <v>0</v>
      </c>
      <c r="BK277" s="26">
        <f t="shared" si="478"/>
        <v>0</v>
      </c>
    </row>
    <row r="278" spans="1:63" x14ac:dyDescent="0.3">
      <c r="A278" s="151"/>
      <c r="B278" s="842" t="s">
        <v>853</v>
      </c>
      <c r="C278" s="3452" t="s">
        <v>996</v>
      </c>
      <c r="D278" s="3452"/>
      <c r="E278" s="3482"/>
      <c r="F278" s="2599"/>
      <c r="G278" s="3482"/>
      <c r="H278" s="2599"/>
      <c r="I278" s="3483"/>
      <c r="J278" s="775">
        <f t="shared" si="403"/>
        <v>0</v>
      </c>
      <c r="K278" s="3482"/>
      <c r="L278" s="2599"/>
      <c r="M278" s="3475"/>
      <c r="N278" s="774">
        <f t="shared" si="404"/>
        <v>0</v>
      </c>
      <c r="O278" s="3482"/>
      <c r="P278" s="2599"/>
      <c r="Q278" s="3474"/>
      <c r="R278" s="775">
        <f t="shared" si="405"/>
        <v>0</v>
      </c>
      <c r="S278" s="3482"/>
      <c r="T278" s="2599">
        <v>502.64</v>
      </c>
      <c r="U278" s="3474"/>
      <c r="V278" s="775">
        <f t="shared" si="406"/>
        <v>502.64</v>
      </c>
      <c r="W278" s="3482"/>
      <c r="X278" s="2599"/>
      <c r="Y278" s="3475"/>
      <c r="Z278" s="774">
        <f t="shared" si="407"/>
        <v>502.64</v>
      </c>
      <c r="AA278" s="5734"/>
      <c r="AB278" s="460">
        <f t="shared" si="408"/>
        <v>502.64</v>
      </c>
      <c r="AC278" s="3482"/>
      <c r="AD278" s="2599"/>
      <c r="AE278" s="3474"/>
      <c r="AF278" s="775">
        <f t="shared" si="409"/>
        <v>502.64</v>
      </c>
      <c r="AG278" s="3482"/>
      <c r="AH278" s="2599">
        <v>984.73</v>
      </c>
      <c r="AI278" s="3474"/>
      <c r="AJ278" s="775">
        <f t="shared" si="453"/>
        <v>1487.37</v>
      </c>
      <c r="AK278" s="3482"/>
      <c r="AL278" s="2599">
        <v>2323.88</v>
      </c>
      <c r="AM278" s="3475"/>
      <c r="AN278" s="441">
        <f t="shared" si="449"/>
        <v>3308.61</v>
      </c>
      <c r="AO278" s="3474"/>
      <c r="AP278" s="775">
        <f t="shared" si="450"/>
        <v>3811.25</v>
      </c>
      <c r="AQ278" s="3482"/>
      <c r="AR278" s="2599">
        <v>503.46</v>
      </c>
      <c r="AS278" s="3474"/>
      <c r="AT278" s="775">
        <f t="shared" si="454"/>
        <v>4314.71</v>
      </c>
      <c r="AU278" s="3482"/>
      <c r="AV278" s="2599">
        <v>129.24</v>
      </c>
      <c r="AW278" s="3474"/>
      <c r="AX278" s="775">
        <f t="shared" si="455"/>
        <v>4443.95</v>
      </c>
      <c r="AY278" s="3482"/>
      <c r="AZ278" s="2599">
        <v>43.655000000000001</v>
      </c>
      <c r="BA278" s="3475"/>
      <c r="BB278" s="4386">
        <f t="shared" si="451"/>
        <v>676.35500000000002</v>
      </c>
      <c r="BC278" s="5734"/>
      <c r="BD278" s="1584">
        <f t="shared" si="452"/>
        <v>3984.9650000000001</v>
      </c>
      <c r="BE278" s="3474"/>
      <c r="BF278" s="567">
        <f t="shared" si="456"/>
        <v>4487.6049999999996</v>
      </c>
      <c r="BG278" s="26">
        <f t="shared" si="475"/>
        <v>0</v>
      </c>
      <c r="BH278" s="26">
        <f t="shared" si="476"/>
        <v>0</v>
      </c>
      <c r="BI278" s="26"/>
      <c r="BJ278" s="26">
        <f t="shared" si="477"/>
        <v>0</v>
      </c>
      <c r="BK278" s="26">
        <f t="shared" si="478"/>
        <v>0</v>
      </c>
    </row>
    <row r="279" spans="1:63" ht="15" thickBot="1" x14ac:dyDescent="0.35">
      <c r="A279" s="151"/>
      <c r="B279" s="2780" t="s">
        <v>853</v>
      </c>
      <c r="C279" s="3446" t="s">
        <v>1139</v>
      </c>
      <c r="D279" s="3446"/>
      <c r="E279" s="3484"/>
      <c r="F279" s="229"/>
      <c r="G279" s="3484"/>
      <c r="H279" s="229"/>
      <c r="I279" s="3485"/>
      <c r="J279" s="775">
        <f t="shared" si="403"/>
        <v>0</v>
      </c>
      <c r="K279" s="3484"/>
      <c r="L279" s="229"/>
      <c r="M279" s="3475"/>
      <c r="N279" s="774">
        <f t="shared" si="404"/>
        <v>0</v>
      </c>
      <c r="O279" s="3484"/>
      <c r="P279" s="229"/>
      <c r="Q279" s="3474"/>
      <c r="R279" s="775">
        <f t="shared" si="405"/>
        <v>0</v>
      </c>
      <c r="S279" s="3484"/>
      <c r="T279" s="229"/>
      <c r="U279" s="3474"/>
      <c r="V279" s="775">
        <f t="shared" si="406"/>
        <v>0</v>
      </c>
      <c r="W279" s="3484"/>
      <c r="X279" s="229"/>
      <c r="Y279" s="3475"/>
      <c r="Z279" s="774">
        <f t="shared" si="407"/>
        <v>0</v>
      </c>
      <c r="AA279" s="5734"/>
      <c r="AB279" s="460">
        <f t="shared" si="408"/>
        <v>0</v>
      </c>
      <c r="AC279" s="3484"/>
      <c r="AD279" s="229"/>
      <c r="AE279" s="3474"/>
      <c r="AF279" s="775">
        <f t="shared" si="409"/>
        <v>0</v>
      </c>
      <c r="AG279" s="3484"/>
      <c r="AH279" s="229">
        <v>24.324000000000002</v>
      </c>
      <c r="AI279" s="3474"/>
      <c r="AJ279" s="775">
        <f t="shared" si="453"/>
        <v>24.324000000000002</v>
      </c>
      <c r="AK279" s="3484"/>
      <c r="AL279" s="229">
        <v>38.923000000000002</v>
      </c>
      <c r="AM279" s="3475"/>
      <c r="AN279" s="441">
        <f t="shared" si="449"/>
        <v>63.247</v>
      </c>
      <c r="AO279" s="3474"/>
      <c r="AP279" s="775">
        <f t="shared" si="450"/>
        <v>63.247</v>
      </c>
      <c r="AQ279" s="3484"/>
      <c r="AR279" s="229"/>
      <c r="AS279" s="3474"/>
      <c r="AT279" s="775">
        <f t="shared" si="454"/>
        <v>63.247</v>
      </c>
      <c r="AU279" s="3484"/>
      <c r="AV279" s="229"/>
      <c r="AW279" s="3474"/>
      <c r="AX279" s="775">
        <f t="shared" si="455"/>
        <v>63.247</v>
      </c>
      <c r="AY279" s="3484"/>
      <c r="AZ279" s="229"/>
      <c r="BA279" s="3475"/>
      <c r="BB279" s="4386">
        <f t="shared" si="451"/>
        <v>0</v>
      </c>
      <c r="BC279" s="5734"/>
      <c r="BD279" s="1584">
        <f t="shared" si="452"/>
        <v>63.247</v>
      </c>
      <c r="BE279" s="3474"/>
      <c r="BF279" s="567">
        <f t="shared" si="456"/>
        <v>63.247</v>
      </c>
      <c r="BG279" s="26">
        <f t="shared" si="475"/>
        <v>0</v>
      </c>
      <c r="BH279" s="26">
        <f t="shared" si="476"/>
        <v>0</v>
      </c>
      <c r="BI279" s="26"/>
      <c r="BJ279" s="26">
        <f t="shared" si="477"/>
        <v>0</v>
      </c>
      <c r="BK279" s="26">
        <f t="shared" si="478"/>
        <v>0</v>
      </c>
    </row>
    <row r="280" spans="1:63" x14ac:dyDescent="0.3">
      <c r="A280" s="151"/>
      <c r="B280" s="3490" t="s">
        <v>854</v>
      </c>
      <c r="C280" s="3449" t="s">
        <v>870</v>
      </c>
      <c r="D280" s="3449"/>
      <c r="E280" s="3399"/>
      <c r="F280" s="1288">
        <v>2609.8000000000002</v>
      </c>
      <c r="G280" s="3399"/>
      <c r="H280" s="1288">
        <v>2898.2400000000007</v>
      </c>
      <c r="I280" s="3491"/>
      <c r="J280" s="775">
        <f t="shared" si="403"/>
        <v>5508.0400000000009</v>
      </c>
      <c r="K280" s="3399"/>
      <c r="L280" s="1288">
        <v>2377.2700000000004</v>
      </c>
      <c r="M280" s="441"/>
      <c r="N280" s="774">
        <f t="shared" si="404"/>
        <v>7885.3100000000013</v>
      </c>
      <c r="O280" s="3399"/>
      <c r="P280" s="1288">
        <v>2915.21</v>
      </c>
      <c r="Q280" s="362"/>
      <c r="R280" s="775">
        <f t="shared" si="405"/>
        <v>10800.52</v>
      </c>
      <c r="S280" s="3399"/>
      <c r="T280" s="1288">
        <v>2740.0700000000011</v>
      </c>
      <c r="U280" s="362"/>
      <c r="V280" s="775">
        <f t="shared" si="406"/>
        <v>13540.590000000002</v>
      </c>
      <c r="W280" s="3399"/>
      <c r="X280" s="1288">
        <v>2562.77</v>
      </c>
      <c r="Y280" s="441"/>
      <c r="Z280" s="774">
        <f t="shared" si="407"/>
        <v>8218.0500000000011</v>
      </c>
      <c r="AA280" s="465"/>
      <c r="AB280" s="460">
        <f t="shared" si="408"/>
        <v>16103.360000000002</v>
      </c>
      <c r="AC280" s="3399"/>
      <c r="AD280" s="1288"/>
      <c r="AE280" s="362"/>
      <c r="AF280" s="775">
        <f t="shared" si="409"/>
        <v>16103.360000000002</v>
      </c>
      <c r="AG280" s="3399"/>
      <c r="AH280" s="1288">
        <v>20.420000000000002</v>
      </c>
      <c r="AI280" s="362"/>
      <c r="AJ280" s="775">
        <f t="shared" si="453"/>
        <v>16123.780000000002</v>
      </c>
      <c r="AK280" s="3399"/>
      <c r="AL280" s="1288"/>
      <c r="AM280" s="441"/>
      <c r="AN280" s="441">
        <f t="shared" si="449"/>
        <v>20.420000000000002</v>
      </c>
      <c r="AO280" s="362"/>
      <c r="AP280" s="775">
        <f t="shared" si="450"/>
        <v>16123.780000000002</v>
      </c>
      <c r="AQ280" s="3399"/>
      <c r="AR280" s="1288">
        <v>2934.13</v>
      </c>
      <c r="AS280" s="362"/>
      <c r="AT280" s="775">
        <f t="shared" si="454"/>
        <v>19057.910000000003</v>
      </c>
      <c r="AU280" s="3399"/>
      <c r="AV280" s="1288">
        <v>3719.78</v>
      </c>
      <c r="AW280" s="362"/>
      <c r="AX280" s="775">
        <f t="shared" si="455"/>
        <v>22777.690000000002</v>
      </c>
      <c r="AY280" s="3399"/>
      <c r="AZ280" s="1288">
        <v>761.74</v>
      </c>
      <c r="BA280" s="441"/>
      <c r="BB280" s="4386">
        <f t="shared" si="451"/>
        <v>7415.65</v>
      </c>
      <c r="BC280" s="465"/>
      <c r="BD280" s="1584">
        <f t="shared" si="452"/>
        <v>7436.07</v>
      </c>
      <c r="BE280" s="362"/>
      <c r="BF280" s="567">
        <f t="shared" si="456"/>
        <v>23539.430000000004</v>
      </c>
      <c r="BG280" s="26">
        <f t="shared" si="475"/>
        <v>0</v>
      </c>
      <c r="BH280" s="26">
        <f t="shared" si="476"/>
        <v>0</v>
      </c>
      <c r="BI280" s="26"/>
      <c r="BJ280" s="26">
        <f t="shared" si="477"/>
        <v>0</v>
      </c>
      <c r="BK280" s="26">
        <f t="shared" si="478"/>
        <v>0</v>
      </c>
    </row>
    <row r="281" spans="1:63" x14ac:dyDescent="0.3">
      <c r="A281" s="151"/>
      <c r="B281" s="3472" t="s">
        <v>854</v>
      </c>
      <c r="C281" s="3443" t="s">
        <v>879</v>
      </c>
      <c r="D281" s="3443"/>
      <c r="E281" s="392"/>
      <c r="F281" s="1118">
        <v>8887.68</v>
      </c>
      <c r="G281" s="392"/>
      <c r="H281" s="1118">
        <v>2634.16</v>
      </c>
      <c r="I281" s="362"/>
      <c r="J281" s="775">
        <f t="shared" si="403"/>
        <v>11521.84</v>
      </c>
      <c r="K281" s="392"/>
      <c r="L281" s="1118">
        <v>8169.0199999999977</v>
      </c>
      <c r="M281" s="441"/>
      <c r="N281" s="774">
        <f t="shared" si="404"/>
        <v>19690.859999999997</v>
      </c>
      <c r="O281" s="392"/>
      <c r="P281" s="1118">
        <v>12550.800000000003</v>
      </c>
      <c r="Q281" s="362"/>
      <c r="R281" s="775">
        <f t="shared" si="405"/>
        <v>32241.66</v>
      </c>
      <c r="S281" s="392"/>
      <c r="T281" s="1118">
        <v>12782.630000000001</v>
      </c>
      <c r="U281" s="362"/>
      <c r="V281" s="775">
        <f t="shared" si="406"/>
        <v>45024.29</v>
      </c>
      <c r="W281" s="392"/>
      <c r="X281" s="1118">
        <v>13437.280000000006</v>
      </c>
      <c r="Y281" s="441"/>
      <c r="Z281" s="774">
        <f t="shared" si="407"/>
        <v>38770.710000000006</v>
      </c>
      <c r="AA281" s="465"/>
      <c r="AB281" s="460">
        <f t="shared" si="408"/>
        <v>58461.570000000007</v>
      </c>
      <c r="AC281" s="392"/>
      <c r="AD281" s="1118">
        <v>9412.8800000000047</v>
      </c>
      <c r="AE281" s="362"/>
      <c r="AF281" s="775">
        <f t="shared" si="409"/>
        <v>67874.450000000012</v>
      </c>
      <c r="AG281" s="392"/>
      <c r="AH281" s="1118">
        <v>11255.406000000003</v>
      </c>
      <c r="AI281" s="362"/>
      <c r="AJ281" s="775">
        <f t="shared" si="453"/>
        <v>79129.856000000014</v>
      </c>
      <c r="AK281" s="392"/>
      <c r="AL281" s="1118">
        <v>19246.945999999996</v>
      </c>
      <c r="AM281" s="441"/>
      <c r="AN281" s="441">
        <f t="shared" si="449"/>
        <v>39915.232000000004</v>
      </c>
      <c r="AO281" s="362"/>
      <c r="AP281" s="775">
        <f t="shared" si="450"/>
        <v>98376.802000000011</v>
      </c>
      <c r="AQ281" s="392"/>
      <c r="AR281" s="1118">
        <v>10411.960000000003</v>
      </c>
      <c r="AS281" s="362"/>
      <c r="AT281" s="775">
        <f t="shared" si="454"/>
        <v>108788.76200000002</v>
      </c>
      <c r="AU281" s="392"/>
      <c r="AV281" s="1118">
        <v>8535.98</v>
      </c>
      <c r="AW281" s="362"/>
      <c r="AX281" s="775">
        <f t="shared" si="455"/>
        <v>117324.74200000001</v>
      </c>
      <c r="AY281" s="392"/>
      <c r="AZ281" s="1118">
        <v>12585.14</v>
      </c>
      <c r="BA281" s="441"/>
      <c r="BB281" s="4386">
        <f t="shared" si="451"/>
        <v>31533.08</v>
      </c>
      <c r="BC281" s="465"/>
      <c r="BD281" s="1584">
        <f t="shared" si="452"/>
        <v>71448.312000000005</v>
      </c>
      <c r="BE281" s="362"/>
      <c r="BF281" s="567">
        <f t="shared" si="456"/>
        <v>129909.88200000001</v>
      </c>
      <c r="BG281" s="26">
        <f t="shared" si="475"/>
        <v>0</v>
      </c>
      <c r="BH281" s="26">
        <f t="shared" si="476"/>
        <v>0</v>
      </c>
      <c r="BI281" s="26"/>
      <c r="BJ281" s="26">
        <f t="shared" si="477"/>
        <v>0</v>
      </c>
      <c r="BK281" s="26">
        <f t="shared" si="478"/>
        <v>0</v>
      </c>
    </row>
    <row r="282" spans="1:63" x14ac:dyDescent="0.3">
      <c r="A282" s="151"/>
      <c r="B282" s="3472" t="s">
        <v>854</v>
      </c>
      <c r="C282" s="3443" t="s">
        <v>1139</v>
      </c>
      <c r="D282" s="3443"/>
      <c r="E282" s="3473"/>
      <c r="F282" s="1118">
        <v>14131.059999999992</v>
      </c>
      <c r="G282" s="3473"/>
      <c r="H282" s="1118">
        <v>6163.3799999999992</v>
      </c>
      <c r="I282" s="3474"/>
      <c r="J282" s="775">
        <f t="shared" si="403"/>
        <v>20294.439999999991</v>
      </c>
      <c r="K282" s="3473"/>
      <c r="L282" s="1118">
        <v>4807.3</v>
      </c>
      <c r="M282" s="3475"/>
      <c r="N282" s="774">
        <f t="shared" si="404"/>
        <v>25101.739999999991</v>
      </c>
      <c r="O282" s="3473"/>
      <c r="P282" s="1118">
        <v>11289.410000000002</v>
      </c>
      <c r="Q282" s="3474"/>
      <c r="R282" s="775">
        <f t="shared" si="405"/>
        <v>36391.149999999994</v>
      </c>
      <c r="S282" s="3473"/>
      <c r="T282" s="1118">
        <v>9006</v>
      </c>
      <c r="U282" s="3474"/>
      <c r="V282" s="775">
        <f t="shared" si="406"/>
        <v>45397.149999999994</v>
      </c>
      <c r="W282" s="3473"/>
      <c r="X282" s="1118">
        <v>8734.58</v>
      </c>
      <c r="Y282" s="3475"/>
      <c r="Z282" s="774">
        <f t="shared" si="407"/>
        <v>29029.990000000005</v>
      </c>
      <c r="AA282" s="5734"/>
      <c r="AB282" s="460">
        <f t="shared" si="408"/>
        <v>54131.729999999996</v>
      </c>
      <c r="AC282" s="3473"/>
      <c r="AD282" s="1118">
        <v>5432.3600000000006</v>
      </c>
      <c r="AE282" s="3474"/>
      <c r="AF282" s="775">
        <f t="shared" si="409"/>
        <v>59564.09</v>
      </c>
      <c r="AG282" s="3473"/>
      <c r="AH282" s="1118">
        <v>5347</v>
      </c>
      <c r="AI282" s="3474"/>
      <c r="AJ282" s="775">
        <f t="shared" si="453"/>
        <v>64911.09</v>
      </c>
      <c r="AK282" s="3473"/>
      <c r="AL282" s="1118">
        <v>16629.539999999997</v>
      </c>
      <c r="AM282" s="3475"/>
      <c r="AN282" s="441">
        <f t="shared" si="449"/>
        <v>27408.899999999998</v>
      </c>
      <c r="AO282" s="3474"/>
      <c r="AP282" s="775">
        <f t="shared" si="450"/>
        <v>81540.62999999999</v>
      </c>
      <c r="AQ282" s="3473"/>
      <c r="AR282" s="1118">
        <v>11554.129999999997</v>
      </c>
      <c r="AS282" s="3474"/>
      <c r="AT282" s="775">
        <f t="shared" si="454"/>
        <v>93094.75999999998</v>
      </c>
      <c r="AU282" s="3473"/>
      <c r="AV282" s="1118">
        <v>11769.44</v>
      </c>
      <c r="AW282" s="3474"/>
      <c r="AX282" s="775">
        <f t="shared" si="455"/>
        <v>104864.19999999998</v>
      </c>
      <c r="AY282" s="3473"/>
      <c r="AZ282" s="1118">
        <v>10566.97</v>
      </c>
      <c r="BA282" s="3475"/>
      <c r="BB282" s="4386">
        <f t="shared" si="451"/>
        <v>33890.54</v>
      </c>
      <c r="BC282" s="5734"/>
      <c r="BD282" s="1584">
        <f t="shared" si="452"/>
        <v>61299.44</v>
      </c>
      <c r="BE282" s="3474"/>
      <c r="BF282" s="567">
        <f t="shared" si="456"/>
        <v>115431.16999999998</v>
      </c>
      <c r="BG282" s="26">
        <f t="shared" si="475"/>
        <v>0</v>
      </c>
      <c r="BH282" s="26">
        <f t="shared" si="476"/>
        <v>0</v>
      </c>
      <c r="BI282" s="26"/>
      <c r="BJ282" s="26">
        <f t="shared" si="477"/>
        <v>0</v>
      </c>
      <c r="BK282" s="26">
        <f t="shared" si="478"/>
        <v>0</v>
      </c>
    </row>
    <row r="283" spans="1:63" x14ac:dyDescent="0.3">
      <c r="A283" s="151"/>
      <c r="B283" s="3472" t="s">
        <v>854</v>
      </c>
      <c r="C283" s="3443" t="s">
        <v>995</v>
      </c>
      <c r="D283" s="3443"/>
      <c r="E283" s="3473"/>
      <c r="F283" s="1118"/>
      <c r="G283" s="3473"/>
      <c r="H283" s="1118"/>
      <c r="I283" s="3474"/>
      <c r="J283" s="775">
        <f t="shared" si="403"/>
        <v>0</v>
      </c>
      <c r="K283" s="3473"/>
      <c r="L283" s="1118"/>
      <c r="M283" s="3475"/>
      <c r="N283" s="774">
        <f t="shared" si="404"/>
        <v>0</v>
      </c>
      <c r="O283" s="3473"/>
      <c r="P283" s="1118"/>
      <c r="Q283" s="3474"/>
      <c r="R283" s="775">
        <f t="shared" si="405"/>
        <v>0</v>
      </c>
      <c r="S283" s="3473"/>
      <c r="T283" s="1118">
        <v>42.09</v>
      </c>
      <c r="U283" s="3474"/>
      <c r="V283" s="775">
        <f t="shared" si="406"/>
        <v>42.09</v>
      </c>
      <c r="W283" s="3473"/>
      <c r="X283" s="1118"/>
      <c r="Y283" s="3475"/>
      <c r="Z283" s="774">
        <f t="shared" si="407"/>
        <v>42.09</v>
      </c>
      <c r="AA283" s="5734"/>
      <c r="AB283" s="460">
        <f t="shared" si="408"/>
        <v>42.09</v>
      </c>
      <c r="AC283" s="3473"/>
      <c r="AD283" s="1118"/>
      <c r="AE283" s="3474"/>
      <c r="AF283" s="775">
        <f t="shared" si="409"/>
        <v>42.09</v>
      </c>
      <c r="AG283" s="3473"/>
      <c r="AH283" s="1118">
        <v>21.774999999999999</v>
      </c>
      <c r="AI283" s="3474"/>
      <c r="AJ283" s="775">
        <f t="shared" si="453"/>
        <v>63.865000000000002</v>
      </c>
      <c r="AK283" s="3473"/>
      <c r="AL283" s="1118"/>
      <c r="AM283" s="3475"/>
      <c r="AN283" s="441">
        <f t="shared" si="449"/>
        <v>21.774999999999999</v>
      </c>
      <c r="AO283" s="3474"/>
      <c r="AP283" s="775">
        <f t="shared" si="450"/>
        <v>63.865000000000002</v>
      </c>
      <c r="AQ283" s="3473"/>
      <c r="AR283" s="1118"/>
      <c r="AS283" s="3474"/>
      <c r="AT283" s="775">
        <f t="shared" si="454"/>
        <v>63.865000000000002</v>
      </c>
      <c r="AU283" s="3473"/>
      <c r="AV283" s="1118"/>
      <c r="AW283" s="3474"/>
      <c r="AX283" s="775">
        <f t="shared" si="455"/>
        <v>63.865000000000002</v>
      </c>
      <c r="AY283" s="3473"/>
      <c r="AZ283" s="1118"/>
      <c r="BA283" s="3475"/>
      <c r="BB283" s="4386">
        <f t="shared" si="451"/>
        <v>0</v>
      </c>
      <c r="BC283" s="5734"/>
      <c r="BD283" s="1584">
        <f t="shared" si="452"/>
        <v>21.774999999999999</v>
      </c>
      <c r="BE283" s="3474"/>
      <c r="BF283" s="567">
        <f t="shared" si="456"/>
        <v>63.865000000000002</v>
      </c>
      <c r="BG283" s="26">
        <f t="shared" si="475"/>
        <v>0</v>
      </c>
      <c r="BH283" s="26">
        <f t="shared" si="476"/>
        <v>0</v>
      </c>
      <c r="BI283" s="26"/>
      <c r="BJ283" s="26">
        <f t="shared" si="477"/>
        <v>0</v>
      </c>
      <c r="BK283" s="26">
        <f t="shared" si="478"/>
        <v>0</v>
      </c>
    </row>
    <row r="284" spans="1:63" x14ac:dyDescent="0.3">
      <c r="A284" s="151"/>
      <c r="B284" s="3472" t="s">
        <v>854</v>
      </c>
      <c r="C284" s="3443" t="s">
        <v>996</v>
      </c>
      <c r="D284" s="3443"/>
      <c r="E284" s="3473"/>
      <c r="F284" s="1118">
        <v>883.94</v>
      </c>
      <c r="G284" s="3473"/>
      <c r="H284" s="1118">
        <v>304.10000000000002</v>
      </c>
      <c r="I284" s="3474"/>
      <c r="J284" s="775">
        <f t="shared" si="403"/>
        <v>1188.04</v>
      </c>
      <c r="K284" s="3473"/>
      <c r="L284" s="1118"/>
      <c r="M284" s="3475"/>
      <c r="N284" s="774">
        <f t="shared" si="404"/>
        <v>1188.04</v>
      </c>
      <c r="O284" s="3473"/>
      <c r="P284" s="1118"/>
      <c r="Q284" s="3474"/>
      <c r="R284" s="775">
        <f t="shared" si="405"/>
        <v>1188.04</v>
      </c>
      <c r="S284" s="3473"/>
      <c r="T284" s="1118">
        <v>259.26000000000005</v>
      </c>
      <c r="U284" s="3474"/>
      <c r="V284" s="775">
        <f t="shared" si="406"/>
        <v>1447.3</v>
      </c>
      <c r="W284" s="3473"/>
      <c r="X284" s="1118">
        <v>1347.9700000000003</v>
      </c>
      <c r="Y284" s="3475"/>
      <c r="Z284" s="774">
        <f t="shared" si="407"/>
        <v>1607.2300000000002</v>
      </c>
      <c r="AA284" s="5734"/>
      <c r="AB284" s="460">
        <f t="shared" si="408"/>
        <v>2795.2700000000004</v>
      </c>
      <c r="AC284" s="3473"/>
      <c r="AD284" s="1118">
        <v>161.35999999999999</v>
      </c>
      <c r="AE284" s="3474"/>
      <c r="AF284" s="775">
        <f t="shared" si="409"/>
        <v>2956.6300000000006</v>
      </c>
      <c r="AG284" s="3473"/>
      <c r="AH284" s="1118">
        <v>50.216000000000001</v>
      </c>
      <c r="AI284" s="3474"/>
      <c r="AJ284" s="775">
        <f t="shared" si="453"/>
        <v>3006.8460000000005</v>
      </c>
      <c r="AK284" s="3473"/>
      <c r="AL284" s="1118">
        <v>2016.5940000000001</v>
      </c>
      <c r="AM284" s="3475"/>
      <c r="AN284" s="441">
        <f t="shared" si="449"/>
        <v>2228.17</v>
      </c>
      <c r="AO284" s="3474"/>
      <c r="AP284" s="775">
        <f t="shared" si="450"/>
        <v>5023.4400000000005</v>
      </c>
      <c r="AQ284" s="3473"/>
      <c r="AR284" s="1118"/>
      <c r="AS284" s="3474"/>
      <c r="AT284" s="775">
        <f t="shared" si="454"/>
        <v>5023.4400000000005</v>
      </c>
      <c r="AU284" s="3473"/>
      <c r="AV284" s="1118"/>
      <c r="AW284" s="3474"/>
      <c r="AX284" s="775">
        <f t="shared" si="455"/>
        <v>5023.4400000000005</v>
      </c>
      <c r="AY284" s="3473"/>
      <c r="AZ284" s="1118">
        <v>39.170999999999999</v>
      </c>
      <c r="BA284" s="3475"/>
      <c r="BB284" s="4386">
        <f t="shared" si="451"/>
        <v>39.170999999999999</v>
      </c>
      <c r="BC284" s="5734"/>
      <c r="BD284" s="1584">
        <f t="shared" si="452"/>
        <v>2267.3409999999999</v>
      </c>
      <c r="BE284" s="3474"/>
      <c r="BF284" s="567">
        <f t="shared" si="456"/>
        <v>5062.6110000000008</v>
      </c>
      <c r="BG284" s="26">
        <f t="shared" si="475"/>
        <v>0</v>
      </c>
      <c r="BH284" s="26">
        <f t="shared" si="476"/>
        <v>0</v>
      </c>
      <c r="BI284" s="26"/>
      <c r="BJ284" s="26">
        <f t="shared" si="477"/>
        <v>0</v>
      </c>
      <c r="BK284" s="26">
        <f t="shared" si="478"/>
        <v>0</v>
      </c>
    </row>
    <row r="285" spans="1:63" ht="15" thickBot="1" x14ac:dyDescent="0.35">
      <c r="A285" s="151"/>
      <c r="B285" s="3476" t="s">
        <v>854</v>
      </c>
      <c r="C285" s="3477" t="s">
        <v>1366</v>
      </c>
      <c r="D285" s="3477"/>
      <c r="E285" s="3478"/>
      <c r="F285" s="2840"/>
      <c r="G285" s="3478"/>
      <c r="H285" s="2840"/>
      <c r="I285" s="3479"/>
      <c r="J285" s="775">
        <f t="shared" si="403"/>
        <v>0</v>
      </c>
      <c r="K285" s="3478"/>
      <c r="L285" s="2840">
        <v>579.20000000000005</v>
      </c>
      <c r="M285" s="3475"/>
      <c r="N285" s="774">
        <f t="shared" si="404"/>
        <v>579.20000000000005</v>
      </c>
      <c r="O285" s="3478"/>
      <c r="P285" s="2840"/>
      <c r="Q285" s="3474"/>
      <c r="R285" s="775">
        <f t="shared" si="405"/>
        <v>579.20000000000005</v>
      </c>
      <c r="S285" s="3478"/>
      <c r="T285" s="2840"/>
      <c r="U285" s="3474"/>
      <c r="V285" s="775">
        <f t="shared" si="406"/>
        <v>579.20000000000005</v>
      </c>
      <c r="W285" s="3478"/>
      <c r="X285" s="2840"/>
      <c r="Y285" s="3475"/>
      <c r="Z285" s="774">
        <f t="shared" si="407"/>
        <v>0</v>
      </c>
      <c r="AA285" s="5734"/>
      <c r="AB285" s="460">
        <f t="shared" si="408"/>
        <v>579.20000000000005</v>
      </c>
      <c r="AC285" s="3478"/>
      <c r="AD285" s="2840">
        <v>439.52000000000004</v>
      </c>
      <c r="AE285" s="3474"/>
      <c r="AF285" s="775">
        <f t="shared" si="409"/>
        <v>1018.72</v>
      </c>
      <c r="AG285" s="3478"/>
      <c r="AH285" s="2840"/>
      <c r="AI285" s="3474"/>
      <c r="AJ285" s="775">
        <f t="shared" si="453"/>
        <v>1018.72</v>
      </c>
      <c r="AK285" s="3478"/>
      <c r="AL285" s="2840"/>
      <c r="AM285" s="3475"/>
      <c r="AN285" s="441">
        <f t="shared" si="449"/>
        <v>439.52000000000004</v>
      </c>
      <c r="AO285" s="3474"/>
      <c r="AP285" s="775">
        <f t="shared" si="450"/>
        <v>1018.72</v>
      </c>
      <c r="AQ285" s="3478"/>
      <c r="AR285" s="2840"/>
      <c r="AS285" s="3474"/>
      <c r="AT285" s="775">
        <f t="shared" si="454"/>
        <v>1018.72</v>
      </c>
      <c r="AU285" s="3478"/>
      <c r="AV285" s="2840"/>
      <c r="AW285" s="3474"/>
      <c r="AX285" s="775">
        <f t="shared" si="455"/>
        <v>1018.72</v>
      </c>
      <c r="AY285" s="3478"/>
      <c r="AZ285" s="2840">
        <v>7.79</v>
      </c>
      <c r="BA285" s="3475"/>
      <c r="BB285" s="4386">
        <f t="shared" si="451"/>
        <v>7.79</v>
      </c>
      <c r="BC285" s="5734"/>
      <c r="BD285" s="1584">
        <f t="shared" si="452"/>
        <v>447.31000000000006</v>
      </c>
      <c r="BE285" s="3474"/>
      <c r="BF285" s="567">
        <f t="shared" si="456"/>
        <v>1026.51</v>
      </c>
      <c r="BG285" s="26">
        <f t="shared" si="475"/>
        <v>0</v>
      </c>
      <c r="BH285" s="26">
        <f t="shared" si="476"/>
        <v>0</v>
      </c>
      <c r="BI285" s="26"/>
      <c r="BJ285" s="26">
        <f t="shared" si="477"/>
        <v>0</v>
      </c>
      <c r="BK285" s="26">
        <f t="shared" si="478"/>
        <v>0</v>
      </c>
    </row>
    <row r="286" spans="1:63" x14ac:dyDescent="0.3">
      <c r="A286" s="151"/>
      <c r="B286" s="2776" t="s">
        <v>855</v>
      </c>
      <c r="C286" s="3442" t="s">
        <v>870</v>
      </c>
      <c r="D286" s="3442"/>
      <c r="E286" s="3480"/>
      <c r="F286" s="270"/>
      <c r="G286" s="3480"/>
      <c r="H286" s="270">
        <v>5044.369999999999</v>
      </c>
      <c r="I286" s="3481"/>
      <c r="J286" s="775">
        <f t="shared" si="403"/>
        <v>5044.369999999999</v>
      </c>
      <c r="K286" s="3480"/>
      <c r="L286" s="270">
        <v>2981.4500000000003</v>
      </c>
      <c r="M286" s="3475"/>
      <c r="N286" s="774">
        <f t="shared" si="404"/>
        <v>8025.82</v>
      </c>
      <c r="O286" s="3480"/>
      <c r="P286" s="270">
        <v>3391.0299999999993</v>
      </c>
      <c r="Q286" s="3474"/>
      <c r="R286" s="775">
        <f t="shared" si="405"/>
        <v>11416.849999999999</v>
      </c>
      <c r="S286" s="3480"/>
      <c r="T286" s="270">
        <v>3725.8200000000006</v>
      </c>
      <c r="U286" s="3474"/>
      <c r="V286" s="775">
        <f t="shared" si="406"/>
        <v>15142.669999999998</v>
      </c>
      <c r="W286" s="3480"/>
      <c r="X286" s="270">
        <v>95.160000000000011</v>
      </c>
      <c r="Y286" s="3475"/>
      <c r="Z286" s="774">
        <f t="shared" si="407"/>
        <v>7212.01</v>
      </c>
      <c r="AA286" s="5734"/>
      <c r="AB286" s="460">
        <f t="shared" si="408"/>
        <v>15237.83</v>
      </c>
      <c r="AC286" s="3480"/>
      <c r="AD286" s="270"/>
      <c r="AE286" s="3474"/>
      <c r="AF286" s="775">
        <f t="shared" si="409"/>
        <v>15237.83</v>
      </c>
      <c r="AG286" s="3480"/>
      <c r="AH286" s="270">
        <v>125.74000000000001</v>
      </c>
      <c r="AI286" s="3474"/>
      <c r="AJ286" s="775">
        <f t="shared" si="453"/>
        <v>15363.57</v>
      </c>
      <c r="AK286" s="3480"/>
      <c r="AL286" s="270"/>
      <c r="AM286" s="3475"/>
      <c r="AN286" s="441">
        <f t="shared" si="449"/>
        <v>125.74000000000001</v>
      </c>
      <c r="AO286" s="3474"/>
      <c r="AP286" s="775">
        <f t="shared" si="450"/>
        <v>15363.57</v>
      </c>
      <c r="AQ286" s="3480"/>
      <c r="AR286" s="270">
        <v>1271.1399999999999</v>
      </c>
      <c r="AS286" s="3474"/>
      <c r="AT286" s="775">
        <f t="shared" si="454"/>
        <v>16634.71</v>
      </c>
      <c r="AU286" s="3480"/>
      <c r="AV286" s="270">
        <v>1591.26</v>
      </c>
      <c r="AW286" s="3474"/>
      <c r="AX286" s="775">
        <f t="shared" si="455"/>
        <v>18225.969999999998</v>
      </c>
      <c r="AY286" s="3480"/>
      <c r="AZ286" s="270">
        <v>1645.3</v>
      </c>
      <c r="BA286" s="3475"/>
      <c r="BB286" s="4386">
        <f t="shared" si="451"/>
        <v>4507.7</v>
      </c>
      <c r="BC286" s="5734"/>
      <c r="BD286" s="1584">
        <f t="shared" si="452"/>
        <v>4633.4399999999996</v>
      </c>
      <c r="BE286" s="3474"/>
      <c r="BF286" s="567">
        <f t="shared" si="456"/>
        <v>19871.269999999997</v>
      </c>
      <c r="BG286" s="26">
        <f t="shared" si="475"/>
        <v>0</v>
      </c>
      <c r="BH286" s="26">
        <f t="shared" si="476"/>
        <v>0</v>
      </c>
      <c r="BI286" s="26"/>
      <c r="BJ286" s="26">
        <f t="shared" si="477"/>
        <v>0</v>
      </c>
      <c r="BK286" s="26">
        <f t="shared" si="478"/>
        <v>0</v>
      </c>
    </row>
    <row r="287" spans="1:63" x14ac:dyDescent="0.3">
      <c r="A287" s="92"/>
      <c r="B287" s="842" t="s">
        <v>855</v>
      </c>
      <c r="C287" s="3452" t="s">
        <v>879</v>
      </c>
      <c r="D287" s="3452"/>
      <c r="E287" s="3482"/>
      <c r="F287" s="2599">
        <v>1950.9600000000003</v>
      </c>
      <c r="G287" s="3482"/>
      <c r="H287" s="2599">
        <v>5315.61</v>
      </c>
      <c r="I287" s="3483"/>
      <c r="J287" s="775">
        <f t="shared" si="403"/>
        <v>7266.57</v>
      </c>
      <c r="K287" s="3482"/>
      <c r="L287" s="2599">
        <v>8540.5599999999977</v>
      </c>
      <c r="M287" s="3475"/>
      <c r="N287" s="774">
        <f t="shared" si="404"/>
        <v>15807.129999999997</v>
      </c>
      <c r="O287" s="3482"/>
      <c r="P287" s="2599">
        <v>12128.730000000001</v>
      </c>
      <c r="Q287" s="3474"/>
      <c r="R287" s="775">
        <f t="shared" si="405"/>
        <v>27935.86</v>
      </c>
      <c r="S287" s="3482"/>
      <c r="T287" s="2599">
        <v>7920.03</v>
      </c>
      <c r="U287" s="3474"/>
      <c r="V287" s="775">
        <f t="shared" si="406"/>
        <v>35855.89</v>
      </c>
      <c r="W287" s="3482"/>
      <c r="X287" s="2599">
        <v>7240.1899999999978</v>
      </c>
      <c r="Y287" s="3475"/>
      <c r="Z287" s="774">
        <f t="shared" si="407"/>
        <v>27288.95</v>
      </c>
      <c r="AA287" s="5734"/>
      <c r="AB287" s="460">
        <f t="shared" si="408"/>
        <v>43096.08</v>
      </c>
      <c r="AC287" s="3482"/>
      <c r="AD287" s="2599">
        <v>11371.330000000002</v>
      </c>
      <c r="AE287" s="3474"/>
      <c r="AF287" s="775">
        <f t="shared" si="409"/>
        <v>54467.41</v>
      </c>
      <c r="AG287" s="3482"/>
      <c r="AH287" s="2599">
        <v>11713.91</v>
      </c>
      <c r="AI287" s="3474"/>
      <c r="AJ287" s="775">
        <f t="shared" si="453"/>
        <v>66181.320000000007</v>
      </c>
      <c r="AK287" s="3482"/>
      <c r="AL287" s="2599">
        <v>8576.4800000000014</v>
      </c>
      <c r="AM287" s="3475"/>
      <c r="AN287" s="441">
        <f t="shared" si="449"/>
        <v>31661.72</v>
      </c>
      <c r="AO287" s="3474"/>
      <c r="AP287" s="775">
        <f t="shared" si="450"/>
        <v>74757.8</v>
      </c>
      <c r="AQ287" s="3482"/>
      <c r="AR287" s="2599">
        <v>13169.599000000004</v>
      </c>
      <c r="AS287" s="3474"/>
      <c r="AT287" s="775">
        <f t="shared" si="454"/>
        <v>87927.399000000005</v>
      </c>
      <c r="AU287" s="3482"/>
      <c r="AV287" s="2599">
        <v>5468.92</v>
      </c>
      <c r="AW287" s="3474"/>
      <c r="AX287" s="775">
        <f t="shared" si="455"/>
        <v>93396.319000000003</v>
      </c>
      <c r="AY287" s="3482"/>
      <c r="AZ287" s="2599">
        <v>13334.01</v>
      </c>
      <c r="BA287" s="3475"/>
      <c r="BB287" s="4386">
        <f t="shared" si="451"/>
        <v>31972.529000000002</v>
      </c>
      <c r="BC287" s="5734"/>
      <c r="BD287" s="1584">
        <f t="shared" si="452"/>
        <v>63634.249000000003</v>
      </c>
      <c r="BE287" s="3474"/>
      <c r="BF287" s="567">
        <f t="shared" si="456"/>
        <v>106730.329</v>
      </c>
      <c r="BG287" s="26">
        <f t="shared" si="475"/>
        <v>0</v>
      </c>
      <c r="BH287" s="26">
        <f t="shared" si="476"/>
        <v>0</v>
      </c>
      <c r="BI287" s="26"/>
      <c r="BJ287" s="26">
        <f t="shared" si="477"/>
        <v>0</v>
      </c>
      <c r="BK287" s="26">
        <f t="shared" si="478"/>
        <v>0</v>
      </c>
    </row>
    <row r="288" spans="1:63" x14ac:dyDescent="0.3">
      <c r="A288" s="151"/>
      <c r="B288" s="842" t="s">
        <v>855</v>
      </c>
      <c r="C288" s="3452" t="s">
        <v>1139</v>
      </c>
      <c r="D288" s="3452"/>
      <c r="E288" s="3482"/>
      <c r="F288" s="2599">
        <v>2155.3900000000003</v>
      </c>
      <c r="G288" s="3482"/>
      <c r="H288" s="2599">
        <v>10114.569999999998</v>
      </c>
      <c r="I288" s="3483"/>
      <c r="J288" s="775">
        <f t="shared" si="403"/>
        <v>12269.96</v>
      </c>
      <c r="K288" s="3482"/>
      <c r="L288" s="2599">
        <v>9903.4400000000023</v>
      </c>
      <c r="M288" s="3475"/>
      <c r="N288" s="774">
        <f t="shared" si="404"/>
        <v>22173.4</v>
      </c>
      <c r="O288" s="3482"/>
      <c r="P288" s="2599">
        <v>7580.22</v>
      </c>
      <c r="Q288" s="3474"/>
      <c r="R288" s="775">
        <f t="shared" si="405"/>
        <v>29753.620000000003</v>
      </c>
      <c r="S288" s="3482"/>
      <c r="T288" s="2599">
        <v>9293.1999999999971</v>
      </c>
      <c r="U288" s="3474"/>
      <c r="V288" s="775">
        <f t="shared" si="406"/>
        <v>39046.82</v>
      </c>
      <c r="W288" s="3482"/>
      <c r="X288" s="2599">
        <v>3702.84</v>
      </c>
      <c r="Y288" s="3475"/>
      <c r="Z288" s="774">
        <f t="shared" si="407"/>
        <v>20576.259999999998</v>
      </c>
      <c r="AA288" s="5734"/>
      <c r="AB288" s="460">
        <f t="shared" si="408"/>
        <v>42749.66</v>
      </c>
      <c r="AC288" s="3482"/>
      <c r="AD288" s="2599">
        <v>4872.78</v>
      </c>
      <c r="AE288" s="3474"/>
      <c r="AF288" s="775">
        <f t="shared" si="409"/>
        <v>47622.44</v>
      </c>
      <c r="AG288" s="3482"/>
      <c r="AH288" s="2599">
        <v>7003.2529999999997</v>
      </c>
      <c r="AI288" s="3474"/>
      <c r="AJ288" s="775">
        <f t="shared" si="453"/>
        <v>54625.692999999999</v>
      </c>
      <c r="AK288" s="3482"/>
      <c r="AL288" s="2599">
        <v>7532.5499999999993</v>
      </c>
      <c r="AM288" s="3475"/>
      <c r="AN288" s="441">
        <f t="shared" si="449"/>
        <v>19408.582999999999</v>
      </c>
      <c r="AO288" s="3474"/>
      <c r="AP288" s="775">
        <f t="shared" si="450"/>
        <v>62158.243000000002</v>
      </c>
      <c r="AQ288" s="3482"/>
      <c r="AR288" s="2599">
        <v>15680.570000000005</v>
      </c>
      <c r="AS288" s="3474"/>
      <c r="AT288" s="775">
        <f t="shared" si="454"/>
        <v>77838.813000000009</v>
      </c>
      <c r="AU288" s="3482"/>
      <c r="AV288" s="2599">
        <v>8051.41</v>
      </c>
      <c r="AW288" s="3474"/>
      <c r="AX288" s="775">
        <f t="shared" si="455"/>
        <v>85890.223000000013</v>
      </c>
      <c r="AY288" s="3482"/>
      <c r="AZ288" s="2599">
        <v>9181.06</v>
      </c>
      <c r="BA288" s="3475"/>
      <c r="BB288" s="4386">
        <f t="shared" si="451"/>
        <v>32913.040000000001</v>
      </c>
      <c r="BC288" s="5734"/>
      <c r="BD288" s="1584">
        <f t="shared" si="452"/>
        <v>52321.623</v>
      </c>
      <c r="BE288" s="3474"/>
      <c r="BF288" s="567">
        <f t="shared" si="456"/>
        <v>95071.28300000001</v>
      </c>
      <c r="BG288" s="26">
        <f t="shared" si="475"/>
        <v>0</v>
      </c>
      <c r="BH288" s="26">
        <f t="shared" si="476"/>
        <v>0</v>
      </c>
      <c r="BI288" s="26"/>
      <c r="BJ288" s="26">
        <f t="shared" si="477"/>
        <v>0</v>
      </c>
      <c r="BK288" s="26">
        <f t="shared" si="478"/>
        <v>0</v>
      </c>
    </row>
    <row r="289" spans="1:63" x14ac:dyDescent="0.3">
      <c r="A289" s="151"/>
      <c r="B289" s="842" t="s">
        <v>855</v>
      </c>
      <c r="C289" s="3452" t="s">
        <v>995</v>
      </c>
      <c r="D289" s="3452"/>
      <c r="E289" s="3482"/>
      <c r="F289" s="2599"/>
      <c r="G289" s="3482"/>
      <c r="H289" s="2599"/>
      <c r="I289" s="3483"/>
      <c r="J289" s="775">
        <f t="shared" si="403"/>
        <v>0</v>
      </c>
      <c r="K289" s="3482"/>
      <c r="L289" s="2599"/>
      <c r="M289" s="3475"/>
      <c r="N289" s="774">
        <f t="shared" si="404"/>
        <v>0</v>
      </c>
      <c r="O289" s="3482"/>
      <c r="P289" s="2599"/>
      <c r="Q289" s="3474"/>
      <c r="R289" s="775">
        <f t="shared" si="405"/>
        <v>0</v>
      </c>
      <c r="S289" s="3482"/>
      <c r="T289" s="2599"/>
      <c r="U289" s="3474"/>
      <c r="V289" s="775">
        <f t="shared" si="406"/>
        <v>0</v>
      </c>
      <c r="W289" s="3482"/>
      <c r="X289" s="2599"/>
      <c r="Y289" s="3475"/>
      <c r="Z289" s="774">
        <f t="shared" si="407"/>
        <v>0</v>
      </c>
      <c r="AA289" s="5734"/>
      <c r="AB289" s="460">
        <f t="shared" si="408"/>
        <v>0</v>
      </c>
      <c r="AC289" s="3482"/>
      <c r="AD289" s="2599">
        <v>64.02</v>
      </c>
      <c r="AE289" s="3474"/>
      <c r="AF289" s="775">
        <f t="shared" si="409"/>
        <v>64.02</v>
      </c>
      <c r="AG289" s="3482"/>
      <c r="AH289" s="2599"/>
      <c r="AI289" s="3474"/>
      <c r="AJ289" s="775">
        <f t="shared" si="453"/>
        <v>64.02</v>
      </c>
      <c r="AK289" s="3482"/>
      <c r="AL289" s="2599">
        <v>16.309000000000001</v>
      </c>
      <c r="AM289" s="3475"/>
      <c r="AN289" s="441">
        <f t="shared" si="449"/>
        <v>80.328999999999994</v>
      </c>
      <c r="AO289" s="3474"/>
      <c r="AP289" s="775">
        <f t="shared" si="450"/>
        <v>80.328999999999994</v>
      </c>
      <c r="AQ289" s="3482"/>
      <c r="AR289" s="2599"/>
      <c r="AS289" s="3474"/>
      <c r="AT289" s="775">
        <f t="shared" si="454"/>
        <v>80.328999999999994</v>
      </c>
      <c r="AU289" s="3482"/>
      <c r="AV289" s="2599"/>
      <c r="AW289" s="3474"/>
      <c r="AX289" s="775">
        <f t="shared" si="455"/>
        <v>80.328999999999994</v>
      </c>
      <c r="AY289" s="3482"/>
      <c r="AZ289" s="2599"/>
      <c r="BA289" s="3475"/>
      <c r="BB289" s="4386">
        <f t="shared" si="451"/>
        <v>0</v>
      </c>
      <c r="BC289" s="5734"/>
      <c r="BD289" s="1584">
        <f t="shared" si="452"/>
        <v>80.328999999999994</v>
      </c>
      <c r="BE289" s="3474"/>
      <c r="BF289" s="567">
        <f t="shared" si="456"/>
        <v>80.328999999999994</v>
      </c>
      <c r="BG289" s="26">
        <f t="shared" si="475"/>
        <v>0</v>
      </c>
      <c r="BH289" s="26">
        <f t="shared" si="476"/>
        <v>0</v>
      </c>
      <c r="BI289" s="26"/>
      <c r="BJ289" s="26">
        <f t="shared" si="477"/>
        <v>0</v>
      </c>
      <c r="BK289" s="26">
        <f t="shared" si="478"/>
        <v>0</v>
      </c>
    </row>
    <row r="290" spans="1:63" ht="15" thickBot="1" x14ac:dyDescent="0.35">
      <c r="A290" s="92"/>
      <c r="B290" s="3839" t="s">
        <v>855</v>
      </c>
      <c r="C290" s="4421" t="s">
        <v>996</v>
      </c>
      <c r="D290" s="4421"/>
      <c r="E290" s="4422"/>
      <c r="F290" s="4423"/>
      <c r="G290" s="4422"/>
      <c r="H290" s="4423">
        <v>562.61999999999989</v>
      </c>
      <c r="I290" s="4424"/>
      <c r="J290" s="4425">
        <f t="shared" ref="J290:J357" si="479">F290+H290</f>
        <v>562.61999999999989</v>
      </c>
      <c r="K290" s="4422"/>
      <c r="L290" s="4423"/>
      <c r="M290" s="4426"/>
      <c r="N290" s="5306">
        <f t="shared" ref="N290:N357" si="480">J290+L290</f>
        <v>562.61999999999989</v>
      </c>
      <c r="O290" s="4422"/>
      <c r="P290" s="4423"/>
      <c r="Q290" s="4424"/>
      <c r="R290" s="4425">
        <f t="shared" ref="R290:R357" si="481">N290+P290</f>
        <v>562.61999999999989</v>
      </c>
      <c r="S290" s="4422"/>
      <c r="T290" s="4423"/>
      <c r="U290" s="4424"/>
      <c r="V290" s="4425">
        <f t="shared" ref="V290:V357" si="482">R290+T290</f>
        <v>562.61999999999989</v>
      </c>
      <c r="W290" s="4422"/>
      <c r="X290" s="4423">
        <v>1176.4400000000003</v>
      </c>
      <c r="Y290" s="4426"/>
      <c r="Z290" s="5306">
        <f t="shared" ref="Z290:Z357" si="483">P290+T290+X290</f>
        <v>1176.4400000000003</v>
      </c>
      <c r="AA290" s="5735"/>
      <c r="AB290" s="5742">
        <f t="shared" ref="AB290:AB357" si="484">N290+Z290</f>
        <v>1739.0600000000002</v>
      </c>
      <c r="AC290" s="4422"/>
      <c r="AD290" s="4423"/>
      <c r="AE290" s="4424"/>
      <c r="AF290" s="4425">
        <f t="shared" ref="AF290:AF357" si="485">AB290+AD290</f>
        <v>1739.0600000000002</v>
      </c>
      <c r="AG290" s="4422"/>
      <c r="AH290" s="4423"/>
      <c r="AI290" s="4424"/>
      <c r="AJ290" s="4425">
        <f t="shared" si="453"/>
        <v>1739.0600000000002</v>
      </c>
      <c r="AK290" s="4422"/>
      <c r="AL290" s="4423">
        <v>44.374000000000002</v>
      </c>
      <c r="AM290" s="4426"/>
      <c r="AN290" s="4427">
        <f t="shared" si="449"/>
        <v>44.374000000000002</v>
      </c>
      <c r="AO290" s="4424"/>
      <c r="AP290" s="4425">
        <f t="shared" si="450"/>
        <v>1783.4340000000002</v>
      </c>
      <c r="AQ290" s="4422"/>
      <c r="AR290" s="4423">
        <v>1526.0200000000002</v>
      </c>
      <c r="AS290" s="4424"/>
      <c r="AT290" s="4425">
        <f t="shared" si="454"/>
        <v>3309.4540000000006</v>
      </c>
      <c r="AU290" s="4422"/>
      <c r="AV290" s="4423">
        <v>65.78</v>
      </c>
      <c r="AW290" s="3474"/>
      <c r="AX290" s="775">
        <f t="shared" si="455"/>
        <v>3375.2340000000008</v>
      </c>
      <c r="AY290" s="4422"/>
      <c r="AZ290" s="4423">
        <v>19.645</v>
      </c>
      <c r="BA290" s="3475"/>
      <c r="BB290" s="4386">
        <f t="shared" si="451"/>
        <v>1611.4450000000002</v>
      </c>
      <c r="BC290" s="5734"/>
      <c r="BD290" s="1584">
        <f t="shared" si="452"/>
        <v>1655.8190000000002</v>
      </c>
      <c r="BE290" s="3474"/>
      <c r="BF290" s="567">
        <f t="shared" si="456"/>
        <v>3394.8790000000008</v>
      </c>
      <c r="BG290" s="26">
        <f t="shared" si="475"/>
        <v>0</v>
      </c>
      <c r="BH290" s="26">
        <f t="shared" si="476"/>
        <v>0</v>
      </c>
      <c r="BI290" s="26"/>
      <c r="BJ290" s="26">
        <f t="shared" si="477"/>
        <v>0</v>
      </c>
      <c r="BK290" s="26">
        <f t="shared" si="478"/>
        <v>0</v>
      </c>
    </row>
    <row r="291" spans="1:63" x14ac:dyDescent="0.3">
      <c r="A291" s="92"/>
      <c r="B291" s="2776" t="s">
        <v>856</v>
      </c>
      <c r="C291" s="3442" t="s">
        <v>870</v>
      </c>
      <c r="D291" s="3442"/>
      <c r="E291" s="3480"/>
      <c r="F291" s="270">
        <v>1500.1899999999998</v>
      </c>
      <c r="G291" s="3480"/>
      <c r="H291" s="270">
        <v>1775.9399999999998</v>
      </c>
      <c r="I291" s="3481"/>
      <c r="J291" s="368">
        <f t="shared" si="479"/>
        <v>3276.1299999999997</v>
      </c>
      <c r="K291" s="3480"/>
      <c r="L291" s="270">
        <v>1770.86</v>
      </c>
      <c r="M291" s="5309"/>
      <c r="N291" s="613">
        <f t="shared" si="480"/>
        <v>5046.99</v>
      </c>
      <c r="O291" s="3480"/>
      <c r="P291" s="270"/>
      <c r="Q291" s="3481"/>
      <c r="R291" s="368">
        <f t="shared" si="481"/>
        <v>5046.99</v>
      </c>
      <c r="S291" s="3480"/>
      <c r="T291" s="270"/>
      <c r="U291" s="3481"/>
      <c r="V291" s="368">
        <f t="shared" si="482"/>
        <v>5046.99</v>
      </c>
      <c r="W291" s="3480"/>
      <c r="X291" s="270">
        <v>1043.68</v>
      </c>
      <c r="Y291" s="5309"/>
      <c r="Z291" s="613">
        <f t="shared" si="483"/>
        <v>1043.68</v>
      </c>
      <c r="AA291" s="5743"/>
      <c r="AB291" s="1039">
        <f t="shared" si="484"/>
        <v>6090.67</v>
      </c>
      <c r="AC291" s="3480"/>
      <c r="AD291" s="270"/>
      <c r="AE291" s="3481"/>
      <c r="AF291" s="368">
        <f t="shared" si="485"/>
        <v>6090.67</v>
      </c>
      <c r="AG291" s="3480"/>
      <c r="AH291" s="270"/>
      <c r="AI291" s="3481"/>
      <c r="AJ291" s="368">
        <f t="shared" si="453"/>
        <v>6090.67</v>
      </c>
      <c r="AK291" s="3480"/>
      <c r="AL291" s="270">
        <v>61.62</v>
      </c>
      <c r="AM291" s="5309"/>
      <c r="AN291" s="1064">
        <f t="shared" si="449"/>
        <v>61.62</v>
      </c>
      <c r="AO291" s="3481"/>
      <c r="AP291" s="368">
        <f t="shared" si="450"/>
        <v>6152.29</v>
      </c>
      <c r="AQ291" s="3480"/>
      <c r="AR291" s="270">
        <v>7.73</v>
      </c>
      <c r="AS291" s="3481"/>
      <c r="AT291" s="42">
        <f t="shared" si="454"/>
        <v>6160.0199999999995</v>
      </c>
      <c r="AU291" s="3480"/>
      <c r="AV291" s="270"/>
      <c r="AW291" s="3474"/>
      <c r="AX291" s="775">
        <f t="shared" si="455"/>
        <v>6160.0199999999995</v>
      </c>
      <c r="AY291" s="3480"/>
      <c r="AZ291" s="270"/>
      <c r="BA291" s="3475"/>
      <c r="BB291" s="4386">
        <f t="shared" si="451"/>
        <v>7.73</v>
      </c>
      <c r="BC291" s="5734"/>
      <c r="BD291" s="1584">
        <f t="shared" si="452"/>
        <v>69.349999999999994</v>
      </c>
      <c r="BE291" s="3474"/>
      <c r="BF291" s="567">
        <f t="shared" si="456"/>
        <v>6160.0199999999995</v>
      </c>
      <c r="BG291" s="26">
        <f t="shared" si="475"/>
        <v>0</v>
      </c>
      <c r="BH291" s="26">
        <f t="shared" si="476"/>
        <v>0</v>
      </c>
      <c r="BI291" s="26"/>
      <c r="BJ291" s="26">
        <f t="shared" si="477"/>
        <v>0</v>
      </c>
      <c r="BK291" s="26">
        <f t="shared" si="478"/>
        <v>0</v>
      </c>
    </row>
    <row r="292" spans="1:63" x14ac:dyDescent="0.3">
      <c r="A292" s="92"/>
      <c r="B292" s="4508" t="s">
        <v>856</v>
      </c>
      <c r="C292" s="5289" t="s">
        <v>879</v>
      </c>
      <c r="D292" s="5289"/>
      <c r="E292" s="5307"/>
      <c r="F292" s="5308">
        <v>1812.8199999999997</v>
      </c>
      <c r="G292" s="5307"/>
      <c r="H292" s="5308">
        <v>2023.8499999999997</v>
      </c>
      <c r="I292" s="5290"/>
      <c r="J292" s="5120">
        <f t="shared" si="479"/>
        <v>3836.6699999999992</v>
      </c>
      <c r="K292" s="5307"/>
      <c r="L292" s="5308"/>
      <c r="M292" s="5304"/>
      <c r="N292" s="5121">
        <f t="shared" si="480"/>
        <v>3836.6699999999992</v>
      </c>
      <c r="O292" s="5307"/>
      <c r="P292" s="5308"/>
      <c r="Q292" s="5290"/>
      <c r="R292" s="5120">
        <f t="shared" si="481"/>
        <v>3836.6699999999992</v>
      </c>
      <c r="S292" s="5307"/>
      <c r="T292" s="5308">
        <v>2510.62</v>
      </c>
      <c r="U292" s="5290"/>
      <c r="V292" s="5120">
        <f t="shared" si="482"/>
        <v>6347.2899999999991</v>
      </c>
      <c r="W292" s="5307"/>
      <c r="X292" s="5308">
        <v>3095.3999999999996</v>
      </c>
      <c r="Y292" s="5304"/>
      <c r="Z292" s="5121">
        <f t="shared" si="483"/>
        <v>5606.0199999999995</v>
      </c>
      <c r="AA292" s="5744"/>
      <c r="AB292" s="5406">
        <f t="shared" si="484"/>
        <v>9442.6899999999987</v>
      </c>
      <c r="AC292" s="5307"/>
      <c r="AD292" s="5308">
        <v>2754.5300000000007</v>
      </c>
      <c r="AE292" s="5290"/>
      <c r="AF292" s="5120">
        <f t="shared" si="485"/>
        <v>12197.22</v>
      </c>
      <c r="AG292" s="5307"/>
      <c r="AH292" s="5308">
        <v>4186.42</v>
      </c>
      <c r="AI292" s="5290"/>
      <c r="AJ292" s="5120">
        <f t="shared" si="453"/>
        <v>16383.64</v>
      </c>
      <c r="AK292" s="5307"/>
      <c r="AL292" s="5308"/>
      <c r="AM292" s="5304"/>
      <c r="AN292" s="5305">
        <f t="shared" si="449"/>
        <v>6940.9500000000007</v>
      </c>
      <c r="AO292" s="5290"/>
      <c r="AP292" s="5120">
        <f t="shared" si="450"/>
        <v>16383.64</v>
      </c>
      <c r="AQ292" s="5307"/>
      <c r="AR292" s="5308"/>
      <c r="AS292" s="5290"/>
      <c r="AT292" s="4446">
        <f t="shared" si="454"/>
        <v>16383.64</v>
      </c>
      <c r="AU292" s="5307"/>
      <c r="AV292" s="5308">
        <v>2264.75</v>
      </c>
      <c r="AW292" s="3474"/>
      <c r="AX292" s="775">
        <f t="shared" si="455"/>
        <v>18648.39</v>
      </c>
      <c r="AY292" s="5307"/>
      <c r="AZ292" s="5308">
        <v>93.402000000000001</v>
      </c>
      <c r="BA292" s="3475"/>
      <c r="BB292" s="4386">
        <f t="shared" si="451"/>
        <v>2358.152</v>
      </c>
      <c r="BC292" s="5734"/>
      <c r="BD292" s="1584">
        <f t="shared" si="452"/>
        <v>9299.1020000000008</v>
      </c>
      <c r="BE292" s="3474"/>
      <c r="BF292" s="567">
        <f t="shared" si="456"/>
        <v>18741.791999999998</v>
      </c>
      <c r="BG292" s="26">
        <f t="shared" si="475"/>
        <v>0</v>
      </c>
      <c r="BH292" s="26">
        <f t="shared" si="476"/>
        <v>0</v>
      </c>
      <c r="BI292" s="26"/>
      <c r="BJ292" s="26">
        <f t="shared" si="477"/>
        <v>0</v>
      </c>
      <c r="BK292" s="26">
        <f t="shared" si="478"/>
        <v>0</v>
      </c>
    </row>
    <row r="293" spans="1:63" x14ac:dyDescent="0.3">
      <c r="A293" s="151"/>
      <c r="B293" s="4508" t="s">
        <v>856</v>
      </c>
      <c r="C293" s="5289" t="s">
        <v>1139</v>
      </c>
      <c r="D293" s="5289"/>
      <c r="E293" s="5307"/>
      <c r="F293" s="5308">
        <v>8244.4799999999977</v>
      </c>
      <c r="G293" s="5307"/>
      <c r="H293" s="5308">
        <v>9649.5299999999952</v>
      </c>
      <c r="I293" s="5290"/>
      <c r="J293" s="5120">
        <f t="shared" si="479"/>
        <v>17894.009999999995</v>
      </c>
      <c r="K293" s="5307"/>
      <c r="L293" s="5308">
        <v>11997.7</v>
      </c>
      <c r="M293" s="5304"/>
      <c r="N293" s="5121">
        <f t="shared" si="480"/>
        <v>29891.709999999995</v>
      </c>
      <c r="O293" s="5307"/>
      <c r="P293" s="5308">
        <v>70.990000000000009</v>
      </c>
      <c r="Q293" s="5290"/>
      <c r="R293" s="5120">
        <f t="shared" si="481"/>
        <v>29962.699999999997</v>
      </c>
      <c r="S293" s="5307"/>
      <c r="T293" s="5308">
        <v>10838.53</v>
      </c>
      <c r="U293" s="5290"/>
      <c r="V293" s="5120">
        <f t="shared" si="482"/>
        <v>40801.229999999996</v>
      </c>
      <c r="W293" s="5307"/>
      <c r="X293" s="5308">
        <v>8827.9800000000014</v>
      </c>
      <c r="Y293" s="5304"/>
      <c r="Z293" s="5121">
        <f t="shared" si="483"/>
        <v>19737.5</v>
      </c>
      <c r="AA293" s="5744"/>
      <c r="AB293" s="5406">
        <f t="shared" si="484"/>
        <v>49629.209999999992</v>
      </c>
      <c r="AC293" s="5307"/>
      <c r="AD293" s="5308">
        <v>5513.7300000000005</v>
      </c>
      <c r="AE293" s="5290"/>
      <c r="AF293" s="5120">
        <f t="shared" si="485"/>
        <v>55142.939999999995</v>
      </c>
      <c r="AG293" s="5307"/>
      <c r="AH293" s="5308">
        <v>6780.8000000000011</v>
      </c>
      <c r="AI293" s="5290"/>
      <c r="AJ293" s="5120">
        <f t="shared" si="453"/>
        <v>61923.74</v>
      </c>
      <c r="AK293" s="5307"/>
      <c r="AL293" s="5308">
        <v>6591.4400000000005</v>
      </c>
      <c r="AM293" s="5304"/>
      <c r="AN293" s="5305">
        <f t="shared" si="449"/>
        <v>18885.97</v>
      </c>
      <c r="AO293" s="5290"/>
      <c r="AP293" s="5120">
        <f t="shared" si="450"/>
        <v>68515.179999999993</v>
      </c>
      <c r="AQ293" s="5307"/>
      <c r="AR293" s="5308">
        <v>61.52</v>
      </c>
      <c r="AS293" s="5290"/>
      <c r="AT293" s="4446">
        <f t="shared" si="454"/>
        <v>68576.7</v>
      </c>
      <c r="AU293" s="5307"/>
      <c r="AV293" s="5308">
        <v>12021.11</v>
      </c>
      <c r="AW293" s="3474"/>
      <c r="AX293" s="775">
        <f>AT293+AV293</f>
        <v>80597.81</v>
      </c>
      <c r="AY293" s="5307"/>
      <c r="AZ293" s="5308">
        <v>5845.46</v>
      </c>
      <c r="BA293" s="3475"/>
      <c r="BB293" s="4386">
        <f t="shared" si="451"/>
        <v>17928.09</v>
      </c>
      <c r="BC293" s="5734"/>
      <c r="BD293" s="1584">
        <f t="shared" si="452"/>
        <v>36814.06</v>
      </c>
      <c r="BE293" s="3474"/>
      <c r="BF293" s="567">
        <f t="shared" si="456"/>
        <v>86443.27</v>
      </c>
      <c r="BG293" s="26">
        <f t="shared" si="475"/>
        <v>0</v>
      </c>
      <c r="BH293" s="26">
        <f t="shared" si="476"/>
        <v>0</v>
      </c>
      <c r="BI293" s="26"/>
      <c r="BJ293" s="26">
        <f t="shared" si="477"/>
        <v>0</v>
      </c>
      <c r="BK293" s="26">
        <f t="shared" si="478"/>
        <v>0</v>
      </c>
    </row>
    <row r="294" spans="1:63" ht="15" thickBot="1" x14ac:dyDescent="0.35">
      <c r="A294" s="151"/>
      <c r="B294" s="3839" t="s">
        <v>856</v>
      </c>
      <c r="C294" s="4421" t="s">
        <v>996</v>
      </c>
      <c r="D294" s="4421"/>
      <c r="E294" s="4422"/>
      <c r="F294" s="4423">
        <v>1631.08</v>
      </c>
      <c r="G294" s="4422"/>
      <c r="H294" s="4423"/>
      <c r="I294" s="4424"/>
      <c r="J294" s="4425">
        <f t="shared" si="479"/>
        <v>1631.08</v>
      </c>
      <c r="K294" s="4422"/>
      <c r="L294" s="4423"/>
      <c r="M294" s="4426"/>
      <c r="N294" s="5306">
        <f t="shared" si="480"/>
        <v>1631.08</v>
      </c>
      <c r="O294" s="4422"/>
      <c r="P294" s="4423"/>
      <c r="Q294" s="4424"/>
      <c r="R294" s="4425">
        <f t="shared" si="481"/>
        <v>1631.08</v>
      </c>
      <c r="S294" s="4422"/>
      <c r="T294" s="4423">
        <v>1183.4699999999998</v>
      </c>
      <c r="U294" s="4424"/>
      <c r="V294" s="4425">
        <f t="shared" si="482"/>
        <v>2814.5499999999997</v>
      </c>
      <c r="W294" s="4422"/>
      <c r="X294" s="4423"/>
      <c r="Y294" s="4426"/>
      <c r="Z294" s="5306">
        <f t="shared" si="483"/>
        <v>1183.4699999999998</v>
      </c>
      <c r="AA294" s="5735"/>
      <c r="AB294" s="5742">
        <f t="shared" si="484"/>
        <v>2814.5499999999997</v>
      </c>
      <c r="AC294" s="4422"/>
      <c r="AD294" s="4423"/>
      <c r="AE294" s="4424"/>
      <c r="AF294" s="4425">
        <f t="shared" si="485"/>
        <v>2814.5499999999997</v>
      </c>
      <c r="AG294" s="4422"/>
      <c r="AH294" s="4423"/>
      <c r="AI294" s="4424"/>
      <c r="AJ294" s="4425">
        <f t="shared" si="453"/>
        <v>2814.5499999999997</v>
      </c>
      <c r="AK294" s="4422"/>
      <c r="AL294" s="4423"/>
      <c r="AM294" s="4426"/>
      <c r="AN294" s="4427">
        <f t="shared" si="449"/>
        <v>0</v>
      </c>
      <c r="AO294" s="4424"/>
      <c r="AP294" s="4425">
        <f t="shared" si="450"/>
        <v>2814.5499999999997</v>
      </c>
      <c r="AQ294" s="4422"/>
      <c r="AR294" s="4423">
        <v>2.8279999999999998</v>
      </c>
      <c r="AS294" s="4424"/>
      <c r="AT294" s="3924">
        <f t="shared" si="454"/>
        <v>2817.3779999999997</v>
      </c>
      <c r="AU294" s="4422"/>
      <c r="AV294" s="4423"/>
      <c r="AW294" s="3474"/>
      <c r="AX294" s="775">
        <f t="shared" ref="AX294:AX299" si="486">AT294+AV294</f>
        <v>2817.3779999999997</v>
      </c>
      <c r="AY294" s="4422"/>
      <c r="AZ294" s="4423"/>
      <c r="BA294" s="3475"/>
      <c r="BB294" s="4386">
        <f t="shared" si="451"/>
        <v>2.8279999999999998</v>
      </c>
      <c r="BC294" s="5734"/>
      <c r="BD294" s="1584">
        <f t="shared" si="452"/>
        <v>2.8279999999999998</v>
      </c>
      <c r="BE294" s="3474"/>
      <c r="BF294" s="567">
        <f t="shared" si="456"/>
        <v>2817.3779999999997</v>
      </c>
      <c r="BG294" s="26">
        <f t="shared" si="475"/>
        <v>0</v>
      </c>
      <c r="BH294" s="26">
        <f t="shared" si="476"/>
        <v>0</v>
      </c>
      <c r="BI294" s="26"/>
      <c r="BJ294" s="26">
        <f t="shared" si="477"/>
        <v>0</v>
      </c>
      <c r="BK294" s="26">
        <f t="shared" si="478"/>
        <v>0</v>
      </c>
    </row>
    <row r="295" spans="1:63" x14ac:dyDescent="0.3">
      <c r="A295" s="151"/>
      <c r="B295" s="2776" t="s">
        <v>857</v>
      </c>
      <c r="C295" s="3442" t="s">
        <v>870</v>
      </c>
      <c r="D295" s="3442"/>
      <c r="E295" s="3480"/>
      <c r="F295" s="270"/>
      <c r="G295" s="3480"/>
      <c r="H295" s="270"/>
      <c r="I295" s="3481"/>
      <c r="J295" s="368"/>
      <c r="K295" s="3480"/>
      <c r="L295" s="270"/>
      <c r="M295" s="5309"/>
      <c r="N295" s="613"/>
      <c r="O295" s="3480"/>
      <c r="P295" s="270"/>
      <c r="Q295" s="3481"/>
      <c r="R295" s="368"/>
      <c r="S295" s="3480"/>
      <c r="T295" s="270"/>
      <c r="U295" s="3481"/>
      <c r="V295" s="368"/>
      <c r="W295" s="3480"/>
      <c r="X295" s="270"/>
      <c r="Y295" s="5309"/>
      <c r="Z295" s="613"/>
      <c r="AA295" s="5743"/>
      <c r="AB295" s="1039"/>
      <c r="AC295" s="3480"/>
      <c r="AD295" s="270"/>
      <c r="AE295" s="3481"/>
      <c r="AF295" s="368"/>
      <c r="AG295" s="3480"/>
      <c r="AH295" s="270"/>
      <c r="AI295" s="3481"/>
      <c r="AJ295" s="368"/>
      <c r="AK295" s="3480"/>
      <c r="AL295" s="270"/>
      <c r="AM295" s="5309"/>
      <c r="AN295" s="1064"/>
      <c r="AO295" s="3481"/>
      <c r="AP295" s="368"/>
      <c r="AQ295" s="3480"/>
      <c r="AR295" s="270">
        <v>2.3199999999999998</v>
      </c>
      <c r="AS295" s="3481"/>
      <c r="AT295" s="42">
        <f t="shared" si="454"/>
        <v>2.3199999999999998</v>
      </c>
      <c r="AU295" s="3480"/>
      <c r="AV295" s="270"/>
      <c r="AW295" s="5290"/>
      <c r="AX295" s="775">
        <f t="shared" si="486"/>
        <v>2.3199999999999998</v>
      </c>
      <c r="AY295" s="3480"/>
      <c r="AZ295" s="270"/>
      <c r="BA295" s="5304"/>
      <c r="BB295" s="4386">
        <f t="shared" ref="BB295" si="487">AR295+AV295+AZ295</f>
        <v>2.3199999999999998</v>
      </c>
      <c r="BC295" s="5734"/>
      <c r="BD295" s="1584">
        <f t="shared" ref="BD295" si="488">AN295+BB295</f>
        <v>2.3199999999999998</v>
      </c>
      <c r="BE295" s="3474"/>
      <c r="BF295" s="567">
        <f t="shared" ref="BF295" si="489">AX295+AZ295</f>
        <v>2.3199999999999998</v>
      </c>
      <c r="BG295" s="26">
        <f t="shared" si="475"/>
        <v>0</v>
      </c>
      <c r="BH295" s="26">
        <f t="shared" si="476"/>
        <v>0</v>
      </c>
      <c r="BI295" s="26"/>
      <c r="BJ295" s="26">
        <f t="shared" si="477"/>
        <v>0</v>
      </c>
      <c r="BK295" s="26">
        <f t="shared" si="478"/>
        <v>0</v>
      </c>
    </row>
    <row r="296" spans="1:63" ht="15" thickBot="1" x14ac:dyDescent="0.35">
      <c r="A296" s="92"/>
      <c r="B296" s="4516" t="s">
        <v>857</v>
      </c>
      <c r="C296" s="5310" t="s">
        <v>879</v>
      </c>
      <c r="D296" s="5310"/>
      <c r="E296" s="5311"/>
      <c r="F296" s="4458"/>
      <c r="G296" s="5311"/>
      <c r="H296" s="4458"/>
      <c r="I296" s="5312"/>
      <c r="J296" s="4520">
        <f t="shared" si="479"/>
        <v>0</v>
      </c>
      <c r="K296" s="5311"/>
      <c r="L296" s="4458"/>
      <c r="M296" s="5313"/>
      <c r="N296" s="4522">
        <f t="shared" si="480"/>
        <v>0</v>
      </c>
      <c r="O296" s="5311"/>
      <c r="P296" s="4458"/>
      <c r="Q296" s="5312"/>
      <c r="R296" s="4520">
        <f t="shared" si="481"/>
        <v>0</v>
      </c>
      <c r="S296" s="5311"/>
      <c r="T296" s="4458"/>
      <c r="U296" s="5312"/>
      <c r="V296" s="4520">
        <f t="shared" si="482"/>
        <v>0</v>
      </c>
      <c r="W296" s="5311"/>
      <c r="X296" s="4458"/>
      <c r="Y296" s="5313"/>
      <c r="Z296" s="4522">
        <f t="shared" si="483"/>
        <v>0</v>
      </c>
      <c r="AA296" s="5745"/>
      <c r="AB296" s="4632">
        <f t="shared" si="484"/>
        <v>0</v>
      </c>
      <c r="AC296" s="5311"/>
      <c r="AD296" s="4458">
        <v>2.23</v>
      </c>
      <c r="AE296" s="5312"/>
      <c r="AF296" s="4520">
        <f t="shared" si="485"/>
        <v>2.23</v>
      </c>
      <c r="AG296" s="5311"/>
      <c r="AH296" s="4458"/>
      <c r="AI296" s="5312"/>
      <c r="AJ296" s="4520">
        <f t="shared" si="453"/>
        <v>2.23</v>
      </c>
      <c r="AK296" s="5311"/>
      <c r="AL296" s="4458"/>
      <c r="AM296" s="5313"/>
      <c r="AN296" s="4661">
        <f t="shared" si="449"/>
        <v>2.23</v>
      </c>
      <c r="AO296" s="5312"/>
      <c r="AP296" s="4520">
        <f t="shared" si="450"/>
        <v>2.23</v>
      </c>
      <c r="AQ296" s="5311"/>
      <c r="AR296" s="4458"/>
      <c r="AS296" s="5312"/>
      <c r="AT296" s="4521">
        <f t="shared" si="454"/>
        <v>2.23</v>
      </c>
      <c r="AU296" s="5311"/>
      <c r="AV296" s="4458"/>
      <c r="AW296" s="3474"/>
      <c r="AX296" s="775">
        <f t="shared" si="486"/>
        <v>2.23</v>
      </c>
      <c r="AY296" s="5311"/>
      <c r="AZ296" s="4458"/>
      <c r="BA296" s="3475"/>
      <c r="BB296" s="4386">
        <f t="shared" si="451"/>
        <v>0</v>
      </c>
      <c r="BC296" s="5734"/>
      <c r="BD296" s="1584">
        <f t="shared" si="452"/>
        <v>2.23</v>
      </c>
      <c r="BE296" s="3474"/>
      <c r="BF296" s="567">
        <f t="shared" si="456"/>
        <v>2.23</v>
      </c>
      <c r="BG296" s="26">
        <f t="shared" si="475"/>
        <v>0</v>
      </c>
      <c r="BH296" s="26">
        <f t="shared" si="476"/>
        <v>0</v>
      </c>
      <c r="BI296" s="26"/>
      <c r="BJ296" s="26">
        <f t="shared" si="477"/>
        <v>0</v>
      </c>
      <c r="BK296" s="26">
        <f t="shared" si="478"/>
        <v>0</v>
      </c>
    </row>
    <row r="297" spans="1:63" x14ac:dyDescent="0.3">
      <c r="A297" s="92"/>
      <c r="B297" s="3490" t="s">
        <v>77</v>
      </c>
      <c r="C297" s="3449"/>
      <c r="D297" s="3449"/>
      <c r="E297" s="1186">
        <f>+E19</f>
        <v>0</v>
      </c>
      <c r="F297" s="1186">
        <f>F19</f>
        <v>0</v>
      </c>
      <c r="G297" s="1186">
        <f>+G19</f>
        <v>0</v>
      </c>
      <c r="H297" s="1186">
        <f>H19</f>
        <v>0</v>
      </c>
      <c r="I297" s="567">
        <f>E297+G297</f>
        <v>0</v>
      </c>
      <c r="J297" s="567">
        <f t="shared" si="479"/>
        <v>0</v>
      </c>
      <c r="K297" s="1186">
        <f>+K19</f>
        <v>0</v>
      </c>
      <c r="L297" s="1186">
        <f>L19</f>
        <v>0</v>
      </c>
      <c r="M297" s="4386">
        <f>E297+G297+K297</f>
        <v>0</v>
      </c>
      <c r="N297" s="482">
        <f t="shared" si="480"/>
        <v>0</v>
      </c>
      <c r="O297" s="1186">
        <f>+O19</f>
        <v>0</v>
      </c>
      <c r="P297" s="1186">
        <f>P19</f>
        <v>0</v>
      </c>
      <c r="Q297" s="567">
        <f>M297+O297</f>
        <v>0</v>
      </c>
      <c r="R297" s="567">
        <f t="shared" si="481"/>
        <v>0</v>
      </c>
      <c r="S297" s="1186">
        <f>+S19</f>
        <v>0</v>
      </c>
      <c r="T297" s="1186">
        <f>T19</f>
        <v>0</v>
      </c>
      <c r="U297" s="567">
        <f>Q297+S297</f>
        <v>0</v>
      </c>
      <c r="V297" s="567">
        <f t="shared" si="482"/>
        <v>0</v>
      </c>
      <c r="W297" s="1186">
        <f>+W19</f>
        <v>0</v>
      </c>
      <c r="X297" s="1186">
        <f>X19</f>
        <v>0</v>
      </c>
      <c r="Y297" s="482">
        <f>O297+S297+W297</f>
        <v>0</v>
      </c>
      <c r="Z297" s="482">
        <f t="shared" si="483"/>
        <v>0</v>
      </c>
      <c r="AA297" s="1584">
        <f>M297+Y297</f>
        <v>0</v>
      </c>
      <c r="AB297" s="1584">
        <f t="shared" si="484"/>
        <v>0</v>
      </c>
      <c r="AC297" s="1186">
        <f>+AC19</f>
        <v>0</v>
      </c>
      <c r="AD297" s="1186">
        <f>AD19</f>
        <v>0</v>
      </c>
      <c r="AE297" s="567">
        <f>AA297+AC297</f>
        <v>0</v>
      </c>
      <c r="AF297" s="567">
        <f t="shared" si="485"/>
        <v>0</v>
      </c>
      <c r="AG297" s="1186">
        <f>+AG19</f>
        <v>0</v>
      </c>
      <c r="AH297" s="1186">
        <f>AH19</f>
        <v>0</v>
      </c>
      <c r="AI297" s="567">
        <f>AE297+AG297</f>
        <v>0</v>
      </c>
      <c r="AJ297" s="567">
        <f t="shared" si="453"/>
        <v>0</v>
      </c>
      <c r="AK297" s="1186">
        <f>+AK19</f>
        <v>0</v>
      </c>
      <c r="AL297" s="1186">
        <f>AL19</f>
        <v>0</v>
      </c>
      <c r="AM297" s="482">
        <f>AC297+AG297+AK297</f>
        <v>0</v>
      </c>
      <c r="AN297" s="4386">
        <f t="shared" si="449"/>
        <v>0</v>
      </c>
      <c r="AO297" s="567">
        <f t="shared" si="450"/>
        <v>0</v>
      </c>
      <c r="AP297" s="567">
        <f t="shared" si="450"/>
        <v>0</v>
      </c>
      <c r="AQ297" s="1186">
        <f>+AQ19</f>
        <v>0</v>
      </c>
      <c r="AR297" s="1186">
        <f>AR19</f>
        <v>0</v>
      </c>
      <c r="AS297" s="567">
        <f>AO297+AQ297</f>
        <v>0</v>
      </c>
      <c r="AT297" s="567">
        <f t="shared" si="454"/>
        <v>0</v>
      </c>
      <c r="AU297" s="1186">
        <f>+AU19</f>
        <v>0</v>
      </c>
      <c r="AV297" s="1186">
        <f>AV19</f>
        <v>0</v>
      </c>
      <c r="AW297" s="775">
        <f>AS297+AU297</f>
        <v>0</v>
      </c>
      <c r="AX297" s="775">
        <f t="shared" si="486"/>
        <v>0</v>
      </c>
      <c r="AY297" s="1186">
        <f>+AY19</f>
        <v>0</v>
      </c>
      <c r="AZ297" s="1186">
        <f>AZ19</f>
        <v>0</v>
      </c>
      <c r="BA297" s="774">
        <f>AQ297+AU297+AY297</f>
        <v>0</v>
      </c>
      <c r="BB297" s="441">
        <f t="shared" ref="BB297:BB299" si="490">AR297+AV297+AZ297</f>
        <v>0</v>
      </c>
      <c r="BC297" s="460">
        <f t="shared" ref="BC297:BC298" si="491">AM297+BA297</f>
        <v>0</v>
      </c>
      <c r="BD297" s="460">
        <f t="shared" si="452"/>
        <v>0</v>
      </c>
      <c r="BE297" s="775">
        <f>AW297+AY297</f>
        <v>0</v>
      </c>
      <c r="BF297" s="775">
        <f t="shared" ref="BF297:BF299" si="492">AX297+AZ297</f>
        <v>0</v>
      </c>
      <c r="BG297" s="26">
        <f t="shared" si="475"/>
        <v>0</v>
      </c>
      <c r="BH297" s="26">
        <f t="shared" si="476"/>
        <v>0</v>
      </c>
      <c r="BI297" s="26"/>
      <c r="BJ297" s="26">
        <f t="shared" si="477"/>
        <v>0</v>
      </c>
      <c r="BK297" s="26">
        <f t="shared" si="478"/>
        <v>0</v>
      </c>
    </row>
    <row r="298" spans="1:63" x14ac:dyDescent="0.3">
      <c r="A298" s="92"/>
      <c r="B298" s="3472" t="s">
        <v>1168</v>
      </c>
      <c r="C298" s="156"/>
      <c r="D298" s="156"/>
      <c r="E298" s="1186">
        <f>+E20</f>
        <v>0</v>
      </c>
      <c r="F298" s="361">
        <f>F20</f>
        <v>0</v>
      </c>
      <c r="G298" s="1186">
        <f>+G20</f>
        <v>0</v>
      </c>
      <c r="H298" s="361">
        <f>H20</f>
        <v>0</v>
      </c>
      <c r="I298" s="362">
        <f t="shared" ref="I298:I299" si="493">E298+G298</f>
        <v>0</v>
      </c>
      <c r="J298" s="775">
        <f t="shared" si="479"/>
        <v>0</v>
      </c>
      <c r="K298" s="1186">
        <f>+K20</f>
        <v>0</v>
      </c>
      <c r="L298" s="361">
        <f>L20</f>
        <v>0</v>
      </c>
      <c r="M298" s="441">
        <f>E298+G298+K298</f>
        <v>0</v>
      </c>
      <c r="N298" s="774">
        <f t="shared" si="480"/>
        <v>0</v>
      </c>
      <c r="O298" s="1186">
        <f>+O20</f>
        <v>0</v>
      </c>
      <c r="P298" s="361">
        <f>P20</f>
        <v>0</v>
      </c>
      <c r="Q298" s="362">
        <f t="shared" ref="Q298:Q299" si="494">M298+O298</f>
        <v>0</v>
      </c>
      <c r="R298" s="775">
        <f t="shared" si="481"/>
        <v>0</v>
      </c>
      <c r="S298" s="1186">
        <f>+S20</f>
        <v>0</v>
      </c>
      <c r="T298" s="361">
        <f>T20</f>
        <v>0</v>
      </c>
      <c r="U298" s="362">
        <f t="shared" ref="U298:U299" si="495">Q298+S298</f>
        <v>0</v>
      </c>
      <c r="V298" s="775">
        <f t="shared" si="482"/>
        <v>0</v>
      </c>
      <c r="W298" s="1186">
        <f>+W20</f>
        <v>0</v>
      </c>
      <c r="X298" s="361">
        <f>X20</f>
        <v>0</v>
      </c>
      <c r="Y298" s="774">
        <f>O298+S298+W298</f>
        <v>0</v>
      </c>
      <c r="Z298" s="774">
        <f t="shared" si="483"/>
        <v>0</v>
      </c>
      <c r="AA298" s="465">
        <f>M298+Y298</f>
        <v>0</v>
      </c>
      <c r="AB298" s="460">
        <f t="shared" si="484"/>
        <v>0</v>
      </c>
      <c r="AC298" s="1186">
        <f>+AC20</f>
        <v>0</v>
      </c>
      <c r="AD298" s="361">
        <f>AD20</f>
        <v>0</v>
      </c>
      <c r="AE298" s="362">
        <f t="shared" ref="AE298:AE299" si="496">AA298+AC298</f>
        <v>0</v>
      </c>
      <c r="AF298" s="775">
        <f t="shared" si="485"/>
        <v>0</v>
      </c>
      <c r="AG298" s="1186">
        <f>+AG20</f>
        <v>0</v>
      </c>
      <c r="AH298" s="361">
        <f>AH20</f>
        <v>0</v>
      </c>
      <c r="AI298" s="362">
        <f t="shared" ref="AI298:AI299" si="497">AE298+AG298</f>
        <v>0</v>
      </c>
      <c r="AJ298" s="775">
        <f t="shared" si="453"/>
        <v>0</v>
      </c>
      <c r="AK298" s="1186">
        <f>+AK20</f>
        <v>0</v>
      </c>
      <c r="AL298" s="361">
        <f>AL20</f>
        <v>0</v>
      </c>
      <c r="AM298" s="774">
        <f>AC298+AG298+AK298</f>
        <v>0</v>
      </c>
      <c r="AN298" s="441">
        <f t="shared" si="449"/>
        <v>0</v>
      </c>
      <c r="AO298" s="362">
        <f t="shared" si="450"/>
        <v>0</v>
      </c>
      <c r="AP298" s="362">
        <f t="shared" si="450"/>
        <v>0</v>
      </c>
      <c r="AQ298" s="1186">
        <f>+AQ20</f>
        <v>0</v>
      </c>
      <c r="AR298" s="361">
        <f>AR20</f>
        <v>0</v>
      </c>
      <c r="AS298" s="362">
        <f t="shared" ref="AS298:AS299" si="498">AO298+AQ298</f>
        <v>0</v>
      </c>
      <c r="AT298" s="362">
        <f t="shared" si="454"/>
        <v>0</v>
      </c>
      <c r="AU298" s="1186">
        <f>+AU20</f>
        <v>0</v>
      </c>
      <c r="AV298" s="361">
        <f>AV20</f>
        <v>0</v>
      </c>
      <c r="AW298" s="362">
        <f t="shared" ref="AW298:AW299" si="499">AS298+AU298</f>
        <v>0</v>
      </c>
      <c r="AX298" s="362">
        <f t="shared" si="486"/>
        <v>0</v>
      </c>
      <c r="AY298" s="1186">
        <f>+AY20</f>
        <v>0</v>
      </c>
      <c r="AZ298" s="361">
        <f>AZ20</f>
        <v>0</v>
      </c>
      <c r="BA298" s="774">
        <f>AQ298+AU298+AY298</f>
        <v>0</v>
      </c>
      <c r="BB298" s="441">
        <f t="shared" si="490"/>
        <v>0</v>
      </c>
      <c r="BC298" s="460">
        <f t="shared" si="491"/>
        <v>0</v>
      </c>
      <c r="BD298" s="460">
        <f t="shared" si="452"/>
        <v>0</v>
      </c>
      <c r="BE298" s="362">
        <f t="shared" ref="BE298:BE299" si="500">AW298+AY298</f>
        <v>0</v>
      </c>
      <c r="BF298" s="362">
        <f t="shared" si="492"/>
        <v>0</v>
      </c>
      <c r="BG298" s="26">
        <f t="shared" si="475"/>
        <v>0</v>
      </c>
      <c r="BH298" s="26">
        <f t="shared" si="476"/>
        <v>0</v>
      </c>
      <c r="BI298" s="26"/>
      <c r="BJ298" s="26">
        <f t="shared" si="477"/>
        <v>0</v>
      </c>
      <c r="BK298" s="26">
        <f t="shared" si="478"/>
        <v>0</v>
      </c>
    </row>
    <row r="299" spans="1:63" x14ac:dyDescent="0.3">
      <c r="A299" s="92"/>
      <c r="B299" s="444" t="s">
        <v>92</v>
      </c>
      <c r="C299" s="202" t="s">
        <v>50</v>
      </c>
      <c r="D299" s="452">
        <f>+D21</f>
        <v>900000</v>
      </c>
      <c r="E299" s="452">
        <f>+E21</f>
        <v>76000</v>
      </c>
      <c r="F299" s="452">
        <f>SUM(F259:F298)</f>
        <v>60011.209999999992</v>
      </c>
      <c r="G299" s="452">
        <f>+G21</f>
        <v>79000</v>
      </c>
      <c r="H299" s="452">
        <f>SUM(H259:H298)</f>
        <v>67347.899999999994</v>
      </c>
      <c r="I299" s="371">
        <f t="shared" si="493"/>
        <v>155000</v>
      </c>
      <c r="J299" s="775">
        <f t="shared" si="479"/>
        <v>127359.10999999999</v>
      </c>
      <c r="K299" s="452">
        <f>+K21</f>
        <v>76000</v>
      </c>
      <c r="L299" s="452">
        <f>SUM(L259:L298)</f>
        <v>73175.62999999999</v>
      </c>
      <c r="M299" s="373">
        <f>E299+G299+K299</f>
        <v>231000</v>
      </c>
      <c r="N299" s="774">
        <f t="shared" si="480"/>
        <v>200534.74</v>
      </c>
      <c r="O299" s="452">
        <f>+O21</f>
        <v>79000</v>
      </c>
      <c r="P299" s="452">
        <f>SUM(P259:P298)</f>
        <v>84102.500000000015</v>
      </c>
      <c r="Q299" s="371">
        <f t="shared" si="494"/>
        <v>310000</v>
      </c>
      <c r="R299" s="775">
        <f t="shared" si="481"/>
        <v>284637.24</v>
      </c>
      <c r="S299" s="452">
        <f>+S21</f>
        <v>79000</v>
      </c>
      <c r="T299" s="452">
        <f>SUM(T259:T298)</f>
        <v>86905.93</v>
      </c>
      <c r="U299" s="371">
        <f t="shared" si="495"/>
        <v>389000</v>
      </c>
      <c r="V299" s="775">
        <f t="shared" si="482"/>
        <v>371543.17</v>
      </c>
      <c r="W299" s="452">
        <f>+W21</f>
        <v>47500</v>
      </c>
      <c r="X299" s="452">
        <f>SUM(X259:X298)</f>
        <v>68689.990000000005</v>
      </c>
      <c r="Y299" s="373">
        <f t="shared" ref="Y299" si="501">O299+S299+W299</f>
        <v>205500</v>
      </c>
      <c r="Z299" s="774">
        <f t="shared" si="483"/>
        <v>239698.41999999998</v>
      </c>
      <c r="AA299" s="539">
        <f>M299+Y299</f>
        <v>436500</v>
      </c>
      <c r="AB299" s="460">
        <f t="shared" si="484"/>
        <v>440233.16</v>
      </c>
      <c r="AC299" s="452">
        <f>+AC21</f>
        <v>78000</v>
      </c>
      <c r="AD299" s="452">
        <f>SUM(AD259:AD298)</f>
        <v>52260.410000000011</v>
      </c>
      <c r="AE299" s="371">
        <f t="shared" si="496"/>
        <v>514500</v>
      </c>
      <c r="AF299" s="775">
        <f t="shared" si="485"/>
        <v>492493.57</v>
      </c>
      <c r="AG299" s="452">
        <f>+AG21</f>
        <v>76000</v>
      </c>
      <c r="AH299" s="452">
        <f>SUM(AH259:AH298)</f>
        <v>70091.168999999994</v>
      </c>
      <c r="AI299" s="371">
        <f t="shared" si="497"/>
        <v>590500</v>
      </c>
      <c r="AJ299" s="371">
        <f t="shared" ref="AJ299" si="502">AF299+AH299</f>
        <v>562584.73900000006</v>
      </c>
      <c r="AK299" s="452">
        <f>+AK21</f>
        <v>79000</v>
      </c>
      <c r="AL299" s="452">
        <f>SUM(AL259:AL298)</f>
        <v>83237.27999999997</v>
      </c>
      <c r="AM299" s="373">
        <f t="shared" ref="AM299" si="503">AC299+AG299+AK299</f>
        <v>233000</v>
      </c>
      <c r="AN299" s="373">
        <f t="shared" si="449"/>
        <v>205588.85899999997</v>
      </c>
      <c r="AO299" s="371">
        <f t="shared" si="450"/>
        <v>669500</v>
      </c>
      <c r="AP299" s="371">
        <f t="shared" si="450"/>
        <v>645822.01900000009</v>
      </c>
      <c r="AQ299" s="452">
        <f>+AQ21</f>
        <v>79000</v>
      </c>
      <c r="AR299" s="452">
        <f>SUM(AR259:AR298)</f>
        <v>79536.070000000007</v>
      </c>
      <c r="AS299" s="371">
        <f t="shared" si="498"/>
        <v>748500</v>
      </c>
      <c r="AT299" s="371">
        <f t="shared" si="454"/>
        <v>725358.08900000015</v>
      </c>
      <c r="AU299" s="452">
        <f>+AU21</f>
        <v>71500</v>
      </c>
      <c r="AV299" s="452">
        <f>SUM(AV259:AV298)</f>
        <v>77559.290000000008</v>
      </c>
      <c r="AW299" s="371">
        <f t="shared" si="499"/>
        <v>820000</v>
      </c>
      <c r="AX299" s="371">
        <f t="shared" si="486"/>
        <v>802917.37900000019</v>
      </c>
      <c r="AY299" s="452">
        <f>+AY21</f>
        <v>80000</v>
      </c>
      <c r="AZ299" s="452">
        <f>SUM(AZ259:AZ298)</f>
        <v>81642.310000000012</v>
      </c>
      <c r="BA299" s="373">
        <f t="shared" ref="BA299" si="504">AQ299+AU299+AY299</f>
        <v>230500</v>
      </c>
      <c r="BB299" s="373">
        <f t="shared" si="490"/>
        <v>238737.67000000004</v>
      </c>
      <c r="BC299" s="539">
        <f>AM299+BA299</f>
        <v>463500</v>
      </c>
      <c r="BD299" s="539">
        <f>AN299+BB299</f>
        <v>444326.52899999998</v>
      </c>
      <c r="BE299" s="371">
        <f t="shared" si="500"/>
        <v>900000</v>
      </c>
      <c r="BF299" s="371">
        <f t="shared" si="492"/>
        <v>884559.68900000025</v>
      </c>
      <c r="BG299" s="26">
        <f t="shared" si="475"/>
        <v>0</v>
      </c>
      <c r="BH299" s="26">
        <f t="shared" si="476"/>
        <v>0</v>
      </c>
      <c r="BI299" s="26"/>
      <c r="BJ299" s="26">
        <f t="shared" si="477"/>
        <v>0</v>
      </c>
      <c r="BK299" s="26">
        <f t="shared" si="478"/>
        <v>0</v>
      </c>
    </row>
    <row r="300" spans="1:63" ht="20.25" customHeight="1" x14ac:dyDescent="0.3">
      <c r="A300" s="92"/>
      <c r="B300" s="444" t="s">
        <v>633</v>
      </c>
      <c r="C300" s="637"/>
      <c r="D300" s="637"/>
      <c r="E300" s="452"/>
      <c r="F300" s="637"/>
      <c r="G300" s="452"/>
      <c r="H300" s="637"/>
      <c r="I300" s="371"/>
      <c r="J300" s="775">
        <f t="shared" si="479"/>
        <v>0</v>
      </c>
      <c r="K300" s="452"/>
      <c r="L300" s="637"/>
      <c r="M300" s="373"/>
      <c r="N300" s="774">
        <f t="shared" si="480"/>
        <v>0</v>
      </c>
      <c r="O300" s="452"/>
      <c r="P300" s="637"/>
      <c r="Q300" s="371"/>
      <c r="R300" s="775">
        <f t="shared" si="481"/>
        <v>0</v>
      </c>
      <c r="S300" s="452"/>
      <c r="T300" s="637"/>
      <c r="U300" s="371"/>
      <c r="V300" s="775">
        <f t="shared" si="482"/>
        <v>0</v>
      </c>
      <c r="W300" s="452"/>
      <c r="X300" s="637"/>
      <c r="Y300" s="373"/>
      <c r="Z300" s="774">
        <f t="shared" si="483"/>
        <v>0</v>
      </c>
      <c r="AA300" s="539"/>
      <c r="AB300" s="460">
        <f t="shared" si="484"/>
        <v>0</v>
      </c>
      <c r="AC300" s="452"/>
      <c r="AD300" s="637"/>
      <c r="AE300" s="371"/>
      <c r="AF300" s="775">
        <f t="shared" si="485"/>
        <v>0</v>
      </c>
      <c r="AG300" s="452"/>
      <c r="AH300" s="637"/>
      <c r="AI300" s="371"/>
      <c r="AJ300" s="866"/>
      <c r="AK300" s="452"/>
      <c r="AL300" s="637"/>
      <c r="AM300" s="373"/>
      <c r="AN300" s="867"/>
      <c r="AO300" s="371"/>
      <c r="AP300" s="866"/>
      <c r="AQ300" s="452"/>
      <c r="AR300" s="637"/>
      <c r="AS300" s="371"/>
      <c r="AT300" s="866">
        <f t="shared" si="454"/>
        <v>0</v>
      </c>
      <c r="AU300" s="452"/>
      <c r="AV300" s="637"/>
      <c r="AW300" s="371"/>
      <c r="AX300" s="866"/>
      <c r="AY300" s="452"/>
      <c r="AZ300" s="637"/>
      <c r="BA300" s="373"/>
      <c r="BB300" s="867"/>
      <c r="BC300" s="539"/>
      <c r="BD300" s="5733"/>
      <c r="BE300" s="371"/>
      <c r="BF300" s="866"/>
      <c r="BG300" s="26">
        <f t="shared" si="475"/>
        <v>0</v>
      </c>
      <c r="BH300" s="26">
        <f t="shared" si="476"/>
        <v>0</v>
      </c>
      <c r="BI300" s="26"/>
      <c r="BJ300" s="26">
        <f t="shared" si="477"/>
        <v>0</v>
      </c>
      <c r="BK300" s="26">
        <f t="shared" si="478"/>
        <v>0</v>
      </c>
    </row>
    <row r="301" spans="1:63" ht="20.25" customHeight="1" x14ac:dyDescent="0.3">
      <c r="A301" s="92"/>
      <c r="B301" s="3498" t="s">
        <v>1886</v>
      </c>
      <c r="C301" s="156" t="s">
        <v>50</v>
      </c>
      <c r="D301" s="156"/>
      <c r="E301" s="3499"/>
      <c r="F301" s="1185"/>
      <c r="G301" s="3499"/>
      <c r="H301" s="1185"/>
      <c r="I301" s="3500"/>
      <c r="J301" s="775">
        <f t="shared" si="479"/>
        <v>0</v>
      </c>
      <c r="K301" s="3499"/>
      <c r="L301" s="1185"/>
      <c r="M301" s="3501"/>
      <c r="N301" s="774">
        <f t="shared" si="480"/>
        <v>0</v>
      </c>
      <c r="O301" s="3499"/>
      <c r="P301" s="1185"/>
      <c r="Q301" s="3500"/>
      <c r="R301" s="775">
        <f t="shared" si="481"/>
        <v>0</v>
      </c>
      <c r="S301" s="3499"/>
      <c r="T301" s="1185"/>
      <c r="U301" s="3500"/>
      <c r="V301" s="775">
        <f t="shared" si="482"/>
        <v>0</v>
      </c>
      <c r="W301" s="3499"/>
      <c r="X301" s="1185"/>
      <c r="Y301" s="3501"/>
      <c r="Z301" s="774">
        <f t="shared" si="483"/>
        <v>0</v>
      </c>
      <c r="AA301" s="5746"/>
      <c r="AB301" s="460">
        <f t="shared" si="484"/>
        <v>0</v>
      </c>
      <c r="AC301" s="3499"/>
      <c r="AD301" s="1185"/>
      <c r="AE301" s="3500"/>
      <c r="AF301" s="775">
        <f t="shared" si="485"/>
        <v>0</v>
      </c>
      <c r="AG301" s="3499"/>
      <c r="AH301" s="1185"/>
      <c r="AI301" s="3500"/>
      <c r="AJ301" s="775">
        <f t="shared" ref="AJ301:AJ304" si="505">AF301+AH301</f>
        <v>0</v>
      </c>
      <c r="AK301" s="3499"/>
      <c r="AL301" s="1185"/>
      <c r="AM301" s="3501"/>
      <c r="AN301" s="774">
        <f t="shared" ref="AN301:AN303" si="506">AD301+AH301+AL301</f>
        <v>0</v>
      </c>
      <c r="AO301" s="3500"/>
      <c r="AP301" s="775">
        <f t="shared" si="450"/>
        <v>0</v>
      </c>
      <c r="AQ301" s="3499"/>
      <c r="AR301" s="1185"/>
      <c r="AS301" s="3500"/>
      <c r="AT301" s="775">
        <f t="shared" si="454"/>
        <v>0</v>
      </c>
      <c r="AU301" s="3499"/>
      <c r="AV301" s="1185"/>
      <c r="AW301" s="3500"/>
      <c r="AX301" s="775">
        <f t="shared" ref="AX301:AX304" si="507">AT301+AV301</f>
        <v>0</v>
      </c>
      <c r="AY301" s="3499"/>
      <c r="AZ301" s="1185"/>
      <c r="BA301" s="3501"/>
      <c r="BB301" s="774">
        <f t="shared" ref="BB301:BB303" si="508">AR301+AV301+AZ301</f>
        <v>0</v>
      </c>
      <c r="BC301" s="5746"/>
      <c r="BD301" s="460">
        <f t="shared" ref="BD301:BD303" si="509">AN301+BB301</f>
        <v>0</v>
      </c>
      <c r="BE301" s="3500"/>
      <c r="BF301" s="775">
        <f t="shared" ref="BF301:BF304" si="510">AX301+AZ301</f>
        <v>0</v>
      </c>
      <c r="BG301" s="26">
        <f t="shared" si="475"/>
        <v>0</v>
      </c>
      <c r="BH301" s="26">
        <f t="shared" si="476"/>
        <v>0</v>
      </c>
      <c r="BI301" s="26"/>
      <c r="BJ301" s="26">
        <f t="shared" si="477"/>
        <v>0</v>
      </c>
      <c r="BK301" s="26">
        <f t="shared" si="478"/>
        <v>0</v>
      </c>
    </row>
    <row r="302" spans="1:63" ht="20.25" customHeight="1" x14ac:dyDescent="0.3">
      <c r="A302" s="196"/>
      <c r="B302" s="3498" t="s">
        <v>1338</v>
      </c>
      <c r="C302" s="156" t="s">
        <v>50</v>
      </c>
      <c r="D302" s="156"/>
      <c r="E302" s="3499"/>
      <c r="F302" s="1185"/>
      <c r="G302" s="3499"/>
      <c r="H302" s="1185"/>
      <c r="I302" s="3500"/>
      <c r="J302" s="775">
        <f t="shared" si="479"/>
        <v>0</v>
      </c>
      <c r="K302" s="3499"/>
      <c r="L302" s="1185"/>
      <c r="M302" s="3501"/>
      <c r="N302" s="774">
        <f t="shared" si="480"/>
        <v>0</v>
      </c>
      <c r="O302" s="3499"/>
      <c r="P302" s="1185"/>
      <c r="Q302" s="3500"/>
      <c r="R302" s="775">
        <f t="shared" si="481"/>
        <v>0</v>
      </c>
      <c r="S302" s="3499"/>
      <c r="T302" s="1185"/>
      <c r="U302" s="3500"/>
      <c r="V302" s="775">
        <f t="shared" si="482"/>
        <v>0</v>
      </c>
      <c r="W302" s="3499"/>
      <c r="X302" s="1185">
        <v>24.51</v>
      </c>
      <c r="Y302" s="3501"/>
      <c r="Z302" s="774">
        <f t="shared" si="483"/>
        <v>24.51</v>
      </c>
      <c r="AA302" s="5746"/>
      <c r="AB302" s="460">
        <f t="shared" si="484"/>
        <v>24.51</v>
      </c>
      <c r="AC302" s="3499"/>
      <c r="AD302" s="1185"/>
      <c r="AE302" s="3500"/>
      <c r="AF302" s="775">
        <f t="shared" si="485"/>
        <v>24.51</v>
      </c>
      <c r="AG302" s="3499"/>
      <c r="AH302" s="1185"/>
      <c r="AI302" s="3500"/>
      <c r="AJ302" s="775">
        <f t="shared" si="505"/>
        <v>24.51</v>
      </c>
      <c r="AK302" s="3499"/>
      <c r="AL302" s="1185"/>
      <c r="AM302" s="3501"/>
      <c r="AN302" s="774">
        <f t="shared" si="506"/>
        <v>0</v>
      </c>
      <c r="AO302" s="3500"/>
      <c r="AP302" s="775">
        <f t="shared" si="450"/>
        <v>24.51</v>
      </c>
      <c r="AQ302" s="3499"/>
      <c r="AR302" s="1185"/>
      <c r="AS302" s="3500"/>
      <c r="AT302" s="775">
        <f t="shared" si="454"/>
        <v>24.51</v>
      </c>
      <c r="AU302" s="3499"/>
      <c r="AV302" s="1185"/>
      <c r="AW302" s="3500"/>
      <c r="AX302" s="775">
        <f t="shared" si="507"/>
        <v>24.51</v>
      </c>
      <c r="AY302" s="3499"/>
      <c r="AZ302" s="1185"/>
      <c r="BA302" s="3501"/>
      <c r="BB302" s="774">
        <f t="shared" si="508"/>
        <v>0</v>
      </c>
      <c r="BC302" s="5746"/>
      <c r="BD302" s="460">
        <f t="shared" si="509"/>
        <v>0</v>
      </c>
      <c r="BE302" s="3500"/>
      <c r="BF302" s="775">
        <f t="shared" si="510"/>
        <v>24.51</v>
      </c>
      <c r="BG302" s="26">
        <f t="shared" si="475"/>
        <v>0</v>
      </c>
      <c r="BH302" s="26">
        <f t="shared" si="476"/>
        <v>0</v>
      </c>
      <c r="BI302" s="26"/>
      <c r="BJ302" s="26">
        <f t="shared" si="477"/>
        <v>0</v>
      </c>
      <c r="BK302" s="26">
        <f t="shared" si="478"/>
        <v>0</v>
      </c>
    </row>
    <row r="303" spans="1:63" ht="20.25" customHeight="1" x14ac:dyDescent="0.3">
      <c r="A303" s="196"/>
      <c r="B303" s="3498" t="s">
        <v>1107</v>
      </c>
      <c r="C303" s="156" t="s">
        <v>50</v>
      </c>
      <c r="D303" s="156"/>
      <c r="E303" s="3499"/>
      <c r="F303" s="1185"/>
      <c r="G303" s="3499"/>
      <c r="H303" s="1185"/>
      <c r="I303" s="3500"/>
      <c r="J303" s="775">
        <f t="shared" si="479"/>
        <v>0</v>
      </c>
      <c r="K303" s="3499"/>
      <c r="L303" s="1185"/>
      <c r="M303" s="3501"/>
      <c r="N303" s="774">
        <f t="shared" si="480"/>
        <v>0</v>
      </c>
      <c r="O303" s="3499"/>
      <c r="P303" s="1185"/>
      <c r="Q303" s="3500"/>
      <c r="R303" s="775">
        <f t="shared" si="481"/>
        <v>0</v>
      </c>
      <c r="S303" s="3499"/>
      <c r="T303" s="1185"/>
      <c r="U303" s="3500"/>
      <c r="V303" s="775">
        <f t="shared" si="482"/>
        <v>0</v>
      </c>
      <c r="W303" s="3499"/>
      <c r="X303" s="1185">
        <v>25.39</v>
      </c>
      <c r="Y303" s="3501"/>
      <c r="Z303" s="774">
        <f t="shared" si="483"/>
        <v>25.39</v>
      </c>
      <c r="AA303" s="5746"/>
      <c r="AB303" s="460">
        <f t="shared" si="484"/>
        <v>25.39</v>
      </c>
      <c r="AC303" s="3499"/>
      <c r="AD303" s="1185"/>
      <c r="AE303" s="3500"/>
      <c r="AF303" s="775">
        <f t="shared" si="485"/>
        <v>25.39</v>
      </c>
      <c r="AG303" s="3499"/>
      <c r="AH303" s="1185"/>
      <c r="AI303" s="3500"/>
      <c r="AJ303" s="775">
        <f t="shared" si="505"/>
        <v>25.39</v>
      </c>
      <c r="AK303" s="3499"/>
      <c r="AL303" s="1185"/>
      <c r="AM303" s="3501"/>
      <c r="AN303" s="774">
        <f t="shared" si="506"/>
        <v>0</v>
      </c>
      <c r="AO303" s="3500"/>
      <c r="AP303" s="775">
        <f t="shared" ref="AO303:AP304" si="511">AJ303+AL303</f>
        <v>25.39</v>
      </c>
      <c r="AQ303" s="3499"/>
      <c r="AR303" s="1185"/>
      <c r="AS303" s="3500"/>
      <c r="AT303" s="775">
        <f t="shared" si="454"/>
        <v>25.39</v>
      </c>
      <c r="AU303" s="3499"/>
      <c r="AV303" s="1185"/>
      <c r="AW303" s="3500"/>
      <c r="AX303" s="775">
        <f t="shared" si="507"/>
        <v>25.39</v>
      </c>
      <c r="AY303" s="3499"/>
      <c r="AZ303" s="1185"/>
      <c r="BA303" s="3501"/>
      <c r="BB303" s="774">
        <f t="shared" si="508"/>
        <v>0</v>
      </c>
      <c r="BC303" s="5746"/>
      <c r="BD303" s="460">
        <f t="shared" si="509"/>
        <v>0</v>
      </c>
      <c r="BE303" s="3500"/>
      <c r="BF303" s="775">
        <f t="shared" si="510"/>
        <v>25.39</v>
      </c>
      <c r="BG303" s="26">
        <f t="shared" si="475"/>
        <v>0</v>
      </c>
      <c r="BH303" s="26">
        <f t="shared" si="476"/>
        <v>0</v>
      </c>
      <c r="BI303" s="26"/>
      <c r="BJ303" s="26">
        <f t="shared" si="477"/>
        <v>0</v>
      </c>
      <c r="BK303" s="26">
        <f t="shared" si="478"/>
        <v>0</v>
      </c>
    </row>
    <row r="304" spans="1:63" x14ac:dyDescent="0.3">
      <c r="A304" s="196"/>
      <c r="B304" s="3461" t="s">
        <v>2</v>
      </c>
      <c r="C304" s="202" t="s">
        <v>50</v>
      </c>
      <c r="D304" s="452">
        <f>+D17</f>
        <v>5000.0000000000009</v>
      </c>
      <c r="E304" s="452">
        <f>+E17</f>
        <v>454.54545454545456</v>
      </c>
      <c r="F304" s="3502">
        <f>SUM(F301:F303)</f>
        <v>0</v>
      </c>
      <c r="G304" s="452">
        <f>+G17</f>
        <v>454.54545454545456</v>
      </c>
      <c r="H304" s="3502">
        <f>SUM(H301:H303)</f>
        <v>0</v>
      </c>
      <c r="I304" s="371">
        <f>+I17</f>
        <v>909.09090909090912</v>
      </c>
      <c r="J304" s="775">
        <f t="shared" si="479"/>
        <v>0</v>
      </c>
      <c r="K304" s="452">
        <f>+K17</f>
        <v>454.54545454545456</v>
      </c>
      <c r="L304" s="3502">
        <f>SUM(L301:L303)</f>
        <v>0</v>
      </c>
      <c r="M304" s="3504">
        <f>E304+G304+K304</f>
        <v>1363.6363636363637</v>
      </c>
      <c r="N304" s="774">
        <f t="shared" si="480"/>
        <v>0</v>
      </c>
      <c r="O304" s="452">
        <f>+O17</f>
        <v>454.54545454545456</v>
      </c>
      <c r="P304" s="3502">
        <f>SUM(P301:P303)</f>
        <v>0</v>
      </c>
      <c r="Q304" s="371">
        <f>+Q17</f>
        <v>1818.1818181818182</v>
      </c>
      <c r="R304" s="775">
        <f t="shared" si="481"/>
        <v>0</v>
      </c>
      <c r="S304" s="452">
        <f>+S17</f>
        <v>454.54545454545456</v>
      </c>
      <c r="T304" s="3502">
        <f>SUM(T301:T303)</f>
        <v>0</v>
      </c>
      <c r="U304" s="371">
        <f>+U17</f>
        <v>2272.727272727273</v>
      </c>
      <c r="V304" s="775">
        <f t="shared" si="482"/>
        <v>0</v>
      </c>
      <c r="W304" s="452">
        <f>+W17</f>
        <v>0</v>
      </c>
      <c r="X304" s="3502">
        <f>SUM(X301:X303)</f>
        <v>49.900000000000006</v>
      </c>
      <c r="Y304" s="373">
        <f>+Y17</f>
        <v>909.09090909090912</v>
      </c>
      <c r="Z304" s="774">
        <f t="shared" si="483"/>
        <v>49.900000000000006</v>
      </c>
      <c r="AA304" s="539">
        <f>+AA17</f>
        <v>2272.727272727273</v>
      </c>
      <c r="AB304" s="460">
        <f t="shared" si="484"/>
        <v>49.900000000000006</v>
      </c>
      <c r="AC304" s="452">
        <f>+AC17</f>
        <v>454.54545454545456</v>
      </c>
      <c r="AD304" s="3502">
        <f>SUM(AD301:AD303)</f>
        <v>0</v>
      </c>
      <c r="AE304" s="371">
        <f>+AE17</f>
        <v>2727.2727272727275</v>
      </c>
      <c r="AF304" s="775">
        <f t="shared" si="485"/>
        <v>49.900000000000006</v>
      </c>
      <c r="AG304" s="452">
        <f>+AG17</f>
        <v>454.54545454545456</v>
      </c>
      <c r="AH304" s="3502">
        <f>SUM(AH301:AH303)</f>
        <v>0</v>
      </c>
      <c r="AI304" s="371">
        <f>+AI17</f>
        <v>3181.818181818182</v>
      </c>
      <c r="AJ304" s="3503">
        <f t="shared" si="505"/>
        <v>49.900000000000006</v>
      </c>
      <c r="AK304" s="452">
        <f>+AK17</f>
        <v>454.54545454545456</v>
      </c>
      <c r="AL304" s="3502">
        <f>SUM(AL301:AL303)</f>
        <v>0</v>
      </c>
      <c r="AM304" s="373">
        <f>+AM17</f>
        <v>1363.6363636363637</v>
      </c>
      <c r="AN304" s="3504">
        <f>AD304+AH304+AL304</f>
        <v>0</v>
      </c>
      <c r="AO304" s="371">
        <f t="shared" si="511"/>
        <v>3636.3636363636365</v>
      </c>
      <c r="AP304" s="3503">
        <f t="shared" si="511"/>
        <v>49.900000000000006</v>
      </c>
      <c r="AQ304" s="452">
        <f>+AQ17</f>
        <v>454.54545454545456</v>
      </c>
      <c r="AR304" s="3502">
        <f>SUM(AR301:AR303)</f>
        <v>0</v>
      </c>
      <c r="AS304" s="371">
        <f>+AS17</f>
        <v>4090.909090909091</v>
      </c>
      <c r="AT304" s="3503">
        <f t="shared" si="454"/>
        <v>49.900000000000006</v>
      </c>
      <c r="AU304" s="452">
        <f>+AU17</f>
        <v>454.54545454545456</v>
      </c>
      <c r="AV304" s="3502">
        <f>SUM(AV301:AV303)</f>
        <v>0</v>
      </c>
      <c r="AW304" s="371">
        <f>+AW17</f>
        <v>4545.454545454546</v>
      </c>
      <c r="AX304" s="3503">
        <f t="shared" si="507"/>
        <v>49.900000000000006</v>
      </c>
      <c r="AY304" s="452">
        <f>+AY17</f>
        <v>454.54545454545456</v>
      </c>
      <c r="AZ304" s="3502">
        <f>SUM(AZ301:AZ303)</f>
        <v>0</v>
      </c>
      <c r="BA304" s="373">
        <f>+BA17</f>
        <v>1363.6363636363637</v>
      </c>
      <c r="BB304" s="3504">
        <f>AR304+AV304+AZ304</f>
        <v>0</v>
      </c>
      <c r="BC304" s="539">
        <f>AM304+BA304</f>
        <v>2727.2727272727275</v>
      </c>
      <c r="BD304" s="539">
        <f>AN304+BB304</f>
        <v>0</v>
      </c>
      <c r="BE304" s="371">
        <f>+BE17</f>
        <v>5000.0000000000009</v>
      </c>
      <c r="BF304" s="3503">
        <f t="shared" si="510"/>
        <v>49.900000000000006</v>
      </c>
      <c r="BG304" s="26">
        <f t="shared" si="475"/>
        <v>0</v>
      </c>
      <c r="BH304" s="26">
        <f t="shared" si="476"/>
        <v>0</v>
      </c>
      <c r="BI304" s="26"/>
      <c r="BJ304" s="26">
        <f t="shared" si="477"/>
        <v>0</v>
      </c>
      <c r="BK304" s="26">
        <f t="shared" si="478"/>
        <v>0</v>
      </c>
    </row>
    <row r="305" spans="1:63" ht="21" customHeight="1" x14ac:dyDescent="0.3">
      <c r="A305" s="196"/>
      <c r="B305" s="3467"/>
      <c r="C305" s="637"/>
      <c r="D305" s="637"/>
      <c r="E305" s="452"/>
      <c r="F305" s="1325"/>
      <c r="G305" s="452"/>
      <c r="H305" s="1325"/>
      <c r="I305" s="371"/>
      <c r="J305" s="775">
        <f t="shared" si="479"/>
        <v>0</v>
      </c>
      <c r="K305" s="452"/>
      <c r="L305" s="1325"/>
      <c r="M305" s="373"/>
      <c r="N305" s="774">
        <f t="shared" si="480"/>
        <v>0</v>
      </c>
      <c r="O305" s="452"/>
      <c r="P305" s="1325"/>
      <c r="Q305" s="371"/>
      <c r="R305" s="775">
        <f t="shared" si="481"/>
        <v>0</v>
      </c>
      <c r="S305" s="452"/>
      <c r="T305" s="1325"/>
      <c r="U305" s="371"/>
      <c r="V305" s="775">
        <f t="shared" si="482"/>
        <v>0</v>
      </c>
      <c r="W305" s="452"/>
      <c r="X305" s="1325"/>
      <c r="Y305" s="373"/>
      <c r="Z305" s="774">
        <f t="shared" si="483"/>
        <v>0</v>
      </c>
      <c r="AA305" s="539"/>
      <c r="AB305" s="460">
        <f t="shared" si="484"/>
        <v>0</v>
      </c>
      <c r="AC305" s="452"/>
      <c r="AD305" s="1325"/>
      <c r="AE305" s="371"/>
      <c r="AF305" s="775">
        <f t="shared" si="485"/>
        <v>0</v>
      </c>
      <c r="AG305" s="452"/>
      <c r="AH305" s="1325"/>
      <c r="AI305" s="371"/>
      <c r="AJ305" s="3468"/>
      <c r="AK305" s="452"/>
      <c r="AL305" s="1325"/>
      <c r="AM305" s="373"/>
      <c r="AN305" s="1693"/>
      <c r="AO305" s="371"/>
      <c r="AP305" s="3468"/>
      <c r="AQ305" s="452"/>
      <c r="AR305" s="1325"/>
      <c r="AS305" s="371"/>
      <c r="AT305" s="3468">
        <f t="shared" si="454"/>
        <v>0</v>
      </c>
      <c r="AU305" s="452"/>
      <c r="AV305" s="1325"/>
      <c r="AW305" s="371"/>
      <c r="AX305" s="3468"/>
      <c r="AY305" s="452"/>
      <c r="AZ305" s="1325"/>
      <c r="BA305" s="373"/>
      <c r="BB305" s="1693"/>
      <c r="BC305" s="539"/>
      <c r="BD305" s="5756"/>
      <c r="BE305" s="371"/>
      <c r="BF305" s="3468"/>
      <c r="BG305" s="26">
        <f t="shared" si="475"/>
        <v>0</v>
      </c>
      <c r="BH305" s="26">
        <f t="shared" si="476"/>
        <v>0</v>
      </c>
      <c r="BI305" s="26"/>
      <c r="BJ305" s="26">
        <f t="shared" si="477"/>
        <v>0</v>
      </c>
      <c r="BK305" s="26">
        <f t="shared" si="478"/>
        <v>0</v>
      </c>
    </row>
    <row r="306" spans="1:63" x14ac:dyDescent="0.3">
      <c r="A306" s="196"/>
      <c r="B306" s="3469" t="s">
        <v>321</v>
      </c>
      <c r="C306" s="5767" t="s">
        <v>1149</v>
      </c>
      <c r="D306" s="3401"/>
      <c r="E306" s="3401"/>
      <c r="F306" s="3401"/>
      <c r="G306" s="3401"/>
      <c r="H306" s="3401"/>
      <c r="I306" s="3470"/>
      <c r="J306" s="775">
        <f t="shared" si="479"/>
        <v>0</v>
      </c>
      <c r="K306" s="3401"/>
      <c r="L306" s="3401"/>
      <c r="M306" s="3471"/>
      <c r="N306" s="774">
        <f t="shared" si="480"/>
        <v>0</v>
      </c>
      <c r="O306" s="3401"/>
      <c r="P306" s="3401"/>
      <c r="Q306" s="3470"/>
      <c r="R306" s="775">
        <f t="shared" si="481"/>
        <v>0</v>
      </c>
      <c r="S306" s="3401"/>
      <c r="T306" s="3401"/>
      <c r="U306" s="3470"/>
      <c r="V306" s="775">
        <f t="shared" si="482"/>
        <v>0</v>
      </c>
      <c r="W306" s="3401"/>
      <c r="X306" s="3401"/>
      <c r="Y306" s="3471"/>
      <c r="Z306" s="774">
        <f t="shared" si="483"/>
        <v>0</v>
      </c>
      <c r="AA306" s="3523"/>
      <c r="AB306" s="460">
        <f t="shared" si="484"/>
        <v>0</v>
      </c>
      <c r="AC306" s="3401"/>
      <c r="AD306" s="3401"/>
      <c r="AE306" s="3470"/>
      <c r="AF306" s="775">
        <f t="shared" si="485"/>
        <v>0</v>
      </c>
      <c r="AG306" s="3401"/>
      <c r="AH306" s="3401"/>
      <c r="AI306" s="3470"/>
      <c r="AJ306" s="3470"/>
      <c r="AK306" s="3401"/>
      <c r="AL306" s="3401"/>
      <c r="AM306" s="3471"/>
      <c r="AN306" s="3471"/>
      <c r="AO306" s="3470"/>
      <c r="AP306" s="3470"/>
      <c r="AQ306" s="3401"/>
      <c r="AR306" s="3401"/>
      <c r="AS306" s="3470"/>
      <c r="AT306" s="3470">
        <f t="shared" si="454"/>
        <v>0</v>
      </c>
      <c r="AU306" s="3401"/>
      <c r="AV306" s="3401"/>
      <c r="AW306" s="3470"/>
      <c r="AX306" s="3470"/>
      <c r="AY306" s="3401"/>
      <c r="AZ306" s="3401"/>
      <c r="BA306" s="3471"/>
      <c r="BB306" s="3471"/>
      <c r="BC306" s="3523"/>
      <c r="BD306" s="3523"/>
      <c r="BE306" s="3470"/>
      <c r="BF306" s="3470"/>
      <c r="BG306" s="26">
        <f t="shared" si="475"/>
        <v>0</v>
      </c>
      <c r="BH306" s="26">
        <f t="shared" si="476"/>
        <v>0</v>
      </c>
      <c r="BI306" s="26"/>
      <c r="BJ306" s="26">
        <f t="shared" si="477"/>
        <v>0</v>
      </c>
      <c r="BK306" s="26">
        <f t="shared" si="478"/>
        <v>0</v>
      </c>
    </row>
    <row r="307" spans="1:63" x14ac:dyDescent="0.3">
      <c r="A307" s="196"/>
      <c r="B307" s="3422" t="s">
        <v>939</v>
      </c>
      <c r="C307" s="3422" t="s">
        <v>895</v>
      </c>
      <c r="D307" s="3422"/>
      <c r="E307" s="6106"/>
      <c r="F307" s="1185"/>
      <c r="G307" s="6106"/>
      <c r="H307" s="1185"/>
      <c r="I307" s="6086"/>
      <c r="J307" s="775">
        <f t="shared" si="479"/>
        <v>0</v>
      </c>
      <c r="K307" s="6106"/>
      <c r="L307" s="1185"/>
      <c r="M307" s="6050"/>
      <c r="N307" s="774">
        <f t="shared" si="480"/>
        <v>0</v>
      </c>
      <c r="O307" s="6106"/>
      <c r="P307" s="1185"/>
      <c r="Q307" s="6086"/>
      <c r="R307" s="775">
        <f t="shared" si="481"/>
        <v>0</v>
      </c>
      <c r="S307" s="6106"/>
      <c r="T307" s="1185"/>
      <c r="U307" s="6086"/>
      <c r="V307" s="775">
        <f t="shared" si="482"/>
        <v>0</v>
      </c>
      <c r="W307" s="6106"/>
      <c r="X307" s="1185"/>
      <c r="Y307" s="6050"/>
      <c r="Z307" s="774">
        <f t="shared" si="483"/>
        <v>0</v>
      </c>
      <c r="AA307" s="6060"/>
      <c r="AB307" s="460">
        <f t="shared" si="484"/>
        <v>0</v>
      </c>
      <c r="AC307" s="6106"/>
      <c r="AD307" s="1185"/>
      <c r="AE307" s="6086"/>
      <c r="AF307" s="775">
        <f t="shared" si="485"/>
        <v>0</v>
      </c>
      <c r="AG307" s="6106"/>
      <c r="AH307" s="1185"/>
      <c r="AI307" s="6119"/>
      <c r="AJ307" s="775">
        <f t="shared" ref="AJ307:AJ382" si="512">AF307+AH307</f>
        <v>0</v>
      </c>
      <c r="AK307" s="6106"/>
      <c r="AL307" s="1185"/>
      <c r="AM307" s="6050"/>
      <c r="AN307" s="774">
        <f t="shared" ref="AN307:AN414" si="513">AD307+AH307+AL307</f>
        <v>0</v>
      </c>
      <c r="AO307" s="6086"/>
      <c r="AP307" s="775">
        <f t="shared" ref="AO307:AP429" si="514">AJ307+AL307</f>
        <v>0</v>
      </c>
      <c r="AQ307" s="6106"/>
      <c r="AR307" s="1185"/>
      <c r="AS307" s="6119"/>
      <c r="AT307" s="775">
        <f t="shared" si="454"/>
        <v>0</v>
      </c>
      <c r="AU307" s="6106"/>
      <c r="AV307" s="1185"/>
      <c r="AW307" s="6119"/>
      <c r="AX307" s="775">
        <f t="shared" ref="AX307:AX428" si="515">AT307+AV307</f>
        <v>0</v>
      </c>
      <c r="AY307" s="6106"/>
      <c r="AZ307" s="1185"/>
      <c r="BA307" s="6050"/>
      <c r="BB307" s="774">
        <f t="shared" ref="BB307:BB376" si="516">AR307+AV307+AZ307</f>
        <v>0</v>
      </c>
      <c r="BC307" s="6060"/>
      <c r="BD307" s="460">
        <f t="shared" ref="BD307:BD413" si="517">AN307+BB307</f>
        <v>0</v>
      </c>
      <c r="BE307" s="6119"/>
      <c r="BF307" s="775">
        <f t="shared" ref="BF307:BF428" si="518">AX307+AZ307</f>
        <v>0</v>
      </c>
      <c r="BG307" s="26">
        <f t="shared" si="475"/>
        <v>0</v>
      </c>
      <c r="BH307" s="26">
        <f t="shared" si="476"/>
        <v>0</v>
      </c>
      <c r="BI307" s="26"/>
      <c r="BJ307" s="26">
        <f t="shared" si="477"/>
        <v>0</v>
      </c>
      <c r="BK307" s="26">
        <f t="shared" si="478"/>
        <v>0</v>
      </c>
    </row>
    <row r="308" spans="1:63" x14ac:dyDescent="0.3">
      <c r="A308" s="196"/>
      <c r="B308" s="3422" t="s">
        <v>939</v>
      </c>
      <c r="C308" s="3422" t="s">
        <v>894</v>
      </c>
      <c r="D308" s="3422"/>
      <c r="E308" s="6106"/>
      <c r="F308" s="1185">
        <v>1041.23</v>
      </c>
      <c r="G308" s="6106"/>
      <c r="H308" s="1185">
        <v>945.81</v>
      </c>
      <c r="I308" s="6086"/>
      <c r="J308" s="775">
        <f t="shared" si="479"/>
        <v>1987.04</v>
      </c>
      <c r="K308" s="6106"/>
      <c r="L308" s="1185">
        <v>517.20000000000005</v>
      </c>
      <c r="M308" s="6050"/>
      <c r="N308" s="774">
        <f t="shared" si="480"/>
        <v>2504.2399999999998</v>
      </c>
      <c r="O308" s="6106"/>
      <c r="P308" s="1185">
        <v>63.48</v>
      </c>
      <c r="Q308" s="6086"/>
      <c r="R308" s="775">
        <f t="shared" si="481"/>
        <v>2567.7199999999998</v>
      </c>
      <c r="S308" s="6106"/>
      <c r="T308" s="1185">
        <v>65.319999999999993</v>
      </c>
      <c r="U308" s="6086"/>
      <c r="V308" s="775">
        <f t="shared" si="482"/>
        <v>2633.04</v>
      </c>
      <c r="W308" s="6106"/>
      <c r="X308" s="1185">
        <v>651.56999999999994</v>
      </c>
      <c r="Y308" s="6050"/>
      <c r="Z308" s="774">
        <f t="shared" si="483"/>
        <v>780.36999999999989</v>
      </c>
      <c r="AA308" s="6060"/>
      <c r="AB308" s="460">
        <f t="shared" si="484"/>
        <v>3284.6099999999997</v>
      </c>
      <c r="AC308" s="6106"/>
      <c r="AD308" s="1185">
        <v>701.28</v>
      </c>
      <c r="AE308" s="6086"/>
      <c r="AF308" s="775">
        <f t="shared" si="485"/>
        <v>3985.8899999999994</v>
      </c>
      <c r="AG308" s="6106"/>
      <c r="AH308" s="1185"/>
      <c r="AI308" s="6120"/>
      <c r="AJ308" s="775">
        <f t="shared" si="512"/>
        <v>3985.8899999999994</v>
      </c>
      <c r="AK308" s="6106"/>
      <c r="AL308" s="1185">
        <v>744.44</v>
      </c>
      <c r="AM308" s="6050"/>
      <c r="AN308" s="774">
        <f t="shared" si="513"/>
        <v>1445.72</v>
      </c>
      <c r="AO308" s="6086"/>
      <c r="AP308" s="775">
        <f t="shared" si="514"/>
        <v>4730.33</v>
      </c>
      <c r="AQ308" s="6106"/>
      <c r="AR308" s="1185"/>
      <c r="AS308" s="6120"/>
      <c r="AT308" s="775">
        <f t="shared" si="454"/>
        <v>4730.33</v>
      </c>
      <c r="AU308" s="6106"/>
      <c r="AV308" s="1185"/>
      <c r="AW308" s="6120"/>
      <c r="AX308" s="775">
        <f t="shared" si="515"/>
        <v>4730.33</v>
      </c>
      <c r="AY308" s="6106"/>
      <c r="AZ308" s="1185"/>
      <c r="BA308" s="6050"/>
      <c r="BB308" s="774">
        <f t="shared" si="516"/>
        <v>0</v>
      </c>
      <c r="BC308" s="6060"/>
      <c r="BD308" s="460">
        <f t="shared" si="517"/>
        <v>1445.72</v>
      </c>
      <c r="BE308" s="6120"/>
      <c r="BF308" s="775">
        <f t="shared" si="518"/>
        <v>4730.33</v>
      </c>
      <c r="BG308" s="26">
        <f t="shared" si="475"/>
        <v>0</v>
      </c>
      <c r="BH308" s="26">
        <f t="shared" si="476"/>
        <v>0</v>
      </c>
      <c r="BI308" s="26"/>
      <c r="BJ308" s="26">
        <f t="shared" si="477"/>
        <v>0</v>
      </c>
      <c r="BK308" s="26">
        <f t="shared" si="478"/>
        <v>0</v>
      </c>
    </row>
    <row r="309" spans="1:63" x14ac:dyDescent="0.3">
      <c r="A309" s="196"/>
      <c r="B309" s="3422" t="s">
        <v>1602</v>
      </c>
      <c r="C309" s="3422" t="s">
        <v>894</v>
      </c>
      <c r="D309" s="3422"/>
      <c r="E309" s="6106"/>
      <c r="F309" s="1185">
        <v>156.06</v>
      </c>
      <c r="G309" s="6106"/>
      <c r="H309" s="1185">
        <v>206.14</v>
      </c>
      <c r="I309" s="6086"/>
      <c r="J309" s="775">
        <f t="shared" si="479"/>
        <v>362.2</v>
      </c>
      <c r="K309" s="6106"/>
      <c r="L309" s="1185">
        <v>515.82000000000005</v>
      </c>
      <c r="M309" s="6050"/>
      <c r="N309" s="774">
        <f t="shared" si="480"/>
        <v>878.02</v>
      </c>
      <c r="O309" s="6106"/>
      <c r="P309" s="1185">
        <v>162.96</v>
      </c>
      <c r="Q309" s="6086"/>
      <c r="R309" s="775">
        <f t="shared" si="481"/>
        <v>1040.98</v>
      </c>
      <c r="S309" s="6106"/>
      <c r="T309" s="1185"/>
      <c r="U309" s="6086"/>
      <c r="V309" s="775">
        <f t="shared" si="482"/>
        <v>1040.98</v>
      </c>
      <c r="W309" s="6106"/>
      <c r="X309" s="1185">
        <v>339.33</v>
      </c>
      <c r="Y309" s="6050"/>
      <c r="Z309" s="774">
        <f t="shared" si="483"/>
        <v>502.28999999999996</v>
      </c>
      <c r="AA309" s="6060"/>
      <c r="AB309" s="460">
        <f t="shared" si="484"/>
        <v>1380.31</v>
      </c>
      <c r="AC309" s="6106"/>
      <c r="AD309" s="1185">
        <v>52.98</v>
      </c>
      <c r="AE309" s="6086"/>
      <c r="AF309" s="775">
        <f t="shared" si="485"/>
        <v>1433.29</v>
      </c>
      <c r="AG309" s="6106"/>
      <c r="AH309" s="1185"/>
      <c r="AI309" s="6120"/>
      <c r="AJ309" s="775">
        <f t="shared" si="512"/>
        <v>1433.29</v>
      </c>
      <c r="AK309" s="6106"/>
      <c r="AL309" s="1185">
        <v>997.14</v>
      </c>
      <c r="AM309" s="6050"/>
      <c r="AN309" s="774">
        <f t="shared" si="513"/>
        <v>1050.1199999999999</v>
      </c>
      <c r="AO309" s="6086"/>
      <c r="AP309" s="775">
        <f t="shared" si="514"/>
        <v>2430.4299999999998</v>
      </c>
      <c r="AQ309" s="6106"/>
      <c r="AR309" s="1185">
        <v>122.64</v>
      </c>
      <c r="AS309" s="6120"/>
      <c r="AT309" s="775">
        <f t="shared" si="454"/>
        <v>2553.0699999999997</v>
      </c>
      <c r="AU309" s="6106"/>
      <c r="AV309" s="1185"/>
      <c r="AW309" s="6120"/>
      <c r="AX309" s="775">
        <f t="shared" si="515"/>
        <v>2553.0699999999997</v>
      </c>
      <c r="AY309" s="6106"/>
      <c r="AZ309" s="1185"/>
      <c r="BA309" s="6050"/>
      <c r="BB309" s="774">
        <f t="shared" si="516"/>
        <v>122.64</v>
      </c>
      <c r="BC309" s="6060"/>
      <c r="BD309" s="460">
        <f t="shared" si="517"/>
        <v>1172.76</v>
      </c>
      <c r="BE309" s="6120"/>
      <c r="BF309" s="775">
        <f t="shared" si="518"/>
        <v>2553.0699999999997</v>
      </c>
      <c r="BG309" s="26">
        <f t="shared" si="475"/>
        <v>0</v>
      </c>
      <c r="BH309" s="26">
        <f t="shared" si="476"/>
        <v>0</v>
      </c>
      <c r="BI309" s="26"/>
      <c r="BJ309" s="26">
        <f t="shared" si="477"/>
        <v>0</v>
      </c>
      <c r="BK309" s="26">
        <f t="shared" si="478"/>
        <v>0</v>
      </c>
    </row>
    <row r="310" spans="1:63" x14ac:dyDescent="0.3">
      <c r="A310" s="196"/>
      <c r="B310" s="4359" t="s">
        <v>2266</v>
      </c>
      <c r="C310" s="4359" t="s">
        <v>894</v>
      </c>
      <c r="D310" s="4359"/>
      <c r="E310" s="6107"/>
      <c r="F310" s="4338"/>
      <c r="G310" s="6107"/>
      <c r="H310" s="4338"/>
      <c r="I310" s="6087"/>
      <c r="J310" s="775">
        <f t="shared" si="479"/>
        <v>0</v>
      </c>
      <c r="K310" s="6107"/>
      <c r="L310" s="4338"/>
      <c r="M310" s="6051"/>
      <c r="N310" s="774">
        <f t="shared" si="480"/>
        <v>0</v>
      </c>
      <c r="O310" s="6107"/>
      <c r="P310" s="4338"/>
      <c r="Q310" s="6087"/>
      <c r="R310" s="775">
        <f t="shared" si="481"/>
        <v>0</v>
      </c>
      <c r="S310" s="6107"/>
      <c r="T310" s="4338"/>
      <c r="U310" s="6087"/>
      <c r="V310" s="775">
        <f t="shared" si="482"/>
        <v>0</v>
      </c>
      <c r="W310" s="6107"/>
      <c r="X310" s="4338"/>
      <c r="Y310" s="6051"/>
      <c r="Z310" s="774">
        <f t="shared" si="483"/>
        <v>0</v>
      </c>
      <c r="AA310" s="6061"/>
      <c r="AB310" s="460">
        <f t="shared" si="484"/>
        <v>0</v>
      </c>
      <c r="AC310" s="6107"/>
      <c r="AD310" s="4338"/>
      <c r="AE310" s="6087"/>
      <c r="AF310" s="775">
        <f t="shared" si="485"/>
        <v>0</v>
      </c>
      <c r="AG310" s="6107"/>
      <c r="AH310" s="4338"/>
      <c r="AI310" s="6120"/>
      <c r="AJ310" s="775">
        <f t="shared" si="512"/>
        <v>0</v>
      </c>
      <c r="AK310" s="6107"/>
      <c r="AL310" s="4338">
        <v>15.74</v>
      </c>
      <c r="AM310" s="6051"/>
      <c r="AN310" s="774">
        <f t="shared" si="513"/>
        <v>15.74</v>
      </c>
      <c r="AO310" s="6087"/>
      <c r="AP310" s="775">
        <f t="shared" si="514"/>
        <v>15.74</v>
      </c>
      <c r="AQ310" s="6107"/>
      <c r="AR310" s="4338"/>
      <c r="AS310" s="6120"/>
      <c r="AT310" s="775">
        <f t="shared" si="454"/>
        <v>15.74</v>
      </c>
      <c r="AU310" s="6107"/>
      <c r="AV310" s="4338"/>
      <c r="AW310" s="6120"/>
      <c r="AX310" s="775">
        <f t="shared" si="515"/>
        <v>15.74</v>
      </c>
      <c r="AY310" s="6107"/>
      <c r="AZ310" s="4338"/>
      <c r="BA310" s="6051"/>
      <c r="BB310" s="774">
        <f t="shared" si="516"/>
        <v>0</v>
      </c>
      <c r="BC310" s="6061"/>
      <c r="BD310" s="460">
        <f t="shared" si="517"/>
        <v>15.74</v>
      </c>
      <c r="BE310" s="6120"/>
      <c r="BF310" s="775">
        <f t="shared" si="518"/>
        <v>15.74</v>
      </c>
      <c r="BG310" s="26">
        <f t="shared" si="475"/>
        <v>0</v>
      </c>
      <c r="BH310" s="26">
        <f t="shared" si="476"/>
        <v>0</v>
      </c>
      <c r="BI310" s="26"/>
      <c r="BJ310" s="26">
        <f t="shared" si="477"/>
        <v>0</v>
      </c>
      <c r="BK310" s="26">
        <f t="shared" si="478"/>
        <v>0</v>
      </c>
    </row>
    <row r="311" spans="1:63" x14ac:dyDescent="0.3">
      <c r="A311" s="196"/>
      <c r="B311" s="3422" t="s">
        <v>1296</v>
      </c>
      <c r="C311" s="3422" t="s">
        <v>895</v>
      </c>
      <c r="D311" s="3422"/>
      <c r="E311" s="6106"/>
      <c r="F311" s="1185"/>
      <c r="G311" s="6106"/>
      <c r="H311" s="1185"/>
      <c r="I311" s="6086"/>
      <c r="J311" s="775">
        <f t="shared" si="479"/>
        <v>0</v>
      </c>
      <c r="K311" s="6106"/>
      <c r="L311" s="1185">
        <v>227.01</v>
      </c>
      <c r="M311" s="6050"/>
      <c r="N311" s="774">
        <f t="shared" si="480"/>
        <v>227.01</v>
      </c>
      <c r="O311" s="6106"/>
      <c r="P311" s="1185">
        <v>112.10999999999999</v>
      </c>
      <c r="Q311" s="6086"/>
      <c r="R311" s="775">
        <f t="shared" si="481"/>
        <v>339.12</v>
      </c>
      <c r="S311" s="6106"/>
      <c r="T311" s="1185"/>
      <c r="U311" s="6086"/>
      <c r="V311" s="775">
        <f t="shared" si="482"/>
        <v>339.12</v>
      </c>
      <c r="W311" s="6106"/>
      <c r="X311" s="1185">
        <v>251.82</v>
      </c>
      <c r="Y311" s="6050"/>
      <c r="Z311" s="774">
        <f t="shared" si="483"/>
        <v>363.92999999999995</v>
      </c>
      <c r="AA311" s="6060"/>
      <c r="AB311" s="460">
        <f t="shared" si="484"/>
        <v>590.93999999999994</v>
      </c>
      <c r="AC311" s="6106"/>
      <c r="AD311" s="1185">
        <v>64.84</v>
      </c>
      <c r="AE311" s="6086"/>
      <c r="AF311" s="775">
        <f t="shared" si="485"/>
        <v>655.78</v>
      </c>
      <c r="AG311" s="6106"/>
      <c r="AH311" s="1185"/>
      <c r="AI311" s="6120"/>
      <c r="AJ311" s="775">
        <f t="shared" si="512"/>
        <v>655.78</v>
      </c>
      <c r="AK311" s="6106"/>
      <c r="AL311" s="1185">
        <v>248.33699999999999</v>
      </c>
      <c r="AM311" s="6050"/>
      <c r="AN311" s="774">
        <f t="shared" si="513"/>
        <v>313.17700000000002</v>
      </c>
      <c r="AO311" s="6086"/>
      <c r="AP311" s="775">
        <f t="shared" si="514"/>
        <v>904.11699999999996</v>
      </c>
      <c r="AQ311" s="6106"/>
      <c r="AR311" s="1185">
        <v>65.400000000000006</v>
      </c>
      <c r="AS311" s="6120"/>
      <c r="AT311" s="775">
        <f t="shared" si="454"/>
        <v>969.51699999999994</v>
      </c>
      <c r="AU311" s="6106"/>
      <c r="AV311" s="1185">
        <v>60.2</v>
      </c>
      <c r="AW311" s="6120"/>
      <c r="AX311" s="775">
        <f t="shared" si="515"/>
        <v>1029.7169999999999</v>
      </c>
      <c r="AY311" s="6106"/>
      <c r="AZ311" s="1185"/>
      <c r="BA311" s="6050"/>
      <c r="BB311" s="774">
        <f t="shared" si="516"/>
        <v>125.60000000000001</v>
      </c>
      <c r="BC311" s="6060"/>
      <c r="BD311" s="460">
        <f t="shared" si="517"/>
        <v>438.77700000000004</v>
      </c>
      <c r="BE311" s="6120"/>
      <c r="BF311" s="775">
        <f t="shared" si="518"/>
        <v>1029.7169999999999</v>
      </c>
      <c r="BG311" s="26">
        <f t="shared" si="475"/>
        <v>0</v>
      </c>
      <c r="BH311" s="26">
        <f t="shared" si="476"/>
        <v>0</v>
      </c>
      <c r="BI311" s="26"/>
      <c r="BJ311" s="26">
        <f t="shared" si="477"/>
        <v>0</v>
      </c>
      <c r="BK311" s="26">
        <f t="shared" si="478"/>
        <v>0</v>
      </c>
    </row>
    <row r="312" spans="1:63" x14ac:dyDescent="0.3">
      <c r="A312" s="196"/>
      <c r="B312" s="3422" t="s">
        <v>1296</v>
      </c>
      <c r="C312" s="3422" t="s">
        <v>894</v>
      </c>
      <c r="D312" s="3422"/>
      <c r="E312" s="6106"/>
      <c r="F312" s="1185"/>
      <c r="G312" s="6106"/>
      <c r="H312" s="1185"/>
      <c r="I312" s="6086"/>
      <c r="J312" s="775">
        <f t="shared" si="479"/>
        <v>0</v>
      </c>
      <c r="K312" s="6106"/>
      <c r="L312" s="1185">
        <v>482.14000000000004</v>
      </c>
      <c r="M312" s="6050"/>
      <c r="N312" s="774">
        <f t="shared" si="480"/>
        <v>482.14000000000004</v>
      </c>
      <c r="O312" s="6106"/>
      <c r="P312" s="1185"/>
      <c r="Q312" s="6086"/>
      <c r="R312" s="775">
        <f t="shared" si="481"/>
        <v>482.14000000000004</v>
      </c>
      <c r="S312" s="6106"/>
      <c r="T312" s="1185"/>
      <c r="U312" s="6086"/>
      <c r="V312" s="775">
        <f t="shared" si="482"/>
        <v>482.14000000000004</v>
      </c>
      <c r="W312" s="6106"/>
      <c r="X312" s="1185">
        <v>235.59</v>
      </c>
      <c r="Y312" s="6050"/>
      <c r="Z312" s="774">
        <f t="shared" si="483"/>
        <v>235.59</v>
      </c>
      <c r="AA312" s="6060"/>
      <c r="AB312" s="460">
        <f t="shared" si="484"/>
        <v>717.73</v>
      </c>
      <c r="AC312" s="6106"/>
      <c r="AD312" s="1185">
        <v>190.7</v>
      </c>
      <c r="AE312" s="6086"/>
      <c r="AF312" s="775">
        <f t="shared" si="485"/>
        <v>908.43000000000006</v>
      </c>
      <c r="AG312" s="6106"/>
      <c r="AH312" s="1185"/>
      <c r="AI312" s="6120"/>
      <c r="AJ312" s="775">
        <f t="shared" si="512"/>
        <v>908.43000000000006</v>
      </c>
      <c r="AK312" s="6106"/>
      <c r="AL312" s="1185">
        <v>932.20399999999995</v>
      </c>
      <c r="AM312" s="6050"/>
      <c r="AN312" s="774">
        <f t="shared" si="513"/>
        <v>1122.904</v>
      </c>
      <c r="AO312" s="6086"/>
      <c r="AP312" s="775">
        <f t="shared" si="514"/>
        <v>1840.634</v>
      </c>
      <c r="AQ312" s="6106"/>
      <c r="AR312" s="1185"/>
      <c r="AS312" s="6120"/>
      <c r="AT312" s="775">
        <f t="shared" si="454"/>
        <v>1840.634</v>
      </c>
      <c r="AU312" s="6106"/>
      <c r="AV312" s="1185">
        <v>65.34</v>
      </c>
      <c r="AW312" s="6120"/>
      <c r="AX312" s="775">
        <f t="shared" si="515"/>
        <v>1905.9739999999999</v>
      </c>
      <c r="AY312" s="6106"/>
      <c r="AZ312" s="1185"/>
      <c r="BA312" s="6050"/>
      <c r="BB312" s="774">
        <f t="shared" si="516"/>
        <v>65.34</v>
      </c>
      <c r="BC312" s="6060"/>
      <c r="BD312" s="460">
        <f t="shared" si="517"/>
        <v>1188.2439999999999</v>
      </c>
      <c r="BE312" s="6120"/>
      <c r="BF312" s="775">
        <f t="shared" si="518"/>
        <v>1905.9739999999999</v>
      </c>
      <c r="BG312" s="26">
        <f t="shared" si="475"/>
        <v>0</v>
      </c>
      <c r="BH312" s="26">
        <f t="shared" si="476"/>
        <v>0</v>
      </c>
      <c r="BI312" s="26"/>
      <c r="BJ312" s="26">
        <f t="shared" si="477"/>
        <v>0</v>
      </c>
      <c r="BK312" s="26">
        <f t="shared" si="478"/>
        <v>0</v>
      </c>
    </row>
    <row r="313" spans="1:63" x14ac:dyDescent="0.3">
      <c r="A313" s="196"/>
      <c r="B313" s="3422" t="s">
        <v>1122</v>
      </c>
      <c r="C313" s="3422" t="s">
        <v>1339</v>
      </c>
      <c r="D313" s="3422"/>
      <c r="E313" s="6106"/>
      <c r="F313" s="1185">
        <v>2660.71</v>
      </c>
      <c r="G313" s="6106"/>
      <c r="H313" s="1185">
        <v>2825.5800000000004</v>
      </c>
      <c r="I313" s="6086"/>
      <c r="J313" s="775">
        <f t="shared" si="479"/>
        <v>5486.2900000000009</v>
      </c>
      <c r="K313" s="6106"/>
      <c r="L313" s="1185">
        <v>2325.63</v>
      </c>
      <c r="M313" s="6050"/>
      <c r="N313" s="774">
        <f t="shared" si="480"/>
        <v>7811.920000000001</v>
      </c>
      <c r="O313" s="6106"/>
      <c r="P313" s="1185">
        <v>2399.52</v>
      </c>
      <c r="Q313" s="6086"/>
      <c r="R313" s="775">
        <f t="shared" si="481"/>
        <v>10211.44</v>
      </c>
      <c r="S313" s="6106"/>
      <c r="T313" s="1185">
        <v>1168.8400000000001</v>
      </c>
      <c r="U313" s="6086"/>
      <c r="V313" s="775">
        <f t="shared" si="482"/>
        <v>11380.28</v>
      </c>
      <c r="W313" s="6106"/>
      <c r="X313" s="1185">
        <v>394.95000000000005</v>
      </c>
      <c r="Y313" s="6050"/>
      <c r="Z313" s="774">
        <f t="shared" si="483"/>
        <v>3963.3100000000004</v>
      </c>
      <c r="AA313" s="6060"/>
      <c r="AB313" s="460">
        <f t="shared" si="484"/>
        <v>11775.230000000001</v>
      </c>
      <c r="AC313" s="6106"/>
      <c r="AD313" s="1185">
        <v>221.39999999999998</v>
      </c>
      <c r="AE313" s="6086"/>
      <c r="AF313" s="775">
        <f t="shared" si="485"/>
        <v>11996.630000000001</v>
      </c>
      <c r="AG313" s="6106"/>
      <c r="AH313" s="1185">
        <v>2382.09</v>
      </c>
      <c r="AI313" s="6120"/>
      <c r="AJ313" s="775">
        <f t="shared" si="512"/>
        <v>14378.720000000001</v>
      </c>
      <c r="AK313" s="6106"/>
      <c r="AL313" s="1185">
        <v>68.597999999999999</v>
      </c>
      <c r="AM313" s="6050"/>
      <c r="AN313" s="774">
        <f t="shared" si="513"/>
        <v>2672.0880000000002</v>
      </c>
      <c r="AO313" s="6086"/>
      <c r="AP313" s="775">
        <f t="shared" si="514"/>
        <v>14447.318000000001</v>
      </c>
      <c r="AQ313" s="6106"/>
      <c r="AR313" s="1185">
        <v>2583.39</v>
      </c>
      <c r="AS313" s="6120"/>
      <c r="AT313" s="775">
        <f t="shared" si="454"/>
        <v>17030.708000000002</v>
      </c>
      <c r="AU313" s="6106"/>
      <c r="AV313" s="1185">
        <v>125.36</v>
      </c>
      <c r="AW313" s="6120"/>
      <c r="AX313" s="775">
        <f t="shared" si="515"/>
        <v>17156.068000000003</v>
      </c>
      <c r="AY313" s="6106"/>
      <c r="AZ313" s="1185">
        <v>1629.58</v>
      </c>
      <c r="BA313" s="6050"/>
      <c r="BB313" s="774">
        <f t="shared" si="516"/>
        <v>4338.33</v>
      </c>
      <c r="BC313" s="6060"/>
      <c r="BD313" s="460">
        <f t="shared" si="517"/>
        <v>7010.4179999999997</v>
      </c>
      <c r="BE313" s="6120"/>
      <c r="BF313" s="775">
        <f t="shared" si="518"/>
        <v>18785.648000000001</v>
      </c>
      <c r="BG313" s="26">
        <f t="shared" si="475"/>
        <v>0</v>
      </c>
      <c r="BH313" s="26">
        <f t="shared" si="476"/>
        <v>0</v>
      </c>
      <c r="BI313" s="26"/>
      <c r="BJ313" s="26">
        <f t="shared" si="477"/>
        <v>0</v>
      </c>
      <c r="BK313" s="26">
        <f t="shared" si="478"/>
        <v>0</v>
      </c>
    </row>
    <row r="314" spans="1:63" x14ac:dyDescent="0.3">
      <c r="A314" s="196"/>
      <c r="B314" s="3453" t="s">
        <v>1122</v>
      </c>
      <c r="C314" s="3453" t="s">
        <v>895</v>
      </c>
      <c r="D314" s="3453"/>
      <c r="E314" s="6108"/>
      <c r="F314" s="2537"/>
      <c r="G314" s="6108"/>
      <c r="H314" s="2537"/>
      <c r="I314" s="6088"/>
      <c r="J314" s="775">
        <f t="shared" si="479"/>
        <v>0</v>
      </c>
      <c r="K314" s="6108"/>
      <c r="L314" s="2537">
        <v>127.02</v>
      </c>
      <c r="M314" s="6052"/>
      <c r="N314" s="774">
        <f t="shared" si="480"/>
        <v>127.02</v>
      </c>
      <c r="O314" s="6108"/>
      <c r="P314" s="2537"/>
      <c r="Q314" s="6088"/>
      <c r="R314" s="775">
        <f t="shared" si="481"/>
        <v>127.02</v>
      </c>
      <c r="S314" s="6108"/>
      <c r="T314" s="2537"/>
      <c r="U314" s="6088"/>
      <c r="V314" s="775">
        <f t="shared" si="482"/>
        <v>127.02</v>
      </c>
      <c r="W314" s="6108"/>
      <c r="X314" s="2537"/>
      <c r="Y314" s="6052"/>
      <c r="Z314" s="774">
        <f t="shared" si="483"/>
        <v>0</v>
      </c>
      <c r="AA314" s="6062"/>
      <c r="AB314" s="460">
        <f t="shared" si="484"/>
        <v>127.02</v>
      </c>
      <c r="AC314" s="6108"/>
      <c r="AD314" s="2537"/>
      <c r="AE314" s="6088"/>
      <c r="AF314" s="775">
        <f t="shared" si="485"/>
        <v>127.02</v>
      </c>
      <c r="AG314" s="6108"/>
      <c r="AH314" s="2537">
        <v>275.35999999999996</v>
      </c>
      <c r="AI314" s="6120"/>
      <c r="AJ314" s="775">
        <f t="shared" si="512"/>
        <v>402.37999999999994</v>
      </c>
      <c r="AK314" s="6108"/>
      <c r="AL314" s="2537">
        <v>110.92</v>
      </c>
      <c r="AM314" s="6052"/>
      <c r="AN314" s="774">
        <f t="shared" si="513"/>
        <v>386.28</v>
      </c>
      <c r="AO314" s="6088"/>
      <c r="AP314" s="775">
        <f t="shared" si="514"/>
        <v>513.29999999999995</v>
      </c>
      <c r="AQ314" s="6108"/>
      <c r="AR314" s="2537">
        <v>164.69</v>
      </c>
      <c r="AS314" s="6120"/>
      <c r="AT314" s="775">
        <f t="shared" si="454"/>
        <v>677.99</v>
      </c>
      <c r="AU314" s="6108"/>
      <c r="AV314" s="2537"/>
      <c r="AW314" s="6120"/>
      <c r="AX314" s="775">
        <f t="shared" si="515"/>
        <v>677.99</v>
      </c>
      <c r="AY314" s="6108"/>
      <c r="AZ314" s="2537">
        <v>133.24</v>
      </c>
      <c r="BA314" s="6052"/>
      <c r="BB314" s="774">
        <f t="shared" si="516"/>
        <v>297.93</v>
      </c>
      <c r="BC314" s="6062"/>
      <c r="BD314" s="460">
        <f t="shared" si="517"/>
        <v>684.21</v>
      </c>
      <c r="BE314" s="6120"/>
      <c r="BF314" s="775">
        <f t="shared" si="518"/>
        <v>811.23</v>
      </c>
      <c r="BG314" s="26">
        <f t="shared" si="475"/>
        <v>0</v>
      </c>
      <c r="BH314" s="26">
        <f t="shared" si="476"/>
        <v>0</v>
      </c>
      <c r="BI314" s="26"/>
      <c r="BJ314" s="26">
        <f t="shared" si="477"/>
        <v>0</v>
      </c>
      <c r="BK314" s="26">
        <f t="shared" si="478"/>
        <v>0</v>
      </c>
    </row>
    <row r="315" spans="1:63" x14ac:dyDescent="0.3">
      <c r="A315" s="196"/>
      <c r="B315" s="4893" t="s">
        <v>1655</v>
      </c>
      <c r="C315" s="4893" t="s">
        <v>895</v>
      </c>
      <c r="D315" s="4893"/>
      <c r="E315" s="6109"/>
      <c r="F315" s="4894"/>
      <c r="G315" s="6109"/>
      <c r="H315" s="4894"/>
      <c r="I315" s="6089"/>
      <c r="J315" s="775">
        <f t="shared" si="479"/>
        <v>0</v>
      </c>
      <c r="K315" s="6109"/>
      <c r="L315" s="4894">
        <v>245.12</v>
      </c>
      <c r="M315" s="6053"/>
      <c r="N315" s="774">
        <f t="shared" si="480"/>
        <v>245.12</v>
      </c>
      <c r="O315" s="6109"/>
      <c r="P315" s="4894">
        <v>239.31000000000003</v>
      </c>
      <c r="Q315" s="6089"/>
      <c r="R315" s="775">
        <f t="shared" si="481"/>
        <v>484.43000000000006</v>
      </c>
      <c r="S315" s="6109"/>
      <c r="T315" s="4894">
        <v>188.86</v>
      </c>
      <c r="U315" s="6089"/>
      <c r="V315" s="775">
        <f t="shared" si="482"/>
        <v>673.29000000000008</v>
      </c>
      <c r="W315" s="6109"/>
      <c r="X315" s="4894">
        <v>499.31999999999994</v>
      </c>
      <c r="Y315" s="6053"/>
      <c r="Z315" s="774">
        <f t="shared" si="483"/>
        <v>927.49</v>
      </c>
      <c r="AA315" s="6063"/>
      <c r="AB315" s="460">
        <f t="shared" si="484"/>
        <v>1172.6100000000001</v>
      </c>
      <c r="AC315" s="6109"/>
      <c r="AD315" s="4894">
        <v>190.66</v>
      </c>
      <c r="AE315" s="6089"/>
      <c r="AF315" s="775">
        <f t="shared" si="485"/>
        <v>1363.2700000000002</v>
      </c>
      <c r="AG315" s="6109"/>
      <c r="AH315" s="4894"/>
      <c r="AI315" s="6120"/>
      <c r="AJ315" s="775">
        <f t="shared" si="512"/>
        <v>1363.2700000000002</v>
      </c>
      <c r="AK315" s="6109"/>
      <c r="AL315" s="4894">
        <v>62.26</v>
      </c>
      <c r="AM315" s="6053"/>
      <c r="AN315" s="774">
        <f t="shared" si="513"/>
        <v>252.92</v>
      </c>
      <c r="AO315" s="6089"/>
      <c r="AP315" s="775">
        <f t="shared" si="514"/>
        <v>1425.5300000000002</v>
      </c>
      <c r="AQ315" s="6109"/>
      <c r="AR315" s="4894"/>
      <c r="AS315" s="6120"/>
      <c r="AT315" s="4843">
        <f t="shared" si="454"/>
        <v>1425.5300000000002</v>
      </c>
      <c r="AU315" s="6109"/>
      <c r="AV315" s="4894"/>
      <c r="AW315" s="6120"/>
      <c r="AX315" s="775">
        <f t="shared" si="515"/>
        <v>1425.5300000000002</v>
      </c>
      <c r="AY315" s="6109"/>
      <c r="AZ315" s="4894"/>
      <c r="BA315" s="6053"/>
      <c r="BB315" s="774">
        <f t="shared" si="516"/>
        <v>0</v>
      </c>
      <c r="BC315" s="6063"/>
      <c r="BD315" s="460">
        <f t="shared" si="517"/>
        <v>252.92</v>
      </c>
      <c r="BE315" s="6120"/>
      <c r="BF315" s="775">
        <f t="shared" si="518"/>
        <v>1425.5300000000002</v>
      </c>
      <c r="BG315" s="26">
        <f t="shared" si="475"/>
        <v>0</v>
      </c>
      <c r="BH315" s="26">
        <f t="shared" si="476"/>
        <v>0</v>
      </c>
      <c r="BI315" s="26"/>
      <c r="BJ315" s="26">
        <f t="shared" si="477"/>
        <v>0</v>
      </c>
      <c r="BK315" s="26">
        <f t="shared" si="478"/>
        <v>0</v>
      </c>
    </row>
    <row r="316" spans="1:63" x14ac:dyDescent="0.3">
      <c r="A316" s="196"/>
      <c r="B316" s="3455" t="s">
        <v>1655</v>
      </c>
      <c r="C316" s="3455" t="s">
        <v>894</v>
      </c>
      <c r="D316" s="3455"/>
      <c r="E316" s="6110"/>
      <c r="F316" s="2416">
        <v>33.78</v>
      </c>
      <c r="G316" s="6110"/>
      <c r="H316" s="2416"/>
      <c r="I316" s="6090"/>
      <c r="J316" s="775">
        <f t="shared" si="479"/>
        <v>33.78</v>
      </c>
      <c r="K316" s="6110"/>
      <c r="L316" s="2416">
        <v>1062.9100000000001</v>
      </c>
      <c r="M316" s="6054"/>
      <c r="N316" s="774">
        <f t="shared" si="480"/>
        <v>1096.69</v>
      </c>
      <c r="O316" s="6110"/>
      <c r="P316" s="2416">
        <v>41.68</v>
      </c>
      <c r="Q316" s="6090"/>
      <c r="R316" s="775">
        <f t="shared" si="481"/>
        <v>1138.3700000000001</v>
      </c>
      <c r="S316" s="6110"/>
      <c r="T316" s="2416">
        <v>749.45999999999992</v>
      </c>
      <c r="U316" s="6090"/>
      <c r="V316" s="775">
        <f t="shared" si="482"/>
        <v>1887.83</v>
      </c>
      <c r="W316" s="6110"/>
      <c r="X316" s="2416">
        <v>320.70999999999998</v>
      </c>
      <c r="Y316" s="6054"/>
      <c r="Z316" s="774">
        <f t="shared" si="483"/>
        <v>1111.8499999999999</v>
      </c>
      <c r="AA316" s="6064"/>
      <c r="AB316" s="460">
        <f t="shared" si="484"/>
        <v>2208.54</v>
      </c>
      <c r="AC316" s="6110"/>
      <c r="AD316" s="2416">
        <v>334.22</v>
      </c>
      <c r="AE316" s="6090"/>
      <c r="AF316" s="775">
        <f t="shared" si="485"/>
        <v>2542.7600000000002</v>
      </c>
      <c r="AG316" s="6110"/>
      <c r="AH316" s="2416"/>
      <c r="AI316" s="6120"/>
      <c r="AJ316" s="775">
        <f t="shared" si="512"/>
        <v>2542.7600000000002</v>
      </c>
      <c r="AK316" s="6110"/>
      <c r="AL316" s="2416">
        <v>545.11</v>
      </c>
      <c r="AM316" s="6054"/>
      <c r="AN316" s="774">
        <f t="shared" si="513"/>
        <v>879.33</v>
      </c>
      <c r="AO316" s="6090"/>
      <c r="AP316" s="775">
        <f t="shared" si="514"/>
        <v>3087.8700000000003</v>
      </c>
      <c r="AQ316" s="6110"/>
      <c r="AR316" s="2416"/>
      <c r="AS316" s="6120"/>
      <c r="AT316" s="775">
        <f t="shared" si="454"/>
        <v>3087.8700000000003</v>
      </c>
      <c r="AU316" s="6110"/>
      <c r="AV316" s="2416"/>
      <c r="AW316" s="6120"/>
      <c r="AX316" s="775">
        <f t="shared" si="515"/>
        <v>3087.8700000000003</v>
      </c>
      <c r="AY316" s="6110"/>
      <c r="AZ316" s="2416"/>
      <c r="BA316" s="6054"/>
      <c r="BB316" s="774">
        <f t="shared" si="516"/>
        <v>0</v>
      </c>
      <c r="BC316" s="6064"/>
      <c r="BD316" s="460">
        <f t="shared" si="517"/>
        <v>879.33</v>
      </c>
      <c r="BE316" s="6120"/>
      <c r="BF316" s="775">
        <f t="shared" si="518"/>
        <v>3087.8700000000003</v>
      </c>
      <c r="BG316" s="26">
        <f t="shared" si="475"/>
        <v>0</v>
      </c>
      <c r="BH316" s="26">
        <f t="shared" si="476"/>
        <v>0</v>
      </c>
      <c r="BI316" s="26"/>
      <c r="BJ316" s="26">
        <f t="shared" si="477"/>
        <v>0</v>
      </c>
      <c r="BK316" s="26">
        <f t="shared" si="478"/>
        <v>0</v>
      </c>
    </row>
    <row r="317" spans="1:63" x14ac:dyDescent="0.3">
      <c r="A317" s="196"/>
      <c r="B317" s="3472" t="s">
        <v>1187</v>
      </c>
      <c r="C317" s="3422" t="s">
        <v>894</v>
      </c>
      <c r="D317" s="3422"/>
      <c r="E317" s="6106"/>
      <c r="F317" s="1185">
        <v>547.42999999999995</v>
      </c>
      <c r="G317" s="6106"/>
      <c r="H317" s="1185">
        <v>1131.1100000000001</v>
      </c>
      <c r="I317" s="6086"/>
      <c r="J317" s="775">
        <f t="shared" si="479"/>
        <v>1678.54</v>
      </c>
      <c r="K317" s="6106"/>
      <c r="L317" s="1185">
        <v>885.1400000000001</v>
      </c>
      <c r="M317" s="6050"/>
      <c r="N317" s="774">
        <f t="shared" si="480"/>
        <v>2563.6800000000003</v>
      </c>
      <c r="O317" s="6106"/>
      <c r="P317" s="1185">
        <v>225.07</v>
      </c>
      <c r="Q317" s="6086"/>
      <c r="R317" s="775">
        <f t="shared" si="481"/>
        <v>2788.7500000000005</v>
      </c>
      <c r="S317" s="6106"/>
      <c r="T317" s="1185">
        <v>305.78000000000003</v>
      </c>
      <c r="U317" s="6086"/>
      <c r="V317" s="775">
        <f t="shared" si="482"/>
        <v>3094.5300000000007</v>
      </c>
      <c r="W317" s="6106"/>
      <c r="X317" s="1185">
        <v>311.08</v>
      </c>
      <c r="Y317" s="6050"/>
      <c r="Z317" s="774">
        <f t="shared" si="483"/>
        <v>841.93000000000006</v>
      </c>
      <c r="AA317" s="6060"/>
      <c r="AB317" s="460">
        <f t="shared" si="484"/>
        <v>3405.6100000000006</v>
      </c>
      <c r="AC317" s="6106"/>
      <c r="AD317" s="1185">
        <v>64.86</v>
      </c>
      <c r="AE317" s="6086"/>
      <c r="AF317" s="775">
        <f t="shared" si="485"/>
        <v>3470.4700000000007</v>
      </c>
      <c r="AG317" s="6106"/>
      <c r="AH317" s="1185">
        <v>1364.46</v>
      </c>
      <c r="AI317" s="6120"/>
      <c r="AJ317" s="775">
        <f t="shared" si="512"/>
        <v>4834.93</v>
      </c>
      <c r="AK317" s="6106"/>
      <c r="AL317" s="1185"/>
      <c r="AM317" s="6050"/>
      <c r="AN317" s="774">
        <f t="shared" si="513"/>
        <v>1429.32</v>
      </c>
      <c r="AO317" s="6086"/>
      <c r="AP317" s="775">
        <f t="shared" si="514"/>
        <v>4834.93</v>
      </c>
      <c r="AQ317" s="6106"/>
      <c r="AR317" s="1185">
        <v>1400.8600000000001</v>
      </c>
      <c r="AS317" s="6120"/>
      <c r="AT317" s="775">
        <f t="shared" si="454"/>
        <v>6235.7900000000009</v>
      </c>
      <c r="AU317" s="6106"/>
      <c r="AV317" s="1185">
        <v>1924.33</v>
      </c>
      <c r="AW317" s="6120"/>
      <c r="AX317" s="775">
        <f t="shared" si="515"/>
        <v>8160.1200000000008</v>
      </c>
      <c r="AY317" s="6106"/>
      <c r="AZ317" s="1185">
        <v>2164.2599999999998</v>
      </c>
      <c r="BA317" s="6050"/>
      <c r="BB317" s="774">
        <f t="shared" si="516"/>
        <v>5489.45</v>
      </c>
      <c r="BC317" s="6060"/>
      <c r="BD317" s="460">
        <f t="shared" si="517"/>
        <v>6918.7699999999995</v>
      </c>
      <c r="BE317" s="6120"/>
      <c r="BF317" s="775">
        <f t="shared" si="518"/>
        <v>10324.380000000001</v>
      </c>
      <c r="BG317" s="26">
        <f t="shared" si="475"/>
        <v>0</v>
      </c>
      <c r="BH317" s="26">
        <f t="shared" si="476"/>
        <v>0</v>
      </c>
      <c r="BI317" s="26"/>
      <c r="BJ317" s="26">
        <f t="shared" si="477"/>
        <v>0</v>
      </c>
      <c r="BK317" s="26">
        <f t="shared" si="478"/>
        <v>0</v>
      </c>
    </row>
    <row r="318" spans="1:63" x14ac:dyDescent="0.3">
      <c r="A318" s="196"/>
      <c r="B318" s="4891" t="s">
        <v>1187</v>
      </c>
      <c r="C318" s="4893" t="s">
        <v>2051</v>
      </c>
      <c r="D318" s="4893"/>
      <c r="E318" s="6109"/>
      <c r="F318" s="4894"/>
      <c r="G318" s="6109"/>
      <c r="H318" s="4894"/>
      <c r="I318" s="6089"/>
      <c r="J318" s="775">
        <f t="shared" si="479"/>
        <v>0</v>
      </c>
      <c r="K318" s="6109"/>
      <c r="L318" s="4894"/>
      <c r="M318" s="6053"/>
      <c r="N318" s="774">
        <f t="shared" si="480"/>
        <v>0</v>
      </c>
      <c r="O318" s="6109"/>
      <c r="P318" s="4894">
        <v>758.98</v>
      </c>
      <c r="Q318" s="6089"/>
      <c r="R318" s="775">
        <f t="shared" si="481"/>
        <v>758.98</v>
      </c>
      <c r="S318" s="6109"/>
      <c r="T318" s="4894"/>
      <c r="U318" s="6089"/>
      <c r="V318" s="775">
        <f t="shared" si="482"/>
        <v>758.98</v>
      </c>
      <c r="W318" s="6109"/>
      <c r="X318" s="4894">
        <v>635.87999999999988</v>
      </c>
      <c r="Y318" s="6053"/>
      <c r="Z318" s="774">
        <f t="shared" si="483"/>
        <v>1394.86</v>
      </c>
      <c r="AA318" s="6063"/>
      <c r="AB318" s="460">
        <f t="shared" si="484"/>
        <v>1394.86</v>
      </c>
      <c r="AC318" s="6109"/>
      <c r="AD318" s="4894"/>
      <c r="AE318" s="6089"/>
      <c r="AF318" s="775">
        <f t="shared" si="485"/>
        <v>1394.86</v>
      </c>
      <c r="AG318" s="6109"/>
      <c r="AH318" s="4894"/>
      <c r="AI318" s="6120"/>
      <c r="AJ318" s="775">
        <f t="shared" si="512"/>
        <v>1394.86</v>
      </c>
      <c r="AK318" s="6109"/>
      <c r="AL318" s="4894"/>
      <c r="AM318" s="6053"/>
      <c r="AN318" s="774">
        <f t="shared" si="513"/>
        <v>0</v>
      </c>
      <c r="AO318" s="6089"/>
      <c r="AP318" s="775">
        <f t="shared" si="514"/>
        <v>1394.86</v>
      </c>
      <c r="AQ318" s="6109"/>
      <c r="AR318" s="4894"/>
      <c r="AS318" s="6120"/>
      <c r="AT318" s="4843">
        <f t="shared" si="454"/>
        <v>1394.86</v>
      </c>
      <c r="AU318" s="6109"/>
      <c r="AV318" s="4894"/>
      <c r="AW318" s="6120"/>
      <c r="AX318" s="775">
        <f t="shared" si="515"/>
        <v>1394.86</v>
      </c>
      <c r="AY318" s="6109"/>
      <c r="AZ318" s="4894"/>
      <c r="BA318" s="6053"/>
      <c r="BB318" s="774">
        <f t="shared" si="516"/>
        <v>0</v>
      </c>
      <c r="BC318" s="6063"/>
      <c r="BD318" s="460">
        <f t="shared" si="517"/>
        <v>0</v>
      </c>
      <c r="BE318" s="6120"/>
      <c r="BF318" s="775">
        <f t="shared" si="518"/>
        <v>1394.86</v>
      </c>
      <c r="BG318" s="26">
        <f t="shared" si="475"/>
        <v>0</v>
      </c>
      <c r="BH318" s="26">
        <f t="shared" si="476"/>
        <v>0</v>
      </c>
      <c r="BI318" s="26"/>
      <c r="BJ318" s="26">
        <f t="shared" si="477"/>
        <v>0</v>
      </c>
      <c r="BK318" s="26">
        <f t="shared" si="478"/>
        <v>0</v>
      </c>
    </row>
    <row r="319" spans="1:63" x14ac:dyDescent="0.3">
      <c r="A319" s="196"/>
      <c r="B319" s="3472" t="s">
        <v>1298</v>
      </c>
      <c r="C319" s="3422" t="s">
        <v>1297</v>
      </c>
      <c r="D319" s="3422"/>
      <c r="E319" s="6106"/>
      <c r="F319" s="1185">
        <v>1133.94</v>
      </c>
      <c r="G319" s="6106"/>
      <c r="H319" s="1185">
        <v>178.74</v>
      </c>
      <c r="I319" s="6086"/>
      <c r="J319" s="775">
        <f t="shared" si="479"/>
        <v>1312.68</v>
      </c>
      <c r="K319" s="6106"/>
      <c r="L319" s="1185">
        <v>701.65000000000009</v>
      </c>
      <c r="M319" s="6050"/>
      <c r="N319" s="774">
        <f t="shared" si="480"/>
        <v>2014.3300000000002</v>
      </c>
      <c r="O319" s="6106"/>
      <c r="P319" s="1185">
        <v>516.93000000000006</v>
      </c>
      <c r="Q319" s="6086"/>
      <c r="R319" s="775">
        <f t="shared" si="481"/>
        <v>2531.2600000000002</v>
      </c>
      <c r="S319" s="6106"/>
      <c r="T319" s="1185">
        <v>221.07</v>
      </c>
      <c r="U319" s="6086"/>
      <c r="V319" s="775">
        <f t="shared" si="482"/>
        <v>2752.3300000000004</v>
      </c>
      <c r="W319" s="6106"/>
      <c r="X319" s="1185">
        <v>290.77</v>
      </c>
      <c r="Y319" s="6050"/>
      <c r="Z319" s="774">
        <f t="shared" si="483"/>
        <v>1028.77</v>
      </c>
      <c r="AA319" s="6060"/>
      <c r="AB319" s="460">
        <f t="shared" si="484"/>
        <v>3043.1000000000004</v>
      </c>
      <c r="AC319" s="6106"/>
      <c r="AD319" s="1185">
        <v>375.49</v>
      </c>
      <c r="AE319" s="6086"/>
      <c r="AF319" s="775">
        <f t="shared" si="485"/>
        <v>3418.59</v>
      </c>
      <c r="AG319" s="6106"/>
      <c r="AH319" s="1185">
        <v>1012.8799999999999</v>
      </c>
      <c r="AI319" s="6120"/>
      <c r="AJ319" s="775">
        <f t="shared" si="512"/>
        <v>4431.47</v>
      </c>
      <c r="AK319" s="6106"/>
      <c r="AL319" s="1185">
        <v>499.6</v>
      </c>
      <c r="AM319" s="6050"/>
      <c r="AN319" s="774">
        <f t="shared" si="513"/>
        <v>1887.9699999999998</v>
      </c>
      <c r="AO319" s="6086"/>
      <c r="AP319" s="775">
        <f t="shared" si="514"/>
        <v>4931.0700000000006</v>
      </c>
      <c r="AQ319" s="6106"/>
      <c r="AR319" s="1185">
        <v>737.13999999999987</v>
      </c>
      <c r="AS319" s="6120"/>
      <c r="AT319" s="775">
        <f t="shared" si="454"/>
        <v>5668.2100000000009</v>
      </c>
      <c r="AU319" s="6106"/>
      <c r="AV319" s="1185">
        <v>555.59</v>
      </c>
      <c r="AW319" s="6120"/>
      <c r="AX319" s="775">
        <f t="shared" si="515"/>
        <v>6223.8000000000011</v>
      </c>
      <c r="AY319" s="6106"/>
      <c r="AZ319" s="1185">
        <v>1151.038</v>
      </c>
      <c r="BA319" s="6050"/>
      <c r="BB319" s="774">
        <f t="shared" si="516"/>
        <v>2443.768</v>
      </c>
      <c r="BC319" s="6060"/>
      <c r="BD319" s="460">
        <f t="shared" si="517"/>
        <v>4331.7379999999994</v>
      </c>
      <c r="BE319" s="6120"/>
      <c r="BF319" s="775">
        <f t="shared" si="518"/>
        <v>7374.8380000000016</v>
      </c>
      <c r="BG319" s="26">
        <f t="shared" si="475"/>
        <v>0</v>
      </c>
      <c r="BH319" s="26">
        <f t="shared" si="476"/>
        <v>0</v>
      </c>
      <c r="BI319" s="26"/>
      <c r="BJ319" s="26">
        <f t="shared" si="477"/>
        <v>0</v>
      </c>
      <c r="BK319" s="26">
        <f t="shared" si="478"/>
        <v>0</v>
      </c>
    </row>
    <row r="320" spans="1:63" x14ac:dyDescent="0.3">
      <c r="A320" s="196"/>
      <c r="B320" s="4891" t="s">
        <v>1298</v>
      </c>
      <c r="C320" s="4893" t="s">
        <v>2051</v>
      </c>
      <c r="D320" s="4893"/>
      <c r="E320" s="6109"/>
      <c r="F320" s="4894"/>
      <c r="G320" s="6109"/>
      <c r="H320" s="4894"/>
      <c r="I320" s="6089"/>
      <c r="J320" s="775">
        <f t="shared" si="479"/>
        <v>0</v>
      </c>
      <c r="K320" s="6109"/>
      <c r="L320" s="4894"/>
      <c r="M320" s="6053"/>
      <c r="N320" s="774">
        <f t="shared" si="480"/>
        <v>0</v>
      </c>
      <c r="O320" s="6109"/>
      <c r="P320" s="4894">
        <v>776.49999999999989</v>
      </c>
      <c r="Q320" s="6089"/>
      <c r="R320" s="775">
        <f t="shared" si="481"/>
        <v>776.49999999999989</v>
      </c>
      <c r="S320" s="6109"/>
      <c r="T320" s="4894"/>
      <c r="U320" s="6089"/>
      <c r="V320" s="775">
        <f t="shared" si="482"/>
        <v>776.49999999999989</v>
      </c>
      <c r="W320" s="6109"/>
      <c r="X320" s="4894">
        <v>444.9</v>
      </c>
      <c r="Y320" s="6053"/>
      <c r="Z320" s="774">
        <f t="shared" si="483"/>
        <v>1221.3999999999999</v>
      </c>
      <c r="AA320" s="6063"/>
      <c r="AB320" s="460">
        <f t="shared" si="484"/>
        <v>1221.3999999999999</v>
      </c>
      <c r="AC320" s="6109"/>
      <c r="AD320" s="4894"/>
      <c r="AE320" s="6089"/>
      <c r="AF320" s="775">
        <f t="shared" si="485"/>
        <v>1221.3999999999999</v>
      </c>
      <c r="AG320" s="6109"/>
      <c r="AH320" s="4894">
        <v>126.64</v>
      </c>
      <c r="AI320" s="6120"/>
      <c r="AJ320" s="775">
        <f t="shared" si="512"/>
        <v>1348.04</v>
      </c>
      <c r="AK320" s="6109"/>
      <c r="AL320" s="4894"/>
      <c r="AM320" s="6053"/>
      <c r="AN320" s="774">
        <f t="shared" si="513"/>
        <v>126.64</v>
      </c>
      <c r="AO320" s="6089"/>
      <c r="AP320" s="775">
        <f t="shared" si="514"/>
        <v>1348.04</v>
      </c>
      <c r="AQ320" s="6109"/>
      <c r="AR320" s="4894"/>
      <c r="AS320" s="6120"/>
      <c r="AT320" s="4843">
        <f t="shared" si="454"/>
        <v>1348.04</v>
      </c>
      <c r="AU320" s="6109"/>
      <c r="AV320" s="4894"/>
      <c r="AW320" s="6120"/>
      <c r="AX320" s="775">
        <f t="shared" si="515"/>
        <v>1348.04</v>
      </c>
      <c r="AY320" s="6109"/>
      <c r="AZ320" s="4894"/>
      <c r="BA320" s="6053"/>
      <c r="BB320" s="774">
        <f t="shared" si="516"/>
        <v>0</v>
      </c>
      <c r="BC320" s="6063"/>
      <c r="BD320" s="460">
        <f t="shared" si="517"/>
        <v>126.64</v>
      </c>
      <c r="BE320" s="6120"/>
      <c r="BF320" s="775">
        <f t="shared" si="518"/>
        <v>1348.04</v>
      </c>
      <c r="BG320" s="26">
        <f t="shared" si="475"/>
        <v>0</v>
      </c>
      <c r="BH320" s="26">
        <f t="shared" si="476"/>
        <v>0</v>
      </c>
      <c r="BI320" s="26"/>
      <c r="BJ320" s="26">
        <f t="shared" si="477"/>
        <v>0</v>
      </c>
      <c r="BK320" s="26">
        <f t="shared" si="478"/>
        <v>0</v>
      </c>
    </row>
    <row r="321" spans="1:63" x14ac:dyDescent="0.3">
      <c r="A321" s="196"/>
      <c r="B321" s="3472" t="s">
        <v>1590</v>
      </c>
      <c r="C321" s="3422" t="s">
        <v>1297</v>
      </c>
      <c r="D321" s="3422"/>
      <c r="E321" s="6106"/>
      <c r="F321" s="1185"/>
      <c r="G321" s="6106"/>
      <c r="H321" s="1185"/>
      <c r="I321" s="6086"/>
      <c r="J321" s="775">
        <f t="shared" si="479"/>
        <v>0</v>
      </c>
      <c r="K321" s="6106"/>
      <c r="L321" s="1185"/>
      <c r="M321" s="6050"/>
      <c r="N321" s="774">
        <f t="shared" si="480"/>
        <v>0</v>
      </c>
      <c r="O321" s="6106"/>
      <c r="P321" s="1185"/>
      <c r="Q321" s="6086"/>
      <c r="R321" s="775">
        <f t="shared" si="481"/>
        <v>0</v>
      </c>
      <c r="S321" s="6106"/>
      <c r="T321" s="1185"/>
      <c r="U321" s="6086"/>
      <c r="V321" s="775">
        <f t="shared" si="482"/>
        <v>0</v>
      </c>
      <c r="W321" s="6106"/>
      <c r="X321" s="1185"/>
      <c r="Y321" s="6050"/>
      <c r="Z321" s="774">
        <f t="shared" si="483"/>
        <v>0</v>
      </c>
      <c r="AA321" s="6060"/>
      <c r="AB321" s="460">
        <f t="shared" si="484"/>
        <v>0</v>
      </c>
      <c r="AC321" s="6106"/>
      <c r="AD321" s="1185"/>
      <c r="AE321" s="6086"/>
      <c r="AF321" s="775">
        <f t="shared" si="485"/>
        <v>0</v>
      </c>
      <c r="AG321" s="6106"/>
      <c r="AH321" s="1185"/>
      <c r="AI321" s="6120"/>
      <c r="AJ321" s="775">
        <f t="shared" si="512"/>
        <v>0</v>
      </c>
      <c r="AK321" s="6106"/>
      <c r="AL321" s="1185"/>
      <c r="AM321" s="6050"/>
      <c r="AN321" s="774">
        <f t="shared" si="513"/>
        <v>0</v>
      </c>
      <c r="AO321" s="6086"/>
      <c r="AP321" s="775">
        <f t="shared" si="514"/>
        <v>0</v>
      </c>
      <c r="AQ321" s="6106"/>
      <c r="AR321" s="1185"/>
      <c r="AS321" s="6120"/>
      <c r="AT321" s="775">
        <f t="shared" si="454"/>
        <v>0</v>
      </c>
      <c r="AU321" s="6106"/>
      <c r="AV321" s="1185"/>
      <c r="AW321" s="6120"/>
      <c r="AX321" s="775">
        <f t="shared" si="515"/>
        <v>0</v>
      </c>
      <c r="AY321" s="6106"/>
      <c r="AZ321" s="1185"/>
      <c r="BA321" s="6050"/>
      <c r="BB321" s="774">
        <f t="shared" si="516"/>
        <v>0</v>
      </c>
      <c r="BC321" s="6060"/>
      <c r="BD321" s="460">
        <f t="shared" si="517"/>
        <v>0</v>
      </c>
      <c r="BE321" s="6120"/>
      <c r="BF321" s="775">
        <f t="shared" si="518"/>
        <v>0</v>
      </c>
      <c r="BG321" s="26">
        <f t="shared" si="475"/>
        <v>0</v>
      </c>
      <c r="BH321" s="26">
        <f t="shared" si="476"/>
        <v>0</v>
      </c>
      <c r="BI321" s="26"/>
      <c r="BJ321" s="26">
        <f t="shared" si="477"/>
        <v>0</v>
      </c>
      <c r="BK321" s="26">
        <f t="shared" si="478"/>
        <v>0</v>
      </c>
    </row>
    <row r="322" spans="1:63" x14ac:dyDescent="0.3">
      <c r="A322" s="196"/>
      <c r="B322" s="3472" t="s">
        <v>880</v>
      </c>
      <c r="C322" s="3422" t="s">
        <v>1789</v>
      </c>
      <c r="D322" s="3422"/>
      <c r="E322" s="6106"/>
      <c r="F322" s="1185"/>
      <c r="G322" s="6106"/>
      <c r="H322" s="1185">
        <v>128.36000000000001</v>
      </c>
      <c r="I322" s="6086"/>
      <c r="J322" s="775">
        <f t="shared" si="479"/>
        <v>128.36000000000001</v>
      </c>
      <c r="K322" s="6106"/>
      <c r="L322" s="1185"/>
      <c r="M322" s="6050"/>
      <c r="N322" s="774">
        <f t="shared" si="480"/>
        <v>128.36000000000001</v>
      </c>
      <c r="O322" s="6106"/>
      <c r="P322" s="1185"/>
      <c r="Q322" s="6086"/>
      <c r="R322" s="775">
        <f t="shared" si="481"/>
        <v>128.36000000000001</v>
      </c>
      <c r="S322" s="6106"/>
      <c r="T322" s="1185">
        <v>196.88</v>
      </c>
      <c r="U322" s="6086"/>
      <c r="V322" s="775">
        <f t="shared" si="482"/>
        <v>325.24</v>
      </c>
      <c r="W322" s="6106"/>
      <c r="X322" s="1185">
        <v>516.64</v>
      </c>
      <c r="Y322" s="6050"/>
      <c r="Z322" s="774">
        <f t="shared" si="483"/>
        <v>713.52</v>
      </c>
      <c r="AA322" s="6060"/>
      <c r="AB322" s="460">
        <f t="shared" si="484"/>
        <v>841.88</v>
      </c>
      <c r="AC322" s="6106"/>
      <c r="AD322" s="1185">
        <v>131.26</v>
      </c>
      <c r="AE322" s="6086"/>
      <c r="AF322" s="775">
        <f t="shared" si="485"/>
        <v>973.14</v>
      </c>
      <c r="AG322" s="6106"/>
      <c r="AH322" s="1185"/>
      <c r="AI322" s="6120"/>
      <c r="AJ322" s="775">
        <f t="shared" si="512"/>
        <v>973.14</v>
      </c>
      <c r="AK322" s="6106"/>
      <c r="AL322" s="1185"/>
      <c r="AM322" s="6050"/>
      <c r="AN322" s="774">
        <f t="shared" si="513"/>
        <v>131.26</v>
      </c>
      <c r="AO322" s="6086"/>
      <c r="AP322" s="775">
        <f t="shared" si="514"/>
        <v>973.14</v>
      </c>
      <c r="AQ322" s="6106"/>
      <c r="AR322" s="1185"/>
      <c r="AS322" s="6120"/>
      <c r="AT322" s="775">
        <f t="shared" si="454"/>
        <v>973.14</v>
      </c>
      <c r="AU322" s="6106"/>
      <c r="AV322" s="1185"/>
      <c r="AW322" s="6120"/>
      <c r="AX322" s="775">
        <f t="shared" si="515"/>
        <v>973.14</v>
      </c>
      <c r="AY322" s="6106"/>
      <c r="AZ322" s="1185"/>
      <c r="BA322" s="6050"/>
      <c r="BB322" s="774">
        <f t="shared" si="516"/>
        <v>0</v>
      </c>
      <c r="BC322" s="6060"/>
      <c r="BD322" s="460">
        <f t="shared" si="517"/>
        <v>131.26</v>
      </c>
      <c r="BE322" s="6120"/>
      <c r="BF322" s="775">
        <f t="shared" si="518"/>
        <v>973.14</v>
      </c>
      <c r="BG322" s="26">
        <f t="shared" si="475"/>
        <v>0</v>
      </c>
      <c r="BH322" s="26">
        <f t="shared" si="476"/>
        <v>0</v>
      </c>
      <c r="BI322" s="26"/>
      <c r="BJ322" s="26">
        <f t="shared" si="477"/>
        <v>0</v>
      </c>
      <c r="BK322" s="26">
        <f t="shared" si="478"/>
        <v>0</v>
      </c>
    </row>
    <row r="323" spans="1:63" x14ac:dyDescent="0.3">
      <c r="A323" s="196"/>
      <c r="B323" s="3472" t="s">
        <v>880</v>
      </c>
      <c r="C323" s="3422" t="s">
        <v>1862</v>
      </c>
      <c r="D323" s="3422"/>
      <c r="E323" s="6106"/>
      <c r="F323" s="1185"/>
      <c r="G323" s="6106"/>
      <c r="H323" s="1185">
        <v>353.88</v>
      </c>
      <c r="I323" s="6086"/>
      <c r="J323" s="775">
        <f t="shared" si="479"/>
        <v>353.88</v>
      </c>
      <c r="K323" s="6106"/>
      <c r="L323" s="1185"/>
      <c r="M323" s="6050"/>
      <c r="N323" s="774">
        <f t="shared" si="480"/>
        <v>353.88</v>
      </c>
      <c r="O323" s="6106"/>
      <c r="P323" s="1185">
        <v>849.06999999999994</v>
      </c>
      <c r="Q323" s="6086"/>
      <c r="R323" s="775">
        <f t="shared" si="481"/>
        <v>1202.9499999999998</v>
      </c>
      <c r="S323" s="6106"/>
      <c r="T323" s="1185">
        <v>424.89</v>
      </c>
      <c r="U323" s="6086"/>
      <c r="V323" s="775">
        <f t="shared" si="482"/>
        <v>1627.8399999999997</v>
      </c>
      <c r="W323" s="6106"/>
      <c r="X323" s="1185">
        <v>1542.91</v>
      </c>
      <c r="Y323" s="6050"/>
      <c r="Z323" s="774">
        <f t="shared" si="483"/>
        <v>2816.87</v>
      </c>
      <c r="AA323" s="6060"/>
      <c r="AB323" s="460">
        <f t="shared" si="484"/>
        <v>3170.75</v>
      </c>
      <c r="AC323" s="6106"/>
      <c r="AD323" s="1185">
        <v>397.28</v>
      </c>
      <c r="AE323" s="6086"/>
      <c r="AF323" s="775">
        <f t="shared" si="485"/>
        <v>3568.0299999999997</v>
      </c>
      <c r="AG323" s="6106"/>
      <c r="AH323" s="1185">
        <v>524.9</v>
      </c>
      <c r="AI323" s="6120"/>
      <c r="AJ323" s="775">
        <f t="shared" si="512"/>
        <v>4092.93</v>
      </c>
      <c r="AK323" s="6106"/>
      <c r="AL323" s="1185">
        <v>613.92399999999998</v>
      </c>
      <c r="AM323" s="6050"/>
      <c r="AN323" s="774">
        <f t="shared" si="513"/>
        <v>1536.1039999999998</v>
      </c>
      <c r="AO323" s="6086"/>
      <c r="AP323" s="775">
        <f t="shared" si="514"/>
        <v>4706.8539999999994</v>
      </c>
      <c r="AQ323" s="6106"/>
      <c r="AR323" s="1185">
        <v>257.3</v>
      </c>
      <c r="AS323" s="6120"/>
      <c r="AT323" s="775">
        <f t="shared" si="454"/>
        <v>4964.1539999999995</v>
      </c>
      <c r="AU323" s="6106"/>
      <c r="AV323" s="1185">
        <v>65.260000000000005</v>
      </c>
      <c r="AW323" s="6120"/>
      <c r="AX323" s="775">
        <f t="shared" si="515"/>
        <v>5029.4139999999998</v>
      </c>
      <c r="AY323" s="6106"/>
      <c r="AZ323" s="1185"/>
      <c r="BA323" s="6050"/>
      <c r="BB323" s="774">
        <f t="shared" si="516"/>
        <v>322.56</v>
      </c>
      <c r="BC323" s="6060"/>
      <c r="BD323" s="460">
        <f t="shared" si="517"/>
        <v>1858.6639999999998</v>
      </c>
      <c r="BE323" s="6120"/>
      <c r="BF323" s="775">
        <f t="shared" si="518"/>
        <v>5029.4139999999998</v>
      </c>
      <c r="BG323" s="26">
        <f t="shared" si="475"/>
        <v>0</v>
      </c>
      <c r="BH323" s="26">
        <f t="shared" si="476"/>
        <v>0</v>
      </c>
      <c r="BI323" s="26"/>
      <c r="BJ323" s="26">
        <f t="shared" si="477"/>
        <v>0</v>
      </c>
      <c r="BK323" s="26">
        <f t="shared" si="478"/>
        <v>0</v>
      </c>
    </row>
    <row r="324" spans="1:63" x14ac:dyDescent="0.3">
      <c r="A324" s="196"/>
      <c r="B324" s="3472" t="s">
        <v>880</v>
      </c>
      <c r="C324" s="3422" t="s">
        <v>888</v>
      </c>
      <c r="D324" s="3422"/>
      <c r="E324" s="6106"/>
      <c r="F324" s="1185">
        <v>2731.0299999999997</v>
      </c>
      <c r="G324" s="6106"/>
      <c r="H324" s="1185">
        <v>5850.84</v>
      </c>
      <c r="I324" s="6086"/>
      <c r="J324" s="775">
        <f t="shared" si="479"/>
        <v>8581.869999999999</v>
      </c>
      <c r="K324" s="6106"/>
      <c r="L324" s="1185">
        <v>3031.92</v>
      </c>
      <c r="M324" s="6050"/>
      <c r="N324" s="774">
        <f t="shared" si="480"/>
        <v>11613.789999999999</v>
      </c>
      <c r="O324" s="6106"/>
      <c r="P324" s="1185">
        <v>4260.8999999999996</v>
      </c>
      <c r="Q324" s="6086"/>
      <c r="R324" s="775">
        <f t="shared" si="481"/>
        <v>15874.689999999999</v>
      </c>
      <c r="S324" s="6106"/>
      <c r="T324" s="1185">
        <v>2532.96</v>
      </c>
      <c r="U324" s="6086"/>
      <c r="V324" s="775">
        <f t="shared" si="482"/>
        <v>18407.649999999998</v>
      </c>
      <c r="W324" s="6106"/>
      <c r="X324" s="1185">
        <v>2181.5300000000002</v>
      </c>
      <c r="Y324" s="6050"/>
      <c r="Z324" s="774">
        <f t="shared" si="483"/>
        <v>8975.39</v>
      </c>
      <c r="AA324" s="6060"/>
      <c r="AB324" s="460">
        <f t="shared" si="484"/>
        <v>20589.18</v>
      </c>
      <c r="AC324" s="6106"/>
      <c r="AD324" s="1185">
        <v>1906.4900000000002</v>
      </c>
      <c r="AE324" s="6086"/>
      <c r="AF324" s="775">
        <f t="shared" si="485"/>
        <v>22495.670000000002</v>
      </c>
      <c r="AG324" s="6106"/>
      <c r="AH324" s="1185">
        <v>3652.61</v>
      </c>
      <c r="AI324" s="6120"/>
      <c r="AJ324" s="775">
        <f t="shared" si="512"/>
        <v>26148.280000000002</v>
      </c>
      <c r="AK324" s="6106"/>
      <c r="AL324" s="1185">
        <v>5613.4429999999993</v>
      </c>
      <c r="AM324" s="6050"/>
      <c r="AN324" s="774">
        <f t="shared" si="513"/>
        <v>11172.543</v>
      </c>
      <c r="AO324" s="6086"/>
      <c r="AP324" s="775">
        <f t="shared" si="514"/>
        <v>31761.723000000002</v>
      </c>
      <c r="AQ324" s="6106"/>
      <c r="AR324" s="1185">
        <v>3514.8599999999997</v>
      </c>
      <c r="AS324" s="6120"/>
      <c r="AT324" s="775">
        <f t="shared" ref="AT324:AT388" si="519">AP324+AR324</f>
        <v>35276.582999999999</v>
      </c>
      <c r="AU324" s="6106"/>
      <c r="AV324" s="1185">
        <v>5484.25</v>
      </c>
      <c r="AW324" s="6120"/>
      <c r="AX324" s="775">
        <f t="shared" si="515"/>
        <v>40760.832999999999</v>
      </c>
      <c r="AY324" s="6106"/>
      <c r="AZ324" s="1185">
        <v>68.040000000000006</v>
      </c>
      <c r="BA324" s="6050"/>
      <c r="BB324" s="774">
        <f t="shared" si="516"/>
        <v>9067.1500000000015</v>
      </c>
      <c r="BC324" s="6060"/>
      <c r="BD324" s="460">
        <f t="shared" si="517"/>
        <v>20239.692999999999</v>
      </c>
      <c r="BE324" s="6120"/>
      <c r="BF324" s="775">
        <f t="shared" si="518"/>
        <v>40828.873</v>
      </c>
      <c r="BG324" s="26">
        <f t="shared" si="475"/>
        <v>0</v>
      </c>
      <c r="BH324" s="26">
        <f t="shared" si="476"/>
        <v>0</v>
      </c>
      <c r="BI324" s="26"/>
      <c r="BJ324" s="26">
        <f t="shared" si="477"/>
        <v>0</v>
      </c>
      <c r="BK324" s="26">
        <f t="shared" si="478"/>
        <v>0</v>
      </c>
    </row>
    <row r="325" spans="1:63" x14ac:dyDescent="0.3">
      <c r="A325" s="196"/>
      <c r="B325" s="3472" t="s">
        <v>880</v>
      </c>
      <c r="C325" s="3422" t="s">
        <v>887</v>
      </c>
      <c r="D325" s="3422"/>
      <c r="E325" s="6106"/>
      <c r="F325" s="1185">
        <v>513.47</v>
      </c>
      <c r="G325" s="6106"/>
      <c r="H325" s="1185">
        <v>349.44</v>
      </c>
      <c r="I325" s="6086"/>
      <c r="J325" s="775">
        <f t="shared" si="479"/>
        <v>862.91000000000008</v>
      </c>
      <c r="K325" s="6106"/>
      <c r="L325" s="1185">
        <v>58.78</v>
      </c>
      <c r="M325" s="6050"/>
      <c r="N325" s="774">
        <f t="shared" si="480"/>
        <v>921.69</v>
      </c>
      <c r="O325" s="6106"/>
      <c r="P325" s="1185">
        <v>734.57</v>
      </c>
      <c r="Q325" s="6086"/>
      <c r="R325" s="775">
        <f t="shared" si="481"/>
        <v>1656.2600000000002</v>
      </c>
      <c r="S325" s="6106"/>
      <c r="T325" s="1185">
        <v>472.59999999999997</v>
      </c>
      <c r="U325" s="6086"/>
      <c r="V325" s="775">
        <f t="shared" si="482"/>
        <v>2128.86</v>
      </c>
      <c r="W325" s="6106"/>
      <c r="X325" s="1185">
        <v>228.60000000000002</v>
      </c>
      <c r="Y325" s="6050"/>
      <c r="Z325" s="774">
        <f t="shared" si="483"/>
        <v>1435.77</v>
      </c>
      <c r="AA325" s="6060"/>
      <c r="AB325" s="460">
        <f t="shared" si="484"/>
        <v>2357.46</v>
      </c>
      <c r="AC325" s="6106"/>
      <c r="AD325" s="1185">
        <v>64.400000000000006</v>
      </c>
      <c r="AE325" s="6086"/>
      <c r="AF325" s="775">
        <f t="shared" si="485"/>
        <v>2421.86</v>
      </c>
      <c r="AG325" s="6106"/>
      <c r="AH325" s="1185">
        <v>673.78</v>
      </c>
      <c r="AI325" s="6120"/>
      <c r="AJ325" s="775">
        <f t="shared" si="512"/>
        <v>3095.6400000000003</v>
      </c>
      <c r="AK325" s="6106"/>
      <c r="AL325" s="1185">
        <v>300.24699999999996</v>
      </c>
      <c r="AM325" s="6050"/>
      <c r="AN325" s="774">
        <f t="shared" si="513"/>
        <v>1038.4269999999999</v>
      </c>
      <c r="AO325" s="6086"/>
      <c r="AP325" s="775">
        <f t="shared" si="514"/>
        <v>3395.8870000000002</v>
      </c>
      <c r="AQ325" s="6106"/>
      <c r="AR325" s="1185">
        <v>167.53</v>
      </c>
      <c r="AS325" s="6120"/>
      <c r="AT325" s="775">
        <f t="shared" si="519"/>
        <v>3563.4170000000004</v>
      </c>
      <c r="AU325" s="6106"/>
      <c r="AV325" s="1185">
        <v>128.32</v>
      </c>
      <c r="AW325" s="6120"/>
      <c r="AX325" s="775">
        <f t="shared" si="515"/>
        <v>3691.7370000000005</v>
      </c>
      <c r="AY325" s="6106"/>
      <c r="AZ325" s="1185">
        <v>6253.2300000000014</v>
      </c>
      <c r="BA325" s="6050"/>
      <c r="BB325" s="774">
        <f t="shared" si="516"/>
        <v>6549.0800000000017</v>
      </c>
      <c r="BC325" s="6060"/>
      <c r="BD325" s="460">
        <f t="shared" si="517"/>
        <v>7587.5070000000014</v>
      </c>
      <c r="BE325" s="6120"/>
      <c r="BF325" s="775">
        <f t="shared" si="518"/>
        <v>9944.9670000000024</v>
      </c>
      <c r="BG325" s="26">
        <f t="shared" si="475"/>
        <v>0</v>
      </c>
      <c r="BH325" s="26">
        <f t="shared" si="476"/>
        <v>0</v>
      </c>
      <c r="BI325" s="26"/>
      <c r="BJ325" s="26">
        <f t="shared" si="477"/>
        <v>0</v>
      </c>
      <c r="BK325" s="26">
        <f t="shared" si="478"/>
        <v>0</v>
      </c>
    </row>
    <row r="326" spans="1:63" x14ac:dyDescent="0.3">
      <c r="A326" s="196"/>
      <c r="B326" s="3472" t="s">
        <v>880</v>
      </c>
      <c r="C326" s="3422" t="s">
        <v>1779</v>
      </c>
      <c r="D326" s="3422"/>
      <c r="E326" s="6106"/>
      <c r="F326" s="1185">
        <v>104.92</v>
      </c>
      <c r="G326" s="6106"/>
      <c r="H326" s="1185">
        <v>478.81000000000006</v>
      </c>
      <c r="I326" s="6086"/>
      <c r="J326" s="775">
        <f t="shared" si="479"/>
        <v>583.73</v>
      </c>
      <c r="K326" s="6106"/>
      <c r="L326" s="1185">
        <v>126.32</v>
      </c>
      <c r="M326" s="6050"/>
      <c r="N326" s="774">
        <f t="shared" si="480"/>
        <v>710.05</v>
      </c>
      <c r="O326" s="6106"/>
      <c r="P326" s="1185">
        <v>158.66</v>
      </c>
      <c r="Q326" s="6086"/>
      <c r="R326" s="775">
        <f t="shared" si="481"/>
        <v>868.70999999999992</v>
      </c>
      <c r="S326" s="6106"/>
      <c r="T326" s="1185">
        <v>65.680000000000007</v>
      </c>
      <c r="U326" s="6086"/>
      <c r="V326" s="775">
        <f t="shared" si="482"/>
        <v>934.38999999999987</v>
      </c>
      <c r="W326" s="6106"/>
      <c r="X326" s="1185"/>
      <c r="Y326" s="6050"/>
      <c r="Z326" s="774">
        <f t="shared" si="483"/>
        <v>224.34</v>
      </c>
      <c r="AA326" s="6060"/>
      <c r="AB326" s="460">
        <f t="shared" si="484"/>
        <v>934.39</v>
      </c>
      <c r="AC326" s="6106"/>
      <c r="AD326" s="1185"/>
      <c r="AE326" s="6086"/>
      <c r="AF326" s="775">
        <f t="shared" si="485"/>
        <v>934.39</v>
      </c>
      <c r="AG326" s="6106"/>
      <c r="AH326" s="1185"/>
      <c r="AI326" s="6120"/>
      <c r="AJ326" s="775">
        <f t="shared" si="512"/>
        <v>934.39</v>
      </c>
      <c r="AK326" s="6106"/>
      <c r="AL326" s="1185">
        <v>230.25000000000003</v>
      </c>
      <c r="AM326" s="6050"/>
      <c r="AN326" s="774">
        <f t="shared" si="513"/>
        <v>230.25000000000003</v>
      </c>
      <c r="AO326" s="6086"/>
      <c r="AP326" s="775">
        <f t="shared" si="514"/>
        <v>1164.6400000000001</v>
      </c>
      <c r="AQ326" s="6106"/>
      <c r="AR326" s="1185">
        <v>340.78999999999996</v>
      </c>
      <c r="AS326" s="6120"/>
      <c r="AT326" s="775">
        <f t="shared" si="519"/>
        <v>1505.43</v>
      </c>
      <c r="AU326" s="6106"/>
      <c r="AV326" s="1185"/>
      <c r="AW326" s="6120"/>
      <c r="AX326" s="775">
        <f t="shared" si="515"/>
        <v>1505.43</v>
      </c>
      <c r="AY326" s="6106"/>
      <c r="AZ326" s="1185"/>
      <c r="BA326" s="6050"/>
      <c r="BB326" s="774">
        <f t="shared" si="516"/>
        <v>340.78999999999996</v>
      </c>
      <c r="BC326" s="6060"/>
      <c r="BD326" s="460">
        <f t="shared" si="517"/>
        <v>571.04</v>
      </c>
      <c r="BE326" s="6120"/>
      <c r="BF326" s="775">
        <f t="shared" si="518"/>
        <v>1505.43</v>
      </c>
      <c r="BG326" s="26">
        <f t="shared" si="475"/>
        <v>0</v>
      </c>
      <c r="BH326" s="26">
        <f t="shared" si="476"/>
        <v>0</v>
      </c>
      <c r="BI326" s="26"/>
      <c r="BJ326" s="26">
        <f t="shared" si="477"/>
        <v>0</v>
      </c>
      <c r="BK326" s="26">
        <f t="shared" si="478"/>
        <v>0</v>
      </c>
    </row>
    <row r="327" spans="1:63" x14ac:dyDescent="0.3">
      <c r="A327" s="196"/>
      <c r="B327" s="3476" t="s">
        <v>880</v>
      </c>
      <c r="C327" s="3505" t="s">
        <v>1780</v>
      </c>
      <c r="D327" s="3505"/>
      <c r="E327" s="6106"/>
      <c r="F327" s="1185">
        <v>596.51</v>
      </c>
      <c r="G327" s="6106"/>
      <c r="H327" s="1185">
        <v>913.68999999999994</v>
      </c>
      <c r="I327" s="6086"/>
      <c r="J327" s="775">
        <f t="shared" si="479"/>
        <v>1510.1999999999998</v>
      </c>
      <c r="K327" s="6106"/>
      <c r="L327" s="1185">
        <v>289.84000000000003</v>
      </c>
      <c r="M327" s="6050"/>
      <c r="N327" s="774">
        <f t="shared" si="480"/>
        <v>1800.04</v>
      </c>
      <c r="O327" s="6106"/>
      <c r="P327" s="1185">
        <v>647.90000000000009</v>
      </c>
      <c r="Q327" s="6086"/>
      <c r="R327" s="775">
        <f t="shared" si="481"/>
        <v>2447.94</v>
      </c>
      <c r="S327" s="6106"/>
      <c r="T327" s="1185">
        <v>737.03</v>
      </c>
      <c r="U327" s="6086"/>
      <c r="V327" s="775">
        <f t="shared" si="482"/>
        <v>3184.9700000000003</v>
      </c>
      <c r="W327" s="6106"/>
      <c r="X327" s="1185">
        <v>500.15</v>
      </c>
      <c r="Y327" s="6050"/>
      <c r="Z327" s="774">
        <f t="shared" si="483"/>
        <v>1885.08</v>
      </c>
      <c r="AA327" s="6060"/>
      <c r="AB327" s="460">
        <f t="shared" si="484"/>
        <v>3685.12</v>
      </c>
      <c r="AC327" s="6106"/>
      <c r="AD327" s="1185">
        <v>218.09</v>
      </c>
      <c r="AE327" s="6086"/>
      <c r="AF327" s="775">
        <f t="shared" si="485"/>
        <v>3903.21</v>
      </c>
      <c r="AG327" s="6106"/>
      <c r="AH327" s="1185">
        <v>808.04</v>
      </c>
      <c r="AI327" s="6120"/>
      <c r="AJ327" s="775">
        <f t="shared" si="512"/>
        <v>4711.25</v>
      </c>
      <c r="AK327" s="6106"/>
      <c r="AL327" s="1185">
        <v>1528.49</v>
      </c>
      <c r="AM327" s="6050"/>
      <c r="AN327" s="774">
        <f t="shared" si="513"/>
        <v>2554.62</v>
      </c>
      <c r="AO327" s="6086"/>
      <c r="AP327" s="775">
        <f t="shared" si="514"/>
        <v>6239.74</v>
      </c>
      <c r="AQ327" s="6106"/>
      <c r="AR327" s="1185">
        <v>1163.21</v>
      </c>
      <c r="AS327" s="6120"/>
      <c r="AT327" s="775">
        <f t="shared" si="519"/>
        <v>7402.95</v>
      </c>
      <c r="AU327" s="6106"/>
      <c r="AV327" s="1185">
        <v>867.01</v>
      </c>
      <c r="AW327" s="6120"/>
      <c r="AX327" s="775">
        <f t="shared" si="515"/>
        <v>8269.9599999999991</v>
      </c>
      <c r="AY327" s="6106"/>
      <c r="AZ327" s="1185">
        <v>739.90300000000002</v>
      </c>
      <c r="BA327" s="6050"/>
      <c r="BB327" s="774">
        <f t="shared" si="516"/>
        <v>2770.123</v>
      </c>
      <c r="BC327" s="6060"/>
      <c r="BD327" s="460">
        <f t="shared" si="517"/>
        <v>5324.7430000000004</v>
      </c>
      <c r="BE327" s="6120"/>
      <c r="BF327" s="775">
        <f t="shared" si="518"/>
        <v>9009.8629999999994</v>
      </c>
      <c r="BG327" s="26">
        <f t="shared" si="475"/>
        <v>0</v>
      </c>
      <c r="BH327" s="26">
        <f t="shared" si="476"/>
        <v>0</v>
      </c>
      <c r="BI327" s="26"/>
      <c r="BJ327" s="26">
        <f t="shared" si="477"/>
        <v>0</v>
      </c>
      <c r="BK327" s="26">
        <f t="shared" si="478"/>
        <v>0</v>
      </c>
    </row>
    <row r="328" spans="1:63" x14ac:dyDescent="0.3">
      <c r="A328" s="196"/>
      <c r="B328" s="3476" t="s">
        <v>1813</v>
      </c>
      <c r="C328" s="3435" t="s">
        <v>1812</v>
      </c>
      <c r="D328" s="3855"/>
      <c r="E328" s="6111"/>
      <c r="F328" s="2537"/>
      <c r="G328" s="6111"/>
      <c r="H328" s="2537">
        <v>310.14999999999998</v>
      </c>
      <c r="I328" s="6135"/>
      <c r="J328" s="775">
        <f t="shared" si="479"/>
        <v>310.14999999999998</v>
      </c>
      <c r="K328" s="6111"/>
      <c r="L328" s="2537"/>
      <c r="M328" s="6052"/>
      <c r="N328" s="774">
        <f t="shared" si="480"/>
        <v>310.14999999999998</v>
      </c>
      <c r="O328" s="6111"/>
      <c r="P328" s="2537"/>
      <c r="Q328" s="6088"/>
      <c r="R328" s="775">
        <f t="shared" si="481"/>
        <v>310.14999999999998</v>
      </c>
      <c r="S328" s="6111"/>
      <c r="T328" s="2537"/>
      <c r="U328" s="6088"/>
      <c r="V328" s="775">
        <f t="shared" si="482"/>
        <v>310.14999999999998</v>
      </c>
      <c r="W328" s="6111"/>
      <c r="X328" s="2537">
        <v>364.15</v>
      </c>
      <c r="Y328" s="6052"/>
      <c r="Z328" s="774">
        <f t="shared" si="483"/>
        <v>364.15</v>
      </c>
      <c r="AA328" s="6062"/>
      <c r="AB328" s="460">
        <f t="shared" si="484"/>
        <v>674.3</v>
      </c>
      <c r="AC328" s="6111"/>
      <c r="AD328" s="2537">
        <v>66.02</v>
      </c>
      <c r="AE328" s="6088"/>
      <c r="AF328" s="775">
        <f t="shared" si="485"/>
        <v>740.31999999999994</v>
      </c>
      <c r="AG328" s="6111"/>
      <c r="AH328" s="2537">
        <v>187.01</v>
      </c>
      <c r="AI328" s="6120"/>
      <c r="AJ328" s="775">
        <f t="shared" si="512"/>
        <v>927.32999999999993</v>
      </c>
      <c r="AK328" s="6111"/>
      <c r="AL328" s="2537">
        <v>264.37400000000002</v>
      </c>
      <c r="AM328" s="6052"/>
      <c r="AN328" s="774">
        <f t="shared" si="513"/>
        <v>517.404</v>
      </c>
      <c r="AO328" s="6088"/>
      <c r="AP328" s="775">
        <f t="shared" si="514"/>
        <v>1191.704</v>
      </c>
      <c r="AQ328" s="6111"/>
      <c r="AR328" s="2537"/>
      <c r="AS328" s="6120"/>
      <c r="AT328" s="775">
        <f t="shared" si="519"/>
        <v>1191.704</v>
      </c>
      <c r="AU328" s="6111"/>
      <c r="AV328" s="2537">
        <v>204.26</v>
      </c>
      <c r="AW328" s="6120"/>
      <c r="AX328" s="775">
        <f t="shared" si="515"/>
        <v>1395.9639999999999</v>
      </c>
      <c r="AY328" s="6111"/>
      <c r="AZ328" s="2537">
        <v>111.25</v>
      </c>
      <c r="BA328" s="6052"/>
      <c r="BB328" s="774">
        <f t="shared" si="516"/>
        <v>315.51</v>
      </c>
      <c r="BC328" s="6062"/>
      <c r="BD328" s="460">
        <f t="shared" si="517"/>
        <v>832.91399999999999</v>
      </c>
      <c r="BE328" s="6120"/>
      <c r="BF328" s="775">
        <f t="shared" si="518"/>
        <v>1507.2139999999999</v>
      </c>
      <c r="BG328" s="26">
        <f t="shared" si="475"/>
        <v>0</v>
      </c>
      <c r="BH328" s="26">
        <f t="shared" si="476"/>
        <v>0</v>
      </c>
      <c r="BI328" s="26"/>
      <c r="BJ328" s="26">
        <f t="shared" si="477"/>
        <v>0</v>
      </c>
      <c r="BK328" s="26">
        <f t="shared" si="478"/>
        <v>0</v>
      </c>
    </row>
    <row r="329" spans="1:63" x14ac:dyDescent="0.3">
      <c r="A329" s="196"/>
      <c r="B329" s="3476" t="s">
        <v>1813</v>
      </c>
      <c r="C329" s="3435" t="s">
        <v>1814</v>
      </c>
      <c r="D329" s="3855"/>
      <c r="E329" s="6111"/>
      <c r="F329" s="2537"/>
      <c r="G329" s="6111"/>
      <c r="H329" s="2537">
        <v>3373.38</v>
      </c>
      <c r="I329" s="6135"/>
      <c r="J329" s="775">
        <f t="shared" si="479"/>
        <v>3373.38</v>
      </c>
      <c r="K329" s="6111"/>
      <c r="L329" s="2537">
        <v>1831.25</v>
      </c>
      <c r="M329" s="6052"/>
      <c r="N329" s="774">
        <f t="shared" si="480"/>
        <v>5204.63</v>
      </c>
      <c r="O329" s="6111"/>
      <c r="P329" s="2537">
        <v>394.27</v>
      </c>
      <c r="Q329" s="6088"/>
      <c r="R329" s="775">
        <f t="shared" si="481"/>
        <v>5598.9</v>
      </c>
      <c r="S329" s="6111"/>
      <c r="T329" s="2537">
        <v>2858.48</v>
      </c>
      <c r="U329" s="6088"/>
      <c r="V329" s="775">
        <f t="shared" si="482"/>
        <v>8457.3799999999992</v>
      </c>
      <c r="W329" s="6111"/>
      <c r="X329" s="2537">
        <v>2223.29</v>
      </c>
      <c r="Y329" s="6052"/>
      <c r="Z329" s="774">
        <f t="shared" si="483"/>
        <v>5476.04</v>
      </c>
      <c r="AA329" s="6062"/>
      <c r="AB329" s="460">
        <f t="shared" si="484"/>
        <v>10680.67</v>
      </c>
      <c r="AC329" s="6111"/>
      <c r="AD329" s="2537">
        <v>348.81</v>
      </c>
      <c r="AE329" s="6088"/>
      <c r="AF329" s="775">
        <f t="shared" si="485"/>
        <v>11029.48</v>
      </c>
      <c r="AG329" s="6111"/>
      <c r="AH329" s="2537">
        <v>2312.3999999999996</v>
      </c>
      <c r="AI329" s="6120"/>
      <c r="AJ329" s="775">
        <f t="shared" si="512"/>
        <v>13341.88</v>
      </c>
      <c r="AK329" s="6111"/>
      <c r="AL329" s="2537">
        <v>2137.1170000000002</v>
      </c>
      <c r="AM329" s="6052"/>
      <c r="AN329" s="774">
        <f t="shared" si="513"/>
        <v>4798.3269999999993</v>
      </c>
      <c r="AO329" s="6088"/>
      <c r="AP329" s="775">
        <f t="shared" si="514"/>
        <v>15478.996999999999</v>
      </c>
      <c r="AQ329" s="6111"/>
      <c r="AR329" s="2537">
        <v>2717.59</v>
      </c>
      <c r="AS329" s="6120"/>
      <c r="AT329" s="775">
        <f t="shared" si="519"/>
        <v>18196.587</v>
      </c>
      <c r="AU329" s="6111"/>
      <c r="AV329" s="2537">
        <v>2959.45</v>
      </c>
      <c r="AW329" s="6120"/>
      <c r="AX329" s="775">
        <f t="shared" si="515"/>
        <v>21156.037</v>
      </c>
      <c r="AY329" s="6111"/>
      <c r="AZ329" s="2537">
        <v>2339.2150000000001</v>
      </c>
      <c r="BA329" s="6052"/>
      <c r="BB329" s="774">
        <f t="shared" si="516"/>
        <v>8016.2550000000001</v>
      </c>
      <c r="BC329" s="6062"/>
      <c r="BD329" s="460">
        <f t="shared" si="517"/>
        <v>12814.581999999999</v>
      </c>
      <c r="BE329" s="6120"/>
      <c r="BF329" s="775">
        <f t="shared" si="518"/>
        <v>23495.252</v>
      </c>
      <c r="BG329" s="26">
        <f t="shared" si="475"/>
        <v>0</v>
      </c>
      <c r="BH329" s="26">
        <f t="shared" si="476"/>
        <v>0</v>
      </c>
      <c r="BI329" s="26"/>
      <c r="BJ329" s="26">
        <f t="shared" si="477"/>
        <v>0</v>
      </c>
      <c r="BK329" s="26">
        <f t="shared" si="478"/>
        <v>0</v>
      </c>
    </row>
    <row r="330" spans="1:63" x14ac:dyDescent="0.3">
      <c r="A330" s="196"/>
      <c r="B330" s="3476" t="s">
        <v>1813</v>
      </c>
      <c r="C330" s="3435" t="s">
        <v>1840</v>
      </c>
      <c r="D330" s="3855"/>
      <c r="E330" s="6111"/>
      <c r="F330" s="4024"/>
      <c r="G330" s="6111"/>
      <c r="H330" s="4024">
        <v>243.01</v>
      </c>
      <c r="I330" s="6135"/>
      <c r="J330" s="775">
        <f t="shared" si="479"/>
        <v>243.01</v>
      </c>
      <c r="K330" s="6111"/>
      <c r="L330" s="4024">
        <v>124.98</v>
      </c>
      <c r="M330" s="6055"/>
      <c r="N330" s="774">
        <f t="shared" si="480"/>
        <v>367.99</v>
      </c>
      <c r="O330" s="6111"/>
      <c r="P330" s="4024"/>
      <c r="Q330" s="6091"/>
      <c r="R330" s="775">
        <f t="shared" si="481"/>
        <v>367.99</v>
      </c>
      <c r="S330" s="6111"/>
      <c r="T330" s="4024"/>
      <c r="U330" s="6091"/>
      <c r="V330" s="775">
        <f t="shared" si="482"/>
        <v>367.99</v>
      </c>
      <c r="W330" s="6111"/>
      <c r="X330" s="4024">
        <v>101.68</v>
      </c>
      <c r="Y330" s="6055"/>
      <c r="Z330" s="774">
        <f t="shared" si="483"/>
        <v>101.68</v>
      </c>
      <c r="AA330" s="6065"/>
      <c r="AB330" s="460">
        <f t="shared" si="484"/>
        <v>469.67</v>
      </c>
      <c r="AC330" s="6111"/>
      <c r="AD330" s="4024">
        <v>64.5</v>
      </c>
      <c r="AE330" s="6091"/>
      <c r="AF330" s="775">
        <f t="shared" si="485"/>
        <v>534.17000000000007</v>
      </c>
      <c r="AG330" s="6111"/>
      <c r="AH330" s="4024"/>
      <c r="AI330" s="6120"/>
      <c r="AJ330" s="775">
        <f t="shared" si="512"/>
        <v>534.17000000000007</v>
      </c>
      <c r="AK330" s="6111"/>
      <c r="AL330" s="4024"/>
      <c r="AM330" s="6055"/>
      <c r="AN330" s="774">
        <f t="shared" si="513"/>
        <v>64.5</v>
      </c>
      <c r="AO330" s="6091"/>
      <c r="AP330" s="775">
        <f t="shared" si="514"/>
        <v>534.17000000000007</v>
      </c>
      <c r="AQ330" s="6111"/>
      <c r="AR330" s="4024"/>
      <c r="AS330" s="6120"/>
      <c r="AT330" s="775">
        <f t="shared" si="519"/>
        <v>534.17000000000007</v>
      </c>
      <c r="AU330" s="6111"/>
      <c r="AV330" s="4024"/>
      <c r="AW330" s="6120"/>
      <c r="AX330" s="775">
        <f t="shared" si="515"/>
        <v>534.17000000000007</v>
      </c>
      <c r="AY330" s="6111"/>
      <c r="AZ330" s="4024"/>
      <c r="BA330" s="6055"/>
      <c r="BB330" s="774">
        <f t="shared" si="516"/>
        <v>0</v>
      </c>
      <c r="BC330" s="6065"/>
      <c r="BD330" s="460">
        <f t="shared" si="517"/>
        <v>64.5</v>
      </c>
      <c r="BE330" s="6120"/>
      <c r="BF330" s="775">
        <f t="shared" si="518"/>
        <v>534.17000000000007</v>
      </c>
      <c r="BG330" s="26">
        <f t="shared" si="475"/>
        <v>0</v>
      </c>
      <c r="BH330" s="26">
        <f t="shared" si="476"/>
        <v>0</v>
      </c>
      <c r="BI330" s="26"/>
      <c r="BJ330" s="26">
        <f t="shared" si="477"/>
        <v>0</v>
      </c>
      <c r="BK330" s="26">
        <f t="shared" si="478"/>
        <v>0</v>
      </c>
    </row>
    <row r="331" spans="1:63" ht="15" thickBot="1" x14ac:dyDescent="0.35">
      <c r="A331" s="196"/>
      <c r="B331" s="3476" t="s">
        <v>1813</v>
      </c>
      <c r="C331" s="3435" t="s">
        <v>1815</v>
      </c>
      <c r="D331" s="3855"/>
      <c r="E331" s="6111"/>
      <c r="F331" s="2537"/>
      <c r="G331" s="6111"/>
      <c r="H331" s="2537">
        <v>310.84000000000003</v>
      </c>
      <c r="I331" s="6135"/>
      <c r="J331" s="775">
        <f t="shared" si="479"/>
        <v>310.84000000000003</v>
      </c>
      <c r="K331" s="6111"/>
      <c r="L331" s="2537">
        <v>524.6</v>
      </c>
      <c r="M331" s="6052"/>
      <c r="N331" s="774">
        <f t="shared" si="480"/>
        <v>835.44</v>
      </c>
      <c r="O331" s="6111"/>
      <c r="P331" s="2537"/>
      <c r="Q331" s="6088"/>
      <c r="R331" s="775">
        <f t="shared" si="481"/>
        <v>835.44</v>
      </c>
      <c r="S331" s="6111"/>
      <c r="T331" s="2537">
        <v>642.05999999999995</v>
      </c>
      <c r="U331" s="6088"/>
      <c r="V331" s="775">
        <f t="shared" si="482"/>
        <v>1477.5</v>
      </c>
      <c r="W331" s="6111"/>
      <c r="X331" s="2537">
        <v>335.31</v>
      </c>
      <c r="Y331" s="6052"/>
      <c r="Z331" s="774">
        <f t="shared" si="483"/>
        <v>977.36999999999989</v>
      </c>
      <c r="AA331" s="6062"/>
      <c r="AB331" s="460">
        <f t="shared" si="484"/>
        <v>1812.81</v>
      </c>
      <c r="AC331" s="6111"/>
      <c r="AD331" s="2537">
        <v>63.94</v>
      </c>
      <c r="AE331" s="6088"/>
      <c r="AF331" s="775">
        <f t="shared" si="485"/>
        <v>1876.75</v>
      </c>
      <c r="AG331" s="6111"/>
      <c r="AH331" s="2537">
        <v>1165.3800000000001</v>
      </c>
      <c r="AI331" s="6120"/>
      <c r="AJ331" s="775">
        <f t="shared" si="512"/>
        <v>3042.13</v>
      </c>
      <c r="AK331" s="6111"/>
      <c r="AL331" s="2537">
        <v>1045.4000000000001</v>
      </c>
      <c r="AM331" s="6052"/>
      <c r="AN331" s="774">
        <f t="shared" si="513"/>
        <v>2274.7200000000003</v>
      </c>
      <c r="AO331" s="6088"/>
      <c r="AP331" s="775">
        <f t="shared" si="514"/>
        <v>4087.53</v>
      </c>
      <c r="AQ331" s="6111"/>
      <c r="AR331" s="2537">
        <v>907.79</v>
      </c>
      <c r="AS331" s="6120"/>
      <c r="AT331" s="775">
        <f t="shared" si="519"/>
        <v>4995.32</v>
      </c>
      <c r="AU331" s="6111"/>
      <c r="AV331" s="2537">
        <v>595.73</v>
      </c>
      <c r="AW331" s="6120"/>
      <c r="AX331" s="775">
        <f t="shared" si="515"/>
        <v>5591.0499999999993</v>
      </c>
      <c r="AY331" s="6111"/>
      <c r="AZ331" s="2537">
        <v>572.94899999999996</v>
      </c>
      <c r="BA331" s="6052"/>
      <c r="BB331" s="774">
        <f t="shared" si="516"/>
        <v>2076.4690000000001</v>
      </c>
      <c r="BC331" s="6062"/>
      <c r="BD331" s="460">
        <f t="shared" si="517"/>
        <v>4351.1890000000003</v>
      </c>
      <c r="BE331" s="6120"/>
      <c r="BF331" s="775">
        <f t="shared" si="518"/>
        <v>6163.9989999999989</v>
      </c>
      <c r="BG331" s="26">
        <f t="shared" si="475"/>
        <v>0</v>
      </c>
      <c r="BH331" s="26">
        <f t="shared" si="476"/>
        <v>0</v>
      </c>
      <c r="BI331" s="26"/>
      <c r="BJ331" s="26">
        <f t="shared" si="477"/>
        <v>0</v>
      </c>
      <c r="BK331" s="26">
        <f t="shared" si="478"/>
        <v>0</v>
      </c>
    </row>
    <row r="332" spans="1:63" x14ac:dyDescent="0.3">
      <c r="A332" s="196"/>
      <c r="B332" s="2776" t="s">
        <v>881</v>
      </c>
      <c r="C332" s="3417" t="s">
        <v>889</v>
      </c>
      <c r="D332" s="3506"/>
      <c r="E332" s="6111"/>
      <c r="F332" s="1185">
        <v>990.2</v>
      </c>
      <c r="G332" s="6111"/>
      <c r="H332" s="1185">
        <v>1750.8999999999999</v>
      </c>
      <c r="I332" s="6135"/>
      <c r="J332" s="775">
        <f t="shared" si="479"/>
        <v>2741.1</v>
      </c>
      <c r="K332" s="6111"/>
      <c r="L332" s="1185">
        <v>3443.93</v>
      </c>
      <c r="M332" s="6050"/>
      <c r="N332" s="774">
        <f t="shared" si="480"/>
        <v>6185.03</v>
      </c>
      <c r="O332" s="6111"/>
      <c r="P332" s="1185">
        <v>1068.31</v>
      </c>
      <c r="Q332" s="6086"/>
      <c r="R332" s="775">
        <f t="shared" si="481"/>
        <v>7253.34</v>
      </c>
      <c r="S332" s="6111"/>
      <c r="T332" s="1185">
        <v>820.36000000000013</v>
      </c>
      <c r="U332" s="6086"/>
      <c r="V332" s="775">
        <f t="shared" si="482"/>
        <v>8073.7000000000007</v>
      </c>
      <c r="W332" s="6111"/>
      <c r="X332" s="1185">
        <v>65.87</v>
      </c>
      <c r="Y332" s="6050"/>
      <c r="Z332" s="774">
        <f t="shared" si="483"/>
        <v>1954.54</v>
      </c>
      <c r="AA332" s="6060"/>
      <c r="AB332" s="460">
        <f t="shared" si="484"/>
        <v>8139.57</v>
      </c>
      <c r="AC332" s="6111"/>
      <c r="AD332" s="1185">
        <v>804.39</v>
      </c>
      <c r="AE332" s="6086"/>
      <c r="AF332" s="775">
        <f t="shared" si="485"/>
        <v>8943.9599999999991</v>
      </c>
      <c r="AG332" s="6111"/>
      <c r="AH332" s="1185">
        <v>1622.0500000000002</v>
      </c>
      <c r="AI332" s="6120"/>
      <c r="AJ332" s="775">
        <f t="shared" si="512"/>
        <v>10566.009999999998</v>
      </c>
      <c r="AK332" s="6111"/>
      <c r="AL332" s="1185">
        <v>999.23199999999974</v>
      </c>
      <c r="AM332" s="6050"/>
      <c r="AN332" s="774">
        <f t="shared" si="513"/>
        <v>3425.6719999999996</v>
      </c>
      <c r="AO332" s="6086"/>
      <c r="AP332" s="775">
        <f t="shared" si="514"/>
        <v>11565.241999999998</v>
      </c>
      <c r="AQ332" s="6111"/>
      <c r="AR332" s="1185">
        <v>1133.2799999999997</v>
      </c>
      <c r="AS332" s="6120"/>
      <c r="AT332" s="775">
        <f t="shared" si="519"/>
        <v>12698.521999999997</v>
      </c>
      <c r="AU332" s="6111"/>
      <c r="AV332" s="1185">
        <v>965.9</v>
      </c>
      <c r="AW332" s="6120"/>
      <c r="AX332" s="775">
        <f t="shared" si="515"/>
        <v>13664.421999999997</v>
      </c>
      <c r="AY332" s="6111"/>
      <c r="AZ332" s="1185">
        <v>1104.01</v>
      </c>
      <c r="BA332" s="6050"/>
      <c r="BB332" s="774">
        <f t="shared" si="516"/>
        <v>3203.1899999999996</v>
      </c>
      <c r="BC332" s="6060"/>
      <c r="BD332" s="460">
        <f t="shared" si="517"/>
        <v>6628.8619999999992</v>
      </c>
      <c r="BE332" s="6120"/>
      <c r="BF332" s="775">
        <f t="shared" si="518"/>
        <v>14768.431999999997</v>
      </c>
      <c r="BG332" s="26">
        <f t="shared" si="475"/>
        <v>0</v>
      </c>
      <c r="BH332" s="26">
        <f t="shared" si="476"/>
        <v>0</v>
      </c>
      <c r="BI332" s="26"/>
      <c r="BJ332" s="26">
        <f t="shared" si="477"/>
        <v>0</v>
      </c>
      <c r="BK332" s="26">
        <f t="shared" si="478"/>
        <v>0</v>
      </c>
    </row>
    <row r="333" spans="1:63" x14ac:dyDescent="0.3">
      <c r="A333" s="196"/>
      <c r="B333" s="842" t="s">
        <v>881</v>
      </c>
      <c r="C333" s="3453" t="s">
        <v>989</v>
      </c>
      <c r="D333" s="3507"/>
      <c r="E333" s="6111"/>
      <c r="F333" s="1185">
        <v>2145.7000000000003</v>
      </c>
      <c r="G333" s="6111"/>
      <c r="H333" s="1185">
        <v>4487.2999999999993</v>
      </c>
      <c r="I333" s="6135"/>
      <c r="J333" s="775">
        <f t="shared" si="479"/>
        <v>6633</v>
      </c>
      <c r="K333" s="6111"/>
      <c r="L333" s="1185">
        <v>2164.86</v>
      </c>
      <c r="M333" s="6050"/>
      <c r="N333" s="774">
        <f t="shared" si="480"/>
        <v>8797.86</v>
      </c>
      <c r="O333" s="6111"/>
      <c r="P333" s="1185">
        <v>2932.91</v>
      </c>
      <c r="Q333" s="6086"/>
      <c r="R333" s="775">
        <f t="shared" si="481"/>
        <v>11730.77</v>
      </c>
      <c r="S333" s="6111"/>
      <c r="T333" s="1185">
        <v>1853.04</v>
      </c>
      <c r="U333" s="6086"/>
      <c r="V333" s="775">
        <f t="shared" si="482"/>
        <v>13583.810000000001</v>
      </c>
      <c r="W333" s="6111"/>
      <c r="X333" s="1185">
        <v>1054.3899999999999</v>
      </c>
      <c r="Y333" s="6050"/>
      <c r="Z333" s="774">
        <f t="shared" si="483"/>
        <v>5840.34</v>
      </c>
      <c r="AA333" s="6060"/>
      <c r="AB333" s="460">
        <f t="shared" si="484"/>
        <v>14638.2</v>
      </c>
      <c r="AC333" s="6111"/>
      <c r="AD333" s="1185">
        <v>1725.8100000000002</v>
      </c>
      <c r="AE333" s="6086"/>
      <c r="AF333" s="775">
        <f t="shared" si="485"/>
        <v>16364.01</v>
      </c>
      <c r="AG333" s="6111"/>
      <c r="AH333" s="1185">
        <v>4146.25</v>
      </c>
      <c r="AI333" s="6120"/>
      <c r="AJ333" s="775">
        <f t="shared" si="512"/>
        <v>20510.260000000002</v>
      </c>
      <c r="AK333" s="6111"/>
      <c r="AL333" s="1185">
        <v>2127.5210000000002</v>
      </c>
      <c r="AM333" s="6050"/>
      <c r="AN333" s="774">
        <f t="shared" si="513"/>
        <v>7999.5810000000001</v>
      </c>
      <c r="AO333" s="6086"/>
      <c r="AP333" s="775">
        <f t="shared" si="514"/>
        <v>22637.781000000003</v>
      </c>
      <c r="AQ333" s="6111"/>
      <c r="AR333" s="1185">
        <v>2376.09</v>
      </c>
      <c r="AS333" s="6120"/>
      <c r="AT333" s="775">
        <f t="shared" si="519"/>
        <v>25013.871000000003</v>
      </c>
      <c r="AU333" s="6111"/>
      <c r="AV333" s="1185">
        <v>3326.74</v>
      </c>
      <c r="AW333" s="6120"/>
      <c r="AX333" s="775">
        <f t="shared" si="515"/>
        <v>28340.611000000004</v>
      </c>
      <c r="AY333" s="6111"/>
      <c r="AZ333" s="1185">
        <v>5111.2829999999985</v>
      </c>
      <c r="BA333" s="6050"/>
      <c r="BB333" s="774">
        <f t="shared" si="516"/>
        <v>10814.112999999998</v>
      </c>
      <c r="BC333" s="6060"/>
      <c r="BD333" s="460">
        <f t="shared" si="517"/>
        <v>18813.693999999996</v>
      </c>
      <c r="BE333" s="6120"/>
      <c r="BF333" s="775">
        <f t="shared" si="518"/>
        <v>33451.894</v>
      </c>
      <c r="BG333" s="26">
        <f t="shared" si="475"/>
        <v>0</v>
      </c>
      <c r="BH333" s="26">
        <f t="shared" si="476"/>
        <v>0</v>
      </c>
      <c r="BI333" s="26"/>
      <c r="BJ333" s="26">
        <f t="shared" si="477"/>
        <v>0</v>
      </c>
      <c r="BK333" s="26">
        <f t="shared" si="478"/>
        <v>0</v>
      </c>
    </row>
    <row r="334" spans="1:63" x14ac:dyDescent="0.3">
      <c r="A334" s="196"/>
      <c r="B334" s="842" t="s">
        <v>881</v>
      </c>
      <c r="C334" s="3453" t="s">
        <v>2144</v>
      </c>
      <c r="D334" s="3507"/>
      <c r="E334" s="6111"/>
      <c r="F334" s="1185"/>
      <c r="G334" s="6111"/>
      <c r="H334" s="1185"/>
      <c r="I334" s="6135"/>
      <c r="J334" s="775">
        <f t="shared" si="479"/>
        <v>0</v>
      </c>
      <c r="K334" s="6111"/>
      <c r="L334" s="1185"/>
      <c r="M334" s="6050"/>
      <c r="N334" s="774">
        <f t="shared" si="480"/>
        <v>0</v>
      </c>
      <c r="O334" s="6111"/>
      <c r="P334" s="1185"/>
      <c r="Q334" s="6086"/>
      <c r="R334" s="775">
        <f t="shared" si="481"/>
        <v>0</v>
      </c>
      <c r="S334" s="6111"/>
      <c r="T334" s="1185"/>
      <c r="U334" s="6086"/>
      <c r="V334" s="775">
        <f t="shared" si="482"/>
        <v>0</v>
      </c>
      <c r="W334" s="6111"/>
      <c r="X334" s="1185"/>
      <c r="Y334" s="6050"/>
      <c r="Z334" s="774">
        <f t="shared" si="483"/>
        <v>0</v>
      </c>
      <c r="AA334" s="6060"/>
      <c r="AB334" s="460">
        <f t="shared" si="484"/>
        <v>0</v>
      </c>
      <c r="AC334" s="6111"/>
      <c r="AD334" s="1185">
        <v>198.89000000000001</v>
      </c>
      <c r="AE334" s="6086"/>
      <c r="AF334" s="775">
        <f t="shared" si="485"/>
        <v>198.89000000000001</v>
      </c>
      <c r="AG334" s="6111"/>
      <c r="AH334" s="1185"/>
      <c r="AI334" s="6120"/>
      <c r="AJ334" s="775">
        <f t="shared" si="512"/>
        <v>198.89000000000001</v>
      </c>
      <c r="AK334" s="6111"/>
      <c r="AL334" s="1185"/>
      <c r="AM334" s="6050"/>
      <c r="AN334" s="774">
        <f t="shared" si="513"/>
        <v>198.89000000000001</v>
      </c>
      <c r="AO334" s="6086"/>
      <c r="AP334" s="775">
        <f t="shared" si="514"/>
        <v>198.89000000000001</v>
      </c>
      <c r="AQ334" s="6111"/>
      <c r="AR334" s="1185"/>
      <c r="AS334" s="6120"/>
      <c r="AT334" s="775">
        <f t="shared" si="519"/>
        <v>198.89000000000001</v>
      </c>
      <c r="AU334" s="6111"/>
      <c r="AV334" s="1185"/>
      <c r="AW334" s="6120"/>
      <c r="AX334" s="775">
        <f t="shared" si="515"/>
        <v>198.89000000000001</v>
      </c>
      <c r="AY334" s="6111"/>
      <c r="AZ334" s="1185"/>
      <c r="BA334" s="6050"/>
      <c r="BB334" s="774">
        <f t="shared" si="516"/>
        <v>0</v>
      </c>
      <c r="BC334" s="6060"/>
      <c r="BD334" s="460">
        <f t="shared" si="517"/>
        <v>198.89000000000001</v>
      </c>
      <c r="BE334" s="6120"/>
      <c r="BF334" s="775">
        <f t="shared" si="518"/>
        <v>198.89000000000001</v>
      </c>
      <c r="BG334" s="26">
        <f t="shared" si="475"/>
        <v>0</v>
      </c>
      <c r="BH334" s="26">
        <f t="shared" si="476"/>
        <v>0</v>
      </c>
      <c r="BI334" s="26"/>
      <c r="BJ334" s="26">
        <f t="shared" si="477"/>
        <v>0</v>
      </c>
      <c r="BK334" s="26">
        <f t="shared" si="478"/>
        <v>0</v>
      </c>
    </row>
    <row r="335" spans="1:63" x14ac:dyDescent="0.3">
      <c r="A335" s="196"/>
      <c r="B335" s="842" t="s">
        <v>881</v>
      </c>
      <c r="C335" s="3453" t="s">
        <v>1761</v>
      </c>
      <c r="D335" s="3507"/>
      <c r="E335" s="6111"/>
      <c r="F335" s="2537">
        <v>4937.1499999999996</v>
      </c>
      <c r="G335" s="6111"/>
      <c r="H335" s="2537">
        <v>5008.1299999999992</v>
      </c>
      <c r="I335" s="6135"/>
      <c r="J335" s="775">
        <f t="shared" si="479"/>
        <v>9945.2799999999988</v>
      </c>
      <c r="K335" s="6111"/>
      <c r="L335" s="2537">
        <v>5285.079999999999</v>
      </c>
      <c r="M335" s="6052"/>
      <c r="N335" s="774">
        <f t="shared" si="480"/>
        <v>15230.359999999997</v>
      </c>
      <c r="O335" s="6111"/>
      <c r="P335" s="2537">
        <v>6037.9100000000017</v>
      </c>
      <c r="Q335" s="6088"/>
      <c r="R335" s="775">
        <f t="shared" si="481"/>
        <v>21268.269999999997</v>
      </c>
      <c r="S335" s="6111"/>
      <c r="T335" s="2537">
        <v>4357.25</v>
      </c>
      <c r="U335" s="6088"/>
      <c r="V335" s="775">
        <f t="shared" si="482"/>
        <v>25625.519999999997</v>
      </c>
      <c r="W335" s="6111"/>
      <c r="X335" s="2537">
        <v>3735.7300000000005</v>
      </c>
      <c r="Y335" s="6052"/>
      <c r="Z335" s="774">
        <f t="shared" si="483"/>
        <v>14130.890000000003</v>
      </c>
      <c r="AA335" s="6062"/>
      <c r="AB335" s="460">
        <f t="shared" si="484"/>
        <v>29361.25</v>
      </c>
      <c r="AC335" s="6111"/>
      <c r="AD335" s="2537">
        <v>3008.61</v>
      </c>
      <c r="AE335" s="6088"/>
      <c r="AF335" s="775">
        <f t="shared" si="485"/>
        <v>32369.86</v>
      </c>
      <c r="AG335" s="6111"/>
      <c r="AH335" s="2537">
        <v>6942.68</v>
      </c>
      <c r="AI335" s="6120"/>
      <c r="AJ335" s="775">
        <f t="shared" si="512"/>
        <v>39312.54</v>
      </c>
      <c r="AK335" s="6111"/>
      <c r="AL335" s="2537">
        <v>5189.03</v>
      </c>
      <c r="AM335" s="6052"/>
      <c r="AN335" s="774">
        <f t="shared" si="513"/>
        <v>15140.32</v>
      </c>
      <c r="AO335" s="6088"/>
      <c r="AP335" s="775">
        <f t="shared" si="514"/>
        <v>44501.57</v>
      </c>
      <c r="AQ335" s="6111"/>
      <c r="AR335" s="2537">
        <v>3602.6800000000003</v>
      </c>
      <c r="AS335" s="6120"/>
      <c r="AT335" s="775">
        <f t="shared" si="519"/>
        <v>48104.25</v>
      </c>
      <c r="AU335" s="6111"/>
      <c r="AV335" s="2537">
        <v>5228.45</v>
      </c>
      <c r="AW335" s="6120"/>
      <c r="AX335" s="775">
        <f t="shared" si="515"/>
        <v>53332.7</v>
      </c>
      <c r="AY335" s="6111"/>
      <c r="AZ335" s="2537">
        <v>7337.7069999999985</v>
      </c>
      <c r="BA335" s="6052"/>
      <c r="BB335" s="774">
        <f t="shared" si="516"/>
        <v>16168.837</v>
      </c>
      <c r="BC335" s="6062"/>
      <c r="BD335" s="460">
        <f t="shared" si="517"/>
        <v>31309.156999999999</v>
      </c>
      <c r="BE335" s="6120"/>
      <c r="BF335" s="775">
        <f t="shared" si="518"/>
        <v>60670.406999999992</v>
      </c>
      <c r="BG335" s="26">
        <f t="shared" si="475"/>
        <v>0</v>
      </c>
      <c r="BH335" s="26">
        <f t="shared" si="476"/>
        <v>0</v>
      </c>
      <c r="BI335" s="26"/>
      <c r="BJ335" s="26">
        <f t="shared" si="477"/>
        <v>0</v>
      </c>
      <c r="BK335" s="26">
        <f t="shared" si="478"/>
        <v>0</v>
      </c>
    </row>
    <row r="336" spans="1:63" x14ac:dyDescent="0.3">
      <c r="A336" s="196"/>
      <c r="B336" s="842" t="s">
        <v>881</v>
      </c>
      <c r="C336" s="3453" t="s">
        <v>1764</v>
      </c>
      <c r="D336" s="3507"/>
      <c r="E336" s="6111"/>
      <c r="F336" s="2537">
        <v>450.64</v>
      </c>
      <c r="G336" s="6111"/>
      <c r="H336" s="2537">
        <v>1366.79</v>
      </c>
      <c r="I336" s="6135"/>
      <c r="J336" s="775">
        <f t="shared" si="479"/>
        <v>1817.4299999999998</v>
      </c>
      <c r="K336" s="6111"/>
      <c r="L336" s="2537">
        <v>1074.3</v>
      </c>
      <c r="M336" s="6052"/>
      <c r="N336" s="774">
        <f t="shared" si="480"/>
        <v>2891.7299999999996</v>
      </c>
      <c r="O336" s="6111"/>
      <c r="P336" s="2537">
        <v>1324.22</v>
      </c>
      <c r="Q336" s="6088"/>
      <c r="R336" s="775">
        <f t="shared" si="481"/>
        <v>4215.95</v>
      </c>
      <c r="S336" s="6111"/>
      <c r="T336" s="2537">
        <v>373.9</v>
      </c>
      <c r="U336" s="6088"/>
      <c r="V336" s="775">
        <f t="shared" si="482"/>
        <v>4589.8499999999995</v>
      </c>
      <c r="W336" s="6111"/>
      <c r="X336" s="2537">
        <v>1022.26</v>
      </c>
      <c r="Y336" s="6052"/>
      <c r="Z336" s="774">
        <f t="shared" si="483"/>
        <v>2720.38</v>
      </c>
      <c r="AA336" s="6062"/>
      <c r="AB336" s="460">
        <f t="shared" si="484"/>
        <v>5612.11</v>
      </c>
      <c r="AC336" s="6111"/>
      <c r="AD336" s="2537">
        <v>753.88000000000011</v>
      </c>
      <c r="AE336" s="6088"/>
      <c r="AF336" s="775">
        <f t="shared" si="485"/>
        <v>6365.99</v>
      </c>
      <c r="AG336" s="6111"/>
      <c r="AH336" s="2537">
        <v>258.49</v>
      </c>
      <c r="AI336" s="6120"/>
      <c r="AJ336" s="775">
        <f t="shared" si="512"/>
        <v>6624.48</v>
      </c>
      <c r="AK336" s="6111"/>
      <c r="AL336" s="2537">
        <v>752.34199999999987</v>
      </c>
      <c r="AM336" s="6052"/>
      <c r="AN336" s="774">
        <f t="shared" si="513"/>
        <v>1764.712</v>
      </c>
      <c r="AO336" s="6088"/>
      <c r="AP336" s="775">
        <f t="shared" si="514"/>
        <v>7376.8219999999992</v>
      </c>
      <c r="AQ336" s="6111"/>
      <c r="AR336" s="2537">
        <v>126.84</v>
      </c>
      <c r="AS336" s="6120"/>
      <c r="AT336" s="775">
        <f t="shared" si="519"/>
        <v>7503.6619999999994</v>
      </c>
      <c r="AU336" s="6111"/>
      <c r="AV336" s="2537">
        <v>202.47</v>
      </c>
      <c r="AW336" s="6120"/>
      <c r="AX336" s="775">
        <f t="shared" si="515"/>
        <v>7706.1319999999996</v>
      </c>
      <c r="AY336" s="6111"/>
      <c r="AZ336" s="2537">
        <v>65.72</v>
      </c>
      <c r="BA336" s="6052"/>
      <c r="BB336" s="774">
        <f t="shared" si="516"/>
        <v>395.03</v>
      </c>
      <c r="BC336" s="6062"/>
      <c r="BD336" s="460">
        <f t="shared" si="517"/>
        <v>2159.7420000000002</v>
      </c>
      <c r="BE336" s="6120"/>
      <c r="BF336" s="775">
        <f t="shared" si="518"/>
        <v>7771.8519999999999</v>
      </c>
      <c r="BG336" s="26">
        <f t="shared" si="475"/>
        <v>0</v>
      </c>
      <c r="BH336" s="26">
        <f t="shared" si="476"/>
        <v>0</v>
      </c>
      <c r="BI336" s="26"/>
      <c r="BJ336" s="26">
        <f t="shared" si="477"/>
        <v>0</v>
      </c>
      <c r="BK336" s="26">
        <f t="shared" si="478"/>
        <v>0</v>
      </c>
    </row>
    <row r="337" spans="1:63" x14ac:dyDescent="0.3">
      <c r="A337" s="196"/>
      <c r="B337" s="842" t="s">
        <v>881</v>
      </c>
      <c r="C337" s="5289" t="s">
        <v>2275</v>
      </c>
      <c r="D337" s="5303"/>
      <c r="E337" s="6112"/>
      <c r="F337" s="5119"/>
      <c r="G337" s="6112"/>
      <c r="H337" s="5119"/>
      <c r="I337" s="6136"/>
      <c r="J337" s="5120"/>
      <c r="K337" s="6112"/>
      <c r="L337" s="5119"/>
      <c r="M337" s="6056"/>
      <c r="N337" s="5121"/>
      <c r="O337" s="6112"/>
      <c r="P337" s="5119"/>
      <c r="Q337" s="6092"/>
      <c r="R337" s="5120"/>
      <c r="S337" s="6112"/>
      <c r="T337" s="5119"/>
      <c r="U337" s="6092"/>
      <c r="V337" s="5120"/>
      <c r="W337" s="6112"/>
      <c r="X337" s="5119"/>
      <c r="Y337" s="6056"/>
      <c r="Z337" s="5121"/>
      <c r="AA337" s="6066"/>
      <c r="AB337" s="5406"/>
      <c r="AC337" s="6112"/>
      <c r="AD337" s="5119"/>
      <c r="AE337" s="6092"/>
      <c r="AF337" s="5120"/>
      <c r="AG337" s="6112"/>
      <c r="AH337" s="5119"/>
      <c r="AI337" s="6120"/>
      <c r="AJ337" s="5120"/>
      <c r="AK337" s="6112"/>
      <c r="AL337" s="5119"/>
      <c r="AM337" s="6056"/>
      <c r="AN337" s="5121"/>
      <c r="AO337" s="6092"/>
      <c r="AP337" s="5120"/>
      <c r="AQ337" s="6112"/>
      <c r="AR337" s="5119">
        <v>64.3</v>
      </c>
      <c r="AS337" s="6120"/>
      <c r="AT337" s="775">
        <f t="shared" si="519"/>
        <v>64.3</v>
      </c>
      <c r="AU337" s="6112"/>
      <c r="AV337" s="5119"/>
      <c r="AW337" s="6120"/>
      <c r="AX337" s="775">
        <f t="shared" si="515"/>
        <v>64.3</v>
      </c>
      <c r="AY337" s="6112"/>
      <c r="AZ337" s="5119"/>
      <c r="BA337" s="6056"/>
      <c r="BB337" s="774">
        <f t="shared" si="516"/>
        <v>64.3</v>
      </c>
      <c r="BC337" s="6066"/>
      <c r="BD337" s="460">
        <f t="shared" si="517"/>
        <v>64.3</v>
      </c>
      <c r="BE337" s="6120"/>
      <c r="BF337" s="775">
        <f t="shared" si="518"/>
        <v>64.3</v>
      </c>
      <c r="BG337" s="26">
        <f t="shared" si="475"/>
        <v>0</v>
      </c>
      <c r="BH337" s="26">
        <f t="shared" si="476"/>
        <v>0</v>
      </c>
      <c r="BI337" s="26"/>
      <c r="BJ337" s="26">
        <f t="shared" si="477"/>
        <v>0</v>
      </c>
      <c r="BK337" s="26">
        <f t="shared" si="478"/>
        <v>0</v>
      </c>
    </row>
    <row r="338" spans="1:63" x14ac:dyDescent="0.3">
      <c r="A338" s="196"/>
      <c r="B338" s="842" t="s">
        <v>881</v>
      </c>
      <c r="C338" s="3453" t="s">
        <v>2246</v>
      </c>
      <c r="D338" s="3507"/>
      <c r="E338" s="6111"/>
      <c r="F338" s="1185">
        <v>187</v>
      </c>
      <c r="G338" s="6111"/>
      <c r="H338" s="1185">
        <v>63.74</v>
      </c>
      <c r="I338" s="6135"/>
      <c r="J338" s="775">
        <f t="shared" si="479"/>
        <v>250.74</v>
      </c>
      <c r="K338" s="6111"/>
      <c r="L338" s="1185">
        <v>124</v>
      </c>
      <c r="M338" s="6050"/>
      <c r="N338" s="774">
        <f t="shared" si="480"/>
        <v>374.74</v>
      </c>
      <c r="O338" s="6111"/>
      <c r="P338" s="1185"/>
      <c r="Q338" s="6086"/>
      <c r="R338" s="775">
        <f t="shared" si="481"/>
        <v>374.74</v>
      </c>
      <c r="S338" s="6111"/>
      <c r="T338" s="1185"/>
      <c r="U338" s="6086"/>
      <c r="V338" s="775">
        <f t="shared" si="482"/>
        <v>374.74</v>
      </c>
      <c r="W338" s="6111"/>
      <c r="X338" s="1185"/>
      <c r="Y338" s="6050"/>
      <c r="Z338" s="774">
        <f t="shared" si="483"/>
        <v>0</v>
      </c>
      <c r="AA338" s="6060"/>
      <c r="AB338" s="460">
        <f t="shared" si="484"/>
        <v>374.74</v>
      </c>
      <c r="AC338" s="6111"/>
      <c r="AD338" s="1185"/>
      <c r="AE338" s="6086"/>
      <c r="AF338" s="775">
        <f t="shared" si="485"/>
        <v>374.74</v>
      </c>
      <c r="AG338" s="6111"/>
      <c r="AH338" s="1185">
        <v>62.7</v>
      </c>
      <c r="AI338" s="6120"/>
      <c r="AJ338" s="775">
        <f t="shared" si="512"/>
        <v>437.44</v>
      </c>
      <c r="AK338" s="6111"/>
      <c r="AL338" s="1185">
        <v>186.01999999999998</v>
      </c>
      <c r="AM338" s="6050"/>
      <c r="AN338" s="774">
        <f t="shared" si="513"/>
        <v>248.71999999999997</v>
      </c>
      <c r="AO338" s="6086"/>
      <c r="AP338" s="775">
        <f t="shared" si="514"/>
        <v>623.46</v>
      </c>
      <c r="AQ338" s="6111"/>
      <c r="AR338" s="1185">
        <v>320.16000000000003</v>
      </c>
      <c r="AS338" s="6120"/>
      <c r="AT338" s="775">
        <f t="shared" si="519"/>
        <v>943.62000000000012</v>
      </c>
      <c r="AU338" s="6111"/>
      <c r="AV338" s="1185">
        <v>63.9</v>
      </c>
      <c r="AW338" s="6120"/>
      <c r="AX338" s="775">
        <f t="shared" si="515"/>
        <v>1007.5200000000001</v>
      </c>
      <c r="AY338" s="6111"/>
      <c r="AZ338" s="1185">
        <v>62.22</v>
      </c>
      <c r="BA338" s="6050"/>
      <c r="BB338" s="774">
        <f t="shared" si="516"/>
        <v>446.28</v>
      </c>
      <c r="BC338" s="6060"/>
      <c r="BD338" s="460">
        <f t="shared" si="517"/>
        <v>695</v>
      </c>
      <c r="BE338" s="6120"/>
      <c r="BF338" s="775">
        <f t="shared" si="518"/>
        <v>1069.74</v>
      </c>
      <c r="BG338" s="26">
        <f t="shared" si="475"/>
        <v>0</v>
      </c>
      <c r="BH338" s="26">
        <f t="shared" si="476"/>
        <v>0</v>
      </c>
      <c r="BI338" s="26"/>
      <c r="BJ338" s="26">
        <f t="shared" si="477"/>
        <v>0</v>
      </c>
      <c r="BK338" s="26">
        <f t="shared" si="478"/>
        <v>0</v>
      </c>
    </row>
    <row r="339" spans="1:63" ht="15" thickBot="1" x14ac:dyDescent="0.35">
      <c r="A339" s="196"/>
      <c r="B339" s="2780" t="s">
        <v>881</v>
      </c>
      <c r="C339" s="3424" t="s">
        <v>1996</v>
      </c>
      <c r="D339" s="3508"/>
      <c r="E339" s="6111"/>
      <c r="F339" s="1185">
        <v>123.78</v>
      </c>
      <c r="G339" s="6111"/>
      <c r="H339" s="1185"/>
      <c r="I339" s="6135"/>
      <c r="J339" s="775">
        <f t="shared" si="479"/>
        <v>123.78</v>
      </c>
      <c r="K339" s="6111"/>
      <c r="L339" s="1185">
        <v>319.10000000000002</v>
      </c>
      <c r="M339" s="6050"/>
      <c r="N339" s="774">
        <f t="shared" si="480"/>
        <v>442.88</v>
      </c>
      <c r="O339" s="6111"/>
      <c r="P339" s="1185"/>
      <c r="Q339" s="6086"/>
      <c r="R339" s="775">
        <f t="shared" si="481"/>
        <v>442.88</v>
      </c>
      <c r="S339" s="6111"/>
      <c r="T339" s="1185"/>
      <c r="U339" s="6086"/>
      <c r="V339" s="775">
        <f t="shared" si="482"/>
        <v>442.88</v>
      </c>
      <c r="W339" s="6111"/>
      <c r="X339" s="1185"/>
      <c r="Y339" s="6050"/>
      <c r="Z339" s="774">
        <f t="shared" si="483"/>
        <v>0</v>
      </c>
      <c r="AA339" s="6060"/>
      <c r="AB339" s="460">
        <f t="shared" si="484"/>
        <v>442.88</v>
      </c>
      <c r="AC339" s="6111"/>
      <c r="AD339" s="1185">
        <v>246.48</v>
      </c>
      <c r="AE339" s="6086"/>
      <c r="AF339" s="775">
        <f t="shared" si="485"/>
        <v>689.36</v>
      </c>
      <c r="AG339" s="6111"/>
      <c r="AH339" s="1185">
        <v>121.72</v>
      </c>
      <c r="AI339" s="6120"/>
      <c r="AJ339" s="775">
        <f t="shared" si="512"/>
        <v>811.08</v>
      </c>
      <c r="AK339" s="6111"/>
      <c r="AL339" s="1185">
        <v>18.167999999999999</v>
      </c>
      <c r="AM339" s="6050"/>
      <c r="AN339" s="774">
        <f t="shared" si="513"/>
        <v>386.36799999999999</v>
      </c>
      <c r="AO339" s="6086"/>
      <c r="AP339" s="775">
        <f t="shared" si="514"/>
        <v>829.24800000000005</v>
      </c>
      <c r="AQ339" s="6111"/>
      <c r="AR339" s="1185"/>
      <c r="AS339" s="6120"/>
      <c r="AT339" s="775">
        <f t="shared" si="519"/>
        <v>829.24800000000005</v>
      </c>
      <c r="AU339" s="6111"/>
      <c r="AV339" s="1185"/>
      <c r="AW339" s="6120"/>
      <c r="AX339" s="775">
        <f t="shared" si="515"/>
        <v>829.24800000000005</v>
      </c>
      <c r="AY339" s="6111"/>
      <c r="AZ339" s="1185"/>
      <c r="BA339" s="6050"/>
      <c r="BB339" s="774">
        <f t="shared" si="516"/>
        <v>0</v>
      </c>
      <c r="BC339" s="6060"/>
      <c r="BD339" s="460">
        <f t="shared" si="517"/>
        <v>386.36799999999999</v>
      </c>
      <c r="BE339" s="6120"/>
      <c r="BF339" s="775">
        <f t="shared" si="518"/>
        <v>829.24800000000005</v>
      </c>
      <c r="BG339" s="26">
        <f t="shared" ref="BG339:BG402" si="520">AY339+AU339+AQ339+AK339+AG339+AC339+W339+S339+O339+K339+G339+E339-BE339</f>
        <v>0</v>
      </c>
      <c r="BH339" s="26">
        <f t="shared" ref="BH339:BH402" si="521">AZ339+AV339+AR339+AL339+AH339+AD339+X339+T339+P339+L339+H339+F339-BF339</f>
        <v>0</v>
      </c>
      <c r="BI339" s="26"/>
      <c r="BJ339" s="26">
        <f t="shared" ref="BJ339:BJ402" si="522">AY339+AU339+AQ339+AK339+AG339+AC339-BC339</f>
        <v>0</v>
      </c>
      <c r="BK339" s="26">
        <f t="shared" ref="BK339:BK402" si="523">AZ339+AV339+AR339+AL339+AH339+AD339-BD339</f>
        <v>0</v>
      </c>
    </row>
    <row r="340" spans="1:63" x14ac:dyDescent="0.3">
      <c r="A340" s="196"/>
      <c r="B340" s="4895" t="s">
        <v>881</v>
      </c>
      <c r="C340" s="3435" t="s">
        <v>2145</v>
      </c>
      <c r="D340" s="3855"/>
      <c r="E340" s="6113"/>
      <c r="F340" s="4935"/>
      <c r="G340" s="6113"/>
      <c r="H340" s="4935"/>
      <c r="I340" s="6137"/>
      <c r="J340" s="4936"/>
      <c r="K340" s="6113"/>
      <c r="L340" s="4935"/>
      <c r="M340" s="6057"/>
      <c r="N340" s="774">
        <f t="shared" si="480"/>
        <v>0</v>
      </c>
      <c r="O340" s="6113"/>
      <c r="P340" s="4935"/>
      <c r="Q340" s="6093"/>
      <c r="R340" s="4936"/>
      <c r="S340" s="6113"/>
      <c r="T340" s="4935"/>
      <c r="U340" s="6093"/>
      <c r="V340" s="4936"/>
      <c r="W340" s="6113"/>
      <c r="X340" s="4935"/>
      <c r="Y340" s="6057"/>
      <c r="Z340" s="774">
        <f t="shared" si="483"/>
        <v>0</v>
      </c>
      <c r="AA340" s="6067"/>
      <c r="AB340" s="460">
        <f t="shared" si="484"/>
        <v>0</v>
      </c>
      <c r="AC340" s="6113"/>
      <c r="AD340" s="4935">
        <v>74.039999999999992</v>
      </c>
      <c r="AE340" s="6093"/>
      <c r="AF340" s="775">
        <f t="shared" si="485"/>
        <v>74.039999999999992</v>
      </c>
      <c r="AG340" s="6113"/>
      <c r="AH340" s="4935"/>
      <c r="AI340" s="6120"/>
      <c r="AJ340" s="775">
        <f t="shared" si="512"/>
        <v>74.039999999999992</v>
      </c>
      <c r="AK340" s="6113"/>
      <c r="AL340" s="4935"/>
      <c r="AM340" s="6057"/>
      <c r="AN340" s="774">
        <f t="shared" si="513"/>
        <v>74.039999999999992</v>
      </c>
      <c r="AO340" s="6093"/>
      <c r="AP340" s="775">
        <f t="shared" si="514"/>
        <v>74.039999999999992</v>
      </c>
      <c r="AQ340" s="6113"/>
      <c r="AR340" s="4935"/>
      <c r="AS340" s="6120"/>
      <c r="AT340" s="4936">
        <f t="shared" si="519"/>
        <v>74.039999999999992</v>
      </c>
      <c r="AU340" s="6113"/>
      <c r="AV340" s="4935"/>
      <c r="AW340" s="6120"/>
      <c r="AX340" s="775">
        <f t="shared" si="515"/>
        <v>74.039999999999992</v>
      </c>
      <c r="AY340" s="6113"/>
      <c r="AZ340" s="4935"/>
      <c r="BA340" s="6057"/>
      <c r="BB340" s="774">
        <f t="shared" si="516"/>
        <v>0</v>
      </c>
      <c r="BC340" s="6067"/>
      <c r="BD340" s="460">
        <f t="shared" si="517"/>
        <v>74.039999999999992</v>
      </c>
      <c r="BE340" s="6120"/>
      <c r="BF340" s="775">
        <f t="shared" si="518"/>
        <v>74.039999999999992</v>
      </c>
      <c r="BG340" s="26">
        <f t="shared" si="520"/>
        <v>0</v>
      </c>
      <c r="BH340" s="26">
        <f t="shared" si="521"/>
        <v>0</v>
      </c>
      <c r="BI340" s="26"/>
      <c r="BJ340" s="26">
        <f t="shared" si="522"/>
        <v>0</v>
      </c>
      <c r="BK340" s="26">
        <f t="shared" si="523"/>
        <v>0</v>
      </c>
    </row>
    <row r="341" spans="1:63" x14ac:dyDescent="0.3">
      <c r="A341" s="196"/>
      <c r="B341" s="3490" t="s">
        <v>883</v>
      </c>
      <c r="C341" s="3449" t="s">
        <v>906</v>
      </c>
      <c r="D341" s="3430"/>
      <c r="E341" s="6106"/>
      <c r="F341" s="1185">
        <v>62</v>
      </c>
      <c r="G341" s="6106"/>
      <c r="H341" s="1185"/>
      <c r="I341" s="6086"/>
      <c r="J341" s="775">
        <f t="shared" si="479"/>
        <v>62</v>
      </c>
      <c r="K341" s="6106"/>
      <c r="L341" s="1185">
        <v>63.68</v>
      </c>
      <c r="M341" s="6050"/>
      <c r="N341" s="774">
        <f t="shared" si="480"/>
        <v>125.68</v>
      </c>
      <c r="O341" s="6106"/>
      <c r="P341" s="1185"/>
      <c r="Q341" s="6086"/>
      <c r="R341" s="775">
        <f t="shared" si="481"/>
        <v>125.68</v>
      </c>
      <c r="S341" s="6106"/>
      <c r="T341" s="1185"/>
      <c r="U341" s="6086"/>
      <c r="V341" s="775">
        <f t="shared" si="482"/>
        <v>125.68</v>
      </c>
      <c r="W341" s="6106"/>
      <c r="X341" s="1185"/>
      <c r="Y341" s="6050"/>
      <c r="Z341" s="774">
        <f t="shared" si="483"/>
        <v>0</v>
      </c>
      <c r="AA341" s="6060"/>
      <c r="AB341" s="460">
        <f t="shared" si="484"/>
        <v>125.68</v>
      </c>
      <c r="AC341" s="6106"/>
      <c r="AD341" s="1185"/>
      <c r="AE341" s="6086"/>
      <c r="AF341" s="775">
        <f t="shared" si="485"/>
        <v>125.68</v>
      </c>
      <c r="AG341" s="6106"/>
      <c r="AH341" s="1185"/>
      <c r="AI341" s="6120"/>
      <c r="AJ341" s="775">
        <f t="shared" si="512"/>
        <v>125.68</v>
      </c>
      <c r="AK341" s="6106"/>
      <c r="AL341" s="1185">
        <v>124.62</v>
      </c>
      <c r="AM341" s="6050"/>
      <c r="AN341" s="774">
        <f t="shared" si="513"/>
        <v>124.62</v>
      </c>
      <c r="AO341" s="6086"/>
      <c r="AP341" s="775">
        <f t="shared" si="514"/>
        <v>250.3</v>
      </c>
      <c r="AQ341" s="6106"/>
      <c r="AR341" s="1185"/>
      <c r="AS341" s="6120"/>
      <c r="AT341" s="775">
        <f t="shared" si="519"/>
        <v>250.3</v>
      </c>
      <c r="AU341" s="6106"/>
      <c r="AV341" s="1185"/>
      <c r="AW341" s="6120"/>
      <c r="AX341" s="775">
        <f t="shared" si="515"/>
        <v>250.3</v>
      </c>
      <c r="AY341" s="6106"/>
      <c r="AZ341" s="1185"/>
      <c r="BA341" s="6050"/>
      <c r="BB341" s="774">
        <f t="shared" si="516"/>
        <v>0</v>
      </c>
      <c r="BC341" s="6060"/>
      <c r="BD341" s="460">
        <f t="shared" si="517"/>
        <v>124.62</v>
      </c>
      <c r="BE341" s="6120"/>
      <c r="BF341" s="775">
        <f t="shared" si="518"/>
        <v>250.3</v>
      </c>
      <c r="BG341" s="26">
        <f t="shared" si="520"/>
        <v>0</v>
      </c>
      <c r="BH341" s="26">
        <f t="shared" si="521"/>
        <v>0</v>
      </c>
      <c r="BI341" s="26"/>
      <c r="BJ341" s="26">
        <f t="shared" si="522"/>
        <v>0</v>
      </c>
      <c r="BK341" s="26">
        <f t="shared" si="523"/>
        <v>0</v>
      </c>
    </row>
    <row r="342" spans="1:63" x14ac:dyDescent="0.3">
      <c r="A342" s="196"/>
      <c r="B342" s="3509" t="s">
        <v>883</v>
      </c>
      <c r="C342" s="3452" t="s">
        <v>1762</v>
      </c>
      <c r="D342" s="3453"/>
      <c r="E342" s="6108"/>
      <c r="F342" s="2537">
        <v>1902.35</v>
      </c>
      <c r="G342" s="6108"/>
      <c r="H342" s="2537">
        <v>1243.0299999999997</v>
      </c>
      <c r="I342" s="6088"/>
      <c r="J342" s="775">
        <f t="shared" si="479"/>
        <v>3145.3799999999997</v>
      </c>
      <c r="K342" s="6108"/>
      <c r="L342" s="2537">
        <v>1535.8000000000002</v>
      </c>
      <c r="M342" s="6052"/>
      <c r="N342" s="774">
        <f t="shared" si="480"/>
        <v>4681.18</v>
      </c>
      <c r="O342" s="6108"/>
      <c r="P342" s="2537">
        <v>2442.44</v>
      </c>
      <c r="Q342" s="6088"/>
      <c r="R342" s="775">
        <f t="shared" si="481"/>
        <v>7123.6200000000008</v>
      </c>
      <c r="S342" s="6108"/>
      <c r="T342" s="2537">
        <v>531.89</v>
      </c>
      <c r="U342" s="6088"/>
      <c r="V342" s="775">
        <f t="shared" si="482"/>
        <v>7655.5100000000011</v>
      </c>
      <c r="W342" s="6108"/>
      <c r="X342" s="2537">
        <v>1034.72</v>
      </c>
      <c r="Y342" s="6052"/>
      <c r="Z342" s="774">
        <f t="shared" si="483"/>
        <v>4009.05</v>
      </c>
      <c r="AA342" s="6062"/>
      <c r="AB342" s="460">
        <f t="shared" si="484"/>
        <v>8690.23</v>
      </c>
      <c r="AC342" s="6108"/>
      <c r="AD342" s="2537">
        <v>390.66000000000008</v>
      </c>
      <c r="AE342" s="6088"/>
      <c r="AF342" s="775">
        <f t="shared" si="485"/>
        <v>9080.89</v>
      </c>
      <c r="AG342" s="6108"/>
      <c r="AH342" s="2537">
        <v>63.52</v>
      </c>
      <c r="AI342" s="6120"/>
      <c r="AJ342" s="775">
        <f t="shared" si="512"/>
        <v>9144.41</v>
      </c>
      <c r="AK342" s="6108"/>
      <c r="AL342" s="2537">
        <v>1697.508</v>
      </c>
      <c r="AM342" s="6052"/>
      <c r="AN342" s="774">
        <f t="shared" si="513"/>
        <v>2151.6880000000001</v>
      </c>
      <c r="AO342" s="6088"/>
      <c r="AP342" s="775">
        <f t="shared" si="514"/>
        <v>10841.918</v>
      </c>
      <c r="AQ342" s="6108"/>
      <c r="AR342" s="2537">
        <v>1400.6799999999998</v>
      </c>
      <c r="AS342" s="6120"/>
      <c r="AT342" s="775">
        <f t="shared" si="519"/>
        <v>12242.598</v>
      </c>
      <c r="AU342" s="6108"/>
      <c r="AV342" s="2537">
        <v>1036.71</v>
      </c>
      <c r="AW342" s="6120"/>
      <c r="AX342" s="775">
        <f t="shared" si="515"/>
        <v>13279.308000000001</v>
      </c>
      <c r="AY342" s="6108"/>
      <c r="AZ342" s="2537">
        <v>1426.8600000000001</v>
      </c>
      <c r="BA342" s="6052"/>
      <c r="BB342" s="774">
        <f t="shared" si="516"/>
        <v>3864.25</v>
      </c>
      <c r="BC342" s="6062"/>
      <c r="BD342" s="460">
        <f t="shared" si="517"/>
        <v>6015.9380000000001</v>
      </c>
      <c r="BE342" s="6120"/>
      <c r="BF342" s="775">
        <f t="shared" si="518"/>
        <v>14706.168000000001</v>
      </c>
      <c r="BG342" s="26">
        <f t="shared" si="520"/>
        <v>0</v>
      </c>
      <c r="BH342" s="26">
        <f t="shared" si="521"/>
        <v>0</v>
      </c>
      <c r="BI342" s="26"/>
      <c r="BJ342" s="26">
        <f t="shared" si="522"/>
        <v>0</v>
      </c>
      <c r="BK342" s="26">
        <f t="shared" si="523"/>
        <v>0</v>
      </c>
    </row>
    <row r="343" spans="1:63" s="92" customFormat="1" x14ac:dyDescent="0.3">
      <c r="A343" s="196"/>
      <c r="B343" s="3509" t="s">
        <v>883</v>
      </c>
      <c r="C343" s="3452" t="s">
        <v>1765</v>
      </c>
      <c r="D343" s="3453"/>
      <c r="E343" s="6108"/>
      <c r="F343" s="2537">
        <v>743.06</v>
      </c>
      <c r="G343" s="6108"/>
      <c r="H343" s="2537">
        <v>436.43000000000006</v>
      </c>
      <c r="I343" s="6088"/>
      <c r="J343" s="775">
        <f t="shared" si="479"/>
        <v>1179.49</v>
      </c>
      <c r="K343" s="6108"/>
      <c r="L343" s="2537">
        <v>736.32999999999993</v>
      </c>
      <c r="M343" s="6052"/>
      <c r="N343" s="774">
        <f t="shared" si="480"/>
        <v>1915.82</v>
      </c>
      <c r="O343" s="6108"/>
      <c r="P343" s="2537">
        <v>1337.73</v>
      </c>
      <c r="Q343" s="6088"/>
      <c r="R343" s="775">
        <f t="shared" si="481"/>
        <v>3253.55</v>
      </c>
      <c r="S343" s="6108"/>
      <c r="T343" s="2537"/>
      <c r="U343" s="6088"/>
      <c r="V343" s="775">
        <f t="shared" si="482"/>
        <v>3253.55</v>
      </c>
      <c r="W343" s="6108"/>
      <c r="X343" s="2537">
        <v>536.23</v>
      </c>
      <c r="Y343" s="6052"/>
      <c r="Z343" s="774">
        <f t="shared" si="483"/>
        <v>1873.96</v>
      </c>
      <c r="AA343" s="6062"/>
      <c r="AB343" s="460">
        <f t="shared" si="484"/>
        <v>3789.7799999999997</v>
      </c>
      <c r="AC343" s="6108"/>
      <c r="AD343" s="2537">
        <v>128.34</v>
      </c>
      <c r="AE343" s="6088"/>
      <c r="AF343" s="775">
        <f t="shared" si="485"/>
        <v>3918.12</v>
      </c>
      <c r="AG343" s="6108"/>
      <c r="AH343" s="2537"/>
      <c r="AI343" s="6120"/>
      <c r="AJ343" s="775">
        <f t="shared" si="512"/>
        <v>3918.12</v>
      </c>
      <c r="AK343" s="6108"/>
      <c r="AL343" s="2537"/>
      <c r="AM343" s="6052"/>
      <c r="AN343" s="774">
        <f t="shared" si="513"/>
        <v>128.34</v>
      </c>
      <c r="AO343" s="6088"/>
      <c r="AP343" s="775">
        <f t="shared" si="514"/>
        <v>3918.12</v>
      </c>
      <c r="AQ343" s="6108"/>
      <c r="AR343" s="2537">
        <v>295.26</v>
      </c>
      <c r="AS343" s="6120"/>
      <c r="AT343" s="775">
        <f t="shared" si="519"/>
        <v>4213.38</v>
      </c>
      <c r="AU343" s="6108"/>
      <c r="AV343" s="2537">
        <v>467.71</v>
      </c>
      <c r="AW343" s="6120"/>
      <c r="AX343" s="775">
        <f t="shared" si="515"/>
        <v>4681.09</v>
      </c>
      <c r="AY343" s="6108"/>
      <c r="AZ343" s="2537">
        <v>540.68100000000004</v>
      </c>
      <c r="BA343" s="6052"/>
      <c r="BB343" s="774">
        <f t="shared" si="516"/>
        <v>1303.6510000000001</v>
      </c>
      <c r="BC343" s="6062"/>
      <c r="BD343" s="460">
        <f t="shared" si="517"/>
        <v>1431.991</v>
      </c>
      <c r="BE343" s="6120"/>
      <c r="BF343" s="775">
        <f t="shared" si="518"/>
        <v>5221.7710000000006</v>
      </c>
      <c r="BG343" s="26">
        <f t="shared" si="520"/>
        <v>0</v>
      </c>
      <c r="BH343" s="26">
        <f t="shared" si="521"/>
        <v>0</v>
      </c>
      <c r="BI343" s="26"/>
      <c r="BJ343" s="26">
        <f t="shared" si="522"/>
        <v>0</v>
      </c>
      <c r="BK343" s="26">
        <f t="shared" si="523"/>
        <v>0</v>
      </c>
    </row>
    <row r="344" spans="1:63" x14ac:dyDescent="0.3">
      <c r="A344" s="196"/>
      <c r="B344" s="3472" t="s">
        <v>883</v>
      </c>
      <c r="C344" s="3443" t="s">
        <v>2245</v>
      </c>
      <c r="D344" s="3422"/>
      <c r="E344" s="6106"/>
      <c r="F344" s="1185"/>
      <c r="G344" s="6106"/>
      <c r="H344" s="1185"/>
      <c r="I344" s="6086"/>
      <c r="J344" s="775">
        <f t="shared" si="479"/>
        <v>0</v>
      </c>
      <c r="K344" s="6106"/>
      <c r="L344" s="1185"/>
      <c r="M344" s="6050"/>
      <c r="N344" s="774">
        <f t="shared" si="480"/>
        <v>0</v>
      </c>
      <c r="O344" s="6106"/>
      <c r="P344" s="1185"/>
      <c r="Q344" s="6086"/>
      <c r="R344" s="775">
        <f t="shared" si="481"/>
        <v>0</v>
      </c>
      <c r="S344" s="6106"/>
      <c r="T344" s="1185"/>
      <c r="U344" s="6086"/>
      <c r="V344" s="775">
        <f t="shared" si="482"/>
        <v>0</v>
      </c>
      <c r="W344" s="6106"/>
      <c r="X344" s="1185"/>
      <c r="Y344" s="6050"/>
      <c r="Z344" s="774">
        <f t="shared" si="483"/>
        <v>0</v>
      </c>
      <c r="AA344" s="6060"/>
      <c r="AB344" s="460">
        <f t="shared" si="484"/>
        <v>0</v>
      </c>
      <c r="AC344" s="6106"/>
      <c r="AD344" s="1185"/>
      <c r="AE344" s="6086"/>
      <c r="AF344" s="775">
        <f t="shared" si="485"/>
        <v>0</v>
      </c>
      <c r="AG344" s="6106"/>
      <c r="AH344" s="1185">
        <v>317.60000000000002</v>
      </c>
      <c r="AI344" s="6120"/>
      <c r="AJ344" s="775">
        <f t="shared" si="512"/>
        <v>317.60000000000002</v>
      </c>
      <c r="AK344" s="6106"/>
      <c r="AL344" s="1185"/>
      <c r="AM344" s="6050"/>
      <c r="AN344" s="774">
        <f t="shared" si="513"/>
        <v>317.60000000000002</v>
      </c>
      <c r="AO344" s="6086"/>
      <c r="AP344" s="775">
        <f t="shared" si="514"/>
        <v>317.60000000000002</v>
      </c>
      <c r="AQ344" s="6106"/>
      <c r="AR344" s="1185">
        <v>578.05999999999995</v>
      </c>
      <c r="AS344" s="6120"/>
      <c r="AT344" s="775">
        <f t="shared" si="519"/>
        <v>895.66</v>
      </c>
      <c r="AU344" s="6106"/>
      <c r="AV344" s="1185"/>
      <c r="AW344" s="6120"/>
      <c r="AX344" s="775">
        <f t="shared" si="515"/>
        <v>895.66</v>
      </c>
      <c r="AY344" s="6106"/>
      <c r="AZ344" s="1185"/>
      <c r="BA344" s="6050"/>
      <c r="BB344" s="774">
        <f t="shared" si="516"/>
        <v>578.05999999999995</v>
      </c>
      <c r="BC344" s="6060"/>
      <c r="BD344" s="460">
        <f t="shared" si="517"/>
        <v>895.66</v>
      </c>
      <c r="BE344" s="6120"/>
      <c r="BF344" s="775">
        <f t="shared" si="518"/>
        <v>895.66</v>
      </c>
      <c r="BG344" s="26">
        <f t="shared" si="520"/>
        <v>0</v>
      </c>
      <c r="BH344" s="26">
        <f t="shared" si="521"/>
        <v>0</v>
      </c>
      <c r="BI344" s="26"/>
      <c r="BJ344" s="26">
        <f t="shared" si="522"/>
        <v>0</v>
      </c>
      <c r="BK344" s="26">
        <f t="shared" si="523"/>
        <v>0</v>
      </c>
    </row>
    <row r="345" spans="1:63" x14ac:dyDescent="0.3">
      <c r="A345" s="196"/>
      <c r="B345" s="3472" t="s">
        <v>882</v>
      </c>
      <c r="C345" s="3443" t="s">
        <v>2053</v>
      </c>
      <c r="D345" s="3422"/>
      <c r="E345" s="6106"/>
      <c r="F345" s="1185"/>
      <c r="G345" s="6106"/>
      <c r="H345" s="1185"/>
      <c r="I345" s="6086"/>
      <c r="J345" s="775">
        <f t="shared" si="479"/>
        <v>0</v>
      </c>
      <c r="K345" s="6106"/>
      <c r="L345" s="1185">
        <v>254.58</v>
      </c>
      <c r="M345" s="6050"/>
      <c r="N345" s="774">
        <f t="shared" si="480"/>
        <v>254.58</v>
      </c>
      <c r="O345" s="6106"/>
      <c r="P345" s="1185"/>
      <c r="Q345" s="6086"/>
      <c r="R345" s="775">
        <f t="shared" si="481"/>
        <v>254.58</v>
      </c>
      <c r="S345" s="6106"/>
      <c r="T345" s="1185"/>
      <c r="U345" s="6086"/>
      <c r="V345" s="775">
        <f t="shared" si="482"/>
        <v>254.58</v>
      </c>
      <c r="W345" s="6106"/>
      <c r="X345" s="1185"/>
      <c r="Y345" s="6050"/>
      <c r="Z345" s="774">
        <f t="shared" si="483"/>
        <v>0</v>
      </c>
      <c r="AA345" s="6060"/>
      <c r="AB345" s="460">
        <f t="shared" si="484"/>
        <v>254.58</v>
      </c>
      <c r="AC345" s="6106"/>
      <c r="AD345" s="1185">
        <v>125</v>
      </c>
      <c r="AE345" s="6086"/>
      <c r="AF345" s="775">
        <f t="shared" si="485"/>
        <v>379.58000000000004</v>
      </c>
      <c r="AG345" s="6106"/>
      <c r="AH345" s="1185">
        <v>189.74</v>
      </c>
      <c r="AI345" s="6120"/>
      <c r="AJ345" s="775">
        <f t="shared" si="512"/>
        <v>569.32000000000005</v>
      </c>
      <c r="AK345" s="6106"/>
      <c r="AL345" s="1185"/>
      <c r="AM345" s="6050"/>
      <c r="AN345" s="774">
        <f t="shared" si="513"/>
        <v>314.74</v>
      </c>
      <c r="AO345" s="6086"/>
      <c r="AP345" s="775">
        <f t="shared" si="514"/>
        <v>569.32000000000005</v>
      </c>
      <c r="AQ345" s="6106"/>
      <c r="AR345" s="1185">
        <v>315.44</v>
      </c>
      <c r="AS345" s="6120"/>
      <c r="AT345" s="775">
        <f t="shared" si="519"/>
        <v>884.76</v>
      </c>
      <c r="AU345" s="6106"/>
      <c r="AV345" s="1185"/>
      <c r="AW345" s="6120"/>
      <c r="AX345" s="775">
        <f t="shared" si="515"/>
        <v>884.76</v>
      </c>
      <c r="AY345" s="6106"/>
      <c r="AZ345" s="1185">
        <v>21.308</v>
      </c>
      <c r="BA345" s="6050"/>
      <c r="BB345" s="774">
        <f t="shared" si="516"/>
        <v>336.74799999999999</v>
      </c>
      <c r="BC345" s="6060"/>
      <c r="BD345" s="460">
        <f t="shared" si="517"/>
        <v>651.48800000000006</v>
      </c>
      <c r="BE345" s="6120"/>
      <c r="BF345" s="775">
        <f t="shared" si="518"/>
        <v>906.06799999999998</v>
      </c>
      <c r="BG345" s="26">
        <f t="shared" si="520"/>
        <v>0</v>
      </c>
      <c r="BH345" s="26">
        <f t="shared" si="521"/>
        <v>0</v>
      </c>
      <c r="BI345" s="26"/>
      <c r="BJ345" s="26">
        <f t="shared" si="522"/>
        <v>0</v>
      </c>
      <c r="BK345" s="26">
        <f t="shared" si="523"/>
        <v>0</v>
      </c>
    </row>
    <row r="346" spans="1:63" x14ac:dyDescent="0.3">
      <c r="A346" s="196"/>
      <c r="B346" s="3472" t="s">
        <v>882</v>
      </c>
      <c r="C346" s="3443" t="s">
        <v>1674</v>
      </c>
      <c r="D346" s="3422"/>
      <c r="E346" s="6106"/>
      <c r="F346" s="1185">
        <v>2761.6</v>
      </c>
      <c r="G346" s="6106"/>
      <c r="H346" s="1185">
        <v>2538.6099999999997</v>
      </c>
      <c r="I346" s="6086"/>
      <c r="J346" s="775">
        <f t="shared" si="479"/>
        <v>5300.2099999999991</v>
      </c>
      <c r="K346" s="6106"/>
      <c r="L346" s="1185">
        <v>2954.35</v>
      </c>
      <c r="M346" s="6050"/>
      <c r="N346" s="774">
        <f t="shared" si="480"/>
        <v>8254.56</v>
      </c>
      <c r="O346" s="6106"/>
      <c r="P346" s="1185">
        <v>3031.1000000000004</v>
      </c>
      <c r="Q346" s="6086"/>
      <c r="R346" s="775">
        <f t="shared" si="481"/>
        <v>11285.66</v>
      </c>
      <c r="S346" s="6106"/>
      <c r="T346" s="1185">
        <v>2467.9</v>
      </c>
      <c r="U346" s="6086"/>
      <c r="V346" s="775">
        <f t="shared" si="482"/>
        <v>13753.56</v>
      </c>
      <c r="W346" s="6106"/>
      <c r="X346" s="1185">
        <v>2696.29</v>
      </c>
      <c r="Y346" s="6050"/>
      <c r="Z346" s="774">
        <f t="shared" si="483"/>
        <v>8195.2900000000009</v>
      </c>
      <c r="AA346" s="6060"/>
      <c r="AB346" s="460">
        <f t="shared" si="484"/>
        <v>16449.849999999999</v>
      </c>
      <c r="AC346" s="6106"/>
      <c r="AD346" s="1185">
        <v>3536.7400000000002</v>
      </c>
      <c r="AE346" s="6086"/>
      <c r="AF346" s="775">
        <f t="shared" si="485"/>
        <v>19986.59</v>
      </c>
      <c r="AG346" s="6106"/>
      <c r="AH346" s="1185">
        <v>2733.97</v>
      </c>
      <c r="AI346" s="6120"/>
      <c r="AJ346" s="775">
        <f t="shared" si="512"/>
        <v>22720.560000000001</v>
      </c>
      <c r="AK346" s="6106"/>
      <c r="AL346" s="1185">
        <v>1831.6019999999999</v>
      </c>
      <c r="AM346" s="6050"/>
      <c r="AN346" s="774">
        <f t="shared" si="513"/>
        <v>8102.3119999999999</v>
      </c>
      <c r="AO346" s="6086"/>
      <c r="AP346" s="775">
        <f t="shared" si="514"/>
        <v>24552.162</v>
      </c>
      <c r="AQ346" s="6106"/>
      <c r="AR346" s="1185">
        <v>4300.7399999999989</v>
      </c>
      <c r="AS346" s="6120"/>
      <c r="AT346" s="775">
        <f t="shared" si="519"/>
        <v>28852.901999999998</v>
      </c>
      <c r="AU346" s="6106"/>
      <c r="AV346" s="1185">
        <v>3220.78</v>
      </c>
      <c r="AW346" s="6120"/>
      <c r="AX346" s="775">
        <f t="shared" si="515"/>
        <v>32073.681999999997</v>
      </c>
      <c r="AY346" s="6106"/>
      <c r="AZ346" s="1185">
        <v>4674.4159999999993</v>
      </c>
      <c r="BA346" s="6050"/>
      <c r="BB346" s="774">
        <f t="shared" si="516"/>
        <v>12195.935999999998</v>
      </c>
      <c r="BC346" s="6060"/>
      <c r="BD346" s="460">
        <f t="shared" si="517"/>
        <v>20298.248</v>
      </c>
      <c r="BE346" s="6120"/>
      <c r="BF346" s="775">
        <f t="shared" si="518"/>
        <v>36748.097999999998</v>
      </c>
      <c r="BG346" s="26">
        <f t="shared" si="520"/>
        <v>0</v>
      </c>
      <c r="BH346" s="26">
        <f t="shared" si="521"/>
        <v>0</v>
      </c>
      <c r="BI346" s="26"/>
      <c r="BJ346" s="26">
        <f t="shared" si="522"/>
        <v>0</v>
      </c>
      <c r="BK346" s="26">
        <f t="shared" si="523"/>
        <v>0</v>
      </c>
    </row>
    <row r="347" spans="1:63" x14ac:dyDescent="0.3">
      <c r="A347" s="196"/>
      <c r="B347" s="3509" t="s">
        <v>882</v>
      </c>
      <c r="C347" s="3452" t="s">
        <v>1766</v>
      </c>
      <c r="D347" s="3453"/>
      <c r="E347" s="6108"/>
      <c r="F347" s="2537">
        <v>543.14</v>
      </c>
      <c r="G347" s="6108"/>
      <c r="H347" s="2537">
        <v>435.21000000000004</v>
      </c>
      <c r="I347" s="6088"/>
      <c r="J347" s="775">
        <f t="shared" si="479"/>
        <v>978.35</v>
      </c>
      <c r="K347" s="6108"/>
      <c r="L347" s="2537">
        <v>571.4</v>
      </c>
      <c r="M347" s="6052"/>
      <c r="N347" s="774">
        <f t="shared" si="480"/>
        <v>1549.75</v>
      </c>
      <c r="O347" s="6108"/>
      <c r="P347" s="2537">
        <v>442.08</v>
      </c>
      <c r="Q347" s="6088"/>
      <c r="R347" s="775">
        <f t="shared" si="481"/>
        <v>1991.83</v>
      </c>
      <c r="S347" s="6108"/>
      <c r="T347" s="2537">
        <v>511.96000000000004</v>
      </c>
      <c r="U347" s="6088"/>
      <c r="V347" s="775">
        <f t="shared" si="482"/>
        <v>2503.79</v>
      </c>
      <c r="W347" s="6108"/>
      <c r="X347" s="2537">
        <v>605.39</v>
      </c>
      <c r="Y347" s="6052"/>
      <c r="Z347" s="774">
        <f t="shared" si="483"/>
        <v>1559.4299999999998</v>
      </c>
      <c r="AA347" s="6062"/>
      <c r="AB347" s="460">
        <f t="shared" si="484"/>
        <v>3109.18</v>
      </c>
      <c r="AC347" s="6108"/>
      <c r="AD347" s="2537">
        <v>309.03999999999996</v>
      </c>
      <c r="AE347" s="6088"/>
      <c r="AF347" s="775">
        <f t="shared" si="485"/>
        <v>3418.22</v>
      </c>
      <c r="AG347" s="6108"/>
      <c r="AH347" s="2537">
        <v>251.96</v>
      </c>
      <c r="AI347" s="6120"/>
      <c r="AJ347" s="775">
        <f t="shared" si="512"/>
        <v>3670.18</v>
      </c>
      <c r="AK347" s="6108"/>
      <c r="AL347" s="2537">
        <v>270.44799999999998</v>
      </c>
      <c r="AM347" s="6052"/>
      <c r="AN347" s="774">
        <f t="shared" si="513"/>
        <v>831.44799999999998</v>
      </c>
      <c r="AO347" s="6088"/>
      <c r="AP347" s="775">
        <f t="shared" si="514"/>
        <v>3940.6279999999997</v>
      </c>
      <c r="AQ347" s="6108"/>
      <c r="AR347" s="2537">
        <v>313.98</v>
      </c>
      <c r="AS347" s="6120"/>
      <c r="AT347" s="775">
        <f t="shared" si="519"/>
        <v>4254.6080000000002</v>
      </c>
      <c r="AU347" s="6108"/>
      <c r="AV347" s="2537">
        <v>168.19</v>
      </c>
      <c r="AW347" s="6120"/>
      <c r="AX347" s="775">
        <f t="shared" si="515"/>
        <v>4422.7979999999998</v>
      </c>
      <c r="AY347" s="6108"/>
      <c r="AZ347" s="2537">
        <v>15.446999999999999</v>
      </c>
      <c r="BA347" s="6052"/>
      <c r="BB347" s="774">
        <f t="shared" si="516"/>
        <v>497.61700000000002</v>
      </c>
      <c r="BC347" s="6062"/>
      <c r="BD347" s="460">
        <f t="shared" si="517"/>
        <v>1329.0650000000001</v>
      </c>
      <c r="BE347" s="6120"/>
      <c r="BF347" s="775">
        <f t="shared" si="518"/>
        <v>4438.2449999999999</v>
      </c>
      <c r="BG347" s="26">
        <f t="shared" si="520"/>
        <v>0</v>
      </c>
      <c r="BH347" s="26">
        <f t="shared" si="521"/>
        <v>0</v>
      </c>
      <c r="BI347" s="26"/>
      <c r="BJ347" s="26">
        <f t="shared" si="522"/>
        <v>0</v>
      </c>
      <c r="BK347" s="26">
        <f t="shared" si="523"/>
        <v>0</v>
      </c>
    </row>
    <row r="348" spans="1:63" x14ac:dyDescent="0.3">
      <c r="A348" s="196"/>
      <c r="B348" s="3472" t="s">
        <v>883</v>
      </c>
      <c r="C348" s="3443" t="s">
        <v>890</v>
      </c>
      <c r="D348" s="3422"/>
      <c r="E348" s="6106"/>
      <c r="F348" s="1185">
        <v>64.62</v>
      </c>
      <c r="G348" s="6106"/>
      <c r="H348" s="1185"/>
      <c r="I348" s="6086"/>
      <c r="J348" s="775">
        <f t="shared" si="479"/>
        <v>64.62</v>
      </c>
      <c r="K348" s="6106"/>
      <c r="L348" s="1185"/>
      <c r="M348" s="6050"/>
      <c r="N348" s="774">
        <f t="shared" si="480"/>
        <v>64.62</v>
      </c>
      <c r="O348" s="6106"/>
      <c r="P348" s="1185"/>
      <c r="Q348" s="6086"/>
      <c r="R348" s="775">
        <f t="shared" si="481"/>
        <v>64.62</v>
      </c>
      <c r="S348" s="6106"/>
      <c r="T348" s="1185"/>
      <c r="U348" s="6086"/>
      <c r="V348" s="775">
        <f t="shared" si="482"/>
        <v>64.62</v>
      </c>
      <c r="W348" s="6106"/>
      <c r="X348" s="1185"/>
      <c r="Y348" s="6050"/>
      <c r="Z348" s="774">
        <f t="shared" si="483"/>
        <v>0</v>
      </c>
      <c r="AA348" s="6060"/>
      <c r="AB348" s="460">
        <f t="shared" si="484"/>
        <v>64.62</v>
      </c>
      <c r="AC348" s="6106"/>
      <c r="AD348" s="1185"/>
      <c r="AE348" s="6086"/>
      <c r="AF348" s="775">
        <f t="shared" si="485"/>
        <v>64.62</v>
      </c>
      <c r="AG348" s="6106"/>
      <c r="AH348" s="1185"/>
      <c r="AI348" s="6120"/>
      <c r="AJ348" s="775">
        <f t="shared" si="512"/>
        <v>64.62</v>
      </c>
      <c r="AK348" s="6106"/>
      <c r="AL348" s="1185"/>
      <c r="AM348" s="6050"/>
      <c r="AN348" s="774">
        <f t="shared" si="513"/>
        <v>0</v>
      </c>
      <c r="AO348" s="6086"/>
      <c r="AP348" s="775">
        <f t="shared" si="514"/>
        <v>64.62</v>
      </c>
      <c r="AQ348" s="6106"/>
      <c r="AR348" s="1185"/>
      <c r="AS348" s="6120"/>
      <c r="AT348" s="775">
        <f t="shared" si="519"/>
        <v>64.62</v>
      </c>
      <c r="AU348" s="6106"/>
      <c r="AV348" s="1185"/>
      <c r="AW348" s="6120"/>
      <c r="AX348" s="775">
        <f t="shared" si="515"/>
        <v>64.62</v>
      </c>
      <c r="AY348" s="6106"/>
      <c r="AZ348" s="1185"/>
      <c r="BA348" s="6050"/>
      <c r="BB348" s="774">
        <f t="shared" si="516"/>
        <v>0</v>
      </c>
      <c r="BC348" s="6060"/>
      <c r="BD348" s="460">
        <f t="shared" si="517"/>
        <v>0</v>
      </c>
      <c r="BE348" s="6120"/>
      <c r="BF348" s="775">
        <f t="shared" si="518"/>
        <v>64.62</v>
      </c>
      <c r="BG348" s="26">
        <f t="shared" si="520"/>
        <v>0</v>
      </c>
      <c r="BH348" s="26">
        <f t="shared" si="521"/>
        <v>0</v>
      </c>
      <c r="BI348" s="26"/>
      <c r="BJ348" s="26">
        <f t="shared" si="522"/>
        <v>0</v>
      </c>
      <c r="BK348" s="26">
        <f t="shared" si="523"/>
        <v>0</v>
      </c>
    </row>
    <row r="349" spans="1:63" x14ac:dyDescent="0.3">
      <c r="A349" s="196"/>
      <c r="B349" s="3472" t="s">
        <v>882</v>
      </c>
      <c r="C349" s="3443" t="s">
        <v>2339</v>
      </c>
      <c r="D349" s="5459"/>
      <c r="E349" s="6114"/>
      <c r="F349" s="5453"/>
      <c r="G349" s="6114"/>
      <c r="H349" s="5453"/>
      <c r="I349" s="6094"/>
      <c r="J349" s="5460"/>
      <c r="K349" s="6114"/>
      <c r="L349" s="5453"/>
      <c r="M349" s="6058"/>
      <c r="N349" s="5461"/>
      <c r="O349" s="6114"/>
      <c r="P349" s="5453"/>
      <c r="Q349" s="6094"/>
      <c r="R349" s="5460"/>
      <c r="S349" s="6114"/>
      <c r="T349" s="5453"/>
      <c r="U349" s="6094"/>
      <c r="V349" s="5460"/>
      <c r="W349" s="6114"/>
      <c r="X349" s="5453"/>
      <c r="Y349" s="6058"/>
      <c r="Z349" s="5461"/>
      <c r="AA349" s="6068"/>
      <c r="AB349" s="5712"/>
      <c r="AC349" s="6114"/>
      <c r="AD349" s="5453"/>
      <c r="AE349" s="6094"/>
      <c r="AF349" s="5460"/>
      <c r="AG349" s="6114"/>
      <c r="AH349" s="5453"/>
      <c r="AI349" s="6120"/>
      <c r="AJ349" s="5460"/>
      <c r="AK349" s="6114"/>
      <c r="AL349" s="5453"/>
      <c r="AM349" s="6058"/>
      <c r="AN349" s="5461"/>
      <c r="AO349" s="6094"/>
      <c r="AP349" s="5460"/>
      <c r="AQ349" s="6114"/>
      <c r="AR349" s="5453"/>
      <c r="AS349" s="6120"/>
      <c r="AT349" s="5460"/>
      <c r="AU349" s="6114"/>
      <c r="AV349" s="5453"/>
      <c r="AW349" s="6120"/>
      <c r="AX349" s="5460"/>
      <c r="AY349" s="6114"/>
      <c r="AZ349" s="5453">
        <v>62.46</v>
      </c>
      <c r="BA349" s="6058"/>
      <c r="BB349" s="774">
        <f t="shared" si="516"/>
        <v>62.46</v>
      </c>
      <c r="BC349" s="6068"/>
      <c r="BD349" s="460">
        <f t="shared" si="517"/>
        <v>62.46</v>
      </c>
      <c r="BE349" s="6120"/>
      <c r="BF349" s="775">
        <f t="shared" si="518"/>
        <v>62.46</v>
      </c>
      <c r="BG349" s="26">
        <f t="shared" si="520"/>
        <v>0</v>
      </c>
      <c r="BH349" s="26">
        <f t="shared" si="521"/>
        <v>0</v>
      </c>
      <c r="BI349" s="26"/>
      <c r="BJ349" s="26">
        <f t="shared" si="522"/>
        <v>0</v>
      </c>
      <c r="BK349" s="26">
        <f t="shared" si="523"/>
        <v>0</v>
      </c>
    </row>
    <row r="350" spans="1:63" x14ac:dyDescent="0.3">
      <c r="A350" s="196"/>
      <c r="B350" s="3472" t="s">
        <v>882</v>
      </c>
      <c r="C350" s="3443" t="s">
        <v>1441</v>
      </c>
      <c r="D350" s="3422"/>
      <c r="E350" s="6110"/>
      <c r="F350" s="1185"/>
      <c r="G350" s="6110"/>
      <c r="H350" s="1185"/>
      <c r="I350" s="6090"/>
      <c r="J350" s="775">
        <f t="shared" si="479"/>
        <v>0</v>
      </c>
      <c r="K350" s="6110"/>
      <c r="L350" s="1185"/>
      <c r="M350" s="6054"/>
      <c r="N350" s="774">
        <f t="shared" si="480"/>
        <v>0</v>
      </c>
      <c r="O350" s="6110"/>
      <c r="P350" s="1185"/>
      <c r="Q350" s="6090"/>
      <c r="R350" s="775">
        <f t="shared" si="481"/>
        <v>0</v>
      </c>
      <c r="S350" s="6110"/>
      <c r="T350" s="1185"/>
      <c r="U350" s="6090"/>
      <c r="V350" s="775">
        <f t="shared" si="482"/>
        <v>0</v>
      </c>
      <c r="W350" s="6110"/>
      <c r="X350" s="1185"/>
      <c r="Y350" s="6054"/>
      <c r="Z350" s="774">
        <f t="shared" si="483"/>
        <v>0</v>
      </c>
      <c r="AA350" s="6064"/>
      <c r="AB350" s="460">
        <f t="shared" si="484"/>
        <v>0</v>
      </c>
      <c r="AC350" s="6110"/>
      <c r="AD350" s="1185"/>
      <c r="AE350" s="6090"/>
      <c r="AF350" s="775">
        <f t="shared" si="485"/>
        <v>0</v>
      </c>
      <c r="AG350" s="6110"/>
      <c r="AH350" s="1185"/>
      <c r="AI350" s="6120"/>
      <c r="AJ350" s="775">
        <f t="shared" si="512"/>
        <v>0</v>
      </c>
      <c r="AK350" s="6110"/>
      <c r="AL350" s="1185"/>
      <c r="AM350" s="6054"/>
      <c r="AN350" s="774">
        <f t="shared" si="513"/>
        <v>0</v>
      </c>
      <c r="AO350" s="6090"/>
      <c r="AP350" s="775">
        <f t="shared" si="514"/>
        <v>0</v>
      </c>
      <c r="AQ350" s="6110"/>
      <c r="AR350" s="1185"/>
      <c r="AS350" s="6120"/>
      <c r="AT350" s="775">
        <f t="shared" si="519"/>
        <v>0</v>
      </c>
      <c r="AU350" s="6110"/>
      <c r="AV350" s="1185"/>
      <c r="AW350" s="6120"/>
      <c r="AX350" s="775">
        <f t="shared" si="515"/>
        <v>0</v>
      </c>
      <c r="AY350" s="6110"/>
      <c r="AZ350" s="1185"/>
      <c r="BA350" s="6054"/>
      <c r="BB350" s="774">
        <f t="shared" si="516"/>
        <v>0</v>
      </c>
      <c r="BC350" s="6064"/>
      <c r="BD350" s="460">
        <f t="shared" si="517"/>
        <v>0</v>
      </c>
      <c r="BE350" s="6120"/>
      <c r="BF350" s="775">
        <f t="shared" si="518"/>
        <v>0</v>
      </c>
      <c r="BG350" s="26">
        <f t="shared" si="520"/>
        <v>0</v>
      </c>
      <c r="BH350" s="26">
        <f t="shared" si="521"/>
        <v>0</v>
      </c>
      <c r="BI350" s="26"/>
      <c r="BJ350" s="26">
        <f t="shared" si="522"/>
        <v>0</v>
      </c>
      <c r="BK350" s="26">
        <f t="shared" si="523"/>
        <v>0</v>
      </c>
    </row>
    <row r="351" spans="1:63" x14ac:dyDescent="0.3">
      <c r="A351" s="196"/>
      <c r="B351" s="3509" t="s">
        <v>882</v>
      </c>
      <c r="C351" s="3452" t="s">
        <v>1755</v>
      </c>
      <c r="D351" s="3453"/>
      <c r="E351" s="6108"/>
      <c r="F351" s="2537">
        <v>220.63</v>
      </c>
      <c r="G351" s="6108"/>
      <c r="H351" s="2537">
        <v>255.23</v>
      </c>
      <c r="I351" s="6088"/>
      <c r="J351" s="775">
        <f t="shared" si="479"/>
        <v>475.86</v>
      </c>
      <c r="K351" s="6108"/>
      <c r="L351" s="2537">
        <v>176.98000000000002</v>
      </c>
      <c r="M351" s="6052"/>
      <c r="N351" s="774">
        <f t="shared" si="480"/>
        <v>652.84</v>
      </c>
      <c r="O351" s="6108"/>
      <c r="P351" s="2537"/>
      <c r="Q351" s="6088"/>
      <c r="R351" s="775">
        <f t="shared" si="481"/>
        <v>652.84</v>
      </c>
      <c r="S351" s="6108"/>
      <c r="T351" s="2537"/>
      <c r="U351" s="6088"/>
      <c r="V351" s="775">
        <f t="shared" si="482"/>
        <v>652.84</v>
      </c>
      <c r="W351" s="6108"/>
      <c r="X351" s="2537">
        <v>473.12999999999994</v>
      </c>
      <c r="Y351" s="6052"/>
      <c r="Z351" s="774">
        <f t="shared" si="483"/>
        <v>473.12999999999994</v>
      </c>
      <c r="AA351" s="6062"/>
      <c r="AB351" s="460">
        <f t="shared" si="484"/>
        <v>1125.97</v>
      </c>
      <c r="AC351" s="6108"/>
      <c r="AD351" s="2537"/>
      <c r="AE351" s="6088"/>
      <c r="AF351" s="775">
        <f t="shared" si="485"/>
        <v>1125.97</v>
      </c>
      <c r="AG351" s="6108"/>
      <c r="AH351" s="2537"/>
      <c r="AI351" s="6120"/>
      <c r="AJ351" s="775">
        <f t="shared" si="512"/>
        <v>1125.97</v>
      </c>
      <c r="AK351" s="6108"/>
      <c r="AL351" s="2537">
        <v>341.16499999999996</v>
      </c>
      <c r="AM351" s="6052"/>
      <c r="AN351" s="774">
        <f t="shared" si="513"/>
        <v>341.16499999999996</v>
      </c>
      <c r="AO351" s="6088"/>
      <c r="AP351" s="775">
        <f t="shared" si="514"/>
        <v>1467.135</v>
      </c>
      <c r="AQ351" s="6108"/>
      <c r="AR351" s="2537"/>
      <c r="AS351" s="6120"/>
      <c r="AT351" s="775">
        <f t="shared" si="519"/>
        <v>1467.135</v>
      </c>
      <c r="AU351" s="6108"/>
      <c r="AV351" s="2537"/>
      <c r="AW351" s="6120"/>
      <c r="AX351" s="775">
        <f t="shared" si="515"/>
        <v>1467.135</v>
      </c>
      <c r="AY351" s="6108"/>
      <c r="AZ351" s="2537">
        <v>94.692999999999998</v>
      </c>
      <c r="BA351" s="6052"/>
      <c r="BB351" s="774">
        <f t="shared" si="516"/>
        <v>94.692999999999998</v>
      </c>
      <c r="BC351" s="6062"/>
      <c r="BD351" s="460">
        <f t="shared" si="517"/>
        <v>435.85799999999995</v>
      </c>
      <c r="BE351" s="6120"/>
      <c r="BF351" s="775">
        <f t="shared" si="518"/>
        <v>1561.828</v>
      </c>
      <c r="BG351" s="26">
        <f t="shared" si="520"/>
        <v>0</v>
      </c>
      <c r="BH351" s="26">
        <f t="shared" si="521"/>
        <v>0</v>
      </c>
      <c r="BI351" s="26"/>
      <c r="BJ351" s="26">
        <f t="shared" si="522"/>
        <v>0</v>
      </c>
      <c r="BK351" s="26">
        <f t="shared" si="523"/>
        <v>0</v>
      </c>
    </row>
    <row r="352" spans="1:63" ht="15" thickBot="1" x14ac:dyDescent="0.35">
      <c r="A352" s="196"/>
      <c r="B352" s="3476" t="s">
        <v>882</v>
      </c>
      <c r="C352" s="3477" t="s">
        <v>1767</v>
      </c>
      <c r="D352" s="3505"/>
      <c r="E352" s="6108"/>
      <c r="F352" s="2537">
        <v>65.52</v>
      </c>
      <c r="G352" s="6108"/>
      <c r="H352" s="2537"/>
      <c r="I352" s="6088"/>
      <c r="J352" s="775">
        <f t="shared" si="479"/>
        <v>65.52</v>
      </c>
      <c r="K352" s="6108"/>
      <c r="L352" s="2537"/>
      <c r="M352" s="6052"/>
      <c r="N352" s="774">
        <f t="shared" si="480"/>
        <v>65.52</v>
      </c>
      <c r="O352" s="6108"/>
      <c r="P352" s="2537"/>
      <c r="Q352" s="6088"/>
      <c r="R352" s="775">
        <f t="shared" si="481"/>
        <v>65.52</v>
      </c>
      <c r="S352" s="6108"/>
      <c r="T352" s="2537"/>
      <c r="U352" s="6088"/>
      <c r="V352" s="775">
        <f t="shared" si="482"/>
        <v>65.52</v>
      </c>
      <c r="W352" s="6108"/>
      <c r="X352" s="2537"/>
      <c r="Y352" s="6052"/>
      <c r="Z352" s="774">
        <f t="shared" si="483"/>
        <v>0</v>
      </c>
      <c r="AA352" s="6062"/>
      <c r="AB352" s="460">
        <f t="shared" si="484"/>
        <v>65.52</v>
      </c>
      <c r="AC352" s="6108"/>
      <c r="AD352" s="2537"/>
      <c r="AE352" s="6088"/>
      <c r="AF352" s="775">
        <f t="shared" si="485"/>
        <v>65.52</v>
      </c>
      <c r="AG352" s="6108"/>
      <c r="AH352" s="2537"/>
      <c r="AI352" s="6120"/>
      <c r="AJ352" s="775">
        <f t="shared" si="512"/>
        <v>65.52</v>
      </c>
      <c r="AK352" s="6108"/>
      <c r="AL352" s="2537"/>
      <c r="AM352" s="6052"/>
      <c r="AN352" s="774">
        <f t="shared" si="513"/>
        <v>0</v>
      </c>
      <c r="AO352" s="6088"/>
      <c r="AP352" s="775">
        <f t="shared" si="514"/>
        <v>65.52</v>
      </c>
      <c r="AQ352" s="6108"/>
      <c r="AR352" s="2537"/>
      <c r="AS352" s="6120"/>
      <c r="AT352" s="775">
        <f t="shared" si="519"/>
        <v>65.52</v>
      </c>
      <c r="AU352" s="6108"/>
      <c r="AV352" s="2537"/>
      <c r="AW352" s="6120"/>
      <c r="AX352" s="775">
        <f t="shared" si="515"/>
        <v>65.52</v>
      </c>
      <c r="AY352" s="6108"/>
      <c r="AZ352" s="2537"/>
      <c r="BA352" s="6052"/>
      <c r="BB352" s="774">
        <f t="shared" si="516"/>
        <v>0</v>
      </c>
      <c r="BC352" s="6062"/>
      <c r="BD352" s="460">
        <f t="shared" si="517"/>
        <v>0</v>
      </c>
      <c r="BE352" s="6120"/>
      <c r="BF352" s="775">
        <f t="shared" si="518"/>
        <v>65.52</v>
      </c>
      <c r="BG352" s="26">
        <f t="shared" si="520"/>
        <v>0</v>
      </c>
      <c r="BH352" s="26">
        <f t="shared" si="521"/>
        <v>0</v>
      </c>
      <c r="BI352" s="26"/>
      <c r="BJ352" s="26">
        <f t="shared" si="522"/>
        <v>0</v>
      </c>
      <c r="BK352" s="26">
        <f t="shared" si="523"/>
        <v>0</v>
      </c>
    </row>
    <row r="353" spans="1:63" x14ac:dyDescent="0.3">
      <c r="A353" s="196"/>
      <c r="B353" s="2776" t="s">
        <v>893</v>
      </c>
      <c r="C353" s="3417" t="s">
        <v>1825</v>
      </c>
      <c r="D353" s="3506"/>
      <c r="E353" s="6111"/>
      <c r="F353" s="1185">
        <v>1041.25</v>
      </c>
      <c r="G353" s="6111"/>
      <c r="H353" s="1185">
        <v>397.19999999999993</v>
      </c>
      <c r="I353" s="6135"/>
      <c r="J353" s="775">
        <f t="shared" si="479"/>
        <v>1438.4499999999998</v>
      </c>
      <c r="K353" s="6111"/>
      <c r="L353" s="1185">
        <v>382.47</v>
      </c>
      <c r="M353" s="6050"/>
      <c r="N353" s="774">
        <f t="shared" si="480"/>
        <v>1820.9199999999998</v>
      </c>
      <c r="O353" s="6111"/>
      <c r="P353" s="1185">
        <v>760.8</v>
      </c>
      <c r="Q353" s="6086"/>
      <c r="R353" s="775">
        <f t="shared" si="481"/>
        <v>2581.7199999999998</v>
      </c>
      <c r="S353" s="6111"/>
      <c r="T353" s="1185">
        <v>929.64</v>
      </c>
      <c r="U353" s="6086"/>
      <c r="V353" s="775">
        <f t="shared" si="482"/>
        <v>3511.3599999999997</v>
      </c>
      <c r="W353" s="6111"/>
      <c r="X353" s="1185">
        <v>1787.6599999999999</v>
      </c>
      <c r="Y353" s="6050"/>
      <c r="Z353" s="774">
        <f t="shared" si="483"/>
        <v>3478.1</v>
      </c>
      <c r="AA353" s="6060"/>
      <c r="AB353" s="460">
        <f t="shared" si="484"/>
        <v>5299.0199999999995</v>
      </c>
      <c r="AC353" s="6111"/>
      <c r="AD353" s="1185">
        <v>125.16</v>
      </c>
      <c r="AE353" s="6086"/>
      <c r="AF353" s="775">
        <f t="shared" si="485"/>
        <v>5424.1799999999994</v>
      </c>
      <c r="AG353" s="6111"/>
      <c r="AH353" s="1185">
        <v>689</v>
      </c>
      <c r="AI353" s="6120"/>
      <c r="AJ353" s="775">
        <f t="shared" si="512"/>
        <v>6113.1799999999994</v>
      </c>
      <c r="AK353" s="6111"/>
      <c r="AL353" s="1185">
        <v>634.54</v>
      </c>
      <c r="AM353" s="6050"/>
      <c r="AN353" s="774">
        <f t="shared" si="513"/>
        <v>1448.6999999999998</v>
      </c>
      <c r="AO353" s="6086"/>
      <c r="AP353" s="775">
        <f t="shared" si="514"/>
        <v>6747.7199999999993</v>
      </c>
      <c r="AQ353" s="6111"/>
      <c r="AR353" s="1185">
        <v>524.62</v>
      </c>
      <c r="AS353" s="6120"/>
      <c r="AT353" s="775">
        <f t="shared" si="519"/>
        <v>7272.3399999999992</v>
      </c>
      <c r="AU353" s="6111"/>
      <c r="AV353" s="1185">
        <v>849.32</v>
      </c>
      <c r="AW353" s="6120"/>
      <c r="AX353" s="775">
        <f t="shared" si="515"/>
        <v>8121.6599999999989</v>
      </c>
      <c r="AY353" s="6111"/>
      <c r="AZ353" s="1185">
        <v>1107.76</v>
      </c>
      <c r="BA353" s="6050"/>
      <c r="BB353" s="774">
        <f t="shared" si="516"/>
        <v>2481.6999999999998</v>
      </c>
      <c r="BC353" s="6060"/>
      <c r="BD353" s="460">
        <f t="shared" si="517"/>
        <v>3930.3999999999996</v>
      </c>
      <c r="BE353" s="6120"/>
      <c r="BF353" s="775">
        <f t="shared" si="518"/>
        <v>9229.4199999999983</v>
      </c>
      <c r="BG353" s="26">
        <f t="shared" si="520"/>
        <v>0</v>
      </c>
      <c r="BH353" s="26">
        <f t="shared" si="521"/>
        <v>0</v>
      </c>
      <c r="BI353" s="26"/>
      <c r="BJ353" s="26">
        <f t="shared" si="522"/>
        <v>0</v>
      </c>
      <c r="BK353" s="26">
        <f t="shared" si="523"/>
        <v>0</v>
      </c>
    </row>
    <row r="354" spans="1:63" x14ac:dyDescent="0.3">
      <c r="A354" s="196"/>
      <c r="B354" s="842" t="s">
        <v>893</v>
      </c>
      <c r="C354" s="3453" t="s">
        <v>1381</v>
      </c>
      <c r="D354" s="3507"/>
      <c r="E354" s="6111"/>
      <c r="F354" s="1185"/>
      <c r="G354" s="6111"/>
      <c r="H354" s="1185"/>
      <c r="I354" s="6135"/>
      <c r="J354" s="775">
        <f t="shared" si="479"/>
        <v>0</v>
      </c>
      <c r="K354" s="6111"/>
      <c r="L354" s="1185"/>
      <c r="M354" s="6050"/>
      <c r="N354" s="774">
        <f t="shared" si="480"/>
        <v>0</v>
      </c>
      <c r="O354" s="6111"/>
      <c r="P354" s="1185"/>
      <c r="Q354" s="6086"/>
      <c r="R354" s="775">
        <f t="shared" si="481"/>
        <v>0</v>
      </c>
      <c r="S354" s="6111"/>
      <c r="T354" s="1185"/>
      <c r="U354" s="6086"/>
      <c r="V354" s="775">
        <f t="shared" si="482"/>
        <v>0</v>
      </c>
      <c r="W354" s="6111"/>
      <c r="X354" s="1185"/>
      <c r="Y354" s="6050"/>
      <c r="Z354" s="774">
        <f t="shared" si="483"/>
        <v>0</v>
      </c>
      <c r="AA354" s="6060"/>
      <c r="AB354" s="460">
        <f t="shared" si="484"/>
        <v>0</v>
      </c>
      <c r="AC354" s="6111"/>
      <c r="AD354" s="1185"/>
      <c r="AE354" s="6086"/>
      <c r="AF354" s="775">
        <f t="shared" si="485"/>
        <v>0</v>
      </c>
      <c r="AG354" s="6111"/>
      <c r="AH354" s="1185"/>
      <c r="AI354" s="6120"/>
      <c r="AJ354" s="775">
        <f t="shared" si="512"/>
        <v>0</v>
      </c>
      <c r="AK354" s="6111"/>
      <c r="AL354" s="1185"/>
      <c r="AM354" s="6050"/>
      <c r="AN354" s="774">
        <f t="shared" si="513"/>
        <v>0</v>
      </c>
      <c r="AO354" s="6086"/>
      <c r="AP354" s="775">
        <f t="shared" si="514"/>
        <v>0</v>
      </c>
      <c r="AQ354" s="6111"/>
      <c r="AR354" s="1185"/>
      <c r="AS354" s="6120"/>
      <c r="AT354" s="775">
        <f t="shared" si="519"/>
        <v>0</v>
      </c>
      <c r="AU354" s="6111"/>
      <c r="AV354" s="1185"/>
      <c r="AW354" s="6120"/>
      <c r="AX354" s="775">
        <f t="shared" si="515"/>
        <v>0</v>
      </c>
      <c r="AY354" s="6111"/>
      <c r="AZ354" s="1185"/>
      <c r="BA354" s="6050"/>
      <c r="BB354" s="774">
        <f t="shared" si="516"/>
        <v>0</v>
      </c>
      <c r="BC354" s="6060"/>
      <c r="BD354" s="460">
        <f t="shared" si="517"/>
        <v>0</v>
      </c>
      <c r="BE354" s="6120"/>
      <c r="BF354" s="775">
        <f t="shared" si="518"/>
        <v>0</v>
      </c>
      <c r="BG354" s="26">
        <f t="shared" si="520"/>
        <v>0</v>
      </c>
      <c r="BH354" s="26">
        <f t="shared" si="521"/>
        <v>0</v>
      </c>
      <c r="BI354" s="26"/>
      <c r="BJ354" s="26">
        <f t="shared" si="522"/>
        <v>0</v>
      </c>
      <c r="BK354" s="26">
        <f t="shared" si="523"/>
        <v>0</v>
      </c>
    </row>
    <row r="355" spans="1:63" x14ac:dyDescent="0.3">
      <c r="A355" s="196"/>
      <c r="B355" s="842" t="s">
        <v>884</v>
      </c>
      <c r="C355" s="3453" t="s">
        <v>1574</v>
      </c>
      <c r="D355" s="3507"/>
      <c r="E355" s="6111"/>
      <c r="F355" s="1185">
        <v>887.33</v>
      </c>
      <c r="G355" s="6111"/>
      <c r="H355" s="1185">
        <v>426.17</v>
      </c>
      <c r="I355" s="6135"/>
      <c r="J355" s="775">
        <f t="shared" si="479"/>
        <v>1313.5</v>
      </c>
      <c r="K355" s="6111"/>
      <c r="L355" s="1185">
        <v>128.68</v>
      </c>
      <c r="M355" s="6050"/>
      <c r="N355" s="774">
        <f t="shared" si="480"/>
        <v>1442.18</v>
      </c>
      <c r="O355" s="6111"/>
      <c r="P355" s="1185">
        <v>32.770000000000003</v>
      </c>
      <c r="Q355" s="6086"/>
      <c r="R355" s="775">
        <f t="shared" si="481"/>
        <v>1474.95</v>
      </c>
      <c r="S355" s="6111"/>
      <c r="T355" s="1185">
        <v>391.9</v>
      </c>
      <c r="U355" s="6086"/>
      <c r="V355" s="775">
        <f t="shared" si="482"/>
        <v>1866.85</v>
      </c>
      <c r="W355" s="6111"/>
      <c r="X355" s="1185">
        <v>709.66</v>
      </c>
      <c r="Y355" s="6050"/>
      <c r="Z355" s="774">
        <f t="shared" si="483"/>
        <v>1134.33</v>
      </c>
      <c r="AA355" s="6060"/>
      <c r="AB355" s="460">
        <f t="shared" si="484"/>
        <v>2576.5100000000002</v>
      </c>
      <c r="AC355" s="6111"/>
      <c r="AD355" s="1185"/>
      <c r="AE355" s="6086"/>
      <c r="AF355" s="775">
        <f t="shared" si="485"/>
        <v>2576.5100000000002</v>
      </c>
      <c r="AG355" s="6111"/>
      <c r="AH355" s="1185"/>
      <c r="AI355" s="6120"/>
      <c r="AJ355" s="775">
        <f t="shared" si="512"/>
        <v>2576.5100000000002</v>
      </c>
      <c r="AK355" s="6111"/>
      <c r="AL355" s="1185"/>
      <c r="AM355" s="6050"/>
      <c r="AN355" s="774">
        <f t="shared" si="513"/>
        <v>0</v>
      </c>
      <c r="AO355" s="6086"/>
      <c r="AP355" s="775">
        <f t="shared" si="514"/>
        <v>2576.5100000000002</v>
      </c>
      <c r="AQ355" s="6111"/>
      <c r="AR355" s="1185"/>
      <c r="AS355" s="6120"/>
      <c r="AT355" s="775">
        <f t="shared" si="519"/>
        <v>2576.5100000000002</v>
      </c>
      <c r="AU355" s="6111"/>
      <c r="AV355" s="1185"/>
      <c r="AW355" s="6120"/>
      <c r="AX355" s="775">
        <f t="shared" si="515"/>
        <v>2576.5100000000002</v>
      </c>
      <c r="AY355" s="6111"/>
      <c r="AZ355" s="1185"/>
      <c r="BA355" s="6050"/>
      <c r="BB355" s="774">
        <f t="shared" si="516"/>
        <v>0</v>
      </c>
      <c r="BC355" s="6060"/>
      <c r="BD355" s="460">
        <f t="shared" si="517"/>
        <v>0</v>
      </c>
      <c r="BE355" s="6120"/>
      <c r="BF355" s="775">
        <f t="shared" si="518"/>
        <v>2576.5100000000002</v>
      </c>
      <c r="BG355" s="26">
        <f t="shared" si="520"/>
        <v>0</v>
      </c>
      <c r="BH355" s="26">
        <f t="shared" si="521"/>
        <v>0</v>
      </c>
      <c r="BI355" s="26"/>
      <c r="BJ355" s="26">
        <f t="shared" si="522"/>
        <v>0</v>
      </c>
      <c r="BK355" s="26">
        <f t="shared" si="523"/>
        <v>0</v>
      </c>
    </row>
    <row r="356" spans="1:63" x14ac:dyDescent="0.3">
      <c r="A356" s="196"/>
      <c r="B356" s="3510" t="s">
        <v>884</v>
      </c>
      <c r="C356" s="3453" t="s">
        <v>891</v>
      </c>
      <c r="D356" s="3507"/>
      <c r="E356" s="6111"/>
      <c r="F356" s="1185"/>
      <c r="G356" s="6111"/>
      <c r="H356" s="1185"/>
      <c r="I356" s="6135"/>
      <c r="J356" s="775">
        <f t="shared" si="479"/>
        <v>0</v>
      </c>
      <c r="K356" s="6111"/>
      <c r="L356" s="1185"/>
      <c r="M356" s="6050"/>
      <c r="N356" s="774">
        <f t="shared" si="480"/>
        <v>0</v>
      </c>
      <c r="O356" s="6111"/>
      <c r="P356" s="1185"/>
      <c r="Q356" s="6086"/>
      <c r="R356" s="775">
        <f t="shared" si="481"/>
        <v>0</v>
      </c>
      <c r="S356" s="6111"/>
      <c r="T356" s="1185"/>
      <c r="U356" s="6086"/>
      <c r="V356" s="775">
        <f t="shared" si="482"/>
        <v>0</v>
      </c>
      <c r="W356" s="6111"/>
      <c r="X356" s="1185">
        <v>493.1</v>
      </c>
      <c r="Y356" s="6050"/>
      <c r="Z356" s="774">
        <f t="shared" si="483"/>
        <v>493.1</v>
      </c>
      <c r="AA356" s="6060"/>
      <c r="AB356" s="460">
        <f t="shared" si="484"/>
        <v>493.1</v>
      </c>
      <c r="AC356" s="6111"/>
      <c r="AD356" s="1185"/>
      <c r="AE356" s="6086"/>
      <c r="AF356" s="775">
        <f t="shared" si="485"/>
        <v>493.1</v>
      </c>
      <c r="AG356" s="6111"/>
      <c r="AH356" s="1185"/>
      <c r="AI356" s="6120"/>
      <c r="AJ356" s="775">
        <f t="shared" si="512"/>
        <v>493.1</v>
      </c>
      <c r="AK356" s="6111"/>
      <c r="AL356" s="1185"/>
      <c r="AM356" s="6050"/>
      <c r="AN356" s="774">
        <f t="shared" si="513"/>
        <v>0</v>
      </c>
      <c r="AO356" s="6086"/>
      <c r="AP356" s="775">
        <f t="shared" si="514"/>
        <v>493.1</v>
      </c>
      <c r="AQ356" s="6111"/>
      <c r="AR356" s="1185"/>
      <c r="AS356" s="6120"/>
      <c r="AT356" s="775">
        <f t="shared" si="519"/>
        <v>493.1</v>
      </c>
      <c r="AU356" s="6111"/>
      <c r="AV356" s="1185"/>
      <c r="AW356" s="6120"/>
      <c r="AX356" s="775">
        <f t="shared" si="515"/>
        <v>493.1</v>
      </c>
      <c r="AY356" s="6111"/>
      <c r="AZ356" s="1185"/>
      <c r="BA356" s="6050"/>
      <c r="BB356" s="774">
        <f t="shared" si="516"/>
        <v>0</v>
      </c>
      <c r="BC356" s="6060"/>
      <c r="BD356" s="460">
        <f t="shared" si="517"/>
        <v>0</v>
      </c>
      <c r="BE356" s="6120"/>
      <c r="BF356" s="775">
        <f t="shared" si="518"/>
        <v>493.1</v>
      </c>
      <c r="BG356" s="26">
        <f t="shared" si="520"/>
        <v>0</v>
      </c>
      <c r="BH356" s="26">
        <f t="shared" si="521"/>
        <v>0</v>
      </c>
      <c r="BI356" s="26"/>
      <c r="BJ356" s="26">
        <f t="shared" si="522"/>
        <v>0</v>
      </c>
      <c r="BK356" s="26">
        <f t="shared" si="523"/>
        <v>0</v>
      </c>
    </row>
    <row r="357" spans="1:63" x14ac:dyDescent="0.3">
      <c r="A357" s="196"/>
      <c r="B357" s="3510" t="s">
        <v>884</v>
      </c>
      <c r="C357" s="3453" t="s">
        <v>1895</v>
      </c>
      <c r="D357" s="3507"/>
      <c r="E357" s="6111"/>
      <c r="F357" s="1185"/>
      <c r="G357" s="6111"/>
      <c r="H357" s="1185"/>
      <c r="I357" s="6135"/>
      <c r="J357" s="775">
        <f t="shared" si="479"/>
        <v>0</v>
      </c>
      <c r="K357" s="6111"/>
      <c r="L357" s="1185">
        <v>316.52</v>
      </c>
      <c r="M357" s="6050"/>
      <c r="N357" s="774">
        <f t="shared" si="480"/>
        <v>316.52</v>
      </c>
      <c r="O357" s="6111"/>
      <c r="P357" s="1185"/>
      <c r="Q357" s="6086"/>
      <c r="R357" s="775">
        <f t="shared" si="481"/>
        <v>316.52</v>
      </c>
      <c r="S357" s="6111"/>
      <c r="T357" s="1185"/>
      <c r="U357" s="6086"/>
      <c r="V357" s="775">
        <f t="shared" si="482"/>
        <v>316.52</v>
      </c>
      <c r="W357" s="6111"/>
      <c r="X357" s="1185"/>
      <c r="Y357" s="6050"/>
      <c r="Z357" s="774">
        <f t="shared" si="483"/>
        <v>0</v>
      </c>
      <c r="AA357" s="6060"/>
      <c r="AB357" s="460">
        <f t="shared" si="484"/>
        <v>316.52</v>
      </c>
      <c r="AC357" s="6111"/>
      <c r="AD357" s="1185"/>
      <c r="AE357" s="6086"/>
      <c r="AF357" s="775">
        <f t="shared" si="485"/>
        <v>316.52</v>
      </c>
      <c r="AG357" s="6111"/>
      <c r="AH357" s="1185">
        <v>245.38</v>
      </c>
      <c r="AI357" s="6120"/>
      <c r="AJ357" s="775">
        <f t="shared" si="512"/>
        <v>561.9</v>
      </c>
      <c r="AK357" s="6111"/>
      <c r="AL357" s="1185">
        <v>7.6580000000000004</v>
      </c>
      <c r="AM357" s="6050"/>
      <c r="AN357" s="774">
        <f t="shared" si="513"/>
        <v>253.03799999999998</v>
      </c>
      <c r="AO357" s="6086"/>
      <c r="AP357" s="775">
        <f t="shared" si="514"/>
        <v>569.55799999999999</v>
      </c>
      <c r="AQ357" s="6111"/>
      <c r="AR357" s="1185"/>
      <c r="AS357" s="6120"/>
      <c r="AT357" s="775">
        <f t="shared" si="519"/>
        <v>569.55799999999999</v>
      </c>
      <c r="AU357" s="6111"/>
      <c r="AV357" s="1185"/>
      <c r="AW357" s="6120"/>
      <c r="AX357" s="775">
        <f t="shared" si="515"/>
        <v>569.55799999999999</v>
      </c>
      <c r="AY357" s="6111"/>
      <c r="AZ357" s="1185"/>
      <c r="BA357" s="6050"/>
      <c r="BB357" s="774">
        <f t="shared" si="516"/>
        <v>0</v>
      </c>
      <c r="BC357" s="6060"/>
      <c r="BD357" s="460">
        <f t="shared" si="517"/>
        <v>253.03799999999998</v>
      </c>
      <c r="BE357" s="6120"/>
      <c r="BF357" s="775">
        <f t="shared" si="518"/>
        <v>569.55799999999999</v>
      </c>
      <c r="BG357" s="26">
        <f t="shared" si="520"/>
        <v>0</v>
      </c>
      <c r="BH357" s="26">
        <f t="shared" si="521"/>
        <v>0</v>
      </c>
      <c r="BI357" s="26"/>
      <c r="BJ357" s="26">
        <f t="shared" si="522"/>
        <v>0</v>
      </c>
      <c r="BK357" s="26">
        <f t="shared" si="523"/>
        <v>0</v>
      </c>
    </row>
    <row r="358" spans="1:63" x14ac:dyDescent="0.3">
      <c r="A358" s="196"/>
      <c r="B358" s="3510" t="s">
        <v>884</v>
      </c>
      <c r="C358" s="3453" t="s">
        <v>911</v>
      </c>
      <c r="D358" s="3507"/>
      <c r="E358" s="6111"/>
      <c r="F358" s="1185">
        <v>381.6</v>
      </c>
      <c r="G358" s="6111"/>
      <c r="H358" s="1185"/>
      <c r="I358" s="6135"/>
      <c r="J358" s="775">
        <f t="shared" ref="J358:J437" si="524">F358+H358</f>
        <v>381.6</v>
      </c>
      <c r="K358" s="6111"/>
      <c r="L358" s="1185"/>
      <c r="M358" s="6050"/>
      <c r="N358" s="774">
        <f t="shared" ref="N358:N437" si="525">J358+L358</f>
        <v>381.6</v>
      </c>
      <c r="O358" s="6111"/>
      <c r="P358" s="1185"/>
      <c r="Q358" s="6086"/>
      <c r="R358" s="775">
        <f t="shared" ref="R358:R437" si="526">N358+P358</f>
        <v>381.6</v>
      </c>
      <c r="S358" s="6111"/>
      <c r="T358" s="1185">
        <v>126.98</v>
      </c>
      <c r="U358" s="6086"/>
      <c r="V358" s="775">
        <f t="shared" ref="V358:V437" si="527">R358+T358</f>
        <v>508.58000000000004</v>
      </c>
      <c r="W358" s="6111"/>
      <c r="X358" s="1185">
        <v>62</v>
      </c>
      <c r="Y358" s="6050"/>
      <c r="Z358" s="774">
        <f t="shared" ref="Z358:Z437" si="528">P358+T358+X358</f>
        <v>188.98000000000002</v>
      </c>
      <c r="AA358" s="6060"/>
      <c r="AB358" s="460">
        <f t="shared" ref="AB358:AB437" si="529">N358+Z358</f>
        <v>570.58000000000004</v>
      </c>
      <c r="AC358" s="6111"/>
      <c r="AD358" s="1185"/>
      <c r="AE358" s="6086"/>
      <c r="AF358" s="775">
        <f t="shared" ref="AF358:AF437" si="530">AB358+AD358</f>
        <v>570.58000000000004</v>
      </c>
      <c r="AG358" s="6111"/>
      <c r="AH358" s="1185">
        <v>125.42</v>
      </c>
      <c r="AI358" s="6120"/>
      <c r="AJ358" s="775">
        <f t="shared" si="512"/>
        <v>696</v>
      </c>
      <c r="AK358" s="6111"/>
      <c r="AL358" s="1185"/>
      <c r="AM358" s="6050"/>
      <c r="AN358" s="774">
        <f t="shared" si="513"/>
        <v>125.42</v>
      </c>
      <c r="AO358" s="6086"/>
      <c r="AP358" s="775">
        <f t="shared" si="514"/>
        <v>696</v>
      </c>
      <c r="AQ358" s="6111"/>
      <c r="AR358" s="1185">
        <v>447.12</v>
      </c>
      <c r="AS358" s="6120"/>
      <c r="AT358" s="775">
        <f t="shared" si="519"/>
        <v>1143.1199999999999</v>
      </c>
      <c r="AU358" s="6111"/>
      <c r="AV358" s="1185"/>
      <c r="AW358" s="6120"/>
      <c r="AX358" s="775">
        <f t="shared" si="515"/>
        <v>1143.1199999999999</v>
      </c>
      <c r="AY358" s="6111"/>
      <c r="AZ358" s="1185"/>
      <c r="BA358" s="6050"/>
      <c r="BB358" s="774">
        <f t="shared" si="516"/>
        <v>447.12</v>
      </c>
      <c r="BC358" s="6060"/>
      <c r="BD358" s="460">
        <f t="shared" si="517"/>
        <v>572.54</v>
      </c>
      <c r="BE358" s="6120"/>
      <c r="BF358" s="775">
        <f t="shared" si="518"/>
        <v>1143.1199999999999</v>
      </c>
      <c r="BG358" s="26">
        <f t="shared" si="520"/>
        <v>0</v>
      </c>
      <c r="BH358" s="26">
        <f t="shared" si="521"/>
        <v>0</v>
      </c>
      <c r="BI358" s="26"/>
      <c r="BJ358" s="26">
        <f t="shared" si="522"/>
        <v>0</v>
      </c>
      <c r="BK358" s="26">
        <f t="shared" si="523"/>
        <v>0</v>
      </c>
    </row>
    <row r="359" spans="1:63" x14ac:dyDescent="0.3">
      <c r="A359" s="196"/>
      <c r="B359" s="3510" t="s">
        <v>884</v>
      </c>
      <c r="C359" s="3453" t="s">
        <v>1763</v>
      </c>
      <c r="D359" s="3507"/>
      <c r="E359" s="6111"/>
      <c r="F359" s="2537">
        <v>4820.93</v>
      </c>
      <c r="G359" s="6111"/>
      <c r="H359" s="2537">
        <v>4860.93</v>
      </c>
      <c r="I359" s="6135"/>
      <c r="J359" s="775">
        <f t="shared" si="524"/>
        <v>9681.86</v>
      </c>
      <c r="K359" s="6111"/>
      <c r="L359" s="2537">
        <v>3401.43</v>
      </c>
      <c r="M359" s="6052"/>
      <c r="N359" s="774">
        <f t="shared" si="525"/>
        <v>13083.29</v>
      </c>
      <c r="O359" s="6111"/>
      <c r="P359" s="2537">
        <v>3567.51</v>
      </c>
      <c r="Q359" s="6088"/>
      <c r="R359" s="775">
        <f t="shared" si="526"/>
        <v>16650.800000000003</v>
      </c>
      <c r="S359" s="6111"/>
      <c r="T359" s="2537">
        <v>3336.9500000000003</v>
      </c>
      <c r="U359" s="6088"/>
      <c r="V359" s="775">
        <f t="shared" si="527"/>
        <v>19987.750000000004</v>
      </c>
      <c r="W359" s="6111"/>
      <c r="X359" s="2537">
        <v>5658.170000000001</v>
      </c>
      <c r="Y359" s="6052"/>
      <c r="Z359" s="774">
        <f t="shared" si="528"/>
        <v>12562.630000000001</v>
      </c>
      <c r="AA359" s="6062"/>
      <c r="AB359" s="460">
        <f t="shared" si="529"/>
        <v>25645.920000000002</v>
      </c>
      <c r="AC359" s="6111"/>
      <c r="AD359" s="2537">
        <v>825.46</v>
      </c>
      <c r="AE359" s="6088"/>
      <c r="AF359" s="775">
        <f t="shared" si="530"/>
        <v>26471.38</v>
      </c>
      <c r="AG359" s="6111"/>
      <c r="AH359" s="2537">
        <v>4103.7199999999993</v>
      </c>
      <c r="AI359" s="6120"/>
      <c r="AJ359" s="775">
        <f t="shared" si="512"/>
        <v>30575.1</v>
      </c>
      <c r="AK359" s="6111"/>
      <c r="AL359" s="2537">
        <v>4421.1379999999999</v>
      </c>
      <c r="AM359" s="6052"/>
      <c r="AN359" s="774">
        <f t="shared" si="513"/>
        <v>9350.3179999999993</v>
      </c>
      <c r="AO359" s="6088"/>
      <c r="AP359" s="775">
        <f t="shared" si="514"/>
        <v>34996.237999999998</v>
      </c>
      <c r="AQ359" s="6111"/>
      <c r="AR359" s="2537">
        <v>4023.3500000000008</v>
      </c>
      <c r="AS359" s="6120"/>
      <c r="AT359" s="775">
        <f t="shared" si="519"/>
        <v>39019.587999999996</v>
      </c>
      <c r="AU359" s="6111"/>
      <c r="AV359" s="2537">
        <v>5734.81</v>
      </c>
      <c r="AW359" s="6120"/>
      <c r="AX359" s="775">
        <f t="shared" si="515"/>
        <v>44754.397999999994</v>
      </c>
      <c r="AY359" s="6111"/>
      <c r="AZ359" s="2537">
        <v>5102.2350000000006</v>
      </c>
      <c r="BA359" s="6052"/>
      <c r="BB359" s="774">
        <f t="shared" si="516"/>
        <v>14860.395000000002</v>
      </c>
      <c r="BC359" s="6062"/>
      <c r="BD359" s="460">
        <f t="shared" si="517"/>
        <v>24210.713000000003</v>
      </c>
      <c r="BE359" s="6120"/>
      <c r="BF359" s="775">
        <f t="shared" si="518"/>
        <v>49856.632999999994</v>
      </c>
      <c r="BG359" s="26">
        <f t="shared" si="520"/>
        <v>0</v>
      </c>
      <c r="BH359" s="26">
        <f t="shared" si="521"/>
        <v>0</v>
      </c>
      <c r="BI359" s="26"/>
      <c r="BJ359" s="26">
        <f t="shared" si="522"/>
        <v>0</v>
      </c>
      <c r="BK359" s="26">
        <f t="shared" si="523"/>
        <v>0</v>
      </c>
    </row>
    <row r="360" spans="1:63" x14ac:dyDescent="0.3">
      <c r="A360" s="196"/>
      <c r="B360" s="3510" t="s">
        <v>884</v>
      </c>
      <c r="C360" s="3453" t="s">
        <v>1757</v>
      </c>
      <c r="D360" s="3507"/>
      <c r="E360" s="6111"/>
      <c r="F360" s="2537">
        <v>524.95000000000005</v>
      </c>
      <c r="G360" s="6111"/>
      <c r="H360" s="2537">
        <v>1039.51</v>
      </c>
      <c r="I360" s="6135"/>
      <c r="J360" s="775">
        <f t="shared" si="524"/>
        <v>1564.46</v>
      </c>
      <c r="K360" s="6111"/>
      <c r="L360" s="2537">
        <v>945.02</v>
      </c>
      <c r="M360" s="6052"/>
      <c r="N360" s="774">
        <f t="shared" si="525"/>
        <v>2509.48</v>
      </c>
      <c r="O360" s="6111"/>
      <c r="P360" s="2537">
        <v>382.7</v>
      </c>
      <c r="Q360" s="6088"/>
      <c r="R360" s="775">
        <f t="shared" si="526"/>
        <v>2892.18</v>
      </c>
      <c r="S360" s="6111"/>
      <c r="T360" s="2537">
        <v>283.47999999999996</v>
      </c>
      <c r="U360" s="6088"/>
      <c r="V360" s="775">
        <f t="shared" si="527"/>
        <v>3175.66</v>
      </c>
      <c r="W360" s="6111"/>
      <c r="X360" s="2537"/>
      <c r="Y360" s="6052"/>
      <c r="Z360" s="774">
        <f t="shared" si="528"/>
        <v>666.18</v>
      </c>
      <c r="AA360" s="6062"/>
      <c r="AB360" s="460">
        <f t="shared" si="529"/>
        <v>3175.66</v>
      </c>
      <c r="AC360" s="6111"/>
      <c r="AD360" s="2537"/>
      <c r="AE360" s="6088"/>
      <c r="AF360" s="775">
        <f t="shared" si="530"/>
        <v>3175.66</v>
      </c>
      <c r="AG360" s="6111"/>
      <c r="AH360" s="2537">
        <v>289.33000000000004</v>
      </c>
      <c r="AI360" s="6120"/>
      <c r="AJ360" s="775">
        <f t="shared" si="512"/>
        <v>3464.99</v>
      </c>
      <c r="AK360" s="6111"/>
      <c r="AL360" s="2537">
        <v>97.190999999999988</v>
      </c>
      <c r="AM360" s="6052"/>
      <c r="AN360" s="774">
        <f t="shared" si="513"/>
        <v>386.52100000000002</v>
      </c>
      <c r="AO360" s="6088"/>
      <c r="AP360" s="775">
        <f t="shared" si="514"/>
        <v>3562.1809999999996</v>
      </c>
      <c r="AQ360" s="6111"/>
      <c r="AR360" s="2537">
        <v>126.97999999999999</v>
      </c>
      <c r="AS360" s="6120"/>
      <c r="AT360" s="775">
        <f t="shared" si="519"/>
        <v>3689.1609999999996</v>
      </c>
      <c r="AU360" s="6111"/>
      <c r="AV360" s="2537">
        <v>435.83</v>
      </c>
      <c r="AW360" s="6120"/>
      <c r="AX360" s="775">
        <f t="shared" si="515"/>
        <v>4124.991</v>
      </c>
      <c r="AY360" s="6111"/>
      <c r="AZ360" s="2537"/>
      <c r="BA360" s="6052"/>
      <c r="BB360" s="774">
        <f t="shared" si="516"/>
        <v>562.80999999999995</v>
      </c>
      <c r="BC360" s="6062"/>
      <c r="BD360" s="460">
        <f t="shared" si="517"/>
        <v>949.3309999999999</v>
      </c>
      <c r="BE360" s="6120"/>
      <c r="BF360" s="775">
        <f t="shared" si="518"/>
        <v>4124.991</v>
      </c>
      <c r="BG360" s="26">
        <f t="shared" si="520"/>
        <v>0</v>
      </c>
      <c r="BH360" s="26">
        <f t="shared" si="521"/>
        <v>0</v>
      </c>
      <c r="BI360" s="26"/>
      <c r="BJ360" s="26">
        <f t="shared" si="522"/>
        <v>0</v>
      </c>
      <c r="BK360" s="26">
        <f t="shared" si="523"/>
        <v>0</v>
      </c>
    </row>
    <row r="361" spans="1:63" x14ac:dyDescent="0.3">
      <c r="A361" s="196"/>
      <c r="B361" s="842" t="s">
        <v>884</v>
      </c>
      <c r="C361" s="3453" t="s">
        <v>1573</v>
      </c>
      <c r="D361" s="3507"/>
      <c r="E361" s="6111"/>
      <c r="F361" s="1185"/>
      <c r="G361" s="6111"/>
      <c r="H361" s="1185"/>
      <c r="I361" s="6135"/>
      <c r="J361" s="775">
        <f t="shared" si="524"/>
        <v>0</v>
      </c>
      <c r="K361" s="6111"/>
      <c r="L361" s="1185"/>
      <c r="M361" s="6050"/>
      <c r="N361" s="774">
        <f t="shared" si="525"/>
        <v>0</v>
      </c>
      <c r="O361" s="6111"/>
      <c r="P361" s="1185"/>
      <c r="Q361" s="6086"/>
      <c r="R361" s="775">
        <f t="shared" si="526"/>
        <v>0</v>
      </c>
      <c r="S361" s="6111"/>
      <c r="T361" s="1185"/>
      <c r="U361" s="6086"/>
      <c r="V361" s="775">
        <f t="shared" si="527"/>
        <v>0</v>
      </c>
      <c r="W361" s="6111"/>
      <c r="X361" s="1185"/>
      <c r="Y361" s="6050"/>
      <c r="Z361" s="774">
        <f t="shared" si="528"/>
        <v>0</v>
      </c>
      <c r="AA361" s="6060"/>
      <c r="AB361" s="460">
        <f t="shared" si="529"/>
        <v>0</v>
      </c>
      <c r="AC361" s="6111"/>
      <c r="AD361" s="1185"/>
      <c r="AE361" s="6086"/>
      <c r="AF361" s="775">
        <f t="shared" si="530"/>
        <v>0</v>
      </c>
      <c r="AG361" s="6111"/>
      <c r="AH361" s="1185"/>
      <c r="AI361" s="6120"/>
      <c r="AJ361" s="775">
        <f t="shared" si="512"/>
        <v>0</v>
      </c>
      <c r="AK361" s="6111"/>
      <c r="AL361" s="1185"/>
      <c r="AM361" s="6050"/>
      <c r="AN361" s="774">
        <f t="shared" si="513"/>
        <v>0</v>
      </c>
      <c r="AO361" s="6086"/>
      <c r="AP361" s="775">
        <f t="shared" si="514"/>
        <v>0</v>
      </c>
      <c r="AQ361" s="6111"/>
      <c r="AR361" s="1185"/>
      <c r="AS361" s="6120"/>
      <c r="AT361" s="775">
        <f t="shared" si="519"/>
        <v>0</v>
      </c>
      <c r="AU361" s="6111"/>
      <c r="AV361" s="1185"/>
      <c r="AW361" s="6120"/>
      <c r="AX361" s="775">
        <f t="shared" si="515"/>
        <v>0</v>
      </c>
      <c r="AY361" s="6111"/>
      <c r="AZ361" s="1185"/>
      <c r="BA361" s="6050"/>
      <c r="BB361" s="774">
        <f t="shared" si="516"/>
        <v>0</v>
      </c>
      <c r="BC361" s="6060"/>
      <c r="BD361" s="460">
        <f t="shared" si="517"/>
        <v>0</v>
      </c>
      <c r="BE361" s="6120"/>
      <c r="BF361" s="775">
        <f t="shared" si="518"/>
        <v>0</v>
      </c>
      <c r="BG361" s="26">
        <f t="shared" si="520"/>
        <v>0</v>
      </c>
      <c r="BH361" s="26">
        <f t="shared" si="521"/>
        <v>0</v>
      </c>
      <c r="BI361" s="26"/>
      <c r="BJ361" s="26">
        <f t="shared" si="522"/>
        <v>0</v>
      </c>
      <c r="BK361" s="26">
        <f t="shared" si="523"/>
        <v>0</v>
      </c>
    </row>
    <row r="362" spans="1:63" x14ac:dyDescent="0.3">
      <c r="A362" s="196"/>
      <c r="B362" s="842" t="s">
        <v>884</v>
      </c>
      <c r="C362" s="3453" t="s">
        <v>1756</v>
      </c>
      <c r="D362" s="3507"/>
      <c r="E362" s="6111"/>
      <c r="F362" s="2537"/>
      <c r="G362" s="6111"/>
      <c r="H362" s="2537">
        <v>279.39</v>
      </c>
      <c r="I362" s="6135"/>
      <c r="J362" s="775">
        <f t="shared" si="524"/>
        <v>279.39</v>
      </c>
      <c r="K362" s="6111"/>
      <c r="L362" s="2537">
        <v>278.47000000000003</v>
      </c>
      <c r="M362" s="6052"/>
      <c r="N362" s="774">
        <f t="shared" si="525"/>
        <v>557.86</v>
      </c>
      <c r="O362" s="6111"/>
      <c r="P362" s="2537">
        <v>365.76</v>
      </c>
      <c r="Q362" s="6088"/>
      <c r="R362" s="775">
        <f t="shared" si="526"/>
        <v>923.62</v>
      </c>
      <c r="S362" s="6111"/>
      <c r="T362" s="2537">
        <v>176.61</v>
      </c>
      <c r="U362" s="6088"/>
      <c r="V362" s="775">
        <f t="shared" si="527"/>
        <v>1100.23</v>
      </c>
      <c r="W362" s="6111"/>
      <c r="X362" s="2537">
        <v>157.78</v>
      </c>
      <c r="Y362" s="6052"/>
      <c r="Z362" s="774">
        <f t="shared" si="528"/>
        <v>700.15</v>
      </c>
      <c r="AA362" s="6062"/>
      <c r="AB362" s="460">
        <f t="shared" si="529"/>
        <v>1258.01</v>
      </c>
      <c r="AC362" s="6111"/>
      <c r="AD362" s="2537">
        <v>113.46000000000001</v>
      </c>
      <c r="AE362" s="6088"/>
      <c r="AF362" s="775">
        <f t="shared" si="530"/>
        <v>1371.47</v>
      </c>
      <c r="AG362" s="6111"/>
      <c r="AH362" s="2537">
        <v>216.18</v>
      </c>
      <c r="AI362" s="6120"/>
      <c r="AJ362" s="775">
        <f t="shared" si="512"/>
        <v>1587.65</v>
      </c>
      <c r="AK362" s="6111"/>
      <c r="AL362" s="2537">
        <v>224.08999999999997</v>
      </c>
      <c r="AM362" s="6052"/>
      <c r="AN362" s="774">
        <f t="shared" si="513"/>
        <v>553.73</v>
      </c>
      <c r="AO362" s="6088"/>
      <c r="AP362" s="775">
        <f t="shared" si="514"/>
        <v>1811.74</v>
      </c>
      <c r="AQ362" s="6111"/>
      <c r="AR362" s="2537"/>
      <c r="AS362" s="6120"/>
      <c r="AT362" s="775">
        <f t="shared" si="519"/>
        <v>1811.74</v>
      </c>
      <c r="AU362" s="6111"/>
      <c r="AV362" s="2537"/>
      <c r="AW362" s="6120"/>
      <c r="AX362" s="775">
        <f t="shared" si="515"/>
        <v>1811.74</v>
      </c>
      <c r="AY362" s="6111"/>
      <c r="AZ362" s="2537"/>
      <c r="BA362" s="6052"/>
      <c r="BB362" s="774">
        <f t="shared" si="516"/>
        <v>0</v>
      </c>
      <c r="BC362" s="6062"/>
      <c r="BD362" s="460">
        <f t="shared" si="517"/>
        <v>553.73</v>
      </c>
      <c r="BE362" s="6120"/>
      <c r="BF362" s="775">
        <f t="shared" si="518"/>
        <v>1811.74</v>
      </c>
      <c r="BG362" s="26">
        <f t="shared" si="520"/>
        <v>0</v>
      </c>
      <c r="BH362" s="26">
        <f t="shared" si="521"/>
        <v>0</v>
      </c>
      <c r="BI362" s="26"/>
      <c r="BJ362" s="26">
        <f t="shared" si="522"/>
        <v>0</v>
      </c>
      <c r="BK362" s="26">
        <f t="shared" si="523"/>
        <v>0</v>
      </c>
    </row>
    <row r="363" spans="1:63" ht="15" thickBot="1" x14ac:dyDescent="0.35">
      <c r="A363" s="196"/>
      <c r="B363" s="2780" t="s">
        <v>884</v>
      </c>
      <c r="C363" s="3424" t="s">
        <v>1768</v>
      </c>
      <c r="D363" s="3508"/>
      <c r="E363" s="6111"/>
      <c r="F363" s="2537"/>
      <c r="G363" s="6111"/>
      <c r="H363" s="2537"/>
      <c r="I363" s="6135"/>
      <c r="J363" s="775">
        <f t="shared" si="524"/>
        <v>0</v>
      </c>
      <c r="K363" s="6111"/>
      <c r="L363" s="2537">
        <v>314.94</v>
      </c>
      <c r="M363" s="6052"/>
      <c r="N363" s="774">
        <f t="shared" si="525"/>
        <v>314.94</v>
      </c>
      <c r="O363" s="6111"/>
      <c r="P363" s="2537">
        <v>105.56</v>
      </c>
      <c r="Q363" s="6088"/>
      <c r="R363" s="775">
        <f t="shared" si="526"/>
        <v>420.5</v>
      </c>
      <c r="S363" s="6111"/>
      <c r="T363" s="2537"/>
      <c r="U363" s="6088"/>
      <c r="V363" s="775">
        <f t="shared" si="527"/>
        <v>420.5</v>
      </c>
      <c r="W363" s="6111"/>
      <c r="X363" s="2537">
        <v>61.08</v>
      </c>
      <c r="Y363" s="6052"/>
      <c r="Z363" s="774">
        <f t="shared" si="528"/>
        <v>166.64</v>
      </c>
      <c r="AA363" s="6062"/>
      <c r="AB363" s="460">
        <f t="shared" si="529"/>
        <v>481.58</v>
      </c>
      <c r="AC363" s="6111"/>
      <c r="AD363" s="2537"/>
      <c r="AE363" s="6088"/>
      <c r="AF363" s="775">
        <f t="shared" si="530"/>
        <v>481.58</v>
      </c>
      <c r="AG363" s="6111"/>
      <c r="AH363" s="2537"/>
      <c r="AI363" s="6120"/>
      <c r="AJ363" s="775">
        <f t="shared" si="512"/>
        <v>481.58</v>
      </c>
      <c r="AK363" s="6111"/>
      <c r="AL363" s="2537"/>
      <c r="AM363" s="6052"/>
      <c r="AN363" s="774">
        <f t="shared" si="513"/>
        <v>0</v>
      </c>
      <c r="AO363" s="6088"/>
      <c r="AP363" s="775">
        <f t="shared" si="514"/>
        <v>481.58</v>
      </c>
      <c r="AQ363" s="6111"/>
      <c r="AR363" s="2537"/>
      <c r="AS363" s="6120"/>
      <c r="AT363" s="775">
        <f t="shared" si="519"/>
        <v>481.58</v>
      </c>
      <c r="AU363" s="6111"/>
      <c r="AV363" s="2537"/>
      <c r="AW363" s="6120"/>
      <c r="AX363" s="775">
        <f t="shared" si="515"/>
        <v>481.58</v>
      </c>
      <c r="AY363" s="6111"/>
      <c r="AZ363" s="2537"/>
      <c r="BA363" s="6052"/>
      <c r="BB363" s="774">
        <f t="shared" si="516"/>
        <v>0</v>
      </c>
      <c r="BC363" s="6062"/>
      <c r="BD363" s="460">
        <f t="shared" si="517"/>
        <v>0</v>
      </c>
      <c r="BE363" s="6120"/>
      <c r="BF363" s="775">
        <f t="shared" si="518"/>
        <v>481.58</v>
      </c>
      <c r="BG363" s="26">
        <f t="shared" si="520"/>
        <v>0</v>
      </c>
      <c r="BH363" s="26">
        <f t="shared" si="521"/>
        <v>0</v>
      </c>
      <c r="BI363" s="26"/>
      <c r="BJ363" s="26">
        <f t="shared" si="522"/>
        <v>0</v>
      </c>
      <c r="BK363" s="26">
        <f t="shared" si="523"/>
        <v>0</v>
      </c>
    </row>
    <row r="364" spans="1:63" x14ac:dyDescent="0.3">
      <c r="A364" s="196"/>
      <c r="B364" s="3490" t="s">
        <v>1522</v>
      </c>
      <c r="C364" s="3430" t="s">
        <v>1521</v>
      </c>
      <c r="D364" s="3430"/>
      <c r="E364" s="6106"/>
      <c r="F364" s="1185"/>
      <c r="G364" s="6106"/>
      <c r="H364" s="1185"/>
      <c r="I364" s="6086"/>
      <c r="J364" s="775">
        <f t="shared" si="524"/>
        <v>0</v>
      </c>
      <c r="K364" s="6106"/>
      <c r="L364" s="1185"/>
      <c r="M364" s="6050"/>
      <c r="N364" s="774">
        <f t="shared" si="525"/>
        <v>0</v>
      </c>
      <c r="O364" s="6106"/>
      <c r="P364" s="1185"/>
      <c r="Q364" s="6086"/>
      <c r="R364" s="775">
        <f t="shared" si="526"/>
        <v>0</v>
      </c>
      <c r="S364" s="6106"/>
      <c r="T364" s="1185"/>
      <c r="U364" s="6086"/>
      <c r="V364" s="775">
        <f t="shared" si="527"/>
        <v>0</v>
      </c>
      <c r="W364" s="6106"/>
      <c r="X364" s="1185"/>
      <c r="Y364" s="6050"/>
      <c r="Z364" s="774">
        <f t="shared" si="528"/>
        <v>0</v>
      </c>
      <c r="AA364" s="6060"/>
      <c r="AB364" s="460">
        <f t="shared" si="529"/>
        <v>0</v>
      </c>
      <c r="AC364" s="6106"/>
      <c r="AD364" s="1185"/>
      <c r="AE364" s="6086"/>
      <c r="AF364" s="775">
        <f t="shared" si="530"/>
        <v>0</v>
      </c>
      <c r="AG364" s="6106"/>
      <c r="AH364" s="1185"/>
      <c r="AI364" s="6120"/>
      <c r="AJ364" s="775">
        <f t="shared" si="512"/>
        <v>0</v>
      </c>
      <c r="AK364" s="6106"/>
      <c r="AL364" s="1185"/>
      <c r="AM364" s="6050"/>
      <c r="AN364" s="774">
        <f t="shared" si="513"/>
        <v>0</v>
      </c>
      <c r="AO364" s="6086"/>
      <c r="AP364" s="775">
        <f t="shared" si="514"/>
        <v>0</v>
      </c>
      <c r="AQ364" s="6106"/>
      <c r="AR364" s="1185"/>
      <c r="AS364" s="6120"/>
      <c r="AT364" s="775">
        <f t="shared" si="519"/>
        <v>0</v>
      </c>
      <c r="AU364" s="6106"/>
      <c r="AV364" s="1185"/>
      <c r="AW364" s="6120"/>
      <c r="AX364" s="775">
        <f t="shared" si="515"/>
        <v>0</v>
      </c>
      <c r="AY364" s="6106"/>
      <c r="AZ364" s="1185"/>
      <c r="BA364" s="6050"/>
      <c r="BB364" s="774">
        <f t="shared" si="516"/>
        <v>0</v>
      </c>
      <c r="BC364" s="6060"/>
      <c r="BD364" s="460">
        <f t="shared" si="517"/>
        <v>0</v>
      </c>
      <c r="BE364" s="6120"/>
      <c r="BF364" s="775">
        <f t="shared" si="518"/>
        <v>0</v>
      </c>
      <c r="BG364" s="26">
        <f t="shared" si="520"/>
        <v>0</v>
      </c>
      <c r="BH364" s="26">
        <f t="shared" si="521"/>
        <v>0</v>
      </c>
      <c r="BI364" s="26"/>
      <c r="BJ364" s="26">
        <f t="shared" si="522"/>
        <v>0</v>
      </c>
      <c r="BK364" s="26">
        <f t="shared" si="523"/>
        <v>0</v>
      </c>
    </row>
    <row r="365" spans="1:63" x14ac:dyDescent="0.3">
      <c r="A365" s="196"/>
      <c r="B365" s="3511" t="s">
        <v>1522</v>
      </c>
      <c r="C365" s="3455" t="s">
        <v>1644</v>
      </c>
      <c r="D365" s="3455"/>
      <c r="E365" s="6110"/>
      <c r="F365" s="2416"/>
      <c r="G365" s="6110"/>
      <c r="H365" s="2416"/>
      <c r="I365" s="6090"/>
      <c r="J365" s="775">
        <f t="shared" si="524"/>
        <v>0</v>
      </c>
      <c r="K365" s="6110"/>
      <c r="L365" s="2416"/>
      <c r="M365" s="6054"/>
      <c r="N365" s="774">
        <f t="shared" si="525"/>
        <v>0</v>
      </c>
      <c r="O365" s="6110"/>
      <c r="P365" s="2416"/>
      <c r="Q365" s="6090"/>
      <c r="R365" s="775">
        <f t="shared" si="526"/>
        <v>0</v>
      </c>
      <c r="S365" s="6110"/>
      <c r="T365" s="2416"/>
      <c r="U365" s="6090"/>
      <c r="V365" s="775">
        <f t="shared" si="527"/>
        <v>0</v>
      </c>
      <c r="W365" s="6110"/>
      <c r="X365" s="2416"/>
      <c r="Y365" s="6054"/>
      <c r="Z365" s="774">
        <f t="shared" si="528"/>
        <v>0</v>
      </c>
      <c r="AA365" s="6064"/>
      <c r="AB365" s="460">
        <f t="shared" si="529"/>
        <v>0</v>
      </c>
      <c r="AC365" s="6110"/>
      <c r="AD365" s="2416"/>
      <c r="AE365" s="6090"/>
      <c r="AF365" s="775">
        <f t="shared" si="530"/>
        <v>0</v>
      </c>
      <c r="AG365" s="6110"/>
      <c r="AH365" s="2416"/>
      <c r="AI365" s="6120"/>
      <c r="AJ365" s="775">
        <f t="shared" si="512"/>
        <v>0</v>
      </c>
      <c r="AK365" s="6110"/>
      <c r="AL365" s="2416"/>
      <c r="AM365" s="6054"/>
      <c r="AN365" s="774">
        <f t="shared" si="513"/>
        <v>0</v>
      </c>
      <c r="AO365" s="6090"/>
      <c r="AP365" s="775">
        <f t="shared" si="514"/>
        <v>0</v>
      </c>
      <c r="AQ365" s="6110"/>
      <c r="AR365" s="2416"/>
      <c r="AS365" s="6120"/>
      <c r="AT365" s="775">
        <f t="shared" si="519"/>
        <v>0</v>
      </c>
      <c r="AU365" s="6110"/>
      <c r="AV365" s="2416"/>
      <c r="AW365" s="6120"/>
      <c r="AX365" s="775">
        <f t="shared" si="515"/>
        <v>0</v>
      </c>
      <c r="AY365" s="6110"/>
      <c r="AZ365" s="2416"/>
      <c r="BA365" s="6054"/>
      <c r="BB365" s="774">
        <f t="shared" si="516"/>
        <v>0</v>
      </c>
      <c r="BC365" s="6064"/>
      <c r="BD365" s="460">
        <f t="shared" si="517"/>
        <v>0</v>
      </c>
      <c r="BE365" s="6120"/>
      <c r="BF365" s="775">
        <f t="shared" si="518"/>
        <v>0</v>
      </c>
      <c r="BG365" s="26">
        <f t="shared" si="520"/>
        <v>0</v>
      </c>
      <c r="BH365" s="26">
        <f t="shared" si="521"/>
        <v>0</v>
      </c>
      <c r="BI365" s="26"/>
      <c r="BJ365" s="26">
        <f t="shared" si="522"/>
        <v>0</v>
      </c>
      <c r="BK365" s="26">
        <f t="shared" si="523"/>
        <v>0</v>
      </c>
    </row>
    <row r="366" spans="1:63" x14ac:dyDescent="0.3">
      <c r="A366" s="196"/>
      <c r="B366" s="3509" t="s">
        <v>1522</v>
      </c>
      <c r="C366" s="3453" t="s">
        <v>1758</v>
      </c>
      <c r="D366" s="3453"/>
      <c r="E366" s="6108"/>
      <c r="F366" s="2537">
        <v>31.51</v>
      </c>
      <c r="G366" s="6108"/>
      <c r="H366" s="2537">
        <v>683.91</v>
      </c>
      <c r="I366" s="6088"/>
      <c r="J366" s="775">
        <f t="shared" si="524"/>
        <v>715.42</v>
      </c>
      <c r="K366" s="6108"/>
      <c r="L366" s="2537">
        <v>1194.0900000000001</v>
      </c>
      <c r="M366" s="6052"/>
      <c r="N366" s="774">
        <f t="shared" si="525"/>
        <v>1909.5100000000002</v>
      </c>
      <c r="O366" s="6108"/>
      <c r="P366" s="2537">
        <v>337.28999999999996</v>
      </c>
      <c r="Q366" s="6088"/>
      <c r="R366" s="775">
        <f t="shared" si="526"/>
        <v>2246.8000000000002</v>
      </c>
      <c r="S366" s="6108"/>
      <c r="T366" s="2537">
        <v>840.91</v>
      </c>
      <c r="U366" s="6088"/>
      <c r="V366" s="775">
        <f t="shared" si="527"/>
        <v>3087.71</v>
      </c>
      <c r="W366" s="6108"/>
      <c r="X366" s="2537"/>
      <c r="Y366" s="6052"/>
      <c r="Z366" s="774">
        <f t="shared" si="528"/>
        <v>1178.1999999999998</v>
      </c>
      <c r="AA366" s="6062"/>
      <c r="AB366" s="460">
        <f t="shared" si="529"/>
        <v>3087.71</v>
      </c>
      <c r="AC366" s="6108"/>
      <c r="AD366" s="2537">
        <v>324.07</v>
      </c>
      <c r="AE366" s="6088"/>
      <c r="AF366" s="775">
        <f t="shared" si="530"/>
        <v>3411.78</v>
      </c>
      <c r="AG366" s="6108"/>
      <c r="AH366" s="2537">
        <v>125.88</v>
      </c>
      <c r="AI366" s="6120"/>
      <c r="AJ366" s="775">
        <f t="shared" si="512"/>
        <v>3537.6600000000003</v>
      </c>
      <c r="AK366" s="6108"/>
      <c r="AL366" s="2537">
        <v>729.65000000000009</v>
      </c>
      <c r="AM366" s="6052"/>
      <c r="AN366" s="774">
        <f t="shared" si="513"/>
        <v>1179.6000000000001</v>
      </c>
      <c r="AO366" s="6088"/>
      <c r="AP366" s="775">
        <f t="shared" si="514"/>
        <v>4267.3100000000004</v>
      </c>
      <c r="AQ366" s="6108"/>
      <c r="AR366" s="2537"/>
      <c r="AS366" s="6120"/>
      <c r="AT366" s="775">
        <f t="shared" si="519"/>
        <v>4267.3100000000004</v>
      </c>
      <c r="AU366" s="6108"/>
      <c r="AV366" s="2537">
        <v>893.43</v>
      </c>
      <c r="AW366" s="6120"/>
      <c r="AX366" s="775">
        <f t="shared" si="515"/>
        <v>5160.7400000000007</v>
      </c>
      <c r="AY366" s="6108"/>
      <c r="AZ366" s="2537"/>
      <c r="BA366" s="6052"/>
      <c r="BB366" s="774">
        <f t="shared" si="516"/>
        <v>893.43</v>
      </c>
      <c r="BC366" s="6062"/>
      <c r="BD366" s="460">
        <f t="shared" si="517"/>
        <v>2073.0300000000002</v>
      </c>
      <c r="BE366" s="6120"/>
      <c r="BF366" s="775">
        <f t="shared" si="518"/>
        <v>5160.7400000000007</v>
      </c>
      <c r="BG366" s="26">
        <f t="shared" si="520"/>
        <v>0</v>
      </c>
      <c r="BH366" s="26">
        <f t="shared" si="521"/>
        <v>0</v>
      </c>
      <c r="BI366" s="26"/>
      <c r="BJ366" s="26">
        <f t="shared" si="522"/>
        <v>0</v>
      </c>
      <c r="BK366" s="26">
        <f t="shared" si="523"/>
        <v>0</v>
      </c>
    </row>
    <row r="367" spans="1:63" x14ac:dyDescent="0.3">
      <c r="A367" s="196"/>
      <c r="B367" s="3509" t="s">
        <v>1522</v>
      </c>
      <c r="C367" s="3453" t="s">
        <v>1788</v>
      </c>
      <c r="D367" s="3453"/>
      <c r="E367" s="6108"/>
      <c r="F367" s="2537"/>
      <c r="G367" s="6108"/>
      <c r="H367" s="2537"/>
      <c r="I367" s="6088"/>
      <c r="J367" s="775">
        <f t="shared" si="524"/>
        <v>0</v>
      </c>
      <c r="K367" s="6108"/>
      <c r="L367" s="2537">
        <v>382.18</v>
      </c>
      <c r="M367" s="6052"/>
      <c r="N367" s="774">
        <f t="shared" si="525"/>
        <v>382.18</v>
      </c>
      <c r="O367" s="6108"/>
      <c r="P367" s="2537">
        <v>506.90000000000003</v>
      </c>
      <c r="Q367" s="6088"/>
      <c r="R367" s="775">
        <f t="shared" si="526"/>
        <v>889.08</v>
      </c>
      <c r="S367" s="6108"/>
      <c r="T367" s="2537"/>
      <c r="U367" s="6088"/>
      <c r="V367" s="775">
        <f t="shared" si="527"/>
        <v>889.08</v>
      </c>
      <c r="W367" s="6108"/>
      <c r="X367" s="2537"/>
      <c r="Y367" s="6052"/>
      <c r="Z367" s="774">
        <f t="shared" si="528"/>
        <v>506.90000000000003</v>
      </c>
      <c r="AA367" s="6062"/>
      <c r="AB367" s="460">
        <f t="shared" si="529"/>
        <v>889.08</v>
      </c>
      <c r="AC367" s="6108"/>
      <c r="AD367" s="2537">
        <v>1153.7399999999998</v>
      </c>
      <c r="AE367" s="6088"/>
      <c r="AF367" s="775">
        <f t="shared" si="530"/>
        <v>2042.8199999999997</v>
      </c>
      <c r="AG367" s="6108"/>
      <c r="AH367" s="2537"/>
      <c r="AI367" s="6120"/>
      <c r="AJ367" s="775">
        <f t="shared" si="512"/>
        <v>2042.8199999999997</v>
      </c>
      <c r="AK367" s="6108"/>
      <c r="AL367" s="2537"/>
      <c r="AM367" s="6052"/>
      <c r="AN367" s="774">
        <f t="shared" si="513"/>
        <v>1153.7399999999998</v>
      </c>
      <c r="AO367" s="6088"/>
      <c r="AP367" s="775">
        <f t="shared" si="514"/>
        <v>2042.8199999999997</v>
      </c>
      <c r="AQ367" s="6108"/>
      <c r="AR367" s="2537"/>
      <c r="AS367" s="6120"/>
      <c r="AT367" s="775">
        <f t="shared" si="519"/>
        <v>2042.8199999999997</v>
      </c>
      <c r="AU367" s="6108"/>
      <c r="AV367" s="2537"/>
      <c r="AW367" s="6120"/>
      <c r="AX367" s="775">
        <f t="shared" si="515"/>
        <v>2042.8199999999997</v>
      </c>
      <c r="AY367" s="6108"/>
      <c r="AZ367" s="2537">
        <v>153.298</v>
      </c>
      <c r="BA367" s="6052"/>
      <c r="BB367" s="774">
        <f t="shared" si="516"/>
        <v>153.298</v>
      </c>
      <c r="BC367" s="6062"/>
      <c r="BD367" s="460">
        <f t="shared" si="517"/>
        <v>1307.0379999999998</v>
      </c>
      <c r="BE367" s="6120"/>
      <c r="BF367" s="775">
        <f t="shared" si="518"/>
        <v>2196.1179999999995</v>
      </c>
      <c r="BG367" s="26">
        <f t="shared" si="520"/>
        <v>0</v>
      </c>
      <c r="BH367" s="26">
        <f t="shared" si="521"/>
        <v>0</v>
      </c>
      <c r="BI367" s="26"/>
      <c r="BJ367" s="26">
        <f t="shared" si="522"/>
        <v>0</v>
      </c>
      <c r="BK367" s="26">
        <f t="shared" si="523"/>
        <v>0</v>
      </c>
    </row>
    <row r="368" spans="1:63" x14ac:dyDescent="0.3">
      <c r="A368" s="196"/>
      <c r="B368" s="3509" t="s">
        <v>1522</v>
      </c>
      <c r="C368" s="3453" t="s">
        <v>1769</v>
      </c>
      <c r="D368" s="3453"/>
      <c r="E368" s="6108"/>
      <c r="F368" s="2537">
        <v>74.210000000000008</v>
      </c>
      <c r="G368" s="6108"/>
      <c r="H368" s="2537">
        <v>166.5</v>
      </c>
      <c r="I368" s="6088"/>
      <c r="J368" s="775">
        <f t="shared" si="524"/>
        <v>240.71</v>
      </c>
      <c r="K368" s="6108"/>
      <c r="L368" s="2537">
        <v>546.38</v>
      </c>
      <c r="M368" s="6052"/>
      <c r="N368" s="774">
        <f t="shared" si="525"/>
        <v>787.09</v>
      </c>
      <c r="O368" s="6108"/>
      <c r="P368" s="2537">
        <v>383.46000000000004</v>
      </c>
      <c r="Q368" s="6088"/>
      <c r="R368" s="775">
        <f t="shared" si="526"/>
        <v>1170.5500000000002</v>
      </c>
      <c r="S368" s="6108"/>
      <c r="T368" s="2537"/>
      <c r="U368" s="6088"/>
      <c r="V368" s="775">
        <f t="shared" si="527"/>
        <v>1170.5500000000002</v>
      </c>
      <c r="W368" s="6108"/>
      <c r="X368" s="2537"/>
      <c r="Y368" s="6052"/>
      <c r="Z368" s="774">
        <f t="shared" si="528"/>
        <v>383.46000000000004</v>
      </c>
      <c r="AA368" s="6062"/>
      <c r="AB368" s="460">
        <f t="shared" si="529"/>
        <v>1170.5500000000002</v>
      </c>
      <c r="AC368" s="6108"/>
      <c r="AD368" s="2537">
        <v>185.06</v>
      </c>
      <c r="AE368" s="6088"/>
      <c r="AF368" s="775">
        <f t="shared" si="530"/>
        <v>1355.6100000000001</v>
      </c>
      <c r="AG368" s="6108"/>
      <c r="AH368" s="2537"/>
      <c r="AI368" s="6120"/>
      <c r="AJ368" s="775">
        <f t="shared" si="512"/>
        <v>1355.6100000000001</v>
      </c>
      <c r="AK368" s="6108"/>
      <c r="AL368" s="2537"/>
      <c r="AM368" s="6052"/>
      <c r="AN368" s="774">
        <f t="shared" si="513"/>
        <v>185.06</v>
      </c>
      <c r="AO368" s="6088"/>
      <c r="AP368" s="775">
        <f t="shared" si="514"/>
        <v>1355.6100000000001</v>
      </c>
      <c r="AQ368" s="6108"/>
      <c r="AR368" s="2537"/>
      <c r="AS368" s="6120"/>
      <c r="AT368" s="775">
        <f t="shared" si="519"/>
        <v>1355.6100000000001</v>
      </c>
      <c r="AU368" s="6108"/>
      <c r="AV368" s="2537"/>
      <c r="AW368" s="6120"/>
      <c r="AX368" s="775">
        <f t="shared" si="515"/>
        <v>1355.6100000000001</v>
      </c>
      <c r="AY368" s="6108"/>
      <c r="AZ368" s="2537">
        <v>125.82199999999999</v>
      </c>
      <c r="BA368" s="6052"/>
      <c r="BB368" s="774">
        <f t="shared" si="516"/>
        <v>125.82199999999999</v>
      </c>
      <c r="BC368" s="6062"/>
      <c r="BD368" s="460">
        <f t="shared" si="517"/>
        <v>310.88200000000001</v>
      </c>
      <c r="BE368" s="6120"/>
      <c r="BF368" s="775">
        <f t="shared" si="518"/>
        <v>1481.432</v>
      </c>
      <c r="BG368" s="26">
        <f t="shared" si="520"/>
        <v>0</v>
      </c>
      <c r="BH368" s="26">
        <f t="shared" si="521"/>
        <v>0</v>
      </c>
      <c r="BI368" s="26"/>
      <c r="BJ368" s="26">
        <f t="shared" si="522"/>
        <v>0</v>
      </c>
      <c r="BK368" s="26">
        <f t="shared" si="523"/>
        <v>0</v>
      </c>
    </row>
    <row r="369" spans="1:63" x14ac:dyDescent="0.3">
      <c r="A369" s="196"/>
      <c r="B369" s="3512" t="s">
        <v>885</v>
      </c>
      <c r="C369" s="3453" t="s">
        <v>892</v>
      </c>
      <c r="D369" s="3453"/>
      <c r="E369" s="6111"/>
      <c r="F369" s="1185">
        <v>1319.1</v>
      </c>
      <c r="G369" s="6111"/>
      <c r="H369" s="1185">
        <v>2839.33</v>
      </c>
      <c r="I369" s="6086"/>
      <c r="J369" s="775">
        <f t="shared" si="524"/>
        <v>4158.43</v>
      </c>
      <c r="K369" s="6111"/>
      <c r="L369" s="1185">
        <v>1722.4500000000003</v>
      </c>
      <c r="M369" s="6050"/>
      <c r="N369" s="774">
        <f t="shared" si="525"/>
        <v>5880.880000000001</v>
      </c>
      <c r="O369" s="6111"/>
      <c r="P369" s="1185">
        <v>1488.65</v>
      </c>
      <c r="Q369" s="6086"/>
      <c r="R369" s="775">
        <f t="shared" si="526"/>
        <v>7369.5300000000007</v>
      </c>
      <c r="S369" s="6111"/>
      <c r="T369" s="1185">
        <v>447.06</v>
      </c>
      <c r="U369" s="6086"/>
      <c r="V369" s="775">
        <f t="shared" si="527"/>
        <v>7816.5900000000011</v>
      </c>
      <c r="W369" s="6111"/>
      <c r="X369" s="1185">
        <v>250.67999999999998</v>
      </c>
      <c r="Y369" s="6050"/>
      <c r="Z369" s="774">
        <f t="shared" si="528"/>
        <v>2186.39</v>
      </c>
      <c r="AA369" s="6060"/>
      <c r="AB369" s="460">
        <f t="shared" si="529"/>
        <v>8067.27</v>
      </c>
      <c r="AC369" s="6111"/>
      <c r="AD369" s="1185">
        <v>316.37</v>
      </c>
      <c r="AE369" s="6086"/>
      <c r="AF369" s="775">
        <f t="shared" si="530"/>
        <v>8383.6400000000012</v>
      </c>
      <c r="AG369" s="6111"/>
      <c r="AH369" s="1185"/>
      <c r="AI369" s="6120"/>
      <c r="AJ369" s="775">
        <f t="shared" si="512"/>
        <v>8383.6400000000012</v>
      </c>
      <c r="AK369" s="6111"/>
      <c r="AL369" s="1185"/>
      <c r="AM369" s="6050"/>
      <c r="AN369" s="774">
        <f t="shared" si="513"/>
        <v>316.37</v>
      </c>
      <c r="AO369" s="6086"/>
      <c r="AP369" s="775">
        <f t="shared" si="514"/>
        <v>8383.6400000000012</v>
      </c>
      <c r="AQ369" s="6111"/>
      <c r="AR369" s="1185"/>
      <c r="AS369" s="6120"/>
      <c r="AT369" s="775">
        <f t="shared" si="519"/>
        <v>8383.6400000000012</v>
      </c>
      <c r="AU369" s="6111"/>
      <c r="AV369" s="1185">
        <v>1001.36</v>
      </c>
      <c r="AW369" s="6120"/>
      <c r="AX369" s="775">
        <f t="shared" si="515"/>
        <v>9385.0000000000018</v>
      </c>
      <c r="AY369" s="6111"/>
      <c r="AZ369" s="1185">
        <v>68.02</v>
      </c>
      <c r="BA369" s="6050"/>
      <c r="BB369" s="774">
        <f t="shared" si="516"/>
        <v>1069.3800000000001</v>
      </c>
      <c r="BC369" s="6060"/>
      <c r="BD369" s="460">
        <f t="shared" si="517"/>
        <v>1385.75</v>
      </c>
      <c r="BE369" s="6120"/>
      <c r="BF369" s="775">
        <f t="shared" si="518"/>
        <v>9453.0200000000023</v>
      </c>
      <c r="BG369" s="26">
        <f t="shared" si="520"/>
        <v>0</v>
      </c>
      <c r="BH369" s="26">
        <f t="shared" si="521"/>
        <v>0</v>
      </c>
      <c r="BI369" s="26"/>
      <c r="BJ369" s="26">
        <f t="shared" si="522"/>
        <v>0</v>
      </c>
      <c r="BK369" s="26">
        <f t="shared" si="523"/>
        <v>0</v>
      </c>
    </row>
    <row r="370" spans="1:63" x14ac:dyDescent="0.3">
      <c r="A370" s="196"/>
      <c r="B370" s="3512" t="s">
        <v>885</v>
      </c>
      <c r="C370" s="3453" t="s">
        <v>907</v>
      </c>
      <c r="D370" s="3453"/>
      <c r="E370" s="6111"/>
      <c r="F370" s="1185">
        <v>4839.59</v>
      </c>
      <c r="G370" s="6111"/>
      <c r="H370" s="1185">
        <v>4625.6299999999992</v>
      </c>
      <c r="I370" s="6086"/>
      <c r="J370" s="775">
        <f t="shared" si="524"/>
        <v>9465.2199999999993</v>
      </c>
      <c r="K370" s="6111"/>
      <c r="L370" s="1185">
        <v>4609.43</v>
      </c>
      <c r="M370" s="6050"/>
      <c r="N370" s="774">
        <f t="shared" si="525"/>
        <v>14074.65</v>
      </c>
      <c r="O370" s="6111"/>
      <c r="P370" s="1185">
        <v>4394.24</v>
      </c>
      <c r="Q370" s="6086"/>
      <c r="R370" s="775">
        <f t="shared" si="526"/>
        <v>18468.89</v>
      </c>
      <c r="S370" s="6111"/>
      <c r="T370" s="1185">
        <v>5701.26</v>
      </c>
      <c r="U370" s="6086"/>
      <c r="V370" s="775">
        <f t="shared" si="527"/>
        <v>24170.15</v>
      </c>
      <c r="W370" s="6111"/>
      <c r="X370" s="1185">
        <v>1811.32</v>
      </c>
      <c r="Y370" s="6050"/>
      <c r="Z370" s="774">
        <f t="shared" si="528"/>
        <v>11906.82</v>
      </c>
      <c r="AA370" s="6060"/>
      <c r="AB370" s="460">
        <f t="shared" si="529"/>
        <v>25981.47</v>
      </c>
      <c r="AC370" s="6111"/>
      <c r="AD370" s="1185">
        <v>4067.1799999999994</v>
      </c>
      <c r="AE370" s="6086"/>
      <c r="AF370" s="775">
        <f t="shared" si="530"/>
        <v>30048.65</v>
      </c>
      <c r="AG370" s="6111"/>
      <c r="AH370" s="1185">
        <v>3068.0099999999998</v>
      </c>
      <c r="AI370" s="6120"/>
      <c r="AJ370" s="775">
        <f t="shared" si="512"/>
        <v>33116.660000000003</v>
      </c>
      <c r="AK370" s="6111"/>
      <c r="AL370" s="1185">
        <v>4609.0550000000003</v>
      </c>
      <c r="AM370" s="6050"/>
      <c r="AN370" s="774">
        <f t="shared" si="513"/>
        <v>11744.244999999999</v>
      </c>
      <c r="AO370" s="6086"/>
      <c r="AP370" s="775">
        <f t="shared" si="514"/>
        <v>37725.715000000004</v>
      </c>
      <c r="AQ370" s="6111"/>
      <c r="AR370" s="1185">
        <v>3745.8399999999992</v>
      </c>
      <c r="AS370" s="6120"/>
      <c r="AT370" s="775">
        <f t="shared" si="519"/>
        <v>41471.555</v>
      </c>
      <c r="AU370" s="6111"/>
      <c r="AV370" s="1185">
        <v>6048.67</v>
      </c>
      <c r="AW370" s="6120"/>
      <c r="AX370" s="775">
        <f t="shared" si="515"/>
        <v>47520.224999999999</v>
      </c>
      <c r="AY370" s="6111"/>
      <c r="AZ370" s="1185">
        <v>8147.5210000000015</v>
      </c>
      <c r="BA370" s="6050"/>
      <c r="BB370" s="774">
        <f t="shared" si="516"/>
        <v>17942.030999999999</v>
      </c>
      <c r="BC370" s="6060"/>
      <c r="BD370" s="460">
        <f t="shared" si="517"/>
        <v>29686.275999999998</v>
      </c>
      <c r="BE370" s="6120"/>
      <c r="BF370" s="775">
        <f t="shared" si="518"/>
        <v>55667.745999999999</v>
      </c>
      <c r="BG370" s="26">
        <f t="shared" si="520"/>
        <v>0</v>
      </c>
      <c r="BH370" s="26">
        <f t="shared" si="521"/>
        <v>0</v>
      </c>
      <c r="BI370" s="26"/>
      <c r="BJ370" s="26">
        <f t="shared" si="522"/>
        <v>0</v>
      </c>
      <c r="BK370" s="26">
        <f t="shared" si="523"/>
        <v>0</v>
      </c>
    </row>
    <row r="371" spans="1:63" x14ac:dyDescent="0.3">
      <c r="A371" s="196"/>
      <c r="B371" s="3512" t="s">
        <v>885</v>
      </c>
      <c r="C371" s="3453" t="s">
        <v>1589</v>
      </c>
      <c r="D371" s="3453"/>
      <c r="E371" s="6111"/>
      <c r="F371" s="1185"/>
      <c r="G371" s="6111"/>
      <c r="H371" s="1185"/>
      <c r="I371" s="6086"/>
      <c r="J371" s="775">
        <f t="shared" si="524"/>
        <v>0</v>
      </c>
      <c r="K371" s="6111"/>
      <c r="L371" s="1185"/>
      <c r="M371" s="6050"/>
      <c r="N371" s="774">
        <f t="shared" si="525"/>
        <v>0</v>
      </c>
      <c r="O371" s="6111"/>
      <c r="P371" s="1185"/>
      <c r="Q371" s="6086"/>
      <c r="R371" s="775">
        <f t="shared" si="526"/>
        <v>0</v>
      </c>
      <c r="S371" s="6111"/>
      <c r="T371" s="1185">
        <v>1015.8600000000001</v>
      </c>
      <c r="U371" s="6086"/>
      <c r="V371" s="775">
        <f t="shared" si="527"/>
        <v>1015.8600000000001</v>
      </c>
      <c r="W371" s="6111"/>
      <c r="X371" s="1185"/>
      <c r="Y371" s="6050"/>
      <c r="Z371" s="774">
        <f t="shared" si="528"/>
        <v>1015.8600000000001</v>
      </c>
      <c r="AA371" s="6060"/>
      <c r="AB371" s="460">
        <f t="shared" si="529"/>
        <v>1015.8600000000001</v>
      </c>
      <c r="AC371" s="6111"/>
      <c r="AD371" s="1185"/>
      <c r="AE371" s="6086"/>
      <c r="AF371" s="775">
        <f t="shared" si="530"/>
        <v>1015.8600000000001</v>
      </c>
      <c r="AG371" s="6111"/>
      <c r="AH371" s="1185"/>
      <c r="AI371" s="6120"/>
      <c r="AJ371" s="775">
        <f t="shared" si="512"/>
        <v>1015.8600000000001</v>
      </c>
      <c r="AK371" s="6111"/>
      <c r="AL371" s="1185"/>
      <c r="AM371" s="6050"/>
      <c r="AN371" s="774">
        <f t="shared" si="513"/>
        <v>0</v>
      </c>
      <c r="AO371" s="6086"/>
      <c r="AP371" s="775">
        <f t="shared" si="514"/>
        <v>1015.8600000000001</v>
      </c>
      <c r="AQ371" s="6111"/>
      <c r="AR371" s="1185">
        <v>757.26000000000022</v>
      </c>
      <c r="AS371" s="6120"/>
      <c r="AT371" s="775">
        <f t="shared" si="519"/>
        <v>1773.1200000000003</v>
      </c>
      <c r="AU371" s="6111"/>
      <c r="AV371" s="1185"/>
      <c r="AW371" s="6120"/>
      <c r="AX371" s="775">
        <f t="shared" si="515"/>
        <v>1773.1200000000003</v>
      </c>
      <c r="AY371" s="6111"/>
      <c r="AZ371" s="1185"/>
      <c r="BA371" s="6050"/>
      <c r="BB371" s="774">
        <f t="shared" si="516"/>
        <v>757.26000000000022</v>
      </c>
      <c r="BC371" s="6060"/>
      <c r="BD371" s="460">
        <f t="shared" si="517"/>
        <v>757.26000000000022</v>
      </c>
      <c r="BE371" s="6120"/>
      <c r="BF371" s="775">
        <f t="shared" si="518"/>
        <v>1773.1200000000003</v>
      </c>
      <c r="BG371" s="26">
        <f t="shared" si="520"/>
        <v>0</v>
      </c>
      <c r="BH371" s="26">
        <f t="shared" si="521"/>
        <v>0</v>
      </c>
      <c r="BI371" s="26"/>
      <c r="BJ371" s="26">
        <f t="shared" si="522"/>
        <v>0</v>
      </c>
      <c r="BK371" s="26">
        <f t="shared" si="523"/>
        <v>0</v>
      </c>
    </row>
    <row r="372" spans="1:63" x14ac:dyDescent="0.3">
      <c r="A372" s="196"/>
      <c r="B372" s="3512" t="s">
        <v>885</v>
      </c>
      <c r="C372" s="3453" t="s">
        <v>1760</v>
      </c>
      <c r="D372" s="3453"/>
      <c r="E372" s="6111"/>
      <c r="F372" s="1185"/>
      <c r="G372" s="6111"/>
      <c r="H372" s="1185"/>
      <c r="I372" s="6086"/>
      <c r="J372" s="775">
        <f t="shared" si="524"/>
        <v>0</v>
      </c>
      <c r="K372" s="6111"/>
      <c r="L372" s="1185"/>
      <c r="M372" s="6050"/>
      <c r="N372" s="774">
        <f t="shared" si="525"/>
        <v>0</v>
      </c>
      <c r="O372" s="6111"/>
      <c r="P372" s="1185">
        <v>253.14</v>
      </c>
      <c r="Q372" s="6086"/>
      <c r="R372" s="775">
        <f t="shared" si="526"/>
        <v>253.14</v>
      </c>
      <c r="S372" s="6111"/>
      <c r="T372" s="1185"/>
      <c r="U372" s="6086"/>
      <c r="V372" s="775">
        <f t="shared" si="527"/>
        <v>253.14</v>
      </c>
      <c r="W372" s="6111"/>
      <c r="X372" s="1185"/>
      <c r="Y372" s="6050"/>
      <c r="Z372" s="774">
        <f t="shared" si="528"/>
        <v>253.14</v>
      </c>
      <c r="AA372" s="6060"/>
      <c r="AB372" s="460">
        <f t="shared" si="529"/>
        <v>253.14</v>
      </c>
      <c r="AC372" s="6111"/>
      <c r="AD372" s="1185">
        <v>259.24</v>
      </c>
      <c r="AE372" s="6086"/>
      <c r="AF372" s="775">
        <f t="shared" si="530"/>
        <v>512.38</v>
      </c>
      <c r="AG372" s="6111"/>
      <c r="AH372" s="1185"/>
      <c r="AI372" s="6120"/>
      <c r="AJ372" s="775">
        <f t="shared" si="512"/>
        <v>512.38</v>
      </c>
      <c r="AK372" s="6111"/>
      <c r="AL372" s="1185"/>
      <c r="AM372" s="6050"/>
      <c r="AN372" s="774">
        <f t="shared" si="513"/>
        <v>259.24</v>
      </c>
      <c r="AO372" s="6086"/>
      <c r="AP372" s="775">
        <f t="shared" si="514"/>
        <v>512.38</v>
      </c>
      <c r="AQ372" s="6111"/>
      <c r="AR372" s="1185">
        <v>104.86</v>
      </c>
      <c r="AS372" s="6120"/>
      <c r="AT372" s="775">
        <f t="shared" si="519"/>
        <v>617.24</v>
      </c>
      <c r="AU372" s="6111"/>
      <c r="AV372" s="1185"/>
      <c r="AW372" s="6120"/>
      <c r="AX372" s="775">
        <f t="shared" si="515"/>
        <v>617.24</v>
      </c>
      <c r="AY372" s="6111"/>
      <c r="AZ372" s="1185"/>
      <c r="BA372" s="6050"/>
      <c r="BB372" s="774">
        <f t="shared" si="516"/>
        <v>104.86</v>
      </c>
      <c r="BC372" s="6060"/>
      <c r="BD372" s="460">
        <f t="shared" si="517"/>
        <v>364.1</v>
      </c>
      <c r="BE372" s="6120"/>
      <c r="BF372" s="775">
        <f t="shared" si="518"/>
        <v>617.24</v>
      </c>
      <c r="BG372" s="26">
        <f t="shared" si="520"/>
        <v>0</v>
      </c>
      <c r="BH372" s="26">
        <f t="shared" si="521"/>
        <v>0</v>
      </c>
      <c r="BI372" s="26"/>
      <c r="BJ372" s="26">
        <f t="shared" si="522"/>
        <v>0</v>
      </c>
      <c r="BK372" s="26">
        <f t="shared" si="523"/>
        <v>0</v>
      </c>
    </row>
    <row r="373" spans="1:63" x14ac:dyDescent="0.3">
      <c r="A373" s="196"/>
      <c r="B373" s="3512" t="s">
        <v>885</v>
      </c>
      <c r="C373" s="3453" t="s">
        <v>1295</v>
      </c>
      <c r="D373" s="3453"/>
      <c r="E373" s="6111"/>
      <c r="F373" s="2537"/>
      <c r="G373" s="6111"/>
      <c r="H373" s="2537"/>
      <c r="I373" s="6088"/>
      <c r="J373" s="775">
        <f t="shared" si="524"/>
        <v>0</v>
      </c>
      <c r="K373" s="6111"/>
      <c r="L373" s="2537">
        <v>122.88</v>
      </c>
      <c r="M373" s="6052"/>
      <c r="N373" s="774">
        <f t="shared" si="525"/>
        <v>122.88</v>
      </c>
      <c r="O373" s="6111"/>
      <c r="P373" s="2537">
        <v>282.87</v>
      </c>
      <c r="Q373" s="6088"/>
      <c r="R373" s="775">
        <f t="shared" si="526"/>
        <v>405.75</v>
      </c>
      <c r="S373" s="6111"/>
      <c r="T373" s="2537"/>
      <c r="U373" s="6088"/>
      <c r="V373" s="775">
        <f t="shared" si="527"/>
        <v>405.75</v>
      </c>
      <c r="W373" s="6111"/>
      <c r="X373" s="2537"/>
      <c r="Y373" s="6052"/>
      <c r="Z373" s="774">
        <f t="shared" si="528"/>
        <v>282.87</v>
      </c>
      <c r="AA373" s="6062"/>
      <c r="AB373" s="460">
        <f t="shared" si="529"/>
        <v>405.75</v>
      </c>
      <c r="AC373" s="6111"/>
      <c r="AD373" s="2537">
        <v>207.39999999999998</v>
      </c>
      <c r="AE373" s="6088"/>
      <c r="AF373" s="775">
        <f t="shared" si="530"/>
        <v>613.15</v>
      </c>
      <c r="AG373" s="6111"/>
      <c r="AH373" s="2537"/>
      <c r="AI373" s="6120"/>
      <c r="AJ373" s="775">
        <f t="shared" si="512"/>
        <v>613.15</v>
      </c>
      <c r="AK373" s="6111"/>
      <c r="AL373" s="2537"/>
      <c r="AM373" s="6052"/>
      <c r="AN373" s="774">
        <f t="shared" si="513"/>
        <v>207.39999999999998</v>
      </c>
      <c r="AO373" s="6088"/>
      <c r="AP373" s="775">
        <f t="shared" si="514"/>
        <v>613.15</v>
      </c>
      <c r="AQ373" s="6111"/>
      <c r="AR373" s="2537">
        <v>825.36999999999989</v>
      </c>
      <c r="AS373" s="6120"/>
      <c r="AT373" s="775">
        <f t="shared" si="519"/>
        <v>1438.52</v>
      </c>
      <c r="AU373" s="6111"/>
      <c r="AV373" s="2537"/>
      <c r="AW373" s="6120"/>
      <c r="AX373" s="775">
        <f t="shared" si="515"/>
        <v>1438.52</v>
      </c>
      <c r="AY373" s="6111"/>
      <c r="AZ373" s="2537"/>
      <c r="BA373" s="6052"/>
      <c r="BB373" s="774">
        <f t="shared" si="516"/>
        <v>825.36999999999989</v>
      </c>
      <c r="BC373" s="6062"/>
      <c r="BD373" s="460">
        <f t="shared" si="517"/>
        <v>1032.77</v>
      </c>
      <c r="BE373" s="6120"/>
      <c r="BF373" s="775">
        <f t="shared" si="518"/>
        <v>1438.52</v>
      </c>
      <c r="BG373" s="26">
        <f t="shared" si="520"/>
        <v>0</v>
      </c>
      <c r="BH373" s="26">
        <f t="shared" si="521"/>
        <v>0</v>
      </c>
      <c r="BI373" s="26"/>
      <c r="BJ373" s="26">
        <f t="shared" si="522"/>
        <v>0</v>
      </c>
      <c r="BK373" s="26">
        <f t="shared" si="523"/>
        <v>0</v>
      </c>
    </row>
    <row r="374" spans="1:63" x14ac:dyDescent="0.3">
      <c r="A374" s="196"/>
      <c r="B374" s="3472" t="s">
        <v>885</v>
      </c>
      <c r="C374" s="3453" t="s">
        <v>1241</v>
      </c>
      <c r="D374" s="3453"/>
      <c r="E374" s="6106"/>
      <c r="F374" s="1185"/>
      <c r="G374" s="6106"/>
      <c r="H374" s="1185"/>
      <c r="I374" s="6086"/>
      <c r="J374" s="775">
        <f t="shared" si="524"/>
        <v>0</v>
      </c>
      <c r="K374" s="6106"/>
      <c r="L374" s="1185"/>
      <c r="M374" s="6050"/>
      <c r="N374" s="774">
        <f t="shared" si="525"/>
        <v>0</v>
      </c>
      <c r="O374" s="6106"/>
      <c r="P374" s="1185"/>
      <c r="Q374" s="6086"/>
      <c r="R374" s="775">
        <f t="shared" si="526"/>
        <v>0</v>
      </c>
      <c r="S374" s="6106"/>
      <c r="T374" s="1185"/>
      <c r="U374" s="6086"/>
      <c r="V374" s="775">
        <f t="shared" si="527"/>
        <v>0</v>
      </c>
      <c r="W374" s="6106"/>
      <c r="X374" s="1185"/>
      <c r="Y374" s="6050"/>
      <c r="Z374" s="774">
        <f t="shared" si="528"/>
        <v>0</v>
      </c>
      <c r="AA374" s="6060"/>
      <c r="AB374" s="460">
        <f t="shared" si="529"/>
        <v>0</v>
      </c>
      <c r="AC374" s="6106"/>
      <c r="AD374" s="1185"/>
      <c r="AE374" s="6086"/>
      <c r="AF374" s="775">
        <f t="shared" si="530"/>
        <v>0</v>
      </c>
      <c r="AG374" s="6106"/>
      <c r="AH374" s="1185"/>
      <c r="AI374" s="6120"/>
      <c r="AJ374" s="775">
        <f t="shared" si="512"/>
        <v>0</v>
      </c>
      <c r="AK374" s="6106"/>
      <c r="AL374" s="1185"/>
      <c r="AM374" s="6050"/>
      <c r="AN374" s="774">
        <f t="shared" si="513"/>
        <v>0</v>
      </c>
      <c r="AO374" s="6086"/>
      <c r="AP374" s="775">
        <f t="shared" si="514"/>
        <v>0</v>
      </c>
      <c r="AQ374" s="6106"/>
      <c r="AR374" s="1185"/>
      <c r="AS374" s="6120"/>
      <c r="AT374" s="775">
        <f t="shared" si="519"/>
        <v>0</v>
      </c>
      <c r="AU374" s="6106"/>
      <c r="AV374" s="1185"/>
      <c r="AW374" s="6120"/>
      <c r="AX374" s="775">
        <f t="shared" si="515"/>
        <v>0</v>
      </c>
      <c r="AY374" s="6106"/>
      <c r="AZ374" s="1185"/>
      <c r="BA374" s="6050"/>
      <c r="BB374" s="774">
        <f t="shared" si="516"/>
        <v>0</v>
      </c>
      <c r="BC374" s="6060"/>
      <c r="BD374" s="460">
        <f t="shared" si="517"/>
        <v>0</v>
      </c>
      <c r="BE374" s="6120"/>
      <c r="BF374" s="775">
        <f t="shared" si="518"/>
        <v>0</v>
      </c>
      <c r="BG374" s="26">
        <f t="shared" si="520"/>
        <v>0</v>
      </c>
      <c r="BH374" s="26">
        <f t="shared" si="521"/>
        <v>0</v>
      </c>
      <c r="BI374" s="26"/>
      <c r="BJ374" s="26">
        <f t="shared" si="522"/>
        <v>0</v>
      </c>
      <c r="BK374" s="26">
        <f t="shared" si="523"/>
        <v>0</v>
      </c>
    </row>
    <row r="375" spans="1:63" x14ac:dyDescent="0.3">
      <c r="A375" s="196"/>
      <c r="B375" s="3472" t="s">
        <v>885</v>
      </c>
      <c r="C375" s="3422" t="s">
        <v>1328</v>
      </c>
      <c r="D375" s="3422"/>
      <c r="E375" s="6106"/>
      <c r="F375" s="1185"/>
      <c r="G375" s="6106"/>
      <c r="H375" s="1185"/>
      <c r="I375" s="6086"/>
      <c r="J375" s="775">
        <f t="shared" si="524"/>
        <v>0</v>
      </c>
      <c r="K375" s="6106"/>
      <c r="L375" s="1185"/>
      <c r="M375" s="6050"/>
      <c r="N375" s="774">
        <f t="shared" si="525"/>
        <v>0</v>
      </c>
      <c r="O375" s="6106"/>
      <c r="P375" s="1185"/>
      <c r="Q375" s="6086"/>
      <c r="R375" s="775">
        <f t="shared" si="526"/>
        <v>0</v>
      </c>
      <c r="S375" s="6106"/>
      <c r="T375" s="1185"/>
      <c r="U375" s="6086"/>
      <c r="V375" s="775">
        <f t="shared" si="527"/>
        <v>0</v>
      </c>
      <c r="W375" s="6106"/>
      <c r="X375" s="1185"/>
      <c r="Y375" s="6050"/>
      <c r="Z375" s="774">
        <f t="shared" si="528"/>
        <v>0</v>
      </c>
      <c r="AA375" s="6060"/>
      <c r="AB375" s="460">
        <f t="shared" si="529"/>
        <v>0</v>
      </c>
      <c r="AC375" s="6106"/>
      <c r="AD375" s="1185"/>
      <c r="AE375" s="6086"/>
      <c r="AF375" s="775">
        <f t="shared" si="530"/>
        <v>0</v>
      </c>
      <c r="AG375" s="6106"/>
      <c r="AH375" s="1185"/>
      <c r="AI375" s="6120"/>
      <c r="AJ375" s="775">
        <f t="shared" si="512"/>
        <v>0</v>
      </c>
      <c r="AK375" s="6106"/>
      <c r="AL375" s="1185"/>
      <c r="AM375" s="6050"/>
      <c r="AN375" s="774">
        <f t="shared" si="513"/>
        <v>0</v>
      </c>
      <c r="AO375" s="6086"/>
      <c r="AP375" s="775">
        <f t="shared" si="514"/>
        <v>0</v>
      </c>
      <c r="AQ375" s="6106"/>
      <c r="AR375" s="1185"/>
      <c r="AS375" s="6120"/>
      <c r="AT375" s="775">
        <f t="shared" si="519"/>
        <v>0</v>
      </c>
      <c r="AU375" s="6106"/>
      <c r="AV375" s="1185"/>
      <c r="AW375" s="6120"/>
      <c r="AX375" s="775">
        <f t="shared" si="515"/>
        <v>0</v>
      </c>
      <c r="AY375" s="6106"/>
      <c r="AZ375" s="1185"/>
      <c r="BA375" s="6050"/>
      <c r="BB375" s="774">
        <f t="shared" si="516"/>
        <v>0</v>
      </c>
      <c r="BC375" s="6060"/>
      <c r="BD375" s="460">
        <f t="shared" si="517"/>
        <v>0</v>
      </c>
      <c r="BE375" s="6120"/>
      <c r="BF375" s="775">
        <f t="shared" si="518"/>
        <v>0</v>
      </c>
      <c r="BG375" s="26">
        <f t="shared" si="520"/>
        <v>0</v>
      </c>
      <c r="BH375" s="26">
        <f t="shared" si="521"/>
        <v>0</v>
      </c>
      <c r="BI375" s="26"/>
      <c r="BJ375" s="26">
        <f t="shared" si="522"/>
        <v>0</v>
      </c>
      <c r="BK375" s="26">
        <f t="shared" si="523"/>
        <v>0</v>
      </c>
    </row>
    <row r="376" spans="1:63" x14ac:dyDescent="0.3">
      <c r="A376" s="196"/>
      <c r="B376" s="3509" t="s">
        <v>885</v>
      </c>
      <c r="C376" s="3453" t="s">
        <v>1759</v>
      </c>
      <c r="D376" s="3453"/>
      <c r="E376" s="6108"/>
      <c r="F376" s="2537">
        <v>126.4</v>
      </c>
      <c r="G376" s="6108"/>
      <c r="H376" s="2537">
        <v>549.79000000000008</v>
      </c>
      <c r="I376" s="6088"/>
      <c r="J376" s="775">
        <f t="shared" si="524"/>
        <v>676.19</v>
      </c>
      <c r="K376" s="6108"/>
      <c r="L376" s="2537">
        <v>445.45</v>
      </c>
      <c r="M376" s="6052"/>
      <c r="N376" s="774">
        <f t="shared" si="525"/>
        <v>1121.6400000000001</v>
      </c>
      <c r="O376" s="6108"/>
      <c r="P376" s="2537">
        <v>1213.3599999999999</v>
      </c>
      <c r="Q376" s="6088"/>
      <c r="R376" s="775">
        <f t="shared" si="526"/>
        <v>2335</v>
      </c>
      <c r="S376" s="6108"/>
      <c r="T376" s="2537">
        <v>598.39</v>
      </c>
      <c r="U376" s="6088"/>
      <c r="V376" s="775">
        <f t="shared" si="527"/>
        <v>2933.39</v>
      </c>
      <c r="W376" s="6108"/>
      <c r="X376" s="2537">
        <v>312.10000000000002</v>
      </c>
      <c r="Y376" s="6052"/>
      <c r="Z376" s="774">
        <f t="shared" si="528"/>
        <v>2123.85</v>
      </c>
      <c r="AA376" s="6062"/>
      <c r="AB376" s="460">
        <f t="shared" si="529"/>
        <v>3245.49</v>
      </c>
      <c r="AC376" s="6108"/>
      <c r="AD376" s="2537">
        <v>714.01</v>
      </c>
      <c r="AE376" s="6088"/>
      <c r="AF376" s="775">
        <f t="shared" si="530"/>
        <v>3959.5</v>
      </c>
      <c r="AG376" s="6108"/>
      <c r="AH376" s="2537"/>
      <c r="AI376" s="6120"/>
      <c r="AJ376" s="775">
        <f t="shared" si="512"/>
        <v>3959.5</v>
      </c>
      <c r="AK376" s="6108"/>
      <c r="AL376" s="2537"/>
      <c r="AM376" s="6052"/>
      <c r="AN376" s="774">
        <f t="shared" si="513"/>
        <v>714.01</v>
      </c>
      <c r="AO376" s="6088"/>
      <c r="AP376" s="775">
        <f t="shared" si="514"/>
        <v>3959.5</v>
      </c>
      <c r="AQ376" s="6108"/>
      <c r="AR376" s="2537">
        <v>421.14</v>
      </c>
      <c r="AS376" s="6120"/>
      <c r="AT376" s="775">
        <f t="shared" si="519"/>
        <v>4380.6400000000003</v>
      </c>
      <c r="AU376" s="6108"/>
      <c r="AV376" s="2537">
        <v>578.94000000000005</v>
      </c>
      <c r="AW376" s="6120"/>
      <c r="AX376" s="775">
        <f t="shared" si="515"/>
        <v>4959.58</v>
      </c>
      <c r="AY376" s="6108"/>
      <c r="AZ376" s="2537">
        <v>465.00499999999994</v>
      </c>
      <c r="BA376" s="6052"/>
      <c r="BB376" s="774">
        <f t="shared" si="516"/>
        <v>1465.085</v>
      </c>
      <c r="BC376" s="6062"/>
      <c r="BD376" s="460">
        <f t="shared" si="517"/>
        <v>2179.0950000000003</v>
      </c>
      <c r="BE376" s="6120"/>
      <c r="BF376" s="775">
        <f t="shared" si="518"/>
        <v>5424.585</v>
      </c>
      <c r="BG376" s="26">
        <f t="shared" si="520"/>
        <v>0</v>
      </c>
      <c r="BH376" s="26">
        <f t="shared" si="521"/>
        <v>0</v>
      </c>
      <c r="BI376" s="26"/>
      <c r="BJ376" s="26">
        <f t="shared" si="522"/>
        <v>0</v>
      </c>
      <c r="BK376" s="26">
        <f t="shared" si="523"/>
        <v>0</v>
      </c>
    </row>
    <row r="377" spans="1:63" ht="15" thickBot="1" x14ac:dyDescent="0.35">
      <c r="A377" s="196"/>
      <c r="B377" s="3476" t="s">
        <v>885</v>
      </c>
      <c r="C377" s="3505" t="s">
        <v>1770</v>
      </c>
      <c r="D377" s="3505"/>
      <c r="E377" s="6108"/>
      <c r="F377" s="2537">
        <v>62.8</v>
      </c>
      <c r="G377" s="6108"/>
      <c r="H377" s="2537">
        <v>328.65000000000003</v>
      </c>
      <c r="I377" s="6088"/>
      <c r="J377" s="775">
        <f t="shared" si="524"/>
        <v>391.45000000000005</v>
      </c>
      <c r="K377" s="6108"/>
      <c r="L377" s="2537">
        <v>328.08</v>
      </c>
      <c r="M377" s="6052"/>
      <c r="N377" s="774">
        <f t="shared" si="525"/>
        <v>719.53</v>
      </c>
      <c r="O377" s="6108"/>
      <c r="P377" s="2537">
        <v>471.27000000000004</v>
      </c>
      <c r="Q377" s="6088"/>
      <c r="R377" s="775">
        <f t="shared" si="526"/>
        <v>1190.8</v>
      </c>
      <c r="S377" s="6108"/>
      <c r="T377" s="2537">
        <v>205.1</v>
      </c>
      <c r="U377" s="6088"/>
      <c r="V377" s="775">
        <f t="shared" si="527"/>
        <v>1395.8999999999999</v>
      </c>
      <c r="W377" s="6108"/>
      <c r="X377" s="2537"/>
      <c r="Y377" s="6052"/>
      <c r="Z377" s="774">
        <f t="shared" si="528"/>
        <v>676.37</v>
      </c>
      <c r="AA377" s="6062"/>
      <c r="AB377" s="460">
        <f t="shared" si="529"/>
        <v>1395.9</v>
      </c>
      <c r="AC377" s="6108"/>
      <c r="AD377" s="2537">
        <v>123.02</v>
      </c>
      <c r="AE377" s="6088"/>
      <c r="AF377" s="775">
        <f t="shared" si="530"/>
        <v>1518.92</v>
      </c>
      <c r="AG377" s="6108"/>
      <c r="AH377" s="2537"/>
      <c r="AI377" s="6120"/>
      <c r="AJ377" s="775">
        <f t="shared" si="512"/>
        <v>1518.92</v>
      </c>
      <c r="AK377" s="6108"/>
      <c r="AL377" s="2537"/>
      <c r="AM377" s="6052"/>
      <c r="AN377" s="774">
        <f t="shared" si="513"/>
        <v>123.02</v>
      </c>
      <c r="AO377" s="6088"/>
      <c r="AP377" s="775">
        <f t="shared" si="514"/>
        <v>1518.92</v>
      </c>
      <c r="AQ377" s="6108"/>
      <c r="AR377" s="2537"/>
      <c r="AS377" s="6120"/>
      <c r="AT377" s="775">
        <f t="shared" si="519"/>
        <v>1518.92</v>
      </c>
      <c r="AU377" s="6108"/>
      <c r="AV377" s="2537">
        <v>124.71</v>
      </c>
      <c r="AW377" s="6120"/>
      <c r="AX377" s="775">
        <f t="shared" si="515"/>
        <v>1643.63</v>
      </c>
      <c r="AY377" s="6108"/>
      <c r="AZ377" s="2537"/>
      <c r="BA377" s="6052"/>
      <c r="BB377" s="774">
        <f t="shared" ref="BB377:BB412" si="531">AR377+AV377+AZ377</f>
        <v>124.71</v>
      </c>
      <c r="BC377" s="6062"/>
      <c r="BD377" s="460">
        <f t="shared" si="517"/>
        <v>247.73</v>
      </c>
      <c r="BE377" s="6120"/>
      <c r="BF377" s="775">
        <f t="shared" si="518"/>
        <v>1643.63</v>
      </c>
      <c r="BG377" s="26">
        <f t="shared" si="520"/>
        <v>0</v>
      </c>
      <c r="BH377" s="26">
        <f t="shared" si="521"/>
        <v>0</v>
      </c>
      <c r="BI377" s="26"/>
      <c r="BJ377" s="26">
        <f t="shared" si="522"/>
        <v>0</v>
      </c>
      <c r="BK377" s="26">
        <f t="shared" si="523"/>
        <v>0</v>
      </c>
    </row>
    <row r="378" spans="1:63" x14ac:dyDescent="0.3">
      <c r="A378" s="196"/>
      <c r="B378" s="2776" t="s">
        <v>1587</v>
      </c>
      <c r="C378" s="3417" t="s">
        <v>1588</v>
      </c>
      <c r="D378" s="3506"/>
      <c r="E378" s="6111"/>
      <c r="F378" s="1185"/>
      <c r="G378" s="6111"/>
      <c r="H378" s="1185"/>
      <c r="I378" s="6086"/>
      <c r="J378" s="775">
        <f t="shared" si="524"/>
        <v>0</v>
      </c>
      <c r="K378" s="6111"/>
      <c r="L378" s="1185"/>
      <c r="M378" s="6050"/>
      <c r="N378" s="774">
        <f t="shared" si="525"/>
        <v>0</v>
      </c>
      <c r="O378" s="6111"/>
      <c r="P378" s="1185"/>
      <c r="Q378" s="6086"/>
      <c r="R378" s="775">
        <f t="shared" si="526"/>
        <v>0</v>
      </c>
      <c r="S378" s="6111"/>
      <c r="T378" s="1185"/>
      <c r="U378" s="6086"/>
      <c r="V378" s="775">
        <f t="shared" si="527"/>
        <v>0</v>
      </c>
      <c r="W378" s="6111"/>
      <c r="X378" s="1185"/>
      <c r="Y378" s="6050"/>
      <c r="Z378" s="774">
        <f t="shared" si="528"/>
        <v>0</v>
      </c>
      <c r="AA378" s="6060"/>
      <c r="AB378" s="460">
        <f t="shared" si="529"/>
        <v>0</v>
      </c>
      <c r="AC378" s="6111"/>
      <c r="AD378" s="1185"/>
      <c r="AE378" s="6086"/>
      <c r="AF378" s="775">
        <f t="shared" si="530"/>
        <v>0</v>
      </c>
      <c r="AG378" s="6111"/>
      <c r="AH378" s="1185"/>
      <c r="AI378" s="6120"/>
      <c r="AJ378" s="775">
        <f t="shared" si="512"/>
        <v>0</v>
      </c>
      <c r="AK378" s="6111"/>
      <c r="AL378" s="1185"/>
      <c r="AM378" s="6050"/>
      <c r="AN378" s="774">
        <f t="shared" si="513"/>
        <v>0</v>
      </c>
      <c r="AO378" s="6086"/>
      <c r="AP378" s="775">
        <f t="shared" si="514"/>
        <v>0</v>
      </c>
      <c r="AQ378" s="6111"/>
      <c r="AR378" s="1185"/>
      <c r="AS378" s="6120"/>
      <c r="AT378" s="775">
        <f t="shared" si="519"/>
        <v>0</v>
      </c>
      <c r="AU378" s="6111"/>
      <c r="AV378" s="1185"/>
      <c r="AW378" s="6120"/>
      <c r="AX378" s="775">
        <f t="shared" si="515"/>
        <v>0</v>
      </c>
      <c r="AY378" s="6111"/>
      <c r="AZ378" s="1185"/>
      <c r="BA378" s="6050"/>
      <c r="BB378" s="774">
        <f t="shared" si="531"/>
        <v>0</v>
      </c>
      <c r="BC378" s="6060"/>
      <c r="BD378" s="460">
        <f t="shared" si="517"/>
        <v>0</v>
      </c>
      <c r="BE378" s="6120"/>
      <c r="BF378" s="775">
        <f t="shared" si="518"/>
        <v>0</v>
      </c>
      <c r="BG378" s="26">
        <f t="shared" si="520"/>
        <v>0</v>
      </c>
      <c r="BH378" s="26">
        <f t="shared" si="521"/>
        <v>0</v>
      </c>
      <c r="BI378" s="26"/>
      <c r="BJ378" s="26">
        <f t="shared" si="522"/>
        <v>0</v>
      </c>
      <c r="BK378" s="26">
        <f t="shared" si="523"/>
        <v>0</v>
      </c>
    </row>
    <row r="379" spans="1:63" x14ac:dyDescent="0.3">
      <c r="A379" s="196"/>
      <c r="B379" s="842" t="s">
        <v>1587</v>
      </c>
      <c r="C379" s="3453" t="s">
        <v>1771</v>
      </c>
      <c r="D379" s="3507"/>
      <c r="E379" s="6111"/>
      <c r="F379" s="2537"/>
      <c r="G379" s="6111"/>
      <c r="H379" s="2537"/>
      <c r="I379" s="6088"/>
      <c r="J379" s="775">
        <f t="shared" si="524"/>
        <v>0</v>
      </c>
      <c r="K379" s="6111"/>
      <c r="L379" s="2537"/>
      <c r="M379" s="6052"/>
      <c r="N379" s="774">
        <f t="shared" si="525"/>
        <v>0</v>
      </c>
      <c r="O379" s="6111"/>
      <c r="P379" s="2537"/>
      <c r="Q379" s="6088"/>
      <c r="R379" s="775">
        <f t="shared" si="526"/>
        <v>0</v>
      </c>
      <c r="S379" s="6111"/>
      <c r="T379" s="2537"/>
      <c r="U379" s="6088"/>
      <c r="V379" s="775">
        <f t="shared" si="527"/>
        <v>0</v>
      </c>
      <c r="W379" s="6111"/>
      <c r="X379" s="2537"/>
      <c r="Y379" s="6052"/>
      <c r="Z379" s="774">
        <f t="shared" si="528"/>
        <v>0</v>
      </c>
      <c r="AA379" s="6062"/>
      <c r="AB379" s="460">
        <f t="shared" si="529"/>
        <v>0</v>
      </c>
      <c r="AC379" s="6111"/>
      <c r="AD379" s="2537">
        <v>168.29999999999998</v>
      </c>
      <c r="AE379" s="6088"/>
      <c r="AF379" s="775">
        <f t="shared" si="530"/>
        <v>168.29999999999998</v>
      </c>
      <c r="AG379" s="6111"/>
      <c r="AH379" s="2537"/>
      <c r="AI379" s="6120"/>
      <c r="AJ379" s="775">
        <f t="shared" si="512"/>
        <v>168.29999999999998</v>
      </c>
      <c r="AK379" s="6111"/>
      <c r="AL379" s="2537"/>
      <c r="AM379" s="6052"/>
      <c r="AN379" s="774">
        <f t="shared" si="513"/>
        <v>168.29999999999998</v>
      </c>
      <c r="AO379" s="6088"/>
      <c r="AP379" s="775">
        <f t="shared" si="514"/>
        <v>168.29999999999998</v>
      </c>
      <c r="AQ379" s="6111"/>
      <c r="AR379" s="2537"/>
      <c r="AS379" s="6120"/>
      <c r="AT379" s="775">
        <f t="shared" si="519"/>
        <v>168.29999999999998</v>
      </c>
      <c r="AU379" s="6111"/>
      <c r="AV379" s="2537"/>
      <c r="AW379" s="6120"/>
      <c r="AX379" s="775">
        <f t="shared" si="515"/>
        <v>168.29999999999998</v>
      </c>
      <c r="AY379" s="6111"/>
      <c r="AZ379" s="2537"/>
      <c r="BA379" s="6052"/>
      <c r="BB379" s="774">
        <f t="shared" si="531"/>
        <v>0</v>
      </c>
      <c r="BC379" s="6062"/>
      <c r="BD379" s="460">
        <f t="shared" si="517"/>
        <v>168.29999999999998</v>
      </c>
      <c r="BE379" s="6120"/>
      <c r="BF379" s="775">
        <f t="shared" si="518"/>
        <v>168.29999999999998</v>
      </c>
      <c r="BG379" s="26">
        <f t="shared" si="520"/>
        <v>0</v>
      </c>
      <c r="BH379" s="26">
        <f t="shared" si="521"/>
        <v>0</v>
      </c>
      <c r="BI379" s="26"/>
      <c r="BJ379" s="26">
        <f t="shared" si="522"/>
        <v>0</v>
      </c>
      <c r="BK379" s="26">
        <f t="shared" si="523"/>
        <v>0</v>
      </c>
    </row>
    <row r="380" spans="1:63" x14ac:dyDescent="0.3">
      <c r="A380" s="196"/>
      <c r="B380" s="842" t="s">
        <v>1587</v>
      </c>
      <c r="C380" s="3453" t="s">
        <v>1621</v>
      </c>
      <c r="D380" s="3507"/>
      <c r="E380" s="6111"/>
      <c r="F380" s="1185"/>
      <c r="G380" s="6111"/>
      <c r="H380" s="1185"/>
      <c r="I380" s="6086"/>
      <c r="J380" s="775">
        <f t="shared" si="524"/>
        <v>0</v>
      </c>
      <c r="K380" s="6111"/>
      <c r="L380" s="1185"/>
      <c r="M380" s="6050"/>
      <c r="N380" s="774">
        <f t="shared" si="525"/>
        <v>0</v>
      </c>
      <c r="O380" s="6111"/>
      <c r="P380" s="1185"/>
      <c r="Q380" s="6086"/>
      <c r="R380" s="775">
        <f t="shared" si="526"/>
        <v>0</v>
      </c>
      <c r="S380" s="6111"/>
      <c r="T380" s="1185"/>
      <c r="U380" s="6086"/>
      <c r="V380" s="775">
        <f t="shared" si="527"/>
        <v>0</v>
      </c>
      <c r="W380" s="6111"/>
      <c r="X380" s="1185"/>
      <c r="Y380" s="6050"/>
      <c r="Z380" s="774">
        <f t="shared" si="528"/>
        <v>0</v>
      </c>
      <c r="AA380" s="6060"/>
      <c r="AB380" s="460">
        <f t="shared" si="529"/>
        <v>0</v>
      </c>
      <c r="AC380" s="6111"/>
      <c r="AD380" s="1185"/>
      <c r="AE380" s="6086"/>
      <c r="AF380" s="775">
        <f t="shared" si="530"/>
        <v>0</v>
      </c>
      <c r="AG380" s="6111"/>
      <c r="AH380" s="1185"/>
      <c r="AI380" s="6120"/>
      <c r="AJ380" s="775">
        <f t="shared" si="512"/>
        <v>0</v>
      </c>
      <c r="AK380" s="6111"/>
      <c r="AL380" s="1185"/>
      <c r="AM380" s="6050"/>
      <c r="AN380" s="774">
        <f t="shared" si="513"/>
        <v>0</v>
      </c>
      <c r="AO380" s="6086"/>
      <c r="AP380" s="775">
        <f t="shared" si="514"/>
        <v>0</v>
      </c>
      <c r="AQ380" s="6111"/>
      <c r="AR380" s="1185"/>
      <c r="AS380" s="6120"/>
      <c r="AT380" s="775">
        <f t="shared" si="519"/>
        <v>0</v>
      </c>
      <c r="AU380" s="6111"/>
      <c r="AV380" s="1185"/>
      <c r="AW380" s="6120"/>
      <c r="AX380" s="775">
        <f t="shared" si="515"/>
        <v>0</v>
      </c>
      <c r="AY380" s="6111"/>
      <c r="AZ380" s="1185"/>
      <c r="BA380" s="6050"/>
      <c r="BB380" s="774">
        <f t="shared" si="531"/>
        <v>0</v>
      </c>
      <c r="BC380" s="6060"/>
      <c r="BD380" s="460">
        <f t="shared" si="517"/>
        <v>0</v>
      </c>
      <c r="BE380" s="6120"/>
      <c r="BF380" s="775">
        <f t="shared" si="518"/>
        <v>0</v>
      </c>
      <c r="BG380" s="26">
        <f t="shared" si="520"/>
        <v>0</v>
      </c>
      <c r="BH380" s="26">
        <f t="shared" si="521"/>
        <v>0</v>
      </c>
      <c r="BI380" s="26"/>
      <c r="BJ380" s="26">
        <f t="shared" si="522"/>
        <v>0</v>
      </c>
      <c r="BK380" s="26">
        <f t="shared" si="523"/>
        <v>0</v>
      </c>
    </row>
    <row r="381" spans="1:63" x14ac:dyDescent="0.3">
      <c r="A381" s="196"/>
      <c r="B381" s="4999" t="s">
        <v>1587</v>
      </c>
      <c r="C381" s="5000" t="s">
        <v>1620</v>
      </c>
      <c r="D381" s="5001"/>
      <c r="E381" s="6111"/>
      <c r="F381" s="1185"/>
      <c r="G381" s="6111"/>
      <c r="H381" s="1185"/>
      <c r="I381" s="6086"/>
      <c r="J381" s="775">
        <f t="shared" si="524"/>
        <v>0</v>
      </c>
      <c r="K381" s="6111"/>
      <c r="L381" s="1185"/>
      <c r="M381" s="6050"/>
      <c r="N381" s="774">
        <f t="shared" si="525"/>
        <v>0</v>
      </c>
      <c r="O381" s="6111"/>
      <c r="P381" s="1185"/>
      <c r="Q381" s="6086"/>
      <c r="R381" s="775">
        <f t="shared" si="526"/>
        <v>0</v>
      </c>
      <c r="S381" s="6111"/>
      <c r="T381" s="1185"/>
      <c r="U381" s="6086"/>
      <c r="V381" s="775">
        <f t="shared" si="527"/>
        <v>0</v>
      </c>
      <c r="W381" s="6111"/>
      <c r="X381" s="1185"/>
      <c r="Y381" s="6050"/>
      <c r="Z381" s="774">
        <f t="shared" si="528"/>
        <v>0</v>
      </c>
      <c r="AA381" s="6060"/>
      <c r="AB381" s="460">
        <f t="shared" si="529"/>
        <v>0</v>
      </c>
      <c r="AC381" s="6111"/>
      <c r="AD381" s="1185"/>
      <c r="AE381" s="6086"/>
      <c r="AF381" s="775">
        <f t="shared" si="530"/>
        <v>0</v>
      </c>
      <c r="AG381" s="6111"/>
      <c r="AH381" s="1185"/>
      <c r="AI381" s="6120"/>
      <c r="AJ381" s="775">
        <f t="shared" si="512"/>
        <v>0</v>
      </c>
      <c r="AK381" s="6111"/>
      <c r="AL381" s="1185"/>
      <c r="AM381" s="6050"/>
      <c r="AN381" s="774">
        <f t="shared" si="513"/>
        <v>0</v>
      </c>
      <c r="AO381" s="6086"/>
      <c r="AP381" s="775">
        <f t="shared" si="514"/>
        <v>0</v>
      </c>
      <c r="AQ381" s="6111"/>
      <c r="AR381" s="1185"/>
      <c r="AS381" s="6120"/>
      <c r="AT381" s="775">
        <f t="shared" si="519"/>
        <v>0</v>
      </c>
      <c r="AU381" s="6111"/>
      <c r="AV381" s="1185"/>
      <c r="AW381" s="6120"/>
      <c r="AX381" s="775">
        <f t="shared" si="515"/>
        <v>0</v>
      </c>
      <c r="AY381" s="6111"/>
      <c r="AZ381" s="1185"/>
      <c r="BA381" s="6050"/>
      <c r="BB381" s="774">
        <f t="shared" si="531"/>
        <v>0</v>
      </c>
      <c r="BC381" s="6060"/>
      <c r="BD381" s="460">
        <f t="shared" si="517"/>
        <v>0</v>
      </c>
      <c r="BE381" s="6120"/>
      <c r="BF381" s="775">
        <f t="shared" si="518"/>
        <v>0</v>
      </c>
      <c r="BG381" s="26">
        <f t="shared" si="520"/>
        <v>0</v>
      </c>
      <c r="BH381" s="26">
        <f t="shared" si="521"/>
        <v>0</v>
      </c>
      <c r="BI381" s="26"/>
      <c r="BJ381" s="26">
        <f t="shared" si="522"/>
        <v>0</v>
      </c>
      <c r="BK381" s="26">
        <f t="shared" si="523"/>
        <v>0</v>
      </c>
    </row>
    <row r="382" spans="1:63" x14ac:dyDescent="0.3">
      <c r="A382" s="196"/>
      <c r="B382" s="5116" t="s">
        <v>2247</v>
      </c>
      <c r="C382" s="5117" t="s">
        <v>895</v>
      </c>
      <c r="D382" s="5118"/>
      <c r="E382" s="6115"/>
      <c r="F382" s="5119"/>
      <c r="G382" s="6115"/>
      <c r="H382" s="5119"/>
      <c r="I382" s="6092"/>
      <c r="J382" s="5120"/>
      <c r="K382" s="6115"/>
      <c r="L382" s="5119"/>
      <c r="M382" s="6056"/>
      <c r="N382" s="5121"/>
      <c r="O382" s="6115"/>
      <c r="P382" s="5119"/>
      <c r="Q382" s="6092"/>
      <c r="R382" s="5120"/>
      <c r="S382" s="6115"/>
      <c r="T382" s="5119"/>
      <c r="U382" s="6092"/>
      <c r="V382" s="5120"/>
      <c r="W382" s="6115"/>
      <c r="X382" s="5119"/>
      <c r="Y382" s="6056"/>
      <c r="Z382" s="5121"/>
      <c r="AA382" s="6066"/>
      <c r="AB382" s="5406"/>
      <c r="AC382" s="6115"/>
      <c r="AD382" s="5119"/>
      <c r="AE382" s="6092"/>
      <c r="AF382" s="5120"/>
      <c r="AG382" s="6115"/>
      <c r="AH382" s="5119">
        <v>693.51</v>
      </c>
      <c r="AI382" s="6120"/>
      <c r="AJ382" s="775">
        <f t="shared" si="512"/>
        <v>693.51</v>
      </c>
      <c r="AK382" s="6115"/>
      <c r="AL382" s="5119">
        <v>126.5</v>
      </c>
      <c r="AM382" s="6056"/>
      <c r="AN382" s="774">
        <f t="shared" si="513"/>
        <v>820.01</v>
      </c>
      <c r="AO382" s="6092"/>
      <c r="AP382" s="775">
        <f t="shared" si="514"/>
        <v>820.01</v>
      </c>
      <c r="AQ382" s="6115"/>
      <c r="AR382" s="5119"/>
      <c r="AS382" s="6120"/>
      <c r="AT382" s="775">
        <f t="shared" si="519"/>
        <v>820.01</v>
      </c>
      <c r="AU382" s="6115"/>
      <c r="AV382" s="5119"/>
      <c r="AW382" s="6120"/>
      <c r="AX382" s="775">
        <f t="shared" si="515"/>
        <v>820.01</v>
      </c>
      <c r="AY382" s="6115"/>
      <c r="AZ382" s="5119"/>
      <c r="BA382" s="6056"/>
      <c r="BB382" s="774">
        <f t="shared" si="531"/>
        <v>0</v>
      </c>
      <c r="BC382" s="6066"/>
      <c r="BD382" s="460">
        <f t="shared" si="517"/>
        <v>820.01</v>
      </c>
      <c r="BE382" s="6120"/>
      <c r="BF382" s="775">
        <f t="shared" si="518"/>
        <v>820.01</v>
      </c>
      <c r="BG382" s="26">
        <f t="shared" si="520"/>
        <v>0</v>
      </c>
      <c r="BH382" s="26">
        <f t="shared" si="521"/>
        <v>0</v>
      </c>
      <c r="BI382" s="26"/>
      <c r="BJ382" s="26">
        <f t="shared" si="522"/>
        <v>0</v>
      </c>
      <c r="BK382" s="26">
        <f t="shared" si="523"/>
        <v>0</v>
      </c>
    </row>
    <row r="383" spans="1:63" x14ac:dyDescent="0.3">
      <c r="A383" s="196"/>
      <c r="B383" s="5116" t="s">
        <v>2243</v>
      </c>
      <c r="C383" s="5117" t="s">
        <v>895</v>
      </c>
      <c r="D383" s="5118"/>
      <c r="E383" s="6115"/>
      <c r="F383" s="5119"/>
      <c r="G383" s="6115"/>
      <c r="H383" s="5119"/>
      <c r="I383" s="6092"/>
      <c r="J383" s="5120"/>
      <c r="K383" s="6115"/>
      <c r="L383" s="5119"/>
      <c r="M383" s="6056"/>
      <c r="N383" s="5121"/>
      <c r="O383" s="6115"/>
      <c r="P383" s="5119"/>
      <c r="Q383" s="6092"/>
      <c r="R383" s="5120"/>
      <c r="S383" s="6115"/>
      <c r="T383" s="5119"/>
      <c r="U383" s="6092"/>
      <c r="V383" s="5120"/>
      <c r="W383" s="6115"/>
      <c r="X383" s="5119"/>
      <c r="Y383" s="6056"/>
      <c r="Z383" s="5121"/>
      <c r="AA383" s="6066"/>
      <c r="AB383" s="5406"/>
      <c r="AC383" s="6115"/>
      <c r="AD383" s="5119"/>
      <c r="AE383" s="6092"/>
      <c r="AF383" s="5120"/>
      <c r="AG383" s="6115"/>
      <c r="AH383" s="5119">
        <v>387.16000000000008</v>
      </c>
      <c r="AI383" s="6120"/>
      <c r="AJ383" s="775">
        <f t="shared" ref="AJ383:AJ384" si="532">AF383+AH383</f>
        <v>387.16000000000008</v>
      </c>
      <c r="AK383" s="6115"/>
      <c r="AL383" s="5119">
        <v>95.66</v>
      </c>
      <c r="AM383" s="6056"/>
      <c r="AN383" s="774">
        <f t="shared" si="513"/>
        <v>482.82000000000005</v>
      </c>
      <c r="AO383" s="6092"/>
      <c r="AP383" s="775">
        <f t="shared" si="514"/>
        <v>482.82000000000005</v>
      </c>
      <c r="AQ383" s="6115"/>
      <c r="AR383" s="5119"/>
      <c r="AS383" s="6120"/>
      <c r="AT383" s="775">
        <f t="shared" si="519"/>
        <v>482.82000000000005</v>
      </c>
      <c r="AU383" s="6115"/>
      <c r="AV383" s="5119"/>
      <c r="AW383" s="6120"/>
      <c r="AX383" s="775">
        <f t="shared" si="515"/>
        <v>482.82000000000005</v>
      </c>
      <c r="AY383" s="6115"/>
      <c r="AZ383" s="5119"/>
      <c r="BA383" s="6056"/>
      <c r="BB383" s="774">
        <f t="shared" si="531"/>
        <v>0</v>
      </c>
      <c r="BC383" s="6066"/>
      <c r="BD383" s="460">
        <f t="shared" si="517"/>
        <v>482.82000000000005</v>
      </c>
      <c r="BE383" s="6120"/>
      <c r="BF383" s="775">
        <f t="shared" si="518"/>
        <v>482.82000000000005</v>
      </c>
      <c r="BG383" s="26">
        <f t="shared" si="520"/>
        <v>0</v>
      </c>
      <c r="BH383" s="26">
        <f t="shared" si="521"/>
        <v>0</v>
      </c>
      <c r="BI383" s="26"/>
      <c r="BJ383" s="26">
        <f t="shared" si="522"/>
        <v>0</v>
      </c>
      <c r="BK383" s="26">
        <f t="shared" si="523"/>
        <v>0</v>
      </c>
    </row>
    <row r="384" spans="1:63" x14ac:dyDescent="0.3">
      <c r="A384" s="196"/>
      <c r="B384" s="5292" t="s">
        <v>2243</v>
      </c>
      <c r="C384" s="5283" t="s">
        <v>894</v>
      </c>
      <c r="D384" s="5293"/>
      <c r="E384" s="6112"/>
      <c r="F384" s="4402"/>
      <c r="G384" s="6112"/>
      <c r="H384" s="4402"/>
      <c r="I384" s="6095"/>
      <c r="J384" s="4403"/>
      <c r="K384" s="6112"/>
      <c r="L384" s="4402"/>
      <c r="M384" s="6059"/>
      <c r="N384" s="4405"/>
      <c r="O384" s="6112"/>
      <c r="P384" s="4402"/>
      <c r="Q384" s="6095"/>
      <c r="R384" s="4403"/>
      <c r="S384" s="6112"/>
      <c r="T384" s="4402"/>
      <c r="U384" s="6095"/>
      <c r="V384" s="4403"/>
      <c r="W384" s="6112"/>
      <c r="X384" s="4402"/>
      <c r="Y384" s="6059"/>
      <c r="Z384" s="4405"/>
      <c r="AA384" s="6069"/>
      <c r="AB384" s="5225"/>
      <c r="AC384" s="6112"/>
      <c r="AD384" s="4402"/>
      <c r="AE384" s="6095"/>
      <c r="AF384" s="4403"/>
      <c r="AG384" s="6112"/>
      <c r="AH384" s="4402"/>
      <c r="AI384" s="6120"/>
      <c r="AJ384" s="775">
        <f t="shared" si="532"/>
        <v>0</v>
      </c>
      <c r="AK384" s="6112"/>
      <c r="AL384" s="4402">
        <v>126.52</v>
      </c>
      <c r="AM384" s="6059"/>
      <c r="AN384" s="774">
        <f t="shared" si="513"/>
        <v>126.52</v>
      </c>
      <c r="AO384" s="6095"/>
      <c r="AP384" s="775">
        <f t="shared" si="514"/>
        <v>126.52</v>
      </c>
      <c r="AQ384" s="6112"/>
      <c r="AR384" s="4402">
        <v>447.06</v>
      </c>
      <c r="AS384" s="6120"/>
      <c r="AT384" s="775">
        <f t="shared" si="519"/>
        <v>573.58000000000004</v>
      </c>
      <c r="AU384" s="6112"/>
      <c r="AV384" s="4402"/>
      <c r="AW384" s="6120"/>
      <c r="AX384" s="775">
        <f t="shared" si="515"/>
        <v>573.58000000000004</v>
      </c>
      <c r="AY384" s="6112"/>
      <c r="AZ384" s="4402"/>
      <c r="BA384" s="6059"/>
      <c r="BB384" s="774">
        <f t="shared" si="531"/>
        <v>447.06</v>
      </c>
      <c r="BC384" s="6069"/>
      <c r="BD384" s="460">
        <f t="shared" si="517"/>
        <v>573.58000000000004</v>
      </c>
      <c r="BE384" s="6120"/>
      <c r="BF384" s="775">
        <f t="shared" si="518"/>
        <v>573.58000000000004</v>
      </c>
      <c r="BG384" s="26">
        <f t="shared" si="520"/>
        <v>0</v>
      </c>
      <c r="BH384" s="26">
        <f t="shared" si="521"/>
        <v>0</v>
      </c>
      <c r="BI384" s="26"/>
      <c r="BJ384" s="26">
        <f t="shared" si="522"/>
        <v>0</v>
      </c>
      <c r="BK384" s="26">
        <f t="shared" si="523"/>
        <v>0</v>
      </c>
    </row>
    <row r="385" spans="1:63" x14ac:dyDescent="0.3">
      <c r="A385" s="196"/>
      <c r="B385" s="5002" t="s">
        <v>2121</v>
      </c>
      <c r="C385" s="5003" t="s">
        <v>894</v>
      </c>
      <c r="D385" s="5003"/>
      <c r="E385" s="6113"/>
      <c r="F385" s="4935"/>
      <c r="G385" s="6113"/>
      <c r="H385" s="4935"/>
      <c r="I385" s="6093"/>
      <c r="J385" s="4936"/>
      <c r="K385" s="6113"/>
      <c r="L385" s="4935"/>
      <c r="M385" s="6057"/>
      <c r="N385" s="4937"/>
      <c r="O385" s="6113"/>
      <c r="P385" s="4935"/>
      <c r="Q385" s="6093"/>
      <c r="R385" s="4936"/>
      <c r="S385" s="6113"/>
      <c r="T385" s="4935"/>
      <c r="U385" s="6093"/>
      <c r="V385" s="4936"/>
      <c r="W385" s="6113"/>
      <c r="X385" s="4935">
        <v>327.35000000000002</v>
      </c>
      <c r="Y385" s="6057"/>
      <c r="Z385" s="774">
        <f t="shared" si="528"/>
        <v>327.35000000000002</v>
      </c>
      <c r="AA385" s="6067"/>
      <c r="AB385" s="460">
        <f t="shared" si="529"/>
        <v>327.35000000000002</v>
      </c>
      <c r="AC385" s="6113"/>
      <c r="AD385" s="4935">
        <v>56.62</v>
      </c>
      <c r="AE385" s="6093"/>
      <c r="AF385" s="775">
        <f t="shared" si="530"/>
        <v>383.97</v>
      </c>
      <c r="AG385" s="6113"/>
      <c r="AH385" s="4935"/>
      <c r="AI385" s="6120"/>
      <c r="AJ385" s="775">
        <f t="shared" ref="AJ385:AJ394" si="533">AF385+AH385</f>
        <v>383.97</v>
      </c>
      <c r="AK385" s="6113"/>
      <c r="AL385" s="4935">
        <v>306.45000000000005</v>
      </c>
      <c r="AM385" s="6057"/>
      <c r="AN385" s="774">
        <f t="shared" si="513"/>
        <v>363.07000000000005</v>
      </c>
      <c r="AO385" s="6093"/>
      <c r="AP385" s="775">
        <f t="shared" si="514"/>
        <v>690.42000000000007</v>
      </c>
      <c r="AQ385" s="6113"/>
      <c r="AR385" s="4935">
        <v>524.38</v>
      </c>
      <c r="AS385" s="6120"/>
      <c r="AT385" s="775">
        <f t="shared" si="519"/>
        <v>1214.8000000000002</v>
      </c>
      <c r="AU385" s="6113"/>
      <c r="AV385" s="4935">
        <v>111.16</v>
      </c>
      <c r="AW385" s="6120"/>
      <c r="AX385" s="775">
        <f t="shared" si="515"/>
        <v>1325.9600000000003</v>
      </c>
      <c r="AY385" s="6113"/>
      <c r="AZ385" s="4935">
        <v>46.356000000000002</v>
      </c>
      <c r="BA385" s="6057"/>
      <c r="BB385" s="774">
        <f t="shared" si="531"/>
        <v>681.89599999999996</v>
      </c>
      <c r="BC385" s="6067"/>
      <c r="BD385" s="460">
        <f t="shared" si="517"/>
        <v>1044.9659999999999</v>
      </c>
      <c r="BE385" s="6120"/>
      <c r="BF385" s="775">
        <f t="shared" si="518"/>
        <v>1372.3160000000003</v>
      </c>
      <c r="BG385" s="26">
        <f t="shared" si="520"/>
        <v>0</v>
      </c>
      <c r="BH385" s="26">
        <f t="shared" si="521"/>
        <v>0</v>
      </c>
      <c r="BI385" s="26"/>
      <c r="BJ385" s="26">
        <f t="shared" si="522"/>
        <v>0</v>
      </c>
      <c r="BK385" s="26">
        <f t="shared" si="523"/>
        <v>0</v>
      </c>
    </row>
    <row r="386" spans="1:63" x14ac:dyDescent="0.3">
      <c r="A386" s="196"/>
      <c r="B386" s="5002" t="s">
        <v>2117</v>
      </c>
      <c r="C386" s="5003" t="s">
        <v>894</v>
      </c>
      <c r="D386" s="5003"/>
      <c r="E386" s="6113"/>
      <c r="F386" s="4935"/>
      <c r="G386" s="6113"/>
      <c r="H386" s="4935"/>
      <c r="I386" s="6093"/>
      <c r="J386" s="4936"/>
      <c r="K386" s="6113"/>
      <c r="L386" s="4935"/>
      <c r="M386" s="6057"/>
      <c r="N386" s="4937"/>
      <c r="O386" s="6113"/>
      <c r="P386" s="4935"/>
      <c r="Q386" s="6093"/>
      <c r="R386" s="4936"/>
      <c r="S386" s="6113"/>
      <c r="T386" s="4935"/>
      <c r="U386" s="6093"/>
      <c r="V386" s="4936"/>
      <c r="W386" s="6113"/>
      <c r="X386" s="4935">
        <v>499.25</v>
      </c>
      <c r="Y386" s="6057"/>
      <c r="Z386" s="774">
        <f t="shared" si="528"/>
        <v>499.25</v>
      </c>
      <c r="AA386" s="6067"/>
      <c r="AB386" s="460">
        <f t="shared" si="529"/>
        <v>499.25</v>
      </c>
      <c r="AC386" s="6113"/>
      <c r="AD386" s="4935">
        <v>118.92</v>
      </c>
      <c r="AE386" s="6093"/>
      <c r="AF386" s="775">
        <f t="shared" si="530"/>
        <v>618.16999999999996</v>
      </c>
      <c r="AG386" s="6113"/>
      <c r="AH386" s="4935"/>
      <c r="AI386" s="6120"/>
      <c r="AJ386" s="775">
        <f t="shared" si="533"/>
        <v>618.16999999999996</v>
      </c>
      <c r="AK386" s="6113"/>
      <c r="AL386" s="4935">
        <v>545.16999999999996</v>
      </c>
      <c r="AM386" s="6057"/>
      <c r="AN386" s="774">
        <f t="shared" si="513"/>
        <v>664.08999999999992</v>
      </c>
      <c r="AO386" s="6093"/>
      <c r="AP386" s="775">
        <f t="shared" si="514"/>
        <v>1163.3399999999999</v>
      </c>
      <c r="AQ386" s="6113"/>
      <c r="AR386" s="4935">
        <v>59.86</v>
      </c>
      <c r="AS386" s="6120"/>
      <c r="AT386" s="775">
        <f t="shared" si="519"/>
        <v>1223.1999999999998</v>
      </c>
      <c r="AU386" s="6113"/>
      <c r="AV386" s="4935">
        <v>167.52</v>
      </c>
      <c r="AW386" s="6120"/>
      <c r="AX386" s="775">
        <f t="shared" si="515"/>
        <v>1390.7199999999998</v>
      </c>
      <c r="AY386" s="6113"/>
      <c r="AZ386" s="4935"/>
      <c r="BA386" s="6057"/>
      <c r="BB386" s="774">
        <f t="shared" si="531"/>
        <v>227.38</v>
      </c>
      <c r="BC386" s="6067"/>
      <c r="BD386" s="460">
        <f t="shared" si="517"/>
        <v>891.46999999999991</v>
      </c>
      <c r="BE386" s="6120"/>
      <c r="BF386" s="775">
        <f t="shared" si="518"/>
        <v>1390.7199999999998</v>
      </c>
      <c r="BG386" s="26">
        <f t="shared" si="520"/>
        <v>0</v>
      </c>
      <c r="BH386" s="26">
        <f t="shared" si="521"/>
        <v>0</v>
      </c>
      <c r="BI386" s="26"/>
      <c r="BJ386" s="26">
        <f t="shared" si="522"/>
        <v>0</v>
      </c>
      <c r="BK386" s="26">
        <f t="shared" si="523"/>
        <v>0</v>
      </c>
    </row>
    <row r="387" spans="1:63" x14ac:dyDescent="0.3">
      <c r="A387" s="196"/>
      <c r="B387" s="5002" t="s">
        <v>2146</v>
      </c>
      <c r="C387" s="5003" t="s">
        <v>894</v>
      </c>
      <c r="D387" s="5003"/>
      <c r="E387" s="6113"/>
      <c r="F387" s="4935"/>
      <c r="G387" s="6113"/>
      <c r="H387" s="4935"/>
      <c r="I387" s="6093"/>
      <c r="J387" s="4936"/>
      <c r="K387" s="6113"/>
      <c r="L387" s="4935"/>
      <c r="M387" s="6057"/>
      <c r="N387" s="4937"/>
      <c r="O387" s="6113"/>
      <c r="P387" s="4935"/>
      <c r="Q387" s="6093"/>
      <c r="R387" s="4936"/>
      <c r="S387" s="6113"/>
      <c r="T387" s="4935"/>
      <c r="U387" s="6093"/>
      <c r="V387" s="4936"/>
      <c r="W387" s="6113"/>
      <c r="X387" s="4935"/>
      <c r="Y387" s="6057"/>
      <c r="Z387" s="4937"/>
      <c r="AA387" s="6067"/>
      <c r="AB387" s="5113"/>
      <c r="AC387" s="6113"/>
      <c r="AD387" s="4935">
        <v>445.56</v>
      </c>
      <c r="AE387" s="6093"/>
      <c r="AF387" s="775">
        <f t="shared" si="530"/>
        <v>445.56</v>
      </c>
      <c r="AG387" s="6113"/>
      <c r="AH387" s="4935"/>
      <c r="AI387" s="6120"/>
      <c r="AJ387" s="775">
        <f t="shared" si="533"/>
        <v>445.56</v>
      </c>
      <c r="AK387" s="6113"/>
      <c r="AL387" s="4935">
        <v>421.30000000000007</v>
      </c>
      <c r="AM387" s="6057"/>
      <c r="AN387" s="774">
        <f t="shared" si="513"/>
        <v>866.86000000000013</v>
      </c>
      <c r="AO387" s="6093"/>
      <c r="AP387" s="775">
        <f t="shared" si="514"/>
        <v>866.86000000000013</v>
      </c>
      <c r="AQ387" s="6113"/>
      <c r="AR387" s="4935">
        <v>422</v>
      </c>
      <c r="AS387" s="6120"/>
      <c r="AT387" s="775">
        <f t="shared" si="519"/>
        <v>1288.8600000000001</v>
      </c>
      <c r="AU387" s="6113"/>
      <c r="AV387" s="4935">
        <v>426.62</v>
      </c>
      <c r="AW387" s="6120"/>
      <c r="AX387" s="775">
        <f t="shared" si="515"/>
        <v>1715.48</v>
      </c>
      <c r="AY387" s="6113"/>
      <c r="AZ387" s="4935">
        <v>33.71</v>
      </c>
      <c r="BA387" s="6057"/>
      <c r="BB387" s="774">
        <f t="shared" si="531"/>
        <v>882.33</v>
      </c>
      <c r="BC387" s="6067"/>
      <c r="BD387" s="460">
        <f t="shared" si="517"/>
        <v>1749.19</v>
      </c>
      <c r="BE387" s="6120"/>
      <c r="BF387" s="775">
        <f t="shared" si="518"/>
        <v>1749.19</v>
      </c>
      <c r="BG387" s="26">
        <f t="shared" si="520"/>
        <v>0</v>
      </c>
      <c r="BH387" s="26">
        <f t="shared" si="521"/>
        <v>0</v>
      </c>
      <c r="BI387" s="26"/>
      <c r="BJ387" s="26">
        <f t="shared" si="522"/>
        <v>0</v>
      </c>
      <c r="BK387" s="26">
        <f t="shared" si="523"/>
        <v>0</v>
      </c>
    </row>
    <row r="388" spans="1:63" x14ac:dyDescent="0.3">
      <c r="A388" s="196"/>
      <c r="B388" s="5002" t="s">
        <v>2269</v>
      </c>
      <c r="C388" s="5003" t="s">
        <v>894</v>
      </c>
      <c r="D388" s="5299"/>
      <c r="E388" s="6112"/>
      <c r="F388" s="5119"/>
      <c r="G388" s="6112"/>
      <c r="H388" s="5119"/>
      <c r="I388" s="6092"/>
      <c r="J388" s="5120"/>
      <c r="K388" s="6112"/>
      <c r="L388" s="5119"/>
      <c r="M388" s="6056"/>
      <c r="N388" s="5121"/>
      <c r="O388" s="6112"/>
      <c r="P388" s="5119"/>
      <c r="Q388" s="6092"/>
      <c r="R388" s="5120"/>
      <c r="S388" s="6112"/>
      <c r="T388" s="5119"/>
      <c r="U388" s="6092"/>
      <c r="V388" s="5120"/>
      <c r="W388" s="6112"/>
      <c r="X388" s="5119"/>
      <c r="Y388" s="6056"/>
      <c r="Z388" s="5121"/>
      <c r="AA388" s="6066"/>
      <c r="AB388" s="5406"/>
      <c r="AC388" s="6112"/>
      <c r="AD388" s="5119"/>
      <c r="AE388" s="6092"/>
      <c r="AF388" s="5120"/>
      <c r="AG388" s="6112"/>
      <c r="AH388" s="5119"/>
      <c r="AI388" s="6120"/>
      <c r="AJ388" s="5120"/>
      <c r="AK388" s="6112"/>
      <c r="AL388" s="5119"/>
      <c r="AM388" s="6056"/>
      <c r="AN388" s="5121"/>
      <c r="AO388" s="6092"/>
      <c r="AP388" s="5120"/>
      <c r="AQ388" s="6112"/>
      <c r="AR388" s="5119">
        <v>847.54</v>
      </c>
      <c r="AS388" s="6120"/>
      <c r="AT388" s="775">
        <f t="shared" si="519"/>
        <v>847.54</v>
      </c>
      <c r="AU388" s="6112"/>
      <c r="AV388" s="5119">
        <v>366.6</v>
      </c>
      <c r="AW388" s="6120"/>
      <c r="AX388" s="775">
        <f t="shared" si="515"/>
        <v>1214.1399999999999</v>
      </c>
      <c r="AY388" s="6112"/>
      <c r="AZ388" s="5119">
        <v>305.74000000000007</v>
      </c>
      <c r="BA388" s="6056"/>
      <c r="BB388" s="774">
        <f t="shared" si="531"/>
        <v>1519.8799999999999</v>
      </c>
      <c r="BC388" s="6066"/>
      <c r="BD388" s="460">
        <f t="shared" si="517"/>
        <v>1519.8799999999999</v>
      </c>
      <c r="BE388" s="6120"/>
      <c r="BF388" s="775">
        <f t="shared" si="518"/>
        <v>1519.8799999999999</v>
      </c>
      <c r="BG388" s="26">
        <f t="shared" si="520"/>
        <v>0</v>
      </c>
      <c r="BH388" s="26">
        <f t="shared" si="521"/>
        <v>0</v>
      </c>
      <c r="BI388" s="26"/>
      <c r="BJ388" s="26">
        <f t="shared" si="522"/>
        <v>0</v>
      </c>
      <c r="BK388" s="26">
        <f t="shared" si="523"/>
        <v>0</v>
      </c>
    </row>
    <row r="389" spans="1:63" x14ac:dyDescent="0.3">
      <c r="A389" s="196"/>
      <c r="B389" s="5002" t="s">
        <v>2137</v>
      </c>
      <c r="C389" s="5003" t="s">
        <v>894</v>
      </c>
      <c r="D389" s="5003"/>
      <c r="E389" s="6113"/>
      <c r="F389" s="4935"/>
      <c r="G389" s="6113"/>
      <c r="H389" s="4935"/>
      <c r="I389" s="6093"/>
      <c r="J389" s="4936"/>
      <c r="K389" s="6113"/>
      <c r="L389" s="4935"/>
      <c r="M389" s="6057"/>
      <c r="N389" s="4937"/>
      <c r="O389" s="6113"/>
      <c r="P389" s="4935"/>
      <c r="Q389" s="6093"/>
      <c r="R389" s="4936"/>
      <c r="S389" s="6113"/>
      <c r="T389" s="4935"/>
      <c r="U389" s="6093"/>
      <c r="V389" s="4936"/>
      <c r="W389" s="6113"/>
      <c r="X389" s="4935"/>
      <c r="Y389" s="6057"/>
      <c r="Z389" s="4937"/>
      <c r="AA389" s="6067"/>
      <c r="AB389" s="5113"/>
      <c r="AC389" s="6113"/>
      <c r="AD389" s="4935">
        <v>454.55</v>
      </c>
      <c r="AE389" s="6093"/>
      <c r="AF389" s="775">
        <f t="shared" si="530"/>
        <v>454.55</v>
      </c>
      <c r="AG389" s="6113"/>
      <c r="AH389" s="4935"/>
      <c r="AI389" s="6120"/>
      <c r="AJ389" s="775">
        <f t="shared" si="533"/>
        <v>454.55</v>
      </c>
      <c r="AK389" s="6113"/>
      <c r="AL389" s="4935">
        <v>105.5</v>
      </c>
      <c r="AM389" s="6057"/>
      <c r="AN389" s="774">
        <f t="shared" si="513"/>
        <v>560.04999999999995</v>
      </c>
      <c r="AO389" s="6093"/>
      <c r="AP389" s="775">
        <f t="shared" si="514"/>
        <v>560.04999999999995</v>
      </c>
      <c r="AQ389" s="6113"/>
      <c r="AR389" s="4935">
        <v>496.59000000000003</v>
      </c>
      <c r="AS389" s="6120"/>
      <c r="AT389" s="775">
        <f t="shared" ref="AT389:AT413" si="534">AP389+AR389</f>
        <v>1056.6399999999999</v>
      </c>
      <c r="AU389" s="6113"/>
      <c r="AV389" s="4935">
        <v>384.68</v>
      </c>
      <c r="AW389" s="6120"/>
      <c r="AX389" s="775">
        <f t="shared" si="515"/>
        <v>1441.32</v>
      </c>
      <c r="AY389" s="6113"/>
      <c r="AZ389" s="4935">
        <v>993.9799999999999</v>
      </c>
      <c r="BA389" s="6057"/>
      <c r="BB389" s="774">
        <f t="shared" si="531"/>
        <v>1875.25</v>
      </c>
      <c r="BC389" s="6067"/>
      <c r="BD389" s="460">
        <f t="shared" si="517"/>
        <v>2435.3000000000002</v>
      </c>
      <c r="BE389" s="6120"/>
      <c r="BF389" s="775">
        <f t="shared" si="518"/>
        <v>2435.2999999999997</v>
      </c>
      <c r="BG389" s="26">
        <f t="shared" si="520"/>
        <v>0</v>
      </c>
      <c r="BH389" s="26">
        <f t="shared" si="521"/>
        <v>0</v>
      </c>
      <c r="BI389" s="26"/>
      <c r="BJ389" s="26">
        <f t="shared" si="522"/>
        <v>0</v>
      </c>
      <c r="BK389" s="26">
        <f t="shared" si="523"/>
        <v>0</v>
      </c>
    </row>
    <row r="390" spans="1:63" x14ac:dyDescent="0.3">
      <c r="A390" s="196"/>
      <c r="B390" s="5002" t="s">
        <v>2117</v>
      </c>
      <c r="C390" s="5003" t="s">
        <v>895</v>
      </c>
      <c r="D390" s="5003"/>
      <c r="E390" s="6113"/>
      <c r="F390" s="4935"/>
      <c r="G390" s="6113"/>
      <c r="H390" s="4935"/>
      <c r="I390" s="6093"/>
      <c r="J390" s="4936"/>
      <c r="K390" s="6113"/>
      <c r="L390" s="4935"/>
      <c r="M390" s="6057"/>
      <c r="N390" s="4937"/>
      <c r="O390" s="6113"/>
      <c r="P390" s="4935"/>
      <c r="Q390" s="6093"/>
      <c r="R390" s="4936"/>
      <c r="S390" s="6113"/>
      <c r="T390" s="4935"/>
      <c r="U390" s="6093"/>
      <c r="V390" s="4936"/>
      <c r="W390" s="6113"/>
      <c r="X390" s="4935"/>
      <c r="Y390" s="6057"/>
      <c r="Z390" s="4937"/>
      <c r="AA390" s="6067"/>
      <c r="AB390" s="5113"/>
      <c r="AC390" s="6113"/>
      <c r="AD390" s="4935">
        <v>111.12</v>
      </c>
      <c r="AE390" s="6093"/>
      <c r="AF390" s="775">
        <f t="shared" si="530"/>
        <v>111.12</v>
      </c>
      <c r="AG390" s="6113"/>
      <c r="AH390" s="4935"/>
      <c r="AI390" s="6120"/>
      <c r="AJ390" s="775">
        <f t="shared" si="533"/>
        <v>111.12</v>
      </c>
      <c r="AK390" s="6113"/>
      <c r="AL390" s="4935"/>
      <c r="AM390" s="6057"/>
      <c r="AN390" s="774">
        <f t="shared" si="513"/>
        <v>111.12</v>
      </c>
      <c r="AO390" s="6093"/>
      <c r="AP390" s="775">
        <f t="shared" si="514"/>
        <v>111.12</v>
      </c>
      <c r="AQ390" s="6113"/>
      <c r="AR390" s="4935"/>
      <c r="AS390" s="6120"/>
      <c r="AT390" s="775">
        <f t="shared" si="534"/>
        <v>111.12</v>
      </c>
      <c r="AU390" s="6113"/>
      <c r="AV390" s="4935"/>
      <c r="AW390" s="6120"/>
      <c r="AX390" s="775">
        <f t="shared" si="515"/>
        <v>111.12</v>
      </c>
      <c r="AY390" s="6113"/>
      <c r="AZ390" s="4935"/>
      <c r="BA390" s="6057"/>
      <c r="BB390" s="774">
        <f t="shared" si="531"/>
        <v>0</v>
      </c>
      <c r="BC390" s="6067"/>
      <c r="BD390" s="460">
        <f t="shared" si="517"/>
        <v>111.12</v>
      </c>
      <c r="BE390" s="6120"/>
      <c r="BF390" s="775">
        <f t="shared" si="518"/>
        <v>111.12</v>
      </c>
      <c r="BG390" s="26">
        <f t="shared" si="520"/>
        <v>0</v>
      </c>
      <c r="BH390" s="26">
        <f t="shared" si="521"/>
        <v>0</v>
      </c>
      <c r="BI390" s="26"/>
      <c r="BJ390" s="26">
        <f t="shared" si="522"/>
        <v>0</v>
      </c>
      <c r="BK390" s="26">
        <f t="shared" si="523"/>
        <v>0</v>
      </c>
    </row>
    <row r="391" spans="1:63" x14ac:dyDescent="0.3">
      <c r="A391" s="196"/>
      <c r="B391" s="5002" t="s">
        <v>2122</v>
      </c>
      <c r="C391" s="5003" t="s">
        <v>894</v>
      </c>
      <c r="D391" s="5003"/>
      <c r="E391" s="6116"/>
      <c r="F391" s="4894"/>
      <c r="G391" s="6116"/>
      <c r="H391" s="4894"/>
      <c r="I391" s="6089"/>
      <c r="J391" s="775">
        <f t="shared" si="524"/>
        <v>0</v>
      </c>
      <c r="K391" s="6116"/>
      <c r="L391" s="4894">
        <v>1483.36</v>
      </c>
      <c r="M391" s="6053"/>
      <c r="N391" s="774">
        <f t="shared" si="525"/>
        <v>1483.36</v>
      </c>
      <c r="O391" s="6116"/>
      <c r="P391" s="4894">
        <v>1500.4</v>
      </c>
      <c r="Q391" s="6089"/>
      <c r="R391" s="775">
        <f t="shared" si="526"/>
        <v>2983.76</v>
      </c>
      <c r="S391" s="6116"/>
      <c r="T391" s="4894">
        <v>1579.3600000000001</v>
      </c>
      <c r="U391" s="6089"/>
      <c r="V391" s="775">
        <f t="shared" si="527"/>
        <v>4563.1200000000008</v>
      </c>
      <c r="W391" s="6116"/>
      <c r="X391" s="4894">
        <v>790.25</v>
      </c>
      <c r="Y391" s="6053"/>
      <c r="Z391" s="774">
        <f t="shared" si="528"/>
        <v>3870.01</v>
      </c>
      <c r="AA391" s="6063"/>
      <c r="AB391" s="460">
        <f t="shared" si="529"/>
        <v>5353.37</v>
      </c>
      <c r="AC391" s="6116"/>
      <c r="AD391" s="4894">
        <v>198.47</v>
      </c>
      <c r="AE391" s="6089"/>
      <c r="AF391" s="775">
        <f t="shared" si="530"/>
        <v>5551.84</v>
      </c>
      <c r="AG391" s="6116"/>
      <c r="AH391" s="4894">
        <v>748.21</v>
      </c>
      <c r="AI391" s="6120"/>
      <c r="AJ391" s="775">
        <f t="shared" si="533"/>
        <v>6300.05</v>
      </c>
      <c r="AK391" s="6116"/>
      <c r="AL391" s="4894">
        <v>29.79</v>
      </c>
      <c r="AM391" s="6053"/>
      <c r="AN391" s="774">
        <f t="shared" si="513"/>
        <v>976.47</v>
      </c>
      <c r="AO391" s="6089"/>
      <c r="AP391" s="775">
        <f t="shared" si="514"/>
        <v>6329.84</v>
      </c>
      <c r="AQ391" s="6116"/>
      <c r="AR391" s="4894">
        <v>1459.16</v>
      </c>
      <c r="AS391" s="6120"/>
      <c r="AT391" s="775">
        <f t="shared" si="534"/>
        <v>7789</v>
      </c>
      <c r="AU391" s="6116"/>
      <c r="AV391" s="4894"/>
      <c r="AW391" s="6120"/>
      <c r="AX391" s="775">
        <f t="shared" si="515"/>
        <v>7789</v>
      </c>
      <c r="AY391" s="6116"/>
      <c r="AZ391" s="4894">
        <v>1553.3050000000001</v>
      </c>
      <c r="BA391" s="6053"/>
      <c r="BB391" s="774">
        <f t="shared" si="531"/>
        <v>3012.4650000000001</v>
      </c>
      <c r="BC391" s="6063"/>
      <c r="BD391" s="460">
        <f t="shared" si="517"/>
        <v>3988.9350000000004</v>
      </c>
      <c r="BE391" s="6120"/>
      <c r="BF391" s="775">
        <f t="shared" si="518"/>
        <v>9342.3050000000003</v>
      </c>
      <c r="BG391" s="26">
        <f t="shared" si="520"/>
        <v>0</v>
      </c>
      <c r="BH391" s="26">
        <f t="shared" si="521"/>
        <v>0</v>
      </c>
      <c r="BI391" s="26"/>
      <c r="BJ391" s="26">
        <f t="shared" si="522"/>
        <v>0</v>
      </c>
      <c r="BK391" s="26">
        <f t="shared" si="523"/>
        <v>0</v>
      </c>
    </row>
    <row r="392" spans="1:63" x14ac:dyDescent="0.3">
      <c r="A392" s="196"/>
      <c r="B392" s="5002" t="s">
        <v>2122</v>
      </c>
      <c r="C392" s="5003" t="s">
        <v>895</v>
      </c>
      <c r="D392" s="5003"/>
      <c r="E392" s="6113"/>
      <c r="F392" s="4935"/>
      <c r="G392" s="6113"/>
      <c r="H392" s="4935"/>
      <c r="I392" s="6093"/>
      <c r="J392" s="775">
        <f t="shared" si="524"/>
        <v>0</v>
      </c>
      <c r="K392" s="6113"/>
      <c r="L392" s="4935"/>
      <c r="M392" s="6057"/>
      <c r="N392" s="774">
        <f t="shared" si="525"/>
        <v>0</v>
      </c>
      <c r="O392" s="6113"/>
      <c r="P392" s="4935"/>
      <c r="Q392" s="6093"/>
      <c r="R392" s="775">
        <f t="shared" si="526"/>
        <v>0</v>
      </c>
      <c r="S392" s="6113"/>
      <c r="T392" s="4935">
        <v>125.42</v>
      </c>
      <c r="U392" s="6093"/>
      <c r="V392" s="775">
        <f t="shared" si="527"/>
        <v>125.42</v>
      </c>
      <c r="W392" s="6113"/>
      <c r="X392" s="4935">
        <v>181.86</v>
      </c>
      <c r="Y392" s="6057"/>
      <c r="Z392" s="774">
        <f t="shared" si="528"/>
        <v>307.28000000000003</v>
      </c>
      <c r="AA392" s="6067"/>
      <c r="AB392" s="460">
        <f t="shared" si="529"/>
        <v>307.28000000000003</v>
      </c>
      <c r="AC392" s="6113"/>
      <c r="AD392" s="4935"/>
      <c r="AE392" s="6093"/>
      <c r="AF392" s="775">
        <f t="shared" si="530"/>
        <v>307.28000000000003</v>
      </c>
      <c r="AG392" s="6113"/>
      <c r="AH392" s="4935"/>
      <c r="AI392" s="6120"/>
      <c r="AJ392" s="775">
        <f t="shared" si="533"/>
        <v>307.28000000000003</v>
      </c>
      <c r="AK392" s="6113"/>
      <c r="AL392" s="4935"/>
      <c r="AM392" s="6057"/>
      <c r="AN392" s="774">
        <f t="shared" si="513"/>
        <v>0</v>
      </c>
      <c r="AO392" s="6093"/>
      <c r="AP392" s="775">
        <f t="shared" si="514"/>
        <v>307.28000000000003</v>
      </c>
      <c r="AQ392" s="6113"/>
      <c r="AR392" s="4935"/>
      <c r="AS392" s="6120"/>
      <c r="AT392" s="775">
        <f t="shared" si="534"/>
        <v>307.28000000000003</v>
      </c>
      <c r="AU392" s="6113"/>
      <c r="AV392" s="4935"/>
      <c r="AW392" s="6120"/>
      <c r="AX392" s="775">
        <f t="shared" si="515"/>
        <v>307.28000000000003</v>
      </c>
      <c r="AY392" s="6113"/>
      <c r="AZ392" s="4935"/>
      <c r="BA392" s="6057"/>
      <c r="BB392" s="774">
        <f t="shared" si="531"/>
        <v>0</v>
      </c>
      <c r="BC392" s="6067"/>
      <c r="BD392" s="460">
        <f t="shared" si="517"/>
        <v>0</v>
      </c>
      <c r="BE392" s="6120"/>
      <c r="BF392" s="775">
        <f t="shared" si="518"/>
        <v>307.28000000000003</v>
      </c>
      <c r="BG392" s="26">
        <f t="shared" si="520"/>
        <v>0</v>
      </c>
      <c r="BH392" s="26">
        <f t="shared" si="521"/>
        <v>0</v>
      </c>
      <c r="BI392" s="26"/>
      <c r="BJ392" s="26">
        <f t="shared" si="522"/>
        <v>0</v>
      </c>
      <c r="BK392" s="26">
        <f t="shared" si="523"/>
        <v>0</v>
      </c>
    </row>
    <row r="393" spans="1:63" x14ac:dyDescent="0.3">
      <c r="A393" s="196"/>
      <c r="B393" s="5002" t="s">
        <v>2123</v>
      </c>
      <c r="C393" s="5003" t="s">
        <v>894</v>
      </c>
      <c r="D393" s="5003"/>
      <c r="E393" s="6116"/>
      <c r="F393" s="4894"/>
      <c r="G393" s="6116"/>
      <c r="H393" s="4894"/>
      <c r="I393" s="6089"/>
      <c r="J393" s="775">
        <f t="shared" si="524"/>
        <v>0</v>
      </c>
      <c r="K393" s="6116"/>
      <c r="L393" s="4894">
        <v>553.91999999999996</v>
      </c>
      <c r="M393" s="6053"/>
      <c r="N393" s="774">
        <f t="shared" si="525"/>
        <v>553.91999999999996</v>
      </c>
      <c r="O393" s="6116"/>
      <c r="P393" s="4894">
        <v>428.03</v>
      </c>
      <c r="Q393" s="6089"/>
      <c r="R393" s="775">
        <f t="shared" si="526"/>
        <v>981.94999999999993</v>
      </c>
      <c r="S393" s="6116"/>
      <c r="T393" s="4894">
        <v>564.14</v>
      </c>
      <c r="U393" s="6089"/>
      <c r="V393" s="775">
        <f t="shared" si="527"/>
        <v>1546.09</v>
      </c>
      <c r="W393" s="6116"/>
      <c r="X393" s="4894">
        <v>318.54000000000002</v>
      </c>
      <c r="Y393" s="6053"/>
      <c r="Z393" s="774">
        <f t="shared" si="528"/>
        <v>1310.71</v>
      </c>
      <c r="AA393" s="6063"/>
      <c r="AB393" s="460">
        <f t="shared" si="529"/>
        <v>1864.63</v>
      </c>
      <c r="AC393" s="6116"/>
      <c r="AD393" s="4894"/>
      <c r="AE393" s="6089"/>
      <c r="AF393" s="775">
        <f t="shared" si="530"/>
        <v>1864.63</v>
      </c>
      <c r="AG393" s="6116"/>
      <c r="AH393" s="4894">
        <v>511.07</v>
      </c>
      <c r="AI393" s="6120"/>
      <c r="AJ393" s="775">
        <f t="shared" si="533"/>
        <v>2375.7000000000003</v>
      </c>
      <c r="AK393" s="6116"/>
      <c r="AL393" s="4894">
        <v>71.528999999999996</v>
      </c>
      <c r="AM393" s="6053"/>
      <c r="AN393" s="774">
        <f t="shared" si="513"/>
        <v>582.59899999999993</v>
      </c>
      <c r="AO393" s="6089"/>
      <c r="AP393" s="775">
        <f t="shared" si="514"/>
        <v>2447.2290000000003</v>
      </c>
      <c r="AQ393" s="6116"/>
      <c r="AR393" s="4894">
        <v>508.8</v>
      </c>
      <c r="AS393" s="6120"/>
      <c r="AT393" s="775">
        <f t="shared" si="534"/>
        <v>2956.0290000000005</v>
      </c>
      <c r="AU393" s="6116"/>
      <c r="AV393" s="4894">
        <v>191.4</v>
      </c>
      <c r="AW393" s="6120"/>
      <c r="AX393" s="775">
        <f t="shared" si="515"/>
        <v>3147.4290000000005</v>
      </c>
      <c r="AY393" s="6116"/>
      <c r="AZ393" s="4894"/>
      <c r="BA393" s="6053"/>
      <c r="BB393" s="774">
        <f t="shared" si="531"/>
        <v>700.2</v>
      </c>
      <c r="BC393" s="6063"/>
      <c r="BD393" s="460">
        <f t="shared" si="517"/>
        <v>1282.799</v>
      </c>
      <c r="BE393" s="6120"/>
      <c r="BF393" s="775">
        <f t="shared" si="518"/>
        <v>3147.4290000000005</v>
      </c>
      <c r="BG393" s="26">
        <f t="shared" si="520"/>
        <v>0</v>
      </c>
      <c r="BH393" s="26">
        <f t="shared" si="521"/>
        <v>0</v>
      </c>
      <c r="BI393" s="26"/>
      <c r="BJ393" s="26">
        <f t="shared" si="522"/>
        <v>0</v>
      </c>
      <c r="BK393" s="26">
        <f t="shared" si="523"/>
        <v>0</v>
      </c>
    </row>
    <row r="394" spans="1:63" x14ac:dyDescent="0.3">
      <c r="A394" s="196"/>
      <c r="B394" s="5002" t="s">
        <v>2124</v>
      </c>
      <c r="C394" s="5003" t="s">
        <v>894</v>
      </c>
      <c r="D394" s="5003"/>
      <c r="E394" s="6116"/>
      <c r="F394" s="4894"/>
      <c r="G394" s="6116"/>
      <c r="H394" s="4894"/>
      <c r="I394" s="6089"/>
      <c r="J394" s="775">
        <f t="shared" si="524"/>
        <v>0</v>
      </c>
      <c r="K394" s="6116"/>
      <c r="L394" s="4894">
        <v>456.54</v>
      </c>
      <c r="M394" s="6053"/>
      <c r="N394" s="774">
        <f t="shared" si="525"/>
        <v>456.54</v>
      </c>
      <c r="O394" s="6116"/>
      <c r="P394" s="4894">
        <v>746.46</v>
      </c>
      <c r="Q394" s="6089"/>
      <c r="R394" s="775">
        <f t="shared" si="526"/>
        <v>1203</v>
      </c>
      <c r="S394" s="6116"/>
      <c r="T394" s="4894">
        <v>285.14</v>
      </c>
      <c r="U394" s="6089"/>
      <c r="V394" s="775">
        <f t="shared" si="527"/>
        <v>1488.1399999999999</v>
      </c>
      <c r="W394" s="6116"/>
      <c r="X394" s="4894">
        <v>154.19</v>
      </c>
      <c r="Y394" s="6053"/>
      <c r="Z394" s="774">
        <f t="shared" si="528"/>
        <v>1185.79</v>
      </c>
      <c r="AA394" s="6063"/>
      <c r="AB394" s="460">
        <f t="shared" si="529"/>
        <v>1642.33</v>
      </c>
      <c r="AC394" s="6116"/>
      <c r="AD394" s="4894"/>
      <c r="AE394" s="6089"/>
      <c r="AF394" s="775">
        <f t="shared" si="530"/>
        <v>1642.33</v>
      </c>
      <c r="AG394" s="6116"/>
      <c r="AH394" s="4894"/>
      <c r="AI394" s="6120"/>
      <c r="AJ394" s="775">
        <f t="shared" si="533"/>
        <v>1642.33</v>
      </c>
      <c r="AK394" s="6116"/>
      <c r="AL394" s="4894"/>
      <c r="AM394" s="6053"/>
      <c r="AN394" s="774">
        <f t="shared" si="513"/>
        <v>0</v>
      </c>
      <c r="AO394" s="6089"/>
      <c r="AP394" s="775">
        <f t="shared" si="514"/>
        <v>1642.33</v>
      </c>
      <c r="AQ394" s="6116"/>
      <c r="AR394" s="4894">
        <v>2053.35</v>
      </c>
      <c r="AS394" s="6120"/>
      <c r="AT394" s="775">
        <f t="shared" si="534"/>
        <v>3695.68</v>
      </c>
      <c r="AU394" s="6116"/>
      <c r="AV394" s="4894"/>
      <c r="AW394" s="6120"/>
      <c r="AX394" s="775">
        <f t="shared" si="515"/>
        <v>3695.68</v>
      </c>
      <c r="AY394" s="6116"/>
      <c r="AZ394" s="4894">
        <v>635.11</v>
      </c>
      <c r="BA394" s="6053"/>
      <c r="BB394" s="774">
        <f t="shared" si="531"/>
        <v>2688.46</v>
      </c>
      <c r="BC394" s="6063"/>
      <c r="BD394" s="460">
        <f t="shared" si="517"/>
        <v>2688.46</v>
      </c>
      <c r="BE394" s="6120"/>
      <c r="BF394" s="775">
        <f t="shared" si="518"/>
        <v>4330.79</v>
      </c>
      <c r="BG394" s="26">
        <f t="shared" si="520"/>
        <v>0</v>
      </c>
      <c r="BH394" s="26">
        <f t="shared" si="521"/>
        <v>0</v>
      </c>
      <c r="BI394" s="26"/>
      <c r="BJ394" s="26">
        <f t="shared" si="522"/>
        <v>0</v>
      </c>
      <c r="BK394" s="26">
        <f t="shared" si="523"/>
        <v>0</v>
      </c>
    </row>
    <row r="395" spans="1:63" x14ac:dyDescent="0.3">
      <c r="A395" s="1424"/>
      <c r="B395" s="3490" t="s">
        <v>1367</v>
      </c>
      <c r="C395" s="3449" t="s">
        <v>895</v>
      </c>
      <c r="D395" s="3430"/>
      <c r="E395" s="6106"/>
      <c r="F395" s="1185">
        <v>204.03</v>
      </c>
      <c r="G395" s="6106"/>
      <c r="H395" s="1185">
        <v>2531.3500000000004</v>
      </c>
      <c r="I395" s="6086"/>
      <c r="J395" s="775">
        <f t="shared" si="524"/>
        <v>2735.3800000000006</v>
      </c>
      <c r="K395" s="6106"/>
      <c r="L395" s="1185">
        <v>2324.59</v>
      </c>
      <c r="M395" s="6050"/>
      <c r="N395" s="774">
        <f t="shared" si="525"/>
        <v>5059.9700000000012</v>
      </c>
      <c r="O395" s="6106"/>
      <c r="P395" s="1185"/>
      <c r="Q395" s="6086"/>
      <c r="R395" s="775">
        <f t="shared" si="526"/>
        <v>5059.9700000000012</v>
      </c>
      <c r="S395" s="6106"/>
      <c r="T395" s="1185">
        <v>884.22</v>
      </c>
      <c r="U395" s="6086"/>
      <c r="V395" s="775">
        <f t="shared" si="527"/>
        <v>5944.1900000000014</v>
      </c>
      <c r="W395" s="6106"/>
      <c r="X395" s="1185">
        <v>2002.46</v>
      </c>
      <c r="Y395" s="6050"/>
      <c r="Z395" s="774">
        <f t="shared" si="528"/>
        <v>2886.6800000000003</v>
      </c>
      <c r="AA395" s="6060"/>
      <c r="AB395" s="460">
        <f t="shared" si="529"/>
        <v>7946.6500000000015</v>
      </c>
      <c r="AC395" s="6106"/>
      <c r="AD395" s="1185">
        <v>1117.76</v>
      </c>
      <c r="AE395" s="6086"/>
      <c r="AF395" s="775">
        <f t="shared" si="530"/>
        <v>9064.4100000000017</v>
      </c>
      <c r="AG395" s="6106"/>
      <c r="AH395" s="1185">
        <v>2148.2599999999998</v>
      </c>
      <c r="AI395" s="6120"/>
      <c r="AJ395" s="775">
        <f t="shared" ref="AJ395:AJ410" si="535">AF395+AH395</f>
        <v>11212.670000000002</v>
      </c>
      <c r="AK395" s="6106"/>
      <c r="AL395" s="1185">
        <v>1870.6739999999998</v>
      </c>
      <c r="AM395" s="6050"/>
      <c r="AN395" s="774">
        <f t="shared" si="513"/>
        <v>5136.6939999999995</v>
      </c>
      <c r="AO395" s="6086"/>
      <c r="AP395" s="775">
        <f t="shared" si="514"/>
        <v>13083.344000000001</v>
      </c>
      <c r="AQ395" s="6106"/>
      <c r="AR395" s="1185">
        <v>2643.4000000000005</v>
      </c>
      <c r="AS395" s="6120"/>
      <c r="AT395" s="775">
        <f t="shared" si="534"/>
        <v>15726.744000000002</v>
      </c>
      <c r="AU395" s="6106"/>
      <c r="AV395" s="1185">
        <v>258.45999999999998</v>
      </c>
      <c r="AW395" s="6120"/>
      <c r="AX395" s="775">
        <f t="shared" si="515"/>
        <v>15985.204000000002</v>
      </c>
      <c r="AY395" s="6106"/>
      <c r="AZ395" s="1185"/>
      <c r="BA395" s="6050"/>
      <c r="BB395" s="774">
        <f t="shared" si="531"/>
        <v>2901.8600000000006</v>
      </c>
      <c r="BC395" s="6060"/>
      <c r="BD395" s="460">
        <f t="shared" si="517"/>
        <v>8038.5540000000001</v>
      </c>
      <c r="BE395" s="6120"/>
      <c r="BF395" s="775">
        <f t="shared" si="518"/>
        <v>15985.204000000002</v>
      </c>
      <c r="BG395" s="26">
        <f t="shared" si="520"/>
        <v>0</v>
      </c>
      <c r="BH395" s="26">
        <f t="shared" si="521"/>
        <v>0</v>
      </c>
      <c r="BI395" s="26"/>
      <c r="BJ395" s="26">
        <f t="shared" si="522"/>
        <v>0</v>
      </c>
      <c r="BK395" s="26">
        <f t="shared" si="523"/>
        <v>0</v>
      </c>
    </row>
    <row r="396" spans="1:63" x14ac:dyDescent="0.3">
      <c r="A396" s="1424"/>
      <c r="B396" s="3490" t="s">
        <v>1367</v>
      </c>
      <c r="C396" s="3449" t="s">
        <v>894</v>
      </c>
      <c r="D396" s="3430"/>
      <c r="E396" s="6117"/>
      <c r="F396" s="4935"/>
      <c r="G396" s="6117"/>
      <c r="H396" s="4935"/>
      <c r="I396" s="6093"/>
      <c r="J396" s="4936"/>
      <c r="K396" s="6117"/>
      <c r="L396" s="4935"/>
      <c r="M396" s="6057"/>
      <c r="N396" s="4937"/>
      <c r="O396" s="6117"/>
      <c r="P396" s="4935"/>
      <c r="Q396" s="6093"/>
      <c r="R396" s="4936"/>
      <c r="S396" s="6117"/>
      <c r="T396" s="4935"/>
      <c r="U396" s="6093"/>
      <c r="V396" s="4936"/>
      <c r="W396" s="6117"/>
      <c r="X396" s="4935">
        <v>442.58</v>
      </c>
      <c r="Y396" s="6057"/>
      <c r="Z396" s="774">
        <f t="shared" si="528"/>
        <v>442.58</v>
      </c>
      <c r="AA396" s="6067"/>
      <c r="AB396" s="460">
        <f t="shared" si="529"/>
        <v>442.58</v>
      </c>
      <c r="AC396" s="6117"/>
      <c r="AD396" s="4935">
        <v>688.68</v>
      </c>
      <c r="AE396" s="6093"/>
      <c r="AF396" s="775">
        <f t="shared" si="530"/>
        <v>1131.26</v>
      </c>
      <c r="AG396" s="6117"/>
      <c r="AH396" s="4935">
        <v>62.8</v>
      </c>
      <c r="AI396" s="6120"/>
      <c r="AJ396" s="775">
        <f t="shared" si="535"/>
        <v>1194.06</v>
      </c>
      <c r="AK396" s="6117"/>
      <c r="AL396" s="4935"/>
      <c r="AM396" s="6057"/>
      <c r="AN396" s="774">
        <f t="shared" si="513"/>
        <v>751.4799999999999</v>
      </c>
      <c r="AO396" s="6093"/>
      <c r="AP396" s="775">
        <f t="shared" si="514"/>
        <v>1194.06</v>
      </c>
      <c r="AQ396" s="6117"/>
      <c r="AR396" s="4935"/>
      <c r="AS396" s="6120"/>
      <c r="AT396" s="775">
        <f t="shared" si="534"/>
        <v>1194.06</v>
      </c>
      <c r="AU396" s="6117"/>
      <c r="AV396" s="4935"/>
      <c r="AW396" s="6120"/>
      <c r="AX396" s="775">
        <f t="shared" si="515"/>
        <v>1194.06</v>
      </c>
      <c r="AY396" s="6117"/>
      <c r="AZ396" s="4935"/>
      <c r="BA396" s="6057"/>
      <c r="BB396" s="774">
        <f t="shared" si="531"/>
        <v>0</v>
      </c>
      <c r="BC396" s="6067"/>
      <c r="BD396" s="460">
        <f t="shared" si="517"/>
        <v>751.4799999999999</v>
      </c>
      <c r="BE396" s="6120"/>
      <c r="BF396" s="775">
        <f t="shared" si="518"/>
        <v>1194.06</v>
      </c>
      <c r="BG396" s="26">
        <f t="shared" si="520"/>
        <v>0</v>
      </c>
      <c r="BH396" s="26">
        <f t="shared" si="521"/>
        <v>0</v>
      </c>
      <c r="BI396" s="26"/>
      <c r="BJ396" s="26">
        <f t="shared" si="522"/>
        <v>0</v>
      </c>
      <c r="BK396" s="26">
        <f t="shared" si="523"/>
        <v>0</v>
      </c>
    </row>
    <row r="397" spans="1:63" x14ac:dyDescent="0.3">
      <c r="A397" s="1424"/>
      <c r="B397" s="3490" t="s">
        <v>1367</v>
      </c>
      <c r="C397" s="3449" t="s">
        <v>2120</v>
      </c>
      <c r="D397" s="3430"/>
      <c r="E397" s="6117"/>
      <c r="F397" s="4935"/>
      <c r="G397" s="6117"/>
      <c r="H397" s="4935"/>
      <c r="I397" s="6093"/>
      <c r="J397" s="4936"/>
      <c r="K397" s="6117"/>
      <c r="L397" s="4935"/>
      <c r="M397" s="6057"/>
      <c r="N397" s="4937"/>
      <c r="O397" s="6117"/>
      <c r="P397" s="4935"/>
      <c r="Q397" s="6093"/>
      <c r="R397" s="4936"/>
      <c r="S397" s="6117"/>
      <c r="T397" s="4935"/>
      <c r="U397" s="6093"/>
      <c r="V397" s="775">
        <f t="shared" si="527"/>
        <v>0</v>
      </c>
      <c r="W397" s="6117"/>
      <c r="X397" s="4935">
        <v>58.38</v>
      </c>
      <c r="Y397" s="6057"/>
      <c r="Z397" s="774">
        <f t="shared" si="528"/>
        <v>58.38</v>
      </c>
      <c r="AA397" s="6067"/>
      <c r="AB397" s="460">
        <f t="shared" si="529"/>
        <v>58.38</v>
      </c>
      <c r="AC397" s="6117"/>
      <c r="AD397" s="4935"/>
      <c r="AE397" s="6093"/>
      <c r="AF397" s="775">
        <f t="shared" si="530"/>
        <v>58.38</v>
      </c>
      <c r="AG397" s="6117"/>
      <c r="AH397" s="4935">
        <v>65.64</v>
      </c>
      <c r="AI397" s="6120"/>
      <c r="AJ397" s="775">
        <f t="shared" si="535"/>
        <v>124.02000000000001</v>
      </c>
      <c r="AK397" s="6117"/>
      <c r="AL397" s="4935"/>
      <c r="AM397" s="6057"/>
      <c r="AN397" s="774">
        <f t="shared" si="513"/>
        <v>65.64</v>
      </c>
      <c r="AO397" s="6093"/>
      <c r="AP397" s="775">
        <f t="shared" si="514"/>
        <v>124.02000000000001</v>
      </c>
      <c r="AQ397" s="6117"/>
      <c r="AR397" s="4935"/>
      <c r="AS397" s="6120"/>
      <c r="AT397" s="775">
        <f t="shared" si="534"/>
        <v>124.02000000000001</v>
      </c>
      <c r="AU397" s="6117"/>
      <c r="AV397" s="4935"/>
      <c r="AW397" s="6120"/>
      <c r="AX397" s="775">
        <f t="shared" si="515"/>
        <v>124.02000000000001</v>
      </c>
      <c r="AY397" s="6117"/>
      <c r="AZ397" s="4935"/>
      <c r="BA397" s="6057"/>
      <c r="BB397" s="774">
        <f t="shared" si="531"/>
        <v>0</v>
      </c>
      <c r="BC397" s="6067"/>
      <c r="BD397" s="460">
        <f t="shared" si="517"/>
        <v>65.64</v>
      </c>
      <c r="BE397" s="6120"/>
      <c r="BF397" s="775">
        <f t="shared" si="518"/>
        <v>124.02000000000001</v>
      </c>
      <c r="BG397" s="26">
        <f t="shared" si="520"/>
        <v>0</v>
      </c>
      <c r="BH397" s="26">
        <f t="shared" si="521"/>
        <v>0</v>
      </c>
      <c r="BI397" s="26"/>
      <c r="BJ397" s="26">
        <f t="shared" si="522"/>
        <v>0</v>
      </c>
      <c r="BK397" s="26">
        <f t="shared" si="523"/>
        <v>0</v>
      </c>
    </row>
    <row r="398" spans="1:63" x14ac:dyDescent="0.3">
      <c r="A398" s="1424"/>
      <c r="B398" s="3490" t="s">
        <v>1367</v>
      </c>
      <c r="C398" s="3449" t="s">
        <v>2051</v>
      </c>
      <c r="D398" s="3430"/>
      <c r="E398" s="6108"/>
      <c r="F398" s="2537"/>
      <c r="G398" s="6108"/>
      <c r="H398" s="2537"/>
      <c r="I398" s="6088"/>
      <c r="J398" s="775">
        <f t="shared" si="524"/>
        <v>0</v>
      </c>
      <c r="K398" s="6108"/>
      <c r="L398" s="2537">
        <v>436.43999999999994</v>
      </c>
      <c r="M398" s="6052"/>
      <c r="N398" s="774">
        <f t="shared" si="525"/>
        <v>436.43999999999994</v>
      </c>
      <c r="O398" s="6108"/>
      <c r="P398" s="2537"/>
      <c r="Q398" s="6088"/>
      <c r="R398" s="775">
        <f t="shared" si="526"/>
        <v>436.43999999999994</v>
      </c>
      <c r="S398" s="6108"/>
      <c r="T398" s="2537">
        <v>194.10000000000002</v>
      </c>
      <c r="U398" s="6088"/>
      <c r="V398" s="775">
        <f t="shared" si="527"/>
        <v>630.54</v>
      </c>
      <c r="W398" s="6108"/>
      <c r="X398" s="2537"/>
      <c r="Y398" s="6052"/>
      <c r="Z398" s="774">
        <f t="shared" si="528"/>
        <v>194.10000000000002</v>
      </c>
      <c r="AA398" s="6062"/>
      <c r="AB398" s="460">
        <f t="shared" si="529"/>
        <v>630.54</v>
      </c>
      <c r="AC398" s="6108"/>
      <c r="AD398" s="2537"/>
      <c r="AE398" s="6088"/>
      <c r="AF398" s="775">
        <f t="shared" si="530"/>
        <v>630.54</v>
      </c>
      <c r="AG398" s="6108"/>
      <c r="AH398" s="2537">
        <v>631.43999999999994</v>
      </c>
      <c r="AI398" s="6120"/>
      <c r="AJ398" s="775">
        <f t="shared" si="535"/>
        <v>1261.98</v>
      </c>
      <c r="AK398" s="6108"/>
      <c r="AL398" s="2537"/>
      <c r="AM398" s="6052"/>
      <c r="AN398" s="774">
        <f t="shared" si="513"/>
        <v>631.43999999999994</v>
      </c>
      <c r="AO398" s="6088"/>
      <c r="AP398" s="775">
        <f t="shared" si="514"/>
        <v>1261.98</v>
      </c>
      <c r="AQ398" s="6108"/>
      <c r="AR398" s="2537"/>
      <c r="AS398" s="6120"/>
      <c r="AT398" s="775">
        <f t="shared" si="534"/>
        <v>1261.98</v>
      </c>
      <c r="AU398" s="6108"/>
      <c r="AV398" s="2537"/>
      <c r="AW398" s="6120"/>
      <c r="AX398" s="775">
        <f t="shared" si="515"/>
        <v>1261.98</v>
      </c>
      <c r="AY398" s="6108"/>
      <c r="AZ398" s="2537"/>
      <c r="BA398" s="6052"/>
      <c r="BB398" s="774">
        <f t="shared" si="531"/>
        <v>0</v>
      </c>
      <c r="BC398" s="6062"/>
      <c r="BD398" s="460">
        <f t="shared" si="517"/>
        <v>631.43999999999994</v>
      </c>
      <c r="BE398" s="6120"/>
      <c r="BF398" s="775">
        <f t="shared" si="518"/>
        <v>1261.98</v>
      </c>
      <c r="BG398" s="26">
        <f t="shared" si="520"/>
        <v>0</v>
      </c>
      <c r="BH398" s="26">
        <f t="shared" si="521"/>
        <v>0</v>
      </c>
      <c r="BI398" s="26"/>
      <c r="BJ398" s="26">
        <f t="shared" si="522"/>
        <v>0</v>
      </c>
      <c r="BK398" s="26">
        <f t="shared" si="523"/>
        <v>0</v>
      </c>
    </row>
    <row r="399" spans="1:63" x14ac:dyDescent="0.3">
      <c r="A399" s="1424"/>
      <c r="B399" s="3511" t="s">
        <v>2070</v>
      </c>
      <c r="C399" s="3454" t="s">
        <v>2051</v>
      </c>
      <c r="D399" s="3455"/>
      <c r="E399" s="6110"/>
      <c r="F399" s="2416"/>
      <c r="G399" s="6110"/>
      <c r="H399" s="2416"/>
      <c r="I399" s="6090"/>
      <c r="J399" s="775">
        <f t="shared" si="524"/>
        <v>0</v>
      </c>
      <c r="K399" s="6110"/>
      <c r="L399" s="2416"/>
      <c r="M399" s="6054"/>
      <c r="N399" s="774">
        <f t="shared" si="525"/>
        <v>0</v>
      </c>
      <c r="O399" s="6110"/>
      <c r="P399" s="2416">
        <v>36.74</v>
      </c>
      <c r="Q399" s="6090"/>
      <c r="R399" s="775">
        <f t="shared" si="526"/>
        <v>36.74</v>
      </c>
      <c r="S399" s="6110"/>
      <c r="T399" s="2416"/>
      <c r="U399" s="6090"/>
      <c r="V399" s="775">
        <f t="shared" si="527"/>
        <v>36.74</v>
      </c>
      <c r="W399" s="6110"/>
      <c r="X399" s="2416"/>
      <c r="Y399" s="6054"/>
      <c r="Z399" s="774">
        <f t="shared" si="528"/>
        <v>36.74</v>
      </c>
      <c r="AA399" s="6064"/>
      <c r="AB399" s="460">
        <f t="shared" si="529"/>
        <v>36.74</v>
      </c>
      <c r="AC399" s="6110"/>
      <c r="AD399" s="2416"/>
      <c r="AE399" s="6090"/>
      <c r="AF399" s="775">
        <f t="shared" si="530"/>
        <v>36.74</v>
      </c>
      <c r="AG399" s="6110"/>
      <c r="AH399" s="2416"/>
      <c r="AI399" s="6120"/>
      <c r="AJ399" s="775">
        <f t="shared" si="535"/>
        <v>36.74</v>
      </c>
      <c r="AK399" s="6110"/>
      <c r="AL399" s="2416"/>
      <c r="AM399" s="6054"/>
      <c r="AN399" s="774">
        <f t="shared" si="513"/>
        <v>0</v>
      </c>
      <c r="AO399" s="6090"/>
      <c r="AP399" s="775">
        <f t="shared" si="514"/>
        <v>36.74</v>
      </c>
      <c r="AQ399" s="6110"/>
      <c r="AR399" s="2416"/>
      <c r="AS399" s="6120"/>
      <c r="AT399" s="775">
        <f t="shared" si="534"/>
        <v>36.74</v>
      </c>
      <c r="AU399" s="6110"/>
      <c r="AV399" s="2416"/>
      <c r="AW399" s="6120"/>
      <c r="AX399" s="775">
        <f t="shared" si="515"/>
        <v>36.74</v>
      </c>
      <c r="AY399" s="6110"/>
      <c r="AZ399" s="2416"/>
      <c r="BA399" s="6054"/>
      <c r="BB399" s="774">
        <f t="shared" si="531"/>
        <v>0</v>
      </c>
      <c r="BC399" s="6064"/>
      <c r="BD399" s="460">
        <f t="shared" si="517"/>
        <v>0</v>
      </c>
      <c r="BE399" s="6120"/>
      <c r="BF399" s="775">
        <f t="shared" si="518"/>
        <v>36.74</v>
      </c>
      <c r="BG399" s="26">
        <f t="shared" si="520"/>
        <v>0</v>
      </c>
      <c r="BH399" s="26">
        <f t="shared" si="521"/>
        <v>0</v>
      </c>
      <c r="BI399" s="26"/>
      <c r="BJ399" s="26">
        <f t="shared" si="522"/>
        <v>0</v>
      </c>
      <c r="BK399" s="26">
        <f t="shared" si="523"/>
        <v>0</v>
      </c>
    </row>
    <row r="400" spans="1:63" x14ac:dyDescent="0.3">
      <c r="A400" s="1424"/>
      <c r="B400" s="4891" t="s">
        <v>2070</v>
      </c>
      <c r="C400" s="4892" t="s">
        <v>894</v>
      </c>
      <c r="D400" s="4893"/>
      <c r="E400" s="6109"/>
      <c r="F400" s="4894"/>
      <c r="G400" s="6109"/>
      <c r="H400" s="4894"/>
      <c r="I400" s="6089"/>
      <c r="J400" s="775">
        <f t="shared" si="524"/>
        <v>0</v>
      </c>
      <c r="K400" s="6109"/>
      <c r="L400" s="4894"/>
      <c r="M400" s="6053"/>
      <c r="N400" s="774">
        <f t="shared" si="525"/>
        <v>0</v>
      </c>
      <c r="O400" s="6109"/>
      <c r="P400" s="4894"/>
      <c r="Q400" s="6089"/>
      <c r="R400" s="775">
        <f t="shared" si="526"/>
        <v>0</v>
      </c>
      <c r="S400" s="6109"/>
      <c r="T400" s="4894">
        <v>159.56</v>
      </c>
      <c r="U400" s="6089"/>
      <c r="V400" s="775">
        <f t="shared" si="527"/>
        <v>159.56</v>
      </c>
      <c r="W400" s="6109"/>
      <c r="X400" s="4894"/>
      <c r="Y400" s="6053"/>
      <c r="Z400" s="774">
        <f t="shared" si="528"/>
        <v>159.56</v>
      </c>
      <c r="AA400" s="6063"/>
      <c r="AB400" s="460">
        <f t="shared" si="529"/>
        <v>159.56</v>
      </c>
      <c r="AC400" s="6109"/>
      <c r="AD400" s="4894"/>
      <c r="AE400" s="6089"/>
      <c r="AF400" s="775">
        <f t="shared" si="530"/>
        <v>159.56</v>
      </c>
      <c r="AG400" s="6109"/>
      <c r="AH400" s="4894"/>
      <c r="AI400" s="6120"/>
      <c r="AJ400" s="775">
        <f t="shared" si="535"/>
        <v>159.56</v>
      </c>
      <c r="AK400" s="6109"/>
      <c r="AL400" s="4894"/>
      <c r="AM400" s="6053"/>
      <c r="AN400" s="774">
        <f t="shared" si="513"/>
        <v>0</v>
      </c>
      <c r="AO400" s="6089"/>
      <c r="AP400" s="775">
        <f t="shared" si="514"/>
        <v>159.56</v>
      </c>
      <c r="AQ400" s="6109"/>
      <c r="AR400" s="4894"/>
      <c r="AS400" s="6120"/>
      <c r="AT400" s="4843">
        <f t="shared" si="534"/>
        <v>159.56</v>
      </c>
      <c r="AU400" s="6109"/>
      <c r="AV400" s="4894"/>
      <c r="AW400" s="6120"/>
      <c r="AX400" s="775">
        <f t="shared" si="515"/>
        <v>159.56</v>
      </c>
      <c r="AY400" s="6109"/>
      <c r="AZ400" s="4894"/>
      <c r="BA400" s="6053"/>
      <c r="BB400" s="774">
        <f t="shared" si="531"/>
        <v>0</v>
      </c>
      <c r="BC400" s="6063"/>
      <c r="BD400" s="460">
        <f t="shared" ref="BD400:BD412" si="536">AN400+BB400</f>
        <v>0</v>
      </c>
      <c r="BE400" s="6120"/>
      <c r="BF400" s="775">
        <f t="shared" si="518"/>
        <v>159.56</v>
      </c>
      <c r="BG400" s="26">
        <f t="shared" si="520"/>
        <v>0</v>
      </c>
      <c r="BH400" s="26">
        <f t="shared" si="521"/>
        <v>0</v>
      </c>
      <c r="BI400" s="26"/>
      <c r="BJ400" s="26">
        <f t="shared" si="522"/>
        <v>0</v>
      </c>
      <c r="BK400" s="26">
        <f t="shared" si="523"/>
        <v>0</v>
      </c>
    </row>
    <row r="401" spans="1:63" x14ac:dyDescent="0.3">
      <c r="A401" s="1424"/>
      <c r="B401" s="4891" t="s">
        <v>2070</v>
      </c>
      <c r="C401" s="4892" t="s">
        <v>895</v>
      </c>
      <c r="D401" s="4893"/>
      <c r="E401" s="6109"/>
      <c r="F401" s="4894"/>
      <c r="G401" s="6109"/>
      <c r="H401" s="4894"/>
      <c r="I401" s="6089"/>
      <c r="J401" s="775">
        <f t="shared" si="524"/>
        <v>0</v>
      </c>
      <c r="K401" s="6109"/>
      <c r="L401" s="4894"/>
      <c r="M401" s="6053"/>
      <c r="N401" s="774">
        <f t="shared" si="525"/>
        <v>0</v>
      </c>
      <c r="O401" s="6109"/>
      <c r="P401" s="4894"/>
      <c r="Q401" s="6089"/>
      <c r="R401" s="775">
        <f t="shared" si="526"/>
        <v>0</v>
      </c>
      <c r="S401" s="6109"/>
      <c r="T401" s="4894">
        <v>1234.2699999999998</v>
      </c>
      <c r="U401" s="6089"/>
      <c r="V401" s="775">
        <f t="shared" si="527"/>
        <v>1234.2699999999998</v>
      </c>
      <c r="W401" s="6109"/>
      <c r="X401" s="4894">
        <v>404.23</v>
      </c>
      <c r="Y401" s="6053"/>
      <c r="Z401" s="774">
        <f t="shared" si="528"/>
        <v>1638.4999999999998</v>
      </c>
      <c r="AA401" s="6063"/>
      <c r="AB401" s="460">
        <f t="shared" si="529"/>
        <v>1638.4999999999998</v>
      </c>
      <c r="AC401" s="6109"/>
      <c r="AD401" s="4894">
        <v>476.32</v>
      </c>
      <c r="AE401" s="6089"/>
      <c r="AF401" s="775">
        <f t="shared" si="530"/>
        <v>2114.8199999999997</v>
      </c>
      <c r="AG401" s="6109"/>
      <c r="AH401" s="4894">
        <v>394.05999999999995</v>
      </c>
      <c r="AI401" s="6120"/>
      <c r="AJ401" s="775">
        <f t="shared" si="535"/>
        <v>2508.8799999999997</v>
      </c>
      <c r="AK401" s="6109"/>
      <c r="AL401" s="4894">
        <v>1190.7700000000002</v>
      </c>
      <c r="AM401" s="6053"/>
      <c r="AN401" s="774">
        <f t="shared" si="513"/>
        <v>2061.15</v>
      </c>
      <c r="AO401" s="6089"/>
      <c r="AP401" s="775">
        <f t="shared" si="514"/>
        <v>3699.6499999999996</v>
      </c>
      <c r="AQ401" s="6109"/>
      <c r="AR401" s="4894">
        <v>915.5200000000001</v>
      </c>
      <c r="AS401" s="6120"/>
      <c r="AT401" s="4843">
        <f t="shared" si="534"/>
        <v>4615.17</v>
      </c>
      <c r="AU401" s="6109"/>
      <c r="AV401" s="4894"/>
      <c r="AW401" s="6120"/>
      <c r="AX401" s="775">
        <f t="shared" si="515"/>
        <v>4615.17</v>
      </c>
      <c r="AY401" s="6109"/>
      <c r="AZ401" s="4894"/>
      <c r="BA401" s="6053"/>
      <c r="BB401" s="774">
        <f t="shared" si="531"/>
        <v>915.5200000000001</v>
      </c>
      <c r="BC401" s="6063"/>
      <c r="BD401" s="460">
        <f t="shared" si="536"/>
        <v>2976.67</v>
      </c>
      <c r="BE401" s="6120"/>
      <c r="BF401" s="775">
        <f t="shared" si="518"/>
        <v>4615.17</v>
      </c>
      <c r="BG401" s="26">
        <f t="shared" si="520"/>
        <v>0</v>
      </c>
      <c r="BH401" s="26">
        <f t="shared" si="521"/>
        <v>0</v>
      </c>
      <c r="BI401" s="26"/>
      <c r="BJ401" s="26">
        <f t="shared" si="522"/>
        <v>0</v>
      </c>
      <c r="BK401" s="26">
        <f t="shared" si="523"/>
        <v>0</v>
      </c>
    </row>
    <row r="402" spans="1:63" x14ac:dyDescent="0.3">
      <c r="A402" s="1424"/>
      <c r="B402" s="4891" t="s">
        <v>2100</v>
      </c>
      <c r="C402" s="4892" t="s">
        <v>895</v>
      </c>
      <c r="D402" s="4893"/>
      <c r="E402" s="6109"/>
      <c r="F402" s="4894"/>
      <c r="G402" s="6109"/>
      <c r="H402" s="4894"/>
      <c r="I402" s="6089"/>
      <c r="J402" s="775">
        <f t="shared" si="524"/>
        <v>0</v>
      </c>
      <c r="K402" s="6109"/>
      <c r="L402" s="4894"/>
      <c r="M402" s="6053"/>
      <c r="N402" s="774">
        <f t="shared" si="525"/>
        <v>0</v>
      </c>
      <c r="O402" s="6109"/>
      <c r="P402" s="4894"/>
      <c r="Q402" s="6089"/>
      <c r="R402" s="775">
        <f t="shared" si="526"/>
        <v>0</v>
      </c>
      <c r="S402" s="6109"/>
      <c r="T402" s="4894">
        <v>1016.57</v>
      </c>
      <c r="U402" s="6089"/>
      <c r="V402" s="775">
        <f t="shared" si="527"/>
        <v>1016.57</v>
      </c>
      <c r="W402" s="6109"/>
      <c r="X402" s="4894"/>
      <c r="Y402" s="6053"/>
      <c r="Z402" s="774">
        <f t="shared" si="528"/>
        <v>1016.57</v>
      </c>
      <c r="AA402" s="6063"/>
      <c r="AB402" s="460">
        <f t="shared" si="529"/>
        <v>1016.57</v>
      </c>
      <c r="AC402" s="6109"/>
      <c r="AD402" s="4894"/>
      <c r="AE402" s="6089"/>
      <c r="AF402" s="775">
        <f t="shared" si="530"/>
        <v>1016.57</v>
      </c>
      <c r="AG402" s="6109"/>
      <c r="AH402" s="4894"/>
      <c r="AI402" s="6120"/>
      <c r="AJ402" s="775">
        <f t="shared" si="535"/>
        <v>1016.57</v>
      </c>
      <c r="AK402" s="6109"/>
      <c r="AL402" s="4894">
        <v>1133.8699999999999</v>
      </c>
      <c r="AM402" s="6053"/>
      <c r="AN402" s="774">
        <f t="shared" si="513"/>
        <v>1133.8699999999999</v>
      </c>
      <c r="AO402" s="6089"/>
      <c r="AP402" s="775">
        <f t="shared" si="514"/>
        <v>2150.44</v>
      </c>
      <c r="AQ402" s="6109"/>
      <c r="AR402" s="4894"/>
      <c r="AS402" s="6120"/>
      <c r="AT402" s="4843">
        <f t="shared" si="534"/>
        <v>2150.44</v>
      </c>
      <c r="AU402" s="6109"/>
      <c r="AV402" s="4894">
        <v>2294.3199999999997</v>
      </c>
      <c r="AW402" s="6120"/>
      <c r="AX402" s="775">
        <f t="shared" si="515"/>
        <v>4444.76</v>
      </c>
      <c r="AY402" s="6109"/>
      <c r="AZ402" s="4894"/>
      <c r="BA402" s="6053"/>
      <c r="BB402" s="774">
        <f t="shared" si="531"/>
        <v>2294.3199999999997</v>
      </c>
      <c r="BC402" s="6063"/>
      <c r="BD402" s="460">
        <f t="shared" si="536"/>
        <v>3428.1899999999996</v>
      </c>
      <c r="BE402" s="6120"/>
      <c r="BF402" s="775">
        <f t="shared" si="518"/>
        <v>4444.76</v>
      </c>
      <c r="BG402" s="26">
        <f t="shared" si="520"/>
        <v>0</v>
      </c>
      <c r="BH402" s="26">
        <f t="shared" si="521"/>
        <v>0</v>
      </c>
      <c r="BI402" s="26"/>
      <c r="BJ402" s="26">
        <f t="shared" si="522"/>
        <v>0</v>
      </c>
      <c r="BK402" s="26">
        <f t="shared" si="523"/>
        <v>0</v>
      </c>
    </row>
    <row r="403" spans="1:63" x14ac:dyDescent="0.3">
      <c r="A403" s="151"/>
      <c r="B403" s="3472" t="s">
        <v>933</v>
      </c>
      <c r="C403" s="3443" t="s">
        <v>895</v>
      </c>
      <c r="D403" s="3422"/>
      <c r="E403" s="6106"/>
      <c r="F403" s="1185">
        <v>31.31</v>
      </c>
      <c r="G403" s="6106"/>
      <c r="H403" s="1185"/>
      <c r="I403" s="6086"/>
      <c r="J403" s="775">
        <f t="shared" si="524"/>
        <v>31.31</v>
      </c>
      <c r="K403" s="6106"/>
      <c r="L403" s="1185"/>
      <c r="M403" s="6050"/>
      <c r="N403" s="774">
        <f t="shared" si="525"/>
        <v>31.31</v>
      </c>
      <c r="O403" s="6106"/>
      <c r="P403" s="1185"/>
      <c r="Q403" s="6086"/>
      <c r="R403" s="775">
        <f t="shared" si="526"/>
        <v>31.31</v>
      </c>
      <c r="S403" s="6106"/>
      <c r="T403" s="1185">
        <v>1614.04</v>
      </c>
      <c r="U403" s="6086"/>
      <c r="V403" s="775">
        <f t="shared" si="527"/>
        <v>1645.35</v>
      </c>
      <c r="W403" s="6106"/>
      <c r="X403" s="1185"/>
      <c r="Y403" s="6050"/>
      <c r="Z403" s="774">
        <f t="shared" si="528"/>
        <v>1614.04</v>
      </c>
      <c r="AA403" s="6060"/>
      <c r="AB403" s="460">
        <f t="shared" si="529"/>
        <v>1645.35</v>
      </c>
      <c r="AC403" s="6106"/>
      <c r="AD403" s="1185">
        <v>63.3</v>
      </c>
      <c r="AE403" s="6086"/>
      <c r="AF403" s="775">
        <f t="shared" si="530"/>
        <v>1708.6499999999999</v>
      </c>
      <c r="AG403" s="6106"/>
      <c r="AH403" s="1185"/>
      <c r="AI403" s="6120"/>
      <c r="AJ403" s="775">
        <f t="shared" si="535"/>
        <v>1708.6499999999999</v>
      </c>
      <c r="AK403" s="6106"/>
      <c r="AL403" s="1185">
        <v>1352.12</v>
      </c>
      <c r="AM403" s="6050"/>
      <c r="AN403" s="774">
        <f t="shared" si="513"/>
        <v>1415.4199999999998</v>
      </c>
      <c r="AO403" s="6086"/>
      <c r="AP403" s="775">
        <f t="shared" si="514"/>
        <v>3060.7699999999995</v>
      </c>
      <c r="AQ403" s="6106"/>
      <c r="AR403" s="1185">
        <v>257.91999999999996</v>
      </c>
      <c r="AS403" s="6120"/>
      <c r="AT403" s="775">
        <f t="shared" si="534"/>
        <v>3318.6899999999996</v>
      </c>
      <c r="AU403" s="6106"/>
      <c r="AV403" s="1185"/>
      <c r="AW403" s="6120"/>
      <c r="AX403" s="775">
        <f t="shared" si="515"/>
        <v>3318.6899999999996</v>
      </c>
      <c r="AY403" s="6106"/>
      <c r="AZ403" s="1185">
        <v>127.66</v>
      </c>
      <c r="BA403" s="6050"/>
      <c r="BB403" s="774">
        <f t="shared" si="531"/>
        <v>385.57999999999993</v>
      </c>
      <c r="BC403" s="6060"/>
      <c r="BD403" s="460">
        <f t="shared" si="536"/>
        <v>1800.9999999999998</v>
      </c>
      <c r="BE403" s="6120"/>
      <c r="BF403" s="775">
        <f t="shared" si="518"/>
        <v>3446.3499999999995</v>
      </c>
      <c r="BG403" s="26">
        <f t="shared" ref="BG403:BG466" si="537">AY403+AU403+AQ403+AK403+AG403+AC403+W403+S403+O403+K403+G403+E403-BE403</f>
        <v>0</v>
      </c>
      <c r="BH403" s="26">
        <f t="shared" ref="BH403:BH466" si="538">AZ403+AV403+AR403+AL403+AH403+AD403+X403+T403+P403+L403+H403+F403-BF403</f>
        <v>0</v>
      </c>
      <c r="BI403" s="26"/>
      <c r="BJ403" s="26">
        <f t="shared" ref="BJ403:BJ466" si="539">AY403+AU403+AQ403+AK403+AG403+AC403-BC403</f>
        <v>0</v>
      </c>
      <c r="BK403" s="26">
        <f t="shared" ref="BK403:BK466" si="540">AZ403+AV403+AR403+AL403+AH403+AD403-BD403</f>
        <v>0</v>
      </c>
    </row>
    <row r="404" spans="1:63" x14ac:dyDescent="0.3">
      <c r="A404" s="151"/>
      <c r="B404" s="5288" t="s">
        <v>2100</v>
      </c>
      <c r="C404" s="3443" t="s">
        <v>2315</v>
      </c>
      <c r="D404" s="5299"/>
      <c r="E404" s="6118"/>
      <c r="F404" s="5119"/>
      <c r="G404" s="6118"/>
      <c r="H404" s="5119"/>
      <c r="I404" s="6092"/>
      <c r="J404" s="5120"/>
      <c r="K404" s="6118"/>
      <c r="L404" s="5119"/>
      <c r="M404" s="6056"/>
      <c r="N404" s="5121"/>
      <c r="O404" s="6118"/>
      <c r="P404" s="5119"/>
      <c r="Q404" s="6092"/>
      <c r="R404" s="5120"/>
      <c r="S404" s="6118"/>
      <c r="T404" s="5119"/>
      <c r="U404" s="6092"/>
      <c r="V404" s="5120"/>
      <c r="W404" s="6118"/>
      <c r="X404" s="5119"/>
      <c r="Y404" s="6056"/>
      <c r="Z404" s="5121"/>
      <c r="AA404" s="6066"/>
      <c r="AB404" s="5406"/>
      <c r="AC404" s="6118"/>
      <c r="AD404" s="5119"/>
      <c r="AE404" s="6092"/>
      <c r="AF404" s="5120"/>
      <c r="AG404" s="6118"/>
      <c r="AH404" s="5119"/>
      <c r="AI404" s="6120"/>
      <c r="AJ404" s="5120"/>
      <c r="AK404" s="6118"/>
      <c r="AL404" s="5119"/>
      <c r="AM404" s="6056"/>
      <c r="AN404" s="5121"/>
      <c r="AO404" s="6092"/>
      <c r="AP404" s="5120"/>
      <c r="AQ404" s="6118"/>
      <c r="AR404" s="5119"/>
      <c r="AS404" s="6120"/>
      <c r="AT404" s="5120"/>
      <c r="AU404" s="6118"/>
      <c r="AV404" s="5119">
        <v>432.62</v>
      </c>
      <c r="AW404" s="6120"/>
      <c r="AX404" s="775">
        <f t="shared" si="515"/>
        <v>432.62</v>
      </c>
      <c r="AY404" s="6118"/>
      <c r="AZ404" s="5119"/>
      <c r="BA404" s="6056"/>
      <c r="BB404" s="774">
        <f t="shared" si="531"/>
        <v>432.62</v>
      </c>
      <c r="BC404" s="6066"/>
      <c r="BD404" s="460">
        <f t="shared" si="536"/>
        <v>432.62</v>
      </c>
      <c r="BE404" s="6120"/>
      <c r="BF404" s="775">
        <f t="shared" si="518"/>
        <v>432.62</v>
      </c>
      <c r="BG404" s="26">
        <f t="shared" si="537"/>
        <v>0</v>
      </c>
      <c r="BH404" s="26">
        <f t="shared" si="538"/>
        <v>0</v>
      </c>
      <c r="BI404" s="26"/>
      <c r="BJ404" s="26">
        <f t="shared" si="539"/>
        <v>0</v>
      </c>
      <c r="BK404" s="26">
        <f t="shared" si="540"/>
        <v>0</v>
      </c>
    </row>
    <row r="405" spans="1:63" x14ac:dyDescent="0.3">
      <c r="A405" s="151"/>
      <c r="B405" s="3472" t="s">
        <v>2052</v>
      </c>
      <c r="C405" s="3443" t="s">
        <v>894</v>
      </c>
      <c r="D405" s="3422"/>
      <c r="E405" s="6106"/>
      <c r="F405" s="1185"/>
      <c r="G405" s="6106"/>
      <c r="H405" s="1185"/>
      <c r="I405" s="6086"/>
      <c r="J405" s="775">
        <f t="shared" si="524"/>
        <v>0</v>
      </c>
      <c r="K405" s="6106"/>
      <c r="L405" s="1185"/>
      <c r="M405" s="6050"/>
      <c r="N405" s="774">
        <f t="shared" si="525"/>
        <v>0</v>
      </c>
      <c r="O405" s="6106"/>
      <c r="P405" s="1185">
        <v>105.24</v>
      </c>
      <c r="Q405" s="6086"/>
      <c r="R405" s="775">
        <f t="shared" si="526"/>
        <v>105.24</v>
      </c>
      <c r="S405" s="6106"/>
      <c r="T405" s="1185"/>
      <c r="U405" s="6086"/>
      <c r="V405" s="775">
        <f t="shared" si="527"/>
        <v>105.24</v>
      </c>
      <c r="W405" s="6106"/>
      <c r="X405" s="1185"/>
      <c r="Y405" s="6050"/>
      <c r="Z405" s="774">
        <f t="shared" si="528"/>
        <v>105.24</v>
      </c>
      <c r="AA405" s="6060"/>
      <c r="AB405" s="460">
        <f t="shared" si="529"/>
        <v>105.24</v>
      </c>
      <c r="AC405" s="6106"/>
      <c r="AD405" s="1185"/>
      <c r="AE405" s="6086"/>
      <c r="AF405" s="775">
        <f t="shared" si="530"/>
        <v>105.24</v>
      </c>
      <c r="AG405" s="6106"/>
      <c r="AH405" s="1185"/>
      <c r="AI405" s="6120"/>
      <c r="AJ405" s="775">
        <f t="shared" si="535"/>
        <v>105.24</v>
      </c>
      <c r="AK405" s="6106"/>
      <c r="AL405" s="1185"/>
      <c r="AM405" s="6050"/>
      <c r="AN405" s="774">
        <f t="shared" si="513"/>
        <v>0</v>
      </c>
      <c r="AO405" s="6086"/>
      <c r="AP405" s="775">
        <f t="shared" si="514"/>
        <v>105.24</v>
      </c>
      <c r="AQ405" s="6106"/>
      <c r="AR405" s="1185"/>
      <c r="AS405" s="6120"/>
      <c r="AT405" s="775">
        <f t="shared" si="534"/>
        <v>105.24</v>
      </c>
      <c r="AU405" s="6106"/>
      <c r="AV405" s="1185"/>
      <c r="AW405" s="6120"/>
      <c r="AX405" s="775">
        <f t="shared" si="515"/>
        <v>105.24</v>
      </c>
      <c r="AY405" s="6106"/>
      <c r="AZ405" s="1185"/>
      <c r="BA405" s="6050"/>
      <c r="BB405" s="774">
        <f t="shared" si="531"/>
        <v>0</v>
      </c>
      <c r="BC405" s="6060"/>
      <c r="BD405" s="460">
        <f t="shared" si="536"/>
        <v>0</v>
      </c>
      <c r="BE405" s="6120"/>
      <c r="BF405" s="775">
        <f t="shared" si="518"/>
        <v>105.24</v>
      </c>
      <c r="BG405" s="26">
        <f t="shared" si="537"/>
        <v>0</v>
      </c>
      <c r="BH405" s="26">
        <f t="shared" si="538"/>
        <v>0</v>
      </c>
      <c r="BI405" s="26"/>
      <c r="BJ405" s="26">
        <f t="shared" si="539"/>
        <v>0</v>
      </c>
      <c r="BK405" s="26">
        <f t="shared" si="540"/>
        <v>0</v>
      </c>
    </row>
    <row r="406" spans="1:63" x14ac:dyDescent="0.3">
      <c r="A406" s="151"/>
      <c r="B406" s="4891" t="s">
        <v>2052</v>
      </c>
      <c r="C406" s="4892" t="s">
        <v>895</v>
      </c>
      <c r="D406" s="4893"/>
      <c r="E406" s="6109"/>
      <c r="F406" s="4894"/>
      <c r="G406" s="6109"/>
      <c r="H406" s="4894"/>
      <c r="I406" s="6089"/>
      <c r="J406" s="775">
        <f t="shared" si="524"/>
        <v>0</v>
      </c>
      <c r="K406" s="6109"/>
      <c r="L406" s="4894">
        <v>827.30000000000018</v>
      </c>
      <c r="M406" s="6053"/>
      <c r="N406" s="774">
        <f t="shared" si="525"/>
        <v>827.30000000000018</v>
      </c>
      <c r="O406" s="6109"/>
      <c r="P406" s="4894">
        <v>1242.3599999999999</v>
      </c>
      <c r="Q406" s="6089"/>
      <c r="R406" s="775">
        <f t="shared" si="526"/>
        <v>2069.66</v>
      </c>
      <c r="S406" s="6109"/>
      <c r="T406" s="4894">
        <v>1012.41</v>
      </c>
      <c r="U406" s="6089"/>
      <c r="V406" s="775">
        <f t="shared" si="527"/>
        <v>3082.0699999999997</v>
      </c>
      <c r="W406" s="6109"/>
      <c r="X406" s="4894">
        <v>1268.3499999999997</v>
      </c>
      <c r="Y406" s="6053"/>
      <c r="Z406" s="774">
        <f t="shared" si="528"/>
        <v>3523.12</v>
      </c>
      <c r="AA406" s="6063"/>
      <c r="AB406" s="460">
        <f t="shared" si="529"/>
        <v>4350.42</v>
      </c>
      <c r="AC406" s="6109"/>
      <c r="AD406" s="4894">
        <v>121.43</v>
      </c>
      <c r="AE406" s="6089"/>
      <c r="AF406" s="775">
        <f t="shared" si="530"/>
        <v>4471.8500000000004</v>
      </c>
      <c r="AG406" s="6109"/>
      <c r="AH406" s="4894">
        <v>1592.2900000000004</v>
      </c>
      <c r="AI406" s="6120"/>
      <c r="AJ406" s="775">
        <f t="shared" si="535"/>
        <v>6064.1400000000012</v>
      </c>
      <c r="AK406" s="6109"/>
      <c r="AL406" s="4894">
        <v>1264.8699999999999</v>
      </c>
      <c r="AM406" s="6053"/>
      <c r="AN406" s="774">
        <f t="shared" si="513"/>
        <v>2978.59</v>
      </c>
      <c r="AO406" s="6089"/>
      <c r="AP406" s="775">
        <f t="shared" si="514"/>
        <v>7329.0100000000011</v>
      </c>
      <c r="AQ406" s="6109"/>
      <c r="AR406" s="4894">
        <v>1800.5999999999995</v>
      </c>
      <c r="AS406" s="6120"/>
      <c r="AT406" s="4843">
        <f t="shared" si="534"/>
        <v>9129.61</v>
      </c>
      <c r="AU406" s="6109"/>
      <c r="AV406" s="4894"/>
      <c r="AW406" s="6120"/>
      <c r="AX406" s="775">
        <f t="shared" si="515"/>
        <v>9129.61</v>
      </c>
      <c r="AY406" s="6109"/>
      <c r="AZ406" s="4894">
        <v>1461.08</v>
      </c>
      <c r="BA406" s="6053"/>
      <c r="BB406" s="774">
        <f t="shared" si="531"/>
        <v>3261.6799999999994</v>
      </c>
      <c r="BC406" s="6063"/>
      <c r="BD406" s="460">
        <f t="shared" si="536"/>
        <v>6240.2699999999995</v>
      </c>
      <c r="BE406" s="6120"/>
      <c r="BF406" s="775">
        <f t="shared" si="518"/>
        <v>10590.69</v>
      </c>
      <c r="BG406" s="26">
        <f t="shared" si="537"/>
        <v>0</v>
      </c>
      <c r="BH406" s="26">
        <f t="shared" si="538"/>
        <v>0</v>
      </c>
      <c r="BI406" s="26"/>
      <c r="BJ406" s="26">
        <f t="shared" si="539"/>
        <v>0</v>
      </c>
      <c r="BK406" s="26">
        <f t="shared" si="540"/>
        <v>0</v>
      </c>
    </row>
    <row r="407" spans="1:63" x14ac:dyDescent="0.3">
      <c r="A407" s="151"/>
      <c r="B407" s="3472" t="s">
        <v>1068</v>
      </c>
      <c r="C407" s="3443" t="s">
        <v>894</v>
      </c>
      <c r="D407" s="3422"/>
      <c r="E407" s="6106"/>
      <c r="F407" s="1185"/>
      <c r="G407" s="6106"/>
      <c r="H407" s="1185"/>
      <c r="I407" s="6086"/>
      <c r="J407" s="775">
        <f t="shared" si="524"/>
        <v>0</v>
      </c>
      <c r="K407" s="6106"/>
      <c r="L407" s="1185">
        <v>254.04</v>
      </c>
      <c r="M407" s="6050"/>
      <c r="N407" s="774">
        <f t="shared" si="525"/>
        <v>254.04</v>
      </c>
      <c r="O407" s="6106"/>
      <c r="P407" s="1185"/>
      <c r="Q407" s="6086"/>
      <c r="R407" s="775">
        <f t="shared" si="526"/>
        <v>254.04</v>
      </c>
      <c r="S407" s="6106"/>
      <c r="T407" s="1185"/>
      <c r="U407" s="6086"/>
      <c r="V407" s="775">
        <f t="shared" si="527"/>
        <v>254.04</v>
      </c>
      <c r="W407" s="6106"/>
      <c r="X407" s="1185"/>
      <c r="Y407" s="6050"/>
      <c r="Z407" s="774">
        <f t="shared" si="528"/>
        <v>0</v>
      </c>
      <c r="AA407" s="6060"/>
      <c r="AB407" s="460">
        <f t="shared" si="529"/>
        <v>254.04</v>
      </c>
      <c r="AC407" s="6106"/>
      <c r="AD407" s="1185"/>
      <c r="AE407" s="6086"/>
      <c r="AF407" s="775">
        <f t="shared" si="530"/>
        <v>254.04</v>
      </c>
      <c r="AG407" s="6106"/>
      <c r="AH407" s="1185"/>
      <c r="AI407" s="6120"/>
      <c r="AJ407" s="775">
        <f t="shared" si="535"/>
        <v>254.04</v>
      </c>
      <c r="AK407" s="6106"/>
      <c r="AL407" s="1185"/>
      <c r="AM407" s="6050"/>
      <c r="AN407" s="774">
        <f t="shared" si="513"/>
        <v>0</v>
      </c>
      <c r="AO407" s="6086"/>
      <c r="AP407" s="775">
        <f t="shared" si="514"/>
        <v>254.04</v>
      </c>
      <c r="AQ407" s="6106"/>
      <c r="AR407" s="1185"/>
      <c r="AS407" s="6120"/>
      <c r="AT407" s="775">
        <f t="shared" si="534"/>
        <v>254.04</v>
      </c>
      <c r="AU407" s="6106"/>
      <c r="AV407" s="1185"/>
      <c r="AW407" s="6120"/>
      <c r="AX407" s="775">
        <f t="shared" si="515"/>
        <v>254.04</v>
      </c>
      <c r="AY407" s="6106"/>
      <c r="AZ407" s="1185"/>
      <c r="BA407" s="6050"/>
      <c r="BB407" s="774">
        <f t="shared" si="531"/>
        <v>0</v>
      </c>
      <c r="BC407" s="6060"/>
      <c r="BD407" s="460">
        <f t="shared" si="536"/>
        <v>0</v>
      </c>
      <c r="BE407" s="6120"/>
      <c r="BF407" s="775">
        <f t="shared" si="518"/>
        <v>254.04</v>
      </c>
      <c r="BG407" s="26">
        <f t="shared" si="537"/>
        <v>0</v>
      </c>
      <c r="BH407" s="26">
        <f t="shared" si="538"/>
        <v>0</v>
      </c>
      <c r="BI407" s="26"/>
      <c r="BJ407" s="26">
        <f t="shared" si="539"/>
        <v>0</v>
      </c>
      <c r="BK407" s="26">
        <f t="shared" si="540"/>
        <v>0</v>
      </c>
    </row>
    <row r="408" spans="1:63" x14ac:dyDescent="0.3">
      <c r="A408" s="1425"/>
      <c r="B408" s="3472" t="s">
        <v>1068</v>
      </c>
      <c r="C408" s="3443" t="s">
        <v>895</v>
      </c>
      <c r="D408" s="3422"/>
      <c r="E408" s="6106"/>
      <c r="F408" s="1185">
        <v>5061.2200000000012</v>
      </c>
      <c r="G408" s="6106"/>
      <c r="H408" s="1185">
        <v>3496.87</v>
      </c>
      <c r="I408" s="6086"/>
      <c r="J408" s="775">
        <f t="shared" si="524"/>
        <v>8558.09</v>
      </c>
      <c r="K408" s="6106"/>
      <c r="L408" s="1185">
        <v>1656.0600000000002</v>
      </c>
      <c r="M408" s="6050"/>
      <c r="N408" s="774">
        <f t="shared" si="525"/>
        <v>10214.15</v>
      </c>
      <c r="O408" s="6106"/>
      <c r="P408" s="1185">
        <v>6056.3099999999986</v>
      </c>
      <c r="Q408" s="6086"/>
      <c r="R408" s="775">
        <f t="shared" si="526"/>
        <v>16270.46</v>
      </c>
      <c r="S408" s="6106"/>
      <c r="T408" s="1185">
        <v>2637.28</v>
      </c>
      <c r="U408" s="6086"/>
      <c r="V408" s="775">
        <f t="shared" si="527"/>
        <v>18907.739999999998</v>
      </c>
      <c r="W408" s="6106"/>
      <c r="X408" s="1185">
        <v>4015.2200000000003</v>
      </c>
      <c r="Y408" s="6050"/>
      <c r="Z408" s="774">
        <f t="shared" si="528"/>
        <v>12708.809999999998</v>
      </c>
      <c r="AA408" s="6060"/>
      <c r="AB408" s="460">
        <f t="shared" si="529"/>
        <v>22922.959999999999</v>
      </c>
      <c r="AC408" s="6106"/>
      <c r="AD408" s="1185">
        <v>1021.5799999999999</v>
      </c>
      <c r="AE408" s="6086"/>
      <c r="AF408" s="775">
        <f t="shared" si="530"/>
        <v>23944.54</v>
      </c>
      <c r="AG408" s="6106"/>
      <c r="AH408" s="1185">
        <v>2151.16</v>
      </c>
      <c r="AI408" s="6120"/>
      <c r="AJ408" s="775">
        <f t="shared" si="535"/>
        <v>26095.7</v>
      </c>
      <c r="AK408" s="6106"/>
      <c r="AL408" s="1185">
        <v>2288.3660000000004</v>
      </c>
      <c r="AM408" s="6050"/>
      <c r="AN408" s="774">
        <f t="shared" si="513"/>
        <v>5461.1059999999998</v>
      </c>
      <c r="AO408" s="6086"/>
      <c r="AP408" s="775">
        <f t="shared" si="514"/>
        <v>28384.066000000003</v>
      </c>
      <c r="AQ408" s="6106"/>
      <c r="AR408" s="1185">
        <v>3013.52</v>
      </c>
      <c r="AS408" s="6120"/>
      <c r="AT408" s="775">
        <f t="shared" si="534"/>
        <v>31397.586000000003</v>
      </c>
      <c r="AU408" s="6106"/>
      <c r="AV408" s="1185">
        <v>4932.07</v>
      </c>
      <c r="AW408" s="6120"/>
      <c r="AX408" s="775">
        <f t="shared" si="515"/>
        <v>36329.656000000003</v>
      </c>
      <c r="AY408" s="6106"/>
      <c r="AZ408" s="1185">
        <v>2488.2199999999998</v>
      </c>
      <c r="BA408" s="6050"/>
      <c r="BB408" s="774">
        <f t="shared" si="531"/>
        <v>10433.81</v>
      </c>
      <c r="BC408" s="6060"/>
      <c r="BD408" s="460">
        <f t="shared" si="536"/>
        <v>15894.915999999999</v>
      </c>
      <c r="BE408" s="6120"/>
      <c r="BF408" s="775">
        <f t="shared" si="518"/>
        <v>38817.876000000004</v>
      </c>
      <c r="BG408" s="26">
        <f t="shared" si="537"/>
        <v>0</v>
      </c>
      <c r="BH408" s="26">
        <f t="shared" si="538"/>
        <v>0</v>
      </c>
      <c r="BI408" s="26"/>
      <c r="BJ408" s="26">
        <f t="shared" si="539"/>
        <v>0</v>
      </c>
      <c r="BK408" s="26">
        <f t="shared" si="540"/>
        <v>0</v>
      </c>
    </row>
    <row r="409" spans="1:63" ht="15" thickBot="1" x14ac:dyDescent="0.35">
      <c r="A409" s="1425"/>
      <c r="B409" s="3476" t="s">
        <v>1068</v>
      </c>
      <c r="C409" s="3477" t="s">
        <v>1572</v>
      </c>
      <c r="D409" s="3505"/>
      <c r="E409" s="6106"/>
      <c r="F409" s="1185"/>
      <c r="G409" s="6106"/>
      <c r="H409" s="1185">
        <v>305.62</v>
      </c>
      <c r="I409" s="6086"/>
      <c r="J409" s="775">
        <f t="shared" si="524"/>
        <v>305.62</v>
      </c>
      <c r="K409" s="6106"/>
      <c r="L409" s="1185"/>
      <c r="M409" s="6050"/>
      <c r="N409" s="774">
        <f t="shared" si="525"/>
        <v>305.62</v>
      </c>
      <c r="O409" s="6106"/>
      <c r="P409" s="1185">
        <v>1577.5400000000002</v>
      </c>
      <c r="Q409" s="6086"/>
      <c r="R409" s="775">
        <f t="shared" si="526"/>
        <v>1883.1600000000003</v>
      </c>
      <c r="S409" s="6106"/>
      <c r="T409" s="1185"/>
      <c r="U409" s="6086"/>
      <c r="V409" s="775">
        <f t="shared" si="527"/>
        <v>1883.1600000000003</v>
      </c>
      <c r="W409" s="6106"/>
      <c r="X409" s="1185">
        <v>427.96</v>
      </c>
      <c r="Y409" s="6050"/>
      <c r="Z409" s="774">
        <f t="shared" si="528"/>
        <v>2005.5000000000002</v>
      </c>
      <c r="AA409" s="6060"/>
      <c r="AB409" s="460">
        <f t="shared" si="529"/>
        <v>2311.1200000000003</v>
      </c>
      <c r="AC409" s="6106"/>
      <c r="AD409" s="1185"/>
      <c r="AE409" s="6086"/>
      <c r="AF409" s="775">
        <f t="shared" si="530"/>
        <v>2311.1200000000003</v>
      </c>
      <c r="AG409" s="6106"/>
      <c r="AH409" s="1185"/>
      <c r="AI409" s="6120"/>
      <c r="AJ409" s="775">
        <f t="shared" si="535"/>
        <v>2311.1200000000003</v>
      </c>
      <c r="AK409" s="6106"/>
      <c r="AL409" s="1185">
        <v>391.22</v>
      </c>
      <c r="AM409" s="6050"/>
      <c r="AN409" s="774">
        <f t="shared" si="513"/>
        <v>391.22</v>
      </c>
      <c r="AO409" s="6086"/>
      <c r="AP409" s="775">
        <f t="shared" si="514"/>
        <v>2702.34</v>
      </c>
      <c r="AQ409" s="6106"/>
      <c r="AR409" s="1185"/>
      <c r="AS409" s="6120"/>
      <c r="AT409" s="775">
        <f t="shared" si="534"/>
        <v>2702.34</v>
      </c>
      <c r="AU409" s="6106"/>
      <c r="AV409" s="1185">
        <v>123.02</v>
      </c>
      <c r="AW409" s="6120"/>
      <c r="AX409" s="775">
        <f t="shared" si="515"/>
        <v>2825.36</v>
      </c>
      <c r="AY409" s="6106"/>
      <c r="AZ409" s="1185">
        <v>305.88</v>
      </c>
      <c r="BA409" s="6050"/>
      <c r="BB409" s="774">
        <f t="shared" si="531"/>
        <v>428.9</v>
      </c>
      <c r="BC409" s="6060"/>
      <c r="BD409" s="460">
        <f t="shared" si="536"/>
        <v>820.12</v>
      </c>
      <c r="BE409" s="6120"/>
      <c r="BF409" s="775">
        <f t="shared" si="518"/>
        <v>3131.2400000000002</v>
      </c>
      <c r="BG409" s="26">
        <f t="shared" si="537"/>
        <v>0</v>
      </c>
      <c r="BH409" s="26">
        <f t="shared" si="538"/>
        <v>0</v>
      </c>
      <c r="BI409" s="26"/>
      <c r="BJ409" s="26">
        <f t="shared" si="539"/>
        <v>0</v>
      </c>
      <c r="BK409" s="26">
        <f t="shared" si="540"/>
        <v>0</v>
      </c>
    </row>
    <row r="410" spans="1:63" x14ac:dyDescent="0.3">
      <c r="A410" s="151"/>
      <c r="B410" s="2776" t="s">
        <v>886</v>
      </c>
      <c r="C410" s="3417" t="s">
        <v>895</v>
      </c>
      <c r="D410" s="3506"/>
      <c r="E410" s="6111"/>
      <c r="F410" s="1185"/>
      <c r="G410" s="6111"/>
      <c r="H410" s="1185"/>
      <c r="I410" s="6086"/>
      <c r="J410" s="775">
        <f t="shared" si="524"/>
        <v>0</v>
      </c>
      <c r="K410" s="6111"/>
      <c r="L410" s="1185"/>
      <c r="M410" s="6050"/>
      <c r="N410" s="774">
        <f t="shared" si="525"/>
        <v>0</v>
      </c>
      <c r="O410" s="6111"/>
      <c r="P410" s="1185"/>
      <c r="Q410" s="6086"/>
      <c r="R410" s="775">
        <f t="shared" si="526"/>
        <v>0</v>
      </c>
      <c r="S410" s="6111"/>
      <c r="T410" s="1185">
        <v>251.2</v>
      </c>
      <c r="U410" s="6086"/>
      <c r="V410" s="775">
        <f t="shared" si="527"/>
        <v>251.2</v>
      </c>
      <c r="W410" s="6111"/>
      <c r="X410" s="1185">
        <v>159.76</v>
      </c>
      <c r="Y410" s="6050"/>
      <c r="Z410" s="774">
        <f t="shared" si="528"/>
        <v>410.96</v>
      </c>
      <c r="AA410" s="6060"/>
      <c r="AB410" s="460">
        <f t="shared" si="529"/>
        <v>410.96</v>
      </c>
      <c r="AC410" s="6111"/>
      <c r="AD410" s="1185"/>
      <c r="AE410" s="6086"/>
      <c r="AF410" s="775">
        <f t="shared" si="530"/>
        <v>410.96</v>
      </c>
      <c r="AG410" s="6111"/>
      <c r="AH410" s="1185"/>
      <c r="AI410" s="6120"/>
      <c r="AJ410" s="775">
        <f t="shared" si="535"/>
        <v>410.96</v>
      </c>
      <c r="AK410" s="6111"/>
      <c r="AL410" s="1185"/>
      <c r="AM410" s="6050"/>
      <c r="AN410" s="774">
        <f t="shared" si="513"/>
        <v>0</v>
      </c>
      <c r="AO410" s="6086"/>
      <c r="AP410" s="775">
        <f t="shared" si="514"/>
        <v>410.96</v>
      </c>
      <c r="AQ410" s="6111"/>
      <c r="AR410" s="1185"/>
      <c r="AS410" s="6120"/>
      <c r="AT410" s="775">
        <f t="shared" si="534"/>
        <v>410.96</v>
      </c>
      <c r="AU410" s="6111"/>
      <c r="AV410" s="1185"/>
      <c r="AW410" s="6120"/>
      <c r="AX410" s="775">
        <f t="shared" si="515"/>
        <v>410.96</v>
      </c>
      <c r="AY410" s="6111"/>
      <c r="AZ410" s="1185"/>
      <c r="BA410" s="6050"/>
      <c r="BB410" s="774">
        <f t="shared" si="531"/>
        <v>0</v>
      </c>
      <c r="BC410" s="6060"/>
      <c r="BD410" s="460">
        <f t="shared" si="536"/>
        <v>0</v>
      </c>
      <c r="BE410" s="6120"/>
      <c r="BF410" s="775">
        <f t="shared" si="518"/>
        <v>410.96</v>
      </c>
      <c r="BG410" s="26">
        <f t="shared" si="537"/>
        <v>0</v>
      </c>
      <c r="BH410" s="26">
        <f t="shared" si="538"/>
        <v>0</v>
      </c>
      <c r="BI410" s="26"/>
      <c r="BJ410" s="26">
        <f t="shared" si="539"/>
        <v>0</v>
      </c>
      <c r="BK410" s="26">
        <f t="shared" si="540"/>
        <v>0</v>
      </c>
    </row>
    <row r="411" spans="1:63" x14ac:dyDescent="0.3">
      <c r="A411" s="151"/>
      <c r="B411" s="842" t="s">
        <v>1523</v>
      </c>
      <c r="C411" s="3453" t="s">
        <v>895</v>
      </c>
      <c r="D411" s="3507"/>
      <c r="E411" s="6111"/>
      <c r="F411" s="1185"/>
      <c r="G411" s="6111"/>
      <c r="H411" s="1185"/>
      <c r="I411" s="6086"/>
      <c r="J411" s="775">
        <f t="shared" si="524"/>
        <v>0</v>
      </c>
      <c r="K411" s="6111"/>
      <c r="L411" s="1185">
        <v>1828.2400000000002</v>
      </c>
      <c r="M411" s="6050"/>
      <c r="N411" s="774">
        <f t="shared" si="525"/>
        <v>1828.2400000000002</v>
      </c>
      <c r="O411" s="6111"/>
      <c r="P411" s="1185">
        <v>66.86</v>
      </c>
      <c r="Q411" s="6086"/>
      <c r="R411" s="775">
        <f t="shared" si="526"/>
        <v>1895.1000000000001</v>
      </c>
      <c r="S411" s="6111"/>
      <c r="T411" s="1185">
        <v>66.08</v>
      </c>
      <c r="U411" s="6086"/>
      <c r="V411" s="775">
        <f t="shared" si="527"/>
        <v>1961.18</v>
      </c>
      <c r="W411" s="6111"/>
      <c r="X411" s="1185"/>
      <c r="Y411" s="6050"/>
      <c r="Z411" s="774">
        <f t="shared" si="528"/>
        <v>132.94</v>
      </c>
      <c r="AA411" s="6060"/>
      <c r="AB411" s="460">
        <f t="shared" si="529"/>
        <v>1961.1800000000003</v>
      </c>
      <c r="AC411" s="6111"/>
      <c r="AD411" s="1185"/>
      <c r="AE411" s="6086"/>
      <c r="AF411" s="775">
        <f t="shared" si="530"/>
        <v>1961.1800000000003</v>
      </c>
      <c r="AG411" s="6111"/>
      <c r="AH411" s="1185"/>
      <c r="AI411" s="6120"/>
      <c r="AJ411" s="775">
        <f t="shared" ref="AJ411:AJ429" si="541">AF411+AH411</f>
        <v>1961.1800000000003</v>
      </c>
      <c r="AK411" s="6111"/>
      <c r="AL411" s="1185"/>
      <c r="AM411" s="6050"/>
      <c r="AN411" s="774">
        <f t="shared" si="513"/>
        <v>0</v>
      </c>
      <c r="AO411" s="6086"/>
      <c r="AP411" s="775">
        <f t="shared" si="514"/>
        <v>1961.1800000000003</v>
      </c>
      <c r="AQ411" s="6111"/>
      <c r="AR411" s="1185"/>
      <c r="AS411" s="6120"/>
      <c r="AT411" s="775">
        <f t="shared" si="534"/>
        <v>1961.1800000000003</v>
      </c>
      <c r="AU411" s="6111"/>
      <c r="AV411" s="1185"/>
      <c r="AW411" s="6120"/>
      <c r="AX411" s="775">
        <f t="shared" si="515"/>
        <v>1961.1800000000003</v>
      </c>
      <c r="AY411" s="6111"/>
      <c r="AZ411" s="1185"/>
      <c r="BA411" s="6050"/>
      <c r="BB411" s="774">
        <f t="shared" si="531"/>
        <v>0</v>
      </c>
      <c r="BC411" s="6060"/>
      <c r="BD411" s="460">
        <f t="shared" si="536"/>
        <v>0</v>
      </c>
      <c r="BE411" s="6120"/>
      <c r="BF411" s="775">
        <f t="shared" si="518"/>
        <v>1961.1800000000003</v>
      </c>
      <c r="BG411" s="26">
        <f t="shared" si="537"/>
        <v>0</v>
      </c>
      <c r="BH411" s="26">
        <f t="shared" si="538"/>
        <v>0</v>
      </c>
      <c r="BI411" s="26"/>
      <c r="BJ411" s="26">
        <f t="shared" si="539"/>
        <v>0</v>
      </c>
      <c r="BK411" s="26">
        <f t="shared" si="540"/>
        <v>0</v>
      </c>
    </row>
    <row r="412" spans="1:63" ht="15" thickBot="1" x14ac:dyDescent="0.35">
      <c r="A412" s="151"/>
      <c r="B412" s="2780" t="s">
        <v>1524</v>
      </c>
      <c r="C412" s="3424" t="s">
        <v>894</v>
      </c>
      <c r="D412" s="3508"/>
      <c r="E412" s="6111"/>
      <c r="F412" s="1185"/>
      <c r="G412" s="6111"/>
      <c r="H412" s="1185"/>
      <c r="I412" s="6086"/>
      <c r="J412" s="775">
        <f t="shared" si="524"/>
        <v>0</v>
      </c>
      <c r="K412" s="6111"/>
      <c r="L412" s="1185"/>
      <c r="M412" s="6050"/>
      <c r="N412" s="774">
        <f t="shared" si="525"/>
        <v>0</v>
      </c>
      <c r="O412" s="6111"/>
      <c r="P412" s="1185"/>
      <c r="Q412" s="6086"/>
      <c r="R412" s="775">
        <f t="shared" si="526"/>
        <v>0</v>
      </c>
      <c r="S412" s="6111"/>
      <c r="T412" s="1185"/>
      <c r="U412" s="6086"/>
      <c r="V412" s="775">
        <f t="shared" si="527"/>
        <v>0</v>
      </c>
      <c r="W412" s="6111"/>
      <c r="X412" s="1185"/>
      <c r="Y412" s="6050"/>
      <c r="Z412" s="774">
        <f t="shared" si="528"/>
        <v>0</v>
      </c>
      <c r="AA412" s="6060"/>
      <c r="AB412" s="460">
        <f t="shared" si="529"/>
        <v>0</v>
      </c>
      <c r="AC412" s="6111"/>
      <c r="AD412" s="1185"/>
      <c r="AE412" s="6086"/>
      <c r="AF412" s="775">
        <f t="shared" si="530"/>
        <v>0</v>
      </c>
      <c r="AG412" s="6111"/>
      <c r="AH412" s="1185"/>
      <c r="AI412" s="6120"/>
      <c r="AJ412" s="775">
        <f t="shared" si="541"/>
        <v>0</v>
      </c>
      <c r="AK412" s="6111"/>
      <c r="AL412" s="1185"/>
      <c r="AM412" s="6050"/>
      <c r="AN412" s="774">
        <f t="shared" si="513"/>
        <v>0</v>
      </c>
      <c r="AO412" s="6086"/>
      <c r="AP412" s="775">
        <f t="shared" si="514"/>
        <v>0</v>
      </c>
      <c r="AQ412" s="6111"/>
      <c r="AR412" s="1185"/>
      <c r="AS412" s="6120"/>
      <c r="AT412" s="775">
        <f t="shared" si="534"/>
        <v>0</v>
      </c>
      <c r="AU412" s="6111"/>
      <c r="AV412" s="1185"/>
      <c r="AW412" s="6120"/>
      <c r="AX412" s="775">
        <f t="shared" si="515"/>
        <v>0</v>
      </c>
      <c r="AY412" s="6111"/>
      <c r="AZ412" s="1185"/>
      <c r="BA412" s="6050"/>
      <c r="BB412" s="774">
        <f t="shared" si="531"/>
        <v>0</v>
      </c>
      <c r="BC412" s="6060"/>
      <c r="BD412" s="460">
        <f t="shared" si="536"/>
        <v>0</v>
      </c>
      <c r="BE412" s="6120"/>
      <c r="BF412" s="775">
        <f t="shared" si="518"/>
        <v>0</v>
      </c>
      <c r="BG412" s="26">
        <f t="shared" si="537"/>
        <v>0</v>
      </c>
      <c r="BH412" s="26">
        <f t="shared" si="538"/>
        <v>0</v>
      </c>
      <c r="BI412" s="26"/>
      <c r="BJ412" s="26">
        <f t="shared" si="539"/>
        <v>0</v>
      </c>
      <c r="BK412" s="26">
        <f t="shared" si="540"/>
        <v>0</v>
      </c>
    </row>
    <row r="413" spans="1:63" ht="20.25" customHeight="1" x14ac:dyDescent="0.3">
      <c r="A413" s="151"/>
      <c r="B413" s="3490" t="s">
        <v>1168</v>
      </c>
      <c r="C413" s="230"/>
      <c r="D413" s="230"/>
      <c r="E413" s="6106"/>
      <c r="F413" s="3513">
        <f>F28</f>
        <v>0</v>
      </c>
      <c r="G413" s="6106"/>
      <c r="H413" s="3513">
        <f>H28</f>
        <v>0</v>
      </c>
      <c r="I413" s="6086"/>
      <c r="J413" s="775">
        <f t="shared" si="524"/>
        <v>0</v>
      </c>
      <c r="K413" s="6106"/>
      <c r="L413" s="3513">
        <f>L28</f>
        <v>0</v>
      </c>
      <c r="M413" s="6050"/>
      <c r="N413" s="774">
        <f t="shared" si="525"/>
        <v>0</v>
      </c>
      <c r="O413" s="6106"/>
      <c r="P413" s="3513">
        <f>P28</f>
        <v>0</v>
      </c>
      <c r="Q413" s="6086"/>
      <c r="R413" s="775">
        <f t="shared" si="526"/>
        <v>0</v>
      </c>
      <c r="S413" s="6106"/>
      <c r="T413" s="3513">
        <f>T28</f>
        <v>0</v>
      </c>
      <c r="U413" s="6086"/>
      <c r="V413" s="775">
        <f t="shared" si="527"/>
        <v>0</v>
      </c>
      <c r="W413" s="6106"/>
      <c r="X413" s="3513">
        <f>X28</f>
        <v>0</v>
      </c>
      <c r="Y413" s="6050"/>
      <c r="Z413" s="774">
        <f t="shared" si="528"/>
        <v>0</v>
      </c>
      <c r="AA413" s="6060"/>
      <c r="AB413" s="460">
        <f t="shared" si="529"/>
        <v>0</v>
      </c>
      <c r="AC413" s="6106"/>
      <c r="AD413" s="3513">
        <f>AD28</f>
        <v>0</v>
      </c>
      <c r="AE413" s="6086"/>
      <c r="AF413" s="775">
        <f t="shared" si="530"/>
        <v>0</v>
      </c>
      <c r="AG413" s="6106"/>
      <c r="AH413" s="3513">
        <f>AH28</f>
        <v>0</v>
      </c>
      <c r="AI413" s="6121"/>
      <c r="AJ413" s="775">
        <f t="shared" si="541"/>
        <v>0</v>
      </c>
      <c r="AK413" s="6106"/>
      <c r="AL413" s="3513">
        <f>AL28</f>
        <v>0</v>
      </c>
      <c r="AM413" s="6050"/>
      <c r="AN413" s="774">
        <f t="shared" si="513"/>
        <v>0</v>
      </c>
      <c r="AO413" s="6086"/>
      <c r="AP413" s="775">
        <f t="shared" si="514"/>
        <v>0</v>
      </c>
      <c r="AQ413" s="6106"/>
      <c r="AR413" s="3513">
        <f>AR28</f>
        <v>0</v>
      </c>
      <c r="AS413" s="6121"/>
      <c r="AT413" s="775">
        <f t="shared" si="534"/>
        <v>0</v>
      </c>
      <c r="AU413" s="6106"/>
      <c r="AV413" s="3513">
        <f>AV28</f>
        <v>0</v>
      </c>
      <c r="AW413" s="6121"/>
      <c r="AX413" s="775">
        <f t="shared" si="515"/>
        <v>0</v>
      </c>
      <c r="AY413" s="6106"/>
      <c r="AZ413" s="3513">
        <f>AZ28</f>
        <v>0</v>
      </c>
      <c r="BA413" s="6050"/>
      <c r="BB413" s="774">
        <f t="shared" ref="BB413" si="542">AR413+AV413+AZ413</f>
        <v>0</v>
      </c>
      <c r="BC413" s="6060"/>
      <c r="BD413" s="460">
        <f t="shared" si="517"/>
        <v>0</v>
      </c>
      <c r="BE413" s="6121"/>
      <c r="BF413" s="775">
        <f t="shared" si="518"/>
        <v>0</v>
      </c>
      <c r="BG413" s="26">
        <f t="shared" si="537"/>
        <v>0</v>
      </c>
      <c r="BH413" s="26">
        <f t="shared" si="538"/>
        <v>0</v>
      </c>
      <c r="BI413" s="26"/>
      <c r="BJ413" s="26">
        <f t="shared" si="539"/>
        <v>0</v>
      </c>
      <c r="BK413" s="26">
        <f t="shared" si="540"/>
        <v>0</v>
      </c>
    </row>
    <row r="414" spans="1:63" ht="20.25" customHeight="1" x14ac:dyDescent="0.3">
      <c r="A414" s="151"/>
      <c r="B414" s="3406" t="s">
        <v>121</v>
      </c>
      <c r="C414" s="202" t="s">
        <v>50</v>
      </c>
      <c r="D414" s="452">
        <f>+D29</f>
        <v>750000</v>
      </c>
      <c r="E414" s="452">
        <f>+E29</f>
        <v>62000</v>
      </c>
      <c r="F414" s="452">
        <f>SUM(F307:F413)</f>
        <v>44122.700000000004</v>
      </c>
      <c r="G414" s="452">
        <f>+G29</f>
        <v>65000</v>
      </c>
      <c r="H414" s="452">
        <f>SUM(H307:H413)</f>
        <v>57716.000000000007</v>
      </c>
      <c r="I414" s="371">
        <f>E414+G414</f>
        <v>127000</v>
      </c>
      <c r="J414" s="775">
        <f t="shared" si="524"/>
        <v>101838.70000000001</v>
      </c>
      <c r="K414" s="452">
        <f>+K29</f>
        <v>62500</v>
      </c>
      <c r="L414" s="452">
        <f>SUM(L307:L413)</f>
        <v>56720.679999999993</v>
      </c>
      <c r="M414" s="373">
        <f>E414+G414+K414</f>
        <v>189500</v>
      </c>
      <c r="N414" s="774">
        <f t="shared" si="525"/>
        <v>158559.38</v>
      </c>
      <c r="O414" s="452">
        <f>+O29</f>
        <v>65000</v>
      </c>
      <c r="P414" s="452">
        <f>SUM(P307:P413)</f>
        <v>57264.829999999994</v>
      </c>
      <c r="Q414" s="371">
        <f>M414+O414</f>
        <v>254500</v>
      </c>
      <c r="R414" s="775">
        <f t="shared" si="526"/>
        <v>215824.21</v>
      </c>
      <c r="S414" s="452">
        <f>+S29</f>
        <v>65000</v>
      </c>
      <c r="T414" s="452">
        <f>SUM(T307:T413)</f>
        <v>47224.14</v>
      </c>
      <c r="U414" s="371">
        <f>Q414+S414</f>
        <v>319500</v>
      </c>
      <c r="V414" s="775">
        <f t="shared" si="527"/>
        <v>263048.34999999998</v>
      </c>
      <c r="W414" s="452">
        <f>+W29</f>
        <v>33500</v>
      </c>
      <c r="X414" s="452">
        <f>SUM(X307:X413)</f>
        <v>45948.12</v>
      </c>
      <c r="Y414" s="373">
        <f t="shared" ref="Y414" si="543">O414+S414+W414</f>
        <v>163500</v>
      </c>
      <c r="Z414" s="774">
        <f t="shared" si="528"/>
        <v>150437.09</v>
      </c>
      <c r="AA414" s="539">
        <f>M414+Y414</f>
        <v>353000</v>
      </c>
      <c r="AB414" s="460">
        <f t="shared" si="529"/>
        <v>308996.46999999997</v>
      </c>
      <c r="AC414" s="452">
        <f>+AC29</f>
        <v>67000</v>
      </c>
      <c r="AD414" s="452">
        <f>SUM(AD307:AD413)</f>
        <v>30215.879999999997</v>
      </c>
      <c r="AE414" s="371">
        <f>AA414+AC414</f>
        <v>420000</v>
      </c>
      <c r="AF414" s="775">
        <f t="shared" si="530"/>
        <v>339212.35</v>
      </c>
      <c r="AG414" s="452">
        <f>+AG29</f>
        <v>65000</v>
      </c>
      <c r="AH414" s="452">
        <f>SUM(AH307:AH413)</f>
        <v>49444.750000000015</v>
      </c>
      <c r="AI414" s="371">
        <f>AE414+AG414</f>
        <v>485000</v>
      </c>
      <c r="AJ414" s="371">
        <f t="shared" si="541"/>
        <v>388657.1</v>
      </c>
      <c r="AK414" s="452">
        <f>+AK29</f>
        <v>67500</v>
      </c>
      <c r="AL414" s="452">
        <f>SUM(AL307:AL413)</f>
        <v>51538.881000000008</v>
      </c>
      <c r="AM414" s="373">
        <f t="shared" ref="AM414" si="544">AC414+AG414+AK414</f>
        <v>199500</v>
      </c>
      <c r="AN414" s="373">
        <f t="shared" si="513"/>
        <v>131199.511</v>
      </c>
      <c r="AO414" s="371">
        <f t="shared" si="514"/>
        <v>552500</v>
      </c>
      <c r="AP414" s="371">
        <f t="shared" si="514"/>
        <v>440195.98099999997</v>
      </c>
      <c r="AQ414" s="452">
        <f>+AQ29</f>
        <v>68000</v>
      </c>
      <c r="AR414" s="452">
        <f>SUM(AR307:AR413)</f>
        <v>55396.939999999988</v>
      </c>
      <c r="AS414" s="371">
        <f>AO414+AQ414</f>
        <v>620500</v>
      </c>
      <c r="AT414" s="371">
        <f t="shared" ref="AT414:AT428" si="545">AP414+AR414</f>
        <v>495592.92099999997</v>
      </c>
      <c r="AU414" s="452">
        <f>+AU29</f>
        <v>61000</v>
      </c>
      <c r="AV414" s="452">
        <f>SUM(AV307:AV413)</f>
        <v>53071.49</v>
      </c>
      <c r="AW414" s="371">
        <f>AS414+AU414</f>
        <v>681500</v>
      </c>
      <c r="AX414" s="371">
        <f t="shared" si="515"/>
        <v>548664.41099999996</v>
      </c>
      <c r="AY414" s="452">
        <f>+AY29</f>
        <v>68500</v>
      </c>
      <c r="AZ414" s="452">
        <f>SUM(AZ307:AZ413)</f>
        <v>58800.212000000007</v>
      </c>
      <c r="BA414" s="373">
        <f t="shared" ref="BA414" si="546">AQ414+AU414+AY414</f>
        <v>197500</v>
      </c>
      <c r="BB414" s="373">
        <f t="shared" ref="BB414" si="547">AR414+AV414+AZ414</f>
        <v>167268.64199999999</v>
      </c>
      <c r="BC414" s="539">
        <f>AM414+BA414</f>
        <v>397000</v>
      </c>
      <c r="BD414" s="539">
        <f>AN414+BB414</f>
        <v>298468.15299999999</v>
      </c>
      <c r="BE414" s="371">
        <f>AW414+AY414</f>
        <v>750000</v>
      </c>
      <c r="BF414" s="371">
        <f t="shared" si="518"/>
        <v>607464.62300000002</v>
      </c>
      <c r="BG414" s="26">
        <f t="shared" si="537"/>
        <v>0</v>
      </c>
      <c r="BH414" s="26">
        <f t="shared" si="538"/>
        <v>0</v>
      </c>
      <c r="BI414" s="26"/>
      <c r="BJ414" s="26">
        <f t="shared" si="539"/>
        <v>0</v>
      </c>
      <c r="BK414" s="26">
        <f t="shared" si="540"/>
        <v>0</v>
      </c>
    </row>
    <row r="415" spans="1:63" ht="20.25" customHeight="1" x14ac:dyDescent="0.3">
      <c r="A415" s="151"/>
      <c r="B415" s="444" t="s">
        <v>669</v>
      </c>
      <c r="C415" s="637"/>
      <c r="D415" s="637"/>
      <c r="E415" s="3514"/>
      <c r="F415" s="1325"/>
      <c r="G415" s="3514"/>
      <c r="H415" s="1325"/>
      <c r="I415" s="3515"/>
      <c r="J415" s="775">
        <f t="shared" si="524"/>
        <v>0</v>
      </c>
      <c r="K415" s="3514"/>
      <c r="L415" s="1325"/>
      <c r="M415" s="896"/>
      <c r="N415" s="774">
        <f t="shared" si="525"/>
        <v>0</v>
      </c>
      <c r="O415" s="3514"/>
      <c r="P415" s="1325"/>
      <c r="Q415" s="3515"/>
      <c r="R415" s="775">
        <f t="shared" si="526"/>
        <v>0</v>
      </c>
      <c r="S415" s="3514"/>
      <c r="T415" s="1325"/>
      <c r="U415" s="3515"/>
      <c r="V415" s="775">
        <f t="shared" si="527"/>
        <v>0</v>
      </c>
      <c r="W415" s="3514"/>
      <c r="X415" s="1325"/>
      <c r="Y415" s="896"/>
      <c r="Z415" s="774">
        <f t="shared" si="528"/>
        <v>0</v>
      </c>
      <c r="AA415" s="3968"/>
      <c r="AB415" s="460">
        <f t="shared" si="529"/>
        <v>0</v>
      </c>
      <c r="AC415" s="3514"/>
      <c r="AD415" s="1325"/>
      <c r="AE415" s="3515"/>
      <c r="AF415" s="775">
        <f t="shared" si="530"/>
        <v>0</v>
      </c>
      <c r="AG415" s="3514"/>
      <c r="AH415" s="1325"/>
      <c r="AI415" s="3515"/>
      <c r="AJ415" s="775"/>
      <c r="AK415" s="3514"/>
      <c r="AL415" s="1325"/>
      <c r="AM415" s="896"/>
      <c r="AN415" s="774"/>
      <c r="AO415" s="3515"/>
      <c r="AP415" s="775"/>
      <c r="AQ415" s="3514"/>
      <c r="AR415" s="1325"/>
      <c r="AS415" s="3515"/>
      <c r="AT415" s="775">
        <f t="shared" si="545"/>
        <v>0</v>
      </c>
      <c r="AU415" s="3514"/>
      <c r="AV415" s="1325"/>
      <c r="AW415" s="3515"/>
      <c r="AX415" s="775">
        <f t="shared" si="515"/>
        <v>0</v>
      </c>
      <c r="AY415" s="3514"/>
      <c r="AZ415" s="1325"/>
      <c r="BA415" s="896"/>
      <c r="BB415" s="774"/>
      <c r="BC415" s="3968"/>
      <c r="BD415" s="460"/>
      <c r="BE415" s="3515"/>
      <c r="BF415" s="775">
        <f t="shared" si="518"/>
        <v>0</v>
      </c>
      <c r="BG415" s="26">
        <f t="shared" si="537"/>
        <v>0</v>
      </c>
      <c r="BH415" s="26">
        <f t="shared" si="538"/>
        <v>0</v>
      </c>
      <c r="BI415" s="26"/>
      <c r="BJ415" s="26">
        <f t="shared" si="539"/>
        <v>0</v>
      </c>
      <c r="BK415" s="26">
        <f t="shared" si="540"/>
        <v>0</v>
      </c>
    </row>
    <row r="416" spans="1:63" ht="20.25" customHeight="1" x14ac:dyDescent="0.3">
      <c r="A416" s="92"/>
      <c r="B416" s="3498" t="s">
        <v>1494</v>
      </c>
      <c r="C416" s="156" t="s">
        <v>50</v>
      </c>
      <c r="D416" s="156"/>
      <c r="E416" s="3514"/>
      <c r="F416" s="1185"/>
      <c r="G416" s="3514"/>
      <c r="H416" s="1185"/>
      <c r="I416" s="3515"/>
      <c r="J416" s="775">
        <f t="shared" si="524"/>
        <v>0</v>
      </c>
      <c r="K416" s="3514"/>
      <c r="L416" s="1185"/>
      <c r="M416" s="896"/>
      <c r="N416" s="774">
        <f t="shared" si="525"/>
        <v>0</v>
      </c>
      <c r="O416" s="3514"/>
      <c r="P416" s="1185"/>
      <c r="Q416" s="3515"/>
      <c r="R416" s="775">
        <f t="shared" si="526"/>
        <v>0</v>
      </c>
      <c r="S416" s="3514"/>
      <c r="T416" s="1185"/>
      <c r="U416" s="3515"/>
      <c r="V416" s="775">
        <f t="shared" si="527"/>
        <v>0</v>
      </c>
      <c r="W416" s="3514"/>
      <c r="X416" s="1185"/>
      <c r="Y416" s="896"/>
      <c r="Z416" s="774">
        <f t="shared" si="528"/>
        <v>0</v>
      </c>
      <c r="AA416" s="3968"/>
      <c r="AB416" s="460">
        <f t="shared" si="529"/>
        <v>0</v>
      </c>
      <c r="AC416" s="3514"/>
      <c r="AD416" s="1185"/>
      <c r="AE416" s="3515"/>
      <c r="AF416" s="775">
        <f t="shared" si="530"/>
        <v>0</v>
      </c>
      <c r="AG416" s="3514"/>
      <c r="AH416" s="1185"/>
      <c r="AI416" s="3515"/>
      <c r="AJ416" s="775">
        <f t="shared" si="541"/>
        <v>0</v>
      </c>
      <c r="AK416" s="3514"/>
      <c r="AL416" s="1185"/>
      <c r="AM416" s="896"/>
      <c r="AN416" s="774">
        <f>AD416+AH416+AL416</f>
        <v>0</v>
      </c>
      <c r="AO416" s="3515"/>
      <c r="AP416" s="775">
        <f t="shared" si="514"/>
        <v>0</v>
      </c>
      <c r="AQ416" s="3514"/>
      <c r="AR416" s="1185"/>
      <c r="AS416" s="3515"/>
      <c r="AT416" s="775">
        <f t="shared" si="545"/>
        <v>0</v>
      </c>
      <c r="AU416" s="3514"/>
      <c r="AV416" s="1185"/>
      <c r="AW416" s="3515"/>
      <c r="AX416" s="775">
        <f t="shared" si="515"/>
        <v>0</v>
      </c>
      <c r="AY416" s="3514"/>
      <c r="AZ416" s="1185"/>
      <c r="BA416" s="896"/>
      <c r="BB416" s="774">
        <f>AR416+AV416+AZ416</f>
        <v>0</v>
      </c>
      <c r="BC416" s="3968"/>
      <c r="BD416" s="460">
        <f t="shared" ref="BD416:BD428" si="548">AN416+BB416</f>
        <v>0</v>
      </c>
      <c r="BE416" s="3515"/>
      <c r="BF416" s="775">
        <f t="shared" si="518"/>
        <v>0</v>
      </c>
      <c r="BG416" s="26">
        <f t="shared" si="537"/>
        <v>0</v>
      </c>
      <c r="BH416" s="26">
        <f t="shared" si="538"/>
        <v>0</v>
      </c>
      <c r="BI416" s="26"/>
      <c r="BJ416" s="26">
        <f t="shared" si="539"/>
        <v>0</v>
      </c>
      <c r="BK416" s="26">
        <f t="shared" si="540"/>
        <v>0</v>
      </c>
    </row>
    <row r="417" spans="1:63" ht="20.25" customHeight="1" x14ac:dyDescent="0.3">
      <c r="A417" s="92"/>
      <c r="B417" s="3472" t="s">
        <v>1835</v>
      </c>
      <c r="C417" s="156" t="s">
        <v>50</v>
      </c>
      <c r="D417" s="156"/>
      <c r="E417" s="3514"/>
      <c r="F417" s="1185"/>
      <c r="G417" s="3514"/>
      <c r="H417" s="1185"/>
      <c r="I417" s="3515"/>
      <c r="J417" s="775">
        <f t="shared" si="524"/>
        <v>0</v>
      </c>
      <c r="K417" s="3514"/>
      <c r="L417" s="1185"/>
      <c r="M417" s="896"/>
      <c r="N417" s="774">
        <f t="shared" si="525"/>
        <v>0</v>
      </c>
      <c r="O417" s="3514"/>
      <c r="P417" s="1185"/>
      <c r="Q417" s="3515"/>
      <c r="R417" s="775">
        <f t="shared" si="526"/>
        <v>0</v>
      </c>
      <c r="S417" s="3514"/>
      <c r="T417" s="1185"/>
      <c r="U417" s="3515"/>
      <c r="V417" s="775">
        <f t="shared" si="527"/>
        <v>0</v>
      </c>
      <c r="W417" s="3514"/>
      <c r="X417" s="1185"/>
      <c r="Y417" s="896"/>
      <c r="Z417" s="774">
        <f t="shared" si="528"/>
        <v>0</v>
      </c>
      <c r="AA417" s="3968"/>
      <c r="AB417" s="460">
        <f t="shared" si="529"/>
        <v>0</v>
      </c>
      <c r="AC417" s="3514"/>
      <c r="AD417" s="1185"/>
      <c r="AE417" s="3515"/>
      <c r="AF417" s="775">
        <f t="shared" si="530"/>
        <v>0</v>
      </c>
      <c r="AG417" s="3514"/>
      <c r="AH417" s="1185"/>
      <c r="AI417" s="3515"/>
      <c r="AJ417" s="775">
        <f t="shared" si="541"/>
        <v>0</v>
      </c>
      <c r="AK417" s="3514"/>
      <c r="AL417" s="1185"/>
      <c r="AM417" s="896"/>
      <c r="AN417" s="774">
        <f t="shared" ref="AN417:AN427" si="549">AD417+AH417+AL417</f>
        <v>0</v>
      </c>
      <c r="AO417" s="3515"/>
      <c r="AP417" s="775">
        <f t="shared" si="514"/>
        <v>0</v>
      </c>
      <c r="AQ417" s="3514"/>
      <c r="AR417" s="1185"/>
      <c r="AS417" s="3515"/>
      <c r="AT417" s="775">
        <f t="shared" si="545"/>
        <v>0</v>
      </c>
      <c r="AU417" s="3514"/>
      <c r="AV417" s="1185"/>
      <c r="AW417" s="3515"/>
      <c r="AX417" s="775">
        <f t="shared" si="515"/>
        <v>0</v>
      </c>
      <c r="AY417" s="3514"/>
      <c r="AZ417" s="1185"/>
      <c r="BA417" s="896"/>
      <c r="BB417" s="774">
        <f t="shared" ref="BB417:BB427" si="550">AR417+AV417+AZ417</f>
        <v>0</v>
      </c>
      <c r="BC417" s="3968"/>
      <c r="BD417" s="460">
        <f t="shared" si="548"/>
        <v>0</v>
      </c>
      <c r="BE417" s="3515"/>
      <c r="BF417" s="775">
        <f t="shared" si="518"/>
        <v>0</v>
      </c>
      <c r="BG417" s="26">
        <f t="shared" si="537"/>
        <v>0</v>
      </c>
      <c r="BH417" s="26">
        <f t="shared" si="538"/>
        <v>0</v>
      </c>
      <c r="BI417" s="26"/>
      <c r="BJ417" s="26">
        <f t="shared" si="539"/>
        <v>0</v>
      </c>
      <c r="BK417" s="26">
        <f t="shared" si="540"/>
        <v>0</v>
      </c>
    </row>
    <row r="418" spans="1:63" ht="20.25" customHeight="1" x14ac:dyDescent="0.3">
      <c r="A418" s="92"/>
      <c r="B418" s="4335" t="s">
        <v>1887</v>
      </c>
      <c r="C418" s="4336" t="s">
        <v>50</v>
      </c>
      <c r="D418" s="4336"/>
      <c r="E418" s="4337"/>
      <c r="F418" s="4338"/>
      <c r="G418" s="4337"/>
      <c r="H418" s="4338"/>
      <c r="I418" s="4339"/>
      <c r="J418" s="775">
        <f t="shared" si="524"/>
        <v>0</v>
      </c>
      <c r="K418" s="4337"/>
      <c r="L418" s="4338"/>
      <c r="M418" s="4341"/>
      <c r="N418" s="774">
        <f t="shared" si="525"/>
        <v>0</v>
      </c>
      <c r="O418" s="4337"/>
      <c r="P418" s="4338"/>
      <c r="Q418" s="4339"/>
      <c r="R418" s="775">
        <f t="shared" si="526"/>
        <v>0</v>
      </c>
      <c r="S418" s="4337"/>
      <c r="T418" s="4338"/>
      <c r="U418" s="4339"/>
      <c r="V418" s="775">
        <f t="shared" si="527"/>
        <v>0</v>
      </c>
      <c r="W418" s="4337"/>
      <c r="X418" s="4338"/>
      <c r="Y418" s="4341"/>
      <c r="Z418" s="774">
        <f t="shared" si="528"/>
        <v>0</v>
      </c>
      <c r="AA418" s="5747"/>
      <c r="AB418" s="460">
        <f t="shared" si="529"/>
        <v>0</v>
      </c>
      <c r="AC418" s="4337"/>
      <c r="AD418" s="4338"/>
      <c r="AE418" s="4339"/>
      <c r="AF418" s="775">
        <f t="shared" si="530"/>
        <v>0</v>
      </c>
      <c r="AG418" s="4337"/>
      <c r="AH418" s="4338"/>
      <c r="AI418" s="4339"/>
      <c r="AJ418" s="4340"/>
      <c r="AK418" s="4337"/>
      <c r="AL418" s="4338"/>
      <c r="AM418" s="4341"/>
      <c r="AN418" s="774">
        <f t="shared" si="549"/>
        <v>0</v>
      </c>
      <c r="AO418" s="4339"/>
      <c r="AP418" s="775">
        <f t="shared" si="514"/>
        <v>0</v>
      </c>
      <c r="AQ418" s="4337"/>
      <c r="AR418" s="4338"/>
      <c r="AS418" s="4339"/>
      <c r="AT418" s="775">
        <f t="shared" si="545"/>
        <v>0</v>
      </c>
      <c r="AU418" s="4337"/>
      <c r="AV418" s="4338"/>
      <c r="AW418" s="4339"/>
      <c r="AX418" s="775">
        <f t="shared" si="515"/>
        <v>0</v>
      </c>
      <c r="AY418" s="4337"/>
      <c r="AZ418" s="4338"/>
      <c r="BA418" s="4341"/>
      <c r="BB418" s="774">
        <f t="shared" si="550"/>
        <v>0</v>
      </c>
      <c r="BC418" s="5747"/>
      <c r="BD418" s="460">
        <f t="shared" si="548"/>
        <v>0</v>
      </c>
      <c r="BE418" s="4339"/>
      <c r="BF418" s="775">
        <f t="shared" si="518"/>
        <v>0</v>
      </c>
      <c r="BG418" s="26">
        <f t="shared" si="537"/>
        <v>0</v>
      </c>
      <c r="BH418" s="26">
        <f t="shared" si="538"/>
        <v>0</v>
      </c>
      <c r="BI418" s="26"/>
      <c r="BJ418" s="26">
        <f t="shared" si="539"/>
        <v>0</v>
      </c>
      <c r="BK418" s="26">
        <f t="shared" si="540"/>
        <v>0</v>
      </c>
    </row>
    <row r="419" spans="1:63" ht="20.25" customHeight="1" x14ac:dyDescent="0.3">
      <c r="A419" s="92"/>
      <c r="B419" s="3472" t="s">
        <v>1772</v>
      </c>
      <c r="C419" s="156" t="s">
        <v>50</v>
      </c>
      <c r="D419" s="156"/>
      <c r="E419" s="3514"/>
      <c r="F419" s="1185"/>
      <c r="G419" s="3514"/>
      <c r="H419" s="1185"/>
      <c r="I419" s="3515"/>
      <c r="J419" s="775">
        <f t="shared" si="524"/>
        <v>0</v>
      </c>
      <c r="K419" s="3514"/>
      <c r="L419" s="1185"/>
      <c r="M419" s="896"/>
      <c r="N419" s="774">
        <f t="shared" si="525"/>
        <v>0</v>
      </c>
      <c r="O419" s="3514"/>
      <c r="P419" s="1185"/>
      <c r="Q419" s="3515"/>
      <c r="R419" s="775">
        <f t="shared" si="526"/>
        <v>0</v>
      </c>
      <c r="S419" s="3514"/>
      <c r="T419" s="1185"/>
      <c r="U419" s="3515"/>
      <c r="V419" s="775">
        <f t="shared" si="527"/>
        <v>0</v>
      </c>
      <c r="W419" s="3514"/>
      <c r="X419" s="1185"/>
      <c r="Y419" s="896"/>
      <c r="Z419" s="774">
        <f t="shared" si="528"/>
        <v>0</v>
      </c>
      <c r="AA419" s="3968"/>
      <c r="AB419" s="460">
        <f t="shared" si="529"/>
        <v>0</v>
      </c>
      <c r="AC419" s="3514"/>
      <c r="AD419" s="1185"/>
      <c r="AE419" s="3515"/>
      <c r="AF419" s="775">
        <f t="shared" si="530"/>
        <v>0</v>
      </c>
      <c r="AG419" s="3514"/>
      <c r="AH419" s="1185"/>
      <c r="AI419" s="3515"/>
      <c r="AJ419" s="775">
        <f t="shared" si="541"/>
        <v>0</v>
      </c>
      <c r="AK419" s="3514"/>
      <c r="AL419" s="1185"/>
      <c r="AM419" s="896"/>
      <c r="AN419" s="774">
        <f t="shared" si="549"/>
        <v>0</v>
      </c>
      <c r="AO419" s="3515"/>
      <c r="AP419" s="775">
        <f t="shared" si="514"/>
        <v>0</v>
      </c>
      <c r="AQ419" s="3514"/>
      <c r="AR419" s="1185"/>
      <c r="AS419" s="3515"/>
      <c r="AT419" s="775">
        <f t="shared" si="545"/>
        <v>0</v>
      </c>
      <c r="AU419" s="3514"/>
      <c r="AV419" s="1185"/>
      <c r="AW419" s="3515"/>
      <c r="AX419" s="775">
        <f t="shared" si="515"/>
        <v>0</v>
      </c>
      <c r="AY419" s="3514"/>
      <c r="AZ419" s="1185"/>
      <c r="BA419" s="896"/>
      <c r="BB419" s="774">
        <f t="shared" si="550"/>
        <v>0</v>
      </c>
      <c r="BC419" s="3968"/>
      <c r="BD419" s="460">
        <f t="shared" si="548"/>
        <v>0</v>
      </c>
      <c r="BE419" s="3515"/>
      <c r="BF419" s="775">
        <f t="shared" si="518"/>
        <v>0</v>
      </c>
      <c r="BG419" s="26">
        <f t="shared" si="537"/>
        <v>0</v>
      </c>
      <c r="BH419" s="26">
        <f t="shared" si="538"/>
        <v>0</v>
      </c>
      <c r="BI419" s="26"/>
      <c r="BJ419" s="26">
        <f t="shared" si="539"/>
        <v>0</v>
      </c>
      <c r="BK419" s="26">
        <f t="shared" si="540"/>
        <v>0</v>
      </c>
    </row>
    <row r="420" spans="1:63" ht="20.25" customHeight="1" x14ac:dyDescent="0.3">
      <c r="A420" s="92"/>
      <c r="B420" s="3509" t="s">
        <v>1826</v>
      </c>
      <c r="C420" s="156" t="s">
        <v>50</v>
      </c>
      <c r="D420" s="2546"/>
      <c r="E420" s="3873"/>
      <c r="F420" s="2537"/>
      <c r="G420" s="3873"/>
      <c r="H420" s="2537"/>
      <c r="I420" s="3874"/>
      <c r="J420" s="775">
        <f t="shared" si="524"/>
        <v>0</v>
      </c>
      <c r="K420" s="3873"/>
      <c r="L420" s="2537"/>
      <c r="M420" s="3853"/>
      <c r="N420" s="774">
        <f t="shared" si="525"/>
        <v>0</v>
      </c>
      <c r="O420" s="3873"/>
      <c r="P420" s="2537"/>
      <c r="Q420" s="3874"/>
      <c r="R420" s="775">
        <f t="shared" si="526"/>
        <v>0</v>
      </c>
      <c r="S420" s="3873"/>
      <c r="T420" s="2537"/>
      <c r="U420" s="3874"/>
      <c r="V420" s="775">
        <f t="shared" si="527"/>
        <v>0</v>
      </c>
      <c r="W420" s="3873"/>
      <c r="X420" s="2537"/>
      <c r="Y420" s="3853"/>
      <c r="Z420" s="774">
        <f t="shared" si="528"/>
        <v>0</v>
      </c>
      <c r="AA420" s="3969"/>
      <c r="AB420" s="460">
        <f t="shared" si="529"/>
        <v>0</v>
      </c>
      <c r="AC420" s="3873"/>
      <c r="AD420" s="2537"/>
      <c r="AE420" s="3874"/>
      <c r="AF420" s="775">
        <f t="shared" si="530"/>
        <v>0</v>
      </c>
      <c r="AG420" s="3873"/>
      <c r="AH420" s="2537"/>
      <c r="AI420" s="3874"/>
      <c r="AJ420" s="775">
        <f t="shared" si="541"/>
        <v>0</v>
      </c>
      <c r="AK420" s="3873"/>
      <c r="AL420" s="2537"/>
      <c r="AM420" s="3853"/>
      <c r="AN420" s="774">
        <f t="shared" si="549"/>
        <v>0</v>
      </c>
      <c r="AO420" s="3874"/>
      <c r="AP420" s="775">
        <f t="shared" si="514"/>
        <v>0</v>
      </c>
      <c r="AQ420" s="3873"/>
      <c r="AR420" s="2537"/>
      <c r="AS420" s="3874"/>
      <c r="AT420" s="775">
        <f t="shared" si="545"/>
        <v>0</v>
      </c>
      <c r="AU420" s="3873"/>
      <c r="AV420" s="2537"/>
      <c r="AW420" s="3874"/>
      <c r="AX420" s="775">
        <f t="shared" si="515"/>
        <v>0</v>
      </c>
      <c r="AY420" s="3873"/>
      <c r="AZ420" s="2537"/>
      <c r="BA420" s="3853"/>
      <c r="BB420" s="774">
        <f t="shared" si="550"/>
        <v>0</v>
      </c>
      <c r="BC420" s="3969"/>
      <c r="BD420" s="460">
        <f t="shared" si="548"/>
        <v>0</v>
      </c>
      <c r="BE420" s="3874"/>
      <c r="BF420" s="775">
        <f t="shared" si="518"/>
        <v>0</v>
      </c>
      <c r="BG420" s="26">
        <f t="shared" si="537"/>
        <v>0</v>
      </c>
      <c r="BH420" s="26">
        <f t="shared" si="538"/>
        <v>0</v>
      </c>
      <c r="BI420" s="26"/>
      <c r="BJ420" s="26">
        <f t="shared" si="539"/>
        <v>0</v>
      </c>
      <c r="BK420" s="26">
        <f t="shared" si="540"/>
        <v>0</v>
      </c>
    </row>
    <row r="421" spans="1:63" ht="20.25" customHeight="1" x14ac:dyDescent="0.3">
      <c r="A421" s="92"/>
      <c r="B421" s="3472" t="s">
        <v>1836</v>
      </c>
      <c r="C421" s="156" t="s">
        <v>50</v>
      </c>
      <c r="D421" s="156"/>
      <c r="E421" s="3514"/>
      <c r="F421" s="1185"/>
      <c r="G421" s="3514"/>
      <c r="H421" s="1185"/>
      <c r="I421" s="3515"/>
      <c r="J421" s="775">
        <f t="shared" si="524"/>
        <v>0</v>
      </c>
      <c r="K421" s="3514"/>
      <c r="L421" s="1185"/>
      <c r="M421" s="896"/>
      <c r="N421" s="774">
        <f t="shared" si="525"/>
        <v>0</v>
      </c>
      <c r="O421" s="3514"/>
      <c r="P421" s="1185"/>
      <c r="Q421" s="3515"/>
      <c r="R421" s="775">
        <f t="shared" si="526"/>
        <v>0</v>
      </c>
      <c r="S421" s="3514"/>
      <c r="T421" s="1185"/>
      <c r="U421" s="3515"/>
      <c r="V421" s="775">
        <f t="shared" si="527"/>
        <v>0</v>
      </c>
      <c r="W421" s="3514"/>
      <c r="X421" s="1185"/>
      <c r="Y421" s="896"/>
      <c r="Z421" s="774">
        <f t="shared" si="528"/>
        <v>0</v>
      </c>
      <c r="AA421" s="3968"/>
      <c r="AB421" s="460">
        <f t="shared" si="529"/>
        <v>0</v>
      </c>
      <c r="AC421" s="3514"/>
      <c r="AD421" s="1185"/>
      <c r="AE421" s="3515"/>
      <c r="AF421" s="775">
        <f t="shared" si="530"/>
        <v>0</v>
      </c>
      <c r="AG421" s="3514"/>
      <c r="AH421" s="1185"/>
      <c r="AI421" s="3515"/>
      <c r="AJ421" s="775">
        <f t="shared" si="541"/>
        <v>0</v>
      </c>
      <c r="AK421" s="3514"/>
      <c r="AL421" s="1185"/>
      <c r="AM421" s="896"/>
      <c r="AN421" s="774">
        <f t="shared" si="549"/>
        <v>0</v>
      </c>
      <c r="AO421" s="3515"/>
      <c r="AP421" s="775">
        <f t="shared" si="514"/>
        <v>0</v>
      </c>
      <c r="AQ421" s="3514"/>
      <c r="AR421" s="1185"/>
      <c r="AS421" s="3515"/>
      <c r="AT421" s="775">
        <f t="shared" si="545"/>
        <v>0</v>
      </c>
      <c r="AU421" s="3514"/>
      <c r="AV421" s="1185"/>
      <c r="AW421" s="3515"/>
      <c r="AX421" s="775">
        <f t="shared" si="515"/>
        <v>0</v>
      </c>
      <c r="AY421" s="3514"/>
      <c r="AZ421" s="1185"/>
      <c r="BA421" s="896"/>
      <c r="BB421" s="774">
        <f t="shared" si="550"/>
        <v>0</v>
      </c>
      <c r="BC421" s="3968"/>
      <c r="BD421" s="460">
        <f t="shared" si="548"/>
        <v>0</v>
      </c>
      <c r="BE421" s="3515"/>
      <c r="BF421" s="775">
        <f t="shared" si="518"/>
        <v>0</v>
      </c>
      <c r="BG421" s="26">
        <f t="shared" si="537"/>
        <v>0</v>
      </c>
      <c r="BH421" s="26">
        <f t="shared" si="538"/>
        <v>0</v>
      </c>
      <c r="BI421" s="26"/>
      <c r="BJ421" s="26">
        <f t="shared" si="539"/>
        <v>0</v>
      </c>
      <c r="BK421" s="26">
        <f t="shared" si="540"/>
        <v>0</v>
      </c>
    </row>
    <row r="422" spans="1:63" ht="20.25" customHeight="1" x14ac:dyDescent="0.3">
      <c r="A422" s="92"/>
      <c r="B422" s="4335" t="s">
        <v>1863</v>
      </c>
      <c r="C422" s="4336" t="s">
        <v>50</v>
      </c>
      <c r="D422" s="4336"/>
      <c r="E422" s="4337"/>
      <c r="F422" s="4338"/>
      <c r="G422" s="4337"/>
      <c r="H422" s="4338"/>
      <c r="I422" s="4339"/>
      <c r="J422" s="775">
        <f t="shared" si="524"/>
        <v>0</v>
      </c>
      <c r="K422" s="4337"/>
      <c r="L422" s="4338">
        <v>35.9</v>
      </c>
      <c r="M422" s="4341"/>
      <c r="N422" s="774">
        <f t="shared" si="525"/>
        <v>35.9</v>
      </c>
      <c r="O422" s="4337"/>
      <c r="P422" s="4338"/>
      <c r="Q422" s="4339"/>
      <c r="R422" s="775">
        <f t="shared" si="526"/>
        <v>35.9</v>
      </c>
      <c r="S422" s="4337"/>
      <c r="T422" s="4338"/>
      <c r="U422" s="4339"/>
      <c r="V422" s="775">
        <f t="shared" si="527"/>
        <v>35.9</v>
      </c>
      <c r="W422" s="4337"/>
      <c r="X422" s="4338"/>
      <c r="Y422" s="4341"/>
      <c r="Z422" s="774">
        <f t="shared" si="528"/>
        <v>0</v>
      </c>
      <c r="AA422" s="5747"/>
      <c r="AB422" s="460">
        <f t="shared" si="529"/>
        <v>35.9</v>
      </c>
      <c r="AC422" s="4337"/>
      <c r="AD422" s="4338"/>
      <c r="AE422" s="4339"/>
      <c r="AF422" s="775">
        <f t="shared" si="530"/>
        <v>35.9</v>
      </c>
      <c r="AG422" s="4337"/>
      <c r="AH422" s="4338"/>
      <c r="AI422" s="4339"/>
      <c r="AJ422" s="775">
        <f t="shared" si="541"/>
        <v>35.9</v>
      </c>
      <c r="AK422" s="4337"/>
      <c r="AL422" s="4338"/>
      <c r="AM422" s="4341"/>
      <c r="AN422" s="774">
        <f t="shared" si="549"/>
        <v>0</v>
      </c>
      <c r="AO422" s="4339"/>
      <c r="AP422" s="775">
        <f t="shared" si="514"/>
        <v>35.9</v>
      </c>
      <c r="AQ422" s="4337"/>
      <c r="AR422" s="4338"/>
      <c r="AS422" s="4339"/>
      <c r="AT422" s="775">
        <f t="shared" si="545"/>
        <v>35.9</v>
      </c>
      <c r="AU422" s="4337"/>
      <c r="AV422" s="4338"/>
      <c r="AW422" s="4339"/>
      <c r="AX422" s="775">
        <f t="shared" si="515"/>
        <v>35.9</v>
      </c>
      <c r="AY422" s="4337"/>
      <c r="AZ422" s="4338"/>
      <c r="BA422" s="4341"/>
      <c r="BB422" s="774">
        <f t="shared" si="550"/>
        <v>0</v>
      </c>
      <c r="BC422" s="5747"/>
      <c r="BD422" s="460">
        <f t="shared" si="548"/>
        <v>0</v>
      </c>
      <c r="BE422" s="4339"/>
      <c r="BF422" s="775">
        <f t="shared" si="518"/>
        <v>35.9</v>
      </c>
      <c r="BG422" s="26">
        <f t="shared" si="537"/>
        <v>0</v>
      </c>
      <c r="BH422" s="26">
        <f t="shared" si="538"/>
        <v>0</v>
      </c>
      <c r="BI422" s="26"/>
      <c r="BJ422" s="26">
        <f t="shared" si="539"/>
        <v>0</v>
      </c>
      <c r="BK422" s="26">
        <f t="shared" si="540"/>
        <v>0</v>
      </c>
    </row>
    <row r="423" spans="1:63" ht="20.25" customHeight="1" x14ac:dyDescent="0.3">
      <c r="A423" s="92"/>
      <c r="B423" s="4335" t="s">
        <v>1888</v>
      </c>
      <c r="C423" s="4336" t="s">
        <v>50</v>
      </c>
      <c r="D423" s="4336"/>
      <c r="E423" s="4337"/>
      <c r="F423" s="4338"/>
      <c r="G423" s="4337"/>
      <c r="H423" s="4338"/>
      <c r="I423" s="4339"/>
      <c r="J423" s="775">
        <f t="shared" si="524"/>
        <v>0</v>
      </c>
      <c r="K423" s="4337"/>
      <c r="L423" s="4338"/>
      <c r="M423" s="4341"/>
      <c r="N423" s="774">
        <f t="shared" si="525"/>
        <v>0</v>
      </c>
      <c r="O423" s="4337"/>
      <c r="P423" s="4338"/>
      <c r="Q423" s="4339"/>
      <c r="R423" s="775">
        <f t="shared" si="526"/>
        <v>0</v>
      </c>
      <c r="S423" s="4337"/>
      <c r="T423" s="4338"/>
      <c r="U423" s="4339"/>
      <c r="V423" s="775">
        <f t="shared" si="527"/>
        <v>0</v>
      </c>
      <c r="W423" s="4337"/>
      <c r="X423" s="4338"/>
      <c r="Y423" s="4341"/>
      <c r="Z423" s="774">
        <f t="shared" si="528"/>
        <v>0</v>
      </c>
      <c r="AA423" s="5747"/>
      <c r="AB423" s="460">
        <f t="shared" si="529"/>
        <v>0</v>
      </c>
      <c r="AC423" s="4337"/>
      <c r="AD423" s="4338"/>
      <c r="AE423" s="4339"/>
      <c r="AF423" s="775">
        <f t="shared" si="530"/>
        <v>0</v>
      </c>
      <c r="AG423" s="4337"/>
      <c r="AH423" s="4338"/>
      <c r="AI423" s="4339"/>
      <c r="AJ423" s="4340"/>
      <c r="AK423" s="4337"/>
      <c r="AL423" s="4338"/>
      <c r="AM423" s="4341"/>
      <c r="AN423" s="774">
        <f t="shared" si="549"/>
        <v>0</v>
      </c>
      <c r="AO423" s="4339"/>
      <c r="AP423" s="775">
        <f t="shared" si="514"/>
        <v>0</v>
      </c>
      <c r="AQ423" s="4337"/>
      <c r="AR423" s="4338"/>
      <c r="AS423" s="4339"/>
      <c r="AT423" s="775">
        <f t="shared" si="545"/>
        <v>0</v>
      </c>
      <c r="AU423" s="4337"/>
      <c r="AV423" s="4338"/>
      <c r="AW423" s="4339"/>
      <c r="AX423" s="775">
        <f t="shared" si="515"/>
        <v>0</v>
      </c>
      <c r="AY423" s="4337"/>
      <c r="AZ423" s="4338"/>
      <c r="BA423" s="4341"/>
      <c r="BB423" s="774">
        <f t="shared" si="550"/>
        <v>0</v>
      </c>
      <c r="BC423" s="5747"/>
      <c r="BD423" s="460">
        <f t="shared" si="548"/>
        <v>0</v>
      </c>
      <c r="BE423" s="4339"/>
      <c r="BF423" s="775">
        <f t="shared" si="518"/>
        <v>0</v>
      </c>
      <c r="BG423" s="26">
        <f t="shared" si="537"/>
        <v>0</v>
      </c>
      <c r="BH423" s="26">
        <f t="shared" si="538"/>
        <v>0</v>
      </c>
      <c r="BI423" s="26"/>
      <c r="BJ423" s="26">
        <f t="shared" si="539"/>
        <v>0</v>
      </c>
      <c r="BK423" s="26">
        <f t="shared" si="540"/>
        <v>0</v>
      </c>
    </row>
    <row r="424" spans="1:63" ht="20.25" customHeight="1" x14ac:dyDescent="0.3">
      <c r="A424" s="92"/>
      <c r="B424" s="3472" t="s">
        <v>1816</v>
      </c>
      <c r="C424" s="156" t="s">
        <v>50</v>
      </c>
      <c r="D424" s="156"/>
      <c r="E424" s="3514"/>
      <c r="F424" s="1185"/>
      <c r="G424" s="3514"/>
      <c r="H424" s="1185"/>
      <c r="I424" s="3515"/>
      <c r="J424" s="775">
        <f t="shared" si="524"/>
        <v>0</v>
      </c>
      <c r="K424" s="3514"/>
      <c r="L424" s="1185"/>
      <c r="M424" s="896"/>
      <c r="N424" s="774">
        <f t="shared" si="525"/>
        <v>0</v>
      </c>
      <c r="O424" s="3514"/>
      <c r="P424" s="1185"/>
      <c r="Q424" s="3515"/>
      <c r="R424" s="775">
        <f t="shared" si="526"/>
        <v>0</v>
      </c>
      <c r="S424" s="3514"/>
      <c r="T424" s="1185"/>
      <c r="U424" s="3515"/>
      <c r="V424" s="775">
        <f t="shared" si="527"/>
        <v>0</v>
      </c>
      <c r="W424" s="3514"/>
      <c r="X424" s="1185"/>
      <c r="Y424" s="896"/>
      <c r="Z424" s="774">
        <f t="shared" si="528"/>
        <v>0</v>
      </c>
      <c r="AA424" s="3968"/>
      <c r="AB424" s="460">
        <f t="shared" si="529"/>
        <v>0</v>
      </c>
      <c r="AC424" s="3514"/>
      <c r="AD424" s="1185"/>
      <c r="AE424" s="3515"/>
      <c r="AF424" s="775">
        <f t="shared" si="530"/>
        <v>0</v>
      </c>
      <c r="AG424" s="3514"/>
      <c r="AH424" s="1185"/>
      <c r="AI424" s="3515"/>
      <c r="AJ424" s="775">
        <f t="shared" si="541"/>
        <v>0</v>
      </c>
      <c r="AK424" s="3514"/>
      <c r="AL424" s="1185"/>
      <c r="AM424" s="896"/>
      <c r="AN424" s="774">
        <f t="shared" si="549"/>
        <v>0</v>
      </c>
      <c r="AO424" s="3515"/>
      <c r="AP424" s="775">
        <f t="shared" si="514"/>
        <v>0</v>
      </c>
      <c r="AQ424" s="3514"/>
      <c r="AR424" s="1185"/>
      <c r="AS424" s="3515"/>
      <c r="AT424" s="775">
        <f t="shared" si="545"/>
        <v>0</v>
      </c>
      <c r="AU424" s="3514"/>
      <c r="AV424" s="1185"/>
      <c r="AW424" s="3515"/>
      <c r="AX424" s="775">
        <f t="shared" si="515"/>
        <v>0</v>
      </c>
      <c r="AY424" s="3514"/>
      <c r="AZ424" s="1185"/>
      <c r="BA424" s="896"/>
      <c r="BB424" s="774">
        <f t="shared" si="550"/>
        <v>0</v>
      </c>
      <c r="BC424" s="3968"/>
      <c r="BD424" s="460">
        <f t="shared" si="548"/>
        <v>0</v>
      </c>
      <c r="BE424" s="3515"/>
      <c r="BF424" s="775">
        <f t="shared" si="518"/>
        <v>0</v>
      </c>
      <c r="BG424" s="26">
        <f t="shared" si="537"/>
        <v>0</v>
      </c>
      <c r="BH424" s="26">
        <f t="shared" si="538"/>
        <v>0</v>
      </c>
      <c r="BI424" s="26"/>
      <c r="BJ424" s="26">
        <f t="shared" si="539"/>
        <v>0</v>
      </c>
      <c r="BK424" s="26">
        <f t="shared" si="540"/>
        <v>0</v>
      </c>
    </row>
    <row r="425" spans="1:63" ht="20.25" customHeight="1" x14ac:dyDescent="0.3">
      <c r="A425" s="92"/>
      <c r="B425" s="4335" t="s">
        <v>1865</v>
      </c>
      <c r="C425" s="4336" t="s">
        <v>50</v>
      </c>
      <c r="D425" s="4336"/>
      <c r="E425" s="4337"/>
      <c r="F425" s="4338"/>
      <c r="G425" s="4337"/>
      <c r="H425" s="4338"/>
      <c r="I425" s="4339"/>
      <c r="J425" s="775">
        <f t="shared" si="524"/>
        <v>0</v>
      </c>
      <c r="K425" s="4337"/>
      <c r="L425" s="4338"/>
      <c r="M425" s="4341"/>
      <c r="N425" s="774">
        <f t="shared" si="525"/>
        <v>0</v>
      </c>
      <c r="O425" s="4337"/>
      <c r="P425" s="4338"/>
      <c r="Q425" s="4339"/>
      <c r="R425" s="775">
        <f t="shared" si="526"/>
        <v>0</v>
      </c>
      <c r="S425" s="4337"/>
      <c r="T425" s="4338"/>
      <c r="U425" s="4339"/>
      <c r="V425" s="775">
        <f t="shared" si="527"/>
        <v>0</v>
      </c>
      <c r="W425" s="4337"/>
      <c r="X425" s="4338"/>
      <c r="Y425" s="4341"/>
      <c r="Z425" s="774">
        <f t="shared" si="528"/>
        <v>0</v>
      </c>
      <c r="AA425" s="5747"/>
      <c r="AB425" s="460">
        <f t="shared" si="529"/>
        <v>0</v>
      </c>
      <c r="AC425" s="4337"/>
      <c r="AD425" s="4338"/>
      <c r="AE425" s="4339"/>
      <c r="AF425" s="775">
        <f t="shared" si="530"/>
        <v>0</v>
      </c>
      <c r="AG425" s="4337"/>
      <c r="AH425" s="4338"/>
      <c r="AI425" s="4339"/>
      <c r="AJ425" s="775">
        <f t="shared" si="541"/>
        <v>0</v>
      </c>
      <c r="AK425" s="4337"/>
      <c r="AL425" s="4338"/>
      <c r="AM425" s="4341"/>
      <c r="AN425" s="774">
        <f t="shared" si="549"/>
        <v>0</v>
      </c>
      <c r="AO425" s="4339"/>
      <c r="AP425" s="775">
        <f t="shared" si="514"/>
        <v>0</v>
      </c>
      <c r="AQ425" s="4337"/>
      <c r="AR425" s="4338"/>
      <c r="AS425" s="4339"/>
      <c r="AT425" s="775">
        <f t="shared" si="545"/>
        <v>0</v>
      </c>
      <c r="AU425" s="4337"/>
      <c r="AV425" s="4338"/>
      <c r="AW425" s="4339"/>
      <c r="AX425" s="775">
        <f t="shared" si="515"/>
        <v>0</v>
      </c>
      <c r="AY425" s="4337"/>
      <c r="AZ425" s="4338"/>
      <c r="BA425" s="4341"/>
      <c r="BB425" s="774">
        <f t="shared" si="550"/>
        <v>0</v>
      </c>
      <c r="BC425" s="5747"/>
      <c r="BD425" s="460">
        <f t="shared" si="548"/>
        <v>0</v>
      </c>
      <c r="BE425" s="4339"/>
      <c r="BF425" s="775">
        <f t="shared" si="518"/>
        <v>0</v>
      </c>
      <c r="BG425" s="26">
        <f t="shared" si="537"/>
        <v>0</v>
      </c>
      <c r="BH425" s="26">
        <f t="shared" si="538"/>
        <v>0</v>
      </c>
      <c r="BI425" s="26"/>
      <c r="BJ425" s="26">
        <f t="shared" si="539"/>
        <v>0</v>
      </c>
      <c r="BK425" s="26">
        <f t="shared" si="540"/>
        <v>0</v>
      </c>
    </row>
    <row r="426" spans="1:63" ht="20.25" customHeight="1" x14ac:dyDescent="0.3">
      <c r="A426" s="92"/>
      <c r="B426" s="3472" t="s">
        <v>1864</v>
      </c>
      <c r="C426" s="156" t="s">
        <v>50</v>
      </c>
      <c r="D426" s="156"/>
      <c r="E426" s="3514"/>
      <c r="F426" s="1185"/>
      <c r="G426" s="3514"/>
      <c r="H426" s="1185"/>
      <c r="I426" s="3515"/>
      <c r="J426" s="775">
        <f t="shared" si="524"/>
        <v>0</v>
      </c>
      <c r="K426" s="3514"/>
      <c r="L426" s="1185"/>
      <c r="M426" s="896"/>
      <c r="N426" s="774">
        <f t="shared" si="525"/>
        <v>0</v>
      </c>
      <c r="O426" s="3514"/>
      <c r="P426" s="1185"/>
      <c r="Q426" s="3515"/>
      <c r="R426" s="775">
        <f t="shared" si="526"/>
        <v>0</v>
      </c>
      <c r="S426" s="3514"/>
      <c r="T426" s="1185"/>
      <c r="U426" s="3515"/>
      <c r="V426" s="775">
        <f t="shared" si="527"/>
        <v>0</v>
      </c>
      <c r="W426" s="3514"/>
      <c r="X426" s="1185"/>
      <c r="Y426" s="896"/>
      <c r="Z426" s="774">
        <f t="shared" si="528"/>
        <v>0</v>
      </c>
      <c r="AA426" s="3968"/>
      <c r="AB426" s="460">
        <f t="shared" si="529"/>
        <v>0</v>
      </c>
      <c r="AC426" s="3514"/>
      <c r="AD426" s="1185"/>
      <c r="AE426" s="3515"/>
      <c r="AF426" s="775">
        <f t="shared" si="530"/>
        <v>0</v>
      </c>
      <c r="AG426" s="3514"/>
      <c r="AH426" s="1185"/>
      <c r="AI426" s="3515"/>
      <c r="AJ426" s="775">
        <f t="shared" si="541"/>
        <v>0</v>
      </c>
      <c r="AK426" s="3514"/>
      <c r="AL426" s="1185"/>
      <c r="AM426" s="896"/>
      <c r="AN426" s="774">
        <f t="shared" si="549"/>
        <v>0</v>
      </c>
      <c r="AO426" s="3515"/>
      <c r="AP426" s="775">
        <f t="shared" si="514"/>
        <v>0</v>
      </c>
      <c r="AQ426" s="3514"/>
      <c r="AR426" s="1185"/>
      <c r="AS426" s="3515"/>
      <c r="AT426" s="775">
        <f t="shared" si="545"/>
        <v>0</v>
      </c>
      <c r="AU426" s="3514"/>
      <c r="AV426" s="1185"/>
      <c r="AW426" s="3515"/>
      <c r="AX426" s="775">
        <f t="shared" si="515"/>
        <v>0</v>
      </c>
      <c r="AY426" s="3514"/>
      <c r="AZ426" s="1185"/>
      <c r="BA426" s="896"/>
      <c r="BB426" s="774">
        <f t="shared" si="550"/>
        <v>0</v>
      </c>
      <c r="BC426" s="3968"/>
      <c r="BD426" s="460">
        <f t="shared" si="548"/>
        <v>0</v>
      </c>
      <c r="BE426" s="3515"/>
      <c r="BF426" s="775">
        <f t="shared" si="518"/>
        <v>0</v>
      </c>
      <c r="BG426" s="26">
        <f t="shared" si="537"/>
        <v>0</v>
      </c>
      <c r="BH426" s="26">
        <f t="shared" si="538"/>
        <v>0</v>
      </c>
      <c r="BI426" s="26"/>
      <c r="BJ426" s="26">
        <f t="shared" si="539"/>
        <v>0</v>
      </c>
      <c r="BK426" s="26">
        <f t="shared" si="540"/>
        <v>0</v>
      </c>
    </row>
    <row r="427" spans="1:63" ht="20.25" customHeight="1" x14ac:dyDescent="0.3">
      <c r="A427" s="92"/>
      <c r="B427" s="3498" t="s">
        <v>1817</v>
      </c>
      <c r="C427" s="156" t="s">
        <v>50</v>
      </c>
      <c r="D427" s="156"/>
      <c r="E427" s="3514"/>
      <c r="F427" s="1185"/>
      <c r="G427" s="3514"/>
      <c r="H427" s="1185"/>
      <c r="I427" s="3515"/>
      <c r="J427" s="775">
        <f t="shared" si="524"/>
        <v>0</v>
      </c>
      <c r="K427" s="3514"/>
      <c r="L427" s="1185"/>
      <c r="M427" s="896"/>
      <c r="N427" s="774">
        <f t="shared" si="525"/>
        <v>0</v>
      </c>
      <c r="O427" s="3514"/>
      <c r="P427" s="1185"/>
      <c r="Q427" s="3515"/>
      <c r="R427" s="775">
        <f t="shared" si="526"/>
        <v>0</v>
      </c>
      <c r="S427" s="3514"/>
      <c r="T427" s="1185"/>
      <c r="U427" s="3515"/>
      <c r="V427" s="775">
        <f t="shared" si="527"/>
        <v>0</v>
      </c>
      <c r="W427" s="3514"/>
      <c r="X427" s="1185"/>
      <c r="Y427" s="896"/>
      <c r="Z427" s="774">
        <f t="shared" si="528"/>
        <v>0</v>
      </c>
      <c r="AA427" s="3968"/>
      <c r="AB427" s="460">
        <f t="shared" si="529"/>
        <v>0</v>
      </c>
      <c r="AC427" s="3514"/>
      <c r="AD427" s="1185"/>
      <c r="AE427" s="3515"/>
      <c r="AF427" s="775">
        <f t="shared" si="530"/>
        <v>0</v>
      </c>
      <c r="AG427" s="3514"/>
      <c r="AH427" s="1185"/>
      <c r="AI427" s="3515"/>
      <c r="AJ427" s="775">
        <f t="shared" si="541"/>
        <v>0</v>
      </c>
      <c r="AK427" s="3514"/>
      <c r="AL427" s="1185"/>
      <c r="AM427" s="896"/>
      <c r="AN427" s="774">
        <f t="shared" si="549"/>
        <v>0</v>
      </c>
      <c r="AO427" s="3515"/>
      <c r="AP427" s="775">
        <f t="shared" si="514"/>
        <v>0</v>
      </c>
      <c r="AQ427" s="3514"/>
      <c r="AR427" s="1185"/>
      <c r="AS427" s="3515"/>
      <c r="AT427" s="775">
        <f t="shared" si="545"/>
        <v>0</v>
      </c>
      <c r="AU427" s="3514"/>
      <c r="AV427" s="1185"/>
      <c r="AW427" s="3515"/>
      <c r="AX427" s="775">
        <f t="shared" si="515"/>
        <v>0</v>
      </c>
      <c r="AY427" s="3514"/>
      <c r="AZ427" s="1185"/>
      <c r="BA427" s="896"/>
      <c r="BB427" s="774">
        <f t="shared" si="550"/>
        <v>0</v>
      </c>
      <c r="BC427" s="3968"/>
      <c r="BD427" s="460">
        <f t="shared" si="548"/>
        <v>0</v>
      </c>
      <c r="BE427" s="3515"/>
      <c r="BF427" s="775">
        <f t="shared" si="518"/>
        <v>0</v>
      </c>
      <c r="BG427" s="26">
        <f t="shared" si="537"/>
        <v>0</v>
      </c>
      <c r="BH427" s="26">
        <f t="shared" si="538"/>
        <v>0</v>
      </c>
      <c r="BI427" s="26"/>
      <c r="BJ427" s="26">
        <f t="shared" si="539"/>
        <v>0</v>
      </c>
      <c r="BK427" s="26">
        <f t="shared" si="540"/>
        <v>0</v>
      </c>
    </row>
    <row r="428" spans="1:63" ht="20.25" customHeight="1" x14ac:dyDescent="0.3">
      <c r="A428" s="92"/>
      <c r="B428" s="3498" t="s">
        <v>1848</v>
      </c>
      <c r="C428" s="156" t="s">
        <v>50</v>
      </c>
      <c r="D428" s="156"/>
      <c r="E428" s="3514"/>
      <c r="F428" s="1185"/>
      <c r="G428" s="3514"/>
      <c r="H428" s="1185"/>
      <c r="I428" s="3515"/>
      <c r="J428" s="775">
        <f t="shared" si="524"/>
        <v>0</v>
      </c>
      <c r="K428" s="3514"/>
      <c r="L428" s="1185"/>
      <c r="M428" s="896"/>
      <c r="N428" s="774">
        <f t="shared" si="525"/>
        <v>0</v>
      </c>
      <c r="O428" s="3514"/>
      <c r="P428" s="1185"/>
      <c r="Q428" s="3515"/>
      <c r="R428" s="775">
        <f t="shared" si="526"/>
        <v>0</v>
      </c>
      <c r="S428" s="3514"/>
      <c r="T428" s="1185"/>
      <c r="U428" s="3515"/>
      <c r="V428" s="775">
        <f t="shared" si="527"/>
        <v>0</v>
      </c>
      <c r="W428" s="3514"/>
      <c r="X428" s="1185"/>
      <c r="Y428" s="896"/>
      <c r="Z428" s="774">
        <f t="shared" si="528"/>
        <v>0</v>
      </c>
      <c r="AA428" s="3968"/>
      <c r="AB428" s="460">
        <f t="shared" si="529"/>
        <v>0</v>
      </c>
      <c r="AC428" s="3514"/>
      <c r="AD428" s="1185"/>
      <c r="AE428" s="3515"/>
      <c r="AF428" s="775">
        <f t="shared" si="530"/>
        <v>0</v>
      </c>
      <c r="AG428" s="3514"/>
      <c r="AH428" s="1185"/>
      <c r="AI428" s="3515"/>
      <c r="AJ428" s="775">
        <f t="shared" si="541"/>
        <v>0</v>
      </c>
      <c r="AK428" s="3514"/>
      <c r="AL428" s="1185"/>
      <c r="AM428" s="896"/>
      <c r="AN428" s="774">
        <f t="shared" ref="AN428" si="551">AD428+AH428+AL428</f>
        <v>0</v>
      </c>
      <c r="AO428" s="3515"/>
      <c r="AP428" s="775">
        <f t="shared" si="514"/>
        <v>0</v>
      </c>
      <c r="AQ428" s="3514"/>
      <c r="AR428" s="1185"/>
      <c r="AS428" s="3515"/>
      <c r="AT428" s="775">
        <f t="shared" si="545"/>
        <v>0</v>
      </c>
      <c r="AU428" s="3514"/>
      <c r="AV428" s="1185"/>
      <c r="AW428" s="3515"/>
      <c r="AX428" s="775">
        <f t="shared" si="515"/>
        <v>0</v>
      </c>
      <c r="AY428" s="3514"/>
      <c r="AZ428" s="1185"/>
      <c r="BA428" s="896"/>
      <c r="BB428" s="774">
        <f t="shared" ref="BB428" si="552">AR428+AV428+AZ428</f>
        <v>0</v>
      </c>
      <c r="BC428" s="3968"/>
      <c r="BD428" s="460">
        <f t="shared" si="548"/>
        <v>0</v>
      </c>
      <c r="BE428" s="3515"/>
      <c r="BF428" s="775">
        <f t="shared" si="518"/>
        <v>0</v>
      </c>
      <c r="BG428" s="26">
        <f t="shared" si="537"/>
        <v>0</v>
      </c>
      <c r="BH428" s="26">
        <f t="shared" si="538"/>
        <v>0</v>
      </c>
      <c r="BI428" s="26"/>
      <c r="BJ428" s="26">
        <f t="shared" si="539"/>
        <v>0</v>
      </c>
      <c r="BK428" s="26">
        <f t="shared" si="540"/>
        <v>0</v>
      </c>
    </row>
    <row r="429" spans="1:63" ht="20.25" customHeight="1" x14ac:dyDescent="0.3">
      <c r="A429" s="92"/>
      <c r="B429" s="3461" t="s">
        <v>2</v>
      </c>
      <c r="C429" s="202" t="s">
        <v>50</v>
      </c>
      <c r="D429" s="452">
        <f>+D25</f>
        <v>3000.0000000000009</v>
      </c>
      <c r="E429" s="452">
        <f>+E25</f>
        <v>272.72727272727275</v>
      </c>
      <c r="F429" s="3502">
        <f>SUM(F416:F427)</f>
        <v>0</v>
      </c>
      <c r="G429" s="452">
        <f>+G25</f>
        <v>272.72727272727275</v>
      </c>
      <c r="H429" s="3502">
        <f>SUM(H416:H427)</f>
        <v>0</v>
      </c>
      <c r="I429" s="371">
        <f>+I25</f>
        <v>545.4545454545455</v>
      </c>
      <c r="J429" s="775">
        <f t="shared" si="524"/>
        <v>0</v>
      </c>
      <c r="K429" s="452">
        <f>+K25</f>
        <v>272.72727272727275</v>
      </c>
      <c r="L429" s="3502">
        <f>SUM(L416:L427)</f>
        <v>35.9</v>
      </c>
      <c r="M429" s="373">
        <f>E429+G429+K429</f>
        <v>818.18181818181824</v>
      </c>
      <c r="N429" s="774">
        <f t="shared" si="525"/>
        <v>35.9</v>
      </c>
      <c r="O429" s="452">
        <f>+O25</f>
        <v>272.72727272727275</v>
      </c>
      <c r="P429" s="3502">
        <f>SUM(P416:P427)</f>
        <v>0</v>
      </c>
      <c r="Q429" s="371">
        <f>+Q25</f>
        <v>1090.909090909091</v>
      </c>
      <c r="R429" s="775">
        <f t="shared" si="526"/>
        <v>35.9</v>
      </c>
      <c r="S429" s="452">
        <f>+S25</f>
        <v>272.72727272727275</v>
      </c>
      <c r="T429" s="3502">
        <f>SUM(T416:T427)</f>
        <v>0</v>
      </c>
      <c r="U429" s="371">
        <f>+U25</f>
        <v>1363.6363636363637</v>
      </c>
      <c r="V429" s="775">
        <f t="shared" si="527"/>
        <v>35.9</v>
      </c>
      <c r="W429" s="452">
        <f>+W25</f>
        <v>0</v>
      </c>
      <c r="X429" s="3502">
        <f>SUM(X416:X427)</f>
        <v>0</v>
      </c>
      <c r="Y429" s="373">
        <f>O429+S429+W429</f>
        <v>545.4545454545455</v>
      </c>
      <c r="Z429" s="774">
        <f t="shared" si="528"/>
        <v>0</v>
      </c>
      <c r="AA429" s="539">
        <f>+AA25</f>
        <v>1363.6363636363637</v>
      </c>
      <c r="AB429" s="460">
        <f t="shared" si="529"/>
        <v>35.9</v>
      </c>
      <c r="AC429" s="452">
        <f>+AC25</f>
        <v>272.72727272727275</v>
      </c>
      <c r="AD429" s="3502">
        <f>SUM(AD416:AD427)</f>
        <v>0</v>
      </c>
      <c r="AE429" s="371">
        <f>+AE25</f>
        <v>1636.3636363636365</v>
      </c>
      <c r="AF429" s="775">
        <f t="shared" si="530"/>
        <v>35.9</v>
      </c>
      <c r="AG429" s="452">
        <f>+AG25</f>
        <v>272.72727272727275</v>
      </c>
      <c r="AH429" s="3502">
        <f>SUM(AH416:AH427)</f>
        <v>0</v>
      </c>
      <c r="AI429" s="371">
        <f>+AI25</f>
        <v>1909.0909090909092</v>
      </c>
      <c r="AJ429" s="3503">
        <f t="shared" si="541"/>
        <v>35.9</v>
      </c>
      <c r="AK429" s="452">
        <f>+AK25</f>
        <v>272.72727272727275</v>
      </c>
      <c r="AL429" s="3502">
        <f>SUM(AL416:AL427)</f>
        <v>0</v>
      </c>
      <c r="AM429" s="373">
        <f>AC429+AG429+AK429</f>
        <v>818.18181818181824</v>
      </c>
      <c r="AN429" s="3504">
        <f>AD429+AH429+AL429</f>
        <v>0</v>
      </c>
      <c r="AO429" s="371">
        <f t="shared" si="514"/>
        <v>2181.818181818182</v>
      </c>
      <c r="AP429" s="3503">
        <f t="shared" ref="AP429" si="553">AJ429+AL429</f>
        <v>35.9</v>
      </c>
      <c r="AQ429" s="452">
        <f>+AQ25</f>
        <v>272.72727272727275</v>
      </c>
      <c r="AR429" s="3502">
        <f>SUM(AR416:AR427)</f>
        <v>0</v>
      </c>
      <c r="AS429" s="371">
        <f>+AS25</f>
        <v>2454.545454545455</v>
      </c>
      <c r="AT429" s="3503">
        <f t="shared" ref="AT429" si="554">AP429+AR429</f>
        <v>35.9</v>
      </c>
      <c r="AU429" s="452">
        <f>+AU25</f>
        <v>272.72727272727275</v>
      </c>
      <c r="AV429" s="3502">
        <f>SUM(AV416:AV427)</f>
        <v>0</v>
      </c>
      <c r="AW429" s="371">
        <f>+AW25</f>
        <v>2727.2727272727279</v>
      </c>
      <c r="AX429" s="3503">
        <f t="shared" ref="AX429" si="555">AT429+AV429</f>
        <v>35.9</v>
      </c>
      <c r="AY429" s="452">
        <f>+AY25</f>
        <v>272.72727272727275</v>
      </c>
      <c r="AZ429" s="3502">
        <f>SUM(AZ416:AZ427)</f>
        <v>0</v>
      </c>
      <c r="BA429" s="373">
        <f>AQ429+AU429+AY429</f>
        <v>818.18181818181824</v>
      </c>
      <c r="BB429" s="3504">
        <f>AR429+AV429+AZ429</f>
        <v>0</v>
      </c>
      <c r="BC429" s="539">
        <f>AM429+BA429</f>
        <v>1636.3636363636365</v>
      </c>
      <c r="BD429" s="539">
        <f>AN429+BB429</f>
        <v>0</v>
      </c>
      <c r="BE429" s="371">
        <f>+BE25</f>
        <v>3000.0000000000009</v>
      </c>
      <c r="BF429" s="3503">
        <f t="shared" ref="BF429" si="556">AX429+AZ429</f>
        <v>35.9</v>
      </c>
      <c r="BG429" s="26">
        <f t="shared" si="537"/>
        <v>0</v>
      </c>
      <c r="BH429" s="26">
        <f t="shared" si="538"/>
        <v>0</v>
      </c>
      <c r="BI429" s="26"/>
      <c r="BJ429" s="26">
        <f t="shared" si="539"/>
        <v>0</v>
      </c>
      <c r="BK429" s="26">
        <f t="shared" si="540"/>
        <v>0</v>
      </c>
    </row>
    <row r="430" spans="1:63" ht="20.25" customHeight="1" thickBot="1" x14ac:dyDescent="0.35">
      <c r="A430" s="151"/>
      <c r="B430" s="3516"/>
      <c r="C430" s="3516"/>
      <c r="D430" s="3516"/>
      <c r="E430" s="3516"/>
      <c r="F430" s="3516"/>
      <c r="G430" s="3516"/>
      <c r="H430" s="3516"/>
      <c r="I430" s="5694"/>
      <c r="J430" s="775">
        <f t="shared" si="524"/>
        <v>0</v>
      </c>
      <c r="K430" s="3516"/>
      <c r="L430" s="3516"/>
      <c r="M430" s="5706"/>
      <c r="N430" s="774">
        <f t="shared" si="525"/>
        <v>0</v>
      </c>
      <c r="O430" s="3516"/>
      <c r="P430" s="3516"/>
      <c r="Q430" s="5694"/>
      <c r="R430" s="775">
        <f t="shared" si="526"/>
        <v>0</v>
      </c>
      <c r="S430" s="3516"/>
      <c r="T430" s="3516"/>
      <c r="U430" s="5694"/>
      <c r="V430" s="775">
        <f t="shared" si="527"/>
        <v>0</v>
      </c>
      <c r="W430" s="3516"/>
      <c r="X430" s="3516"/>
      <c r="Y430" s="5706"/>
      <c r="Z430" s="774">
        <f t="shared" si="528"/>
        <v>0</v>
      </c>
      <c r="AA430" s="5748"/>
      <c r="AB430" s="460">
        <f t="shared" si="529"/>
        <v>0</v>
      </c>
      <c r="AC430" s="3516"/>
      <c r="AD430" s="3516"/>
      <c r="AE430" s="5694"/>
      <c r="AF430" s="775">
        <f t="shared" si="530"/>
        <v>0</v>
      </c>
      <c r="AG430" s="3516"/>
      <c r="AH430" s="3516"/>
      <c r="AI430" s="5694"/>
      <c r="AJ430" s="5694"/>
      <c r="AK430" s="3516"/>
      <c r="AL430" s="3516"/>
      <c r="AM430" s="5706"/>
      <c r="AN430" s="5706"/>
      <c r="AO430" s="5694"/>
      <c r="AP430" s="5694"/>
      <c r="AQ430" s="3516"/>
      <c r="AR430" s="3516"/>
      <c r="AS430" s="5694"/>
      <c r="AT430" s="5694"/>
      <c r="AU430" s="3516"/>
      <c r="AV430" s="3516"/>
      <c r="AW430" s="5694"/>
      <c r="AX430" s="5694"/>
      <c r="AY430" s="3516"/>
      <c r="AZ430" s="3516"/>
      <c r="BA430" s="5706"/>
      <c r="BB430" s="5706"/>
      <c r="BC430" s="5748"/>
      <c r="BD430" s="5748"/>
      <c r="BE430" s="5694"/>
      <c r="BF430" s="5694"/>
      <c r="BG430" s="26">
        <f t="shared" si="537"/>
        <v>0</v>
      </c>
      <c r="BH430" s="26">
        <f t="shared" si="538"/>
        <v>0</v>
      </c>
      <c r="BI430" s="26"/>
      <c r="BJ430" s="26">
        <f t="shared" si="539"/>
        <v>0</v>
      </c>
      <c r="BK430" s="26">
        <f t="shared" si="540"/>
        <v>0</v>
      </c>
    </row>
    <row r="431" spans="1:63" ht="20.25" customHeight="1" x14ac:dyDescent="0.3">
      <c r="A431" s="151"/>
      <c r="B431" s="3242" t="s">
        <v>539</v>
      </c>
      <c r="C431" s="5465"/>
      <c r="D431" s="5465"/>
      <c r="E431" s="5465"/>
      <c r="F431" s="5465"/>
      <c r="G431" s="5465"/>
      <c r="H431" s="5465"/>
      <c r="I431" s="5695"/>
      <c r="J431" s="4425">
        <f t="shared" si="524"/>
        <v>0</v>
      </c>
      <c r="K431" s="5465"/>
      <c r="L431" s="5465"/>
      <c r="M431" s="5707"/>
      <c r="N431" s="5306">
        <f t="shared" si="525"/>
        <v>0</v>
      </c>
      <c r="O431" s="5465"/>
      <c r="P431" s="5465"/>
      <c r="Q431" s="5695"/>
      <c r="R431" s="4425">
        <f t="shared" si="526"/>
        <v>0</v>
      </c>
      <c r="S431" s="5465"/>
      <c r="T431" s="5465"/>
      <c r="U431" s="5695"/>
      <c r="V431" s="4425">
        <f t="shared" si="527"/>
        <v>0</v>
      </c>
      <c r="W431" s="5465"/>
      <c r="X431" s="5465"/>
      <c r="Y431" s="5707"/>
      <c r="Z431" s="5306">
        <f t="shared" si="528"/>
        <v>0</v>
      </c>
      <c r="AA431" s="5749"/>
      <c r="AB431" s="5742">
        <f t="shared" si="529"/>
        <v>0</v>
      </c>
      <c r="AC431" s="5465"/>
      <c r="AD431" s="5465"/>
      <c r="AE431" s="5695"/>
      <c r="AF431" s="4425">
        <f t="shared" si="530"/>
        <v>0</v>
      </c>
      <c r="AG431" s="5465"/>
      <c r="AH431" s="5465"/>
      <c r="AI431" s="5695"/>
      <c r="AJ431" s="5695"/>
      <c r="AK431" s="5465"/>
      <c r="AL431" s="5465"/>
      <c r="AM431" s="5707"/>
      <c r="AN431" s="5707"/>
      <c r="AO431" s="5695"/>
      <c r="AP431" s="5695"/>
      <c r="AQ431" s="5465"/>
      <c r="AR431" s="5465"/>
      <c r="AS431" s="5695"/>
      <c r="AT431" s="5695"/>
      <c r="AU431" s="5465"/>
      <c r="AV431" s="5465"/>
      <c r="AW431" s="5695"/>
      <c r="AX431" s="5695"/>
      <c r="AY431" s="5465"/>
      <c r="AZ431" s="5465"/>
      <c r="BA431" s="5707"/>
      <c r="BB431" s="5707"/>
      <c r="BC431" s="5749"/>
      <c r="BD431" s="5758"/>
      <c r="BE431" s="5695"/>
      <c r="BF431" s="5695"/>
      <c r="BG431" s="26">
        <f t="shared" si="537"/>
        <v>0</v>
      </c>
      <c r="BH431" s="26">
        <f t="shared" si="538"/>
        <v>0</v>
      </c>
      <c r="BI431" s="26"/>
      <c r="BJ431" s="26">
        <f t="shared" si="539"/>
        <v>0</v>
      </c>
      <c r="BK431" s="26">
        <f t="shared" si="540"/>
        <v>0</v>
      </c>
    </row>
    <row r="432" spans="1:63" ht="20.25" customHeight="1" x14ac:dyDescent="0.3">
      <c r="A432" s="151"/>
      <c r="B432" s="5466"/>
      <c r="J432" s="5467"/>
      <c r="N432" s="5468"/>
      <c r="R432" s="5467"/>
      <c r="V432" s="5467"/>
      <c r="Z432" s="5468"/>
      <c r="AB432" s="5750"/>
      <c r="AF432" s="5467"/>
      <c r="BG432" s="26">
        <f t="shared" si="537"/>
        <v>0</v>
      </c>
      <c r="BH432" s="26">
        <f t="shared" si="538"/>
        <v>0</v>
      </c>
      <c r="BI432" s="26"/>
      <c r="BJ432" s="26">
        <f t="shared" si="539"/>
        <v>0</v>
      </c>
      <c r="BK432" s="26">
        <f t="shared" si="540"/>
        <v>0</v>
      </c>
    </row>
    <row r="433" spans="1:63" ht="20.25" customHeight="1" x14ac:dyDescent="0.3">
      <c r="A433" s="151"/>
      <c r="B433" s="5469" t="s">
        <v>2340</v>
      </c>
      <c r="C433" s="5470"/>
      <c r="D433" s="5470"/>
      <c r="E433" s="5470"/>
      <c r="F433" s="5470"/>
      <c r="G433" s="5470"/>
      <c r="H433" s="5470"/>
      <c r="I433" s="5696"/>
      <c r="J433" s="5460"/>
      <c r="K433" s="5470"/>
      <c r="L433" s="5470"/>
      <c r="M433" s="5708"/>
      <c r="N433" s="5461"/>
      <c r="O433" s="5470"/>
      <c r="P433" s="5470"/>
      <c r="Q433" s="5696"/>
      <c r="R433" s="5460"/>
      <c r="S433" s="5470"/>
      <c r="T433" s="5470"/>
      <c r="U433" s="5696"/>
      <c r="V433" s="5460"/>
      <c r="W433" s="5470"/>
      <c r="X433" s="5470"/>
      <c r="Y433" s="5708"/>
      <c r="Z433" s="5461"/>
      <c r="AA433" s="5751"/>
      <c r="AB433" s="5712"/>
      <c r="AC433" s="5470"/>
      <c r="AD433" s="5470"/>
      <c r="AE433" s="5696"/>
      <c r="AF433" s="5460"/>
      <c r="AG433" s="5470"/>
      <c r="AH433" s="5470"/>
      <c r="AI433" s="5696"/>
      <c r="AJ433" s="5696"/>
      <c r="AK433" s="5470"/>
      <c r="AL433" s="5470"/>
      <c r="AM433" s="5708"/>
      <c r="AN433" s="5708"/>
      <c r="AO433" s="5696"/>
      <c r="AP433" s="5696"/>
      <c r="AQ433" s="5470"/>
      <c r="AR433" s="5470"/>
      <c r="AS433" s="5696"/>
      <c r="AT433" s="5696"/>
      <c r="AU433" s="5470"/>
      <c r="AV433" s="5470"/>
      <c r="AW433" s="5696"/>
      <c r="AX433" s="5696"/>
      <c r="AY433" s="5470"/>
      <c r="AZ433" s="5470"/>
      <c r="BA433" s="5708"/>
      <c r="BB433" s="5708"/>
      <c r="BC433" s="5751"/>
      <c r="BD433" s="5751"/>
      <c r="BE433" s="5696"/>
      <c r="BF433" s="5696"/>
      <c r="BG433" s="26">
        <f t="shared" si="537"/>
        <v>0</v>
      </c>
      <c r="BH433" s="26">
        <f t="shared" si="538"/>
        <v>0</v>
      </c>
      <c r="BI433" s="26"/>
      <c r="BJ433" s="26">
        <f t="shared" si="539"/>
        <v>0</v>
      </c>
      <c r="BK433" s="26">
        <f t="shared" si="540"/>
        <v>0</v>
      </c>
    </row>
    <row r="434" spans="1:63" ht="20.25" customHeight="1" x14ac:dyDescent="0.3">
      <c r="A434" s="151"/>
      <c r="B434" s="5475" t="s">
        <v>2341</v>
      </c>
      <c r="C434" s="5462" t="s">
        <v>50</v>
      </c>
      <c r="D434" s="5470"/>
      <c r="E434" s="5470"/>
      <c r="F434" s="5470"/>
      <c r="G434" s="5470"/>
      <c r="H434" s="5470"/>
      <c r="I434" s="5696"/>
      <c r="J434" s="5460"/>
      <c r="K434" s="5470"/>
      <c r="L434" s="5470"/>
      <c r="M434" s="5708"/>
      <c r="N434" s="5461"/>
      <c r="O434" s="5470"/>
      <c r="P434" s="5470"/>
      <c r="Q434" s="5696"/>
      <c r="R434" s="5460"/>
      <c r="S434" s="5470"/>
      <c r="T434" s="5470"/>
      <c r="U434" s="5696"/>
      <c r="V434" s="5460"/>
      <c r="W434" s="5470"/>
      <c r="X434" s="5470"/>
      <c r="Y434" s="5708"/>
      <c r="Z434" s="5461"/>
      <c r="AA434" s="5751"/>
      <c r="AB434" s="5712"/>
      <c r="AC434" s="5470"/>
      <c r="AD434" s="5470"/>
      <c r="AE434" s="5696"/>
      <c r="AF434" s="5460"/>
      <c r="AG434" s="5470"/>
      <c r="AH434" s="5470"/>
      <c r="AI434" s="5696"/>
      <c r="AJ434" s="5696"/>
      <c r="AK434" s="5470"/>
      <c r="AL434" s="5470"/>
      <c r="AM434" s="5708"/>
      <c r="AN434" s="5708"/>
      <c r="AO434" s="5696"/>
      <c r="AP434" s="5696"/>
      <c r="AQ434" s="5470"/>
      <c r="AR434" s="5470"/>
      <c r="AS434" s="5696"/>
      <c r="AT434" s="5696"/>
      <c r="AU434" s="5470"/>
      <c r="AV434" s="5470"/>
      <c r="AW434" s="5696"/>
      <c r="AX434" s="5696"/>
      <c r="AY434" s="5470"/>
      <c r="AZ434" s="5463">
        <v>186.41</v>
      </c>
      <c r="BA434" s="5708"/>
      <c r="BB434" s="5464">
        <f t="shared" ref="BB434" si="557">AR434+AV434+AZ434</f>
        <v>186.41</v>
      </c>
      <c r="BC434" s="5751"/>
      <c r="BD434" s="5476">
        <f t="shared" ref="BD434" si="558">AN434+BB434</f>
        <v>186.41</v>
      </c>
      <c r="BE434" s="5696"/>
      <c r="BF434" s="5460">
        <f t="shared" ref="BF434" si="559">AX434+AZ434</f>
        <v>186.41</v>
      </c>
      <c r="BG434" s="26">
        <f t="shared" si="537"/>
        <v>0</v>
      </c>
      <c r="BH434" s="26">
        <f t="shared" si="538"/>
        <v>0</v>
      </c>
      <c r="BI434" s="26"/>
      <c r="BJ434" s="26">
        <f t="shared" si="539"/>
        <v>0</v>
      </c>
      <c r="BK434" s="26">
        <f t="shared" si="540"/>
        <v>0</v>
      </c>
    </row>
    <row r="435" spans="1:63" ht="20.25" customHeight="1" x14ac:dyDescent="0.3">
      <c r="A435" s="151"/>
      <c r="B435" s="5471"/>
      <c r="C435" s="199"/>
      <c r="J435" s="5467"/>
      <c r="N435" s="5468"/>
      <c r="R435" s="5467"/>
      <c r="V435" s="5467"/>
      <c r="Z435" s="5468"/>
      <c r="AB435" s="5750"/>
      <c r="AF435" s="5467"/>
      <c r="AZ435" s="5472"/>
      <c r="BB435" s="5473"/>
      <c r="BD435" s="5474"/>
      <c r="BF435" s="5467"/>
      <c r="BG435" s="26">
        <f t="shared" si="537"/>
        <v>0</v>
      </c>
      <c r="BH435" s="26">
        <f t="shared" si="538"/>
        <v>0</v>
      </c>
      <c r="BI435" s="26"/>
      <c r="BJ435" s="26">
        <f t="shared" si="539"/>
        <v>0</v>
      </c>
      <c r="BK435" s="26">
        <f t="shared" si="540"/>
        <v>0</v>
      </c>
    </row>
    <row r="436" spans="1:63" x14ac:dyDescent="0.3">
      <c r="A436" s="151"/>
      <c r="B436" s="5469" t="s">
        <v>1240</v>
      </c>
      <c r="C436" s="5470"/>
      <c r="D436" s="5470"/>
      <c r="E436" s="5470"/>
      <c r="F436" s="5470"/>
      <c r="G436" s="5470"/>
      <c r="H436" s="5470"/>
      <c r="I436" s="5696"/>
      <c r="J436" s="5460">
        <f t="shared" si="524"/>
        <v>0</v>
      </c>
      <c r="K436" s="5470"/>
      <c r="L436" s="5470"/>
      <c r="M436" s="5708"/>
      <c r="N436" s="5461">
        <f t="shared" si="525"/>
        <v>0</v>
      </c>
      <c r="O436" s="5470"/>
      <c r="P436" s="5470"/>
      <c r="Q436" s="5696"/>
      <c r="R436" s="5460">
        <f t="shared" si="526"/>
        <v>0</v>
      </c>
      <c r="S436" s="5470"/>
      <c r="T436" s="5470"/>
      <c r="U436" s="5696"/>
      <c r="V436" s="5460">
        <f t="shared" si="527"/>
        <v>0</v>
      </c>
      <c r="W436" s="5470"/>
      <c r="X436" s="5470"/>
      <c r="Y436" s="5708"/>
      <c r="Z436" s="5461">
        <f t="shared" si="528"/>
        <v>0</v>
      </c>
      <c r="AA436" s="5751"/>
      <c r="AB436" s="5712">
        <f t="shared" si="529"/>
        <v>0</v>
      </c>
      <c r="AC436" s="5470"/>
      <c r="AD436" s="5470"/>
      <c r="AE436" s="5696"/>
      <c r="AF436" s="5460">
        <f t="shared" si="530"/>
        <v>0</v>
      </c>
      <c r="AG436" s="5470"/>
      <c r="AH436" s="5470"/>
      <c r="AI436" s="5696"/>
      <c r="AJ436" s="5696"/>
      <c r="AK436" s="5470"/>
      <c r="AL436" s="5470"/>
      <c r="AM436" s="5708"/>
      <c r="AN436" s="5708"/>
      <c r="AO436" s="5696"/>
      <c r="AP436" s="5696"/>
      <c r="AQ436" s="5470"/>
      <c r="AR436" s="5470"/>
      <c r="AS436" s="5696"/>
      <c r="AT436" s="5696"/>
      <c r="AU436" s="5470"/>
      <c r="AV436" s="5470"/>
      <c r="AW436" s="5696"/>
      <c r="AX436" s="5696"/>
      <c r="AY436" s="5470"/>
      <c r="AZ436" s="5470"/>
      <c r="BA436" s="5708"/>
      <c r="BB436" s="5708"/>
      <c r="BC436" s="5751"/>
      <c r="BD436" s="5751"/>
      <c r="BE436" s="5696"/>
      <c r="BF436" s="5696"/>
      <c r="BG436" s="26">
        <f t="shared" si="537"/>
        <v>0</v>
      </c>
      <c r="BH436" s="26">
        <f t="shared" si="538"/>
        <v>0</v>
      </c>
      <c r="BI436" s="26"/>
      <c r="BJ436" s="26">
        <f t="shared" si="539"/>
        <v>0</v>
      </c>
      <c r="BK436" s="26">
        <f t="shared" si="540"/>
        <v>0</v>
      </c>
    </row>
    <row r="437" spans="1:63" x14ac:dyDescent="0.3">
      <c r="A437" s="151"/>
      <c r="B437" s="736" t="s">
        <v>120</v>
      </c>
      <c r="C437" s="181"/>
      <c r="D437" s="181"/>
      <c r="E437" s="181"/>
      <c r="F437" s="181"/>
      <c r="G437" s="181"/>
      <c r="H437" s="181"/>
      <c r="I437" s="611"/>
      <c r="J437" s="775">
        <f t="shared" si="524"/>
        <v>0</v>
      </c>
      <c r="K437" s="181"/>
      <c r="L437" s="181"/>
      <c r="M437" s="612"/>
      <c r="N437" s="774">
        <f t="shared" si="525"/>
        <v>0</v>
      </c>
      <c r="O437" s="181"/>
      <c r="P437" s="181"/>
      <c r="Q437" s="611"/>
      <c r="R437" s="775">
        <f t="shared" si="526"/>
        <v>0</v>
      </c>
      <c r="S437" s="181"/>
      <c r="T437" s="181"/>
      <c r="U437" s="611"/>
      <c r="V437" s="775">
        <f t="shared" si="527"/>
        <v>0</v>
      </c>
      <c r="W437" s="181"/>
      <c r="X437" s="181"/>
      <c r="Y437" s="612"/>
      <c r="Z437" s="774">
        <f t="shared" si="528"/>
        <v>0</v>
      </c>
      <c r="AA437" s="5710"/>
      <c r="AB437" s="460">
        <f t="shared" si="529"/>
        <v>0</v>
      </c>
      <c r="AC437" s="181"/>
      <c r="AD437" s="181"/>
      <c r="AE437" s="611"/>
      <c r="AF437" s="775">
        <f t="shared" si="530"/>
        <v>0</v>
      </c>
      <c r="AG437" s="181"/>
      <c r="AH437" s="181"/>
      <c r="AI437" s="611"/>
      <c r="AJ437" s="611"/>
      <c r="AK437" s="181"/>
      <c r="AL437" s="181"/>
      <c r="AM437" s="612"/>
      <c r="AN437" s="612"/>
      <c r="AO437" s="611"/>
      <c r="AP437" s="611"/>
      <c r="AQ437" s="181"/>
      <c r="AR437" s="181"/>
      <c r="AS437" s="611"/>
      <c r="AT437" s="611"/>
      <c r="AU437" s="181"/>
      <c r="AV437" s="181"/>
      <c r="AW437" s="611"/>
      <c r="AX437" s="611"/>
      <c r="AY437" s="181"/>
      <c r="AZ437" s="181"/>
      <c r="BA437" s="612"/>
      <c r="BB437" s="612"/>
      <c r="BC437" s="5710"/>
      <c r="BD437" s="5759"/>
      <c r="BE437" s="611"/>
      <c r="BF437" s="611"/>
      <c r="BG437" s="26">
        <f t="shared" si="537"/>
        <v>0</v>
      </c>
      <c r="BH437" s="26">
        <f t="shared" si="538"/>
        <v>0</v>
      </c>
      <c r="BI437" s="26"/>
      <c r="BJ437" s="26">
        <f t="shared" si="539"/>
        <v>0</v>
      </c>
      <c r="BK437" s="26">
        <f t="shared" si="540"/>
        <v>0</v>
      </c>
    </row>
    <row r="438" spans="1:63" x14ac:dyDescent="0.3">
      <c r="A438" s="92"/>
      <c r="B438" s="3230" t="s">
        <v>659</v>
      </c>
      <c r="C438" s="156" t="s">
        <v>50</v>
      </c>
      <c r="D438" s="156"/>
      <c r="E438" s="6041"/>
      <c r="F438" s="1118"/>
      <c r="G438" s="6041"/>
      <c r="H438" s="1118"/>
      <c r="I438" s="6096"/>
      <c r="J438" s="775">
        <f t="shared" ref="J438:J503" si="560">F438+H438</f>
        <v>0</v>
      </c>
      <c r="K438" s="6041"/>
      <c r="L438" s="1118"/>
      <c r="M438" s="6070"/>
      <c r="N438" s="774">
        <f t="shared" ref="N438:N503" si="561">J438+L438</f>
        <v>0</v>
      </c>
      <c r="O438" s="6041"/>
      <c r="P438" s="1118"/>
      <c r="Q438" s="6096"/>
      <c r="R438" s="775">
        <f t="shared" ref="R438:R503" si="562">N438+P438</f>
        <v>0</v>
      </c>
      <c r="S438" s="6041"/>
      <c r="T438" s="1118"/>
      <c r="U438" s="6096"/>
      <c r="V438" s="775">
        <f t="shared" ref="V438:V503" si="563">R438+T438</f>
        <v>0</v>
      </c>
      <c r="W438" s="6041"/>
      <c r="X438" s="1118"/>
      <c r="Y438" s="6070"/>
      <c r="Z438" s="774">
        <f t="shared" ref="Z438:Z503" si="564">P438+T438+X438</f>
        <v>0</v>
      </c>
      <c r="AA438" s="6077"/>
      <c r="AB438" s="460">
        <f t="shared" ref="AB438:AB503" si="565">N438+Z438</f>
        <v>0</v>
      </c>
      <c r="AC438" s="6041"/>
      <c r="AD438" s="1118"/>
      <c r="AE438" s="6096"/>
      <c r="AF438" s="775">
        <f t="shared" ref="AF438:AF503" si="566">AB438+AD438</f>
        <v>0</v>
      </c>
      <c r="AG438" s="6041"/>
      <c r="AH438" s="1118"/>
      <c r="AI438" s="3517"/>
      <c r="AJ438" s="775">
        <f t="shared" ref="AJ438:AJ468" si="567">AF438+AH438</f>
        <v>0</v>
      </c>
      <c r="AK438" s="6041"/>
      <c r="AL438" s="1118"/>
      <c r="AM438" s="6070"/>
      <c r="AN438" s="373">
        <f t="shared" ref="AN438:AN491" si="568">AD438+AH438+AL438</f>
        <v>0</v>
      </c>
      <c r="AO438" s="6096"/>
      <c r="AP438" s="775">
        <f t="shared" ref="AO438:AP491" si="569">AJ438+AL438</f>
        <v>0</v>
      </c>
      <c r="AQ438" s="6041"/>
      <c r="AR438" s="1118"/>
      <c r="AS438" s="3517"/>
      <c r="AT438" s="775">
        <f t="shared" ref="AT438:AT470" si="570">AP438+AR438</f>
        <v>0</v>
      </c>
      <c r="AU438" s="6041"/>
      <c r="AV438" s="1118"/>
      <c r="AW438" s="3517"/>
      <c r="AX438" s="775">
        <f t="shared" ref="AX438:AX470" si="571">AT438+AV438</f>
        <v>0</v>
      </c>
      <c r="AY438" s="6041"/>
      <c r="AZ438" s="1118"/>
      <c r="BA438" s="6070"/>
      <c r="BB438" s="373">
        <f t="shared" ref="BB438:BB469" si="572">AR438+AV438+AZ438</f>
        <v>0</v>
      </c>
      <c r="BC438" s="6077"/>
      <c r="BD438" s="539">
        <f t="shared" ref="BD438:BD491" si="573">AN438+BB438</f>
        <v>0</v>
      </c>
      <c r="BE438" s="3517"/>
      <c r="BF438" s="775">
        <f t="shared" ref="BF438:BF468" si="574">AX438+AZ438</f>
        <v>0</v>
      </c>
      <c r="BG438" s="26">
        <f t="shared" si="537"/>
        <v>0</v>
      </c>
      <c r="BH438" s="26">
        <f t="shared" si="538"/>
        <v>0</v>
      </c>
      <c r="BI438" s="26"/>
      <c r="BJ438" s="26">
        <f t="shared" si="539"/>
        <v>0</v>
      </c>
      <c r="BK438" s="26">
        <f t="shared" si="540"/>
        <v>0</v>
      </c>
    </row>
    <row r="439" spans="1:63" x14ac:dyDescent="0.3">
      <c r="A439" s="92"/>
      <c r="B439" s="3518" t="s">
        <v>712</v>
      </c>
      <c r="C439" s="156" t="s">
        <v>50</v>
      </c>
      <c r="D439" s="156"/>
      <c r="E439" s="6041"/>
      <c r="F439" s="452">
        <v>4343.1200000000008</v>
      </c>
      <c r="G439" s="6041"/>
      <c r="H439" s="452">
        <v>2814.6399999999994</v>
      </c>
      <c r="I439" s="6096"/>
      <c r="J439" s="775">
        <f t="shared" si="560"/>
        <v>7157.76</v>
      </c>
      <c r="K439" s="6041"/>
      <c r="L439" s="452"/>
      <c r="M439" s="6070"/>
      <c r="N439" s="774">
        <f t="shared" si="561"/>
        <v>7157.76</v>
      </c>
      <c r="O439" s="6041"/>
      <c r="P439" s="452"/>
      <c r="Q439" s="6096"/>
      <c r="R439" s="775">
        <f t="shared" si="562"/>
        <v>7157.76</v>
      </c>
      <c r="S439" s="6041"/>
      <c r="T439" s="452"/>
      <c r="U439" s="6096"/>
      <c r="V439" s="775">
        <f t="shared" si="563"/>
        <v>7157.76</v>
      </c>
      <c r="W439" s="6041"/>
      <c r="X439" s="452"/>
      <c r="Y439" s="6070"/>
      <c r="Z439" s="774">
        <f t="shared" si="564"/>
        <v>0</v>
      </c>
      <c r="AA439" s="6077"/>
      <c r="AB439" s="460">
        <f t="shared" si="565"/>
        <v>7157.76</v>
      </c>
      <c r="AC439" s="6041"/>
      <c r="AD439" s="452">
        <v>2836.7</v>
      </c>
      <c r="AE439" s="6096"/>
      <c r="AF439" s="775">
        <f t="shared" si="566"/>
        <v>9994.4599999999991</v>
      </c>
      <c r="AG439" s="6041"/>
      <c r="AH439" s="452">
        <v>2824.64</v>
      </c>
      <c r="AI439" s="3517"/>
      <c r="AJ439" s="775">
        <f t="shared" si="567"/>
        <v>12819.099999999999</v>
      </c>
      <c r="AK439" s="6041"/>
      <c r="AL439" s="452">
        <v>2463.92</v>
      </c>
      <c r="AM439" s="6070"/>
      <c r="AN439" s="373">
        <f t="shared" si="568"/>
        <v>8125.26</v>
      </c>
      <c r="AO439" s="6096"/>
      <c r="AP439" s="775">
        <f t="shared" si="569"/>
        <v>15283.019999999999</v>
      </c>
      <c r="AQ439" s="6041"/>
      <c r="AR439" s="452">
        <v>2842.54</v>
      </c>
      <c r="AS439" s="3517"/>
      <c r="AT439" s="775">
        <f t="shared" si="570"/>
        <v>18125.559999999998</v>
      </c>
      <c r="AU439" s="6041"/>
      <c r="AV439" s="452"/>
      <c r="AW439" s="3517"/>
      <c r="AX439" s="775">
        <f t="shared" si="571"/>
        <v>18125.559999999998</v>
      </c>
      <c r="AY439" s="6041"/>
      <c r="AZ439" s="452">
        <v>1167.56</v>
      </c>
      <c r="BA439" s="6070"/>
      <c r="BB439" s="373">
        <f t="shared" si="572"/>
        <v>4010.1</v>
      </c>
      <c r="BC439" s="6077"/>
      <c r="BD439" s="539">
        <f t="shared" si="573"/>
        <v>12135.36</v>
      </c>
      <c r="BE439" s="3517"/>
      <c r="BF439" s="775">
        <f t="shared" si="574"/>
        <v>19293.12</v>
      </c>
      <c r="BG439" s="26">
        <f t="shared" si="537"/>
        <v>0</v>
      </c>
      <c r="BH439" s="26">
        <f t="shared" si="538"/>
        <v>0</v>
      </c>
      <c r="BI439" s="26"/>
      <c r="BJ439" s="26">
        <f t="shared" si="539"/>
        <v>0</v>
      </c>
      <c r="BK439" s="26">
        <f t="shared" si="540"/>
        <v>0</v>
      </c>
    </row>
    <row r="440" spans="1:63" x14ac:dyDescent="0.3">
      <c r="A440" s="151"/>
      <c r="B440" s="3519"/>
      <c r="C440" s="202" t="s">
        <v>50</v>
      </c>
      <c r="D440" s="202"/>
      <c r="E440" s="6041"/>
      <c r="F440" s="1118">
        <f>+F46</f>
        <v>0</v>
      </c>
      <c r="G440" s="6041"/>
      <c r="H440" s="1118">
        <f>+H46</f>
        <v>0</v>
      </c>
      <c r="I440" s="6096"/>
      <c r="J440" s="775">
        <f t="shared" si="560"/>
        <v>0</v>
      </c>
      <c r="K440" s="6041"/>
      <c r="L440" s="1118">
        <f>+L46</f>
        <v>3983.52</v>
      </c>
      <c r="M440" s="6070"/>
      <c r="N440" s="774">
        <f t="shared" si="561"/>
        <v>3983.52</v>
      </c>
      <c r="O440" s="6041"/>
      <c r="P440" s="1118">
        <f>+P46</f>
        <v>1960.88</v>
      </c>
      <c r="Q440" s="6096"/>
      <c r="R440" s="775">
        <f t="shared" si="562"/>
        <v>5944.4</v>
      </c>
      <c r="S440" s="6041"/>
      <c r="T440" s="1118">
        <f>+T46</f>
        <v>0</v>
      </c>
      <c r="U440" s="6096"/>
      <c r="V440" s="775">
        <f t="shared" si="563"/>
        <v>5944.4</v>
      </c>
      <c r="W440" s="6041"/>
      <c r="X440" s="1118">
        <f>+X46</f>
        <v>0</v>
      </c>
      <c r="Y440" s="6070"/>
      <c r="Z440" s="774">
        <f t="shared" si="564"/>
        <v>1960.88</v>
      </c>
      <c r="AA440" s="6077"/>
      <c r="AB440" s="460">
        <f t="shared" si="565"/>
        <v>5944.4</v>
      </c>
      <c r="AC440" s="6041"/>
      <c r="AD440" s="1118">
        <f>+AD46</f>
        <v>2616.08</v>
      </c>
      <c r="AE440" s="6096"/>
      <c r="AF440" s="775">
        <f t="shared" si="566"/>
        <v>8560.48</v>
      </c>
      <c r="AG440" s="6041"/>
      <c r="AH440" s="1118">
        <f>+AH46</f>
        <v>0</v>
      </c>
      <c r="AI440" s="3517"/>
      <c r="AJ440" s="775">
        <f t="shared" si="567"/>
        <v>8560.48</v>
      </c>
      <c r="AK440" s="6041"/>
      <c r="AL440" s="1118">
        <f>+AL46</f>
        <v>0</v>
      </c>
      <c r="AM440" s="6070"/>
      <c r="AN440" s="373">
        <f t="shared" si="568"/>
        <v>2616.08</v>
      </c>
      <c r="AO440" s="6096"/>
      <c r="AP440" s="775">
        <f t="shared" si="569"/>
        <v>8560.48</v>
      </c>
      <c r="AQ440" s="6041"/>
      <c r="AR440" s="1118">
        <f>+AR46</f>
        <v>0</v>
      </c>
      <c r="AS440" s="3517"/>
      <c r="AT440" s="775">
        <f t="shared" si="570"/>
        <v>8560.48</v>
      </c>
      <c r="AU440" s="6041"/>
      <c r="AV440" s="1118">
        <f>+AV46</f>
        <v>0</v>
      </c>
      <c r="AW440" s="3517"/>
      <c r="AX440" s="775">
        <f t="shared" si="571"/>
        <v>8560.48</v>
      </c>
      <c r="AY440" s="6041"/>
      <c r="AZ440" s="1118">
        <f>+AZ46</f>
        <v>0</v>
      </c>
      <c r="BA440" s="6070"/>
      <c r="BB440" s="373">
        <f t="shared" si="572"/>
        <v>0</v>
      </c>
      <c r="BC440" s="6077"/>
      <c r="BD440" s="539">
        <f t="shared" si="573"/>
        <v>2616.08</v>
      </c>
      <c r="BE440" s="3517"/>
      <c r="BF440" s="775">
        <f t="shared" si="574"/>
        <v>8560.48</v>
      </c>
      <c r="BG440" s="26">
        <f t="shared" si="537"/>
        <v>0</v>
      </c>
      <c r="BH440" s="26">
        <f t="shared" si="538"/>
        <v>0</v>
      </c>
      <c r="BI440" s="26"/>
      <c r="BJ440" s="26">
        <f t="shared" si="539"/>
        <v>0</v>
      </c>
      <c r="BK440" s="26">
        <f t="shared" si="540"/>
        <v>0</v>
      </c>
    </row>
    <row r="441" spans="1:63" ht="41.4" x14ac:dyDescent="0.3">
      <c r="A441" s="92"/>
      <c r="B441" s="3520" t="s">
        <v>1658</v>
      </c>
      <c r="C441" s="202" t="s">
        <v>50</v>
      </c>
      <c r="D441" s="202"/>
      <c r="E441" s="6041"/>
      <c r="F441" s="1118">
        <f>+F47</f>
        <v>1095.8900000000001</v>
      </c>
      <c r="G441" s="6041"/>
      <c r="H441" s="1118">
        <f>+H47</f>
        <v>1764.7700000000004</v>
      </c>
      <c r="I441" s="6096"/>
      <c r="J441" s="775">
        <f t="shared" si="560"/>
        <v>2860.6600000000008</v>
      </c>
      <c r="K441" s="6041"/>
      <c r="L441" s="1118">
        <f>+L47</f>
        <v>1754.69</v>
      </c>
      <c r="M441" s="6070"/>
      <c r="N441" s="774">
        <f t="shared" si="561"/>
        <v>4615.3500000000004</v>
      </c>
      <c r="O441" s="6041"/>
      <c r="P441" s="1118">
        <f>+P47</f>
        <v>1441.38</v>
      </c>
      <c r="Q441" s="6096"/>
      <c r="R441" s="775">
        <f t="shared" si="562"/>
        <v>6056.7300000000005</v>
      </c>
      <c r="S441" s="6041"/>
      <c r="T441" s="1118">
        <f>+T47</f>
        <v>3769.97</v>
      </c>
      <c r="U441" s="6096"/>
      <c r="V441" s="775">
        <f t="shared" si="563"/>
        <v>9826.7000000000007</v>
      </c>
      <c r="W441" s="6041"/>
      <c r="X441" s="1118">
        <f>+X47</f>
        <v>3271.59</v>
      </c>
      <c r="Y441" s="6070"/>
      <c r="Z441" s="774">
        <f t="shared" si="564"/>
        <v>8482.94</v>
      </c>
      <c r="AA441" s="6077"/>
      <c r="AB441" s="460">
        <f t="shared" si="565"/>
        <v>13098.29</v>
      </c>
      <c r="AC441" s="6041"/>
      <c r="AD441" s="1118">
        <f>+AD47</f>
        <v>601.74</v>
      </c>
      <c r="AE441" s="6096"/>
      <c r="AF441" s="775">
        <f t="shared" si="566"/>
        <v>13700.03</v>
      </c>
      <c r="AG441" s="6041"/>
      <c r="AH441" s="1118">
        <f>+AH47</f>
        <v>0</v>
      </c>
      <c r="AI441" s="3517"/>
      <c r="AJ441" s="775">
        <f t="shared" si="567"/>
        <v>13700.03</v>
      </c>
      <c r="AK441" s="6041"/>
      <c r="AL441" s="1118">
        <f>+AL47</f>
        <v>2256.63</v>
      </c>
      <c r="AM441" s="6070"/>
      <c r="AN441" s="373">
        <f t="shared" si="568"/>
        <v>2858.37</v>
      </c>
      <c r="AO441" s="6096"/>
      <c r="AP441" s="775">
        <f t="shared" si="569"/>
        <v>15956.66</v>
      </c>
      <c r="AQ441" s="6041"/>
      <c r="AR441" s="1118">
        <f>+AR47</f>
        <v>4277.21</v>
      </c>
      <c r="AS441" s="3517"/>
      <c r="AT441" s="775">
        <f t="shared" si="570"/>
        <v>20233.87</v>
      </c>
      <c r="AU441" s="6041"/>
      <c r="AV441" s="1118">
        <f>+AV47</f>
        <v>3140.78</v>
      </c>
      <c r="AW441" s="3517"/>
      <c r="AX441" s="775">
        <f t="shared" si="571"/>
        <v>23374.649999999998</v>
      </c>
      <c r="AY441" s="6041"/>
      <c r="AZ441" s="1118">
        <f>+AZ47</f>
        <v>1971.02</v>
      </c>
      <c r="BA441" s="6070"/>
      <c r="BB441" s="373">
        <f t="shared" si="572"/>
        <v>9389.01</v>
      </c>
      <c r="BC441" s="6077"/>
      <c r="BD441" s="539">
        <f t="shared" si="573"/>
        <v>12247.380000000001</v>
      </c>
      <c r="BE441" s="3517"/>
      <c r="BF441" s="775">
        <f t="shared" si="574"/>
        <v>25345.67</v>
      </c>
      <c r="BG441" s="26">
        <f t="shared" si="537"/>
        <v>0</v>
      </c>
      <c r="BH441" s="26">
        <f t="shared" si="538"/>
        <v>0</v>
      </c>
      <c r="BI441" s="26"/>
      <c r="BJ441" s="26">
        <f t="shared" si="539"/>
        <v>0</v>
      </c>
      <c r="BK441" s="26">
        <f t="shared" si="540"/>
        <v>0</v>
      </c>
    </row>
    <row r="442" spans="1:63" x14ac:dyDescent="0.3">
      <c r="A442" s="92"/>
      <c r="B442" s="3306" t="s">
        <v>601</v>
      </c>
      <c r="C442" s="202"/>
      <c r="D442" s="202"/>
      <c r="E442" s="6041"/>
      <c r="F442" s="1118"/>
      <c r="G442" s="6041"/>
      <c r="H442" s="1118"/>
      <c r="I442" s="6096"/>
      <c r="J442" s="775">
        <f t="shared" si="560"/>
        <v>0</v>
      </c>
      <c r="K442" s="6041"/>
      <c r="L442" s="1118"/>
      <c r="M442" s="6070"/>
      <c r="N442" s="774">
        <f t="shared" si="561"/>
        <v>0</v>
      </c>
      <c r="O442" s="6041"/>
      <c r="P442" s="1118"/>
      <c r="Q442" s="6096"/>
      <c r="R442" s="775">
        <f t="shared" si="562"/>
        <v>0</v>
      </c>
      <c r="S442" s="6041"/>
      <c r="T442" s="1118"/>
      <c r="U442" s="6096"/>
      <c r="V442" s="775">
        <f t="shared" si="563"/>
        <v>0</v>
      </c>
      <c r="W442" s="6041"/>
      <c r="X442" s="1118"/>
      <c r="Y442" s="6070"/>
      <c r="Z442" s="774">
        <f t="shared" si="564"/>
        <v>0</v>
      </c>
      <c r="AA442" s="6077"/>
      <c r="AB442" s="460">
        <f t="shared" si="565"/>
        <v>0</v>
      </c>
      <c r="AC442" s="6041"/>
      <c r="AD442" s="1118"/>
      <c r="AE442" s="6096"/>
      <c r="AF442" s="775">
        <f t="shared" si="566"/>
        <v>0</v>
      </c>
      <c r="AG442" s="6041"/>
      <c r="AH442" s="1118"/>
      <c r="AI442" s="3517"/>
      <c r="AJ442" s="775">
        <f t="shared" si="567"/>
        <v>0</v>
      </c>
      <c r="AK442" s="6041"/>
      <c r="AL442" s="1118"/>
      <c r="AM442" s="6070"/>
      <c r="AN442" s="373">
        <f t="shared" si="568"/>
        <v>0</v>
      </c>
      <c r="AO442" s="6096"/>
      <c r="AP442" s="775">
        <f t="shared" si="569"/>
        <v>0</v>
      </c>
      <c r="AQ442" s="6041"/>
      <c r="AR442" s="1118"/>
      <c r="AS442" s="3517"/>
      <c r="AT442" s="775">
        <f t="shared" si="570"/>
        <v>0</v>
      </c>
      <c r="AU442" s="6041"/>
      <c r="AV442" s="1118"/>
      <c r="AW442" s="3517"/>
      <c r="AX442" s="775">
        <f t="shared" si="571"/>
        <v>0</v>
      </c>
      <c r="AY442" s="6041"/>
      <c r="AZ442" s="1118"/>
      <c r="BA442" s="6070"/>
      <c r="BB442" s="373">
        <f t="shared" si="572"/>
        <v>0</v>
      </c>
      <c r="BC442" s="6077"/>
      <c r="BD442" s="539">
        <f t="shared" si="573"/>
        <v>0</v>
      </c>
      <c r="BE442" s="3517"/>
      <c r="BF442" s="775">
        <f t="shared" si="574"/>
        <v>0</v>
      </c>
      <c r="BG442" s="26">
        <f t="shared" si="537"/>
        <v>0</v>
      </c>
      <c r="BH442" s="26">
        <f t="shared" si="538"/>
        <v>0</v>
      </c>
      <c r="BI442" s="26"/>
      <c r="BJ442" s="26">
        <f t="shared" si="539"/>
        <v>0</v>
      </c>
      <c r="BK442" s="26">
        <f t="shared" si="540"/>
        <v>0</v>
      </c>
    </row>
    <row r="443" spans="1:63" x14ac:dyDescent="0.3">
      <c r="A443" s="92"/>
      <c r="B443" s="8" t="s">
        <v>1931</v>
      </c>
      <c r="C443" s="156" t="s">
        <v>50</v>
      </c>
      <c r="D443" s="156"/>
      <c r="E443" s="6041"/>
      <c r="F443" s="1118"/>
      <c r="G443" s="6041"/>
      <c r="H443" s="1118"/>
      <c r="I443" s="6096"/>
      <c r="J443" s="775">
        <f t="shared" si="560"/>
        <v>0</v>
      </c>
      <c r="K443" s="6041"/>
      <c r="L443" s="1118"/>
      <c r="M443" s="6070"/>
      <c r="N443" s="774">
        <f t="shared" si="561"/>
        <v>0</v>
      </c>
      <c r="O443" s="6041"/>
      <c r="P443" s="1118"/>
      <c r="Q443" s="6096"/>
      <c r="R443" s="775">
        <f t="shared" si="562"/>
        <v>0</v>
      </c>
      <c r="S443" s="6041"/>
      <c r="T443" s="1118"/>
      <c r="U443" s="6096"/>
      <c r="V443" s="775">
        <f t="shared" si="563"/>
        <v>0</v>
      </c>
      <c r="W443" s="6041"/>
      <c r="X443" s="1118"/>
      <c r="Y443" s="6070"/>
      <c r="Z443" s="774">
        <f t="shared" si="564"/>
        <v>0</v>
      </c>
      <c r="AA443" s="6077"/>
      <c r="AB443" s="460">
        <f t="shared" si="565"/>
        <v>0</v>
      </c>
      <c r="AC443" s="6041"/>
      <c r="AD443" s="1118">
        <v>332.4</v>
      </c>
      <c r="AE443" s="6096"/>
      <c r="AF443" s="775">
        <f t="shared" si="566"/>
        <v>332.4</v>
      </c>
      <c r="AG443" s="6041"/>
      <c r="AH443" s="1118">
        <v>196.36</v>
      </c>
      <c r="AI443" s="3521"/>
      <c r="AJ443" s="775">
        <f t="shared" si="567"/>
        <v>528.76</v>
      </c>
      <c r="AK443" s="6041"/>
      <c r="AL443" s="1118">
        <v>40.14</v>
      </c>
      <c r="AM443" s="6070"/>
      <c r="AN443" s="373">
        <f t="shared" si="568"/>
        <v>568.9</v>
      </c>
      <c r="AO443" s="6096"/>
      <c r="AP443" s="775">
        <f t="shared" si="569"/>
        <v>568.9</v>
      </c>
      <c r="AQ443" s="6041"/>
      <c r="AR443" s="1118"/>
      <c r="AS443" s="3521"/>
      <c r="AT443" s="775">
        <f t="shared" si="570"/>
        <v>568.9</v>
      </c>
      <c r="AU443" s="6041"/>
      <c r="AV443" s="1118">
        <v>1098.48</v>
      </c>
      <c r="AW443" s="3521"/>
      <c r="AX443" s="775">
        <f t="shared" si="571"/>
        <v>1667.38</v>
      </c>
      <c r="AY443" s="6041"/>
      <c r="AZ443" s="1118"/>
      <c r="BA443" s="6070"/>
      <c r="BB443" s="373">
        <f t="shared" si="572"/>
        <v>1098.48</v>
      </c>
      <c r="BC443" s="6077"/>
      <c r="BD443" s="539">
        <f t="shared" si="573"/>
        <v>1667.38</v>
      </c>
      <c r="BE443" s="3521"/>
      <c r="BF443" s="775">
        <f t="shared" si="574"/>
        <v>1667.38</v>
      </c>
      <c r="BG443" s="26">
        <f t="shared" si="537"/>
        <v>0</v>
      </c>
      <c r="BH443" s="26">
        <f t="shared" si="538"/>
        <v>0</v>
      </c>
      <c r="BI443" s="26"/>
      <c r="BJ443" s="26">
        <f t="shared" si="539"/>
        <v>0</v>
      </c>
      <c r="BK443" s="26">
        <f t="shared" si="540"/>
        <v>0</v>
      </c>
    </row>
    <row r="444" spans="1:63" x14ac:dyDescent="0.3">
      <c r="A444" s="92"/>
      <c r="B444" s="8" t="s">
        <v>1932</v>
      </c>
      <c r="C444" s="156" t="s">
        <v>50</v>
      </c>
      <c r="D444" s="156"/>
      <c r="E444" s="6041"/>
      <c r="F444" s="1118">
        <v>2365.9</v>
      </c>
      <c r="G444" s="6041"/>
      <c r="H444" s="1118">
        <v>3992.5400000000018</v>
      </c>
      <c r="I444" s="6096"/>
      <c r="J444" s="775">
        <f t="shared" si="560"/>
        <v>6358.4400000000023</v>
      </c>
      <c r="K444" s="6041"/>
      <c r="L444" s="1118">
        <v>5621.8200000000006</v>
      </c>
      <c r="M444" s="6070"/>
      <c r="N444" s="774">
        <f t="shared" si="561"/>
        <v>11980.260000000002</v>
      </c>
      <c r="O444" s="6041"/>
      <c r="P444" s="1118">
        <v>8351.4900000000034</v>
      </c>
      <c r="Q444" s="6096"/>
      <c r="R444" s="775">
        <f t="shared" si="562"/>
        <v>20331.750000000007</v>
      </c>
      <c r="S444" s="6041"/>
      <c r="T444" s="1118">
        <v>6319.6600000000008</v>
      </c>
      <c r="U444" s="6096"/>
      <c r="V444" s="775">
        <f t="shared" si="563"/>
        <v>26651.410000000007</v>
      </c>
      <c r="W444" s="6041"/>
      <c r="X444" s="1118">
        <v>6934.8799999999992</v>
      </c>
      <c r="Y444" s="6070"/>
      <c r="Z444" s="774">
        <f t="shared" si="564"/>
        <v>21606.030000000006</v>
      </c>
      <c r="AA444" s="6077"/>
      <c r="AB444" s="460">
        <f t="shared" si="565"/>
        <v>33586.290000000008</v>
      </c>
      <c r="AC444" s="6041"/>
      <c r="AD444" s="1118">
        <v>2103.2199999999998</v>
      </c>
      <c r="AE444" s="6096"/>
      <c r="AF444" s="775">
        <f t="shared" si="566"/>
        <v>35689.510000000009</v>
      </c>
      <c r="AG444" s="6041"/>
      <c r="AH444" s="1118">
        <v>3321.9999999999995</v>
      </c>
      <c r="AI444" s="3521"/>
      <c r="AJ444" s="775">
        <f t="shared" si="567"/>
        <v>39011.510000000009</v>
      </c>
      <c r="AK444" s="6041"/>
      <c r="AL444" s="1118">
        <v>2821.72</v>
      </c>
      <c r="AM444" s="6070"/>
      <c r="AN444" s="373">
        <f t="shared" si="568"/>
        <v>8246.9399999999987</v>
      </c>
      <c r="AO444" s="6096"/>
      <c r="AP444" s="775">
        <f t="shared" si="569"/>
        <v>41833.23000000001</v>
      </c>
      <c r="AQ444" s="6041"/>
      <c r="AR444" s="1118">
        <v>582.81999999999994</v>
      </c>
      <c r="AS444" s="3521"/>
      <c r="AT444" s="775">
        <f t="shared" si="570"/>
        <v>42416.05000000001</v>
      </c>
      <c r="AU444" s="6041"/>
      <c r="AV444" s="1118">
        <v>65.36</v>
      </c>
      <c r="AW444" s="3521"/>
      <c r="AX444" s="775">
        <f t="shared" si="571"/>
        <v>42481.410000000011</v>
      </c>
      <c r="AY444" s="6041"/>
      <c r="AZ444" s="1118">
        <v>2236.5499999999993</v>
      </c>
      <c r="BA444" s="6070"/>
      <c r="BB444" s="373">
        <f t="shared" si="572"/>
        <v>2884.7299999999991</v>
      </c>
      <c r="BC444" s="6077"/>
      <c r="BD444" s="539">
        <f t="shared" si="573"/>
        <v>11131.669999999998</v>
      </c>
      <c r="BE444" s="3521"/>
      <c r="BF444" s="775">
        <f t="shared" si="574"/>
        <v>44717.960000000006</v>
      </c>
      <c r="BG444" s="26">
        <f t="shared" si="537"/>
        <v>0</v>
      </c>
      <c r="BH444" s="26">
        <f t="shared" si="538"/>
        <v>0</v>
      </c>
      <c r="BI444" s="26"/>
      <c r="BJ444" s="26">
        <f t="shared" si="539"/>
        <v>0</v>
      </c>
      <c r="BK444" s="26">
        <f t="shared" si="540"/>
        <v>0</v>
      </c>
    </row>
    <row r="445" spans="1:63" x14ac:dyDescent="0.3">
      <c r="A445" s="92"/>
      <c r="B445" s="8" t="s">
        <v>1939</v>
      </c>
      <c r="C445" s="4023" t="s">
        <v>50</v>
      </c>
      <c r="D445" s="4023"/>
      <c r="E445" s="6042"/>
      <c r="F445" s="3974"/>
      <c r="G445" s="6042"/>
      <c r="H445" s="3974"/>
      <c r="I445" s="6097"/>
      <c r="J445" s="775">
        <f t="shared" si="560"/>
        <v>0</v>
      </c>
      <c r="K445" s="6042"/>
      <c r="L445" s="3974"/>
      <c r="M445" s="6071"/>
      <c r="N445" s="774">
        <f t="shared" si="561"/>
        <v>0</v>
      </c>
      <c r="O445" s="6042"/>
      <c r="P445" s="3974">
        <v>245.42</v>
      </c>
      <c r="Q445" s="6097"/>
      <c r="R445" s="775">
        <f t="shared" si="562"/>
        <v>245.42</v>
      </c>
      <c r="S445" s="6042"/>
      <c r="T445" s="3974"/>
      <c r="U445" s="6097"/>
      <c r="V445" s="775">
        <f t="shared" si="563"/>
        <v>245.42</v>
      </c>
      <c r="W445" s="6042"/>
      <c r="X445" s="3974"/>
      <c r="Y445" s="6071"/>
      <c r="Z445" s="774">
        <f t="shared" si="564"/>
        <v>245.42</v>
      </c>
      <c r="AA445" s="6078"/>
      <c r="AB445" s="460">
        <f t="shared" si="565"/>
        <v>245.42</v>
      </c>
      <c r="AC445" s="6042"/>
      <c r="AD445" s="3974"/>
      <c r="AE445" s="6097"/>
      <c r="AF445" s="775">
        <f t="shared" si="566"/>
        <v>245.42</v>
      </c>
      <c r="AG445" s="6042"/>
      <c r="AH445" s="3974"/>
      <c r="AI445" s="3521"/>
      <c r="AJ445" s="775">
        <f t="shared" si="567"/>
        <v>245.42</v>
      </c>
      <c r="AK445" s="6042"/>
      <c r="AL445" s="3974"/>
      <c r="AM445" s="6071"/>
      <c r="AN445" s="373">
        <f t="shared" si="568"/>
        <v>0</v>
      </c>
      <c r="AO445" s="6097"/>
      <c r="AP445" s="775">
        <f t="shared" si="569"/>
        <v>245.42</v>
      </c>
      <c r="AQ445" s="6042"/>
      <c r="AR445" s="3974"/>
      <c r="AS445" s="3521"/>
      <c r="AT445" s="775">
        <f t="shared" si="570"/>
        <v>245.42</v>
      </c>
      <c r="AU445" s="6042"/>
      <c r="AV445" s="3974"/>
      <c r="AW445" s="3521"/>
      <c r="AX445" s="775">
        <f t="shared" si="571"/>
        <v>245.42</v>
      </c>
      <c r="AY445" s="6042"/>
      <c r="AZ445" s="3974"/>
      <c r="BA445" s="6071"/>
      <c r="BB445" s="373">
        <f t="shared" si="572"/>
        <v>0</v>
      </c>
      <c r="BC445" s="6078"/>
      <c r="BD445" s="539">
        <f t="shared" si="573"/>
        <v>0</v>
      </c>
      <c r="BE445" s="3521"/>
      <c r="BF445" s="775">
        <f t="shared" si="574"/>
        <v>245.42</v>
      </c>
      <c r="BG445" s="26">
        <f t="shared" si="537"/>
        <v>0</v>
      </c>
      <c r="BH445" s="26">
        <f t="shared" si="538"/>
        <v>0</v>
      </c>
      <c r="BI445" s="26"/>
      <c r="BJ445" s="26">
        <f t="shared" si="539"/>
        <v>0</v>
      </c>
      <c r="BK445" s="26">
        <f t="shared" si="540"/>
        <v>0</v>
      </c>
    </row>
    <row r="446" spans="1:63" x14ac:dyDescent="0.3">
      <c r="A446" s="92"/>
      <c r="B446" s="8" t="s">
        <v>1940</v>
      </c>
      <c r="C446" s="156" t="s">
        <v>50</v>
      </c>
      <c r="D446" s="156"/>
      <c r="E446" s="6041"/>
      <c r="F446" s="1118"/>
      <c r="G446" s="6041"/>
      <c r="H446" s="1118"/>
      <c r="I446" s="6096"/>
      <c r="J446" s="775">
        <f t="shared" si="560"/>
        <v>0</v>
      </c>
      <c r="K446" s="6041"/>
      <c r="L446" s="1118"/>
      <c r="M446" s="6070"/>
      <c r="N446" s="774">
        <f t="shared" si="561"/>
        <v>0</v>
      </c>
      <c r="O446" s="6041"/>
      <c r="P446" s="1118"/>
      <c r="Q446" s="6096"/>
      <c r="R446" s="775">
        <f t="shared" si="562"/>
        <v>0</v>
      </c>
      <c r="S446" s="6041"/>
      <c r="T446" s="1118"/>
      <c r="U446" s="6096"/>
      <c r="V446" s="775">
        <f t="shared" si="563"/>
        <v>0</v>
      </c>
      <c r="W446" s="6041"/>
      <c r="X446" s="1118"/>
      <c r="Y446" s="6070"/>
      <c r="Z446" s="774">
        <f t="shared" si="564"/>
        <v>0</v>
      </c>
      <c r="AA446" s="6077"/>
      <c r="AB446" s="460">
        <f t="shared" si="565"/>
        <v>0</v>
      </c>
      <c r="AC446" s="6041"/>
      <c r="AD446" s="1118"/>
      <c r="AE446" s="6096"/>
      <c r="AF446" s="775">
        <f t="shared" si="566"/>
        <v>0</v>
      </c>
      <c r="AG446" s="6041"/>
      <c r="AH446" s="1118"/>
      <c r="AI446" s="3521"/>
      <c r="AJ446" s="775">
        <f t="shared" si="567"/>
        <v>0</v>
      </c>
      <c r="AK446" s="6041"/>
      <c r="AL446" s="1118">
        <v>2316.4800000000009</v>
      </c>
      <c r="AM446" s="6070"/>
      <c r="AN446" s="373">
        <f t="shared" si="568"/>
        <v>2316.4800000000009</v>
      </c>
      <c r="AO446" s="6096"/>
      <c r="AP446" s="775">
        <f t="shared" si="569"/>
        <v>2316.4800000000009</v>
      </c>
      <c r="AQ446" s="6041"/>
      <c r="AR446" s="1118">
        <v>1658.6399999999996</v>
      </c>
      <c r="AS446" s="3521"/>
      <c r="AT446" s="775">
        <f t="shared" si="570"/>
        <v>3975.1200000000008</v>
      </c>
      <c r="AU446" s="6041"/>
      <c r="AV446" s="1118"/>
      <c r="AW446" s="3521"/>
      <c r="AX446" s="775">
        <f t="shared" si="571"/>
        <v>3975.1200000000008</v>
      </c>
      <c r="AY446" s="6041"/>
      <c r="AZ446" s="1118">
        <v>984.01999999999975</v>
      </c>
      <c r="BA446" s="6070"/>
      <c r="BB446" s="373">
        <f t="shared" si="572"/>
        <v>2642.6599999999994</v>
      </c>
      <c r="BC446" s="6077"/>
      <c r="BD446" s="539">
        <f t="shared" si="573"/>
        <v>4959.1400000000003</v>
      </c>
      <c r="BE446" s="3521"/>
      <c r="BF446" s="775">
        <f t="shared" si="574"/>
        <v>4959.1400000000003</v>
      </c>
      <c r="BG446" s="26">
        <f t="shared" si="537"/>
        <v>0</v>
      </c>
      <c r="BH446" s="26">
        <f t="shared" si="538"/>
        <v>0</v>
      </c>
      <c r="BI446" s="26"/>
      <c r="BJ446" s="26">
        <f t="shared" si="539"/>
        <v>0</v>
      </c>
      <c r="BK446" s="26">
        <f t="shared" si="540"/>
        <v>0</v>
      </c>
    </row>
    <row r="447" spans="1:63" x14ac:dyDescent="0.3">
      <c r="A447" s="92"/>
      <c r="B447" s="8" t="s">
        <v>1493</v>
      </c>
      <c r="C447" s="156" t="s">
        <v>50</v>
      </c>
      <c r="D447" s="156"/>
      <c r="E447" s="6041"/>
      <c r="F447" s="1118"/>
      <c r="G447" s="6041"/>
      <c r="H447" s="1118"/>
      <c r="I447" s="6096"/>
      <c r="J447" s="775">
        <f t="shared" si="560"/>
        <v>0</v>
      </c>
      <c r="K447" s="6041"/>
      <c r="L447" s="1118"/>
      <c r="M447" s="6070"/>
      <c r="N447" s="774">
        <f t="shared" si="561"/>
        <v>0</v>
      </c>
      <c r="O447" s="6041"/>
      <c r="P447" s="1118"/>
      <c r="Q447" s="6096"/>
      <c r="R447" s="775">
        <f t="shared" si="562"/>
        <v>0</v>
      </c>
      <c r="S447" s="6041"/>
      <c r="T447" s="1118"/>
      <c r="U447" s="6096"/>
      <c r="V447" s="775">
        <f t="shared" si="563"/>
        <v>0</v>
      </c>
      <c r="W447" s="6041"/>
      <c r="X447" s="1118"/>
      <c r="Y447" s="6070"/>
      <c r="Z447" s="774">
        <f t="shared" si="564"/>
        <v>0</v>
      </c>
      <c r="AA447" s="6077"/>
      <c r="AB447" s="460">
        <f t="shared" si="565"/>
        <v>0</v>
      </c>
      <c r="AC447" s="6041"/>
      <c r="AD447" s="1118"/>
      <c r="AE447" s="6096"/>
      <c r="AF447" s="775">
        <f t="shared" si="566"/>
        <v>0</v>
      </c>
      <c r="AG447" s="6041"/>
      <c r="AH447" s="1118"/>
      <c r="AI447" s="3517"/>
      <c r="AJ447" s="775">
        <f t="shared" si="567"/>
        <v>0</v>
      </c>
      <c r="AK447" s="6041"/>
      <c r="AL447" s="1118"/>
      <c r="AM447" s="6070"/>
      <c r="AN447" s="373">
        <f t="shared" si="568"/>
        <v>0</v>
      </c>
      <c r="AO447" s="6096"/>
      <c r="AP447" s="775">
        <f t="shared" si="569"/>
        <v>0</v>
      </c>
      <c r="AQ447" s="6041"/>
      <c r="AR447" s="1118"/>
      <c r="AS447" s="3517"/>
      <c r="AT447" s="775">
        <f t="shared" si="570"/>
        <v>0</v>
      </c>
      <c r="AU447" s="6041"/>
      <c r="AV447" s="1118"/>
      <c r="AW447" s="3517"/>
      <c r="AX447" s="775">
        <f t="shared" si="571"/>
        <v>0</v>
      </c>
      <c r="AY447" s="6041"/>
      <c r="AZ447" s="1118"/>
      <c r="BA447" s="6070"/>
      <c r="BB447" s="373">
        <f t="shared" si="572"/>
        <v>0</v>
      </c>
      <c r="BC447" s="6077"/>
      <c r="BD447" s="539">
        <f t="shared" si="573"/>
        <v>0</v>
      </c>
      <c r="BE447" s="3517"/>
      <c r="BF447" s="775">
        <f t="shared" si="574"/>
        <v>0</v>
      </c>
      <c r="BG447" s="26">
        <f t="shared" si="537"/>
        <v>0</v>
      </c>
      <c r="BH447" s="26">
        <f t="shared" si="538"/>
        <v>0</v>
      </c>
      <c r="BI447" s="26"/>
      <c r="BJ447" s="26">
        <f t="shared" si="539"/>
        <v>0</v>
      </c>
      <c r="BK447" s="26">
        <f t="shared" si="540"/>
        <v>0</v>
      </c>
    </row>
    <row r="448" spans="1:63" x14ac:dyDescent="0.3">
      <c r="A448" s="92"/>
      <c r="B448" s="8" t="s">
        <v>1601</v>
      </c>
      <c r="C448" s="156" t="s">
        <v>50</v>
      </c>
      <c r="D448" s="156"/>
      <c r="E448" s="6041"/>
      <c r="F448" s="1118"/>
      <c r="G448" s="6041"/>
      <c r="H448" s="1118"/>
      <c r="I448" s="6096"/>
      <c r="J448" s="775">
        <f t="shared" si="560"/>
        <v>0</v>
      </c>
      <c r="K448" s="6041"/>
      <c r="L448" s="1118"/>
      <c r="M448" s="6070"/>
      <c r="N448" s="774">
        <f t="shared" si="561"/>
        <v>0</v>
      </c>
      <c r="O448" s="6041"/>
      <c r="P448" s="1118"/>
      <c r="Q448" s="6096"/>
      <c r="R448" s="775">
        <f t="shared" si="562"/>
        <v>0</v>
      </c>
      <c r="S448" s="6041"/>
      <c r="T448" s="1118"/>
      <c r="U448" s="6096"/>
      <c r="V448" s="775">
        <f t="shared" si="563"/>
        <v>0</v>
      </c>
      <c r="W448" s="6041"/>
      <c r="X448" s="1118"/>
      <c r="Y448" s="6070"/>
      <c r="Z448" s="774">
        <f t="shared" si="564"/>
        <v>0</v>
      </c>
      <c r="AA448" s="6077"/>
      <c r="AB448" s="460">
        <f t="shared" si="565"/>
        <v>0</v>
      </c>
      <c r="AC448" s="6041"/>
      <c r="AD448" s="1118"/>
      <c r="AE448" s="6096"/>
      <c r="AF448" s="775">
        <f t="shared" si="566"/>
        <v>0</v>
      </c>
      <c r="AG448" s="6041"/>
      <c r="AH448" s="1118"/>
      <c r="AI448" s="3517"/>
      <c r="AJ448" s="775">
        <f t="shared" si="567"/>
        <v>0</v>
      </c>
      <c r="AK448" s="6041"/>
      <c r="AL448" s="1118"/>
      <c r="AM448" s="6070"/>
      <c r="AN448" s="373">
        <f t="shared" si="568"/>
        <v>0</v>
      </c>
      <c r="AO448" s="6096"/>
      <c r="AP448" s="775">
        <f t="shared" si="569"/>
        <v>0</v>
      </c>
      <c r="AQ448" s="6041"/>
      <c r="AR448" s="1118"/>
      <c r="AS448" s="3517"/>
      <c r="AT448" s="775">
        <f t="shared" si="570"/>
        <v>0</v>
      </c>
      <c r="AU448" s="6041"/>
      <c r="AV448" s="1118"/>
      <c r="AW448" s="3517"/>
      <c r="AX448" s="775">
        <f t="shared" si="571"/>
        <v>0</v>
      </c>
      <c r="AY448" s="6041"/>
      <c r="AZ448" s="1118"/>
      <c r="BA448" s="6070"/>
      <c r="BB448" s="373">
        <f t="shared" si="572"/>
        <v>0</v>
      </c>
      <c r="BC448" s="6077"/>
      <c r="BD448" s="539">
        <f t="shared" si="573"/>
        <v>0</v>
      </c>
      <c r="BE448" s="3517"/>
      <c r="BF448" s="775">
        <f t="shared" si="574"/>
        <v>0</v>
      </c>
      <c r="BG448" s="26">
        <f t="shared" si="537"/>
        <v>0</v>
      </c>
      <c r="BH448" s="26">
        <f t="shared" si="538"/>
        <v>0</v>
      </c>
      <c r="BI448" s="26"/>
      <c r="BJ448" s="26">
        <f t="shared" si="539"/>
        <v>0</v>
      </c>
      <c r="BK448" s="26">
        <f t="shared" si="540"/>
        <v>0</v>
      </c>
    </row>
    <row r="449" spans="1:63" x14ac:dyDescent="0.3">
      <c r="A449" s="92"/>
      <c r="B449" s="8" t="s">
        <v>1933</v>
      </c>
      <c r="C449" s="156" t="s">
        <v>50</v>
      </c>
      <c r="D449" s="156"/>
      <c r="E449" s="6041"/>
      <c r="F449" s="1118">
        <v>65.319999999999993</v>
      </c>
      <c r="G449" s="6041"/>
      <c r="H449" s="1118"/>
      <c r="I449" s="6096"/>
      <c r="J449" s="775">
        <f t="shared" si="560"/>
        <v>65.319999999999993</v>
      </c>
      <c r="K449" s="6041"/>
      <c r="L449" s="1118"/>
      <c r="M449" s="6070"/>
      <c r="N449" s="774">
        <f t="shared" si="561"/>
        <v>65.319999999999993</v>
      </c>
      <c r="O449" s="6041"/>
      <c r="P449" s="1118"/>
      <c r="Q449" s="6096"/>
      <c r="R449" s="775">
        <f t="shared" si="562"/>
        <v>65.319999999999993</v>
      </c>
      <c r="S449" s="6041"/>
      <c r="T449" s="1118"/>
      <c r="U449" s="6096"/>
      <c r="V449" s="775">
        <f t="shared" si="563"/>
        <v>65.319999999999993</v>
      </c>
      <c r="W449" s="6041"/>
      <c r="X449" s="1118"/>
      <c r="Y449" s="6070"/>
      <c r="Z449" s="774">
        <f t="shared" si="564"/>
        <v>0</v>
      </c>
      <c r="AA449" s="6077"/>
      <c r="AB449" s="460">
        <f t="shared" si="565"/>
        <v>65.319999999999993</v>
      </c>
      <c r="AC449" s="6041"/>
      <c r="AD449" s="1118"/>
      <c r="AE449" s="6096"/>
      <c r="AF449" s="775">
        <f t="shared" si="566"/>
        <v>65.319999999999993</v>
      </c>
      <c r="AG449" s="6041"/>
      <c r="AH449" s="1118"/>
      <c r="AI449" s="3521"/>
      <c r="AJ449" s="775">
        <f t="shared" si="567"/>
        <v>65.319999999999993</v>
      </c>
      <c r="AK449" s="6041"/>
      <c r="AL449" s="1118"/>
      <c r="AM449" s="6070"/>
      <c r="AN449" s="373">
        <f t="shared" si="568"/>
        <v>0</v>
      </c>
      <c r="AO449" s="6096"/>
      <c r="AP449" s="775">
        <f t="shared" si="569"/>
        <v>65.319999999999993</v>
      </c>
      <c r="AQ449" s="6041"/>
      <c r="AR449" s="1118"/>
      <c r="AS449" s="3521"/>
      <c r="AT449" s="775">
        <f t="shared" si="570"/>
        <v>65.319999999999993</v>
      </c>
      <c r="AU449" s="6041"/>
      <c r="AV449" s="1118"/>
      <c r="AW449" s="3521"/>
      <c r="AX449" s="775">
        <f t="shared" si="571"/>
        <v>65.319999999999993</v>
      </c>
      <c r="AY449" s="6041"/>
      <c r="AZ449" s="1118"/>
      <c r="BA449" s="6070"/>
      <c r="BB449" s="373">
        <f t="shared" si="572"/>
        <v>0</v>
      </c>
      <c r="BC449" s="6077"/>
      <c r="BD449" s="539">
        <f t="shared" si="573"/>
        <v>0</v>
      </c>
      <c r="BE449" s="3521"/>
      <c r="BF449" s="775">
        <f t="shared" si="574"/>
        <v>65.319999999999993</v>
      </c>
      <c r="BG449" s="26">
        <f t="shared" si="537"/>
        <v>0</v>
      </c>
      <c r="BH449" s="26">
        <f t="shared" si="538"/>
        <v>0</v>
      </c>
      <c r="BI449" s="26"/>
      <c r="BJ449" s="26">
        <f t="shared" si="539"/>
        <v>0</v>
      </c>
      <c r="BK449" s="26">
        <f t="shared" si="540"/>
        <v>0</v>
      </c>
    </row>
    <row r="450" spans="1:63" x14ac:dyDescent="0.3">
      <c r="A450" s="92"/>
      <c r="B450" s="8" t="s">
        <v>1265</v>
      </c>
      <c r="C450" s="156" t="s">
        <v>50</v>
      </c>
      <c r="D450" s="156"/>
      <c r="E450" s="6041"/>
      <c r="F450" s="1118"/>
      <c r="G450" s="6041"/>
      <c r="H450" s="1118"/>
      <c r="I450" s="6096"/>
      <c r="J450" s="775">
        <f t="shared" si="560"/>
        <v>0</v>
      </c>
      <c r="K450" s="6041"/>
      <c r="L450" s="1118"/>
      <c r="M450" s="6070"/>
      <c r="N450" s="774">
        <f t="shared" si="561"/>
        <v>0</v>
      </c>
      <c r="O450" s="6041"/>
      <c r="P450" s="1118"/>
      <c r="Q450" s="6096"/>
      <c r="R450" s="775">
        <f t="shared" si="562"/>
        <v>0</v>
      </c>
      <c r="S450" s="6041"/>
      <c r="T450" s="1118"/>
      <c r="U450" s="6096"/>
      <c r="V450" s="775">
        <f t="shared" si="563"/>
        <v>0</v>
      </c>
      <c r="W450" s="6041"/>
      <c r="X450" s="1118"/>
      <c r="Y450" s="6070"/>
      <c r="Z450" s="774">
        <f t="shared" si="564"/>
        <v>0</v>
      </c>
      <c r="AA450" s="6077"/>
      <c r="AB450" s="460">
        <f t="shared" si="565"/>
        <v>0</v>
      </c>
      <c r="AC450" s="6041"/>
      <c r="AD450" s="1118"/>
      <c r="AE450" s="6096"/>
      <c r="AF450" s="775">
        <f t="shared" si="566"/>
        <v>0</v>
      </c>
      <c r="AG450" s="6041"/>
      <c r="AH450" s="1118"/>
      <c r="AI450" s="3521"/>
      <c r="AJ450" s="775">
        <f t="shared" si="567"/>
        <v>0</v>
      </c>
      <c r="AK450" s="6041"/>
      <c r="AL450" s="1118"/>
      <c r="AM450" s="6070"/>
      <c r="AN450" s="373">
        <f t="shared" si="568"/>
        <v>0</v>
      </c>
      <c r="AO450" s="6096"/>
      <c r="AP450" s="775">
        <f t="shared" si="569"/>
        <v>0</v>
      </c>
      <c r="AQ450" s="6041"/>
      <c r="AR450" s="1118"/>
      <c r="AS450" s="3521"/>
      <c r="AT450" s="775">
        <f t="shared" si="570"/>
        <v>0</v>
      </c>
      <c r="AU450" s="6041"/>
      <c r="AV450" s="1118"/>
      <c r="AW450" s="3521"/>
      <c r="AX450" s="775">
        <f t="shared" si="571"/>
        <v>0</v>
      </c>
      <c r="AY450" s="6041"/>
      <c r="AZ450" s="1118"/>
      <c r="BA450" s="6070"/>
      <c r="BB450" s="373">
        <f t="shared" si="572"/>
        <v>0</v>
      </c>
      <c r="BC450" s="6077"/>
      <c r="BD450" s="539">
        <f t="shared" si="573"/>
        <v>0</v>
      </c>
      <c r="BE450" s="3521"/>
      <c r="BF450" s="775">
        <f t="shared" si="574"/>
        <v>0</v>
      </c>
      <c r="BG450" s="26">
        <f t="shared" si="537"/>
        <v>0</v>
      </c>
      <c r="BH450" s="26">
        <f t="shared" si="538"/>
        <v>0</v>
      </c>
      <c r="BI450" s="26"/>
      <c r="BJ450" s="26">
        <f t="shared" si="539"/>
        <v>0</v>
      </c>
      <c r="BK450" s="26">
        <f t="shared" si="540"/>
        <v>0</v>
      </c>
    </row>
    <row r="451" spans="1:63" x14ac:dyDescent="0.3">
      <c r="A451" s="92"/>
      <c r="B451" s="8" t="s">
        <v>1941</v>
      </c>
      <c r="C451" s="156" t="s">
        <v>50</v>
      </c>
      <c r="D451" s="156"/>
      <c r="E451" s="6041"/>
      <c r="F451" s="1118"/>
      <c r="G451" s="6041"/>
      <c r="H451" s="1118"/>
      <c r="I451" s="6096"/>
      <c r="J451" s="775">
        <f t="shared" si="560"/>
        <v>0</v>
      </c>
      <c r="K451" s="6041"/>
      <c r="L451" s="1118"/>
      <c r="M451" s="6070"/>
      <c r="N451" s="774">
        <f t="shared" si="561"/>
        <v>0</v>
      </c>
      <c r="O451" s="6041"/>
      <c r="P451" s="1118">
        <v>316.60000000000002</v>
      </c>
      <c r="Q451" s="6096"/>
      <c r="R451" s="775">
        <f t="shared" si="562"/>
        <v>316.60000000000002</v>
      </c>
      <c r="S451" s="6041"/>
      <c r="T451" s="1118">
        <v>341.43999999999994</v>
      </c>
      <c r="U451" s="6096"/>
      <c r="V451" s="775">
        <f t="shared" si="563"/>
        <v>658.04</v>
      </c>
      <c r="W451" s="6041"/>
      <c r="X451" s="1118"/>
      <c r="Y451" s="6070"/>
      <c r="Z451" s="774">
        <f t="shared" si="564"/>
        <v>658.04</v>
      </c>
      <c r="AA451" s="6077"/>
      <c r="AB451" s="460">
        <f t="shared" si="565"/>
        <v>658.04</v>
      </c>
      <c r="AC451" s="6041"/>
      <c r="AD451" s="1118"/>
      <c r="AE451" s="6096"/>
      <c r="AF451" s="775">
        <f t="shared" si="566"/>
        <v>658.04</v>
      </c>
      <c r="AG451" s="6041"/>
      <c r="AH451" s="1118"/>
      <c r="AI451" s="3521"/>
      <c r="AJ451" s="775">
        <f t="shared" si="567"/>
        <v>658.04</v>
      </c>
      <c r="AK451" s="6041"/>
      <c r="AL451" s="1118">
        <v>63.98</v>
      </c>
      <c r="AM451" s="6070"/>
      <c r="AN451" s="373">
        <f t="shared" si="568"/>
        <v>63.98</v>
      </c>
      <c r="AO451" s="6096"/>
      <c r="AP451" s="775">
        <f t="shared" si="569"/>
        <v>722.02</v>
      </c>
      <c r="AQ451" s="6041"/>
      <c r="AR451" s="1118">
        <v>345.92</v>
      </c>
      <c r="AS451" s="3521"/>
      <c r="AT451" s="775">
        <f t="shared" si="570"/>
        <v>1067.94</v>
      </c>
      <c r="AU451" s="6041"/>
      <c r="AV451" s="1118">
        <v>123.00999999999999</v>
      </c>
      <c r="AW451" s="3521"/>
      <c r="AX451" s="775">
        <f t="shared" si="571"/>
        <v>1190.95</v>
      </c>
      <c r="AY451" s="6041"/>
      <c r="AZ451" s="1118">
        <v>488.32</v>
      </c>
      <c r="BA451" s="6070"/>
      <c r="BB451" s="373">
        <f t="shared" si="572"/>
        <v>957.25</v>
      </c>
      <c r="BC451" s="6077"/>
      <c r="BD451" s="539">
        <f t="shared" si="573"/>
        <v>1021.23</v>
      </c>
      <c r="BE451" s="3521"/>
      <c r="BF451" s="775">
        <f t="shared" si="574"/>
        <v>1679.27</v>
      </c>
      <c r="BG451" s="26">
        <f t="shared" si="537"/>
        <v>0</v>
      </c>
      <c r="BH451" s="26">
        <f t="shared" si="538"/>
        <v>0</v>
      </c>
      <c r="BI451" s="26"/>
      <c r="BJ451" s="26">
        <f t="shared" si="539"/>
        <v>0</v>
      </c>
      <c r="BK451" s="26">
        <f t="shared" si="540"/>
        <v>0</v>
      </c>
    </row>
    <row r="452" spans="1:63" x14ac:dyDescent="0.3">
      <c r="A452" s="92"/>
      <c r="B452" s="8" t="s">
        <v>1942</v>
      </c>
      <c r="C452" s="156" t="s">
        <v>50</v>
      </c>
      <c r="D452" s="156"/>
      <c r="E452" s="6041"/>
      <c r="F452" s="1118">
        <v>262.76</v>
      </c>
      <c r="G452" s="6041"/>
      <c r="H452" s="1118"/>
      <c r="I452" s="6096"/>
      <c r="J452" s="775">
        <f t="shared" si="560"/>
        <v>262.76</v>
      </c>
      <c r="K452" s="6041"/>
      <c r="L452" s="1118"/>
      <c r="M452" s="6070"/>
      <c r="N452" s="774">
        <f t="shared" si="561"/>
        <v>262.76</v>
      </c>
      <c r="O452" s="6041"/>
      <c r="P452" s="1118">
        <v>195.7</v>
      </c>
      <c r="Q452" s="6096"/>
      <c r="R452" s="775">
        <f t="shared" si="562"/>
        <v>458.46</v>
      </c>
      <c r="S452" s="6041"/>
      <c r="T452" s="1118">
        <v>63.45</v>
      </c>
      <c r="U452" s="6096"/>
      <c r="V452" s="775">
        <f t="shared" si="563"/>
        <v>521.91</v>
      </c>
      <c r="W452" s="6041"/>
      <c r="X452" s="1118"/>
      <c r="Y452" s="6070"/>
      <c r="Z452" s="774">
        <f t="shared" si="564"/>
        <v>259.14999999999998</v>
      </c>
      <c r="AA452" s="6077"/>
      <c r="AB452" s="460">
        <f t="shared" si="565"/>
        <v>521.91</v>
      </c>
      <c r="AC452" s="6041"/>
      <c r="AD452" s="1118"/>
      <c r="AE452" s="6096"/>
      <c r="AF452" s="775">
        <f t="shared" si="566"/>
        <v>521.91</v>
      </c>
      <c r="AG452" s="6041"/>
      <c r="AH452" s="1118"/>
      <c r="AI452" s="3521"/>
      <c r="AJ452" s="775">
        <f t="shared" si="567"/>
        <v>521.91</v>
      </c>
      <c r="AK452" s="6041"/>
      <c r="AL452" s="1118">
        <v>94.84</v>
      </c>
      <c r="AM452" s="6070"/>
      <c r="AN452" s="373">
        <f t="shared" si="568"/>
        <v>94.84</v>
      </c>
      <c r="AO452" s="6096"/>
      <c r="AP452" s="775">
        <f t="shared" si="569"/>
        <v>616.75</v>
      </c>
      <c r="AQ452" s="6041"/>
      <c r="AR452" s="1118">
        <v>23.36</v>
      </c>
      <c r="AS452" s="3521"/>
      <c r="AT452" s="775">
        <f t="shared" si="570"/>
        <v>640.11</v>
      </c>
      <c r="AU452" s="6041"/>
      <c r="AV452" s="1118"/>
      <c r="AW452" s="3521"/>
      <c r="AX452" s="775">
        <f t="shared" si="571"/>
        <v>640.11</v>
      </c>
      <c r="AY452" s="6041"/>
      <c r="AZ452" s="1118"/>
      <c r="BA452" s="6070"/>
      <c r="BB452" s="373">
        <f t="shared" si="572"/>
        <v>23.36</v>
      </c>
      <c r="BC452" s="6077"/>
      <c r="BD452" s="539">
        <f t="shared" si="573"/>
        <v>118.2</v>
      </c>
      <c r="BE452" s="3521"/>
      <c r="BF452" s="775">
        <f t="shared" si="574"/>
        <v>640.11</v>
      </c>
      <c r="BG452" s="26">
        <f t="shared" si="537"/>
        <v>0</v>
      </c>
      <c r="BH452" s="26">
        <f t="shared" si="538"/>
        <v>0</v>
      </c>
      <c r="BI452" s="26"/>
      <c r="BJ452" s="26">
        <f t="shared" si="539"/>
        <v>0</v>
      </c>
      <c r="BK452" s="26">
        <f t="shared" si="540"/>
        <v>0</v>
      </c>
    </row>
    <row r="453" spans="1:63" x14ac:dyDescent="0.3">
      <c r="A453" s="92"/>
      <c r="B453" s="8" t="s">
        <v>549</v>
      </c>
      <c r="C453" s="2432" t="s">
        <v>50</v>
      </c>
      <c r="D453" s="2432"/>
      <c r="E453" s="6043"/>
      <c r="F453" s="2422"/>
      <c r="G453" s="6043"/>
      <c r="H453" s="2422"/>
      <c r="I453" s="6098"/>
      <c r="J453" s="775">
        <f t="shared" si="560"/>
        <v>0</v>
      </c>
      <c r="K453" s="6043"/>
      <c r="L453" s="2422"/>
      <c r="M453" s="6072"/>
      <c r="N453" s="774">
        <f t="shared" si="561"/>
        <v>0</v>
      </c>
      <c r="O453" s="6043"/>
      <c r="P453" s="2422"/>
      <c r="Q453" s="6098"/>
      <c r="R453" s="775">
        <f t="shared" si="562"/>
        <v>0</v>
      </c>
      <c r="S453" s="6043"/>
      <c r="T453" s="2422"/>
      <c r="U453" s="6098"/>
      <c r="V453" s="775">
        <f t="shared" si="563"/>
        <v>0</v>
      </c>
      <c r="W453" s="6043"/>
      <c r="X453" s="2422"/>
      <c r="Y453" s="6072"/>
      <c r="Z453" s="774">
        <f t="shared" si="564"/>
        <v>0</v>
      </c>
      <c r="AA453" s="6079"/>
      <c r="AB453" s="460">
        <f t="shared" si="565"/>
        <v>0</v>
      </c>
      <c r="AC453" s="6043"/>
      <c r="AD453" s="2422"/>
      <c r="AE453" s="6098"/>
      <c r="AF453" s="775">
        <f t="shared" si="566"/>
        <v>0</v>
      </c>
      <c r="AG453" s="6043"/>
      <c r="AH453" s="2422"/>
      <c r="AI453" s="3521"/>
      <c r="AJ453" s="775">
        <f t="shared" si="567"/>
        <v>0</v>
      </c>
      <c r="AK453" s="6043"/>
      <c r="AL453" s="2422"/>
      <c r="AM453" s="6072"/>
      <c r="AN453" s="373">
        <f t="shared" si="568"/>
        <v>0</v>
      </c>
      <c r="AO453" s="6098"/>
      <c r="AP453" s="775">
        <f t="shared" si="569"/>
        <v>0</v>
      </c>
      <c r="AQ453" s="6043"/>
      <c r="AR453" s="2422"/>
      <c r="AS453" s="3521"/>
      <c r="AT453" s="775">
        <f t="shared" si="570"/>
        <v>0</v>
      </c>
      <c r="AU453" s="6043"/>
      <c r="AV453" s="2422"/>
      <c r="AW453" s="3521"/>
      <c r="AX453" s="775">
        <f t="shared" si="571"/>
        <v>0</v>
      </c>
      <c r="AY453" s="6043"/>
      <c r="AZ453" s="2422"/>
      <c r="BA453" s="6072"/>
      <c r="BB453" s="373">
        <f t="shared" si="572"/>
        <v>0</v>
      </c>
      <c r="BC453" s="6079"/>
      <c r="BD453" s="539">
        <f t="shared" si="573"/>
        <v>0</v>
      </c>
      <c r="BE453" s="3521"/>
      <c r="BF453" s="775">
        <f t="shared" si="574"/>
        <v>0</v>
      </c>
      <c r="BG453" s="26">
        <f t="shared" si="537"/>
        <v>0</v>
      </c>
      <c r="BH453" s="26">
        <f t="shared" si="538"/>
        <v>0</v>
      </c>
      <c r="BI453" s="26"/>
      <c r="BJ453" s="26">
        <f t="shared" si="539"/>
        <v>0</v>
      </c>
      <c r="BK453" s="26">
        <f t="shared" si="540"/>
        <v>0</v>
      </c>
    </row>
    <row r="454" spans="1:63" x14ac:dyDescent="0.3">
      <c r="A454" s="92"/>
      <c r="B454" s="8" t="s">
        <v>1934</v>
      </c>
      <c r="C454" s="156" t="s">
        <v>50</v>
      </c>
      <c r="D454" s="156"/>
      <c r="E454" s="6041"/>
      <c r="F454" s="1118"/>
      <c r="G454" s="6041"/>
      <c r="H454" s="1118">
        <v>3137.7999999999988</v>
      </c>
      <c r="I454" s="6096"/>
      <c r="J454" s="775">
        <f t="shared" si="560"/>
        <v>3137.7999999999988</v>
      </c>
      <c r="K454" s="6041"/>
      <c r="L454" s="1118">
        <v>1080.06</v>
      </c>
      <c r="M454" s="6070"/>
      <c r="N454" s="774">
        <f t="shared" si="561"/>
        <v>4217.8599999999988</v>
      </c>
      <c r="O454" s="6041"/>
      <c r="P454" s="1118">
        <v>8801.7400000000016</v>
      </c>
      <c r="Q454" s="6096"/>
      <c r="R454" s="775">
        <f t="shared" si="562"/>
        <v>13019.6</v>
      </c>
      <c r="S454" s="6041"/>
      <c r="T454" s="1118">
        <v>2572.7300000000009</v>
      </c>
      <c r="U454" s="6096"/>
      <c r="V454" s="775">
        <f t="shared" si="563"/>
        <v>15592.330000000002</v>
      </c>
      <c r="W454" s="6041"/>
      <c r="X454" s="1118">
        <v>1386.5900000000001</v>
      </c>
      <c r="Y454" s="6070"/>
      <c r="Z454" s="774">
        <f t="shared" si="564"/>
        <v>12761.060000000003</v>
      </c>
      <c r="AA454" s="6077"/>
      <c r="AB454" s="460">
        <f t="shared" si="565"/>
        <v>16978.920000000002</v>
      </c>
      <c r="AC454" s="6041"/>
      <c r="AD454" s="1118">
        <v>2659.2599999999998</v>
      </c>
      <c r="AE454" s="6096"/>
      <c r="AF454" s="775">
        <f t="shared" si="566"/>
        <v>19638.18</v>
      </c>
      <c r="AG454" s="6041"/>
      <c r="AH454" s="1118">
        <v>3665.3499999999985</v>
      </c>
      <c r="AI454" s="3521"/>
      <c r="AJ454" s="775">
        <f t="shared" si="567"/>
        <v>23303.53</v>
      </c>
      <c r="AK454" s="6041"/>
      <c r="AL454" s="1118">
        <v>2505.7599999999998</v>
      </c>
      <c r="AM454" s="6070"/>
      <c r="AN454" s="373">
        <f t="shared" si="568"/>
        <v>8830.369999999999</v>
      </c>
      <c r="AO454" s="6096"/>
      <c r="AP454" s="775">
        <f t="shared" si="569"/>
        <v>25809.289999999997</v>
      </c>
      <c r="AQ454" s="6041"/>
      <c r="AR454" s="1118">
        <v>2148.0100000000002</v>
      </c>
      <c r="AS454" s="3521"/>
      <c r="AT454" s="775">
        <f t="shared" si="570"/>
        <v>27957.299999999996</v>
      </c>
      <c r="AU454" s="6041"/>
      <c r="AV454" s="1118">
        <v>1217.6600000000003</v>
      </c>
      <c r="AW454" s="3521"/>
      <c r="AX454" s="775">
        <f t="shared" si="571"/>
        <v>29174.959999999995</v>
      </c>
      <c r="AY454" s="6041"/>
      <c r="AZ454" s="1118">
        <v>1973.4999999999998</v>
      </c>
      <c r="BA454" s="6070"/>
      <c r="BB454" s="373">
        <f t="shared" si="572"/>
        <v>5339.17</v>
      </c>
      <c r="BC454" s="6077"/>
      <c r="BD454" s="539">
        <f t="shared" si="573"/>
        <v>14169.539999999999</v>
      </c>
      <c r="BE454" s="3521"/>
      <c r="BF454" s="775">
        <f t="shared" si="574"/>
        <v>31148.459999999995</v>
      </c>
      <c r="BG454" s="26">
        <f t="shared" si="537"/>
        <v>0</v>
      </c>
      <c r="BH454" s="26">
        <f t="shared" si="538"/>
        <v>0</v>
      </c>
      <c r="BI454" s="26"/>
      <c r="BJ454" s="26">
        <f t="shared" si="539"/>
        <v>0</v>
      </c>
      <c r="BK454" s="26">
        <f t="shared" si="540"/>
        <v>0</v>
      </c>
    </row>
    <row r="455" spans="1:63" x14ac:dyDescent="0.3">
      <c r="A455" s="92"/>
      <c r="B455" s="4442" t="s">
        <v>1944</v>
      </c>
      <c r="C455" s="4443" t="s">
        <v>50</v>
      </c>
      <c r="D455" s="4443"/>
      <c r="E455" s="6044"/>
      <c r="F455" s="4439">
        <v>3480.0599999999995</v>
      </c>
      <c r="G455" s="6044"/>
      <c r="H455" s="4439">
        <v>2051.2200000000003</v>
      </c>
      <c r="I455" s="6099"/>
      <c r="J455" s="775">
        <f t="shared" si="560"/>
        <v>5531.28</v>
      </c>
      <c r="K455" s="6044"/>
      <c r="L455" s="4439">
        <v>1627.71</v>
      </c>
      <c r="M455" s="6073"/>
      <c r="N455" s="774">
        <f t="shared" si="561"/>
        <v>7158.99</v>
      </c>
      <c r="O455" s="6044"/>
      <c r="P455" s="4439">
        <v>1188.96</v>
      </c>
      <c r="Q455" s="6099"/>
      <c r="R455" s="775">
        <f t="shared" si="562"/>
        <v>8347.9500000000007</v>
      </c>
      <c r="S455" s="6044"/>
      <c r="T455" s="4439">
        <v>3773.0699999999997</v>
      </c>
      <c r="U455" s="6099"/>
      <c r="V455" s="775">
        <f t="shared" si="563"/>
        <v>12121.02</v>
      </c>
      <c r="W455" s="6044"/>
      <c r="X455" s="4439">
        <v>1791.9399999999998</v>
      </c>
      <c r="Y455" s="6073"/>
      <c r="Z455" s="774">
        <f t="shared" si="564"/>
        <v>6753.9699999999993</v>
      </c>
      <c r="AA455" s="6080"/>
      <c r="AB455" s="460">
        <f t="shared" si="565"/>
        <v>13912.96</v>
      </c>
      <c r="AC455" s="6044"/>
      <c r="AD455" s="4439">
        <v>1876.9499999999998</v>
      </c>
      <c r="AE455" s="6099"/>
      <c r="AF455" s="775">
        <f t="shared" si="566"/>
        <v>15789.91</v>
      </c>
      <c r="AG455" s="6044"/>
      <c r="AH455" s="4439">
        <v>2772.46</v>
      </c>
      <c r="AI455" s="3521"/>
      <c r="AJ455" s="775">
        <f t="shared" si="567"/>
        <v>18562.37</v>
      </c>
      <c r="AK455" s="6044"/>
      <c r="AL455" s="4439">
        <v>2533.12</v>
      </c>
      <c r="AM455" s="6073"/>
      <c r="AN455" s="373">
        <f t="shared" si="568"/>
        <v>7182.53</v>
      </c>
      <c r="AO455" s="6099"/>
      <c r="AP455" s="775">
        <f t="shared" si="569"/>
        <v>21095.489999999998</v>
      </c>
      <c r="AQ455" s="6044"/>
      <c r="AR455" s="4439">
        <v>2262.41</v>
      </c>
      <c r="AS455" s="3521"/>
      <c r="AT455" s="4506">
        <f t="shared" si="570"/>
        <v>23357.899999999998</v>
      </c>
      <c r="AU455" s="6044"/>
      <c r="AV455" s="4439"/>
      <c r="AW455" s="3521"/>
      <c r="AX455" s="775">
        <f t="shared" si="571"/>
        <v>23357.899999999998</v>
      </c>
      <c r="AY455" s="6044"/>
      <c r="AZ455" s="4439">
        <v>324.59999999999997</v>
      </c>
      <c r="BA455" s="6073"/>
      <c r="BB455" s="373">
        <f t="shared" si="572"/>
        <v>2587.0099999999998</v>
      </c>
      <c r="BC455" s="6080"/>
      <c r="BD455" s="539">
        <f t="shared" si="573"/>
        <v>9769.5399999999991</v>
      </c>
      <c r="BE455" s="3521"/>
      <c r="BF455" s="775">
        <f t="shared" si="574"/>
        <v>23682.499999999996</v>
      </c>
      <c r="BG455" s="26">
        <f t="shared" si="537"/>
        <v>0</v>
      </c>
      <c r="BH455" s="26">
        <f t="shared" si="538"/>
        <v>0</v>
      </c>
      <c r="BI455" s="26"/>
      <c r="BJ455" s="26">
        <f t="shared" si="539"/>
        <v>0</v>
      </c>
      <c r="BK455" s="26">
        <f t="shared" si="540"/>
        <v>0</v>
      </c>
    </row>
    <row r="456" spans="1:63" x14ac:dyDescent="0.3">
      <c r="A456" s="92"/>
      <c r="B456" s="8" t="s">
        <v>1712</v>
      </c>
      <c r="C456" s="156" t="s">
        <v>50</v>
      </c>
      <c r="D456" s="156"/>
      <c r="E456" s="6041"/>
      <c r="F456" s="1118">
        <v>7528.6699999999983</v>
      </c>
      <c r="G456" s="6041"/>
      <c r="H456" s="1118">
        <v>12969.429999999998</v>
      </c>
      <c r="I456" s="6096"/>
      <c r="J456" s="775">
        <f t="shared" si="560"/>
        <v>20498.099999999999</v>
      </c>
      <c r="K456" s="6041"/>
      <c r="L456" s="1118">
        <v>9619.8499999999967</v>
      </c>
      <c r="M456" s="6070"/>
      <c r="N456" s="774">
        <f t="shared" si="561"/>
        <v>30117.949999999997</v>
      </c>
      <c r="O456" s="6041"/>
      <c r="P456" s="1118">
        <v>14395.959999999995</v>
      </c>
      <c r="Q456" s="6096"/>
      <c r="R456" s="775">
        <f t="shared" si="562"/>
        <v>44513.909999999989</v>
      </c>
      <c r="S456" s="6041"/>
      <c r="T456" s="1118">
        <v>15278.219999999998</v>
      </c>
      <c r="U456" s="6096"/>
      <c r="V456" s="775">
        <f t="shared" si="563"/>
        <v>59792.12999999999</v>
      </c>
      <c r="W456" s="6041"/>
      <c r="X456" s="1118">
        <v>14806.44</v>
      </c>
      <c r="Y456" s="6070"/>
      <c r="Z456" s="774">
        <f t="shared" si="564"/>
        <v>44480.619999999995</v>
      </c>
      <c r="AA456" s="6077"/>
      <c r="AB456" s="460">
        <f t="shared" si="565"/>
        <v>74598.569999999992</v>
      </c>
      <c r="AC456" s="6041"/>
      <c r="AD456" s="1118">
        <v>14057.97</v>
      </c>
      <c r="AE456" s="6096"/>
      <c r="AF456" s="775">
        <f t="shared" si="566"/>
        <v>88656.54</v>
      </c>
      <c r="AG456" s="6041"/>
      <c r="AH456" s="1118">
        <v>17124.939999999999</v>
      </c>
      <c r="AI456" s="3521"/>
      <c r="AJ456" s="775">
        <f t="shared" si="567"/>
        <v>105781.48</v>
      </c>
      <c r="AK456" s="6041"/>
      <c r="AL456" s="1118">
        <v>8766.4500000000007</v>
      </c>
      <c r="AM456" s="6070"/>
      <c r="AN456" s="373">
        <f t="shared" si="568"/>
        <v>39949.360000000001</v>
      </c>
      <c r="AO456" s="6096"/>
      <c r="AP456" s="775">
        <f t="shared" si="569"/>
        <v>114547.93</v>
      </c>
      <c r="AQ456" s="6041"/>
      <c r="AR456" s="1118">
        <v>8241.489999999998</v>
      </c>
      <c r="AS456" s="3521"/>
      <c r="AT456" s="775">
        <f t="shared" si="570"/>
        <v>122789.41999999998</v>
      </c>
      <c r="AU456" s="6041"/>
      <c r="AV456" s="1118">
        <v>2976.3999999999996</v>
      </c>
      <c r="AW456" s="3521"/>
      <c r="AX456" s="775">
        <f t="shared" si="571"/>
        <v>125765.81999999998</v>
      </c>
      <c r="AY456" s="6041"/>
      <c r="AZ456" s="1118">
        <v>8507.239999999998</v>
      </c>
      <c r="BA456" s="6070"/>
      <c r="BB456" s="373">
        <f t="shared" si="572"/>
        <v>19725.129999999997</v>
      </c>
      <c r="BC456" s="6077"/>
      <c r="BD456" s="539">
        <f t="shared" si="573"/>
        <v>59674.49</v>
      </c>
      <c r="BE456" s="3521"/>
      <c r="BF456" s="775">
        <f t="shared" si="574"/>
        <v>134273.05999999997</v>
      </c>
      <c r="BG456" s="26">
        <f t="shared" si="537"/>
        <v>0</v>
      </c>
      <c r="BH456" s="26">
        <f t="shared" si="538"/>
        <v>0</v>
      </c>
      <c r="BI456" s="26"/>
      <c r="BJ456" s="26">
        <f t="shared" si="539"/>
        <v>0</v>
      </c>
      <c r="BK456" s="26">
        <f t="shared" si="540"/>
        <v>0</v>
      </c>
    </row>
    <row r="457" spans="1:63" x14ac:dyDescent="0.3">
      <c r="A457" s="92" t="s">
        <v>2021</v>
      </c>
      <c r="B457" s="4442" t="s">
        <v>2054</v>
      </c>
      <c r="C457" s="4814" t="s">
        <v>50</v>
      </c>
      <c r="D457" s="4814"/>
      <c r="E457" s="6045"/>
      <c r="F457" s="4848"/>
      <c r="G457" s="6045"/>
      <c r="H457" s="4848"/>
      <c r="I457" s="6100"/>
      <c r="J457" s="775">
        <f t="shared" si="560"/>
        <v>0</v>
      </c>
      <c r="K457" s="6045"/>
      <c r="L457" s="4848">
        <v>323.84000000000003</v>
      </c>
      <c r="M457" s="6074"/>
      <c r="N457" s="774">
        <f t="shared" si="561"/>
        <v>323.84000000000003</v>
      </c>
      <c r="O457" s="6045"/>
      <c r="P457" s="4848">
        <v>1182.6399999999996</v>
      </c>
      <c r="Q457" s="6100"/>
      <c r="R457" s="775">
        <f t="shared" si="562"/>
        <v>1506.4799999999996</v>
      </c>
      <c r="S457" s="6045"/>
      <c r="T457" s="4848"/>
      <c r="U457" s="6100"/>
      <c r="V457" s="775">
        <f t="shared" si="563"/>
        <v>1506.4799999999996</v>
      </c>
      <c r="W457" s="6045"/>
      <c r="X457" s="4848"/>
      <c r="Y457" s="6074"/>
      <c r="Z457" s="774">
        <f t="shared" si="564"/>
        <v>1182.6399999999996</v>
      </c>
      <c r="AA457" s="6081"/>
      <c r="AB457" s="460">
        <f t="shared" si="565"/>
        <v>1506.4799999999996</v>
      </c>
      <c r="AC457" s="6045"/>
      <c r="AD457" s="4848">
        <v>394.46000000000004</v>
      </c>
      <c r="AE457" s="6100"/>
      <c r="AF457" s="775">
        <f t="shared" si="566"/>
        <v>1900.9399999999996</v>
      </c>
      <c r="AG457" s="6045"/>
      <c r="AH457" s="4848"/>
      <c r="AI457" s="3521"/>
      <c r="AJ457" s="775">
        <f t="shared" si="567"/>
        <v>1900.9399999999996</v>
      </c>
      <c r="AK457" s="6045"/>
      <c r="AL457" s="4848"/>
      <c r="AM457" s="6074"/>
      <c r="AN457" s="373">
        <f t="shared" si="568"/>
        <v>394.46000000000004</v>
      </c>
      <c r="AO457" s="6100"/>
      <c r="AP457" s="775">
        <f t="shared" si="569"/>
        <v>1900.9399999999996</v>
      </c>
      <c r="AQ457" s="6045"/>
      <c r="AR457" s="4848"/>
      <c r="AS457" s="3521"/>
      <c r="AT457" s="4843">
        <f t="shared" si="570"/>
        <v>1900.9399999999996</v>
      </c>
      <c r="AU457" s="6045"/>
      <c r="AV457" s="4848"/>
      <c r="AW457" s="3521"/>
      <c r="AX457" s="775">
        <f t="shared" si="571"/>
        <v>1900.9399999999996</v>
      </c>
      <c r="AY457" s="6045"/>
      <c r="AZ457" s="4848"/>
      <c r="BA457" s="6074"/>
      <c r="BB457" s="373">
        <f t="shared" si="572"/>
        <v>0</v>
      </c>
      <c r="BC457" s="6081"/>
      <c r="BD457" s="539">
        <f t="shared" si="573"/>
        <v>394.46000000000004</v>
      </c>
      <c r="BE457" s="3521"/>
      <c r="BF457" s="775">
        <f t="shared" si="574"/>
        <v>1900.9399999999996</v>
      </c>
      <c r="BG457" s="26">
        <f t="shared" si="537"/>
        <v>0</v>
      </c>
      <c r="BH457" s="26">
        <f t="shared" si="538"/>
        <v>0</v>
      </c>
      <c r="BI457" s="26"/>
      <c r="BJ457" s="26">
        <f t="shared" si="539"/>
        <v>0</v>
      </c>
      <c r="BK457" s="26">
        <f t="shared" si="540"/>
        <v>0</v>
      </c>
    </row>
    <row r="458" spans="1:63" x14ac:dyDescent="0.3">
      <c r="A458" s="92"/>
      <c r="B458" s="8" t="s">
        <v>1943</v>
      </c>
      <c r="C458" s="2546" t="s">
        <v>50</v>
      </c>
      <c r="D458" s="2546"/>
      <c r="E458" s="6046"/>
      <c r="F458" s="2599"/>
      <c r="G458" s="6046"/>
      <c r="H458" s="2599"/>
      <c r="I458" s="6101"/>
      <c r="J458" s="775">
        <f t="shared" si="560"/>
        <v>0</v>
      </c>
      <c r="K458" s="6046"/>
      <c r="L458" s="2599"/>
      <c r="M458" s="6075"/>
      <c r="N458" s="774">
        <f t="shared" si="561"/>
        <v>0</v>
      </c>
      <c r="O458" s="6046"/>
      <c r="P458" s="2599"/>
      <c r="Q458" s="6101"/>
      <c r="R458" s="775">
        <f t="shared" si="562"/>
        <v>0</v>
      </c>
      <c r="S458" s="6046"/>
      <c r="T458" s="2599"/>
      <c r="U458" s="6101"/>
      <c r="V458" s="775">
        <f t="shared" si="563"/>
        <v>0</v>
      </c>
      <c r="W458" s="6046"/>
      <c r="X458" s="2599"/>
      <c r="Y458" s="6075"/>
      <c r="Z458" s="774">
        <f t="shared" si="564"/>
        <v>0</v>
      </c>
      <c r="AA458" s="6082"/>
      <c r="AB458" s="460">
        <f t="shared" si="565"/>
        <v>0</v>
      </c>
      <c r="AC458" s="6046"/>
      <c r="AD458" s="2599"/>
      <c r="AE458" s="6101"/>
      <c r="AF458" s="775">
        <f t="shared" si="566"/>
        <v>0</v>
      </c>
      <c r="AG458" s="6046"/>
      <c r="AH458" s="2599"/>
      <c r="AI458" s="3521"/>
      <c r="AJ458" s="775">
        <f t="shared" si="567"/>
        <v>0</v>
      </c>
      <c r="AK458" s="6046"/>
      <c r="AL458" s="2599">
        <v>39.54</v>
      </c>
      <c r="AM458" s="6075"/>
      <c r="AN458" s="373">
        <f t="shared" si="568"/>
        <v>39.54</v>
      </c>
      <c r="AO458" s="6101"/>
      <c r="AP458" s="775">
        <f t="shared" si="569"/>
        <v>39.54</v>
      </c>
      <c r="AQ458" s="6046"/>
      <c r="AR458" s="2599"/>
      <c r="AS458" s="3521"/>
      <c r="AT458" s="775">
        <f t="shared" si="570"/>
        <v>39.54</v>
      </c>
      <c r="AU458" s="6046"/>
      <c r="AV458" s="2599"/>
      <c r="AW458" s="3521"/>
      <c r="AX458" s="775">
        <f t="shared" si="571"/>
        <v>39.54</v>
      </c>
      <c r="AY458" s="6046"/>
      <c r="AZ458" s="2599"/>
      <c r="BA458" s="6075"/>
      <c r="BB458" s="373">
        <f t="shared" si="572"/>
        <v>0</v>
      </c>
      <c r="BC458" s="6082"/>
      <c r="BD458" s="539">
        <f t="shared" si="573"/>
        <v>39.54</v>
      </c>
      <c r="BE458" s="3521"/>
      <c r="BF458" s="775">
        <f t="shared" si="574"/>
        <v>39.54</v>
      </c>
      <c r="BG458" s="26">
        <f t="shared" si="537"/>
        <v>0</v>
      </c>
      <c r="BH458" s="26">
        <f t="shared" si="538"/>
        <v>0</v>
      </c>
      <c r="BI458" s="26"/>
      <c r="BJ458" s="26">
        <f t="shared" si="539"/>
        <v>0</v>
      </c>
      <c r="BK458" s="26">
        <f t="shared" si="540"/>
        <v>0</v>
      </c>
    </row>
    <row r="459" spans="1:63" x14ac:dyDescent="0.3">
      <c r="A459" s="92"/>
      <c r="B459" s="8" t="s">
        <v>1108</v>
      </c>
      <c r="C459" s="156" t="s">
        <v>50</v>
      </c>
      <c r="D459" s="156"/>
      <c r="E459" s="6041"/>
      <c r="F459" s="1118"/>
      <c r="G459" s="6041"/>
      <c r="H459" s="1118"/>
      <c r="I459" s="6096"/>
      <c r="J459" s="775">
        <f t="shared" si="560"/>
        <v>0</v>
      </c>
      <c r="K459" s="6041"/>
      <c r="L459" s="1118">
        <v>134.82</v>
      </c>
      <c r="M459" s="6070"/>
      <c r="N459" s="774">
        <f t="shared" si="561"/>
        <v>134.82</v>
      </c>
      <c r="O459" s="6041"/>
      <c r="P459" s="1118"/>
      <c r="Q459" s="6096"/>
      <c r="R459" s="775">
        <f t="shared" si="562"/>
        <v>134.82</v>
      </c>
      <c r="S459" s="6041"/>
      <c r="T459" s="1118">
        <v>393.38</v>
      </c>
      <c r="U459" s="6096"/>
      <c r="V459" s="775">
        <f t="shared" si="563"/>
        <v>528.20000000000005</v>
      </c>
      <c r="W459" s="6041"/>
      <c r="X459" s="1118"/>
      <c r="Y459" s="6070"/>
      <c r="Z459" s="774">
        <f t="shared" si="564"/>
        <v>393.38</v>
      </c>
      <c r="AA459" s="6077"/>
      <c r="AB459" s="460">
        <f t="shared" si="565"/>
        <v>528.20000000000005</v>
      </c>
      <c r="AC459" s="6041"/>
      <c r="AD459" s="1118"/>
      <c r="AE459" s="6096"/>
      <c r="AF459" s="775">
        <f t="shared" si="566"/>
        <v>528.20000000000005</v>
      </c>
      <c r="AG459" s="6041"/>
      <c r="AH459" s="1118">
        <v>7125.0499999999993</v>
      </c>
      <c r="AI459" s="3521"/>
      <c r="AJ459" s="775">
        <f t="shared" si="567"/>
        <v>7653.2499999999991</v>
      </c>
      <c r="AK459" s="6041"/>
      <c r="AL459" s="1118">
        <v>16089.290000000006</v>
      </c>
      <c r="AM459" s="6070"/>
      <c r="AN459" s="373">
        <f t="shared" si="568"/>
        <v>23214.340000000004</v>
      </c>
      <c r="AO459" s="6096"/>
      <c r="AP459" s="775">
        <f t="shared" si="569"/>
        <v>23742.540000000005</v>
      </c>
      <c r="AQ459" s="6041"/>
      <c r="AR459" s="1118">
        <v>4648.6399999999994</v>
      </c>
      <c r="AS459" s="3521"/>
      <c r="AT459" s="775">
        <f t="shared" si="570"/>
        <v>28391.180000000004</v>
      </c>
      <c r="AU459" s="6041"/>
      <c r="AV459" s="1118">
        <v>365.73000000000008</v>
      </c>
      <c r="AW459" s="3521"/>
      <c r="AX459" s="775">
        <f t="shared" si="571"/>
        <v>28756.910000000003</v>
      </c>
      <c r="AY459" s="6041"/>
      <c r="AZ459" s="1118">
        <v>9063.2999999999975</v>
      </c>
      <c r="BA459" s="6070"/>
      <c r="BB459" s="373">
        <f t="shared" si="572"/>
        <v>14077.669999999998</v>
      </c>
      <c r="BC459" s="6077"/>
      <c r="BD459" s="539">
        <f t="shared" si="573"/>
        <v>37292.01</v>
      </c>
      <c r="BE459" s="3521"/>
      <c r="BF459" s="775">
        <f t="shared" si="574"/>
        <v>37820.21</v>
      </c>
      <c r="BG459" s="26">
        <f t="shared" si="537"/>
        <v>0</v>
      </c>
      <c r="BH459" s="26">
        <f t="shared" si="538"/>
        <v>0</v>
      </c>
      <c r="BI459" s="26"/>
      <c r="BJ459" s="26">
        <f t="shared" si="539"/>
        <v>0</v>
      </c>
      <c r="BK459" s="26">
        <f t="shared" si="540"/>
        <v>0</v>
      </c>
    </row>
    <row r="460" spans="1:63" x14ac:dyDescent="0.3">
      <c r="A460" s="92"/>
      <c r="B460" s="8" t="s">
        <v>1299</v>
      </c>
      <c r="C460" s="156" t="s">
        <v>50</v>
      </c>
      <c r="D460" s="156"/>
      <c r="E460" s="6041"/>
      <c r="F460" s="1118">
        <v>10390.709999999999</v>
      </c>
      <c r="G460" s="6041"/>
      <c r="H460" s="1118">
        <v>13325.969999999996</v>
      </c>
      <c r="I460" s="6096"/>
      <c r="J460" s="775">
        <f t="shared" si="560"/>
        <v>23716.679999999993</v>
      </c>
      <c r="K460" s="6041"/>
      <c r="L460" s="1118">
        <v>10286.739999999998</v>
      </c>
      <c r="M460" s="6070"/>
      <c r="N460" s="774">
        <f t="shared" si="561"/>
        <v>34003.419999999991</v>
      </c>
      <c r="O460" s="6041"/>
      <c r="P460" s="1118">
        <v>10198.68</v>
      </c>
      <c r="Q460" s="6096"/>
      <c r="R460" s="775">
        <f t="shared" si="562"/>
        <v>44202.099999999991</v>
      </c>
      <c r="S460" s="6041"/>
      <c r="T460" s="1118">
        <v>18858.320000000011</v>
      </c>
      <c r="U460" s="6096"/>
      <c r="V460" s="775">
        <f t="shared" si="563"/>
        <v>63060.42</v>
      </c>
      <c r="W460" s="6041"/>
      <c r="X460" s="1118">
        <v>10733.940000000004</v>
      </c>
      <c r="Y460" s="6070"/>
      <c r="Z460" s="774">
        <f t="shared" si="564"/>
        <v>39790.940000000017</v>
      </c>
      <c r="AA460" s="6077"/>
      <c r="AB460" s="460">
        <f t="shared" si="565"/>
        <v>73794.360000000015</v>
      </c>
      <c r="AC460" s="6041"/>
      <c r="AD460" s="1118">
        <v>11557.970000000001</v>
      </c>
      <c r="AE460" s="6096"/>
      <c r="AF460" s="775">
        <f t="shared" si="566"/>
        <v>85352.330000000016</v>
      </c>
      <c r="AG460" s="6041"/>
      <c r="AH460" s="1118">
        <v>8970.5300000000025</v>
      </c>
      <c r="AI460" s="3521"/>
      <c r="AJ460" s="775">
        <f t="shared" si="567"/>
        <v>94322.860000000015</v>
      </c>
      <c r="AK460" s="6041"/>
      <c r="AL460" s="1118"/>
      <c r="AM460" s="6070"/>
      <c r="AN460" s="373">
        <f t="shared" si="568"/>
        <v>20528.500000000004</v>
      </c>
      <c r="AO460" s="6096"/>
      <c r="AP460" s="775">
        <f t="shared" si="569"/>
        <v>94322.860000000015</v>
      </c>
      <c r="AQ460" s="6041"/>
      <c r="AR460" s="1118"/>
      <c r="AS460" s="3521"/>
      <c r="AT460" s="775">
        <f t="shared" si="570"/>
        <v>94322.860000000015</v>
      </c>
      <c r="AU460" s="6041"/>
      <c r="AV460" s="1118"/>
      <c r="AW460" s="3521"/>
      <c r="AX460" s="775">
        <f t="shared" si="571"/>
        <v>94322.860000000015</v>
      </c>
      <c r="AY460" s="6041"/>
      <c r="AZ460" s="1118"/>
      <c r="BA460" s="6070"/>
      <c r="BB460" s="373">
        <f t="shared" si="572"/>
        <v>0</v>
      </c>
      <c r="BC460" s="6077"/>
      <c r="BD460" s="539">
        <f t="shared" si="573"/>
        <v>20528.500000000004</v>
      </c>
      <c r="BE460" s="3521"/>
      <c r="BF460" s="775">
        <f t="shared" si="574"/>
        <v>94322.860000000015</v>
      </c>
      <c r="BG460" s="26">
        <f t="shared" si="537"/>
        <v>0</v>
      </c>
      <c r="BH460" s="26">
        <f t="shared" si="538"/>
        <v>0</v>
      </c>
      <c r="BI460" s="26"/>
      <c r="BJ460" s="26">
        <f t="shared" si="539"/>
        <v>0</v>
      </c>
      <c r="BK460" s="26">
        <f t="shared" si="540"/>
        <v>0</v>
      </c>
    </row>
    <row r="461" spans="1:63" x14ac:dyDescent="0.3">
      <c r="A461" s="92"/>
      <c r="B461" s="8" t="s">
        <v>1935</v>
      </c>
      <c r="C461" s="156" t="s">
        <v>50</v>
      </c>
      <c r="D461" s="156"/>
      <c r="E461" s="6041"/>
      <c r="F461" s="1118">
        <v>522.98</v>
      </c>
      <c r="G461" s="6041"/>
      <c r="H461" s="1118">
        <v>65.2</v>
      </c>
      <c r="I461" s="6096"/>
      <c r="J461" s="775">
        <f t="shared" si="560"/>
        <v>588.18000000000006</v>
      </c>
      <c r="K461" s="6041"/>
      <c r="L461" s="1118"/>
      <c r="M461" s="6070"/>
      <c r="N461" s="774">
        <f t="shared" si="561"/>
        <v>588.18000000000006</v>
      </c>
      <c r="O461" s="6041"/>
      <c r="P461" s="1118">
        <v>589.56000000000006</v>
      </c>
      <c r="Q461" s="6096"/>
      <c r="R461" s="775">
        <f t="shared" si="562"/>
        <v>1177.7400000000002</v>
      </c>
      <c r="S461" s="6041"/>
      <c r="T461" s="1118"/>
      <c r="U461" s="6096"/>
      <c r="V461" s="775">
        <f t="shared" si="563"/>
        <v>1177.7400000000002</v>
      </c>
      <c r="W461" s="6041"/>
      <c r="X461" s="1118">
        <v>65.22</v>
      </c>
      <c r="Y461" s="6070"/>
      <c r="Z461" s="774">
        <f t="shared" si="564"/>
        <v>654.78000000000009</v>
      </c>
      <c r="AA461" s="6077"/>
      <c r="AB461" s="460">
        <f t="shared" si="565"/>
        <v>1242.96</v>
      </c>
      <c r="AC461" s="6041"/>
      <c r="AD461" s="1118"/>
      <c r="AE461" s="6096"/>
      <c r="AF461" s="775">
        <f t="shared" si="566"/>
        <v>1242.96</v>
      </c>
      <c r="AG461" s="6041"/>
      <c r="AH461" s="1118">
        <v>196.04000000000002</v>
      </c>
      <c r="AI461" s="3521"/>
      <c r="AJ461" s="775">
        <f t="shared" si="567"/>
        <v>1439</v>
      </c>
      <c r="AK461" s="6041"/>
      <c r="AL461" s="1118">
        <v>261.62</v>
      </c>
      <c r="AM461" s="6070"/>
      <c r="AN461" s="373">
        <f t="shared" si="568"/>
        <v>457.66</v>
      </c>
      <c r="AO461" s="6096"/>
      <c r="AP461" s="775">
        <f t="shared" si="569"/>
        <v>1700.62</v>
      </c>
      <c r="AQ461" s="6041"/>
      <c r="AR461" s="1118">
        <v>1875.9200000000003</v>
      </c>
      <c r="AS461" s="3521"/>
      <c r="AT461" s="775">
        <f t="shared" si="570"/>
        <v>3576.54</v>
      </c>
      <c r="AU461" s="6041"/>
      <c r="AV461" s="1118"/>
      <c r="AW461" s="3521"/>
      <c r="AX461" s="775">
        <f t="shared" si="571"/>
        <v>3576.54</v>
      </c>
      <c r="AY461" s="6041"/>
      <c r="AZ461" s="1118"/>
      <c r="BA461" s="6070"/>
      <c r="BB461" s="373">
        <f t="shared" si="572"/>
        <v>1875.9200000000003</v>
      </c>
      <c r="BC461" s="6077"/>
      <c r="BD461" s="539">
        <f t="shared" si="573"/>
        <v>2333.5800000000004</v>
      </c>
      <c r="BE461" s="3521"/>
      <c r="BF461" s="775">
        <f t="shared" si="574"/>
        <v>3576.54</v>
      </c>
      <c r="BG461" s="26">
        <f t="shared" si="537"/>
        <v>0</v>
      </c>
      <c r="BH461" s="26">
        <f t="shared" si="538"/>
        <v>0</v>
      </c>
      <c r="BI461" s="26"/>
      <c r="BJ461" s="26">
        <f t="shared" si="539"/>
        <v>0</v>
      </c>
      <c r="BK461" s="26">
        <f t="shared" si="540"/>
        <v>0</v>
      </c>
    </row>
    <row r="462" spans="1:63" x14ac:dyDescent="0.3">
      <c r="A462" s="92"/>
      <c r="B462" s="8" t="s">
        <v>1936</v>
      </c>
      <c r="C462" s="156" t="s">
        <v>50</v>
      </c>
      <c r="D462" s="156"/>
      <c r="E462" s="6041"/>
      <c r="F462" s="1118"/>
      <c r="G462" s="6041"/>
      <c r="H462" s="1118"/>
      <c r="I462" s="6096"/>
      <c r="J462" s="775">
        <f t="shared" si="560"/>
        <v>0</v>
      </c>
      <c r="K462" s="6041"/>
      <c r="L462" s="1118">
        <v>3786.9599999999996</v>
      </c>
      <c r="M462" s="6070"/>
      <c r="N462" s="774">
        <f t="shared" si="561"/>
        <v>3786.9599999999996</v>
      </c>
      <c r="O462" s="6041"/>
      <c r="P462" s="1118"/>
      <c r="Q462" s="6096"/>
      <c r="R462" s="775">
        <f t="shared" si="562"/>
        <v>3786.9599999999996</v>
      </c>
      <c r="S462" s="6041"/>
      <c r="T462" s="1118">
        <v>67.78</v>
      </c>
      <c r="U462" s="6096"/>
      <c r="V462" s="775">
        <f t="shared" si="563"/>
        <v>3854.74</v>
      </c>
      <c r="W462" s="6041"/>
      <c r="X462" s="1118">
        <v>1827.2400000000005</v>
      </c>
      <c r="Y462" s="6070"/>
      <c r="Z462" s="774">
        <f t="shared" si="564"/>
        <v>1895.0200000000004</v>
      </c>
      <c r="AA462" s="6077"/>
      <c r="AB462" s="460">
        <f t="shared" si="565"/>
        <v>5681.98</v>
      </c>
      <c r="AC462" s="6041"/>
      <c r="AD462" s="1118">
        <v>6105.8199999999979</v>
      </c>
      <c r="AE462" s="6096"/>
      <c r="AF462" s="775">
        <f t="shared" si="566"/>
        <v>11787.799999999997</v>
      </c>
      <c r="AG462" s="6041"/>
      <c r="AH462" s="1118">
        <v>3747.1599999999994</v>
      </c>
      <c r="AI462" s="3521"/>
      <c r="AJ462" s="775">
        <f t="shared" si="567"/>
        <v>15534.959999999997</v>
      </c>
      <c r="AK462" s="6041"/>
      <c r="AL462" s="1118">
        <v>3579.6400000000012</v>
      </c>
      <c r="AM462" s="6070"/>
      <c r="AN462" s="373">
        <f t="shared" si="568"/>
        <v>13432.619999999999</v>
      </c>
      <c r="AO462" s="6096"/>
      <c r="AP462" s="775">
        <f t="shared" si="569"/>
        <v>19114.599999999999</v>
      </c>
      <c r="AQ462" s="6041"/>
      <c r="AR462" s="1118">
        <v>3543.76</v>
      </c>
      <c r="AS462" s="3521"/>
      <c r="AT462" s="775">
        <f t="shared" si="570"/>
        <v>22658.36</v>
      </c>
      <c r="AU462" s="6041"/>
      <c r="AV462" s="1118">
        <v>1152.56</v>
      </c>
      <c r="AW462" s="3521"/>
      <c r="AX462" s="775">
        <f t="shared" si="571"/>
        <v>23810.920000000002</v>
      </c>
      <c r="AY462" s="6041"/>
      <c r="AZ462" s="1118">
        <v>5419.840000000002</v>
      </c>
      <c r="BA462" s="6070"/>
      <c r="BB462" s="373">
        <f t="shared" si="572"/>
        <v>10116.160000000002</v>
      </c>
      <c r="BC462" s="6077"/>
      <c r="BD462" s="539">
        <f t="shared" si="573"/>
        <v>23548.78</v>
      </c>
      <c r="BE462" s="3521"/>
      <c r="BF462" s="775">
        <f t="shared" si="574"/>
        <v>29230.760000000002</v>
      </c>
      <c r="BG462" s="26">
        <f t="shared" si="537"/>
        <v>0</v>
      </c>
      <c r="BH462" s="26">
        <f t="shared" si="538"/>
        <v>0</v>
      </c>
      <c r="BI462" s="26"/>
      <c r="BJ462" s="26">
        <f t="shared" si="539"/>
        <v>0</v>
      </c>
      <c r="BK462" s="26">
        <f t="shared" si="540"/>
        <v>0</v>
      </c>
    </row>
    <row r="463" spans="1:63" x14ac:dyDescent="0.3">
      <c r="A463" s="92"/>
      <c r="B463" s="8" t="s">
        <v>1937</v>
      </c>
      <c r="C463" s="156" t="s">
        <v>50</v>
      </c>
      <c r="D463" s="156"/>
      <c r="E463" s="6041"/>
      <c r="F463" s="1118"/>
      <c r="G463" s="6041"/>
      <c r="H463" s="1118"/>
      <c r="I463" s="6096"/>
      <c r="J463" s="775">
        <f t="shared" si="560"/>
        <v>0</v>
      </c>
      <c r="K463" s="6041"/>
      <c r="L463" s="1118"/>
      <c r="M463" s="6070"/>
      <c r="N463" s="774">
        <f t="shared" si="561"/>
        <v>0</v>
      </c>
      <c r="O463" s="6041"/>
      <c r="P463" s="1118"/>
      <c r="Q463" s="6096"/>
      <c r="R463" s="775">
        <f t="shared" si="562"/>
        <v>0</v>
      </c>
      <c r="S463" s="6041"/>
      <c r="T463" s="1118"/>
      <c r="U463" s="6096"/>
      <c r="V463" s="775">
        <f t="shared" si="563"/>
        <v>0</v>
      </c>
      <c r="W463" s="6041"/>
      <c r="X463" s="1118"/>
      <c r="Y463" s="6070"/>
      <c r="Z463" s="774">
        <f t="shared" si="564"/>
        <v>0</v>
      </c>
      <c r="AA463" s="6077"/>
      <c r="AB463" s="460">
        <f t="shared" si="565"/>
        <v>0</v>
      </c>
      <c r="AC463" s="6041"/>
      <c r="AD463" s="1118"/>
      <c r="AE463" s="6096"/>
      <c r="AF463" s="775">
        <f t="shared" si="566"/>
        <v>0</v>
      </c>
      <c r="AG463" s="6041"/>
      <c r="AH463" s="1118"/>
      <c r="AI463" s="3521"/>
      <c r="AJ463" s="775">
        <f t="shared" si="567"/>
        <v>0</v>
      </c>
      <c r="AK463" s="6041"/>
      <c r="AL463" s="1118"/>
      <c r="AM463" s="6070"/>
      <c r="AN463" s="373">
        <f t="shared" si="568"/>
        <v>0</v>
      </c>
      <c r="AO463" s="6096"/>
      <c r="AP463" s="775">
        <f t="shared" si="569"/>
        <v>0</v>
      </c>
      <c r="AQ463" s="6041"/>
      <c r="AR463" s="1118"/>
      <c r="AS463" s="3521"/>
      <c r="AT463" s="775">
        <f t="shared" si="570"/>
        <v>0</v>
      </c>
      <c r="AU463" s="6041"/>
      <c r="AV463" s="1118"/>
      <c r="AW463" s="3521"/>
      <c r="AX463" s="775">
        <f t="shared" si="571"/>
        <v>0</v>
      </c>
      <c r="AY463" s="6041"/>
      <c r="AZ463" s="1118"/>
      <c r="BA463" s="6070"/>
      <c r="BB463" s="373">
        <f t="shared" si="572"/>
        <v>0</v>
      </c>
      <c r="BC463" s="6077"/>
      <c r="BD463" s="539">
        <f t="shared" si="573"/>
        <v>0</v>
      </c>
      <c r="BE463" s="3521"/>
      <c r="BF463" s="775">
        <f t="shared" si="574"/>
        <v>0</v>
      </c>
      <c r="BG463" s="26">
        <f t="shared" si="537"/>
        <v>0</v>
      </c>
      <c r="BH463" s="26">
        <f t="shared" si="538"/>
        <v>0</v>
      </c>
      <c r="BI463" s="26"/>
      <c r="BJ463" s="26">
        <f t="shared" si="539"/>
        <v>0</v>
      </c>
      <c r="BK463" s="26">
        <f t="shared" si="540"/>
        <v>0</v>
      </c>
    </row>
    <row r="464" spans="1:63" x14ac:dyDescent="0.3">
      <c r="A464" s="92"/>
      <c r="B464" s="8" t="s">
        <v>1938</v>
      </c>
      <c r="C464" s="156" t="s">
        <v>50</v>
      </c>
      <c r="D464" s="156"/>
      <c r="E464" s="6041"/>
      <c r="F464" s="1118"/>
      <c r="G464" s="6041"/>
      <c r="H464" s="1118"/>
      <c r="I464" s="6096"/>
      <c r="J464" s="775">
        <f t="shared" si="560"/>
        <v>0</v>
      </c>
      <c r="K464" s="6041"/>
      <c r="L464" s="1118"/>
      <c r="M464" s="6070"/>
      <c r="N464" s="774">
        <f t="shared" si="561"/>
        <v>0</v>
      </c>
      <c r="O464" s="6041"/>
      <c r="P464" s="1118"/>
      <c r="Q464" s="6096"/>
      <c r="R464" s="775">
        <f t="shared" si="562"/>
        <v>0</v>
      </c>
      <c r="S464" s="6041"/>
      <c r="T464" s="1118"/>
      <c r="U464" s="6096"/>
      <c r="V464" s="775">
        <f t="shared" si="563"/>
        <v>0</v>
      </c>
      <c r="W464" s="6041"/>
      <c r="X464" s="1118"/>
      <c r="Y464" s="6070"/>
      <c r="Z464" s="774">
        <f t="shared" si="564"/>
        <v>0</v>
      </c>
      <c r="AA464" s="6077"/>
      <c r="AB464" s="460">
        <f t="shared" si="565"/>
        <v>0</v>
      </c>
      <c r="AC464" s="6041"/>
      <c r="AD464" s="1118"/>
      <c r="AE464" s="6096"/>
      <c r="AF464" s="775">
        <f t="shared" si="566"/>
        <v>0</v>
      </c>
      <c r="AG464" s="6041"/>
      <c r="AH464" s="1118"/>
      <c r="AI464" s="3521"/>
      <c r="AJ464" s="775">
        <f t="shared" si="567"/>
        <v>0</v>
      </c>
      <c r="AK464" s="6041"/>
      <c r="AL464" s="1118"/>
      <c r="AM464" s="6070"/>
      <c r="AN464" s="373">
        <f t="shared" si="568"/>
        <v>0</v>
      </c>
      <c r="AO464" s="6096"/>
      <c r="AP464" s="775">
        <f t="shared" si="569"/>
        <v>0</v>
      </c>
      <c r="AQ464" s="6041"/>
      <c r="AR464" s="1118"/>
      <c r="AS464" s="3521"/>
      <c r="AT464" s="775">
        <f t="shared" si="570"/>
        <v>0</v>
      </c>
      <c r="AU464" s="6041"/>
      <c r="AV464" s="1118"/>
      <c r="AW464" s="3521"/>
      <c r="AX464" s="775">
        <f t="shared" si="571"/>
        <v>0</v>
      </c>
      <c r="AY464" s="6041"/>
      <c r="AZ464" s="1118"/>
      <c r="BA464" s="6070"/>
      <c r="BB464" s="373">
        <f t="shared" si="572"/>
        <v>0</v>
      </c>
      <c r="BC464" s="6077"/>
      <c r="BD464" s="539">
        <f t="shared" si="573"/>
        <v>0</v>
      </c>
      <c r="BE464" s="3521"/>
      <c r="BF464" s="775">
        <f t="shared" si="574"/>
        <v>0</v>
      </c>
      <c r="BG464" s="26">
        <f t="shared" si="537"/>
        <v>0</v>
      </c>
      <c r="BH464" s="26">
        <f t="shared" si="538"/>
        <v>0</v>
      </c>
      <c r="BI464" s="26"/>
      <c r="BJ464" s="26">
        <f t="shared" si="539"/>
        <v>0</v>
      </c>
      <c r="BK464" s="26">
        <f t="shared" si="540"/>
        <v>0</v>
      </c>
    </row>
    <row r="465" spans="1:63" x14ac:dyDescent="0.3">
      <c r="A465" s="92"/>
      <c r="B465" s="4429" t="s">
        <v>1997</v>
      </c>
      <c r="C465" s="4420" t="s">
        <v>50</v>
      </c>
      <c r="D465" s="4420"/>
      <c r="E465" s="6047"/>
      <c r="F465" s="4430">
        <v>1627.1200000000001</v>
      </c>
      <c r="G465" s="6047"/>
      <c r="H465" s="4430"/>
      <c r="I465" s="6102"/>
      <c r="J465" s="775">
        <f t="shared" si="560"/>
        <v>1627.1200000000001</v>
      </c>
      <c r="K465" s="6047"/>
      <c r="L465" s="4430"/>
      <c r="M465" s="6076"/>
      <c r="N465" s="774">
        <f t="shared" si="561"/>
        <v>1627.1200000000001</v>
      </c>
      <c r="O465" s="6047"/>
      <c r="P465" s="4430"/>
      <c r="Q465" s="6102"/>
      <c r="R465" s="775">
        <f t="shared" si="562"/>
        <v>1627.1200000000001</v>
      </c>
      <c r="S465" s="6047"/>
      <c r="T465" s="4430"/>
      <c r="U465" s="6102"/>
      <c r="V465" s="775">
        <f t="shared" si="563"/>
        <v>1627.1200000000001</v>
      </c>
      <c r="W465" s="6047"/>
      <c r="X465" s="4430"/>
      <c r="Y465" s="6076"/>
      <c r="Z465" s="774">
        <f t="shared" si="564"/>
        <v>0</v>
      </c>
      <c r="AA465" s="6083"/>
      <c r="AB465" s="460">
        <f t="shared" si="565"/>
        <v>1627.1200000000001</v>
      </c>
      <c r="AC465" s="6047"/>
      <c r="AD465" s="4430"/>
      <c r="AE465" s="6102"/>
      <c r="AF465" s="775">
        <f t="shared" si="566"/>
        <v>1627.1200000000001</v>
      </c>
      <c r="AG465" s="6047"/>
      <c r="AH465" s="4430"/>
      <c r="AI465" s="3521"/>
      <c r="AJ465" s="775">
        <f t="shared" si="567"/>
        <v>1627.1200000000001</v>
      </c>
      <c r="AK465" s="6047"/>
      <c r="AL465" s="4430"/>
      <c r="AM465" s="6076"/>
      <c r="AN465" s="373">
        <f t="shared" si="568"/>
        <v>0</v>
      </c>
      <c r="AO465" s="6102"/>
      <c r="AP465" s="775">
        <f t="shared" si="569"/>
        <v>1627.1200000000001</v>
      </c>
      <c r="AQ465" s="6047"/>
      <c r="AR465" s="4430"/>
      <c r="AS465" s="3521"/>
      <c r="AT465" s="4403">
        <f t="shared" si="570"/>
        <v>1627.1200000000001</v>
      </c>
      <c r="AU465" s="6047"/>
      <c r="AV465" s="4430"/>
      <c r="AW465" s="3521"/>
      <c r="AX465" s="775">
        <f t="shared" si="571"/>
        <v>1627.1200000000001</v>
      </c>
      <c r="AY465" s="6047"/>
      <c r="AZ465" s="4430"/>
      <c r="BA465" s="6076"/>
      <c r="BB465" s="373">
        <f t="shared" si="572"/>
        <v>0</v>
      </c>
      <c r="BC465" s="6083"/>
      <c r="BD465" s="539">
        <f t="shared" si="573"/>
        <v>0</v>
      </c>
      <c r="BE465" s="3521"/>
      <c r="BF465" s="775">
        <f t="shared" si="574"/>
        <v>1627.1200000000001</v>
      </c>
      <c r="BG465" s="26">
        <f t="shared" si="537"/>
        <v>0</v>
      </c>
      <c r="BH465" s="26">
        <f t="shared" si="538"/>
        <v>0</v>
      </c>
      <c r="BI465" s="26"/>
      <c r="BJ465" s="26">
        <f t="shared" si="539"/>
        <v>0</v>
      </c>
      <c r="BK465" s="26">
        <f t="shared" si="540"/>
        <v>0</v>
      </c>
    </row>
    <row r="466" spans="1:63" x14ac:dyDescent="0.3">
      <c r="A466" s="92"/>
      <c r="B466" s="8" t="s">
        <v>1945</v>
      </c>
      <c r="C466" s="2432" t="s">
        <v>50</v>
      </c>
      <c r="D466" s="2432"/>
      <c r="E466" s="6043"/>
      <c r="F466" s="2422"/>
      <c r="G466" s="6043"/>
      <c r="H466" s="2422">
        <v>261.55999999999995</v>
      </c>
      <c r="I466" s="6098"/>
      <c r="J466" s="775">
        <f t="shared" si="560"/>
        <v>261.55999999999995</v>
      </c>
      <c r="K466" s="6043"/>
      <c r="L466" s="2422"/>
      <c r="M466" s="6072"/>
      <c r="N466" s="774">
        <f t="shared" si="561"/>
        <v>261.55999999999995</v>
      </c>
      <c r="O466" s="6043"/>
      <c r="P466" s="2422">
        <v>389.58</v>
      </c>
      <c r="Q466" s="6098"/>
      <c r="R466" s="775">
        <f t="shared" si="562"/>
        <v>651.13999999999987</v>
      </c>
      <c r="S466" s="6043"/>
      <c r="T466" s="2422">
        <v>130.28</v>
      </c>
      <c r="U466" s="6098"/>
      <c r="V466" s="775">
        <f t="shared" si="563"/>
        <v>781.41999999999985</v>
      </c>
      <c r="W466" s="6043"/>
      <c r="X466" s="2422"/>
      <c r="Y466" s="6072"/>
      <c r="Z466" s="774">
        <f t="shared" si="564"/>
        <v>519.86</v>
      </c>
      <c r="AA466" s="6079"/>
      <c r="AB466" s="460">
        <f t="shared" si="565"/>
        <v>781.42</v>
      </c>
      <c r="AC466" s="6043"/>
      <c r="AD466" s="2422"/>
      <c r="AE466" s="6098"/>
      <c r="AF466" s="775">
        <f t="shared" si="566"/>
        <v>781.42</v>
      </c>
      <c r="AG466" s="6043"/>
      <c r="AH466" s="2422"/>
      <c r="AI466" s="3521"/>
      <c r="AJ466" s="775">
        <f t="shared" si="567"/>
        <v>781.42</v>
      </c>
      <c r="AK466" s="6043"/>
      <c r="AL466" s="2422">
        <v>381.76</v>
      </c>
      <c r="AM466" s="6072"/>
      <c r="AN466" s="373">
        <f t="shared" si="568"/>
        <v>381.76</v>
      </c>
      <c r="AO466" s="6098"/>
      <c r="AP466" s="775">
        <f t="shared" si="569"/>
        <v>1163.1799999999998</v>
      </c>
      <c r="AQ466" s="6043"/>
      <c r="AR466" s="2422"/>
      <c r="AS466" s="3521"/>
      <c r="AT466" s="775">
        <f t="shared" si="570"/>
        <v>1163.1799999999998</v>
      </c>
      <c r="AU466" s="6043"/>
      <c r="AV466" s="2422">
        <v>67.56</v>
      </c>
      <c r="AW466" s="3521"/>
      <c r="AX466" s="775">
        <f t="shared" si="571"/>
        <v>1230.7399999999998</v>
      </c>
      <c r="AY466" s="6043"/>
      <c r="AZ466" s="2422"/>
      <c r="BA466" s="6072"/>
      <c r="BB466" s="373">
        <f t="shared" si="572"/>
        <v>67.56</v>
      </c>
      <c r="BC466" s="6079"/>
      <c r="BD466" s="539">
        <f t="shared" si="573"/>
        <v>449.32</v>
      </c>
      <c r="BE466" s="3521"/>
      <c r="BF466" s="775">
        <f t="shared" si="574"/>
        <v>1230.7399999999998</v>
      </c>
      <c r="BG466" s="26">
        <f t="shared" si="537"/>
        <v>0</v>
      </c>
      <c r="BH466" s="26">
        <f t="shared" si="538"/>
        <v>0</v>
      </c>
      <c r="BI466" s="26"/>
      <c r="BJ466" s="26">
        <f t="shared" si="539"/>
        <v>0</v>
      </c>
      <c r="BK466" s="26">
        <f t="shared" si="540"/>
        <v>0</v>
      </c>
    </row>
    <row r="467" spans="1:63" x14ac:dyDescent="0.3">
      <c r="A467" s="92"/>
      <c r="B467" s="8" t="s">
        <v>1946</v>
      </c>
      <c r="C467" s="2432" t="s">
        <v>50</v>
      </c>
      <c r="D467" s="2432"/>
      <c r="E467" s="6043"/>
      <c r="F467" s="2422">
        <v>5959.1999999999989</v>
      </c>
      <c r="G467" s="6043"/>
      <c r="H467" s="2422">
        <v>8654.3799999999992</v>
      </c>
      <c r="I467" s="6098"/>
      <c r="J467" s="775">
        <f t="shared" si="560"/>
        <v>14613.579999999998</v>
      </c>
      <c r="K467" s="6043"/>
      <c r="L467" s="2422">
        <v>6902.859999999996</v>
      </c>
      <c r="M467" s="6072"/>
      <c r="N467" s="774">
        <f t="shared" si="561"/>
        <v>21516.439999999995</v>
      </c>
      <c r="O467" s="6043"/>
      <c r="P467" s="2422">
        <v>5883.2600000000029</v>
      </c>
      <c r="Q467" s="6098"/>
      <c r="R467" s="775">
        <f t="shared" si="562"/>
        <v>27399.699999999997</v>
      </c>
      <c r="S467" s="6043"/>
      <c r="T467" s="2422">
        <v>7481.6499999999978</v>
      </c>
      <c r="U467" s="6098"/>
      <c r="V467" s="775">
        <f t="shared" si="563"/>
        <v>34881.349999999991</v>
      </c>
      <c r="W467" s="6043"/>
      <c r="X467" s="2422">
        <v>11791.330000000002</v>
      </c>
      <c r="Y467" s="6072"/>
      <c r="Z467" s="774">
        <f t="shared" si="564"/>
        <v>25156.240000000002</v>
      </c>
      <c r="AA467" s="6079"/>
      <c r="AB467" s="460">
        <f t="shared" si="565"/>
        <v>46672.679999999993</v>
      </c>
      <c r="AC467" s="6043"/>
      <c r="AD467" s="2422">
        <v>4011.2299999999991</v>
      </c>
      <c r="AE467" s="6098"/>
      <c r="AF467" s="775">
        <f t="shared" si="566"/>
        <v>50683.909999999989</v>
      </c>
      <c r="AG467" s="6043"/>
      <c r="AH467" s="2422">
        <v>9767.7199999999993</v>
      </c>
      <c r="AI467" s="3521"/>
      <c r="AJ467" s="775">
        <f t="shared" si="567"/>
        <v>60451.62999999999</v>
      </c>
      <c r="AK467" s="6043"/>
      <c r="AL467" s="2422">
        <v>9203.36</v>
      </c>
      <c r="AM467" s="6072"/>
      <c r="AN467" s="373">
        <f t="shared" si="568"/>
        <v>22982.309999999998</v>
      </c>
      <c r="AO467" s="6098"/>
      <c r="AP467" s="775">
        <f t="shared" si="569"/>
        <v>69654.989999999991</v>
      </c>
      <c r="AQ467" s="6043"/>
      <c r="AR467" s="2422">
        <v>5812.8600000000006</v>
      </c>
      <c r="AS467" s="3521"/>
      <c r="AT467" s="775">
        <f t="shared" si="570"/>
        <v>75467.849999999991</v>
      </c>
      <c r="AU467" s="6043"/>
      <c r="AV467" s="2422">
        <v>4169.47</v>
      </c>
      <c r="AW467" s="3521"/>
      <c r="AX467" s="775">
        <f t="shared" si="571"/>
        <v>79637.319999999992</v>
      </c>
      <c r="AY467" s="6043"/>
      <c r="AZ467" s="2422">
        <v>6636.7300000000023</v>
      </c>
      <c r="BA467" s="6072"/>
      <c r="BB467" s="373">
        <f t="shared" si="572"/>
        <v>16619.060000000005</v>
      </c>
      <c r="BC467" s="6079"/>
      <c r="BD467" s="539">
        <f t="shared" si="573"/>
        <v>39601.370000000003</v>
      </c>
      <c r="BE467" s="3521"/>
      <c r="BF467" s="775">
        <f t="shared" si="574"/>
        <v>86274.049999999988</v>
      </c>
      <c r="BG467" s="26">
        <f t="shared" ref="BG467:BG530" si="575">AY467+AU467+AQ467+AK467+AG467+AC467+W467+S467+O467+K467+G467+E467-BE467</f>
        <v>0</v>
      </c>
      <c r="BH467" s="26">
        <f t="shared" ref="BH467:BH530" si="576">AZ467+AV467+AR467+AL467+AH467+AD467+X467+T467+P467+L467+H467+F467-BF467</f>
        <v>0</v>
      </c>
      <c r="BI467" s="26"/>
      <c r="BJ467" s="26">
        <f t="shared" ref="BJ467:BJ530" si="577">AY467+AU467+AQ467+AK467+AG467+AC467-BC467</f>
        <v>0</v>
      </c>
      <c r="BK467" s="26">
        <f t="shared" ref="BK467:BK530" si="578">AZ467+AV467+AR467+AL467+AH467+AD467-BD467</f>
        <v>0</v>
      </c>
    </row>
    <row r="468" spans="1:63" x14ac:dyDescent="0.3">
      <c r="A468" s="92"/>
      <c r="B468" s="8" t="s">
        <v>1526</v>
      </c>
      <c r="C468" s="156" t="s">
        <v>50</v>
      </c>
      <c r="D468" s="156"/>
      <c r="E468" s="6041"/>
      <c r="F468" s="1118">
        <v>655.58</v>
      </c>
      <c r="G468" s="6041"/>
      <c r="H468" s="1118"/>
      <c r="I468" s="6096"/>
      <c r="J468" s="775">
        <f t="shared" si="560"/>
        <v>655.58</v>
      </c>
      <c r="K468" s="6041"/>
      <c r="L468" s="1118">
        <v>850.9</v>
      </c>
      <c r="M468" s="6070"/>
      <c r="N468" s="774">
        <f t="shared" si="561"/>
        <v>1506.48</v>
      </c>
      <c r="O468" s="6041"/>
      <c r="P468" s="1118">
        <v>381.94000000000005</v>
      </c>
      <c r="Q468" s="6096"/>
      <c r="R468" s="775">
        <f t="shared" si="562"/>
        <v>1888.42</v>
      </c>
      <c r="S468" s="6041"/>
      <c r="T468" s="1118">
        <v>668.14</v>
      </c>
      <c r="U468" s="6096"/>
      <c r="V468" s="775">
        <f t="shared" si="563"/>
        <v>2556.56</v>
      </c>
      <c r="W468" s="6041"/>
      <c r="X468" s="1118">
        <v>668.87999999999988</v>
      </c>
      <c r="Y468" s="6070"/>
      <c r="Z468" s="774">
        <f t="shared" si="564"/>
        <v>1718.9599999999998</v>
      </c>
      <c r="AA468" s="6077"/>
      <c r="AB468" s="460">
        <f t="shared" si="565"/>
        <v>3225.4399999999996</v>
      </c>
      <c r="AC468" s="6041"/>
      <c r="AD468" s="1118"/>
      <c r="AE468" s="6096"/>
      <c r="AF468" s="775">
        <f t="shared" si="566"/>
        <v>3225.4399999999996</v>
      </c>
      <c r="AG468" s="6041"/>
      <c r="AH468" s="1118">
        <v>1207.5</v>
      </c>
      <c r="AI468" s="3517"/>
      <c r="AJ468" s="775">
        <f t="shared" si="567"/>
        <v>4432.9399999999996</v>
      </c>
      <c r="AK468" s="6041"/>
      <c r="AL468" s="1118">
        <v>385.06</v>
      </c>
      <c r="AM468" s="6070"/>
      <c r="AN468" s="373">
        <f t="shared" si="568"/>
        <v>1592.56</v>
      </c>
      <c r="AO468" s="6096"/>
      <c r="AP468" s="775">
        <f t="shared" si="569"/>
        <v>4818</v>
      </c>
      <c r="AQ468" s="6041"/>
      <c r="AR468" s="1118"/>
      <c r="AS468" s="3517"/>
      <c r="AT468" s="775">
        <f t="shared" si="570"/>
        <v>4818</v>
      </c>
      <c r="AU468" s="6041"/>
      <c r="AV468" s="1118"/>
      <c r="AW468" s="3517"/>
      <c r="AX468" s="775">
        <f t="shared" si="571"/>
        <v>4818</v>
      </c>
      <c r="AY468" s="6041"/>
      <c r="AZ468" s="1118"/>
      <c r="BA468" s="6070"/>
      <c r="BB468" s="373">
        <f t="shared" si="572"/>
        <v>0</v>
      </c>
      <c r="BC468" s="6077"/>
      <c r="BD468" s="539">
        <f t="shared" si="573"/>
        <v>1592.56</v>
      </c>
      <c r="BE468" s="3517"/>
      <c r="BF468" s="775">
        <f t="shared" si="574"/>
        <v>4818</v>
      </c>
      <c r="BG468" s="26">
        <f t="shared" si="575"/>
        <v>0</v>
      </c>
      <c r="BH468" s="26">
        <f t="shared" si="576"/>
        <v>0</v>
      </c>
      <c r="BI468" s="26"/>
      <c r="BJ468" s="26">
        <f t="shared" si="577"/>
        <v>0</v>
      </c>
      <c r="BK468" s="26">
        <f t="shared" si="578"/>
        <v>0</v>
      </c>
    </row>
    <row r="469" spans="1:63" x14ac:dyDescent="0.3">
      <c r="A469" s="92"/>
      <c r="B469" s="8" t="s">
        <v>1947</v>
      </c>
      <c r="C469" s="156" t="s">
        <v>50</v>
      </c>
      <c r="D469" s="156"/>
      <c r="E469" s="6041"/>
      <c r="F469" s="1118"/>
      <c r="G469" s="6041"/>
      <c r="H469" s="1118"/>
      <c r="I469" s="6096"/>
      <c r="J469" s="775">
        <f t="shared" si="560"/>
        <v>0</v>
      </c>
      <c r="K469" s="6041"/>
      <c r="L469" s="1118"/>
      <c r="M469" s="6070"/>
      <c r="N469" s="774">
        <f t="shared" si="561"/>
        <v>0</v>
      </c>
      <c r="O469" s="6041"/>
      <c r="P469" s="1118"/>
      <c r="Q469" s="6096"/>
      <c r="R469" s="775">
        <f t="shared" si="562"/>
        <v>0</v>
      </c>
      <c r="S469" s="6041"/>
      <c r="T469" s="1118"/>
      <c r="U469" s="6096"/>
      <c r="V469" s="775">
        <f t="shared" si="563"/>
        <v>0</v>
      </c>
      <c r="W469" s="6041"/>
      <c r="X469" s="1118"/>
      <c r="Y469" s="6070"/>
      <c r="Z469" s="774">
        <f t="shared" si="564"/>
        <v>0</v>
      </c>
      <c r="AA469" s="6077"/>
      <c r="AB469" s="460">
        <f t="shared" si="565"/>
        <v>0</v>
      </c>
      <c r="AC469" s="6041"/>
      <c r="AD469" s="1118"/>
      <c r="AE469" s="6096"/>
      <c r="AF469" s="775">
        <f t="shared" si="566"/>
        <v>0</v>
      </c>
      <c r="AG469" s="6041"/>
      <c r="AH469" s="1118"/>
      <c r="AI469" s="3517"/>
      <c r="AJ469" s="775">
        <f t="shared" ref="AJ469:AJ471" si="579">AF469+AH469</f>
        <v>0</v>
      </c>
      <c r="AK469" s="6041"/>
      <c r="AL469" s="1118"/>
      <c r="AM469" s="6070"/>
      <c r="AN469" s="373">
        <f t="shared" si="568"/>
        <v>0</v>
      </c>
      <c r="AO469" s="6096"/>
      <c r="AP469" s="775">
        <f t="shared" si="569"/>
        <v>0</v>
      </c>
      <c r="AQ469" s="6041"/>
      <c r="AR469" s="1118"/>
      <c r="AS469" s="3517"/>
      <c r="AT469" s="775">
        <f t="shared" si="570"/>
        <v>0</v>
      </c>
      <c r="AU469" s="6041"/>
      <c r="AV469" s="1118"/>
      <c r="AW469" s="3517"/>
      <c r="AX469" s="775">
        <f t="shared" si="571"/>
        <v>0</v>
      </c>
      <c r="AY469" s="6041"/>
      <c r="AZ469" s="1118"/>
      <c r="BA469" s="6070"/>
      <c r="BB469" s="373">
        <f t="shared" si="572"/>
        <v>0</v>
      </c>
      <c r="BC469" s="6077"/>
      <c r="BD469" s="539">
        <f t="shared" si="573"/>
        <v>0</v>
      </c>
      <c r="BE469" s="3517"/>
      <c r="BF469" s="775">
        <f t="shared" ref="BF469:BF471" si="580">AX469+AZ469</f>
        <v>0</v>
      </c>
      <c r="BG469" s="26">
        <f t="shared" si="575"/>
        <v>0</v>
      </c>
      <c r="BH469" s="26">
        <f t="shared" si="576"/>
        <v>0</v>
      </c>
      <c r="BI469" s="26"/>
      <c r="BJ469" s="26">
        <f t="shared" si="577"/>
        <v>0</v>
      </c>
      <c r="BK469" s="26">
        <f t="shared" si="578"/>
        <v>0</v>
      </c>
    </row>
    <row r="470" spans="1:63" x14ac:dyDescent="0.3">
      <c r="A470" s="92"/>
      <c r="B470" s="8" t="s">
        <v>715</v>
      </c>
      <c r="C470" s="156" t="s">
        <v>50</v>
      </c>
      <c r="D470" s="156"/>
      <c r="E470" s="6041"/>
      <c r="F470" s="1118"/>
      <c r="G470" s="6041"/>
      <c r="H470" s="1118">
        <v>978.01999999999987</v>
      </c>
      <c r="I470" s="6096"/>
      <c r="J470" s="775">
        <f t="shared" si="560"/>
        <v>978.01999999999987</v>
      </c>
      <c r="K470" s="6041"/>
      <c r="L470" s="1118">
        <v>3812.76</v>
      </c>
      <c r="M470" s="6070"/>
      <c r="N470" s="774">
        <f t="shared" si="561"/>
        <v>4790.78</v>
      </c>
      <c r="O470" s="6041"/>
      <c r="P470" s="1118">
        <v>1691.12</v>
      </c>
      <c r="Q470" s="6096"/>
      <c r="R470" s="775">
        <f t="shared" si="562"/>
        <v>6481.9</v>
      </c>
      <c r="S470" s="6041"/>
      <c r="T470" s="1118">
        <v>2387.6999999999998</v>
      </c>
      <c r="U470" s="6096"/>
      <c r="V470" s="775">
        <f t="shared" si="563"/>
        <v>8869.5999999999985</v>
      </c>
      <c r="W470" s="6041"/>
      <c r="X470" s="1118"/>
      <c r="Y470" s="6070"/>
      <c r="Z470" s="774">
        <f t="shared" si="564"/>
        <v>4078.8199999999997</v>
      </c>
      <c r="AA470" s="6077"/>
      <c r="AB470" s="460">
        <f t="shared" si="565"/>
        <v>8869.5999999999985</v>
      </c>
      <c r="AC470" s="6041"/>
      <c r="AD470" s="1118">
        <v>160.26</v>
      </c>
      <c r="AE470" s="6096"/>
      <c r="AF470" s="775">
        <f t="shared" si="566"/>
        <v>9029.8599999999988</v>
      </c>
      <c r="AG470" s="6041"/>
      <c r="AH470" s="1118">
        <v>416.62</v>
      </c>
      <c r="AI470" s="3522"/>
      <c r="AJ470" s="775">
        <f t="shared" si="579"/>
        <v>9446.48</v>
      </c>
      <c r="AK470" s="6041"/>
      <c r="AL470" s="1118"/>
      <c r="AM470" s="6070"/>
      <c r="AN470" s="373">
        <f t="shared" si="568"/>
        <v>576.88</v>
      </c>
      <c r="AO470" s="6096"/>
      <c r="AP470" s="775">
        <f t="shared" si="569"/>
        <v>9446.48</v>
      </c>
      <c r="AQ470" s="6041"/>
      <c r="AR470" s="1118"/>
      <c r="AS470" s="3522"/>
      <c r="AT470" s="775">
        <f t="shared" si="570"/>
        <v>9446.48</v>
      </c>
      <c r="AU470" s="6041"/>
      <c r="AV470" s="1118"/>
      <c r="AW470" s="3522"/>
      <c r="AX470" s="775">
        <f t="shared" si="571"/>
        <v>9446.48</v>
      </c>
      <c r="AY470" s="6041"/>
      <c r="AZ470" s="1118"/>
      <c r="BA470" s="6070"/>
      <c r="BB470" s="373">
        <f t="shared" ref="BB470:BB471" si="581">AR470+AV470+AZ470</f>
        <v>0</v>
      </c>
      <c r="BC470" s="6077"/>
      <c r="BD470" s="539">
        <f t="shared" si="573"/>
        <v>576.88</v>
      </c>
      <c r="BE470" s="3522"/>
      <c r="BF470" s="775">
        <f t="shared" si="580"/>
        <v>9446.48</v>
      </c>
      <c r="BG470" s="26">
        <f t="shared" si="575"/>
        <v>0</v>
      </c>
      <c r="BH470" s="26">
        <f t="shared" si="576"/>
        <v>0</v>
      </c>
      <c r="BI470" s="26"/>
      <c r="BJ470" s="26">
        <f t="shared" si="577"/>
        <v>0</v>
      </c>
      <c r="BK470" s="26">
        <f t="shared" si="578"/>
        <v>0</v>
      </c>
    </row>
    <row r="471" spans="1:63" x14ac:dyDescent="0.3">
      <c r="A471" s="92"/>
      <c r="B471" s="3312" t="s">
        <v>541</v>
      </c>
      <c r="C471" s="202" t="s">
        <v>50</v>
      </c>
      <c r="D471" s="452">
        <f>+D48</f>
        <v>524798</v>
      </c>
      <c r="E471" s="452"/>
      <c r="F471" s="452">
        <f>SUM(F439:F470)</f>
        <v>38297.31</v>
      </c>
      <c r="G471" s="452"/>
      <c r="H471" s="452">
        <f>SUM(H439:H470)</f>
        <v>50015.529999999984</v>
      </c>
      <c r="I471" s="371"/>
      <c r="J471" s="775">
        <f t="shared" si="560"/>
        <v>88312.839999999982</v>
      </c>
      <c r="K471" s="452"/>
      <c r="L471" s="452">
        <f>SUM(L439:L470)</f>
        <v>49786.529999999984</v>
      </c>
      <c r="M471" s="373"/>
      <c r="N471" s="774">
        <f t="shared" si="561"/>
        <v>138099.36999999997</v>
      </c>
      <c r="O471" s="452"/>
      <c r="P471" s="452">
        <f>SUM(P439:P470)</f>
        <v>57214.910000000011</v>
      </c>
      <c r="Q471" s="371"/>
      <c r="R471" s="775">
        <f t="shared" si="562"/>
        <v>195314.27999999997</v>
      </c>
      <c r="S471" s="452"/>
      <c r="T471" s="452">
        <f>SUM(T439:T470)</f>
        <v>62105.790000000008</v>
      </c>
      <c r="U471" s="371"/>
      <c r="V471" s="775">
        <f t="shared" si="563"/>
        <v>257420.06999999998</v>
      </c>
      <c r="W471" s="452"/>
      <c r="X471" s="452">
        <f>SUM(X439:X470)</f>
        <v>53278.05</v>
      </c>
      <c r="Y471" s="373"/>
      <c r="Z471" s="774">
        <f t="shared" si="564"/>
        <v>172598.75</v>
      </c>
      <c r="AA471" s="539"/>
      <c r="AB471" s="460">
        <f t="shared" si="565"/>
        <v>310698.12</v>
      </c>
      <c r="AC471" s="452"/>
      <c r="AD471" s="452">
        <f>SUM(AD439:AD470)</f>
        <v>49314.06</v>
      </c>
      <c r="AE471" s="371"/>
      <c r="AF471" s="775">
        <f t="shared" si="566"/>
        <v>360012.18</v>
      </c>
      <c r="AG471" s="452"/>
      <c r="AH471" s="452">
        <f>SUM(AH439:AH470)</f>
        <v>61336.37</v>
      </c>
      <c r="AI471" s="371"/>
      <c r="AJ471" s="371">
        <f t="shared" si="579"/>
        <v>421348.55</v>
      </c>
      <c r="AK471" s="452"/>
      <c r="AL471" s="452">
        <f>SUM(AL439:AL470)</f>
        <v>53803.310000000012</v>
      </c>
      <c r="AM471" s="373"/>
      <c r="AN471" s="373">
        <f t="shared" si="568"/>
        <v>164453.74</v>
      </c>
      <c r="AO471" s="371"/>
      <c r="AP471" s="371">
        <f t="shared" si="569"/>
        <v>475151.86</v>
      </c>
      <c r="AQ471" s="452"/>
      <c r="AR471" s="452">
        <f>SUM(AR439:AR470)</f>
        <v>38263.58</v>
      </c>
      <c r="AS471" s="371"/>
      <c r="AT471" s="371">
        <f t="shared" ref="AT471" si="582">AP471+AR471</f>
        <v>513415.44</v>
      </c>
      <c r="AU471" s="452"/>
      <c r="AV471" s="452">
        <f>SUM(AV439:AV470)</f>
        <v>14377.009999999998</v>
      </c>
      <c r="AW471" s="371"/>
      <c r="AX471" s="371">
        <f t="shared" ref="AX471" si="583">AT471+AV471</f>
        <v>527792.44999999995</v>
      </c>
      <c r="AY471" s="452"/>
      <c r="AZ471" s="452">
        <f>SUM(AZ439:AZ470)</f>
        <v>38772.68</v>
      </c>
      <c r="BA471" s="373"/>
      <c r="BB471" s="373">
        <f t="shared" si="581"/>
        <v>91413.26999999999</v>
      </c>
      <c r="BC471" s="539"/>
      <c r="BD471" s="539">
        <f t="shared" si="573"/>
        <v>255867.00999999998</v>
      </c>
      <c r="BE471" s="371"/>
      <c r="BF471" s="371">
        <f t="shared" si="580"/>
        <v>566565.13</v>
      </c>
      <c r="BG471" s="26">
        <f t="shared" si="575"/>
        <v>0</v>
      </c>
      <c r="BH471" s="26">
        <f t="shared" si="576"/>
        <v>0</v>
      </c>
      <c r="BI471" s="26"/>
      <c r="BJ471" s="26">
        <f t="shared" si="577"/>
        <v>0</v>
      </c>
      <c r="BK471" s="26">
        <f t="shared" si="578"/>
        <v>0</v>
      </c>
    </row>
    <row r="472" spans="1:63" ht="20.25" customHeight="1" x14ac:dyDescent="0.3">
      <c r="A472" s="92"/>
      <c r="B472" s="3306" t="s">
        <v>540</v>
      </c>
      <c r="C472" s="5767"/>
      <c r="D472" s="3401"/>
      <c r="E472" s="3401"/>
      <c r="F472" s="3401"/>
      <c r="G472" s="3401"/>
      <c r="H472" s="3401"/>
      <c r="I472" s="3470"/>
      <c r="J472" s="775">
        <f t="shared" si="560"/>
        <v>0</v>
      </c>
      <c r="K472" s="3401"/>
      <c r="L472" s="3401"/>
      <c r="M472" s="3471"/>
      <c r="N472" s="774">
        <f t="shared" si="561"/>
        <v>0</v>
      </c>
      <c r="O472" s="3401"/>
      <c r="P472" s="3401"/>
      <c r="Q472" s="3470"/>
      <c r="R472" s="775">
        <f t="shared" si="562"/>
        <v>0</v>
      </c>
      <c r="S472" s="3401"/>
      <c r="T472" s="3401"/>
      <c r="U472" s="3470"/>
      <c r="V472" s="775">
        <f t="shared" si="563"/>
        <v>0</v>
      </c>
      <c r="W472" s="3401"/>
      <c r="X472" s="3401"/>
      <c r="Y472" s="3471"/>
      <c r="Z472" s="774">
        <f t="shared" si="564"/>
        <v>0</v>
      </c>
      <c r="AA472" s="3523"/>
      <c r="AB472" s="460">
        <f t="shared" si="565"/>
        <v>0</v>
      </c>
      <c r="AC472" s="3401"/>
      <c r="AD472" s="3401"/>
      <c r="AE472" s="3470"/>
      <c r="AF472" s="775">
        <f t="shared" si="566"/>
        <v>0</v>
      </c>
      <c r="AG472" s="3401"/>
      <c r="AH472" s="3401"/>
      <c r="AI472" s="3470"/>
      <c r="AJ472" s="3470"/>
      <c r="AK472" s="3401"/>
      <c r="AL472" s="3401"/>
      <c r="AM472" s="3471"/>
      <c r="AN472" s="3471"/>
      <c r="AO472" s="3470"/>
      <c r="AP472" s="3470"/>
      <c r="AQ472" s="3401"/>
      <c r="AR472" s="3401"/>
      <c r="AS472" s="3470"/>
      <c r="AT472" s="3470"/>
      <c r="AU472" s="3401"/>
      <c r="AV472" s="3401"/>
      <c r="AW472" s="3470"/>
      <c r="AX472" s="3470"/>
      <c r="AY472" s="3401"/>
      <c r="AZ472" s="3401"/>
      <c r="BA472" s="3471"/>
      <c r="BB472" s="3471"/>
      <c r="BC472" s="3523"/>
      <c r="BD472" s="3523"/>
      <c r="BE472" s="3470"/>
      <c r="BF472" s="3470"/>
      <c r="BG472" s="26">
        <f t="shared" si="575"/>
        <v>0</v>
      </c>
      <c r="BH472" s="26">
        <f t="shared" si="576"/>
        <v>0</v>
      </c>
      <c r="BI472" s="26"/>
      <c r="BJ472" s="26">
        <f t="shared" si="577"/>
        <v>0</v>
      </c>
      <c r="BK472" s="26">
        <f t="shared" si="578"/>
        <v>0</v>
      </c>
    </row>
    <row r="473" spans="1:63" ht="20.25" customHeight="1" x14ac:dyDescent="0.3">
      <c r="A473" s="151"/>
      <c r="B473" s="3519" t="s">
        <v>1657</v>
      </c>
      <c r="C473" s="156"/>
      <c r="D473" s="156"/>
      <c r="E473" s="3524"/>
      <c r="F473" s="452">
        <f>+F474+F477+F478</f>
        <v>0</v>
      </c>
      <c r="G473" s="3524"/>
      <c r="H473" s="452">
        <f>+H474+H477+H478</f>
        <v>0</v>
      </c>
      <c r="I473" s="3470"/>
      <c r="J473" s="775">
        <f t="shared" si="560"/>
        <v>0</v>
      </c>
      <c r="K473" s="3524"/>
      <c r="L473" s="452">
        <f>+L474+L477+L478</f>
        <v>0</v>
      </c>
      <c r="M473" s="3471"/>
      <c r="N473" s="774">
        <f t="shared" si="561"/>
        <v>0</v>
      </c>
      <c r="O473" s="3524"/>
      <c r="P473" s="452">
        <f>+P474+P477+P478</f>
        <v>0</v>
      </c>
      <c r="Q473" s="3470"/>
      <c r="R473" s="775">
        <f t="shared" si="562"/>
        <v>0</v>
      </c>
      <c r="S473" s="3524"/>
      <c r="T473" s="452">
        <f>+T474+T477+T478</f>
        <v>0</v>
      </c>
      <c r="U473" s="3470"/>
      <c r="V473" s="775">
        <f t="shared" si="563"/>
        <v>0</v>
      </c>
      <c r="W473" s="3524"/>
      <c r="X473" s="452">
        <f>+X474+X477+X478</f>
        <v>0</v>
      </c>
      <c r="Y473" s="3471"/>
      <c r="Z473" s="774">
        <f t="shared" si="564"/>
        <v>0</v>
      </c>
      <c r="AA473" s="3523"/>
      <c r="AB473" s="460">
        <f t="shared" si="565"/>
        <v>0</v>
      </c>
      <c r="AC473" s="3524"/>
      <c r="AD473" s="452">
        <f>+AD474+AD477+AD478</f>
        <v>0</v>
      </c>
      <c r="AE473" s="3470"/>
      <c r="AF473" s="775">
        <f t="shared" si="566"/>
        <v>0</v>
      </c>
      <c r="AG473" s="3524"/>
      <c r="AH473" s="452">
        <f>+AH474+AH477+AH478</f>
        <v>0</v>
      </c>
      <c r="AI473" s="3470"/>
      <c r="AJ473" s="371">
        <f>AF473+AH473</f>
        <v>0</v>
      </c>
      <c r="AK473" s="3524"/>
      <c r="AL473" s="452">
        <f>+AL474+AL477+AL478</f>
        <v>0</v>
      </c>
      <c r="AM473" s="3471"/>
      <c r="AN473" s="373">
        <f t="shared" si="568"/>
        <v>0</v>
      </c>
      <c r="AO473" s="3470"/>
      <c r="AP473" s="371">
        <f t="shared" si="569"/>
        <v>0</v>
      </c>
      <c r="AQ473" s="3524"/>
      <c r="AR473" s="452">
        <f>+AR474+AR477+AR478</f>
        <v>0</v>
      </c>
      <c r="AS473" s="3470"/>
      <c r="AT473" s="371">
        <f>AP473+AR473</f>
        <v>0</v>
      </c>
      <c r="AU473" s="3524"/>
      <c r="AV473" s="452">
        <f>SUM(AV474:AV477)</f>
        <v>2022.0800000000002</v>
      </c>
      <c r="AW473" s="3470"/>
      <c r="AX473" s="371">
        <f>AT473+AV473</f>
        <v>2022.0800000000002</v>
      </c>
      <c r="AY473" s="3524"/>
      <c r="AZ473" s="452">
        <f>SUM(AZ474:AZ477)</f>
        <v>2066.8999999999996</v>
      </c>
      <c r="BA473" s="3471"/>
      <c r="BB473" s="373">
        <f t="shared" ref="BB473:BB489" si="584">AR473+AV473+AZ473</f>
        <v>4088.9799999999996</v>
      </c>
      <c r="BC473" s="3523"/>
      <c r="BD473" s="539">
        <f t="shared" si="573"/>
        <v>4088.9799999999996</v>
      </c>
      <c r="BE473" s="3470"/>
      <c r="BF473" s="371">
        <f>AX473+AZ473</f>
        <v>4088.9799999999996</v>
      </c>
      <c r="BG473" s="26">
        <f t="shared" si="575"/>
        <v>0</v>
      </c>
      <c r="BH473" s="26">
        <f t="shared" si="576"/>
        <v>0</v>
      </c>
      <c r="BI473" s="26"/>
      <c r="BJ473" s="26">
        <f t="shared" si="577"/>
        <v>0</v>
      </c>
      <c r="BK473" s="26">
        <f t="shared" si="578"/>
        <v>0</v>
      </c>
    </row>
    <row r="474" spans="1:63" ht="18.75" customHeight="1" x14ac:dyDescent="0.3">
      <c r="A474" s="151"/>
      <c r="B474" s="3525" t="s">
        <v>1473</v>
      </c>
      <c r="C474" s="156" t="s">
        <v>50</v>
      </c>
      <c r="D474" s="156"/>
      <c r="E474" s="3524"/>
      <c r="F474" s="1118">
        <v>0</v>
      </c>
      <c r="G474" s="3524"/>
      <c r="H474" s="1118">
        <v>0</v>
      </c>
      <c r="I474" s="3470"/>
      <c r="J474" s="775">
        <f t="shared" si="560"/>
        <v>0</v>
      </c>
      <c r="K474" s="3524"/>
      <c r="L474" s="1118">
        <v>0</v>
      </c>
      <c r="M474" s="3471"/>
      <c r="N474" s="774">
        <f t="shared" si="561"/>
        <v>0</v>
      </c>
      <c r="O474" s="3524"/>
      <c r="P474" s="1118">
        <v>0</v>
      </c>
      <c r="Q474" s="3470"/>
      <c r="R474" s="775">
        <f t="shared" si="562"/>
        <v>0</v>
      </c>
      <c r="S474" s="3524"/>
      <c r="T474" s="1118">
        <v>0</v>
      </c>
      <c r="U474" s="3470"/>
      <c r="V474" s="775">
        <f t="shared" si="563"/>
        <v>0</v>
      </c>
      <c r="W474" s="3524"/>
      <c r="X474" s="1118">
        <v>0</v>
      </c>
      <c r="Y474" s="3471"/>
      <c r="Z474" s="774">
        <f t="shared" si="564"/>
        <v>0</v>
      </c>
      <c r="AA474" s="3523"/>
      <c r="AB474" s="460">
        <f t="shared" si="565"/>
        <v>0</v>
      </c>
      <c r="AC474" s="3524"/>
      <c r="AD474" s="1118">
        <v>0</v>
      </c>
      <c r="AE474" s="3470"/>
      <c r="AF474" s="775">
        <f t="shared" si="566"/>
        <v>0</v>
      </c>
      <c r="AG474" s="3524"/>
      <c r="AH474" s="1118">
        <v>0</v>
      </c>
      <c r="AI474" s="3470"/>
      <c r="AJ474" s="775">
        <f t="shared" ref="AJ474:AJ491" si="585">AF474+AH474</f>
        <v>0</v>
      </c>
      <c r="AK474" s="3524"/>
      <c r="AL474" s="1118">
        <v>0</v>
      </c>
      <c r="AM474" s="3471"/>
      <c r="AN474" s="774">
        <f t="shared" si="568"/>
        <v>0</v>
      </c>
      <c r="AO474" s="3470"/>
      <c r="AP474" s="775">
        <f t="shared" si="569"/>
        <v>0</v>
      </c>
      <c r="AQ474" s="3524"/>
      <c r="AR474" s="1118">
        <v>0</v>
      </c>
      <c r="AS474" s="3470"/>
      <c r="AT474" s="775">
        <f t="shared" ref="AT474:AT491" si="586">AP474+AR474</f>
        <v>0</v>
      </c>
      <c r="AU474" s="3524"/>
      <c r="AV474" s="1118">
        <v>0</v>
      </c>
      <c r="AW474" s="3470"/>
      <c r="AX474" s="775">
        <f t="shared" ref="AX474:AX491" si="587">AT474+AV474</f>
        <v>0</v>
      </c>
      <c r="AY474" s="3524"/>
      <c r="AZ474" s="1118"/>
      <c r="BA474" s="3471"/>
      <c r="BB474" s="774">
        <f t="shared" si="584"/>
        <v>0</v>
      </c>
      <c r="BC474" s="3523"/>
      <c r="BD474" s="460">
        <f t="shared" si="573"/>
        <v>0</v>
      </c>
      <c r="BE474" s="3470"/>
      <c r="BF474" s="775">
        <f t="shared" ref="BF474:BF491" si="588">AX474+AZ474</f>
        <v>0</v>
      </c>
      <c r="BG474" s="26">
        <f t="shared" si="575"/>
        <v>0</v>
      </c>
      <c r="BH474" s="26">
        <f t="shared" si="576"/>
        <v>0</v>
      </c>
      <c r="BI474" s="26"/>
      <c r="BJ474" s="26">
        <f t="shared" si="577"/>
        <v>0</v>
      </c>
      <c r="BK474" s="26">
        <f t="shared" si="578"/>
        <v>0</v>
      </c>
    </row>
    <row r="475" spans="1:63" ht="18.75" customHeight="1" x14ac:dyDescent="0.3">
      <c r="A475" s="151"/>
      <c r="B475" s="5411" t="s">
        <v>2281</v>
      </c>
      <c r="C475" s="5346"/>
      <c r="D475" s="5346"/>
      <c r="E475" s="5412"/>
      <c r="F475" s="5308"/>
      <c r="G475" s="5412"/>
      <c r="H475" s="5308"/>
      <c r="I475" s="5413"/>
      <c r="J475" s="5120"/>
      <c r="K475" s="5412"/>
      <c r="L475" s="5308"/>
      <c r="M475" s="5414"/>
      <c r="N475" s="5121"/>
      <c r="O475" s="5412"/>
      <c r="P475" s="5308"/>
      <c r="Q475" s="5413"/>
      <c r="R475" s="5120"/>
      <c r="S475" s="5412"/>
      <c r="T475" s="5308"/>
      <c r="U475" s="5413"/>
      <c r="V475" s="5120"/>
      <c r="W475" s="5412"/>
      <c r="X475" s="5308"/>
      <c r="Y475" s="5414"/>
      <c r="Z475" s="5121"/>
      <c r="AA475" s="5752"/>
      <c r="AB475" s="5406"/>
      <c r="AC475" s="5412"/>
      <c r="AD475" s="5308"/>
      <c r="AE475" s="5413"/>
      <c r="AF475" s="5120"/>
      <c r="AG475" s="5412"/>
      <c r="AH475" s="5308"/>
      <c r="AI475" s="5413"/>
      <c r="AJ475" s="5120"/>
      <c r="AK475" s="5412"/>
      <c r="AL475" s="5308"/>
      <c r="AM475" s="5414"/>
      <c r="AN475" s="5121"/>
      <c r="AO475" s="5413"/>
      <c r="AP475" s="5120"/>
      <c r="AQ475" s="5412"/>
      <c r="AR475" s="5308"/>
      <c r="AS475" s="5413"/>
      <c r="AT475" s="5120"/>
      <c r="AU475" s="5412"/>
      <c r="AV475" s="5308">
        <v>441.44</v>
      </c>
      <c r="AW475" s="5413"/>
      <c r="AX475" s="775">
        <f t="shared" si="587"/>
        <v>441.44</v>
      </c>
      <c r="AY475" s="5412"/>
      <c r="AZ475" s="5308">
        <v>296.89999999999998</v>
      </c>
      <c r="BA475" s="5414"/>
      <c r="BB475" s="774">
        <f t="shared" si="584"/>
        <v>738.33999999999992</v>
      </c>
      <c r="BC475" s="5752"/>
      <c r="BD475" s="460">
        <f t="shared" si="573"/>
        <v>738.33999999999992</v>
      </c>
      <c r="BE475" s="5413"/>
      <c r="BF475" s="775">
        <f t="shared" si="588"/>
        <v>738.33999999999992</v>
      </c>
      <c r="BG475" s="26">
        <f t="shared" si="575"/>
        <v>0</v>
      </c>
      <c r="BH475" s="26">
        <f t="shared" si="576"/>
        <v>0</v>
      </c>
      <c r="BI475" s="26"/>
      <c r="BJ475" s="26">
        <f t="shared" si="577"/>
        <v>0</v>
      </c>
      <c r="BK475" s="26">
        <f t="shared" si="578"/>
        <v>0</v>
      </c>
    </row>
    <row r="476" spans="1:63" ht="18.75" customHeight="1" x14ac:dyDescent="0.3">
      <c r="A476" s="151"/>
      <c r="B476" s="5411" t="s">
        <v>2280</v>
      </c>
      <c r="C476" s="5346"/>
      <c r="D476" s="5346"/>
      <c r="E476" s="5412"/>
      <c r="F476" s="5308"/>
      <c r="G476" s="5412"/>
      <c r="H476" s="5308"/>
      <c r="I476" s="5413"/>
      <c r="J476" s="5120"/>
      <c r="K476" s="5412"/>
      <c r="L476" s="5308"/>
      <c r="M476" s="5414"/>
      <c r="N476" s="5121"/>
      <c r="O476" s="5412"/>
      <c r="P476" s="5308"/>
      <c r="Q476" s="5413"/>
      <c r="R476" s="5120"/>
      <c r="S476" s="5412"/>
      <c r="T476" s="5308"/>
      <c r="U476" s="5413"/>
      <c r="V476" s="5120"/>
      <c r="W476" s="5412"/>
      <c r="X476" s="5308"/>
      <c r="Y476" s="5414"/>
      <c r="Z476" s="5121"/>
      <c r="AA476" s="5752"/>
      <c r="AB476" s="5406"/>
      <c r="AC476" s="5412"/>
      <c r="AD476" s="5308"/>
      <c r="AE476" s="5413"/>
      <c r="AF476" s="5120"/>
      <c r="AG476" s="5412"/>
      <c r="AH476" s="5308"/>
      <c r="AI476" s="5413"/>
      <c r="AJ476" s="5120"/>
      <c r="AK476" s="5412"/>
      <c r="AL476" s="5308"/>
      <c r="AM476" s="5414"/>
      <c r="AN476" s="5121"/>
      <c r="AO476" s="5413"/>
      <c r="AP476" s="5120"/>
      <c r="AQ476" s="5412"/>
      <c r="AR476" s="5308"/>
      <c r="AS476" s="5413"/>
      <c r="AT476" s="5120"/>
      <c r="AU476" s="5412"/>
      <c r="AV476" s="5308">
        <v>1580.64</v>
      </c>
      <c r="AW476" s="5413"/>
      <c r="AX476" s="775">
        <f t="shared" si="587"/>
        <v>1580.64</v>
      </c>
      <c r="AY476" s="5412"/>
      <c r="AZ476" s="5308">
        <v>1769.9999999999998</v>
      </c>
      <c r="BA476" s="5414"/>
      <c r="BB476" s="774">
        <f t="shared" si="584"/>
        <v>3350.64</v>
      </c>
      <c r="BC476" s="5752"/>
      <c r="BD476" s="460">
        <f t="shared" si="573"/>
        <v>3350.64</v>
      </c>
      <c r="BE476" s="5413"/>
      <c r="BF476" s="775">
        <f t="shared" si="588"/>
        <v>3350.64</v>
      </c>
      <c r="BG476" s="26">
        <f t="shared" si="575"/>
        <v>0</v>
      </c>
      <c r="BH476" s="26">
        <f t="shared" si="576"/>
        <v>0</v>
      </c>
      <c r="BI476" s="26"/>
      <c r="BJ476" s="26">
        <f t="shared" si="577"/>
        <v>0</v>
      </c>
      <c r="BK476" s="26">
        <f t="shared" si="578"/>
        <v>0</v>
      </c>
    </row>
    <row r="477" spans="1:63" ht="18.75" customHeight="1" x14ac:dyDescent="0.3">
      <c r="A477" s="151"/>
      <c r="B477" s="3525" t="s">
        <v>1124</v>
      </c>
      <c r="C477" s="156" t="s">
        <v>50</v>
      </c>
      <c r="D477" s="156"/>
      <c r="E477" s="3524"/>
      <c r="F477" s="1118">
        <v>0</v>
      </c>
      <c r="G477" s="3524"/>
      <c r="H477" s="1118">
        <v>0</v>
      </c>
      <c r="I477" s="3470"/>
      <c r="J477" s="775">
        <f t="shared" si="560"/>
        <v>0</v>
      </c>
      <c r="K477" s="3524"/>
      <c r="L477" s="1118">
        <v>0</v>
      </c>
      <c r="M477" s="3471"/>
      <c r="N477" s="774">
        <f t="shared" si="561"/>
        <v>0</v>
      </c>
      <c r="O477" s="3524"/>
      <c r="P477" s="1118">
        <v>0</v>
      </c>
      <c r="Q477" s="3470"/>
      <c r="R477" s="775">
        <f t="shared" si="562"/>
        <v>0</v>
      </c>
      <c r="S477" s="3524"/>
      <c r="T477" s="1118">
        <v>0</v>
      </c>
      <c r="U477" s="3470"/>
      <c r="V477" s="775">
        <f t="shared" si="563"/>
        <v>0</v>
      </c>
      <c r="W477" s="3524"/>
      <c r="X477" s="1118">
        <v>0</v>
      </c>
      <c r="Y477" s="3471"/>
      <c r="Z477" s="774">
        <f t="shared" si="564"/>
        <v>0</v>
      </c>
      <c r="AA477" s="3523"/>
      <c r="AB477" s="460">
        <f t="shared" si="565"/>
        <v>0</v>
      </c>
      <c r="AC477" s="3524"/>
      <c r="AD477" s="1118">
        <v>0</v>
      </c>
      <c r="AE477" s="3470"/>
      <c r="AF477" s="775">
        <f t="shared" si="566"/>
        <v>0</v>
      </c>
      <c r="AG477" s="3524"/>
      <c r="AH477" s="1118">
        <v>0</v>
      </c>
      <c r="AI477" s="3470"/>
      <c r="AJ477" s="775">
        <f t="shared" si="585"/>
        <v>0</v>
      </c>
      <c r="AK477" s="3524"/>
      <c r="AL477" s="1118">
        <v>0</v>
      </c>
      <c r="AM477" s="3471"/>
      <c r="AN477" s="774">
        <f t="shared" si="568"/>
        <v>0</v>
      </c>
      <c r="AO477" s="3470"/>
      <c r="AP477" s="775">
        <f t="shared" si="569"/>
        <v>0</v>
      </c>
      <c r="AQ477" s="3524"/>
      <c r="AR477" s="1118">
        <v>0</v>
      </c>
      <c r="AS477" s="3470"/>
      <c r="AT477" s="775">
        <f t="shared" si="586"/>
        <v>0</v>
      </c>
      <c r="AU477" s="3524"/>
      <c r="AV477" s="1118">
        <v>0</v>
      </c>
      <c r="AW477" s="3470"/>
      <c r="AX477" s="775">
        <f t="shared" si="587"/>
        <v>0</v>
      </c>
      <c r="AY477" s="3524"/>
      <c r="AZ477" s="1118"/>
      <c r="BA477" s="3471"/>
      <c r="BB477" s="774">
        <f t="shared" si="584"/>
        <v>0</v>
      </c>
      <c r="BC477" s="3523"/>
      <c r="BD477" s="460">
        <f t="shared" si="573"/>
        <v>0</v>
      </c>
      <c r="BE477" s="3470"/>
      <c r="BF477" s="775">
        <f t="shared" si="588"/>
        <v>0</v>
      </c>
      <c r="BG477" s="26">
        <f t="shared" si="575"/>
        <v>0</v>
      </c>
      <c r="BH477" s="26">
        <f t="shared" si="576"/>
        <v>0</v>
      </c>
      <c r="BI477" s="26"/>
      <c r="BJ477" s="26">
        <f t="shared" si="577"/>
        <v>0</v>
      </c>
      <c r="BK477" s="26">
        <f t="shared" si="578"/>
        <v>0</v>
      </c>
    </row>
    <row r="478" spans="1:63" ht="18.75" customHeight="1" x14ac:dyDescent="0.3">
      <c r="A478" s="151"/>
      <c r="B478" s="3525" t="s">
        <v>1340</v>
      </c>
      <c r="C478" s="156" t="s">
        <v>50</v>
      </c>
      <c r="D478" s="156"/>
      <c r="E478" s="3524"/>
      <c r="F478" s="1118">
        <v>0</v>
      </c>
      <c r="G478" s="3524"/>
      <c r="H478" s="1118">
        <v>0</v>
      </c>
      <c r="I478" s="3470"/>
      <c r="J478" s="775">
        <f t="shared" si="560"/>
        <v>0</v>
      </c>
      <c r="K478" s="3524"/>
      <c r="L478" s="1118">
        <v>0</v>
      </c>
      <c r="M478" s="3471"/>
      <c r="N478" s="774">
        <f t="shared" si="561"/>
        <v>0</v>
      </c>
      <c r="O478" s="3524"/>
      <c r="P478" s="1118">
        <v>0</v>
      </c>
      <c r="Q478" s="3470"/>
      <c r="R478" s="775">
        <f t="shared" si="562"/>
        <v>0</v>
      </c>
      <c r="S478" s="3524"/>
      <c r="T478" s="1118">
        <v>0</v>
      </c>
      <c r="U478" s="3470"/>
      <c r="V478" s="775">
        <f t="shared" si="563"/>
        <v>0</v>
      </c>
      <c r="W478" s="3524"/>
      <c r="X478" s="1118">
        <v>0</v>
      </c>
      <c r="Y478" s="3471"/>
      <c r="Z478" s="774">
        <f t="shared" si="564"/>
        <v>0</v>
      </c>
      <c r="AA478" s="3523"/>
      <c r="AB478" s="460">
        <f t="shared" si="565"/>
        <v>0</v>
      </c>
      <c r="AC478" s="3524"/>
      <c r="AD478" s="1118">
        <v>0</v>
      </c>
      <c r="AE478" s="3470"/>
      <c r="AF478" s="775">
        <f t="shared" si="566"/>
        <v>0</v>
      </c>
      <c r="AG478" s="3524"/>
      <c r="AH478" s="1118">
        <v>0</v>
      </c>
      <c r="AI478" s="3470"/>
      <c r="AJ478" s="775">
        <f t="shared" si="585"/>
        <v>0</v>
      </c>
      <c r="AK478" s="3524"/>
      <c r="AL478" s="1118">
        <v>0</v>
      </c>
      <c r="AM478" s="3471"/>
      <c r="AN478" s="774">
        <f t="shared" si="568"/>
        <v>0</v>
      </c>
      <c r="AO478" s="3470"/>
      <c r="AP478" s="775">
        <f t="shared" si="569"/>
        <v>0</v>
      </c>
      <c r="AQ478" s="3524"/>
      <c r="AR478" s="1118">
        <v>0</v>
      </c>
      <c r="AS478" s="3470"/>
      <c r="AT478" s="775">
        <f t="shared" si="586"/>
        <v>0</v>
      </c>
      <c r="AU478" s="3524"/>
      <c r="AV478" s="1118">
        <v>0</v>
      </c>
      <c r="AW478" s="3470"/>
      <c r="AX478" s="775">
        <f t="shared" si="587"/>
        <v>0</v>
      </c>
      <c r="AY478" s="3524"/>
      <c r="AZ478" s="1118"/>
      <c r="BA478" s="3471"/>
      <c r="BB478" s="774">
        <f t="shared" si="584"/>
        <v>0</v>
      </c>
      <c r="BC478" s="3523"/>
      <c r="BD478" s="460">
        <f t="shared" si="573"/>
        <v>0</v>
      </c>
      <c r="BE478" s="3470"/>
      <c r="BF478" s="775">
        <f t="shared" si="588"/>
        <v>0</v>
      </c>
      <c r="BG478" s="26">
        <f t="shared" si="575"/>
        <v>0</v>
      </c>
      <c r="BH478" s="26">
        <f t="shared" si="576"/>
        <v>0</v>
      </c>
      <c r="BI478" s="26"/>
      <c r="BJ478" s="26">
        <f t="shared" si="577"/>
        <v>0</v>
      </c>
      <c r="BK478" s="26">
        <f t="shared" si="578"/>
        <v>0</v>
      </c>
    </row>
    <row r="479" spans="1:63" ht="20.25" customHeight="1" x14ac:dyDescent="0.3">
      <c r="A479" s="151"/>
      <c r="B479" s="3519" t="s">
        <v>1580</v>
      </c>
      <c r="C479" s="156" t="s">
        <v>50</v>
      </c>
      <c r="D479" s="156"/>
      <c r="E479" s="3524"/>
      <c r="F479" s="452">
        <f>+F480+F481</f>
        <v>0</v>
      </c>
      <c r="G479" s="3524"/>
      <c r="H479" s="452">
        <f>+H480+H481</f>
        <v>940.18000000000006</v>
      </c>
      <c r="I479" s="3470"/>
      <c r="J479" s="775">
        <f t="shared" si="560"/>
        <v>940.18000000000006</v>
      </c>
      <c r="K479" s="3524"/>
      <c r="L479" s="452">
        <f>+L480+L481</f>
        <v>1065.5999999999999</v>
      </c>
      <c r="M479" s="3471"/>
      <c r="N479" s="774">
        <f t="shared" si="561"/>
        <v>2005.78</v>
      </c>
      <c r="O479" s="3524"/>
      <c r="P479" s="452">
        <f>+P480+P481</f>
        <v>463.1</v>
      </c>
      <c r="Q479" s="3470"/>
      <c r="R479" s="775">
        <f t="shared" si="562"/>
        <v>2468.88</v>
      </c>
      <c r="S479" s="3524"/>
      <c r="T479" s="452">
        <f>+T480+T481</f>
        <v>2488</v>
      </c>
      <c r="U479" s="3470"/>
      <c r="V479" s="775">
        <f t="shared" si="563"/>
        <v>4956.88</v>
      </c>
      <c r="W479" s="3524"/>
      <c r="X479" s="452">
        <f>+X480+X481</f>
        <v>1911</v>
      </c>
      <c r="Y479" s="3471"/>
      <c r="Z479" s="774">
        <f t="shared" si="564"/>
        <v>4862.1000000000004</v>
      </c>
      <c r="AA479" s="3523"/>
      <c r="AB479" s="460">
        <f t="shared" si="565"/>
        <v>6867.88</v>
      </c>
      <c r="AC479" s="3524"/>
      <c r="AD479" s="452">
        <f>+AD480+AD481</f>
        <v>2004.1</v>
      </c>
      <c r="AE479" s="3470"/>
      <c r="AF479" s="775">
        <f t="shared" si="566"/>
        <v>8871.98</v>
      </c>
      <c r="AG479" s="3524"/>
      <c r="AH479" s="452">
        <f>+AH480+AH481</f>
        <v>0</v>
      </c>
      <c r="AI479" s="3470"/>
      <c r="AJ479" s="775">
        <f t="shared" si="585"/>
        <v>8871.98</v>
      </c>
      <c r="AK479" s="3524"/>
      <c r="AL479" s="452">
        <f>+AL480+AL481</f>
        <v>703.34</v>
      </c>
      <c r="AM479" s="3471"/>
      <c r="AN479" s="373">
        <f t="shared" si="568"/>
        <v>2707.44</v>
      </c>
      <c r="AO479" s="3470"/>
      <c r="AP479" s="775">
        <f t="shared" si="569"/>
        <v>9575.32</v>
      </c>
      <c r="AQ479" s="3524"/>
      <c r="AR479" s="452">
        <f>+AR480+AR481</f>
        <v>1927.3999999999999</v>
      </c>
      <c r="AS479" s="3470"/>
      <c r="AT479" s="775">
        <f t="shared" si="586"/>
        <v>11502.72</v>
      </c>
      <c r="AU479" s="3524"/>
      <c r="AV479" s="452">
        <f>+AV480+AV481</f>
        <v>771.36999999999989</v>
      </c>
      <c r="AW479" s="3470"/>
      <c r="AX479" s="775">
        <f t="shared" si="587"/>
        <v>12274.09</v>
      </c>
      <c r="AY479" s="3524"/>
      <c r="AZ479" s="452">
        <f>+AZ480+AZ481</f>
        <v>1582.9700000000003</v>
      </c>
      <c r="BA479" s="3471"/>
      <c r="BB479" s="373">
        <f t="shared" si="584"/>
        <v>4281.74</v>
      </c>
      <c r="BC479" s="3523"/>
      <c r="BD479" s="539">
        <f t="shared" si="573"/>
        <v>6989.18</v>
      </c>
      <c r="BE479" s="3470"/>
      <c r="BF479" s="775">
        <f t="shared" si="588"/>
        <v>13857.060000000001</v>
      </c>
      <c r="BG479" s="26">
        <f t="shared" si="575"/>
        <v>0</v>
      </c>
      <c r="BH479" s="26">
        <f t="shared" si="576"/>
        <v>0</v>
      </c>
      <c r="BI479" s="26"/>
      <c r="BJ479" s="26">
        <f t="shared" si="577"/>
        <v>0</v>
      </c>
      <c r="BK479" s="26">
        <f t="shared" si="578"/>
        <v>0</v>
      </c>
    </row>
    <row r="480" spans="1:63" ht="21.15" customHeight="1" x14ac:dyDescent="0.3">
      <c r="A480" s="151"/>
      <c r="B480" s="3525" t="s">
        <v>1327</v>
      </c>
      <c r="C480" s="156" t="s">
        <v>50</v>
      </c>
      <c r="D480" s="701"/>
      <c r="E480" s="3524"/>
      <c r="F480" s="1118"/>
      <c r="G480" s="3524"/>
      <c r="H480" s="1118">
        <v>299.72000000000003</v>
      </c>
      <c r="I480" s="3526"/>
      <c r="J480" s="775">
        <f t="shared" si="560"/>
        <v>299.72000000000003</v>
      </c>
      <c r="K480" s="3524"/>
      <c r="L480" s="1118"/>
      <c r="M480" s="3527"/>
      <c r="N480" s="774">
        <f t="shared" si="561"/>
        <v>299.72000000000003</v>
      </c>
      <c r="O480" s="3524"/>
      <c r="P480" s="1118"/>
      <c r="Q480" s="3526"/>
      <c r="R480" s="775">
        <f t="shared" si="562"/>
        <v>299.72000000000003</v>
      </c>
      <c r="S480" s="3524"/>
      <c r="T480" s="1118">
        <v>239</v>
      </c>
      <c r="U480" s="3526"/>
      <c r="V480" s="775">
        <f t="shared" si="563"/>
        <v>538.72</v>
      </c>
      <c r="W480" s="3524"/>
      <c r="X480" s="1118">
        <v>497.22999999999996</v>
      </c>
      <c r="Y480" s="3527"/>
      <c r="Z480" s="774">
        <f t="shared" si="564"/>
        <v>736.23</v>
      </c>
      <c r="AA480" s="5753"/>
      <c r="AB480" s="460">
        <f t="shared" si="565"/>
        <v>1035.95</v>
      </c>
      <c r="AC480" s="3524"/>
      <c r="AD480" s="1118">
        <v>2004.1</v>
      </c>
      <c r="AE480" s="3526"/>
      <c r="AF480" s="775">
        <f t="shared" si="566"/>
        <v>3040.05</v>
      </c>
      <c r="AG480" s="3524"/>
      <c r="AH480" s="1118"/>
      <c r="AI480" s="3526"/>
      <c r="AJ480" s="775">
        <f t="shared" si="585"/>
        <v>3040.05</v>
      </c>
      <c r="AK480" s="3524"/>
      <c r="AL480" s="1118"/>
      <c r="AM480" s="3527"/>
      <c r="AN480" s="774">
        <f t="shared" si="568"/>
        <v>2004.1</v>
      </c>
      <c r="AO480" s="3526"/>
      <c r="AP480" s="775">
        <f t="shared" si="569"/>
        <v>3040.05</v>
      </c>
      <c r="AQ480" s="3524"/>
      <c r="AR480" s="1118">
        <v>337.56</v>
      </c>
      <c r="AS480" s="3526"/>
      <c r="AT480" s="775">
        <f t="shared" si="586"/>
        <v>3377.61</v>
      </c>
      <c r="AU480" s="3524"/>
      <c r="AV480" s="1118">
        <v>290.02999999999997</v>
      </c>
      <c r="AW480" s="3526"/>
      <c r="AX480" s="775">
        <f t="shared" si="587"/>
        <v>3667.6400000000003</v>
      </c>
      <c r="AY480" s="3524"/>
      <c r="AZ480" s="1118">
        <v>38.71</v>
      </c>
      <c r="BA480" s="3527"/>
      <c r="BB480" s="774">
        <f t="shared" si="584"/>
        <v>666.3</v>
      </c>
      <c r="BC480" s="5753"/>
      <c r="BD480" s="460">
        <f t="shared" si="573"/>
        <v>2670.3999999999996</v>
      </c>
      <c r="BE480" s="3526"/>
      <c r="BF480" s="775">
        <f t="shared" si="588"/>
        <v>3706.3500000000004</v>
      </c>
      <c r="BG480" s="26">
        <f t="shared" si="575"/>
        <v>0</v>
      </c>
      <c r="BH480" s="26">
        <f t="shared" si="576"/>
        <v>0</v>
      </c>
      <c r="BI480" s="26"/>
      <c r="BJ480" s="26">
        <f t="shared" si="577"/>
        <v>0</v>
      </c>
      <c r="BK480" s="26">
        <f t="shared" si="578"/>
        <v>0</v>
      </c>
    </row>
    <row r="481" spans="1:63" ht="27.6" x14ac:dyDescent="0.3">
      <c r="A481" s="151"/>
      <c r="B481" s="3528" t="s">
        <v>2267</v>
      </c>
      <c r="C481" s="156" t="s">
        <v>50</v>
      </c>
      <c r="D481" s="701"/>
      <c r="E481" s="3524"/>
      <c r="F481" s="1118"/>
      <c r="G481" s="3524"/>
      <c r="H481" s="1118">
        <v>640.46</v>
      </c>
      <c r="I481" s="3526"/>
      <c r="J481" s="775">
        <f t="shared" si="560"/>
        <v>640.46</v>
      </c>
      <c r="K481" s="3524"/>
      <c r="L481" s="1118">
        <v>1065.5999999999999</v>
      </c>
      <c r="M481" s="3527"/>
      <c r="N481" s="774">
        <f t="shared" si="561"/>
        <v>1706.06</v>
      </c>
      <c r="O481" s="3524"/>
      <c r="P481" s="1118">
        <v>463.1</v>
      </c>
      <c r="Q481" s="3526"/>
      <c r="R481" s="775">
        <f t="shared" si="562"/>
        <v>2169.16</v>
      </c>
      <c r="S481" s="3524"/>
      <c r="T481" s="1118">
        <v>2249</v>
      </c>
      <c r="U481" s="3526"/>
      <c r="V481" s="775">
        <f t="shared" si="563"/>
        <v>4418.16</v>
      </c>
      <c r="W481" s="3524"/>
      <c r="X481" s="1118">
        <v>1413.77</v>
      </c>
      <c r="Y481" s="3527"/>
      <c r="Z481" s="774">
        <f t="shared" si="564"/>
        <v>4125.87</v>
      </c>
      <c r="AA481" s="5753"/>
      <c r="AB481" s="460">
        <f t="shared" si="565"/>
        <v>5831.93</v>
      </c>
      <c r="AC481" s="3524"/>
      <c r="AD481" s="1118"/>
      <c r="AE481" s="3526"/>
      <c r="AF481" s="775">
        <f t="shared" si="566"/>
        <v>5831.93</v>
      </c>
      <c r="AG481" s="3524"/>
      <c r="AH481" s="1118"/>
      <c r="AI481" s="3526"/>
      <c r="AJ481" s="775">
        <f t="shared" si="585"/>
        <v>5831.93</v>
      </c>
      <c r="AK481" s="3524"/>
      <c r="AL481" s="1118">
        <v>703.34</v>
      </c>
      <c r="AM481" s="3527"/>
      <c r="AN481" s="774">
        <f t="shared" si="568"/>
        <v>703.34</v>
      </c>
      <c r="AO481" s="3526"/>
      <c r="AP481" s="775">
        <f t="shared" si="569"/>
        <v>6535.27</v>
      </c>
      <c r="AQ481" s="3524"/>
      <c r="AR481" s="1118">
        <v>1589.84</v>
      </c>
      <c r="AS481" s="3526"/>
      <c r="AT481" s="775">
        <f t="shared" si="586"/>
        <v>8125.1100000000006</v>
      </c>
      <c r="AU481" s="3524"/>
      <c r="AV481" s="1118">
        <v>481.34</v>
      </c>
      <c r="AW481" s="3526"/>
      <c r="AX481" s="775">
        <f t="shared" si="587"/>
        <v>8606.4500000000007</v>
      </c>
      <c r="AY481" s="3524"/>
      <c r="AZ481" s="1118">
        <v>1544.2600000000002</v>
      </c>
      <c r="BA481" s="3527"/>
      <c r="BB481" s="774">
        <f t="shared" si="584"/>
        <v>3615.44</v>
      </c>
      <c r="BC481" s="5753"/>
      <c r="BD481" s="460">
        <f t="shared" si="573"/>
        <v>4318.78</v>
      </c>
      <c r="BE481" s="3526"/>
      <c r="BF481" s="775">
        <f t="shared" si="588"/>
        <v>10150.710000000001</v>
      </c>
      <c r="BG481" s="26">
        <f t="shared" si="575"/>
        <v>0</v>
      </c>
      <c r="BH481" s="26">
        <f t="shared" si="576"/>
        <v>0</v>
      </c>
      <c r="BI481" s="26"/>
      <c r="BJ481" s="26">
        <f t="shared" si="577"/>
        <v>0</v>
      </c>
      <c r="BK481" s="26">
        <f t="shared" si="578"/>
        <v>0</v>
      </c>
    </row>
    <row r="482" spans="1:63" ht="20.25" customHeight="1" x14ac:dyDescent="0.3">
      <c r="A482" s="151"/>
      <c r="B482" s="3519" t="s">
        <v>636</v>
      </c>
      <c r="C482" s="156" t="s">
        <v>50</v>
      </c>
      <c r="D482" s="156"/>
      <c r="E482" s="3529"/>
      <c r="F482" s="3401"/>
      <c r="G482" s="3529"/>
      <c r="H482" s="3401"/>
      <c r="I482" s="3517"/>
      <c r="J482" s="775">
        <f t="shared" si="560"/>
        <v>0</v>
      </c>
      <c r="K482" s="3529"/>
      <c r="L482" s="3401"/>
      <c r="M482" s="3530"/>
      <c r="N482" s="774">
        <f t="shared" si="561"/>
        <v>0</v>
      </c>
      <c r="O482" s="3529"/>
      <c r="P482" s="3401"/>
      <c r="Q482" s="3517"/>
      <c r="R482" s="775">
        <f t="shared" si="562"/>
        <v>0</v>
      </c>
      <c r="S482" s="3529"/>
      <c r="T482" s="3401"/>
      <c r="U482" s="3517"/>
      <c r="V482" s="775">
        <f t="shared" si="563"/>
        <v>0</v>
      </c>
      <c r="W482" s="3529"/>
      <c r="X482" s="3401"/>
      <c r="Y482" s="3530"/>
      <c r="Z482" s="774">
        <f t="shared" si="564"/>
        <v>0</v>
      </c>
      <c r="AA482" s="5754"/>
      <c r="AB482" s="460">
        <f t="shared" si="565"/>
        <v>0</v>
      </c>
      <c r="AC482" s="3529"/>
      <c r="AD482" s="3401"/>
      <c r="AE482" s="3517"/>
      <c r="AF482" s="775">
        <f t="shared" si="566"/>
        <v>0</v>
      </c>
      <c r="AG482" s="3529"/>
      <c r="AH482" s="3401"/>
      <c r="AI482" s="3517"/>
      <c r="AJ482" s="775">
        <f t="shared" si="585"/>
        <v>0</v>
      </c>
      <c r="AK482" s="3529"/>
      <c r="AL482" s="3401"/>
      <c r="AM482" s="3530"/>
      <c r="AN482" s="774">
        <f t="shared" ref="AN482:AN483" si="589">AD482+AH482+AL482</f>
        <v>0</v>
      </c>
      <c r="AO482" s="3526"/>
      <c r="AP482" s="775">
        <f t="shared" ref="AP482:AP483" si="590">AJ482+AL482</f>
        <v>0</v>
      </c>
      <c r="AQ482" s="3529"/>
      <c r="AR482" s="3401"/>
      <c r="AS482" s="3517"/>
      <c r="AT482" s="775">
        <f t="shared" si="586"/>
        <v>0</v>
      </c>
      <c r="AU482" s="3529"/>
      <c r="AV482" s="3401"/>
      <c r="AW482" s="3517"/>
      <c r="AX482" s="775"/>
      <c r="AY482" s="3529"/>
      <c r="AZ482" s="3401"/>
      <c r="BA482" s="3530"/>
      <c r="BB482" s="774"/>
      <c r="BC482" s="5754"/>
      <c r="BD482" s="460"/>
      <c r="BE482" s="3517"/>
      <c r="BF482" s="775"/>
      <c r="BG482" s="26">
        <f t="shared" si="575"/>
        <v>0</v>
      </c>
      <c r="BH482" s="26">
        <f t="shared" si="576"/>
        <v>0</v>
      </c>
      <c r="BI482" s="26"/>
      <c r="BJ482" s="26">
        <f t="shared" si="577"/>
        <v>0</v>
      </c>
      <c r="BK482" s="26">
        <f t="shared" si="578"/>
        <v>0</v>
      </c>
    </row>
    <row r="483" spans="1:63" x14ac:dyDescent="0.3">
      <c r="A483" s="92"/>
      <c r="B483" s="8" t="s">
        <v>1712</v>
      </c>
      <c r="C483" s="156" t="s">
        <v>50</v>
      </c>
      <c r="D483" s="156"/>
      <c r="E483" s="769"/>
      <c r="F483" s="1118">
        <v>126.98</v>
      </c>
      <c r="G483" s="769"/>
      <c r="H483" s="1118"/>
      <c r="I483" s="3517"/>
      <c r="J483" s="775">
        <f t="shared" si="560"/>
        <v>126.98</v>
      </c>
      <c r="K483" s="769"/>
      <c r="L483" s="1118">
        <v>247.89000000000001</v>
      </c>
      <c r="M483" s="3530"/>
      <c r="N483" s="774">
        <f t="shared" si="561"/>
        <v>374.87</v>
      </c>
      <c r="O483" s="769"/>
      <c r="P483" s="1118">
        <v>381.2</v>
      </c>
      <c r="Q483" s="3517"/>
      <c r="R483" s="775">
        <f t="shared" si="562"/>
        <v>756.06999999999994</v>
      </c>
      <c r="S483" s="769"/>
      <c r="T483" s="1118"/>
      <c r="U483" s="3517"/>
      <c r="V483" s="775">
        <f t="shared" si="563"/>
        <v>756.06999999999994</v>
      </c>
      <c r="W483" s="769"/>
      <c r="X483" s="1118">
        <v>39.79</v>
      </c>
      <c r="Y483" s="3530"/>
      <c r="Z483" s="774">
        <f t="shared" si="564"/>
        <v>420.99</v>
      </c>
      <c r="AA483" s="5754"/>
      <c r="AB483" s="460">
        <f t="shared" si="565"/>
        <v>795.86</v>
      </c>
      <c r="AC483" s="769"/>
      <c r="AD483" s="1118">
        <v>191.86</v>
      </c>
      <c r="AE483" s="3517"/>
      <c r="AF483" s="775">
        <f t="shared" si="566"/>
        <v>987.72</v>
      </c>
      <c r="AG483" s="769"/>
      <c r="AH483" s="1118">
        <v>319.76</v>
      </c>
      <c r="AI483" s="3517"/>
      <c r="AJ483" s="775">
        <f t="shared" si="585"/>
        <v>1307.48</v>
      </c>
      <c r="AK483" s="769"/>
      <c r="AL483" s="1118"/>
      <c r="AM483" s="3530"/>
      <c r="AN483" s="774">
        <f t="shared" si="589"/>
        <v>511.62</v>
      </c>
      <c r="AO483" s="3526"/>
      <c r="AP483" s="775">
        <f t="shared" si="590"/>
        <v>1307.48</v>
      </c>
      <c r="AQ483" s="769"/>
      <c r="AR483" s="1118"/>
      <c r="AS483" s="3517"/>
      <c r="AT483" s="775">
        <f t="shared" si="586"/>
        <v>1307.48</v>
      </c>
      <c r="AU483" s="769"/>
      <c r="AV483" s="1118">
        <v>190.8</v>
      </c>
      <c r="AW483" s="3517"/>
      <c r="AX483" s="775">
        <f t="shared" si="587"/>
        <v>1498.28</v>
      </c>
      <c r="AY483" s="769"/>
      <c r="AZ483" s="1118">
        <v>254.79999999999998</v>
      </c>
      <c r="BA483" s="3530"/>
      <c r="BB483" s="774">
        <f t="shared" si="584"/>
        <v>445.6</v>
      </c>
      <c r="BC483" s="5754"/>
      <c r="BD483" s="460">
        <f t="shared" si="573"/>
        <v>957.22</v>
      </c>
      <c r="BE483" s="3517"/>
      <c r="BF483" s="775">
        <f t="shared" si="588"/>
        <v>1753.08</v>
      </c>
      <c r="BG483" s="26">
        <f t="shared" si="575"/>
        <v>0</v>
      </c>
      <c r="BH483" s="26">
        <f t="shared" si="576"/>
        <v>0</v>
      </c>
      <c r="BI483" s="26"/>
      <c r="BJ483" s="26">
        <f t="shared" si="577"/>
        <v>0</v>
      </c>
      <c r="BK483" s="26">
        <f t="shared" si="578"/>
        <v>0</v>
      </c>
    </row>
    <row r="484" spans="1:63" x14ac:dyDescent="0.3">
      <c r="A484" s="92"/>
      <c r="B484" s="8" t="s">
        <v>1934</v>
      </c>
      <c r="C484" s="156" t="s">
        <v>50</v>
      </c>
      <c r="D484" s="156"/>
      <c r="E484" s="769"/>
      <c r="F484" s="1118"/>
      <c r="G484" s="769"/>
      <c r="H484" s="1118"/>
      <c r="I484" s="3517"/>
      <c r="J484" s="775">
        <f t="shared" si="560"/>
        <v>0</v>
      </c>
      <c r="K484" s="769"/>
      <c r="L484" s="1118"/>
      <c r="M484" s="3530"/>
      <c r="N484" s="774">
        <f t="shared" si="561"/>
        <v>0</v>
      </c>
      <c r="O484" s="769"/>
      <c r="P484" s="1118"/>
      <c r="Q484" s="3517"/>
      <c r="R484" s="775">
        <f t="shared" si="562"/>
        <v>0</v>
      </c>
      <c r="S484" s="769"/>
      <c r="T484" s="1118"/>
      <c r="U484" s="3517"/>
      <c r="V484" s="775">
        <f t="shared" si="563"/>
        <v>0</v>
      </c>
      <c r="W484" s="769"/>
      <c r="X484" s="1118"/>
      <c r="Y484" s="3530"/>
      <c r="Z484" s="774">
        <f t="shared" si="564"/>
        <v>0</v>
      </c>
      <c r="AA484" s="5754"/>
      <c r="AB484" s="460">
        <f t="shared" si="565"/>
        <v>0</v>
      </c>
      <c r="AC484" s="769"/>
      <c r="AD484" s="1118"/>
      <c r="AE484" s="3517"/>
      <c r="AF484" s="775">
        <f t="shared" si="566"/>
        <v>0</v>
      </c>
      <c r="AG484" s="769"/>
      <c r="AH484" s="1118">
        <v>190.3</v>
      </c>
      <c r="AI484" s="3517"/>
      <c r="AJ484" s="775">
        <f t="shared" si="585"/>
        <v>190.3</v>
      </c>
      <c r="AK484" s="769"/>
      <c r="AL484" s="1118"/>
      <c r="AM484" s="3530"/>
      <c r="AN484" s="774">
        <f t="shared" si="568"/>
        <v>190.3</v>
      </c>
      <c r="AO484" s="3517"/>
      <c r="AP484" s="775">
        <f t="shared" si="569"/>
        <v>190.3</v>
      </c>
      <c r="AQ484" s="769"/>
      <c r="AR484" s="1118"/>
      <c r="AS484" s="3517"/>
      <c r="AT484" s="775">
        <f t="shared" si="586"/>
        <v>190.3</v>
      </c>
      <c r="AU484" s="769"/>
      <c r="AV484" s="1118"/>
      <c r="AW484" s="3517"/>
      <c r="AX484" s="775">
        <f t="shared" si="587"/>
        <v>190.3</v>
      </c>
      <c r="AY484" s="769"/>
      <c r="AZ484" s="1118"/>
      <c r="BA484" s="3530"/>
      <c r="BB484" s="774">
        <f t="shared" si="584"/>
        <v>0</v>
      </c>
      <c r="BC484" s="5754"/>
      <c r="BD484" s="460">
        <f t="shared" si="573"/>
        <v>190.3</v>
      </c>
      <c r="BE484" s="3517"/>
      <c r="BF484" s="775">
        <f t="shared" si="588"/>
        <v>190.3</v>
      </c>
      <c r="BG484" s="26">
        <f t="shared" si="575"/>
        <v>0</v>
      </c>
      <c r="BH484" s="26">
        <f t="shared" si="576"/>
        <v>0</v>
      </c>
      <c r="BI484" s="26"/>
      <c r="BJ484" s="26">
        <f t="shared" si="577"/>
        <v>0</v>
      </c>
      <c r="BK484" s="26">
        <f t="shared" si="578"/>
        <v>0</v>
      </c>
    </row>
    <row r="485" spans="1:63" ht="15" customHeight="1" x14ac:dyDescent="0.3">
      <c r="A485" s="92"/>
      <c r="B485" s="8" t="s">
        <v>1575</v>
      </c>
      <c r="C485" s="156" t="s">
        <v>50</v>
      </c>
      <c r="D485" s="156"/>
      <c r="E485" s="769"/>
      <c r="F485" s="1118"/>
      <c r="G485" s="769"/>
      <c r="H485" s="1118"/>
      <c r="I485" s="3517"/>
      <c r="J485" s="775">
        <f t="shared" si="560"/>
        <v>0</v>
      </c>
      <c r="K485" s="769"/>
      <c r="L485" s="1118"/>
      <c r="M485" s="3530"/>
      <c r="N485" s="774">
        <f t="shared" si="561"/>
        <v>0</v>
      </c>
      <c r="O485" s="769"/>
      <c r="P485" s="1118"/>
      <c r="Q485" s="3517"/>
      <c r="R485" s="775">
        <f t="shared" si="562"/>
        <v>0</v>
      </c>
      <c r="S485" s="769"/>
      <c r="T485" s="1118"/>
      <c r="U485" s="3517"/>
      <c r="V485" s="775">
        <f t="shared" si="563"/>
        <v>0</v>
      </c>
      <c r="W485" s="769"/>
      <c r="X485" s="1118"/>
      <c r="Y485" s="3530"/>
      <c r="Z485" s="774">
        <f t="shared" si="564"/>
        <v>0</v>
      </c>
      <c r="AA485" s="5754"/>
      <c r="AB485" s="460">
        <f t="shared" si="565"/>
        <v>0</v>
      </c>
      <c r="AC485" s="769"/>
      <c r="AD485" s="1118"/>
      <c r="AE485" s="3517"/>
      <c r="AF485" s="775">
        <f t="shared" si="566"/>
        <v>0</v>
      </c>
      <c r="AG485" s="769"/>
      <c r="AH485" s="1118"/>
      <c r="AI485" s="3517"/>
      <c r="AJ485" s="775">
        <f t="shared" si="585"/>
        <v>0</v>
      </c>
      <c r="AK485" s="769"/>
      <c r="AL485" s="1118"/>
      <c r="AM485" s="3530"/>
      <c r="AN485" s="774">
        <f t="shared" si="568"/>
        <v>0</v>
      </c>
      <c r="AO485" s="3517"/>
      <c r="AP485" s="775">
        <f t="shared" si="569"/>
        <v>0</v>
      </c>
      <c r="AQ485" s="769"/>
      <c r="AR485" s="1118"/>
      <c r="AS485" s="3517"/>
      <c r="AT485" s="775">
        <f t="shared" si="586"/>
        <v>0</v>
      </c>
      <c r="AU485" s="769"/>
      <c r="AV485" s="1118"/>
      <c r="AW485" s="3517"/>
      <c r="AX485" s="775">
        <f t="shared" si="587"/>
        <v>0</v>
      </c>
      <c r="AY485" s="769"/>
      <c r="AZ485" s="1118"/>
      <c r="BA485" s="3530"/>
      <c r="BB485" s="774">
        <f t="shared" si="584"/>
        <v>0</v>
      </c>
      <c r="BC485" s="5754"/>
      <c r="BD485" s="460">
        <f t="shared" si="573"/>
        <v>0</v>
      </c>
      <c r="BE485" s="3517"/>
      <c r="BF485" s="775">
        <f t="shared" si="588"/>
        <v>0</v>
      </c>
      <c r="BG485" s="26">
        <f t="shared" si="575"/>
        <v>0</v>
      </c>
      <c r="BH485" s="26">
        <f t="shared" si="576"/>
        <v>0</v>
      </c>
      <c r="BI485" s="26"/>
      <c r="BJ485" s="26">
        <f t="shared" si="577"/>
        <v>0</v>
      </c>
      <c r="BK485" s="26">
        <f t="shared" si="578"/>
        <v>0</v>
      </c>
    </row>
    <row r="486" spans="1:63" x14ac:dyDescent="0.3">
      <c r="A486" s="151"/>
      <c r="B486" s="8" t="s">
        <v>549</v>
      </c>
      <c r="C486" s="156" t="s">
        <v>50</v>
      </c>
      <c r="D486" s="156"/>
      <c r="E486" s="769"/>
      <c r="F486" s="1118"/>
      <c r="G486" s="769"/>
      <c r="H486" s="1118"/>
      <c r="I486" s="3517"/>
      <c r="J486" s="775">
        <f t="shared" si="560"/>
        <v>0</v>
      </c>
      <c r="K486" s="769"/>
      <c r="L486" s="1118"/>
      <c r="M486" s="3530"/>
      <c r="N486" s="774">
        <f t="shared" si="561"/>
        <v>0</v>
      </c>
      <c r="O486" s="769"/>
      <c r="P486" s="1118"/>
      <c r="Q486" s="3517"/>
      <c r="R486" s="775">
        <f t="shared" si="562"/>
        <v>0</v>
      </c>
      <c r="S486" s="769"/>
      <c r="T486" s="1118"/>
      <c r="U486" s="3517"/>
      <c r="V486" s="775">
        <f t="shared" si="563"/>
        <v>0</v>
      </c>
      <c r="W486" s="769"/>
      <c r="X486" s="1118"/>
      <c r="Y486" s="3530"/>
      <c r="Z486" s="774">
        <f t="shared" si="564"/>
        <v>0</v>
      </c>
      <c r="AA486" s="5754"/>
      <c r="AB486" s="460">
        <f t="shared" si="565"/>
        <v>0</v>
      </c>
      <c r="AC486" s="769"/>
      <c r="AD486" s="1118"/>
      <c r="AE486" s="3517"/>
      <c r="AF486" s="775">
        <f t="shared" si="566"/>
        <v>0</v>
      </c>
      <c r="AG486" s="769"/>
      <c r="AH486" s="1118"/>
      <c r="AI486" s="3517"/>
      <c r="AJ486" s="775">
        <f t="shared" si="585"/>
        <v>0</v>
      </c>
      <c r="AK486" s="769"/>
      <c r="AL486" s="1118"/>
      <c r="AM486" s="3530"/>
      <c r="AN486" s="774">
        <f t="shared" si="568"/>
        <v>0</v>
      </c>
      <c r="AO486" s="3517"/>
      <c r="AP486" s="775">
        <f t="shared" si="569"/>
        <v>0</v>
      </c>
      <c r="AQ486" s="769"/>
      <c r="AR486" s="1118"/>
      <c r="AS486" s="3517"/>
      <c r="AT486" s="775">
        <f t="shared" si="586"/>
        <v>0</v>
      </c>
      <c r="AU486" s="769"/>
      <c r="AV486" s="1118"/>
      <c r="AW486" s="3517"/>
      <c r="AX486" s="775">
        <f t="shared" si="587"/>
        <v>0</v>
      </c>
      <c r="AY486" s="769"/>
      <c r="AZ486" s="1118"/>
      <c r="BA486" s="3530"/>
      <c r="BB486" s="774">
        <f t="shared" si="584"/>
        <v>0</v>
      </c>
      <c r="BC486" s="5754"/>
      <c r="BD486" s="460">
        <f t="shared" si="573"/>
        <v>0</v>
      </c>
      <c r="BE486" s="3517"/>
      <c r="BF486" s="775">
        <f t="shared" si="588"/>
        <v>0</v>
      </c>
      <c r="BG486" s="26">
        <f t="shared" si="575"/>
        <v>0</v>
      </c>
      <c r="BH486" s="26">
        <f t="shared" si="576"/>
        <v>0</v>
      </c>
      <c r="BI486" s="26"/>
      <c r="BJ486" s="26">
        <f t="shared" si="577"/>
        <v>0</v>
      </c>
      <c r="BK486" s="26">
        <f t="shared" si="578"/>
        <v>0</v>
      </c>
    </row>
    <row r="487" spans="1:63" x14ac:dyDescent="0.3">
      <c r="A487" s="92"/>
      <c r="B487" s="8" t="s">
        <v>713</v>
      </c>
      <c r="C487" s="156" t="s">
        <v>50</v>
      </c>
      <c r="D487" s="156"/>
      <c r="E487" s="769"/>
      <c r="F487" s="1118"/>
      <c r="G487" s="769"/>
      <c r="H487" s="1118">
        <v>2079.3999999999996</v>
      </c>
      <c r="I487" s="3517"/>
      <c r="J487" s="775">
        <f t="shared" si="560"/>
        <v>2079.3999999999996</v>
      </c>
      <c r="K487" s="769"/>
      <c r="L487" s="1118"/>
      <c r="M487" s="3530"/>
      <c r="N487" s="774">
        <f t="shared" si="561"/>
        <v>2079.3999999999996</v>
      </c>
      <c r="O487" s="769"/>
      <c r="P487" s="1118"/>
      <c r="Q487" s="3517"/>
      <c r="R487" s="775">
        <f t="shared" si="562"/>
        <v>2079.3999999999996</v>
      </c>
      <c r="S487" s="769"/>
      <c r="T487" s="1118">
        <v>5383.21</v>
      </c>
      <c r="U487" s="3517"/>
      <c r="V487" s="775">
        <f t="shared" si="563"/>
        <v>7462.61</v>
      </c>
      <c r="W487" s="769"/>
      <c r="X487" s="1118">
        <v>371.69000000000005</v>
      </c>
      <c r="Y487" s="3530"/>
      <c r="Z487" s="774">
        <f t="shared" si="564"/>
        <v>5754.9</v>
      </c>
      <c r="AA487" s="5754"/>
      <c r="AB487" s="460">
        <f t="shared" si="565"/>
        <v>7834.2999999999993</v>
      </c>
      <c r="AC487" s="769"/>
      <c r="AD487" s="1118">
        <v>7791.2599999999966</v>
      </c>
      <c r="AE487" s="3517"/>
      <c r="AF487" s="775">
        <f t="shared" si="566"/>
        <v>15625.559999999996</v>
      </c>
      <c r="AG487" s="769"/>
      <c r="AH487" s="1118">
        <v>1196.5999999999999</v>
      </c>
      <c r="AI487" s="3517"/>
      <c r="AJ487" s="775">
        <f t="shared" si="585"/>
        <v>16822.159999999996</v>
      </c>
      <c r="AK487" s="769"/>
      <c r="AL487" s="1118"/>
      <c r="AM487" s="3530"/>
      <c r="AN487" s="774">
        <f t="shared" si="568"/>
        <v>8987.8599999999969</v>
      </c>
      <c r="AO487" s="3517"/>
      <c r="AP487" s="775">
        <f t="shared" si="569"/>
        <v>16822.159999999996</v>
      </c>
      <c r="AQ487" s="769"/>
      <c r="AR487" s="1118"/>
      <c r="AS487" s="3517"/>
      <c r="AT487" s="775">
        <f t="shared" si="586"/>
        <v>16822.159999999996</v>
      </c>
      <c r="AU487" s="769"/>
      <c r="AV487" s="1118"/>
      <c r="AW487" s="3517"/>
      <c r="AX487" s="775">
        <f t="shared" si="587"/>
        <v>16822.159999999996</v>
      </c>
      <c r="AY487" s="769"/>
      <c r="AZ487" s="1118"/>
      <c r="BA487" s="3530"/>
      <c r="BB487" s="774">
        <f t="shared" si="584"/>
        <v>0</v>
      </c>
      <c r="BC487" s="5754"/>
      <c r="BD487" s="460">
        <f t="shared" si="573"/>
        <v>8987.8599999999969</v>
      </c>
      <c r="BE487" s="3517"/>
      <c r="BF487" s="775">
        <f t="shared" si="588"/>
        <v>16822.159999999996</v>
      </c>
      <c r="BG487" s="26">
        <f t="shared" si="575"/>
        <v>0</v>
      </c>
      <c r="BH487" s="26">
        <f t="shared" si="576"/>
        <v>0</v>
      </c>
      <c r="BI487" s="26"/>
      <c r="BJ487" s="26">
        <f t="shared" si="577"/>
        <v>0</v>
      </c>
      <c r="BK487" s="26">
        <f t="shared" si="578"/>
        <v>0</v>
      </c>
    </row>
    <row r="488" spans="1:63" x14ac:dyDescent="0.3">
      <c r="A488" s="92"/>
      <c r="B488" s="8" t="s">
        <v>714</v>
      </c>
      <c r="C488" s="156" t="s">
        <v>50</v>
      </c>
      <c r="D488" s="156"/>
      <c r="E488" s="769"/>
      <c r="F488" s="1118"/>
      <c r="G488" s="769"/>
      <c r="H488" s="1118"/>
      <c r="I488" s="3517"/>
      <c r="J488" s="775">
        <f t="shared" si="560"/>
        <v>0</v>
      </c>
      <c r="K488" s="769"/>
      <c r="L488" s="1118"/>
      <c r="M488" s="3530"/>
      <c r="N488" s="774">
        <f t="shared" si="561"/>
        <v>0</v>
      </c>
      <c r="O488" s="769"/>
      <c r="P488" s="1118"/>
      <c r="Q488" s="3517"/>
      <c r="R488" s="775">
        <f t="shared" si="562"/>
        <v>0</v>
      </c>
      <c r="S488" s="769"/>
      <c r="T488" s="1118"/>
      <c r="U488" s="3517"/>
      <c r="V488" s="775">
        <f t="shared" si="563"/>
        <v>0</v>
      </c>
      <c r="W488" s="769"/>
      <c r="X488" s="1118"/>
      <c r="Y488" s="3530"/>
      <c r="Z488" s="774">
        <f t="shared" si="564"/>
        <v>0</v>
      </c>
      <c r="AA488" s="5754"/>
      <c r="AB488" s="460">
        <f t="shared" si="565"/>
        <v>0</v>
      </c>
      <c r="AC488" s="769"/>
      <c r="AD488" s="1118"/>
      <c r="AE488" s="3517"/>
      <c r="AF488" s="775">
        <f t="shared" si="566"/>
        <v>0</v>
      </c>
      <c r="AG488" s="769"/>
      <c r="AH488" s="1118"/>
      <c r="AI488" s="3517"/>
      <c r="AJ488" s="775">
        <f t="shared" si="585"/>
        <v>0</v>
      </c>
      <c r="AK488" s="769"/>
      <c r="AL488" s="1118"/>
      <c r="AM488" s="3530"/>
      <c r="AN488" s="774">
        <f t="shared" si="568"/>
        <v>0</v>
      </c>
      <c r="AO488" s="3517"/>
      <c r="AP488" s="775">
        <f t="shared" si="569"/>
        <v>0</v>
      </c>
      <c r="AQ488" s="769"/>
      <c r="AR488" s="1118">
        <v>1814.0600000000004</v>
      </c>
      <c r="AS488" s="3517"/>
      <c r="AT488" s="775">
        <f t="shared" si="586"/>
        <v>1814.0600000000004</v>
      </c>
      <c r="AU488" s="769"/>
      <c r="AV488" s="1118">
        <v>1283.8399999999999</v>
      </c>
      <c r="AW488" s="3517"/>
      <c r="AX488" s="775">
        <f t="shared" si="587"/>
        <v>3097.9000000000005</v>
      </c>
      <c r="AY488" s="769"/>
      <c r="AZ488" s="1118"/>
      <c r="BA488" s="3530"/>
      <c r="BB488" s="774">
        <f t="shared" si="584"/>
        <v>3097.9000000000005</v>
      </c>
      <c r="BC488" s="5754"/>
      <c r="BD488" s="460">
        <f t="shared" si="573"/>
        <v>3097.9000000000005</v>
      </c>
      <c r="BE488" s="3517"/>
      <c r="BF488" s="775">
        <f t="shared" si="588"/>
        <v>3097.9000000000005</v>
      </c>
      <c r="BG488" s="26">
        <f t="shared" si="575"/>
        <v>0</v>
      </c>
      <c r="BH488" s="26">
        <f t="shared" si="576"/>
        <v>0</v>
      </c>
      <c r="BI488" s="26"/>
      <c r="BJ488" s="26">
        <f t="shared" si="577"/>
        <v>0</v>
      </c>
      <c r="BK488" s="26">
        <f t="shared" si="578"/>
        <v>0</v>
      </c>
    </row>
    <row r="489" spans="1:63" x14ac:dyDescent="0.3">
      <c r="A489" s="92"/>
      <c r="B489" s="8" t="s">
        <v>715</v>
      </c>
      <c r="C489" s="156" t="s">
        <v>50</v>
      </c>
      <c r="D489" s="156"/>
      <c r="E489" s="769"/>
      <c r="F489" s="1118"/>
      <c r="G489" s="769"/>
      <c r="H489" s="1118"/>
      <c r="I489" s="3517"/>
      <c r="J489" s="775">
        <f t="shared" si="560"/>
        <v>0</v>
      </c>
      <c r="K489" s="769"/>
      <c r="L489" s="1118"/>
      <c r="M489" s="3530"/>
      <c r="N489" s="774">
        <f t="shared" si="561"/>
        <v>0</v>
      </c>
      <c r="O489" s="769"/>
      <c r="P489" s="1118"/>
      <c r="Q489" s="3517"/>
      <c r="R489" s="775">
        <f t="shared" si="562"/>
        <v>0</v>
      </c>
      <c r="S489" s="769"/>
      <c r="T489" s="1118"/>
      <c r="U489" s="3517"/>
      <c r="V489" s="775">
        <f t="shared" si="563"/>
        <v>0</v>
      </c>
      <c r="W489" s="769"/>
      <c r="X489" s="1118"/>
      <c r="Y489" s="3530"/>
      <c r="Z489" s="774">
        <f t="shared" si="564"/>
        <v>0</v>
      </c>
      <c r="AA489" s="5754"/>
      <c r="AB489" s="460">
        <f t="shared" si="565"/>
        <v>0</v>
      </c>
      <c r="AC489" s="769"/>
      <c r="AD489" s="1118"/>
      <c r="AE489" s="3517"/>
      <c r="AF489" s="775">
        <f t="shared" si="566"/>
        <v>0</v>
      </c>
      <c r="AG489" s="769"/>
      <c r="AH489" s="1118"/>
      <c r="AI489" s="3517"/>
      <c r="AJ489" s="775">
        <f t="shared" si="585"/>
        <v>0</v>
      </c>
      <c r="AK489" s="769"/>
      <c r="AL489" s="1118"/>
      <c r="AM489" s="3530"/>
      <c r="AN489" s="774">
        <f t="shared" si="568"/>
        <v>0</v>
      </c>
      <c r="AO489" s="3517"/>
      <c r="AP489" s="775">
        <f t="shared" si="569"/>
        <v>0</v>
      </c>
      <c r="AQ489" s="769"/>
      <c r="AR489" s="1118"/>
      <c r="AS489" s="3517"/>
      <c r="AT489" s="775">
        <f t="shared" si="586"/>
        <v>0</v>
      </c>
      <c r="AU489" s="769"/>
      <c r="AV489" s="1118"/>
      <c r="AW489" s="3517"/>
      <c r="AX489" s="775">
        <f t="shared" si="587"/>
        <v>0</v>
      </c>
      <c r="AY489" s="769"/>
      <c r="AZ489" s="1118"/>
      <c r="BA489" s="3530"/>
      <c r="BB489" s="774">
        <f t="shared" si="584"/>
        <v>0</v>
      </c>
      <c r="BC489" s="5754"/>
      <c r="BD489" s="460">
        <f t="shared" si="573"/>
        <v>0</v>
      </c>
      <c r="BE489" s="3517"/>
      <c r="BF489" s="775">
        <f t="shared" si="588"/>
        <v>0</v>
      </c>
      <c r="BG489" s="26">
        <f t="shared" si="575"/>
        <v>0</v>
      </c>
      <c r="BH489" s="26">
        <f t="shared" si="576"/>
        <v>0</v>
      </c>
      <c r="BI489" s="26"/>
      <c r="BJ489" s="26">
        <f t="shared" si="577"/>
        <v>0</v>
      </c>
      <c r="BK489" s="26">
        <f t="shared" si="578"/>
        <v>0</v>
      </c>
    </row>
    <row r="490" spans="1:63" ht="20.25" customHeight="1" x14ac:dyDescent="0.3">
      <c r="A490" s="151"/>
      <c r="B490" s="3312" t="s">
        <v>542</v>
      </c>
      <c r="C490" s="202" t="s">
        <v>50</v>
      </c>
      <c r="D490" s="452">
        <f>+D56</f>
        <v>0</v>
      </c>
      <c r="E490" s="452"/>
      <c r="F490" s="452">
        <f>+F473+F479+SUM(F483:F489)</f>
        <v>126.98</v>
      </c>
      <c r="G490" s="452"/>
      <c r="H490" s="452">
        <f>+H473+H479+SUM(H483:H489)</f>
        <v>3019.58</v>
      </c>
      <c r="I490" s="371"/>
      <c r="J490" s="775">
        <f t="shared" si="560"/>
        <v>3146.56</v>
      </c>
      <c r="K490" s="452"/>
      <c r="L490" s="452">
        <f>+L473+L479+SUM(L483:L489)</f>
        <v>1313.49</v>
      </c>
      <c r="M490" s="373"/>
      <c r="N490" s="774">
        <f t="shared" si="561"/>
        <v>4460.05</v>
      </c>
      <c r="O490" s="452"/>
      <c r="P490" s="452">
        <f>+P473+P479+SUM(P483:P489)</f>
        <v>844.3</v>
      </c>
      <c r="Q490" s="371"/>
      <c r="R490" s="775">
        <f t="shared" si="562"/>
        <v>5304.35</v>
      </c>
      <c r="S490" s="452"/>
      <c r="T490" s="452">
        <f>+T473+T479+SUM(T483:T489)</f>
        <v>7871.21</v>
      </c>
      <c r="U490" s="371"/>
      <c r="V490" s="775">
        <f t="shared" si="563"/>
        <v>13175.560000000001</v>
      </c>
      <c r="W490" s="452"/>
      <c r="X490" s="452">
        <f>+X473+X479+SUM(X483:X489)</f>
        <v>2322.48</v>
      </c>
      <c r="Y490" s="373"/>
      <c r="Z490" s="774">
        <f t="shared" si="564"/>
        <v>11037.99</v>
      </c>
      <c r="AA490" s="539"/>
      <c r="AB490" s="460">
        <f t="shared" si="565"/>
        <v>15498.04</v>
      </c>
      <c r="AC490" s="452"/>
      <c r="AD490" s="452">
        <f>+AD473+AD479+SUM(AD483:AD489)</f>
        <v>9987.2199999999957</v>
      </c>
      <c r="AE490" s="371"/>
      <c r="AF490" s="775">
        <f t="shared" si="566"/>
        <v>25485.259999999995</v>
      </c>
      <c r="AG490" s="452"/>
      <c r="AH490" s="452">
        <f>+AH473+AH479+SUM(AH483:AH489)</f>
        <v>1706.6599999999999</v>
      </c>
      <c r="AI490" s="371"/>
      <c r="AJ490" s="371">
        <f t="shared" si="585"/>
        <v>27191.919999999995</v>
      </c>
      <c r="AK490" s="452"/>
      <c r="AL490" s="452">
        <f>+AL473+AL479+SUM(AL483:AL489)</f>
        <v>703.34</v>
      </c>
      <c r="AM490" s="373"/>
      <c r="AN490" s="373">
        <f t="shared" si="568"/>
        <v>12397.219999999996</v>
      </c>
      <c r="AO490" s="371"/>
      <c r="AP490" s="371">
        <f t="shared" si="569"/>
        <v>27895.259999999995</v>
      </c>
      <c r="AQ490" s="452"/>
      <c r="AR490" s="452">
        <f>+AR473+AR479+SUM(AR483:AR489)</f>
        <v>3741.46</v>
      </c>
      <c r="AS490" s="371"/>
      <c r="AT490" s="371">
        <f t="shared" si="586"/>
        <v>31636.719999999994</v>
      </c>
      <c r="AU490" s="452"/>
      <c r="AV490" s="452">
        <f>+AV473+AV479+SUM(AV483:AV489)</f>
        <v>4268.09</v>
      </c>
      <c r="AW490" s="371"/>
      <c r="AX490" s="371">
        <f t="shared" si="587"/>
        <v>35904.81</v>
      </c>
      <c r="AY490" s="452"/>
      <c r="AZ490" s="452">
        <f>+AZ473+AZ479+SUM(AZ483:AZ489)</f>
        <v>3904.67</v>
      </c>
      <c r="BA490" s="373"/>
      <c r="BB490" s="373">
        <f>AR490+AV490+AZ490</f>
        <v>11914.220000000001</v>
      </c>
      <c r="BC490" s="539"/>
      <c r="BD490" s="539">
        <f t="shared" si="573"/>
        <v>24311.439999999995</v>
      </c>
      <c r="BE490" s="371"/>
      <c r="BF490" s="371">
        <f t="shared" si="588"/>
        <v>39809.479999999996</v>
      </c>
      <c r="BG490" s="26">
        <f t="shared" si="575"/>
        <v>0</v>
      </c>
      <c r="BH490" s="26">
        <f t="shared" si="576"/>
        <v>0</v>
      </c>
      <c r="BI490" s="26"/>
      <c r="BJ490" s="26">
        <f t="shared" si="577"/>
        <v>0</v>
      </c>
      <c r="BK490" s="26">
        <f t="shared" si="578"/>
        <v>0</v>
      </c>
    </row>
    <row r="491" spans="1:63" ht="21" customHeight="1" thickBot="1" x14ac:dyDescent="0.35">
      <c r="A491" s="92"/>
      <c r="B491" s="1696" t="s">
        <v>543</v>
      </c>
      <c r="C491" s="2272" t="s">
        <v>50</v>
      </c>
      <c r="D491" s="1126">
        <f>+D37</f>
        <v>524798</v>
      </c>
      <c r="E491" s="1126">
        <f>+E37</f>
        <v>48499.815368603398</v>
      </c>
      <c r="F491" s="1126">
        <f>+F471+F490</f>
        <v>38424.29</v>
      </c>
      <c r="G491" s="1126">
        <f>+G37</f>
        <v>48499.576671657102</v>
      </c>
      <c r="H491" s="1126">
        <f>+H471+H490</f>
        <v>53035.109999999986</v>
      </c>
      <c r="I491" s="2227">
        <f>+I37</f>
        <v>96999.3920402605</v>
      </c>
      <c r="J491" s="775">
        <f t="shared" si="560"/>
        <v>91459.4</v>
      </c>
      <c r="K491" s="1126">
        <f>+K37</f>
        <v>48000.110883115201</v>
      </c>
      <c r="L491" s="1126">
        <f>+L471+L490</f>
        <v>51100.019999999982</v>
      </c>
      <c r="M491" s="2228">
        <f>E491+G491+K491</f>
        <v>144999.50292337569</v>
      </c>
      <c r="N491" s="774">
        <f t="shared" si="561"/>
        <v>142559.41999999998</v>
      </c>
      <c r="O491" s="1126">
        <f>+O37</f>
        <v>43500.141355320899</v>
      </c>
      <c r="P491" s="1126">
        <f>+P471+P490</f>
        <v>58059.210000000014</v>
      </c>
      <c r="Q491" s="2227">
        <f>+Q37</f>
        <v>188499.64427869659</v>
      </c>
      <c r="R491" s="775">
        <f t="shared" si="562"/>
        <v>200618.63</v>
      </c>
      <c r="S491" s="1126">
        <f>+S37</f>
        <v>43500.141355320899</v>
      </c>
      <c r="T491" s="1126">
        <f>+T471+T490</f>
        <v>69977.000000000015</v>
      </c>
      <c r="U491" s="2227">
        <f>+U37</f>
        <v>231999.78563401749</v>
      </c>
      <c r="V491" s="775">
        <f t="shared" si="563"/>
        <v>270595.63</v>
      </c>
      <c r="W491" s="1126">
        <f>+W37</f>
        <v>15300.0147648532</v>
      </c>
      <c r="X491" s="1126">
        <f>+X471+X490</f>
        <v>55600.530000000006</v>
      </c>
      <c r="Y491" s="2228">
        <f>O491+S491+W491</f>
        <v>102300.297475495</v>
      </c>
      <c r="Z491" s="774">
        <f t="shared" si="564"/>
        <v>183636.74000000002</v>
      </c>
      <c r="AA491" s="2229">
        <f>M491+Y491</f>
        <v>247299.80039887069</v>
      </c>
      <c r="AB491" s="460">
        <f t="shared" si="565"/>
        <v>326196.16000000003</v>
      </c>
      <c r="AC491" s="1126">
        <f>+AC37</f>
        <v>48999.528159756301</v>
      </c>
      <c r="AD491" s="1126">
        <f>+AD471+AD490</f>
        <v>59301.279999999992</v>
      </c>
      <c r="AE491" s="2227">
        <f>+AE37</f>
        <v>296299.32855862699</v>
      </c>
      <c r="AF491" s="775">
        <f t="shared" si="566"/>
        <v>385497.44</v>
      </c>
      <c r="AG491" s="1126">
        <f>+AG37</f>
        <v>45499.588455674595</v>
      </c>
      <c r="AH491" s="1126">
        <f>+AH471+AH490</f>
        <v>63043.03</v>
      </c>
      <c r="AI491" s="2227">
        <f>+AI37</f>
        <v>341798.91701430158</v>
      </c>
      <c r="AJ491" s="2227">
        <f t="shared" si="585"/>
        <v>448540.47</v>
      </c>
      <c r="AK491" s="1126">
        <f>+AK37</f>
        <v>46000.054244216401</v>
      </c>
      <c r="AL491" s="1126">
        <f>+AL471+AL490</f>
        <v>54506.650000000009</v>
      </c>
      <c r="AM491" s="2228">
        <f>AC491+AG491+AK491</f>
        <v>140499.17085964727</v>
      </c>
      <c r="AN491" s="2228">
        <f t="shared" si="568"/>
        <v>176850.96000000002</v>
      </c>
      <c r="AO491" s="2227">
        <f t="shared" si="569"/>
        <v>387798.971258518</v>
      </c>
      <c r="AP491" s="2227">
        <f t="shared" si="569"/>
        <v>503047.12</v>
      </c>
      <c r="AQ491" s="1126">
        <f>+AQ37</f>
        <v>48499.664678463945</v>
      </c>
      <c r="AR491" s="1126">
        <f>+AR471+AR490</f>
        <v>42005.04</v>
      </c>
      <c r="AS491" s="2227">
        <f>+AS37</f>
        <v>436298.63593698194</v>
      </c>
      <c r="AT491" s="2227">
        <f t="shared" si="586"/>
        <v>545052.16000000003</v>
      </c>
      <c r="AU491" s="1126">
        <f>+AU37</f>
        <v>41500.010429203743</v>
      </c>
      <c r="AV491" s="1126">
        <f>+AV471+AV490</f>
        <v>18645.099999999999</v>
      </c>
      <c r="AW491" s="2227">
        <f>+AW37</f>
        <v>477798.64636618568</v>
      </c>
      <c r="AX491" s="2227">
        <f t="shared" si="587"/>
        <v>563697.26</v>
      </c>
      <c r="AY491" s="1126">
        <f>+AY37</f>
        <v>46999.690762923987</v>
      </c>
      <c r="AZ491" s="1126">
        <f>AZ434+AZ471+AZ490</f>
        <v>42863.76</v>
      </c>
      <c r="BA491" s="2228">
        <f>AQ491+AU491+AY491</f>
        <v>136999.36587059166</v>
      </c>
      <c r="BB491" s="2228">
        <f t="shared" ref="BB491" si="591">AR491+AV491+AZ491</f>
        <v>103513.9</v>
      </c>
      <c r="BC491" s="539">
        <f>AM491+BA491</f>
        <v>277498.53673023893</v>
      </c>
      <c r="BD491" s="2229">
        <f t="shared" si="573"/>
        <v>280364.86</v>
      </c>
      <c r="BE491" s="2227">
        <f>+BE37</f>
        <v>524798.33712910966</v>
      </c>
      <c r="BF491" s="2227">
        <f t="shared" si="588"/>
        <v>606561.02</v>
      </c>
      <c r="BG491" s="26">
        <f t="shared" si="575"/>
        <v>0</v>
      </c>
      <c r="BH491" s="26">
        <f t="shared" si="576"/>
        <v>0</v>
      </c>
      <c r="BI491" s="26"/>
      <c r="BJ491" s="26">
        <f t="shared" si="577"/>
        <v>0</v>
      </c>
      <c r="BK491" s="26">
        <f t="shared" si="578"/>
        <v>0</v>
      </c>
    </row>
    <row r="492" spans="1:63" ht="15" hidden="1" customHeight="1" x14ac:dyDescent="0.3">
      <c r="A492" s="6138"/>
      <c r="B492" s="2365"/>
      <c r="C492" s="2365"/>
      <c r="D492" s="2365"/>
      <c r="E492" s="2365"/>
      <c r="F492" s="2365"/>
      <c r="G492" s="2365"/>
      <c r="H492" s="2365"/>
      <c r="I492" s="5697"/>
      <c r="J492" s="775">
        <f t="shared" si="560"/>
        <v>0</v>
      </c>
      <c r="K492" s="2365"/>
      <c r="L492" s="2365"/>
      <c r="M492" s="2366"/>
      <c r="N492" s="774">
        <f t="shared" si="561"/>
        <v>0</v>
      </c>
      <c r="O492" s="2365"/>
      <c r="P492" s="2365"/>
      <c r="Q492" s="5697"/>
      <c r="R492" s="775">
        <f t="shared" si="562"/>
        <v>0</v>
      </c>
      <c r="S492" s="2365"/>
      <c r="T492" s="2365"/>
      <c r="U492" s="5697"/>
      <c r="V492" s="775">
        <f t="shared" si="563"/>
        <v>0</v>
      </c>
      <c r="W492" s="2365"/>
      <c r="X492" s="2365"/>
      <c r="Y492" s="2366"/>
      <c r="Z492" s="774">
        <f t="shared" si="564"/>
        <v>0</v>
      </c>
      <c r="AA492" s="5755"/>
      <c r="AB492" s="460">
        <f t="shared" si="565"/>
        <v>0</v>
      </c>
      <c r="AC492" s="2365"/>
      <c r="AD492" s="2365"/>
      <c r="AE492" s="5697"/>
      <c r="AF492" s="775">
        <f t="shared" si="566"/>
        <v>0</v>
      </c>
      <c r="AG492" s="2365"/>
      <c r="AH492" s="2365"/>
      <c r="AK492" s="2365"/>
      <c r="AL492" s="2365"/>
      <c r="AM492" s="2366"/>
      <c r="AN492" s="2366"/>
      <c r="AQ492" s="2365"/>
      <c r="AR492" s="2365"/>
      <c r="AU492" s="2365"/>
      <c r="AV492" s="2365"/>
      <c r="AY492" s="2365"/>
      <c r="AZ492" s="2365"/>
      <c r="BA492" s="2366"/>
      <c r="BB492" s="2366"/>
      <c r="BC492" s="5755"/>
      <c r="BD492" s="5755"/>
      <c r="BG492" s="26">
        <f t="shared" si="575"/>
        <v>0</v>
      </c>
      <c r="BH492" s="26">
        <f t="shared" si="576"/>
        <v>0</v>
      </c>
      <c r="BI492" s="26"/>
      <c r="BJ492" s="26">
        <f t="shared" si="577"/>
        <v>0</v>
      </c>
      <c r="BK492" s="26">
        <f t="shared" si="578"/>
        <v>0</v>
      </c>
    </row>
    <row r="493" spans="1:63" ht="15" hidden="1" customHeight="1" x14ac:dyDescent="0.3">
      <c r="A493" s="6138"/>
      <c r="B493" s="637"/>
      <c r="C493" s="637"/>
      <c r="D493" s="637"/>
      <c r="E493" s="637"/>
      <c r="F493" s="637"/>
      <c r="G493" s="637"/>
      <c r="H493" s="637"/>
      <c r="I493" s="866"/>
      <c r="J493" s="775">
        <f t="shared" si="560"/>
        <v>0</v>
      </c>
      <c r="K493" s="637"/>
      <c r="L493" s="637"/>
      <c r="M493" s="867"/>
      <c r="N493" s="774">
        <f t="shared" si="561"/>
        <v>0</v>
      </c>
      <c r="O493" s="637"/>
      <c r="P493" s="637"/>
      <c r="Q493" s="866"/>
      <c r="R493" s="775">
        <f t="shared" si="562"/>
        <v>0</v>
      </c>
      <c r="S493" s="637"/>
      <c r="T493" s="637"/>
      <c r="U493" s="866"/>
      <c r="V493" s="775">
        <f t="shared" si="563"/>
        <v>0</v>
      </c>
      <c r="W493" s="637"/>
      <c r="X493" s="637"/>
      <c r="Y493" s="867"/>
      <c r="Z493" s="774">
        <f t="shared" si="564"/>
        <v>0</v>
      </c>
      <c r="AA493" s="5733"/>
      <c r="AB493" s="460">
        <f t="shared" si="565"/>
        <v>0</v>
      </c>
      <c r="AC493" s="637"/>
      <c r="AD493" s="637"/>
      <c r="AE493" s="866"/>
      <c r="AF493" s="775">
        <f t="shared" si="566"/>
        <v>0</v>
      </c>
      <c r="AG493" s="637"/>
      <c r="AH493" s="637"/>
      <c r="AK493" s="637"/>
      <c r="AL493" s="637"/>
      <c r="AM493" s="867"/>
      <c r="AN493" s="867"/>
      <c r="AQ493" s="637"/>
      <c r="AR493" s="637"/>
      <c r="AU493" s="637"/>
      <c r="AV493" s="637"/>
      <c r="AY493" s="637"/>
      <c r="AZ493" s="637"/>
      <c r="BA493" s="867"/>
      <c r="BB493" s="867"/>
      <c r="BC493" s="5733"/>
      <c r="BD493" s="5733"/>
      <c r="BG493" s="26">
        <f t="shared" si="575"/>
        <v>0</v>
      </c>
      <c r="BH493" s="26">
        <f t="shared" si="576"/>
        <v>0</v>
      </c>
      <c r="BI493" s="26"/>
      <c r="BJ493" s="26">
        <f t="shared" si="577"/>
        <v>0</v>
      </c>
      <c r="BK493" s="26">
        <f t="shared" si="578"/>
        <v>0</v>
      </c>
    </row>
    <row r="494" spans="1:63" ht="15" hidden="1" customHeight="1" x14ac:dyDescent="0.3">
      <c r="A494" s="6138"/>
      <c r="B494" s="637" t="s">
        <v>1099</v>
      </c>
      <c r="C494" s="637"/>
      <c r="D494" s="637"/>
      <c r="E494" s="1325">
        <f>+E491-E37</f>
        <v>0</v>
      </c>
      <c r="F494" s="1325">
        <f>+F491-F37</f>
        <v>0</v>
      </c>
      <c r="G494" s="1325">
        <f>+G491-G37</f>
        <v>0</v>
      </c>
      <c r="H494" s="1325">
        <f>+H491-H37</f>
        <v>0</v>
      </c>
      <c r="I494" s="3468">
        <f>+I491-I37</f>
        <v>0</v>
      </c>
      <c r="J494" s="775">
        <f t="shared" si="560"/>
        <v>0</v>
      </c>
      <c r="K494" s="1325">
        <f>+K491-K37</f>
        <v>0</v>
      </c>
      <c r="L494" s="1325">
        <f>+L491-L37</f>
        <v>0</v>
      </c>
      <c r="M494" s="1693">
        <f>+M491-M37</f>
        <v>0</v>
      </c>
      <c r="N494" s="774">
        <f t="shared" si="561"/>
        <v>0</v>
      </c>
      <c r="O494" s="1325">
        <f>+O491-O37</f>
        <v>0</v>
      </c>
      <c r="P494" s="1325">
        <f>+P491-P37</f>
        <v>0</v>
      </c>
      <c r="Q494" s="3468">
        <f>+Q491-Q37</f>
        <v>0</v>
      </c>
      <c r="R494" s="775">
        <f t="shared" si="562"/>
        <v>0</v>
      </c>
      <c r="S494" s="1325">
        <f>+S491-S37</f>
        <v>0</v>
      </c>
      <c r="T494" s="1325">
        <f>+T491-T37</f>
        <v>4.0000000008149073E-2</v>
      </c>
      <c r="U494" s="3468">
        <f>+U491-U37</f>
        <v>0</v>
      </c>
      <c r="V494" s="775">
        <f t="shared" si="563"/>
        <v>4.0000000008149073E-2</v>
      </c>
      <c r="W494" s="1325">
        <f>+W491-W37</f>
        <v>0</v>
      </c>
      <c r="X494" s="1325">
        <f>+X491-X37</f>
        <v>0</v>
      </c>
      <c r="Y494" s="1693">
        <f>+Y491-Y37</f>
        <v>0</v>
      </c>
      <c r="Z494" s="774">
        <f t="shared" si="564"/>
        <v>4.0000000008149073E-2</v>
      </c>
      <c r="AA494" s="5756">
        <f>+AA491-AA37</f>
        <v>0</v>
      </c>
      <c r="AB494" s="460">
        <f t="shared" si="565"/>
        <v>4.0000000008149073E-2</v>
      </c>
      <c r="AC494" s="1325">
        <f>+AC491-AC37</f>
        <v>0</v>
      </c>
      <c r="AD494" s="1325">
        <f>+AD491-AD37</f>
        <v>0</v>
      </c>
      <c r="AE494" s="3468">
        <f>+AE491-AE37</f>
        <v>0</v>
      </c>
      <c r="AF494" s="775">
        <f t="shared" si="566"/>
        <v>4.0000000008149073E-2</v>
      </c>
      <c r="AG494" s="1325">
        <f t="shared" ref="AG494:BF494" si="592">+AG491-AG37</f>
        <v>0</v>
      </c>
      <c r="AH494" s="1325">
        <f t="shared" si="592"/>
        <v>0</v>
      </c>
      <c r="AI494" s="3468">
        <f t="shared" si="592"/>
        <v>0</v>
      </c>
      <c r="AJ494" s="3468">
        <f t="shared" si="592"/>
        <v>4.0000000037252903E-2</v>
      </c>
      <c r="AK494" s="1325">
        <f t="shared" si="592"/>
        <v>0</v>
      </c>
      <c r="AL494" s="1325">
        <f t="shared" si="592"/>
        <v>0</v>
      </c>
      <c r="AM494" s="1693">
        <f t="shared" si="592"/>
        <v>0</v>
      </c>
      <c r="AN494" s="1693">
        <f t="shared" si="592"/>
        <v>0</v>
      </c>
      <c r="AO494" s="3468">
        <f t="shared" si="592"/>
        <v>0</v>
      </c>
      <c r="AP494" s="3468">
        <f t="shared" si="592"/>
        <v>4.0000000037252903E-2</v>
      </c>
      <c r="AQ494" s="1325">
        <f t="shared" si="592"/>
        <v>0</v>
      </c>
      <c r="AR494" s="1325">
        <f t="shared" si="592"/>
        <v>0</v>
      </c>
      <c r="AS494" s="3468">
        <f t="shared" si="592"/>
        <v>0</v>
      </c>
      <c r="AT494" s="3468">
        <f t="shared" si="592"/>
        <v>4.0000000037252903E-2</v>
      </c>
      <c r="AU494" s="1325">
        <f t="shared" si="592"/>
        <v>0</v>
      </c>
      <c r="AV494" s="1325">
        <f t="shared" si="592"/>
        <v>3.9999999997235136E-2</v>
      </c>
      <c r="AW494" s="3468">
        <f t="shared" si="592"/>
        <v>0</v>
      </c>
      <c r="AX494" s="3468">
        <f t="shared" si="592"/>
        <v>7.9999999958090484E-2</v>
      </c>
      <c r="AY494" s="1325">
        <f t="shared" si="592"/>
        <v>0</v>
      </c>
      <c r="AZ494" s="1325">
        <f t="shared" si="592"/>
        <v>0</v>
      </c>
      <c r="BA494" s="1693">
        <f t="shared" si="592"/>
        <v>0</v>
      </c>
      <c r="BB494" s="1693">
        <f t="shared" si="592"/>
        <v>3.9999999993597157E-2</v>
      </c>
      <c r="BC494" s="5756">
        <f t="shared" si="592"/>
        <v>0</v>
      </c>
      <c r="BD494" s="5756">
        <f t="shared" si="592"/>
        <v>3.9999999979045242E-2</v>
      </c>
      <c r="BE494" s="3468">
        <f t="shared" si="592"/>
        <v>0</v>
      </c>
      <c r="BF494" s="3468">
        <f t="shared" si="592"/>
        <v>7.9999999958090484E-2</v>
      </c>
      <c r="BG494" s="26">
        <f t="shared" si="575"/>
        <v>0</v>
      </c>
      <c r="BH494" s="26">
        <f t="shared" si="576"/>
        <v>4.7293724492192268E-11</v>
      </c>
      <c r="BI494" s="26"/>
      <c r="BJ494" s="26">
        <f t="shared" si="577"/>
        <v>0</v>
      </c>
      <c r="BK494" s="26">
        <f t="shared" si="578"/>
        <v>1.8189894035458565E-11</v>
      </c>
    </row>
    <row r="495" spans="1:63" ht="15" hidden="1" customHeight="1" x14ac:dyDescent="0.3">
      <c r="A495" s="6138"/>
      <c r="B495" s="637"/>
      <c r="C495" s="637"/>
      <c r="D495" s="637"/>
      <c r="E495" s="1325">
        <f>+E491-E91</f>
        <v>0</v>
      </c>
      <c r="F495" s="1325">
        <f>+F491-F93</f>
        <v>0</v>
      </c>
      <c r="G495" s="1325">
        <f>+G491-G91</f>
        <v>0</v>
      </c>
      <c r="H495" s="1325">
        <f>+H491-H93</f>
        <v>0</v>
      </c>
      <c r="I495" s="3468">
        <f>+I491-I91</f>
        <v>0</v>
      </c>
      <c r="J495" s="775">
        <f t="shared" si="560"/>
        <v>0</v>
      </c>
      <c r="K495" s="1325">
        <f>+K491-K91</f>
        <v>0</v>
      </c>
      <c r="L495" s="1325">
        <f>+L491-L93</f>
        <v>0</v>
      </c>
      <c r="M495" s="1693">
        <f>+M491-M91</f>
        <v>0</v>
      </c>
      <c r="N495" s="774">
        <f t="shared" si="561"/>
        <v>0</v>
      </c>
      <c r="O495" s="1325">
        <f>+O491-O91</f>
        <v>0</v>
      </c>
      <c r="P495" s="1325">
        <f>+P491-P93</f>
        <v>0</v>
      </c>
      <c r="Q495" s="3468">
        <f>+Q491-Q91</f>
        <v>0</v>
      </c>
      <c r="R495" s="775">
        <f t="shared" si="562"/>
        <v>0</v>
      </c>
      <c r="S495" s="1325">
        <f>+S491-S91</f>
        <v>0</v>
      </c>
      <c r="T495" s="1325">
        <f>+T491-T93</f>
        <v>4.0000000008149073E-2</v>
      </c>
      <c r="U495" s="3468">
        <f>+U491-U91</f>
        <v>0</v>
      </c>
      <c r="V495" s="775">
        <f t="shared" si="563"/>
        <v>4.0000000008149073E-2</v>
      </c>
      <c r="W495" s="1325">
        <f>+W491-W91</f>
        <v>0</v>
      </c>
      <c r="X495" s="1325">
        <f>+X491-X93</f>
        <v>0</v>
      </c>
      <c r="Y495" s="1693">
        <f>+Y491-Y91</f>
        <v>0</v>
      </c>
      <c r="Z495" s="774">
        <f t="shared" si="564"/>
        <v>4.0000000008149073E-2</v>
      </c>
      <c r="AA495" s="5756">
        <f>+AA491-AA91</f>
        <v>0</v>
      </c>
      <c r="AB495" s="460">
        <f t="shared" si="565"/>
        <v>4.0000000008149073E-2</v>
      </c>
      <c r="AC495" s="1325">
        <f>+AC491-AC91</f>
        <v>0</v>
      </c>
      <c r="AD495" s="1325">
        <f>+AD491-AD93</f>
        <v>0</v>
      </c>
      <c r="AE495" s="3468">
        <f>+AE491-AE91</f>
        <v>0</v>
      </c>
      <c r="AF495" s="775">
        <f t="shared" si="566"/>
        <v>4.0000000008149073E-2</v>
      </c>
      <c r="AG495" s="1325">
        <f>+AG491-AG91</f>
        <v>0</v>
      </c>
      <c r="AH495" s="1325">
        <f>+AH491-AH93</f>
        <v>0</v>
      </c>
      <c r="AI495" s="3468">
        <f>+AI491-AI91</f>
        <v>0</v>
      </c>
      <c r="AJ495" s="3468">
        <f>+AJ491-AJ93</f>
        <v>4.0000000037252903E-2</v>
      </c>
      <c r="AK495" s="1325">
        <f>+AK491-AK91</f>
        <v>0</v>
      </c>
      <c r="AL495" s="1325">
        <f>+AL491-AL93</f>
        <v>-0.75999999999476131</v>
      </c>
      <c r="AM495" s="1693">
        <f>+AM491-AM91</f>
        <v>0</v>
      </c>
      <c r="AN495" s="1693">
        <f>+AN491-AN93</f>
        <v>-0.7599999999802094</v>
      </c>
      <c r="AO495" s="3468">
        <f>+AO491-AO91</f>
        <v>0</v>
      </c>
      <c r="AP495" s="3468">
        <f>+AP491-AP93</f>
        <v>-0.71999999997206032</v>
      </c>
      <c r="AQ495" s="1325">
        <f>+AQ491-AQ91</f>
        <v>0</v>
      </c>
      <c r="AR495" s="1325">
        <f>+AR491-AR93</f>
        <v>0</v>
      </c>
      <c r="AS495" s="3468">
        <f>+AS491-AS91</f>
        <v>0</v>
      </c>
      <c r="AT495" s="3468">
        <f>+AT491-AT93</f>
        <v>-0.71999999997206032</v>
      </c>
      <c r="AU495" s="1325">
        <f>+AU491-AU91</f>
        <v>0</v>
      </c>
      <c r="AV495" s="1325">
        <f>+AV491-AV93</f>
        <v>3.9999999997235136E-2</v>
      </c>
      <c r="AW495" s="3468">
        <f>+AW491-AW91</f>
        <v>0</v>
      </c>
      <c r="AX495" s="3468">
        <f>+AX491-AX93</f>
        <v>-0.68000000005122274</v>
      </c>
      <c r="AY495" s="1325">
        <f>+AY491-AY91</f>
        <v>0</v>
      </c>
      <c r="AZ495" s="1325">
        <f>+AZ491-AZ93</f>
        <v>-9.9999999998544808E-2</v>
      </c>
      <c r="BA495" s="1693">
        <f>+BA491-BA91</f>
        <v>0</v>
      </c>
      <c r="BB495" s="1693">
        <f>+BB491-BB93</f>
        <v>-5.9999999997671694E-2</v>
      </c>
      <c r="BC495" s="5756">
        <f>+BC491-BC91</f>
        <v>0</v>
      </c>
      <c r="BD495" s="5756">
        <f>+BD491-BD93</f>
        <v>-0.82000000000698492</v>
      </c>
      <c r="BE495" s="3468">
        <f>+BE491-BE91</f>
        <v>0</v>
      </c>
      <c r="BF495" s="3468">
        <f>+BF491-BF93</f>
        <v>-0.78000000002793968</v>
      </c>
      <c r="BG495" s="26">
        <f t="shared" si="575"/>
        <v>0</v>
      </c>
      <c r="BH495" s="26">
        <f t="shared" si="576"/>
        <v>4.0017766878008842E-11</v>
      </c>
      <c r="BI495" s="26"/>
      <c r="BJ495" s="26">
        <f t="shared" si="577"/>
        <v>0</v>
      </c>
      <c r="BK495" s="26">
        <f t="shared" si="578"/>
        <v>1.0913936421275139E-11</v>
      </c>
    </row>
    <row r="496" spans="1:63" ht="15" hidden="1" customHeight="1" x14ac:dyDescent="0.3">
      <c r="A496" s="6138"/>
      <c r="B496" s="637"/>
      <c r="C496" s="637"/>
      <c r="D496" s="637"/>
      <c r="E496" s="637"/>
      <c r="F496" s="637"/>
      <c r="G496" s="637"/>
      <c r="H496" s="637"/>
      <c r="I496" s="866"/>
      <c r="J496" s="775">
        <f t="shared" si="560"/>
        <v>0</v>
      </c>
      <c r="K496" s="637"/>
      <c r="L496" s="637"/>
      <c r="M496" s="867"/>
      <c r="N496" s="774">
        <f t="shared" si="561"/>
        <v>0</v>
      </c>
      <c r="O496" s="637"/>
      <c r="P496" s="637"/>
      <c r="Q496" s="866"/>
      <c r="R496" s="775">
        <f t="shared" si="562"/>
        <v>0</v>
      </c>
      <c r="S496" s="637"/>
      <c r="T496" s="637"/>
      <c r="U496" s="866"/>
      <c r="V496" s="775">
        <f t="shared" si="563"/>
        <v>0</v>
      </c>
      <c r="W496" s="637"/>
      <c r="X496" s="637"/>
      <c r="Y496" s="867"/>
      <c r="Z496" s="774">
        <f t="shared" si="564"/>
        <v>0</v>
      </c>
      <c r="AA496" s="5733"/>
      <c r="AB496" s="460">
        <f t="shared" si="565"/>
        <v>0</v>
      </c>
      <c r="AC496" s="637"/>
      <c r="AD496" s="637"/>
      <c r="AE496" s="866"/>
      <c r="AF496" s="775">
        <f t="shared" si="566"/>
        <v>0</v>
      </c>
      <c r="AG496" s="637"/>
      <c r="AH496" s="637"/>
      <c r="AI496" s="866"/>
      <c r="AJ496" s="866"/>
      <c r="AK496" s="637"/>
      <c r="AL496" s="637"/>
      <c r="AM496" s="867"/>
      <c r="AN496" s="867"/>
      <c r="AO496" s="866"/>
      <c r="AP496" s="866"/>
      <c r="AQ496" s="637"/>
      <c r="AR496" s="637"/>
      <c r="AS496" s="866"/>
      <c r="AT496" s="866"/>
      <c r="AU496" s="637"/>
      <c r="AV496" s="637"/>
      <c r="AW496" s="866"/>
      <c r="AX496" s="866"/>
      <c r="AY496" s="637"/>
      <c r="AZ496" s="637"/>
      <c r="BA496" s="867"/>
      <c r="BB496" s="867"/>
      <c r="BC496" s="5733"/>
      <c r="BD496" s="5733"/>
      <c r="BE496" s="866"/>
      <c r="BF496" s="866"/>
      <c r="BG496" s="26">
        <f t="shared" si="575"/>
        <v>0</v>
      </c>
      <c r="BH496" s="26">
        <f t="shared" si="576"/>
        <v>0</v>
      </c>
      <c r="BI496" s="26"/>
      <c r="BJ496" s="26">
        <f t="shared" si="577"/>
        <v>0</v>
      </c>
      <c r="BK496" s="26">
        <f t="shared" si="578"/>
        <v>0</v>
      </c>
    </row>
    <row r="497" spans="1:63" ht="15" hidden="1" customHeight="1" x14ac:dyDescent="0.3">
      <c r="A497" s="6138"/>
      <c r="B497" s="637"/>
      <c r="C497" s="637"/>
      <c r="D497" s="637"/>
      <c r="E497" s="637"/>
      <c r="F497" s="637"/>
      <c r="G497" s="637"/>
      <c r="H497" s="637"/>
      <c r="I497" s="866"/>
      <c r="J497" s="775">
        <f t="shared" si="560"/>
        <v>0</v>
      </c>
      <c r="K497" s="637"/>
      <c r="L497" s="637"/>
      <c r="M497" s="867"/>
      <c r="N497" s="774">
        <f t="shared" si="561"/>
        <v>0</v>
      </c>
      <c r="O497" s="637"/>
      <c r="P497" s="637"/>
      <c r="Q497" s="866"/>
      <c r="R497" s="775">
        <f t="shared" si="562"/>
        <v>0</v>
      </c>
      <c r="S497" s="637"/>
      <c r="T497" s="637"/>
      <c r="U497" s="866"/>
      <c r="V497" s="775">
        <f t="shared" si="563"/>
        <v>0</v>
      </c>
      <c r="W497" s="637"/>
      <c r="X497" s="637"/>
      <c r="Y497" s="867"/>
      <c r="Z497" s="774">
        <f t="shared" si="564"/>
        <v>0</v>
      </c>
      <c r="AA497" s="5733"/>
      <c r="AB497" s="460">
        <f t="shared" si="565"/>
        <v>0</v>
      </c>
      <c r="AC497" s="637"/>
      <c r="AD497" s="637"/>
      <c r="AE497" s="866"/>
      <c r="AF497" s="775">
        <f t="shared" si="566"/>
        <v>0</v>
      </c>
      <c r="AG497" s="637"/>
      <c r="AH497" s="637"/>
      <c r="AI497" s="866"/>
      <c r="AJ497" s="866"/>
      <c r="AK497" s="637"/>
      <c r="AL497" s="637"/>
      <c r="AM497" s="867"/>
      <c r="AN497" s="867"/>
      <c r="AO497" s="866"/>
      <c r="AP497" s="866"/>
      <c r="AQ497" s="637"/>
      <c r="AR497" s="637"/>
      <c r="AS497" s="866"/>
      <c r="AT497" s="866"/>
      <c r="AU497" s="637"/>
      <c r="AV497" s="637"/>
      <c r="AW497" s="866"/>
      <c r="AX497" s="866"/>
      <c r="AY497" s="637"/>
      <c r="AZ497" s="637"/>
      <c r="BA497" s="867"/>
      <c r="BB497" s="867"/>
      <c r="BC497" s="5733"/>
      <c r="BD497" s="5733"/>
      <c r="BE497" s="866"/>
      <c r="BF497" s="866"/>
      <c r="BG497" s="26">
        <f t="shared" si="575"/>
        <v>0</v>
      </c>
      <c r="BH497" s="26">
        <f t="shared" si="576"/>
        <v>0</v>
      </c>
      <c r="BI497" s="26"/>
      <c r="BJ497" s="26">
        <f t="shared" si="577"/>
        <v>0</v>
      </c>
      <c r="BK497" s="26">
        <f t="shared" si="578"/>
        <v>0</v>
      </c>
    </row>
    <row r="498" spans="1:63" ht="15" hidden="1" customHeight="1" x14ac:dyDescent="0.3">
      <c r="A498" s="6138"/>
      <c r="B498" s="637"/>
      <c r="C498" s="637"/>
      <c r="D498" s="637"/>
      <c r="E498" s="637"/>
      <c r="F498" s="637"/>
      <c r="G498" s="637"/>
      <c r="H498" s="637"/>
      <c r="I498" s="866"/>
      <c r="J498" s="775">
        <f t="shared" si="560"/>
        <v>0</v>
      </c>
      <c r="K498" s="637"/>
      <c r="L498" s="637"/>
      <c r="M498" s="867"/>
      <c r="N498" s="774">
        <f t="shared" si="561"/>
        <v>0</v>
      </c>
      <c r="O498" s="637"/>
      <c r="P498" s="637"/>
      <c r="Q498" s="866"/>
      <c r="R498" s="775">
        <f t="shared" si="562"/>
        <v>0</v>
      </c>
      <c r="S498" s="637"/>
      <c r="T498" s="637"/>
      <c r="U498" s="866"/>
      <c r="V498" s="775">
        <f t="shared" si="563"/>
        <v>0</v>
      </c>
      <c r="W498" s="637"/>
      <c r="X498" s="637"/>
      <c r="Y498" s="867"/>
      <c r="Z498" s="774">
        <f t="shared" si="564"/>
        <v>0</v>
      </c>
      <c r="AA498" s="5733"/>
      <c r="AB498" s="460">
        <f t="shared" si="565"/>
        <v>0</v>
      </c>
      <c r="AC498" s="637"/>
      <c r="AD498" s="637"/>
      <c r="AE498" s="866"/>
      <c r="AF498" s="775">
        <f t="shared" si="566"/>
        <v>0</v>
      </c>
      <c r="AG498" s="637"/>
      <c r="AH498" s="637"/>
      <c r="AI498" s="866"/>
      <c r="AJ498" s="866"/>
      <c r="AK498" s="637"/>
      <c r="AL498" s="637"/>
      <c r="AM498" s="867"/>
      <c r="AN498" s="867"/>
      <c r="AO498" s="866"/>
      <c r="AP498" s="866"/>
      <c r="AQ498" s="637"/>
      <c r="AR498" s="637"/>
      <c r="AS498" s="866"/>
      <c r="AT498" s="866"/>
      <c r="AU498" s="637"/>
      <c r="AV498" s="637"/>
      <c r="AW498" s="866"/>
      <c r="AX498" s="866"/>
      <c r="AY498" s="637"/>
      <c r="AZ498" s="637"/>
      <c r="BA498" s="867"/>
      <c r="BB498" s="867"/>
      <c r="BC498" s="5733"/>
      <c r="BD498" s="5733"/>
      <c r="BE498" s="866"/>
      <c r="BF498" s="866"/>
      <c r="BG498" s="26">
        <f t="shared" si="575"/>
        <v>0</v>
      </c>
      <c r="BH498" s="26">
        <f t="shared" si="576"/>
        <v>0</v>
      </c>
      <c r="BI498" s="26"/>
      <c r="BJ498" s="26">
        <f t="shared" si="577"/>
        <v>0</v>
      </c>
      <c r="BK498" s="26">
        <f t="shared" si="578"/>
        <v>0</v>
      </c>
    </row>
    <row r="499" spans="1:63" ht="15" hidden="1" customHeight="1" x14ac:dyDescent="0.3">
      <c r="A499" s="6139"/>
      <c r="B499" s="637"/>
      <c r="C499" s="637"/>
      <c r="D499" s="637"/>
      <c r="E499" s="637"/>
      <c r="F499" s="637"/>
      <c r="G499" s="637"/>
      <c r="H499" s="637"/>
      <c r="I499" s="866"/>
      <c r="J499" s="775">
        <f t="shared" si="560"/>
        <v>0</v>
      </c>
      <c r="K499" s="637"/>
      <c r="L499" s="637"/>
      <c r="M499" s="867"/>
      <c r="N499" s="774">
        <f t="shared" si="561"/>
        <v>0</v>
      </c>
      <c r="O499" s="637"/>
      <c r="P499" s="637"/>
      <c r="Q499" s="866"/>
      <c r="R499" s="775">
        <f t="shared" si="562"/>
        <v>0</v>
      </c>
      <c r="S499" s="637"/>
      <c r="T499" s="637"/>
      <c r="U499" s="866"/>
      <c r="V499" s="775">
        <f t="shared" si="563"/>
        <v>0</v>
      </c>
      <c r="W499" s="637"/>
      <c r="X499" s="637"/>
      <c r="Y499" s="867"/>
      <c r="Z499" s="774">
        <f t="shared" si="564"/>
        <v>0</v>
      </c>
      <c r="AA499" s="5733"/>
      <c r="AB499" s="460">
        <f t="shared" si="565"/>
        <v>0</v>
      </c>
      <c r="AC499" s="637"/>
      <c r="AD499" s="637"/>
      <c r="AE499" s="866"/>
      <c r="AF499" s="775">
        <f t="shared" si="566"/>
        <v>0</v>
      </c>
      <c r="AG499" s="637"/>
      <c r="AH499" s="637"/>
      <c r="AI499" s="866"/>
      <c r="AJ499" s="866"/>
      <c r="AK499" s="637"/>
      <c r="AL499" s="637"/>
      <c r="AM499" s="867"/>
      <c r="AN499" s="867"/>
      <c r="AO499" s="866"/>
      <c r="AP499" s="866"/>
      <c r="AQ499" s="637"/>
      <c r="AR499" s="637"/>
      <c r="AS499" s="866"/>
      <c r="AT499" s="866"/>
      <c r="AU499" s="637"/>
      <c r="AV499" s="637"/>
      <c r="AW499" s="866"/>
      <c r="AX499" s="866"/>
      <c r="AY499" s="637"/>
      <c r="AZ499" s="637"/>
      <c r="BA499" s="867"/>
      <c r="BB499" s="867"/>
      <c r="BC499" s="5733"/>
      <c r="BD499" s="5733"/>
      <c r="BE499" s="866"/>
      <c r="BF499" s="866"/>
      <c r="BG499" s="26">
        <f t="shared" si="575"/>
        <v>0</v>
      </c>
      <c r="BH499" s="26">
        <f t="shared" si="576"/>
        <v>0</v>
      </c>
      <c r="BI499" s="26"/>
      <c r="BJ499" s="26">
        <f t="shared" si="577"/>
        <v>0</v>
      </c>
      <c r="BK499" s="26">
        <f t="shared" si="578"/>
        <v>0</v>
      </c>
    </row>
    <row r="500" spans="1:63" ht="15" hidden="1" customHeight="1" x14ac:dyDescent="0.3">
      <c r="A500" s="151"/>
      <c r="B500" s="637"/>
      <c r="C500" s="637"/>
      <c r="D500" s="637"/>
      <c r="E500" s="1325">
        <f>+E299-E83</f>
        <v>0</v>
      </c>
      <c r="F500" s="1325">
        <f>+F299-F85</f>
        <v>0</v>
      </c>
      <c r="G500" s="1325">
        <f>+G299-G83</f>
        <v>0</v>
      </c>
      <c r="H500" s="1325">
        <f>+H299-H85</f>
        <v>0</v>
      </c>
      <c r="I500" s="3468">
        <f>+I299-I83</f>
        <v>0</v>
      </c>
      <c r="J500" s="775">
        <f t="shared" si="560"/>
        <v>0</v>
      </c>
      <c r="K500" s="1325">
        <f>+K299-K83</f>
        <v>0</v>
      </c>
      <c r="L500" s="1325">
        <f>+L299-L85</f>
        <v>0</v>
      </c>
      <c r="M500" s="1693">
        <f>+M299-M83</f>
        <v>0</v>
      </c>
      <c r="N500" s="774">
        <f t="shared" si="561"/>
        <v>0</v>
      </c>
      <c r="O500" s="1325">
        <f>+O299-O83</f>
        <v>0</v>
      </c>
      <c r="P500" s="1325">
        <f>+P299-P85</f>
        <v>0</v>
      </c>
      <c r="Q500" s="3468">
        <f>+Q299-Q83</f>
        <v>0</v>
      </c>
      <c r="R500" s="775">
        <f t="shared" si="562"/>
        <v>0</v>
      </c>
      <c r="S500" s="1325">
        <f>+S299-S83</f>
        <v>0</v>
      </c>
      <c r="T500" s="1325">
        <f>+T299-T85</f>
        <v>0</v>
      </c>
      <c r="U500" s="3468">
        <f>+U299-U83</f>
        <v>0</v>
      </c>
      <c r="V500" s="775">
        <f t="shared" si="563"/>
        <v>0</v>
      </c>
      <c r="W500" s="1325">
        <f>+W299-W83</f>
        <v>0</v>
      </c>
      <c r="X500" s="1325">
        <f>+X299-X85</f>
        <v>0</v>
      </c>
      <c r="Y500" s="1693">
        <f>+Y299-Y83</f>
        <v>0</v>
      </c>
      <c r="Z500" s="774">
        <f t="shared" si="564"/>
        <v>0</v>
      </c>
      <c r="AA500" s="5756">
        <f>+AA299-AA83</f>
        <v>0</v>
      </c>
      <c r="AB500" s="460">
        <f t="shared" si="565"/>
        <v>0</v>
      </c>
      <c r="AC500" s="1325">
        <f>+AC299-AC83</f>
        <v>0</v>
      </c>
      <c r="AD500" s="1325">
        <f>+AD299-AD85</f>
        <v>0</v>
      </c>
      <c r="AE500" s="3468">
        <f>+AE299-AE83</f>
        <v>0</v>
      </c>
      <c r="AF500" s="775">
        <f t="shared" si="566"/>
        <v>0</v>
      </c>
      <c r="AG500" s="1325">
        <f>+AG299-AG83</f>
        <v>0</v>
      </c>
      <c r="AH500" s="1325">
        <f>+AH299-AH85</f>
        <v>0</v>
      </c>
      <c r="AI500" s="3468">
        <f>+AI299-AI83</f>
        <v>0</v>
      </c>
      <c r="AJ500" s="3468">
        <f>+AJ299-AJ85</f>
        <v>0</v>
      </c>
      <c r="AK500" s="1325">
        <f>+AK299-AK83</f>
        <v>0</v>
      </c>
      <c r="AL500" s="1325">
        <f>+AL299-AL85</f>
        <v>0</v>
      </c>
      <c r="AM500" s="1693">
        <f>+AM299-AM83</f>
        <v>0</v>
      </c>
      <c r="AN500" s="1693">
        <f>+AN299-AN85</f>
        <v>0</v>
      </c>
      <c r="AO500" s="3468">
        <f>+AO299-AO83</f>
        <v>0</v>
      </c>
      <c r="AP500" s="3468">
        <f>+AP299-AP85</f>
        <v>0</v>
      </c>
      <c r="AQ500" s="1325">
        <f>+AQ299-AQ83</f>
        <v>0</v>
      </c>
      <c r="AR500" s="1325">
        <f>+AR299-AR85</f>
        <v>0</v>
      </c>
      <c r="AS500" s="3468">
        <f>+AS299-AS83</f>
        <v>0</v>
      </c>
      <c r="AT500" s="3468">
        <f>+AT299-AT85</f>
        <v>0</v>
      </c>
      <c r="AU500" s="1325">
        <f>+AU299-AU83</f>
        <v>0</v>
      </c>
      <c r="AV500" s="1325">
        <f>+AV299-AV85</f>
        <v>0</v>
      </c>
      <c r="AW500" s="3468">
        <f>+AW299-AW83</f>
        <v>0</v>
      </c>
      <c r="AX500" s="3468">
        <f>+AX299-AX85</f>
        <v>0</v>
      </c>
      <c r="AY500" s="1325">
        <f>+AY299-AY83</f>
        <v>0</v>
      </c>
      <c r="AZ500" s="1325">
        <f>+AZ299-AZ85</f>
        <v>0</v>
      </c>
      <c r="BA500" s="1693">
        <f>+BA299-BA83</f>
        <v>0</v>
      </c>
      <c r="BB500" s="1693">
        <f>+BB299-BB85</f>
        <v>0</v>
      </c>
      <c r="BC500" s="5756">
        <f>+BC299-BC83</f>
        <v>0</v>
      </c>
      <c r="BD500" s="5756">
        <f>+BD299-BD85</f>
        <v>0</v>
      </c>
      <c r="BE500" s="3468">
        <f>+BE299-BE83</f>
        <v>0</v>
      </c>
      <c r="BF500" s="3468">
        <f>+BF299-BF85</f>
        <v>0</v>
      </c>
      <c r="BG500" s="26">
        <f t="shared" si="575"/>
        <v>0</v>
      </c>
      <c r="BH500" s="26">
        <f t="shared" si="576"/>
        <v>0</v>
      </c>
      <c r="BI500" s="26"/>
      <c r="BJ500" s="26">
        <f t="shared" si="577"/>
        <v>0</v>
      </c>
      <c r="BK500" s="26">
        <f t="shared" si="578"/>
        <v>0</v>
      </c>
    </row>
    <row r="501" spans="1:63" ht="15" hidden="1" customHeight="1" x14ac:dyDescent="0.3">
      <c r="A501" s="151"/>
      <c r="B501" s="637"/>
      <c r="C501" s="637"/>
      <c r="D501" s="637"/>
      <c r="E501" s="1325">
        <f>+E299-E21</f>
        <v>0</v>
      </c>
      <c r="F501" s="1325">
        <f>+F299-F21</f>
        <v>0</v>
      </c>
      <c r="G501" s="1325">
        <f>+G299-G21</f>
        <v>0</v>
      </c>
      <c r="H501" s="1325">
        <f>+H299-H21</f>
        <v>0</v>
      </c>
      <c r="I501" s="3468">
        <f>+I299-I21</f>
        <v>0</v>
      </c>
      <c r="J501" s="775">
        <f t="shared" si="560"/>
        <v>0</v>
      </c>
      <c r="K501" s="1325">
        <f>+K299-K21</f>
        <v>0</v>
      </c>
      <c r="L501" s="1325">
        <f>+L299-L21</f>
        <v>0</v>
      </c>
      <c r="M501" s="1693">
        <f>+M299-M21</f>
        <v>0</v>
      </c>
      <c r="N501" s="774">
        <f t="shared" si="561"/>
        <v>0</v>
      </c>
      <c r="O501" s="1325">
        <f>+O299-O21</f>
        <v>0</v>
      </c>
      <c r="P501" s="1325">
        <f>+P299-P21</f>
        <v>0</v>
      </c>
      <c r="Q501" s="3468">
        <f>+Q299-Q21</f>
        <v>0</v>
      </c>
      <c r="R501" s="775">
        <f t="shared" si="562"/>
        <v>0</v>
      </c>
      <c r="S501" s="1325">
        <f>+S299-S21</f>
        <v>0</v>
      </c>
      <c r="T501" s="1325">
        <f>+T299-T21</f>
        <v>0</v>
      </c>
      <c r="U501" s="3468">
        <f>+U299-U21</f>
        <v>0</v>
      </c>
      <c r="V501" s="775">
        <f t="shared" si="563"/>
        <v>0</v>
      </c>
      <c r="W501" s="1325">
        <f>+W299-W21</f>
        <v>0</v>
      </c>
      <c r="X501" s="1325">
        <f>+X299-X21</f>
        <v>0</v>
      </c>
      <c r="Y501" s="1693">
        <f>+Y299-Y21</f>
        <v>0</v>
      </c>
      <c r="Z501" s="774">
        <f t="shared" si="564"/>
        <v>0</v>
      </c>
      <c r="AA501" s="5756">
        <f>+AA299-AA21</f>
        <v>0</v>
      </c>
      <c r="AB501" s="460">
        <f t="shared" si="565"/>
        <v>0</v>
      </c>
      <c r="AC501" s="1325">
        <f>+AC299-AC21</f>
        <v>0</v>
      </c>
      <c r="AD501" s="1325">
        <f>+AD299-AD21</f>
        <v>0</v>
      </c>
      <c r="AE501" s="3468">
        <f>+AE299-AE21</f>
        <v>0</v>
      </c>
      <c r="AF501" s="775">
        <f t="shared" si="566"/>
        <v>0</v>
      </c>
      <c r="AG501" s="1325">
        <f t="shared" ref="AG501:BF501" si="593">+AG299-AG21</f>
        <v>0</v>
      </c>
      <c r="AH501" s="1325">
        <f t="shared" si="593"/>
        <v>0</v>
      </c>
      <c r="AI501" s="3468">
        <f t="shared" si="593"/>
        <v>0</v>
      </c>
      <c r="AJ501" s="3468">
        <f t="shared" si="593"/>
        <v>0</v>
      </c>
      <c r="AK501" s="1325">
        <f t="shared" si="593"/>
        <v>0</v>
      </c>
      <c r="AL501" s="1325">
        <f t="shared" si="593"/>
        <v>0</v>
      </c>
      <c r="AM501" s="1693">
        <f t="shared" si="593"/>
        <v>0</v>
      </c>
      <c r="AN501" s="1693">
        <f t="shared" si="593"/>
        <v>0</v>
      </c>
      <c r="AO501" s="3468">
        <f t="shared" si="593"/>
        <v>0</v>
      </c>
      <c r="AP501" s="3468">
        <f t="shared" si="593"/>
        <v>0</v>
      </c>
      <c r="AQ501" s="1325">
        <f t="shared" si="593"/>
        <v>0</v>
      </c>
      <c r="AR501" s="1325">
        <f t="shared" si="593"/>
        <v>0</v>
      </c>
      <c r="AS501" s="3468">
        <f t="shared" si="593"/>
        <v>0</v>
      </c>
      <c r="AT501" s="3468">
        <f t="shared" si="593"/>
        <v>0</v>
      </c>
      <c r="AU501" s="1325">
        <f t="shared" si="593"/>
        <v>0</v>
      </c>
      <c r="AV501" s="1325">
        <f t="shared" si="593"/>
        <v>0</v>
      </c>
      <c r="AW501" s="3468">
        <f t="shared" si="593"/>
        <v>0</v>
      </c>
      <c r="AX501" s="3468">
        <f t="shared" si="593"/>
        <v>0</v>
      </c>
      <c r="AY501" s="1325">
        <f t="shared" si="593"/>
        <v>0</v>
      </c>
      <c r="AZ501" s="1325">
        <f t="shared" si="593"/>
        <v>0</v>
      </c>
      <c r="BA501" s="1693">
        <f t="shared" si="593"/>
        <v>0</v>
      </c>
      <c r="BB501" s="1693">
        <f t="shared" si="593"/>
        <v>0</v>
      </c>
      <c r="BC501" s="5756">
        <f t="shared" si="593"/>
        <v>0</v>
      </c>
      <c r="BD501" s="5756">
        <f t="shared" si="593"/>
        <v>0</v>
      </c>
      <c r="BE501" s="3468">
        <f t="shared" si="593"/>
        <v>0</v>
      </c>
      <c r="BF501" s="3468">
        <f t="shared" si="593"/>
        <v>0</v>
      </c>
      <c r="BG501" s="26">
        <f t="shared" si="575"/>
        <v>0</v>
      </c>
      <c r="BH501" s="26">
        <f t="shared" si="576"/>
        <v>0</v>
      </c>
      <c r="BI501" s="26"/>
      <c r="BJ501" s="26">
        <f t="shared" si="577"/>
        <v>0</v>
      </c>
      <c r="BK501" s="26">
        <f t="shared" si="578"/>
        <v>0</v>
      </c>
    </row>
    <row r="502" spans="1:63" ht="15" hidden="1" customHeight="1" x14ac:dyDescent="0.3">
      <c r="A502" s="151"/>
      <c r="B502" s="637"/>
      <c r="C502" s="637"/>
      <c r="D502" s="637"/>
      <c r="E502" s="637"/>
      <c r="F502" s="637"/>
      <c r="G502" s="637"/>
      <c r="H502" s="637"/>
      <c r="I502" s="866"/>
      <c r="J502" s="775">
        <f t="shared" si="560"/>
        <v>0</v>
      </c>
      <c r="K502" s="637"/>
      <c r="L502" s="637"/>
      <c r="M502" s="867"/>
      <c r="N502" s="774">
        <f t="shared" si="561"/>
        <v>0</v>
      </c>
      <c r="O502" s="637"/>
      <c r="P502" s="637"/>
      <c r="Q502" s="866"/>
      <c r="R502" s="775">
        <f t="shared" si="562"/>
        <v>0</v>
      </c>
      <c r="S502" s="637"/>
      <c r="T502" s="637"/>
      <c r="U502" s="866"/>
      <c r="V502" s="775">
        <f t="shared" si="563"/>
        <v>0</v>
      </c>
      <c r="W502" s="637"/>
      <c r="X502" s="637"/>
      <c r="Y502" s="867"/>
      <c r="Z502" s="774">
        <f t="shared" si="564"/>
        <v>0</v>
      </c>
      <c r="AA502" s="5733"/>
      <c r="AB502" s="460">
        <f t="shared" si="565"/>
        <v>0</v>
      </c>
      <c r="AC502" s="637"/>
      <c r="AD502" s="637"/>
      <c r="AE502" s="866"/>
      <c r="AF502" s="775">
        <f t="shared" si="566"/>
        <v>0</v>
      </c>
      <c r="AG502" s="637"/>
      <c r="AH502" s="637"/>
      <c r="AI502" s="866"/>
      <c r="AJ502" s="866"/>
      <c r="AK502" s="637"/>
      <c r="AL502" s="637"/>
      <c r="AM502" s="867"/>
      <c r="AN502" s="867"/>
      <c r="AO502" s="866"/>
      <c r="AP502" s="866"/>
      <c r="AQ502" s="637"/>
      <c r="AR502" s="637"/>
      <c r="AS502" s="866"/>
      <c r="AT502" s="866"/>
      <c r="AU502" s="637"/>
      <c r="AV502" s="637"/>
      <c r="AW502" s="866"/>
      <c r="AX502" s="866"/>
      <c r="AY502" s="637"/>
      <c r="AZ502" s="637"/>
      <c r="BA502" s="867"/>
      <c r="BB502" s="867"/>
      <c r="BC502" s="5733"/>
      <c r="BD502" s="5733"/>
      <c r="BE502" s="866"/>
      <c r="BF502" s="866"/>
      <c r="BG502" s="26">
        <f t="shared" si="575"/>
        <v>0</v>
      </c>
      <c r="BH502" s="26">
        <f t="shared" si="576"/>
        <v>0</v>
      </c>
      <c r="BI502" s="26"/>
      <c r="BJ502" s="26">
        <f t="shared" si="577"/>
        <v>0</v>
      </c>
      <c r="BK502" s="26">
        <f t="shared" si="578"/>
        <v>0</v>
      </c>
    </row>
    <row r="503" spans="1:63" ht="15" hidden="1" customHeight="1" x14ac:dyDescent="0.3">
      <c r="A503" s="151"/>
      <c r="B503" s="6140" t="s">
        <v>114</v>
      </c>
      <c r="C503" s="831"/>
      <c r="D503" s="831"/>
      <c r="E503" s="392">
        <f>+E13-E79</f>
        <v>0</v>
      </c>
      <c r="F503" s="392">
        <f>+F13-F81</f>
        <v>0</v>
      </c>
      <c r="G503" s="392">
        <f>+G13-G79</f>
        <v>0</v>
      </c>
      <c r="H503" s="392">
        <f>+H13-H81</f>
        <v>0</v>
      </c>
      <c r="I503" s="362">
        <f>+I13-I79</f>
        <v>0</v>
      </c>
      <c r="J503" s="775">
        <f t="shared" si="560"/>
        <v>0</v>
      </c>
      <c r="K503" s="392">
        <f>+K13-K79</f>
        <v>0</v>
      </c>
      <c r="L503" s="392">
        <f>+L13-L81</f>
        <v>0</v>
      </c>
      <c r="M503" s="441">
        <f>+M13-M79</f>
        <v>0</v>
      </c>
      <c r="N503" s="774">
        <f t="shared" si="561"/>
        <v>0</v>
      </c>
      <c r="O503" s="392">
        <f>+O13-O79</f>
        <v>0</v>
      </c>
      <c r="P503" s="392">
        <f>+P13-P81</f>
        <v>0</v>
      </c>
      <c r="Q503" s="362">
        <f>+Q13-Q79</f>
        <v>0</v>
      </c>
      <c r="R503" s="775">
        <f t="shared" si="562"/>
        <v>0</v>
      </c>
      <c r="S503" s="392">
        <f>+S13-S79</f>
        <v>0</v>
      </c>
      <c r="T503" s="392">
        <f>+T13-T81</f>
        <v>0.27999999999883585</v>
      </c>
      <c r="U503" s="362">
        <f>+U13-U79</f>
        <v>0</v>
      </c>
      <c r="V503" s="775">
        <f t="shared" si="563"/>
        <v>0.27999999999883585</v>
      </c>
      <c r="W503" s="392">
        <f>+W13-W79</f>
        <v>0</v>
      </c>
      <c r="X503" s="392">
        <f>+X13-X81</f>
        <v>0</v>
      </c>
      <c r="Y503" s="441">
        <f>+Y13-Y79</f>
        <v>0</v>
      </c>
      <c r="Z503" s="774">
        <f t="shared" si="564"/>
        <v>0.27999999999883585</v>
      </c>
      <c r="AA503" s="465">
        <f>+AA13-AA79</f>
        <v>0</v>
      </c>
      <c r="AB503" s="460">
        <f t="shared" si="565"/>
        <v>0.27999999999883585</v>
      </c>
      <c r="AC503" s="392">
        <f>+AC13-AC79</f>
        <v>0</v>
      </c>
      <c r="AD503" s="392">
        <f>+AD13-AD81</f>
        <v>0</v>
      </c>
      <c r="AE503" s="362">
        <f>+AE13-AE79</f>
        <v>0</v>
      </c>
      <c r="AF503" s="775">
        <f t="shared" si="566"/>
        <v>0.27999999999883585</v>
      </c>
      <c r="AG503" s="392">
        <f>+AG13-AG79</f>
        <v>0</v>
      </c>
      <c r="AH503" s="392">
        <f>+AH13-AH81</f>
        <v>0</v>
      </c>
      <c r="AI503" s="362">
        <f>+AI13-AI79</f>
        <v>0</v>
      </c>
      <c r="AJ503" s="362">
        <f>+AJ13-AJ81</f>
        <v>0.27999999996973202</v>
      </c>
      <c r="AK503" s="392">
        <f>+AK13-AK79</f>
        <v>0</v>
      </c>
      <c r="AL503" s="392">
        <f>+AL13-AL81</f>
        <v>0</v>
      </c>
      <c r="AM503" s="441">
        <f>+AM13-AM79</f>
        <v>0</v>
      </c>
      <c r="AN503" s="441">
        <f>+AN13-AN81</f>
        <v>0</v>
      </c>
      <c r="AO503" s="362">
        <f>+AO13-AO79</f>
        <v>0</v>
      </c>
      <c r="AP503" s="362">
        <f>+AP13-AP81</f>
        <v>0.28000000002793968</v>
      </c>
      <c r="AQ503" s="392">
        <f>+AQ13-AQ79</f>
        <v>0</v>
      </c>
      <c r="AR503" s="392">
        <f>+AR13-AR81</f>
        <v>0</v>
      </c>
      <c r="AS503" s="362">
        <f>+AS13-AS79</f>
        <v>0</v>
      </c>
      <c r="AT503" s="362">
        <f>+AT13-AT81</f>
        <v>0.28000000002793968</v>
      </c>
      <c r="AU503" s="392">
        <f>+AU13-AU79</f>
        <v>0</v>
      </c>
      <c r="AV503" s="392">
        <f>+AV13-AV81</f>
        <v>0</v>
      </c>
      <c r="AW503" s="362">
        <f>+AW13-AW79</f>
        <v>0</v>
      </c>
      <c r="AX503" s="362">
        <f>+AX13-AX81</f>
        <v>0.28000000002793968</v>
      </c>
      <c r="AY503" s="392">
        <f>+AY13-AY79</f>
        <v>0</v>
      </c>
      <c r="AZ503" s="392">
        <f>+AZ13-AZ81</f>
        <v>0</v>
      </c>
      <c r="BA503" s="441">
        <f>+BA13-BA79</f>
        <v>0</v>
      </c>
      <c r="BB503" s="441">
        <f>+BB13-BB81</f>
        <v>0</v>
      </c>
      <c r="BC503" s="465">
        <f>+BC13-BC79</f>
        <v>0</v>
      </c>
      <c r="BD503" s="465">
        <f>+BD13-BD81</f>
        <v>0</v>
      </c>
      <c r="BE503" s="362">
        <f>+BE13-BE79</f>
        <v>0</v>
      </c>
      <c r="BF503" s="362">
        <f>+BF13-BF81</f>
        <v>0.28000000002793968</v>
      </c>
      <c r="BG503" s="26">
        <f t="shared" si="575"/>
        <v>0</v>
      </c>
      <c r="BH503" s="26">
        <f t="shared" si="576"/>
        <v>-2.9103830456733704E-11</v>
      </c>
      <c r="BI503" s="26"/>
      <c r="BJ503" s="26">
        <f t="shared" si="577"/>
        <v>0</v>
      </c>
      <c r="BK503" s="26">
        <f t="shared" si="578"/>
        <v>0</v>
      </c>
    </row>
    <row r="504" spans="1:63" ht="15" hidden="1" customHeight="1" x14ac:dyDescent="0.3">
      <c r="A504" s="151"/>
      <c r="B504" s="6140"/>
      <c r="C504" s="831"/>
      <c r="D504" s="831"/>
      <c r="E504" s="392">
        <f>+E79-E236</f>
        <v>0</v>
      </c>
      <c r="F504" s="392">
        <f>+F81-F236</f>
        <v>0</v>
      </c>
      <c r="G504" s="392">
        <f>+G79-G236</f>
        <v>0</v>
      </c>
      <c r="H504" s="392">
        <f>+H81-H236</f>
        <v>0</v>
      </c>
      <c r="I504" s="362">
        <f>+I79-I236</f>
        <v>0</v>
      </c>
      <c r="J504" s="775">
        <f t="shared" ref="J504:J567" si="594">F504+H504</f>
        <v>0</v>
      </c>
      <c r="K504" s="392">
        <f>+K79-K236</f>
        <v>0</v>
      </c>
      <c r="L504" s="392">
        <f>+L81-L236</f>
        <v>0</v>
      </c>
      <c r="M504" s="441">
        <f>+M79-M236</f>
        <v>0</v>
      </c>
      <c r="N504" s="774">
        <f t="shared" ref="N504:N567" si="595">J504+L504</f>
        <v>0</v>
      </c>
      <c r="O504" s="392">
        <f>+O79-O236</f>
        <v>0</v>
      </c>
      <c r="P504" s="392">
        <f>+P81-P236</f>
        <v>0</v>
      </c>
      <c r="Q504" s="362">
        <f>+Q79-Q236</f>
        <v>0</v>
      </c>
      <c r="R504" s="775">
        <f t="shared" ref="R504:R567" si="596">N504+P504</f>
        <v>0</v>
      </c>
      <c r="S504" s="392">
        <f>+S79-S236</f>
        <v>0</v>
      </c>
      <c r="T504" s="392">
        <f>+T81-T236</f>
        <v>-0.28000000001338776</v>
      </c>
      <c r="U504" s="362">
        <f>+U79-U236</f>
        <v>0</v>
      </c>
      <c r="V504" s="775">
        <f t="shared" ref="V504:V567" si="597">R504+T504</f>
        <v>-0.28000000001338776</v>
      </c>
      <c r="W504" s="392">
        <f>+W79-W236</f>
        <v>0</v>
      </c>
      <c r="X504" s="392">
        <f>+X81-X236</f>
        <v>0</v>
      </c>
      <c r="Y504" s="441">
        <f>+Y79-Y236</f>
        <v>0</v>
      </c>
      <c r="Z504" s="774">
        <f t="shared" ref="Z504:Z567" si="598">P504+T504+X504</f>
        <v>-0.28000000001338776</v>
      </c>
      <c r="AA504" s="465">
        <f>+AA79-AA236</f>
        <v>0</v>
      </c>
      <c r="AB504" s="460">
        <f t="shared" ref="AB504:AB567" si="599">N504+Z504</f>
        <v>-0.28000000001338776</v>
      </c>
      <c r="AC504" s="392">
        <f>+AC79-AC236</f>
        <v>0</v>
      </c>
      <c r="AD504" s="392">
        <f>+AD81-AD236</f>
        <v>0</v>
      </c>
      <c r="AE504" s="362">
        <f>+AE79-AE236</f>
        <v>0</v>
      </c>
      <c r="AF504" s="775">
        <f t="shared" ref="AF504:AF567" si="600">AB504+AD504</f>
        <v>-0.28000000001338776</v>
      </c>
      <c r="AG504" s="392">
        <f>+AG79-AG236</f>
        <v>0</v>
      </c>
      <c r="AH504" s="392">
        <f>+AH81-AH236</f>
        <v>0</v>
      </c>
      <c r="AI504" s="362">
        <f>+AI79-AI236</f>
        <v>0</v>
      </c>
      <c r="AJ504" s="362">
        <f>+AJ81-AJ236</f>
        <v>-0.28000000002793968</v>
      </c>
      <c r="AK504" s="392">
        <f>+AK79-AK236</f>
        <v>0</v>
      </c>
      <c r="AL504" s="392">
        <f>+AL81-AL236</f>
        <v>0</v>
      </c>
      <c r="AM504" s="441">
        <f>+AM79-AM236</f>
        <v>0</v>
      </c>
      <c r="AN504" s="441">
        <f>+AN81-AN236</f>
        <v>0</v>
      </c>
      <c r="AO504" s="362">
        <f>+AO79-AO236</f>
        <v>0</v>
      </c>
      <c r="AP504" s="362">
        <f>+AP81-AP236</f>
        <v>-0.28000000002793968</v>
      </c>
      <c r="AQ504" s="392">
        <f>+AQ79-AQ236</f>
        <v>0</v>
      </c>
      <c r="AR504" s="392">
        <f>+AR81-AR236</f>
        <v>0</v>
      </c>
      <c r="AS504" s="362">
        <f>+AS79-AS236</f>
        <v>0</v>
      </c>
      <c r="AT504" s="362">
        <f>+AT81-AT236</f>
        <v>-0.28000000002793968</v>
      </c>
      <c r="AU504" s="392">
        <f>+AU79-AU236</f>
        <v>0</v>
      </c>
      <c r="AV504" s="392">
        <f>+AV81-AV236</f>
        <v>0</v>
      </c>
      <c r="AW504" s="362">
        <f>+AW79-AW236</f>
        <v>0</v>
      </c>
      <c r="AX504" s="362">
        <f>+AX81-AX236</f>
        <v>-0.28000000002793968</v>
      </c>
      <c r="AY504" s="392">
        <f>+AY79-AY236</f>
        <v>0</v>
      </c>
      <c r="AZ504" s="392">
        <f>+AZ81-AZ236</f>
        <v>0</v>
      </c>
      <c r="BA504" s="441">
        <f>+BA79-BA236</f>
        <v>0</v>
      </c>
      <c r="BB504" s="441">
        <f>+BB81-BB236</f>
        <v>0</v>
      </c>
      <c r="BC504" s="465">
        <f>+BC79-BC236</f>
        <v>0</v>
      </c>
      <c r="BD504" s="465">
        <f>+BD81-BD236</f>
        <v>0</v>
      </c>
      <c r="BE504" s="362">
        <f>+BE79-BE236</f>
        <v>0</v>
      </c>
      <c r="BF504" s="362">
        <f>+BF81-BF236</f>
        <v>-0.28000000002793968</v>
      </c>
      <c r="BG504" s="26">
        <f t="shared" si="575"/>
        <v>0</v>
      </c>
      <c r="BH504" s="26">
        <f t="shared" si="576"/>
        <v>1.4551915228366852E-11</v>
      </c>
      <c r="BI504" s="26"/>
      <c r="BJ504" s="26">
        <f t="shared" si="577"/>
        <v>0</v>
      </c>
      <c r="BK504" s="26">
        <f t="shared" si="578"/>
        <v>0</v>
      </c>
    </row>
    <row r="505" spans="1:63" ht="15" hidden="1" customHeight="1" x14ac:dyDescent="0.3">
      <c r="A505" s="151"/>
      <c r="B505" s="6140"/>
      <c r="C505" s="831"/>
      <c r="D505" s="831"/>
      <c r="E505" s="392">
        <f>+E13-E236</f>
        <v>0</v>
      </c>
      <c r="F505" s="392">
        <f>+F13-F236</f>
        <v>0</v>
      </c>
      <c r="G505" s="392">
        <f>+G13-G236</f>
        <v>0</v>
      </c>
      <c r="H505" s="392">
        <f>+H13-H236</f>
        <v>0</v>
      </c>
      <c r="I505" s="362">
        <f>+I13-I236</f>
        <v>0</v>
      </c>
      <c r="J505" s="775">
        <f t="shared" si="594"/>
        <v>0</v>
      </c>
      <c r="K505" s="392">
        <f>+K13-K236</f>
        <v>0</v>
      </c>
      <c r="L505" s="392">
        <f>+L13-L236</f>
        <v>0</v>
      </c>
      <c r="M505" s="441">
        <f>+M13-M236</f>
        <v>0</v>
      </c>
      <c r="N505" s="774">
        <f t="shared" si="595"/>
        <v>0</v>
      </c>
      <c r="O505" s="392">
        <f>+O13-O236</f>
        <v>0</v>
      </c>
      <c r="P505" s="392">
        <f>+P13-P236</f>
        <v>0</v>
      </c>
      <c r="Q505" s="362">
        <f>+Q13-Q236</f>
        <v>0</v>
      </c>
      <c r="R505" s="775">
        <f t="shared" si="596"/>
        <v>0</v>
      </c>
      <c r="S505" s="392">
        <f>+S13-S236</f>
        <v>0</v>
      </c>
      <c r="T505" s="392">
        <f>+T13-T236</f>
        <v>0</v>
      </c>
      <c r="U505" s="362">
        <f>+U13-U236</f>
        <v>0</v>
      </c>
      <c r="V505" s="775">
        <f t="shared" si="597"/>
        <v>0</v>
      </c>
      <c r="W505" s="392">
        <f>+W13-W236</f>
        <v>0</v>
      </c>
      <c r="X505" s="392">
        <f>+X13-X236</f>
        <v>0</v>
      </c>
      <c r="Y505" s="441">
        <f>+Y13-Y236</f>
        <v>0</v>
      </c>
      <c r="Z505" s="774">
        <f t="shared" si="598"/>
        <v>0</v>
      </c>
      <c r="AA505" s="465">
        <f>+AA13-AA236</f>
        <v>0</v>
      </c>
      <c r="AB505" s="460">
        <f t="shared" si="599"/>
        <v>0</v>
      </c>
      <c r="AC505" s="392">
        <f>+AC13-AC236</f>
        <v>0</v>
      </c>
      <c r="AD505" s="392">
        <f>+AD13-AD236</f>
        <v>0</v>
      </c>
      <c r="AE505" s="362">
        <f>+AE13-AE236</f>
        <v>0</v>
      </c>
      <c r="AF505" s="775">
        <f t="shared" si="600"/>
        <v>0</v>
      </c>
      <c r="AG505" s="392">
        <f t="shared" ref="AG505:BF505" si="601">+AG13-AG236</f>
        <v>0</v>
      </c>
      <c r="AH505" s="392">
        <f t="shared" si="601"/>
        <v>0</v>
      </c>
      <c r="AI505" s="362">
        <f t="shared" si="601"/>
        <v>0</v>
      </c>
      <c r="AJ505" s="362">
        <f t="shared" si="601"/>
        <v>0</v>
      </c>
      <c r="AK505" s="392">
        <f t="shared" si="601"/>
        <v>0</v>
      </c>
      <c r="AL505" s="392">
        <f t="shared" si="601"/>
        <v>0</v>
      </c>
      <c r="AM505" s="441">
        <f t="shared" si="601"/>
        <v>0</v>
      </c>
      <c r="AN505" s="441">
        <f t="shared" si="601"/>
        <v>0</v>
      </c>
      <c r="AO505" s="362">
        <f t="shared" si="601"/>
        <v>0</v>
      </c>
      <c r="AP505" s="362">
        <f t="shared" si="601"/>
        <v>0</v>
      </c>
      <c r="AQ505" s="392">
        <f t="shared" si="601"/>
        <v>0</v>
      </c>
      <c r="AR505" s="392">
        <f t="shared" si="601"/>
        <v>0</v>
      </c>
      <c r="AS505" s="362">
        <f t="shared" si="601"/>
        <v>0</v>
      </c>
      <c r="AT505" s="362">
        <f t="shared" si="601"/>
        <v>0</v>
      </c>
      <c r="AU505" s="392">
        <f t="shared" si="601"/>
        <v>0</v>
      </c>
      <c r="AV505" s="392">
        <f t="shared" si="601"/>
        <v>0</v>
      </c>
      <c r="AW505" s="362">
        <f t="shared" si="601"/>
        <v>0</v>
      </c>
      <c r="AX505" s="362">
        <f t="shared" si="601"/>
        <v>0</v>
      </c>
      <c r="AY505" s="392">
        <f t="shared" si="601"/>
        <v>0</v>
      </c>
      <c r="AZ505" s="392">
        <f t="shared" si="601"/>
        <v>0</v>
      </c>
      <c r="BA505" s="441">
        <f t="shared" si="601"/>
        <v>0</v>
      </c>
      <c r="BB505" s="441">
        <f t="shared" si="601"/>
        <v>0</v>
      </c>
      <c r="BC505" s="465">
        <f t="shared" si="601"/>
        <v>0</v>
      </c>
      <c r="BD505" s="465">
        <f t="shared" si="601"/>
        <v>0</v>
      </c>
      <c r="BE505" s="362">
        <f t="shared" si="601"/>
        <v>0</v>
      </c>
      <c r="BF505" s="362">
        <f t="shared" si="601"/>
        <v>0</v>
      </c>
      <c r="BG505" s="26">
        <f t="shared" si="575"/>
        <v>0</v>
      </c>
      <c r="BH505" s="26">
        <f t="shared" si="576"/>
        <v>0</v>
      </c>
      <c r="BI505" s="26"/>
      <c r="BJ505" s="26">
        <f t="shared" si="577"/>
        <v>0</v>
      </c>
      <c r="BK505" s="26">
        <f t="shared" si="578"/>
        <v>0</v>
      </c>
    </row>
    <row r="506" spans="1:63" ht="15" hidden="1" customHeight="1" x14ac:dyDescent="0.3">
      <c r="A506" s="151"/>
      <c r="B506" s="6140"/>
      <c r="C506" s="891"/>
      <c r="D506" s="891"/>
      <c r="E506" s="891"/>
      <c r="F506" s="361">
        <f>+F9-F256</f>
        <v>0</v>
      </c>
      <c r="G506" s="891"/>
      <c r="H506" s="361">
        <f>+H9-H256</f>
        <v>0</v>
      </c>
      <c r="I506" s="641"/>
      <c r="J506" s="775">
        <f t="shared" si="594"/>
        <v>0</v>
      </c>
      <c r="K506" s="891"/>
      <c r="L506" s="361">
        <f>+L9-L256</f>
        <v>0</v>
      </c>
      <c r="M506" s="640"/>
      <c r="N506" s="774">
        <f t="shared" si="595"/>
        <v>0</v>
      </c>
      <c r="O506" s="891"/>
      <c r="P506" s="361">
        <f>+P9-P256</f>
        <v>0</v>
      </c>
      <c r="Q506" s="641"/>
      <c r="R506" s="775">
        <f t="shared" si="596"/>
        <v>0</v>
      </c>
      <c r="S506" s="891"/>
      <c r="T506" s="361">
        <f>+T9-T256</f>
        <v>0</v>
      </c>
      <c r="U506" s="641"/>
      <c r="V506" s="775">
        <f t="shared" si="597"/>
        <v>0</v>
      </c>
      <c r="W506" s="891"/>
      <c r="X506" s="361">
        <f>+X9-X256</f>
        <v>0</v>
      </c>
      <c r="Y506" s="640"/>
      <c r="Z506" s="774">
        <f t="shared" si="598"/>
        <v>0</v>
      </c>
      <c r="AA506" s="832"/>
      <c r="AB506" s="460">
        <f t="shared" si="599"/>
        <v>0</v>
      </c>
      <c r="AC506" s="891"/>
      <c r="AD506" s="361">
        <f>+AD9-AD256</f>
        <v>0</v>
      </c>
      <c r="AE506" s="641"/>
      <c r="AF506" s="775">
        <f t="shared" si="600"/>
        <v>0</v>
      </c>
      <c r="AG506" s="891"/>
      <c r="AH506" s="361">
        <f>+AH9-AH256</f>
        <v>0</v>
      </c>
      <c r="AI506" s="641"/>
      <c r="AJ506" s="362">
        <f>+AJ9-AJ256</f>
        <v>0</v>
      </c>
      <c r="AK506" s="891"/>
      <c r="AL506" s="361">
        <f>+AL9-AL256</f>
        <v>0</v>
      </c>
      <c r="AM506" s="640"/>
      <c r="AN506" s="441">
        <f>+AN9-AN256</f>
        <v>0</v>
      </c>
      <c r="AO506" s="641"/>
      <c r="AP506" s="362">
        <f>+AP9-AP256</f>
        <v>0</v>
      </c>
      <c r="AQ506" s="891"/>
      <c r="AR506" s="361">
        <f>+AR9-AR256</f>
        <v>0</v>
      </c>
      <c r="AS506" s="641"/>
      <c r="AT506" s="362">
        <f>+AT9-AT256</f>
        <v>0</v>
      </c>
      <c r="AU506" s="891"/>
      <c r="AV506" s="361">
        <f>+AV9-AV256</f>
        <v>0</v>
      </c>
      <c r="AW506" s="641"/>
      <c r="AX506" s="362">
        <f>+AX9-AX256</f>
        <v>0</v>
      </c>
      <c r="AY506" s="891"/>
      <c r="AZ506" s="361">
        <f>+AZ9-AZ256</f>
        <v>0</v>
      </c>
      <c r="BA506" s="640"/>
      <c r="BB506" s="441">
        <f>+BB9-BB256</f>
        <v>0</v>
      </c>
      <c r="BC506" s="832"/>
      <c r="BD506" s="465">
        <f>+BD9-BD256</f>
        <v>0</v>
      </c>
      <c r="BE506" s="641"/>
      <c r="BF506" s="362">
        <f>+BF9-BF256</f>
        <v>0</v>
      </c>
      <c r="BG506" s="26">
        <f t="shared" si="575"/>
        <v>0</v>
      </c>
      <c r="BH506" s="26">
        <f t="shared" si="576"/>
        <v>0</v>
      </c>
      <c r="BI506" s="26"/>
      <c r="BJ506" s="26">
        <f t="shared" si="577"/>
        <v>0</v>
      </c>
      <c r="BK506" s="26">
        <f t="shared" si="578"/>
        <v>0</v>
      </c>
    </row>
    <row r="507" spans="1:63" ht="15" hidden="1" customHeight="1" x14ac:dyDescent="0.3">
      <c r="A507" s="151"/>
      <c r="B507" s="6140" t="s">
        <v>1132</v>
      </c>
      <c r="C507" s="266"/>
      <c r="D507" s="266"/>
      <c r="E507" s="361">
        <f>+E21-E83</f>
        <v>0</v>
      </c>
      <c r="F507" s="361">
        <f>+F21-F85</f>
        <v>0</v>
      </c>
      <c r="G507" s="361">
        <f>+G21-G83</f>
        <v>0</v>
      </c>
      <c r="H507" s="361">
        <f>+H21-H85</f>
        <v>0</v>
      </c>
      <c r="I507" s="362">
        <f>+I21-I83</f>
        <v>0</v>
      </c>
      <c r="J507" s="775">
        <f t="shared" si="594"/>
        <v>0</v>
      </c>
      <c r="K507" s="361">
        <f>+K21-K83</f>
        <v>0</v>
      </c>
      <c r="L507" s="361">
        <f>+L21-L85</f>
        <v>0</v>
      </c>
      <c r="M507" s="441">
        <f>+M21-M83</f>
        <v>0</v>
      </c>
      <c r="N507" s="774">
        <f t="shared" si="595"/>
        <v>0</v>
      </c>
      <c r="O507" s="361">
        <f>+O21-O83</f>
        <v>0</v>
      </c>
      <c r="P507" s="361">
        <f>+P21-P85</f>
        <v>0</v>
      </c>
      <c r="Q507" s="362">
        <f>+Q21-Q83</f>
        <v>0</v>
      </c>
      <c r="R507" s="775">
        <f t="shared" si="596"/>
        <v>0</v>
      </c>
      <c r="S507" s="361">
        <f>+S21-S83</f>
        <v>0</v>
      </c>
      <c r="T507" s="361">
        <f>+T21-T85</f>
        <v>0</v>
      </c>
      <c r="U507" s="362">
        <f>+U21-U83</f>
        <v>0</v>
      </c>
      <c r="V507" s="775">
        <f t="shared" si="597"/>
        <v>0</v>
      </c>
      <c r="W507" s="361">
        <f>+W21-W83</f>
        <v>0</v>
      </c>
      <c r="X507" s="361">
        <f>+X21-X85</f>
        <v>0</v>
      </c>
      <c r="Y507" s="441">
        <f>+Y21-Y83</f>
        <v>0</v>
      </c>
      <c r="Z507" s="774">
        <f t="shared" si="598"/>
        <v>0</v>
      </c>
      <c r="AA507" s="465">
        <f>+AA21-AA83</f>
        <v>0</v>
      </c>
      <c r="AB507" s="460">
        <f t="shared" si="599"/>
        <v>0</v>
      </c>
      <c r="AC507" s="361">
        <f>+AC21-AC83</f>
        <v>0</v>
      </c>
      <c r="AD507" s="361">
        <f>+AD21-AD85</f>
        <v>0</v>
      </c>
      <c r="AE507" s="362">
        <f>+AE21-AE83</f>
        <v>0</v>
      </c>
      <c r="AF507" s="775">
        <f t="shared" si="600"/>
        <v>0</v>
      </c>
      <c r="AG507" s="361">
        <f>+AG21-AG83</f>
        <v>0</v>
      </c>
      <c r="AH507" s="361">
        <f>+AH21-AH85</f>
        <v>0</v>
      </c>
      <c r="AI507" s="362">
        <f>+AI21-AI83</f>
        <v>0</v>
      </c>
      <c r="AJ507" s="362">
        <f>+AJ21-AJ85</f>
        <v>0</v>
      </c>
      <c r="AK507" s="361">
        <f>+AK21-AK83</f>
        <v>0</v>
      </c>
      <c r="AL507" s="361">
        <f>+AL21-AL85</f>
        <v>0</v>
      </c>
      <c r="AM507" s="441">
        <f>+AM21-AM83</f>
        <v>0</v>
      </c>
      <c r="AN507" s="441">
        <f>+AN21-AN85</f>
        <v>0</v>
      </c>
      <c r="AO507" s="362">
        <f>+AO21-AO83</f>
        <v>0</v>
      </c>
      <c r="AP507" s="362">
        <f>+AP21-AP85</f>
        <v>0</v>
      </c>
      <c r="AQ507" s="361">
        <f>+AQ21-AQ83</f>
        <v>0</v>
      </c>
      <c r="AR507" s="361">
        <f>+AR21-AR85</f>
        <v>0</v>
      </c>
      <c r="AS507" s="362">
        <f>+AS21-AS83</f>
        <v>0</v>
      </c>
      <c r="AT507" s="362">
        <f>+AT21-AT85</f>
        <v>0</v>
      </c>
      <c r="AU507" s="361">
        <f>+AU21-AU83</f>
        <v>0</v>
      </c>
      <c r="AV507" s="361">
        <f>+AV21-AV85</f>
        <v>0</v>
      </c>
      <c r="AW507" s="362">
        <f>+AW21-AW83</f>
        <v>0</v>
      </c>
      <c r="AX507" s="362">
        <f>+AX21-AX85</f>
        <v>0</v>
      </c>
      <c r="AY507" s="361">
        <f>+AY21-AY83</f>
        <v>0</v>
      </c>
      <c r="AZ507" s="361">
        <f>+AZ21-AZ85</f>
        <v>0</v>
      </c>
      <c r="BA507" s="441">
        <f>+BA21-BA83</f>
        <v>0</v>
      </c>
      <c r="BB507" s="441">
        <f>+BB21-BB85</f>
        <v>0</v>
      </c>
      <c r="BC507" s="465">
        <f>+BC21-BC83</f>
        <v>0</v>
      </c>
      <c r="BD507" s="465">
        <f>+BD21-BD85</f>
        <v>0</v>
      </c>
      <c r="BE507" s="362">
        <f>+BE21-BE83</f>
        <v>0</v>
      </c>
      <c r="BF507" s="362">
        <f>+BF21-BF85</f>
        <v>0</v>
      </c>
      <c r="BG507" s="26">
        <f t="shared" si="575"/>
        <v>0</v>
      </c>
      <c r="BH507" s="26">
        <f t="shared" si="576"/>
        <v>0</v>
      </c>
      <c r="BI507" s="26"/>
      <c r="BJ507" s="26">
        <f t="shared" si="577"/>
        <v>0</v>
      </c>
      <c r="BK507" s="26">
        <f t="shared" si="578"/>
        <v>0</v>
      </c>
    </row>
    <row r="508" spans="1:63" ht="21.15" hidden="1" customHeight="1" x14ac:dyDescent="0.3">
      <c r="A508" s="151"/>
      <c r="B508" s="6140"/>
      <c r="C508" s="266"/>
      <c r="D508" s="266"/>
      <c r="E508" s="361">
        <f>+E83-E299</f>
        <v>0</v>
      </c>
      <c r="F508" s="361">
        <f>+F85-F299</f>
        <v>0</v>
      </c>
      <c r="G508" s="361">
        <f>+G83-G299</f>
        <v>0</v>
      </c>
      <c r="H508" s="361">
        <f>+H85-H299</f>
        <v>0</v>
      </c>
      <c r="I508" s="362">
        <f>+I83-I299</f>
        <v>0</v>
      </c>
      <c r="J508" s="775">
        <f t="shared" si="594"/>
        <v>0</v>
      </c>
      <c r="K508" s="361">
        <f>+K83-K299</f>
        <v>0</v>
      </c>
      <c r="L508" s="361">
        <f>+L85-L299</f>
        <v>0</v>
      </c>
      <c r="M508" s="441">
        <f>+M83-M299</f>
        <v>0</v>
      </c>
      <c r="N508" s="774">
        <f t="shared" si="595"/>
        <v>0</v>
      </c>
      <c r="O508" s="361">
        <f>+O83-O299</f>
        <v>0</v>
      </c>
      <c r="P508" s="361">
        <f>+P85-P299</f>
        <v>0</v>
      </c>
      <c r="Q508" s="362">
        <f>+Q83-Q299</f>
        <v>0</v>
      </c>
      <c r="R508" s="775">
        <f t="shared" si="596"/>
        <v>0</v>
      </c>
      <c r="S508" s="361">
        <f>+S83-S299</f>
        <v>0</v>
      </c>
      <c r="T508" s="361">
        <f>+T85-T299</f>
        <v>0</v>
      </c>
      <c r="U508" s="362">
        <f>+U83-U299</f>
        <v>0</v>
      </c>
      <c r="V508" s="775">
        <f t="shared" si="597"/>
        <v>0</v>
      </c>
      <c r="W508" s="361">
        <f>+W83-W299</f>
        <v>0</v>
      </c>
      <c r="X508" s="361">
        <f>+X85-X299</f>
        <v>0</v>
      </c>
      <c r="Y508" s="441">
        <f>+Y83-Y299</f>
        <v>0</v>
      </c>
      <c r="Z508" s="774">
        <f t="shared" si="598"/>
        <v>0</v>
      </c>
      <c r="AA508" s="465">
        <f>+AA83-AA299</f>
        <v>0</v>
      </c>
      <c r="AB508" s="460">
        <f t="shared" si="599"/>
        <v>0</v>
      </c>
      <c r="AC508" s="361">
        <f>+AC83-AC299</f>
        <v>0</v>
      </c>
      <c r="AD508" s="361">
        <f>+AD85-AD299</f>
        <v>0</v>
      </c>
      <c r="AE508" s="362">
        <f>+AE83-AE299</f>
        <v>0</v>
      </c>
      <c r="AF508" s="775">
        <f t="shared" si="600"/>
        <v>0</v>
      </c>
      <c r="AG508" s="361">
        <f>+AG83-AG299</f>
        <v>0</v>
      </c>
      <c r="AH508" s="361">
        <f>+AH85-AH299</f>
        <v>0</v>
      </c>
      <c r="AI508" s="362">
        <f>+AI83-AI299</f>
        <v>0</v>
      </c>
      <c r="AJ508" s="362">
        <f>+AJ85-AJ299</f>
        <v>0</v>
      </c>
      <c r="AK508" s="361">
        <f>+AK83-AK299</f>
        <v>0</v>
      </c>
      <c r="AL508" s="361">
        <f>+AL85-AL299</f>
        <v>0</v>
      </c>
      <c r="AM508" s="441">
        <f>+AM83-AM299</f>
        <v>0</v>
      </c>
      <c r="AN508" s="441">
        <f>+AN85-AN299</f>
        <v>0</v>
      </c>
      <c r="AO508" s="362">
        <f>+AO83-AO299</f>
        <v>0</v>
      </c>
      <c r="AP508" s="362">
        <f>+AP85-AP299</f>
        <v>0</v>
      </c>
      <c r="AQ508" s="361">
        <f>+AQ83-AQ299</f>
        <v>0</v>
      </c>
      <c r="AR508" s="361">
        <f>+AR85-AR299</f>
        <v>0</v>
      </c>
      <c r="AS508" s="362">
        <f>+AS83-AS299</f>
        <v>0</v>
      </c>
      <c r="AT508" s="362">
        <f>+AT85-AT299</f>
        <v>0</v>
      </c>
      <c r="AU508" s="361">
        <f>+AU83-AU299</f>
        <v>0</v>
      </c>
      <c r="AV508" s="361">
        <f>+AV85-AV299</f>
        <v>0</v>
      </c>
      <c r="AW508" s="362">
        <f>+AW83-AW299</f>
        <v>0</v>
      </c>
      <c r="AX508" s="362">
        <f>+AX85-AX299</f>
        <v>0</v>
      </c>
      <c r="AY508" s="361">
        <f>+AY83-AY299</f>
        <v>0</v>
      </c>
      <c r="AZ508" s="361">
        <f>+AZ85-AZ299</f>
        <v>0</v>
      </c>
      <c r="BA508" s="441">
        <f>+BA83-BA299</f>
        <v>0</v>
      </c>
      <c r="BB508" s="441">
        <f>+BB85-BB299</f>
        <v>0</v>
      </c>
      <c r="BC508" s="465">
        <f>+BC83-BC299</f>
        <v>0</v>
      </c>
      <c r="BD508" s="465">
        <f>+BD85-BD299</f>
        <v>0</v>
      </c>
      <c r="BE508" s="362">
        <f>+BE83-BE299</f>
        <v>0</v>
      </c>
      <c r="BF508" s="362">
        <f>+BF85-BF299</f>
        <v>0</v>
      </c>
      <c r="BG508" s="26">
        <f t="shared" si="575"/>
        <v>0</v>
      </c>
      <c r="BH508" s="26">
        <f t="shared" si="576"/>
        <v>0</v>
      </c>
      <c r="BI508" s="26"/>
      <c r="BJ508" s="26">
        <f t="shared" si="577"/>
        <v>0</v>
      </c>
      <c r="BK508" s="26">
        <f t="shared" si="578"/>
        <v>0</v>
      </c>
    </row>
    <row r="509" spans="1:63" ht="15" hidden="1" customHeight="1" x14ac:dyDescent="0.3">
      <c r="A509" s="151"/>
      <c r="B509" s="6140"/>
      <c r="C509" s="266"/>
      <c r="D509" s="266"/>
      <c r="E509" s="361">
        <f>+E21-E299</f>
        <v>0</v>
      </c>
      <c r="F509" s="361">
        <f>+F21-F299</f>
        <v>0</v>
      </c>
      <c r="G509" s="361">
        <f>+G21-G299</f>
        <v>0</v>
      </c>
      <c r="H509" s="361">
        <f>+H21-H299</f>
        <v>0</v>
      </c>
      <c r="I509" s="362">
        <f>+I21-I299</f>
        <v>0</v>
      </c>
      <c r="J509" s="775">
        <f t="shared" si="594"/>
        <v>0</v>
      </c>
      <c r="K509" s="361">
        <f>+K21-K299</f>
        <v>0</v>
      </c>
      <c r="L509" s="361">
        <f>+L21-L299</f>
        <v>0</v>
      </c>
      <c r="M509" s="441">
        <f>+M21-M299</f>
        <v>0</v>
      </c>
      <c r="N509" s="774">
        <f t="shared" si="595"/>
        <v>0</v>
      </c>
      <c r="O509" s="361">
        <f>+O21-O299</f>
        <v>0</v>
      </c>
      <c r="P509" s="361">
        <f>+P21-P299</f>
        <v>0</v>
      </c>
      <c r="Q509" s="362">
        <f>+Q21-Q299</f>
        <v>0</v>
      </c>
      <c r="R509" s="775">
        <f t="shared" si="596"/>
        <v>0</v>
      </c>
      <c r="S509" s="361">
        <f>+S21-S299</f>
        <v>0</v>
      </c>
      <c r="T509" s="361">
        <f>+T21-T299</f>
        <v>0</v>
      </c>
      <c r="U509" s="362">
        <f>+U21-U299</f>
        <v>0</v>
      </c>
      <c r="V509" s="775">
        <f t="shared" si="597"/>
        <v>0</v>
      </c>
      <c r="W509" s="361">
        <f>+W21-W299</f>
        <v>0</v>
      </c>
      <c r="X509" s="361">
        <f>+X21-X299</f>
        <v>0</v>
      </c>
      <c r="Y509" s="441">
        <f>+Y21-Y299</f>
        <v>0</v>
      </c>
      <c r="Z509" s="774">
        <f t="shared" si="598"/>
        <v>0</v>
      </c>
      <c r="AA509" s="465">
        <f>+AA21-AA299</f>
        <v>0</v>
      </c>
      <c r="AB509" s="460">
        <f t="shared" si="599"/>
        <v>0</v>
      </c>
      <c r="AC509" s="361">
        <f>+AC21-AC299</f>
        <v>0</v>
      </c>
      <c r="AD509" s="361">
        <f>+AD21-AD299</f>
        <v>0</v>
      </c>
      <c r="AE509" s="362">
        <f>+AE21-AE299</f>
        <v>0</v>
      </c>
      <c r="AF509" s="775">
        <f t="shared" si="600"/>
        <v>0</v>
      </c>
      <c r="AG509" s="361">
        <f t="shared" ref="AG509:BF509" si="602">+AG21-AG299</f>
        <v>0</v>
      </c>
      <c r="AH509" s="361">
        <f t="shared" si="602"/>
        <v>0</v>
      </c>
      <c r="AI509" s="362">
        <f t="shared" si="602"/>
        <v>0</v>
      </c>
      <c r="AJ509" s="362">
        <f t="shared" si="602"/>
        <v>0</v>
      </c>
      <c r="AK509" s="361">
        <f t="shared" si="602"/>
        <v>0</v>
      </c>
      <c r="AL509" s="361">
        <f t="shared" si="602"/>
        <v>0</v>
      </c>
      <c r="AM509" s="441">
        <f t="shared" si="602"/>
        <v>0</v>
      </c>
      <c r="AN509" s="441">
        <f t="shared" si="602"/>
        <v>0</v>
      </c>
      <c r="AO509" s="362">
        <f t="shared" si="602"/>
        <v>0</v>
      </c>
      <c r="AP509" s="362">
        <f t="shared" si="602"/>
        <v>0</v>
      </c>
      <c r="AQ509" s="361">
        <f t="shared" si="602"/>
        <v>0</v>
      </c>
      <c r="AR509" s="361">
        <f t="shared" si="602"/>
        <v>0</v>
      </c>
      <c r="AS509" s="362">
        <f t="shared" si="602"/>
        <v>0</v>
      </c>
      <c r="AT509" s="362">
        <f t="shared" si="602"/>
        <v>0</v>
      </c>
      <c r="AU509" s="361">
        <f t="shared" si="602"/>
        <v>0</v>
      </c>
      <c r="AV509" s="361">
        <f t="shared" si="602"/>
        <v>0</v>
      </c>
      <c r="AW509" s="362">
        <f t="shared" si="602"/>
        <v>0</v>
      </c>
      <c r="AX509" s="362">
        <f t="shared" si="602"/>
        <v>0</v>
      </c>
      <c r="AY509" s="361">
        <f t="shared" si="602"/>
        <v>0</v>
      </c>
      <c r="AZ509" s="361">
        <f t="shared" si="602"/>
        <v>0</v>
      </c>
      <c r="BA509" s="441">
        <f t="shared" si="602"/>
        <v>0</v>
      </c>
      <c r="BB509" s="441">
        <f t="shared" si="602"/>
        <v>0</v>
      </c>
      <c r="BC509" s="465">
        <f t="shared" si="602"/>
        <v>0</v>
      </c>
      <c r="BD509" s="465">
        <f t="shared" si="602"/>
        <v>0</v>
      </c>
      <c r="BE509" s="362">
        <f t="shared" si="602"/>
        <v>0</v>
      </c>
      <c r="BF509" s="362">
        <f t="shared" si="602"/>
        <v>0</v>
      </c>
      <c r="BG509" s="26">
        <f t="shared" si="575"/>
        <v>0</v>
      </c>
      <c r="BH509" s="26">
        <f t="shared" si="576"/>
        <v>0</v>
      </c>
      <c r="BI509" s="26"/>
      <c r="BJ509" s="26">
        <f t="shared" si="577"/>
        <v>0</v>
      </c>
      <c r="BK509" s="26">
        <f t="shared" si="578"/>
        <v>0</v>
      </c>
    </row>
    <row r="510" spans="1:63" ht="15" hidden="1" customHeight="1" x14ac:dyDescent="0.3">
      <c r="A510" s="151"/>
      <c r="B510" s="6140"/>
      <c r="C510" s="266"/>
      <c r="D510" s="266"/>
      <c r="E510" s="891"/>
      <c r="F510" s="361">
        <f>+F17-F304</f>
        <v>0</v>
      </c>
      <c r="G510" s="891"/>
      <c r="H510" s="361">
        <f>+H17-H304</f>
        <v>0</v>
      </c>
      <c r="I510" s="641"/>
      <c r="J510" s="775">
        <f t="shared" si="594"/>
        <v>0</v>
      </c>
      <c r="K510" s="891"/>
      <c r="L510" s="361">
        <f>+L17-L304</f>
        <v>0</v>
      </c>
      <c r="M510" s="640"/>
      <c r="N510" s="774">
        <f t="shared" si="595"/>
        <v>0</v>
      </c>
      <c r="O510" s="891"/>
      <c r="P510" s="361">
        <f>+P17-P304</f>
        <v>0</v>
      </c>
      <c r="Q510" s="641"/>
      <c r="R510" s="775">
        <f t="shared" si="596"/>
        <v>0</v>
      </c>
      <c r="S510" s="891"/>
      <c r="T510" s="361">
        <f>+T17-T304</f>
        <v>0</v>
      </c>
      <c r="U510" s="641"/>
      <c r="V510" s="775">
        <f t="shared" si="597"/>
        <v>0</v>
      </c>
      <c r="W510" s="891"/>
      <c r="X510" s="361">
        <f>+X17-X304</f>
        <v>0</v>
      </c>
      <c r="Y510" s="640"/>
      <c r="Z510" s="774">
        <f t="shared" si="598"/>
        <v>0</v>
      </c>
      <c r="AA510" s="832"/>
      <c r="AB510" s="460">
        <f t="shared" si="599"/>
        <v>0</v>
      </c>
      <c r="AC510" s="891"/>
      <c r="AD510" s="361">
        <f>+AD17-AD304</f>
        <v>0</v>
      </c>
      <c r="AE510" s="641"/>
      <c r="AF510" s="775">
        <f t="shared" si="600"/>
        <v>0</v>
      </c>
      <c r="AG510" s="891"/>
      <c r="AH510" s="361">
        <f>+AH17-AH304</f>
        <v>0</v>
      </c>
      <c r="AI510" s="641"/>
      <c r="AJ510" s="362">
        <f>+AJ17-AJ304</f>
        <v>0</v>
      </c>
      <c r="AK510" s="891"/>
      <c r="AL510" s="361">
        <f>+AL17-AL304</f>
        <v>0</v>
      </c>
      <c r="AM510" s="640"/>
      <c r="AN510" s="441">
        <f>+AN17-AN304</f>
        <v>0</v>
      </c>
      <c r="AO510" s="641"/>
      <c r="AP510" s="362">
        <f>+AP17-AP304</f>
        <v>0</v>
      </c>
      <c r="AQ510" s="891"/>
      <c r="AR510" s="361">
        <f>+AR17-AR304</f>
        <v>0</v>
      </c>
      <c r="AS510" s="641"/>
      <c r="AT510" s="362">
        <f>+AT17-AT304</f>
        <v>0</v>
      </c>
      <c r="AU510" s="891"/>
      <c r="AV510" s="361">
        <f>+AV17-AV304</f>
        <v>0</v>
      </c>
      <c r="AW510" s="641"/>
      <c r="AX510" s="362">
        <f>+AX17-AX304</f>
        <v>0</v>
      </c>
      <c r="AY510" s="891"/>
      <c r="AZ510" s="361">
        <f>+AZ17-AZ304</f>
        <v>0</v>
      </c>
      <c r="BA510" s="640"/>
      <c r="BB510" s="441">
        <f>+BB17-BB304</f>
        <v>0</v>
      </c>
      <c r="BC510" s="832"/>
      <c r="BD510" s="465">
        <f>+BD17-BD304</f>
        <v>0</v>
      </c>
      <c r="BE510" s="641"/>
      <c r="BF510" s="362">
        <f>+BF17-BF304</f>
        <v>0</v>
      </c>
      <c r="BG510" s="26">
        <f t="shared" si="575"/>
        <v>0</v>
      </c>
      <c r="BH510" s="26">
        <f t="shared" si="576"/>
        <v>0</v>
      </c>
      <c r="BI510" s="26"/>
      <c r="BJ510" s="26">
        <f t="shared" si="577"/>
        <v>0</v>
      </c>
      <c r="BK510" s="26">
        <f t="shared" si="578"/>
        <v>0</v>
      </c>
    </row>
    <row r="511" spans="1:63" ht="15" hidden="1" customHeight="1" x14ac:dyDescent="0.3">
      <c r="A511" s="151"/>
      <c r="B511" s="6140" t="s">
        <v>1133</v>
      </c>
      <c r="C511" s="637"/>
      <c r="D511" s="637"/>
      <c r="E511" s="392">
        <f>+E29-E87</f>
        <v>0</v>
      </c>
      <c r="F511" s="392">
        <f>+F29-F89</f>
        <v>0</v>
      </c>
      <c r="G511" s="392">
        <f>+G29-G87</f>
        <v>0</v>
      </c>
      <c r="H511" s="392">
        <f>+H29-H89</f>
        <v>0</v>
      </c>
      <c r="I511" s="362">
        <f>+I29-I87</f>
        <v>0</v>
      </c>
      <c r="J511" s="775">
        <f t="shared" si="594"/>
        <v>0</v>
      </c>
      <c r="K511" s="392">
        <f>+K29-K87</f>
        <v>0</v>
      </c>
      <c r="L511" s="392">
        <f>+L29-L89</f>
        <v>0</v>
      </c>
      <c r="M511" s="441">
        <f>+M29-M87</f>
        <v>0</v>
      </c>
      <c r="N511" s="774">
        <f t="shared" si="595"/>
        <v>0</v>
      </c>
      <c r="O511" s="392">
        <f>+O29-O87</f>
        <v>0</v>
      </c>
      <c r="P511" s="392">
        <f>+P29-P89</f>
        <v>0</v>
      </c>
      <c r="Q511" s="362">
        <f>+Q29-Q87</f>
        <v>0</v>
      </c>
      <c r="R511" s="775">
        <f t="shared" si="596"/>
        <v>0</v>
      </c>
      <c r="S511" s="392">
        <f>+S29-S87</f>
        <v>0</v>
      </c>
      <c r="T511" s="392">
        <f>+T29-T89</f>
        <v>0</v>
      </c>
      <c r="U511" s="362">
        <f>+U29-U87</f>
        <v>0</v>
      </c>
      <c r="V511" s="775">
        <f t="shared" si="597"/>
        <v>0</v>
      </c>
      <c r="W511" s="392">
        <f>+W29-W87</f>
        <v>0</v>
      </c>
      <c r="X511" s="392">
        <f>+X29-X89</f>
        <v>0</v>
      </c>
      <c r="Y511" s="441">
        <f>+Y29-Y87</f>
        <v>0</v>
      </c>
      <c r="Z511" s="774">
        <f t="shared" si="598"/>
        <v>0</v>
      </c>
      <c r="AA511" s="465">
        <f>+AA29-AA87</f>
        <v>0</v>
      </c>
      <c r="AB511" s="460">
        <f t="shared" si="599"/>
        <v>0</v>
      </c>
      <c r="AC511" s="392">
        <f>+AC29-AC87</f>
        <v>0</v>
      </c>
      <c r="AD511" s="392">
        <f>+AD29-AD89</f>
        <v>0</v>
      </c>
      <c r="AE511" s="362">
        <f>+AE29-AE87</f>
        <v>0</v>
      </c>
      <c r="AF511" s="775">
        <f t="shared" si="600"/>
        <v>0</v>
      </c>
      <c r="AG511" s="392">
        <f>+AG29-AG87</f>
        <v>0</v>
      </c>
      <c r="AH511" s="392">
        <f>+AH29-AH89</f>
        <v>0</v>
      </c>
      <c r="AI511" s="362">
        <f>+AI29-AI87</f>
        <v>0</v>
      </c>
      <c r="AJ511" s="362">
        <f>+AJ29-AJ89</f>
        <v>0</v>
      </c>
      <c r="AK511" s="392">
        <f>+AK29-AK87</f>
        <v>0</v>
      </c>
      <c r="AL511" s="392">
        <f>+AL29-AL89</f>
        <v>0</v>
      </c>
      <c r="AM511" s="441">
        <f>+AM29-AM87</f>
        <v>0</v>
      </c>
      <c r="AN511" s="441">
        <f>+AN29-AN89</f>
        <v>0</v>
      </c>
      <c r="AO511" s="362">
        <f>+AO29-AO87</f>
        <v>0</v>
      </c>
      <c r="AP511" s="362">
        <f>+AP29-AP89</f>
        <v>0</v>
      </c>
      <c r="AQ511" s="392">
        <f>+AQ29-AQ87</f>
        <v>0</v>
      </c>
      <c r="AR511" s="392">
        <f>+AR29-AR89</f>
        <v>0</v>
      </c>
      <c r="AS511" s="362">
        <f>+AS29-AS87</f>
        <v>0</v>
      </c>
      <c r="AT511" s="362">
        <f>+AT29-AT89</f>
        <v>0</v>
      </c>
      <c r="AU511" s="392">
        <f>+AU29-AU87</f>
        <v>0</v>
      </c>
      <c r="AV511" s="392">
        <f>+AV29-AV89</f>
        <v>0</v>
      </c>
      <c r="AW511" s="362">
        <f>+AW29-AW87</f>
        <v>0</v>
      </c>
      <c r="AX511" s="362">
        <f>+AX29-AX89</f>
        <v>0</v>
      </c>
      <c r="AY511" s="392">
        <f>+AY29-AY87</f>
        <v>0</v>
      </c>
      <c r="AZ511" s="392">
        <f>+AZ29-AZ89</f>
        <v>0</v>
      </c>
      <c r="BA511" s="441">
        <f>+BA29-BA87</f>
        <v>0</v>
      </c>
      <c r="BB511" s="441">
        <f>+BB29-BB89</f>
        <v>0</v>
      </c>
      <c r="BC511" s="465">
        <f>+BC29-BC87</f>
        <v>0</v>
      </c>
      <c r="BD511" s="465">
        <f>+BD29-BD89</f>
        <v>0</v>
      </c>
      <c r="BE511" s="362">
        <f>+BE29-BE87</f>
        <v>0</v>
      </c>
      <c r="BF511" s="362">
        <f>+BF29-BF89</f>
        <v>0</v>
      </c>
      <c r="BG511" s="26">
        <f t="shared" si="575"/>
        <v>0</v>
      </c>
      <c r="BH511" s="26">
        <f t="shared" si="576"/>
        <v>0</v>
      </c>
      <c r="BI511" s="26"/>
      <c r="BJ511" s="26">
        <f t="shared" si="577"/>
        <v>0</v>
      </c>
      <c r="BK511" s="26">
        <f t="shared" si="578"/>
        <v>0</v>
      </c>
    </row>
    <row r="512" spans="1:63" ht="15" hidden="1" customHeight="1" x14ac:dyDescent="0.3">
      <c r="A512" s="151"/>
      <c r="B512" s="6140"/>
      <c r="C512" s="637"/>
      <c r="D512" s="637"/>
      <c r="E512" s="392">
        <f>+E87-E414</f>
        <v>0</v>
      </c>
      <c r="F512" s="392">
        <f>+F89-F414</f>
        <v>0</v>
      </c>
      <c r="G512" s="392">
        <f>+G87-G414</f>
        <v>0</v>
      </c>
      <c r="H512" s="392">
        <f>+H89-H414</f>
        <v>0</v>
      </c>
      <c r="I512" s="362">
        <f>+I87-I414</f>
        <v>0</v>
      </c>
      <c r="J512" s="775">
        <f t="shared" si="594"/>
        <v>0</v>
      </c>
      <c r="K512" s="392">
        <f>+K87-K414</f>
        <v>0</v>
      </c>
      <c r="L512" s="392">
        <f>+L89-L414</f>
        <v>0</v>
      </c>
      <c r="M512" s="441">
        <f>+M87-M414</f>
        <v>0</v>
      </c>
      <c r="N512" s="774">
        <f t="shared" si="595"/>
        <v>0</v>
      </c>
      <c r="O512" s="392">
        <f>+O87-O414</f>
        <v>0</v>
      </c>
      <c r="P512" s="392">
        <f>+P89-P414</f>
        <v>0</v>
      </c>
      <c r="Q512" s="362">
        <f>+Q87-Q414</f>
        <v>0</v>
      </c>
      <c r="R512" s="775">
        <f t="shared" si="596"/>
        <v>0</v>
      </c>
      <c r="S512" s="392">
        <f>+S87-S414</f>
        <v>0</v>
      </c>
      <c r="T512" s="392">
        <f>+T89-T414</f>
        <v>0</v>
      </c>
      <c r="U512" s="362">
        <f>+U87-U414</f>
        <v>0</v>
      </c>
      <c r="V512" s="775">
        <f t="shared" si="597"/>
        <v>0</v>
      </c>
      <c r="W512" s="392">
        <f>+W87-W414</f>
        <v>0</v>
      </c>
      <c r="X512" s="392">
        <f>+X89-X414</f>
        <v>0</v>
      </c>
      <c r="Y512" s="441">
        <f>+Y87-Y414</f>
        <v>0</v>
      </c>
      <c r="Z512" s="774">
        <f t="shared" si="598"/>
        <v>0</v>
      </c>
      <c r="AA512" s="465">
        <f>+AA87-AA414</f>
        <v>0</v>
      </c>
      <c r="AB512" s="460">
        <f t="shared" si="599"/>
        <v>0</v>
      </c>
      <c r="AC512" s="392">
        <f>+AC87-AC414</f>
        <v>0</v>
      </c>
      <c r="AD512" s="392">
        <f>+AD89-AD414</f>
        <v>0</v>
      </c>
      <c r="AE512" s="362">
        <f>+AE87-AE414</f>
        <v>0</v>
      </c>
      <c r="AF512" s="775">
        <f t="shared" si="600"/>
        <v>0</v>
      </c>
      <c r="AG512" s="392">
        <f>+AG87-AG414</f>
        <v>0</v>
      </c>
      <c r="AH512" s="392">
        <f>+AH89-AH414</f>
        <v>0</v>
      </c>
      <c r="AI512" s="362">
        <f>+AI87-AI414</f>
        <v>0</v>
      </c>
      <c r="AJ512" s="362">
        <f>+AJ89-AJ414</f>
        <v>0</v>
      </c>
      <c r="AK512" s="392">
        <f>+AK87-AK414</f>
        <v>0</v>
      </c>
      <c r="AL512" s="392">
        <f>+AL89-AL414</f>
        <v>0</v>
      </c>
      <c r="AM512" s="441">
        <f>+AM87-AM414</f>
        <v>0</v>
      </c>
      <c r="AN512" s="441">
        <f>+AN89-AN414</f>
        <v>0</v>
      </c>
      <c r="AO512" s="362">
        <f>+AO87-AO414</f>
        <v>0</v>
      </c>
      <c r="AP512" s="362">
        <f>+AP89-AP414</f>
        <v>0</v>
      </c>
      <c r="AQ512" s="392">
        <f>+AQ87-AQ414</f>
        <v>0</v>
      </c>
      <c r="AR512" s="392">
        <f>+AR89-AR414</f>
        <v>0</v>
      </c>
      <c r="AS512" s="362">
        <f>+AS87-AS414</f>
        <v>0</v>
      </c>
      <c r="AT512" s="362">
        <f>+AT89-AT414</f>
        <v>0</v>
      </c>
      <c r="AU512" s="392">
        <f>+AU87-AU414</f>
        <v>0</v>
      </c>
      <c r="AV512" s="392">
        <f>+AV89-AV414</f>
        <v>0</v>
      </c>
      <c r="AW512" s="362">
        <f>+AW87-AW414</f>
        <v>0</v>
      </c>
      <c r="AX512" s="362">
        <f>+AX89-AX414</f>
        <v>0</v>
      </c>
      <c r="AY512" s="392">
        <f>+AY87-AY414</f>
        <v>0</v>
      </c>
      <c r="AZ512" s="392">
        <f>+AZ89-AZ414</f>
        <v>0</v>
      </c>
      <c r="BA512" s="441">
        <f>+BA87-BA414</f>
        <v>0</v>
      </c>
      <c r="BB512" s="441">
        <f>+BB89-BB414</f>
        <v>0</v>
      </c>
      <c r="BC512" s="465">
        <f>+BC87-BC414</f>
        <v>0</v>
      </c>
      <c r="BD512" s="465">
        <f>+BD89-BD414</f>
        <v>0</v>
      </c>
      <c r="BE512" s="362">
        <f>+BE87-BE414</f>
        <v>0</v>
      </c>
      <c r="BF512" s="362">
        <f>+BF89-BF414</f>
        <v>0</v>
      </c>
      <c r="BG512" s="26">
        <f t="shared" si="575"/>
        <v>0</v>
      </c>
      <c r="BH512" s="26">
        <f t="shared" si="576"/>
        <v>0</v>
      </c>
      <c r="BI512" s="26"/>
      <c r="BJ512" s="26">
        <f t="shared" si="577"/>
        <v>0</v>
      </c>
      <c r="BK512" s="26">
        <f t="shared" si="578"/>
        <v>0</v>
      </c>
    </row>
    <row r="513" spans="1:63" ht="15" hidden="1" customHeight="1" x14ac:dyDescent="0.3">
      <c r="A513" s="151"/>
      <c r="B513" s="6140"/>
      <c r="C513" s="637"/>
      <c r="D513" s="637"/>
      <c r="E513" s="392">
        <f>E29-E414</f>
        <v>0</v>
      </c>
      <c r="F513" s="392">
        <f>+F29-F414</f>
        <v>0</v>
      </c>
      <c r="G513" s="392">
        <f>G29-G414</f>
        <v>0</v>
      </c>
      <c r="H513" s="392">
        <f>+H29-H414</f>
        <v>0</v>
      </c>
      <c r="I513" s="362">
        <f>I29-I414</f>
        <v>0</v>
      </c>
      <c r="J513" s="775">
        <f t="shared" si="594"/>
        <v>0</v>
      </c>
      <c r="K513" s="392">
        <f>K29-K414</f>
        <v>0</v>
      </c>
      <c r="L513" s="392">
        <f>+L29-L414</f>
        <v>0</v>
      </c>
      <c r="M513" s="441">
        <f>M29-M414</f>
        <v>0</v>
      </c>
      <c r="N513" s="774">
        <f t="shared" si="595"/>
        <v>0</v>
      </c>
      <c r="O513" s="392">
        <f>O29-O414</f>
        <v>0</v>
      </c>
      <c r="P513" s="392">
        <f>+P29-P414</f>
        <v>0</v>
      </c>
      <c r="Q513" s="362">
        <f>Q29-Q414</f>
        <v>0</v>
      </c>
      <c r="R513" s="775">
        <f t="shared" si="596"/>
        <v>0</v>
      </c>
      <c r="S513" s="392">
        <f>S29-S414</f>
        <v>0</v>
      </c>
      <c r="T513" s="392">
        <f>+T29-T414</f>
        <v>0</v>
      </c>
      <c r="U513" s="362">
        <f>U29-U414</f>
        <v>0</v>
      </c>
      <c r="V513" s="775">
        <f t="shared" si="597"/>
        <v>0</v>
      </c>
      <c r="W513" s="392">
        <f>W29-W414</f>
        <v>0</v>
      </c>
      <c r="X513" s="392">
        <f>+X29-X414</f>
        <v>0</v>
      </c>
      <c r="Y513" s="441">
        <f>Y29-Y414</f>
        <v>0</v>
      </c>
      <c r="Z513" s="774">
        <f t="shared" si="598"/>
        <v>0</v>
      </c>
      <c r="AA513" s="465">
        <f>AA29-AA414</f>
        <v>0</v>
      </c>
      <c r="AB513" s="460">
        <f t="shared" si="599"/>
        <v>0</v>
      </c>
      <c r="AC513" s="392">
        <f>AC29-AC414</f>
        <v>0</v>
      </c>
      <c r="AD513" s="392">
        <f>+AD29-AD414</f>
        <v>0</v>
      </c>
      <c r="AE513" s="362">
        <f>AE29-AE414</f>
        <v>0</v>
      </c>
      <c r="AF513" s="775">
        <f t="shared" si="600"/>
        <v>0</v>
      </c>
      <c r="AG513" s="392">
        <f>AG29-AG414</f>
        <v>0</v>
      </c>
      <c r="AH513" s="392">
        <f>+AH29-AH414</f>
        <v>0</v>
      </c>
      <c r="AI513" s="362">
        <f>AI29-AI414</f>
        <v>0</v>
      </c>
      <c r="AJ513" s="362">
        <f>+AJ29-AJ414</f>
        <v>0</v>
      </c>
      <c r="AK513" s="392">
        <f>AK29-AK414</f>
        <v>0</v>
      </c>
      <c r="AL513" s="392">
        <f>+AL29-AL414</f>
        <v>0</v>
      </c>
      <c r="AM513" s="441">
        <f>AM29-AM414</f>
        <v>0</v>
      </c>
      <c r="AN513" s="441">
        <f>+AN29-AN414</f>
        <v>0</v>
      </c>
      <c r="AO513" s="362">
        <f>AO29-AO414</f>
        <v>0</v>
      </c>
      <c r="AP513" s="362">
        <f>+AP29-AP414</f>
        <v>0</v>
      </c>
      <c r="AQ513" s="392">
        <f>AQ29-AQ414</f>
        <v>0</v>
      </c>
      <c r="AR513" s="392">
        <f>+AR29-AR414</f>
        <v>0</v>
      </c>
      <c r="AS513" s="362">
        <f>AS29-AS414</f>
        <v>0</v>
      </c>
      <c r="AT513" s="362">
        <f>+AT29-AT414</f>
        <v>0</v>
      </c>
      <c r="AU513" s="392">
        <f>AU29-AU414</f>
        <v>0</v>
      </c>
      <c r="AV513" s="392">
        <f>+AV29-AV414</f>
        <v>0</v>
      </c>
      <c r="AW513" s="362">
        <f>AW29-AW414</f>
        <v>0</v>
      </c>
      <c r="AX513" s="362">
        <f>+AX29-AX414</f>
        <v>0</v>
      </c>
      <c r="AY513" s="392">
        <f>AY29-AY414</f>
        <v>0</v>
      </c>
      <c r="AZ513" s="392">
        <f>+AZ29-AZ414</f>
        <v>0</v>
      </c>
      <c r="BA513" s="441">
        <f>BA29-BA414</f>
        <v>0</v>
      </c>
      <c r="BB513" s="441">
        <f>+BB29-BB414</f>
        <v>0</v>
      </c>
      <c r="BC513" s="465">
        <f>BC29-BC414</f>
        <v>0</v>
      </c>
      <c r="BD513" s="465">
        <f>+BD29-BD414</f>
        <v>0</v>
      </c>
      <c r="BE513" s="362">
        <f>BE29-BE414</f>
        <v>0</v>
      </c>
      <c r="BF513" s="362">
        <f>+BF29-BF414</f>
        <v>0</v>
      </c>
      <c r="BG513" s="26">
        <f t="shared" si="575"/>
        <v>0</v>
      </c>
      <c r="BH513" s="26">
        <f t="shared" si="576"/>
        <v>0</v>
      </c>
      <c r="BI513" s="26"/>
      <c r="BJ513" s="26">
        <f t="shared" si="577"/>
        <v>0</v>
      </c>
      <c r="BK513" s="26">
        <f t="shared" si="578"/>
        <v>0</v>
      </c>
    </row>
    <row r="514" spans="1:63" ht="15" hidden="1" customHeight="1" x14ac:dyDescent="0.3">
      <c r="A514" s="151"/>
      <c r="B514" s="6140"/>
      <c r="C514" s="637"/>
      <c r="D514" s="637"/>
      <c r="E514" s="831"/>
      <c r="F514" s="392">
        <f>+F25-F429</f>
        <v>0</v>
      </c>
      <c r="G514" s="831"/>
      <c r="H514" s="392">
        <f>+H25-H429</f>
        <v>0</v>
      </c>
      <c r="I514" s="641"/>
      <c r="J514" s="775">
        <f t="shared" si="594"/>
        <v>0</v>
      </c>
      <c r="K514" s="831"/>
      <c r="L514" s="392">
        <f>+L25-L429</f>
        <v>0</v>
      </c>
      <c r="M514" s="640"/>
      <c r="N514" s="774">
        <f t="shared" si="595"/>
        <v>0</v>
      </c>
      <c r="O514" s="831"/>
      <c r="P514" s="392">
        <f>+P25-P429</f>
        <v>0</v>
      </c>
      <c r="Q514" s="641"/>
      <c r="R514" s="775">
        <f t="shared" si="596"/>
        <v>0</v>
      </c>
      <c r="S514" s="831"/>
      <c r="T514" s="392">
        <f>+T25-T429</f>
        <v>0</v>
      </c>
      <c r="U514" s="641"/>
      <c r="V514" s="775">
        <f t="shared" si="597"/>
        <v>0</v>
      </c>
      <c r="W514" s="831"/>
      <c r="X514" s="392">
        <f>+X25-X429</f>
        <v>0</v>
      </c>
      <c r="Y514" s="640"/>
      <c r="Z514" s="774">
        <f t="shared" si="598"/>
        <v>0</v>
      </c>
      <c r="AA514" s="832"/>
      <c r="AB514" s="460">
        <f t="shared" si="599"/>
        <v>0</v>
      </c>
      <c r="AC514" s="831"/>
      <c r="AD514" s="392">
        <f>+AD25-AD429</f>
        <v>0</v>
      </c>
      <c r="AE514" s="641"/>
      <c r="AF514" s="775">
        <f t="shared" si="600"/>
        <v>0</v>
      </c>
      <c r="AG514" s="831"/>
      <c r="AH514" s="392">
        <f>+AH25-AH429</f>
        <v>0</v>
      </c>
      <c r="AI514" s="641"/>
      <c r="AJ514" s="362">
        <f>+AJ25-AJ429</f>
        <v>0</v>
      </c>
      <c r="AK514" s="831"/>
      <c r="AL514" s="392">
        <f>+AL25-AL429</f>
        <v>0</v>
      </c>
      <c r="AM514" s="640"/>
      <c r="AN514" s="441">
        <f>+AN25-AN429</f>
        <v>0</v>
      </c>
      <c r="AO514" s="641"/>
      <c r="AP514" s="362">
        <f>+AP25-AP429</f>
        <v>0</v>
      </c>
      <c r="AQ514" s="831"/>
      <c r="AR514" s="392">
        <f>+AR25-AR429</f>
        <v>0</v>
      </c>
      <c r="AS514" s="641"/>
      <c r="AT514" s="362">
        <f>+AT25-AT429</f>
        <v>0</v>
      </c>
      <c r="AU514" s="831"/>
      <c r="AV514" s="392">
        <f>+AV25-AV429</f>
        <v>0</v>
      </c>
      <c r="AW514" s="641"/>
      <c r="AX514" s="362">
        <f>+AX25-AX429</f>
        <v>0</v>
      </c>
      <c r="AY514" s="831"/>
      <c r="AZ514" s="392">
        <f>+AZ25-AZ429</f>
        <v>0</v>
      </c>
      <c r="BA514" s="640"/>
      <c r="BB514" s="441">
        <f>+BB25-BB429</f>
        <v>0</v>
      </c>
      <c r="BC514" s="832"/>
      <c r="BD514" s="465">
        <f>+BD25-BD429</f>
        <v>0</v>
      </c>
      <c r="BE514" s="641"/>
      <c r="BF514" s="362">
        <f>+BF25-BF429</f>
        <v>0</v>
      </c>
      <c r="BG514" s="26">
        <f t="shared" si="575"/>
        <v>0</v>
      </c>
      <c r="BH514" s="26">
        <f t="shared" si="576"/>
        <v>0</v>
      </c>
      <c r="BI514" s="26"/>
      <c r="BJ514" s="26">
        <f t="shared" si="577"/>
        <v>0</v>
      </c>
      <c r="BK514" s="26">
        <f t="shared" si="578"/>
        <v>0</v>
      </c>
    </row>
    <row r="515" spans="1:63" ht="15" hidden="1" customHeight="1" x14ac:dyDescent="0.3">
      <c r="A515" s="151"/>
      <c r="B515" s="6140" t="s">
        <v>513</v>
      </c>
      <c r="C515" s="831"/>
      <c r="D515" s="831"/>
      <c r="E515" s="392">
        <f>+E37-E91</f>
        <v>0</v>
      </c>
      <c r="F515" s="392">
        <f>+F37-F93</f>
        <v>0</v>
      </c>
      <c r="G515" s="392">
        <f>+G37-G91</f>
        <v>0</v>
      </c>
      <c r="H515" s="392">
        <f>+H37-H93</f>
        <v>0</v>
      </c>
      <c r="I515" s="362">
        <f>+I37-I91</f>
        <v>0</v>
      </c>
      <c r="J515" s="775">
        <f t="shared" si="594"/>
        <v>0</v>
      </c>
      <c r="K515" s="392">
        <f>+K37-K91</f>
        <v>0</v>
      </c>
      <c r="L515" s="392">
        <f>+L37-L93</f>
        <v>0</v>
      </c>
      <c r="M515" s="441">
        <f>+M37-M91</f>
        <v>0</v>
      </c>
      <c r="N515" s="774">
        <f t="shared" si="595"/>
        <v>0</v>
      </c>
      <c r="O515" s="392">
        <f>+O37-O91</f>
        <v>0</v>
      </c>
      <c r="P515" s="392">
        <f>+P37-P93</f>
        <v>0</v>
      </c>
      <c r="Q515" s="362">
        <f>+Q37-Q91</f>
        <v>0</v>
      </c>
      <c r="R515" s="775">
        <f t="shared" si="596"/>
        <v>0</v>
      </c>
      <c r="S515" s="392">
        <f>+S37-S91</f>
        <v>0</v>
      </c>
      <c r="T515" s="392">
        <f>+T37-T93</f>
        <v>0</v>
      </c>
      <c r="U515" s="362">
        <f>+U37-U91</f>
        <v>0</v>
      </c>
      <c r="V515" s="775">
        <f t="shared" si="597"/>
        <v>0</v>
      </c>
      <c r="W515" s="392">
        <f>+W37-W91</f>
        <v>0</v>
      </c>
      <c r="X515" s="392">
        <f>+X37-X93</f>
        <v>0</v>
      </c>
      <c r="Y515" s="441">
        <f>+Y37-Y91</f>
        <v>0</v>
      </c>
      <c r="Z515" s="774">
        <f t="shared" si="598"/>
        <v>0</v>
      </c>
      <c r="AA515" s="465">
        <f>+AA37-AA91</f>
        <v>0</v>
      </c>
      <c r="AB515" s="460">
        <f t="shared" si="599"/>
        <v>0</v>
      </c>
      <c r="AC515" s="392">
        <f>+AC37-AC91</f>
        <v>0</v>
      </c>
      <c r="AD515" s="392">
        <f>+AD37-AD93</f>
        <v>0</v>
      </c>
      <c r="AE515" s="362">
        <f>+AE37-AE91</f>
        <v>0</v>
      </c>
      <c r="AF515" s="775">
        <f t="shared" si="600"/>
        <v>0</v>
      </c>
      <c r="AG515" s="392">
        <f>+AG37-AG91</f>
        <v>0</v>
      </c>
      <c r="AH515" s="392">
        <f>+AH37-AH93</f>
        <v>0</v>
      </c>
      <c r="AI515" s="362">
        <f>+AI37-AI91</f>
        <v>0</v>
      </c>
      <c r="AJ515" s="362">
        <f>+AJ37-AJ93</f>
        <v>0</v>
      </c>
      <c r="AK515" s="392">
        <f>+AK37-AK91</f>
        <v>0</v>
      </c>
      <c r="AL515" s="392">
        <f>+AL37-AL93</f>
        <v>-0.75999999999476131</v>
      </c>
      <c r="AM515" s="441">
        <f>+AM37-AM91</f>
        <v>0</v>
      </c>
      <c r="AN515" s="441">
        <f>+AN37-AN93</f>
        <v>-0.76000000000931323</v>
      </c>
      <c r="AO515" s="362">
        <f>+AO37-AO91</f>
        <v>0</v>
      </c>
      <c r="AP515" s="362">
        <f>+AP37-AP93</f>
        <v>-0.76000000000931323</v>
      </c>
      <c r="AQ515" s="392">
        <f>+AQ37-AQ91</f>
        <v>0</v>
      </c>
      <c r="AR515" s="392">
        <f>+AR37-AR93</f>
        <v>0</v>
      </c>
      <c r="AS515" s="362">
        <f>+AS37-AS91</f>
        <v>0</v>
      </c>
      <c r="AT515" s="362">
        <f>+AT37-AT93</f>
        <v>-0.76000000000931323</v>
      </c>
      <c r="AU515" s="392">
        <f>+AU37-AU91</f>
        <v>0</v>
      </c>
      <c r="AV515" s="392">
        <f>+AV37-AV93</f>
        <v>0</v>
      </c>
      <c r="AW515" s="362">
        <f>+AW37-AW91</f>
        <v>0</v>
      </c>
      <c r="AX515" s="362">
        <f>+AX37-AX93</f>
        <v>-0.76000000000931323</v>
      </c>
      <c r="AY515" s="392">
        <f>+AY37-AY91</f>
        <v>0</v>
      </c>
      <c r="AZ515" s="392">
        <f>+AZ37-AZ93</f>
        <v>-0.10000000000582077</v>
      </c>
      <c r="BA515" s="441">
        <f>+BA37-BA91</f>
        <v>0</v>
      </c>
      <c r="BB515" s="441">
        <f>+BB37-BB93</f>
        <v>-9.9999999991268851E-2</v>
      </c>
      <c r="BC515" s="465">
        <f>+BC37-BC91</f>
        <v>0</v>
      </c>
      <c r="BD515" s="465">
        <f>+BD37-BD93</f>
        <v>-0.85999999998603016</v>
      </c>
      <c r="BE515" s="362">
        <f>+BE37-BE91</f>
        <v>0</v>
      </c>
      <c r="BF515" s="362">
        <f>+BF37-BF93</f>
        <v>-0.85999999998603016</v>
      </c>
      <c r="BG515" s="26">
        <f t="shared" si="575"/>
        <v>0</v>
      </c>
      <c r="BH515" s="26">
        <f t="shared" si="576"/>
        <v>-1.4551915228366852E-11</v>
      </c>
      <c r="BI515" s="26"/>
      <c r="BJ515" s="26">
        <f t="shared" si="577"/>
        <v>0</v>
      </c>
      <c r="BK515" s="26">
        <f t="shared" si="578"/>
        <v>-1.4551915228366852E-11</v>
      </c>
    </row>
    <row r="516" spans="1:63" ht="15" hidden="1" customHeight="1" x14ac:dyDescent="0.3">
      <c r="A516" s="151"/>
      <c r="B516" s="6140"/>
      <c r="C516" s="831"/>
      <c r="D516" s="831"/>
      <c r="E516" s="392">
        <f>+E91-E491</f>
        <v>0</v>
      </c>
      <c r="F516" s="392">
        <f>+F93-F491</f>
        <v>0</v>
      </c>
      <c r="G516" s="392">
        <f>+G91-G491</f>
        <v>0</v>
      </c>
      <c r="H516" s="392">
        <f>+H93-H491</f>
        <v>0</v>
      </c>
      <c r="I516" s="362">
        <f>+I91-I491</f>
        <v>0</v>
      </c>
      <c r="J516" s="775">
        <f t="shared" si="594"/>
        <v>0</v>
      </c>
      <c r="K516" s="392">
        <f>+K91-K491</f>
        <v>0</v>
      </c>
      <c r="L516" s="392">
        <f>+L93-L491</f>
        <v>0</v>
      </c>
      <c r="M516" s="441">
        <f>+M91-M491</f>
        <v>0</v>
      </c>
      <c r="N516" s="774">
        <f t="shared" si="595"/>
        <v>0</v>
      </c>
      <c r="O516" s="392">
        <f>+O91-O491</f>
        <v>0</v>
      </c>
      <c r="P516" s="392">
        <f>+P93-P491</f>
        <v>0</v>
      </c>
      <c r="Q516" s="362">
        <f>+Q91-Q491</f>
        <v>0</v>
      </c>
      <c r="R516" s="775">
        <f t="shared" si="596"/>
        <v>0</v>
      </c>
      <c r="S516" s="392">
        <f>+S91-S491</f>
        <v>0</v>
      </c>
      <c r="T516" s="392">
        <f>+T93-T491</f>
        <v>-4.0000000008149073E-2</v>
      </c>
      <c r="U516" s="362">
        <f>+U91-U491</f>
        <v>0</v>
      </c>
      <c r="V516" s="775">
        <f t="shared" si="597"/>
        <v>-4.0000000008149073E-2</v>
      </c>
      <c r="W516" s="392">
        <f>+W91-W491</f>
        <v>0</v>
      </c>
      <c r="X516" s="392">
        <f>+X93-X491</f>
        <v>0</v>
      </c>
      <c r="Y516" s="441">
        <f>+Y91-Y491</f>
        <v>0</v>
      </c>
      <c r="Z516" s="774">
        <f t="shared" si="598"/>
        <v>-4.0000000008149073E-2</v>
      </c>
      <c r="AA516" s="465">
        <f>+AA91-AA491</f>
        <v>0</v>
      </c>
      <c r="AB516" s="460">
        <f t="shared" si="599"/>
        <v>-4.0000000008149073E-2</v>
      </c>
      <c r="AC516" s="392">
        <f>+AC91-AC491</f>
        <v>0</v>
      </c>
      <c r="AD516" s="392">
        <f>+AD93-AD491</f>
        <v>0</v>
      </c>
      <c r="AE516" s="362">
        <f>+AE91-AE491</f>
        <v>0</v>
      </c>
      <c r="AF516" s="775">
        <f t="shared" si="600"/>
        <v>-4.0000000008149073E-2</v>
      </c>
      <c r="AG516" s="392">
        <f>+AG91-AG491</f>
        <v>0</v>
      </c>
      <c r="AH516" s="392">
        <f>+AH93-AH491</f>
        <v>0</v>
      </c>
      <c r="AI516" s="362">
        <f>+AI91-AI491</f>
        <v>0</v>
      </c>
      <c r="AJ516" s="362">
        <f>+AJ93-AJ491</f>
        <v>-4.0000000037252903E-2</v>
      </c>
      <c r="AK516" s="392">
        <f>+AK91-AK491</f>
        <v>0</v>
      </c>
      <c r="AL516" s="392">
        <f>+AL93-AL491</f>
        <v>0.75999999999476131</v>
      </c>
      <c r="AM516" s="441">
        <f>+AM91-AM491</f>
        <v>0</v>
      </c>
      <c r="AN516" s="441">
        <f>+AN93-AN491</f>
        <v>0.7599999999802094</v>
      </c>
      <c r="AO516" s="362">
        <f>+AO91-AO491</f>
        <v>0</v>
      </c>
      <c r="AP516" s="362">
        <f>+AP93-AP491</f>
        <v>0.71999999997206032</v>
      </c>
      <c r="AQ516" s="392">
        <f>+AQ91-AQ491</f>
        <v>0</v>
      </c>
      <c r="AR516" s="392">
        <f>+AR93-AR491</f>
        <v>0</v>
      </c>
      <c r="AS516" s="362">
        <f>+AS91-AS491</f>
        <v>0</v>
      </c>
      <c r="AT516" s="362">
        <f>+AT93-AT491</f>
        <v>0.71999999997206032</v>
      </c>
      <c r="AU516" s="392">
        <f>+AU91-AU491</f>
        <v>0</v>
      </c>
      <c r="AV516" s="392">
        <f>+AV93-AV491</f>
        <v>-3.9999999997235136E-2</v>
      </c>
      <c r="AW516" s="362">
        <f>+AW91-AW491</f>
        <v>0</v>
      </c>
      <c r="AX516" s="362">
        <f>+AX93-AX491</f>
        <v>0.68000000005122274</v>
      </c>
      <c r="AY516" s="392">
        <f>+AY91-AY491</f>
        <v>0</v>
      </c>
      <c r="AZ516" s="392">
        <f>+AZ93-AZ491</f>
        <v>9.9999999998544808E-2</v>
      </c>
      <c r="BA516" s="441">
        <f>+BA91-BA491</f>
        <v>0</v>
      </c>
      <c r="BB516" s="441">
        <f>+BB93-BB491</f>
        <v>5.9999999997671694E-2</v>
      </c>
      <c r="BC516" s="465">
        <f>+BC91-BC491</f>
        <v>0</v>
      </c>
      <c r="BD516" s="465">
        <f>+BD93-BD491</f>
        <v>0.82000000000698492</v>
      </c>
      <c r="BE516" s="362">
        <f>+BE91-BE491</f>
        <v>0</v>
      </c>
      <c r="BF516" s="362">
        <f>+BF93-BF491</f>
        <v>0.78000000002793968</v>
      </c>
      <c r="BG516" s="26">
        <f t="shared" si="575"/>
        <v>0</v>
      </c>
      <c r="BH516" s="26">
        <f t="shared" si="576"/>
        <v>-4.0017766878008842E-11</v>
      </c>
      <c r="BI516" s="26"/>
      <c r="BJ516" s="26">
        <f t="shared" si="577"/>
        <v>0</v>
      </c>
      <c r="BK516" s="26">
        <f t="shared" si="578"/>
        <v>-1.0913936421275139E-11</v>
      </c>
    </row>
    <row r="517" spans="1:63" ht="15" hidden="1" customHeight="1" x14ac:dyDescent="0.3">
      <c r="A517" s="151"/>
      <c r="B517" s="6140"/>
      <c r="C517" s="831"/>
      <c r="D517" s="831"/>
      <c r="E517" s="392">
        <f>+E37-E491</f>
        <v>0</v>
      </c>
      <c r="F517" s="392">
        <f>+F37-F491</f>
        <v>0</v>
      </c>
      <c r="G517" s="392">
        <f>+G37-G491</f>
        <v>0</v>
      </c>
      <c r="H517" s="392">
        <f>+H37-H491</f>
        <v>0</v>
      </c>
      <c r="I517" s="362">
        <f>+I37-I491</f>
        <v>0</v>
      </c>
      <c r="J517" s="775">
        <f t="shared" si="594"/>
        <v>0</v>
      </c>
      <c r="K517" s="392">
        <f>+K37-K491</f>
        <v>0</v>
      </c>
      <c r="L517" s="392">
        <f>+L37-L491</f>
        <v>0</v>
      </c>
      <c r="M517" s="441">
        <f>+M37-M491</f>
        <v>0</v>
      </c>
      <c r="N517" s="774">
        <f t="shared" si="595"/>
        <v>0</v>
      </c>
      <c r="O517" s="392">
        <f>+O37-O491</f>
        <v>0</v>
      </c>
      <c r="P517" s="392">
        <f>+P37-P491</f>
        <v>0</v>
      </c>
      <c r="Q517" s="362">
        <f>+Q37-Q491</f>
        <v>0</v>
      </c>
      <c r="R517" s="775">
        <f t="shared" si="596"/>
        <v>0</v>
      </c>
      <c r="S517" s="392">
        <f>+S37-S491</f>
        <v>0</v>
      </c>
      <c r="T517" s="392">
        <f>+T37-T491</f>
        <v>-4.0000000008149073E-2</v>
      </c>
      <c r="U517" s="362">
        <f>+U37-U491</f>
        <v>0</v>
      </c>
      <c r="V517" s="775">
        <f t="shared" si="597"/>
        <v>-4.0000000008149073E-2</v>
      </c>
      <c r="W517" s="392">
        <f>+W37-W491</f>
        <v>0</v>
      </c>
      <c r="X517" s="392">
        <f>+X37-X491</f>
        <v>0</v>
      </c>
      <c r="Y517" s="441">
        <f>+Y37-Y491</f>
        <v>0</v>
      </c>
      <c r="Z517" s="774">
        <f t="shared" si="598"/>
        <v>-4.0000000008149073E-2</v>
      </c>
      <c r="AA517" s="465">
        <f>+AA37-AA491</f>
        <v>0</v>
      </c>
      <c r="AB517" s="460">
        <f t="shared" si="599"/>
        <v>-4.0000000008149073E-2</v>
      </c>
      <c r="AC517" s="392">
        <f>+AC37-AC491</f>
        <v>0</v>
      </c>
      <c r="AD517" s="392">
        <f>+AD37-AD491</f>
        <v>0</v>
      </c>
      <c r="AE517" s="362">
        <f>+AE37-AE491</f>
        <v>0</v>
      </c>
      <c r="AF517" s="775">
        <f t="shared" si="600"/>
        <v>-4.0000000008149073E-2</v>
      </c>
      <c r="AG517" s="392">
        <f t="shared" ref="AG517:BF517" si="603">+AG37-AG491</f>
        <v>0</v>
      </c>
      <c r="AH517" s="392">
        <f t="shared" si="603"/>
        <v>0</v>
      </c>
      <c r="AI517" s="362">
        <f t="shared" si="603"/>
        <v>0</v>
      </c>
      <c r="AJ517" s="362">
        <f t="shared" si="603"/>
        <v>-4.0000000037252903E-2</v>
      </c>
      <c r="AK517" s="392">
        <f t="shared" si="603"/>
        <v>0</v>
      </c>
      <c r="AL517" s="392">
        <f t="shared" si="603"/>
        <v>0</v>
      </c>
      <c r="AM517" s="441">
        <f t="shared" si="603"/>
        <v>0</v>
      </c>
      <c r="AN517" s="441">
        <f t="shared" si="603"/>
        <v>0</v>
      </c>
      <c r="AO517" s="362">
        <f t="shared" si="603"/>
        <v>0</v>
      </c>
      <c r="AP517" s="362">
        <f t="shared" si="603"/>
        <v>-4.0000000037252903E-2</v>
      </c>
      <c r="AQ517" s="392">
        <f t="shared" si="603"/>
        <v>0</v>
      </c>
      <c r="AR517" s="392">
        <f t="shared" si="603"/>
        <v>0</v>
      </c>
      <c r="AS517" s="362">
        <f t="shared" si="603"/>
        <v>0</v>
      </c>
      <c r="AT517" s="362">
        <f t="shared" si="603"/>
        <v>-4.0000000037252903E-2</v>
      </c>
      <c r="AU517" s="392">
        <f t="shared" si="603"/>
        <v>0</v>
      </c>
      <c r="AV517" s="392">
        <f t="shared" si="603"/>
        <v>-3.9999999997235136E-2</v>
      </c>
      <c r="AW517" s="362">
        <f t="shared" si="603"/>
        <v>0</v>
      </c>
      <c r="AX517" s="362">
        <f t="shared" si="603"/>
        <v>-7.9999999958090484E-2</v>
      </c>
      <c r="AY517" s="392">
        <f t="shared" si="603"/>
        <v>0</v>
      </c>
      <c r="AZ517" s="392">
        <f t="shared" si="603"/>
        <v>0</v>
      </c>
      <c r="BA517" s="441">
        <f t="shared" si="603"/>
        <v>0</v>
      </c>
      <c r="BB517" s="441">
        <f t="shared" si="603"/>
        <v>-3.9999999993597157E-2</v>
      </c>
      <c r="BC517" s="465">
        <f t="shared" si="603"/>
        <v>0</v>
      </c>
      <c r="BD517" s="465">
        <f t="shared" si="603"/>
        <v>-3.9999999979045242E-2</v>
      </c>
      <c r="BE517" s="362">
        <f t="shared" si="603"/>
        <v>0</v>
      </c>
      <c r="BF517" s="362">
        <f t="shared" si="603"/>
        <v>-7.9999999958090484E-2</v>
      </c>
      <c r="BG517" s="26">
        <f t="shared" si="575"/>
        <v>0</v>
      </c>
      <c r="BH517" s="26">
        <f t="shared" si="576"/>
        <v>-4.7293724492192268E-11</v>
      </c>
      <c r="BI517" s="26"/>
      <c r="BJ517" s="26">
        <f t="shared" si="577"/>
        <v>0</v>
      </c>
      <c r="BK517" s="26">
        <f t="shared" si="578"/>
        <v>-1.8189894035458565E-11</v>
      </c>
    </row>
    <row r="518" spans="1:63" ht="15" hidden="1" customHeight="1" x14ac:dyDescent="0.3">
      <c r="A518" s="151"/>
      <c r="B518" s="6140"/>
      <c r="C518" s="831"/>
      <c r="D518" s="831"/>
      <c r="E518" s="831"/>
      <c r="F518" s="831"/>
      <c r="G518" s="831"/>
      <c r="H518" s="831"/>
      <c r="I518" s="641"/>
      <c r="J518" s="775">
        <f t="shared" si="594"/>
        <v>0</v>
      </c>
      <c r="K518" s="831"/>
      <c r="L518" s="831"/>
      <c r="M518" s="640"/>
      <c r="N518" s="774">
        <f t="shared" si="595"/>
        <v>0</v>
      </c>
      <c r="O518" s="831"/>
      <c r="P518" s="831"/>
      <c r="Q518" s="641"/>
      <c r="R518" s="775">
        <f t="shared" si="596"/>
        <v>0</v>
      </c>
      <c r="S518" s="831"/>
      <c r="T518" s="831"/>
      <c r="U518" s="641"/>
      <c r="V518" s="775">
        <f t="shared" si="597"/>
        <v>0</v>
      </c>
      <c r="W518" s="831"/>
      <c r="X518" s="831"/>
      <c r="Y518" s="640"/>
      <c r="Z518" s="774">
        <f t="shared" si="598"/>
        <v>0</v>
      </c>
      <c r="AA518" s="832"/>
      <c r="AB518" s="460">
        <f t="shared" si="599"/>
        <v>0</v>
      </c>
      <c r="AC518" s="831"/>
      <c r="AD518" s="831"/>
      <c r="AE518" s="641"/>
      <c r="AF518" s="775">
        <f t="shared" si="600"/>
        <v>0</v>
      </c>
      <c r="AG518" s="831"/>
      <c r="AH518" s="831"/>
      <c r="AI518" s="641"/>
      <c r="AJ518" s="641"/>
      <c r="AK518" s="831"/>
      <c r="AL518" s="831"/>
      <c r="AM518" s="640"/>
      <c r="AN518" s="640"/>
      <c r="AO518" s="641"/>
      <c r="AP518" s="641"/>
      <c r="AQ518" s="831"/>
      <c r="AR518" s="831"/>
      <c r="AS518" s="641"/>
      <c r="AT518" s="641"/>
      <c r="AU518" s="831"/>
      <c r="AV518" s="831"/>
      <c r="AW518" s="641"/>
      <c r="AX518" s="641"/>
      <c r="AY518" s="831"/>
      <c r="AZ518" s="831"/>
      <c r="BA518" s="640"/>
      <c r="BB518" s="640"/>
      <c r="BC518" s="832"/>
      <c r="BD518" s="832"/>
      <c r="BE518" s="641"/>
      <c r="BF518" s="641"/>
      <c r="BG518" s="26">
        <f t="shared" si="575"/>
        <v>0</v>
      </c>
      <c r="BH518" s="26">
        <f t="shared" si="576"/>
        <v>0</v>
      </c>
      <c r="BI518" s="26"/>
      <c r="BJ518" s="26">
        <f t="shared" si="577"/>
        <v>0</v>
      </c>
      <c r="BK518" s="26">
        <f t="shared" si="578"/>
        <v>0</v>
      </c>
    </row>
    <row r="519" spans="1:63" ht="21" hidden="1" customHeight="1" x14ac:dyDescent="0.3">
      <c r="A519" s="151"/>
      <c r="B519" s="637"/>
      <c r="C519" s="637"/>
      <c r="D519" s="637"/>
      <c r="E519" s="637"/>
      <c r="F519" s="637"/>
      <c r="G519" s="637"/>
      <c r="H519" s="637"/>
      <c r="I519" s="866"/>
      <c r="J519" s="775">
        <f t="shared" si="594"/>
        <v>0</v>
      </c>
      <c r="K519" s="637"/>
      <c r="L519" s="637"/>
      <c r="M519" s="867"/>
      <c r="N519" s="774">
        <f t="shared" si="595"/>
        <v>0</v>
      </c>
      <c r="O519" s="637"/>
      <c r="P519" s="637"/>
      <c r="Q519" s="866"/>
      <c r="R519" s="775">
        <f t="shared" si="596"/>
        <v>0</v>
      </c>
      <c r="S519" s="637"/>
      <c r="T519" s="637"/>
      <c r="U519" s="866"/>
      <c r="V519" s="775">
        <f t="shared" si="597"/>
        <v>0</v>
      </c>
      <c r="W519" s="637"/>
      <c r="X519" s="637"/>
      <c r="Y519" s="867"/>
      <c r="Z519" s="774">
        <f t="shared" si="598"/>
        <v>0</v>
      </c>
      <c r="AA519" s="5733"/>
      <c r="AB519" s="460">
        <f t="shared" si="599"/>
        <v>0</v>
      </c>
      <c r="AC519" s="637"/>
      <c r="AD519" s="637"/>
      <c r="AE519" s="866"/>
      <c r="AF519" s="775">
        <f t="shared" si="600"/>
        <v>0</v>
      </c>
      <c r="AG519" s="637"/>
      <c r="AH519" s="637"/>
      <c r="AI519" s="866"/>
      <c r="AJ519" s="866"/>
      <c r="AK519" s="637"/>
      <c r="AL519" s="637"/>
      <c r="AM519" s="867"/>
      <c r="AN519" s="867"/>
      <c r="AO519" s="866"/>
      <c r="AP519" s="866"/>
      <c r="AQ519" s="637"/>
      <c r="AR519" s="637"/>
      <c r="AS519" s="866"/>
      <c r="AT519" s="866"/>
      <c r="AU519" s="637"/>
      <c r="AV519" s="637"/>
      <c r="AW519" s="866"/>
      <c r="AX519" s="866"/>
      <c r="AY519" s="637"/>
      <c r="AZ519" s="637"/>
      <c r="BA519" s="867"/>
      <c r="BB519" s="867"/>
      <c r="BC519" s="5733"/>
      <c r="BD519" s="5733"/>
      <c r="BE519" s="866"/>
      <c r="BF519" s="866"/>
      <c r="BG519" s="26">
        <f t="shared" si="575"/>
        <v>0</v>
      </c>
      <c r="BH519" s="26">
        <f t="shared" si="576"/>
        <v>0</v>
      </c>
      <c r="BI519" s="26"/>
      <c r="BJ519" s="26">
        <f t="shared" si="577"/>
        <v>0</v>
      </c>
      <c r="BK519" s="26">
        <f t="shared" si="578"/>
        <v>0</v>
      </c>
    </row>
    <row r="520" spans="1:63" ht="21" hidden="1" customHeight="1" x14ac:dyDescent="0.3">
      <c r="A520" s="151"/>
      <c r="B520" s="3531" t="s">
        <v>1134</v>
      </c>
      <c r="C520" s="637"/>
      <c r="D520" s="637"/>
      <c r="E520" s="1325">
        <f>+E69-'Maj Despatch Summ'!E12</f>
        <v>0</v>
      </c>
      <c r="F520" s="1325">
        <f>+F69-'Maj Despatch Summ'!F12</f>
        <v>0</v>
      </c>
      <c r="G520" s="1325">
        <f>+G69-'Maj Despatch Summ'!G12</f>
        <v>0</v>
      </c>
      <c r="H520" s="1325">
        <f>+H69-'Maj Despatch Summ'!H12</f>
        <v>0</v>
      </c>
      <c r="I520" s="3468">
        <f>+I69-'Maj Despatch Summ'!I12</f>
        <v>0</v>
      </c>
      <c r="J520" s="775">
        <f t="shared" si="594"/>
        <v>0</v>
      </c>
      <c r="K520" s="1325">
        <f>+K69-'Maj Despatch Summ'!K12</f>
        <v>0</v>
      </c>
      <c r="L520" s="1325">
        <f>+L69-'Maj Despatch Summ'!L12</f>
        <v>0</v>
      </c>
      <c r="M520" s="1693">
        <f>+M69-'Maj Despatch Summ'!M12</f>
        <v>0</v>
      </c>
      <c r="N520" s="774">
        <f t="shared" si="595"/>
        <v>0</v>
      </c>
      <c r="O520" s="1325">
        <f>+O69-'Maj Despatch Summ'!O12</f>
        <v>0</v>
      </c>
      <c r="P520" s="1325">
        <f>+P69-'Maj Despatch Summ'!P12</f>
        <v>0</v>
      </c>
      <c r="Q520" s="3468">
        <f>+Q69-'Maj Despatch Summ'!Q12</f>
        <v>0</v>
      </c>
      <c r="R520" s="775">
        <f t="shared" si="596"/>
        <v>0</v>
      </c>
      <c r="S520" s="1325">
        <f>+S69-'Maj Despatch Summ'!S12</f>
        <v>0</v>
      </c>
      <c r="T520" s="1325">
        <f>+T69-'Maj Despatch Summ'!T12</f>
        <v>0</v>
      </c>
      <c r="U520" s="3468">
        <f>+U69-'Maj Despatch Summ'!U12</f>
        <v>0</v>
      </c>
      <c r="V520" s="775">
        <f t="shared" si="597"/>
        <v>0</v>
      </c>
      <c r="W520" s="1325">
        <f>+W69-'Maj Despatch Summ'!W12</f>
        <v>0.33333333328482695</v>
      </c>
      <c r="X520" s="1325">
        <f>+X69-'Maj Despatch Summ'!X12</f>
        <v>-0.27999999996973202</v>
      </c>
      <c r="Y520" s="1693">
        <f>+Y69-'Maj Despatch Summ'!Y12</f>
        <v>0.33333333337213844</v>
      </c>
      <c r="Z520" s="774">
        <f t="shared" si="598"/>
        <v>-0.27999999996973202</v>
      </c>
      <c r="AA520" s="5756">
        <f>+AA69-'Maj Despatch Summ'!AA12</f>
        <v>0.33333333348855376</v>
      </c>
      <c r="AB520" s="460">
        <f t="shared" si="599"/>
        <v>-0.27999999996973202</v>
      </c>
      <c r="AC520" s="1325">
        <f>+AC69-'Maj Despatch Summ'!AC12</f>
        <v>0</v>
      </c>
      <c r="AD520" s="1325">
        <f>+AD69-'Maj Despatch Summ'!AD12</f>
        <v>0</v>
      </c>
      <c r="AE520" s="3468">
        <f>+AE69-'Maj Despatch Summ'!AE12</f>
        <v>0.33333333302289248</v>
      </c>
      <c r="AF520" s="775">
        <f t="shared" si="600"/>
        <v>-0.27999999996973202</v>
      </c>
      <c r="AG520" s="1325">
        <f>+AG69-'Maj Despatch Summ'!AG12</f>
        <v>0</v>
      </c>
      <c r="AH520" s="1325">
        <f>+AH69-'Maj Despatch Summ'!AH12</f>
        <v>0</v>
      </c>
      <c r="AI520" s="3468">
        <f>+AI69-'Maj Despatch Summ'!AI12</f>
        <v>0.33333333325572312</v>
      </c>
      <c r="AJ520" s="3468">
        <f>+AJ69-'Maj Despatch Summ'!AJ12</f>
        <v>-0.27999999979510903</v>
      </c>
      <c r="AK520" s="1325">
        <f>+AK69-'Maj Despatch Summ'!AK12</f>
        <v>3.3332908060401678E-6</v>
      </c>
      <c r="AL520" s="1325">
        <f>+AL69-'Maj Despatch Summ'!AL12</f>
        <v>-0.76000000000931323</v>
      </c>
      <c r="AM520" s="1693">
        <f>+AM69-'Maj Despatch Summ'!AM12</f>
        <v>3.3332034945487976E-6</v>
      </c>
      <c r="AN520" s="1693">
        <f>+AN69-'Maj Despatch Summ'!AN12</f>
        <v>-0.76000000000931323</v>
      </c>
      <c r="AO520" s="3468">
        <f>+AO69-'Maj Despatch Summ'!AO12</f>
        <v>0.33333666645921767</v>
      </c>
      <c r="AP520" s="3468">
        <f>+AP69-'Maj Despatch Summ'!AP12</f>
        <v>-1.0399999998044223</v>
      </c>
      <c r="AQ520" s="1325">
        <f>+AQ69-'Maj Despatch Summ'!AQ12</f>
        <v>3.3333199098706245E-6</v>
      </c>
      <c r="AR520" s="1325">
        <f>+AR69-'Maj Despatch Summ'!AR12</f>
        <v>0</v>
      </c>
      <c r="AS520" s="3468">
        <f>+AS69-'Maj Despatch Summ'!AS12</f>
        <v>0.33333999989554286</v>
      </c>
      <c r="AT520" s="3468">
        <f>+AT69-'Maj Despatch Summ'!AT12</f>
        <v>-1.0399999995715916</v>
      </c>
      <c r="AU520" s="1325">
        <f>+AU69-'Maj Despatch Summ'!AU12</f>
        <v>3.3333490137010813E-6</v>
      </c>
      <c r="AV520" s="1325">
        <f>+AV69-'Maj Despatch Summ'!AV12</f>
        <v>-4.0000000008149073E-2</v>
      </c>
      <c r="AW520" s="3468">
        <f>+AW69-'Maj Despatch Summ'!AW12</f>
        <v>0.33334333309903741</v>
      </c>
      <c r="AX520" s="3468">
        <f>+AX69-'Maj Despatch Summ'!AX12</f>
        <v>-1.0799999996088445</v>
      </c>
      <c r="AY520" s="1325">
        <f>+AY69-'Maj Despatch Summ'!AY12</f>
        <v>-0.30923374270787463</v>
      </c>
      <c r="AZ520" s="1325">
        <f>+AZ69-'Maj Despatch Summ'!AZ12</f>
        <v>0</v>
      </c>
      <c r="BA520" s="1693">
        <f>+BA69-'Maj Despatch Summ'!BA12</f>
        <v>-0.30922707600984722</v>
      </c>
      <c r="BB520" s="1693">
        <f>+BB69-'Maj Despatch Summ'!BB12</f>
        <v>-4.0000000037252903E-2</v>
      </c>
      <c r="BC520" s="5756">
        <f>+BC69-'Maj Despatch Summ'!BC12</f>
        <v>-0.30922374268993735</v>
      </c>
      <c r="BD520" s="5756">
        <f>+BD69-'Maj Despatch Summ'!BD12</f>
        <v>-0.79999999981373549</v>
      </c>
      <c r="BE520" s="3468">
        <f>+BE69-'Maj Despatch Summ'!BE12</f>
        <v>2.4109590798616409E-2</v>
      </c>
      <c r="BF520" s="3468">
        <f>+BF69-'Maj Despatch Summ'!BF12</f>
        <v>-1.0799999996088445</v>
      </c>
      <c r="BG520" s="26">
        <f t="shared" si="575"/>
        <v>-2.6193447411060333E-10</v>
      </c>
      <c r="BH520" s="26">
        <f t="shared" si="576"/>
        <v>-3.7834979593753815E-10</v>
      </c>
      <c r="BI520" s="26"/>
      <c r="BJ520" s="26">
        <f t="shared" si="577"/>
        <v>-5.8207660913467407E-11</v>
      </c>
      <c r="BK520" s="26">
        <f t="shared" si="578"/>
        <v>-2.0372681319713593E-10</v>
      </c>
    </row>
    <row r="521" spans="1:63" ht="21" hidden="1" customHeight="1" x14ac:dyDescent="0.3">
      <c r="A521" s="151"/>
      <c r="B521" s="637"/>
      <c r="C521" s="637"/>
      <c r="D521" s="637"/>
      <c r="E521" s="1325">
        <f>+E76-'Maj Despatch Summ'!E12</f>
        <v>0</v>
      </c>
      <c r="F521" s="1325">
        <f>+F76-'Maj Despatch Summ'!F12</f>
        <v>0</v>
      </c>
      <c r="G521" s="1325">
        <f>+G76-'Maj Despatch Summ'!G12</f>
        <v>0</v>
      </c>
      <c r="H521" s="1325">
        <f>+H76-'Maj Despatch Summ'!H12</f>
        <v>0</v>
      </c>
      <c r="I521" s="3468">
        <f>+I76-'Maj Despatch Summ'!I12</f>
        <v>0</v>
      </c>
      <c r="J521" s="775">
        <f t="shared" si="594"/>
        <v>0</v>
      </c>
      <c r="K521" s="1325">
        <f>+K76-'Maj Despatch Summ'!K12</f>
        <v>0</v>
      </c>
      <c r="L521" s="1325">
        <f>+L76-'Maj Despatch Summ'!L12</f>
        <v>0</v>
      </c>
      <c r="M521" s="1693">
        <f>+M76-'Maj Despatch Summ'!M12</f>
        <v>0</v>
      </c>
      <c r="N521" s="774">
        <f t="shared" si="595"/>
        <v>0</v>
      </c>
      <c r="O521" s="1325">
        <f>+O76-'Maj Despatch Summ'!O12</f>
        <v>0</v>
      </c>
      <c r="P521" s="1325">
        <f>+P76-'Maj Despatch Summ'!P12</f>
        <v>0</v>
      </c>
      <c r="Q521" s="3468">
        <f>+Q76-'Maj Despatch Summ'!Q12</f>
        <v>0</v>
      </c>
      <c r="R521" s="775">
        <f t="shared" si="596"/>
        <v>0</v>
      </c>
      <c r="S521" s="1325">
        <f>+S76-'Maj Despatch Summ'!S12</f>
        <v>0</v>
      </c>
      <c r="T521" s="1325">
        <f>+T76-'Maj Despatch Summ'!T12</f>
        <v>0</v>
      </c>
      <c r="U521" s="3468">
        <f>+U76-'Maj Despatch Summ'!U12</f>
        <v>0</v>
      </c>
      <c r="V521" s="775">
        <f t="shared" si="597"/>
        <v>0</v>
      </c>
      <c r="W521" s="1325">
        <f>+W76-'Maj Despatch Summ'!W12</f>
        <v>0.33333333328482695</v>
      </c>
      <c r="X521" s="1325">
        <f>+X76-'Maj Despatch Summ'!X12</f>
        <v>-0.27999999999883585</v>
      </c>
      <c r="Y521" s="1693">
        <f>+Y76-'Maj Despatch Summ'!Y12</f>
        <v>0.33333333337213844</v>
      </c>
      <c r="Z521" s="774">
        <f t="shared" si="598"/>
        <v>-0.27999999999883585</v>
      </c>
      <c r="AA521" s="5756">
        <f>+AA76-'Maj Despatch Summ'!AA12</f>
        <v>0.33333333348855376</v>
      </c>
      <c r="AB521" s="460">
        <f t="shared" si="599"/>
        <v>-0.27999999999883585</v>
      </c>
      <c r="AC521" s="1325">
        <f>+AC76-'Maj Despatch Summ'!AC12</f>
        <v>0</v>
      </c>
      <c r="AD521" s="1325">
        <f>+AD76-'Maj Despatch Summ'!AD12</f>
        <v>0</v>
      </c>
      <c r="AE521" s="3468">
        <f>+AE76-'Maj Despatch Summ'!AE12</f>
        <v>0.33333333302289248</v>
      </c>
      <c r="AF521" s="775">
        <f t="shared" si="600"/>
        <v>-0.27999999999883585</v>
      </c>
      <c r="AG521" s="1325">
        <f>+AG76-'Maj Despatch Summ'!AG12</f>
        <v>0</v>
      </c>
      <c r="AH521" s="1325">
        <f>+AH76-'Maj Despatch Summ'!AH12</f>
        <v>0</v>
      </c>
      <c r="AI521" s="3468">
        <f>+AI76-'Maj Despatch Summ'!AI12</f>
        <v>0.33333333325572312</v>
      </c>
      <c r="AJ521" s="3468">
        <f>+AJ76-'Maj Despatch Summ'!AJ12</f>
        <v>-0.27999999979510903</v>
      </c>
      <c r="AK521" s="1325">
        <f>+AK76-'Maj Despatch Summ'!AK12</f>
        <v>3.3333199098706245E-6</v>
      </c>
      <c r="AL521" s="1325">
        <f>+AL76-'Maj Despatch Summ'!AL12</f>
        <v>-0.76000000000931323</v>
      </c>
      <c r="AM521" s="1693">
        <f>+AM76-'Maj Despatch Summ'!AM12</f>
        <v>3.3332034945487976E-6</v>
      </c>
      <c r="AN521" s="1693">
        <f>+AN76-'Maj Despatch Summ'!AN12</f>
        <v>-0.76000000000931323</v>
      </c>
      <c r="AO521" s="3468">
        <f>+AO76-'Maj Despatch Summ'!AO12</f>
        <v>0.33333666669204831</v>
      </c>
      <c r="AP521" s="3468">
        <f>+AP76-'Maj Despatch Summ'!AP12</f>
        <v>-1.0399999998044223</v>
      </c>
      <c r="AQ521" s="1325">
        <f>+AQ76-'Maj Despatch Summ'!AQ12</f>
        <v>3.3333199098706245E-6</v>
      </c>
      <c r="AR521" s="1325">
        <f>+AR76-'Maj Despatch Summ'!AR12</f>
        <v>0</v>
      </c>
      <c r="AS521" s="3468">
        <f>+AS76-'Maj Despatch Summ'!AS12</f>
        <v>0.33333999989554286</v>
      </c>
      <c r="AT521" s="3468">
        <f>+AT76-'Maj Despatch Summ'!AT12</f>
        <v>-1.0399999995715916</v>
      </c>
      <c r="AU521" s="1325">
        <f>+AU76-'Maj Despatch Summ'!AU12</f>
        <v>3.3333199098706245E-6</v>
      </c>
      <c r="AV521" s="1325">
        <f>+AV76-'Maj Despatch Summ'!AV12</f>
        <v>-4.0000000008149073E-2</v>
      </c>
      <c r="AW521" s="3468">
        <f>+AW76-'Maj Despatch Summ'!AW12</f>
        <v>0.33334333263337612</v>
      </c>
      <c r="AX521" s="3468">
        <f>+AX76-'Maj Despatch Summ'!AX12</f>
        <v>-1.0799999996088445</v>
      </c>
      <c r="AY521" s="1325">
        <f>+AY76-'Maj Despatch Summ'!AY12</f>
        <v>-0.30923374270787463</v>
      </c>
      <c r="AZ521" s="1325">
        <f>+AZ76-'Maj Despatch Summ'!AZ12</f>
        <v>0</v>
      </c>
      <c r="BA521" s="1693">
        <f>+BA76-'Maj Despatch Summ'!BA12</f>
        <v>-0.30922707600984722</v>
      </c>
      <c r="BB521" s="1693">
        <f>+BB76-'Maj Despatch Summ'!BB12</f>
        <v>-4.0000000037252903E-2</v>
      </c>
      <c r="BC521" s="5756">
        <f>+BC76-'Maj Despatch Summ'!BC12</f>
        <v>-0.30922374268993735</v>
      </c>
      <c r="BD521" s="5756">
        <f>+BD76-'Maj Despatch Summ'!BD12</f>
        <v>-0.79999999981373549</v>
      </c>
      <c r="BE521" s="3468">
        <f>+BE76-'Maj Despatch Summ'!BE12</f>
        <v>2.4109590332955122E-2</v>
      </c>
      <c r="BF521" s="3468">
        <f>+BF76-'Maj Despatch Summ'!BF12</f>
        <v>-1.0799999996088445</v>
      </c>
      <c r="BG521" s="26">
        <f t="shared" si="575"/>
        <v>2.0372681319713593E-10</v>
      </c>
      <c r="BH521" s="26">
        <f t="shared" si="576"/>
        <v>-4.0745362639427185E-10</v>
      </c>
      <c r="BI521" s="26"/>
      <c r="BJ521" s="26">
        <f t="shared" si="577"/>
        <v>-5.8207660913467407E-11</v>
      </c>
      <c r="BK521" s="26">
        <f t="shared" si="578"/>
        <v>-2.0372681319713593E-10</v>
      </c>
    </row>
    <row r="522" spans="1:63" ht="21" hidden="1" customHeight="1" x14ac:dyDescent="0.3">
      <c r="A522" s="151"/>
      <c r="B522" s="637"/>
      <c r="C522" s="637"/>
      <c r="D522" s="637"/>
      <c r="E522" s="1325">
        <f>E490-E56</f>
        <v>0</v>
      </c>
      <c r="F522" s="1325">
        <f>F490-F56</f>
        <v>0</v>
      </c>
      <c r="G522" s="1325">
        <f>G490-G56</f>
        <v>0</v>
      </c>
      <c r="H522" s="1325">
        <f>H490-H56</f>
        <v>640.46</v>
      </c>
      <c r="I522" s="3468">
        <f>I490-I56</f>
        <v>0</v>
      </c>
      <c r="J522" s="775">
        <f t="shared" si="594"/>
        <v>640.46</v>
      </c>
      <c r="K522" s="1325">
        <f>K490-K56</f>
        <v>0</v>
      </c>
      <c r="L522" s="1325">
        <f>L490-L56</f>
        <v>1065.5999999999999</v>
      </c>
      <c r="M522" s="1693">
        <f>M490-M56</f>
        <v>0</v>
      </c>
      <c r="N522" s="774">
        <f t="shared" si="595"/>
        <v>1706.06</v>
      </c>
      <c r="O522" s="1325">
        <f>O490-O56</f>
        <v>0</v>
      </c>
      <c r="P522" s="1325">
        <f>P490-P56</f>
        <v>463.09999999999997</v>
      </c>
      <c r="Q522" s="3468">
        <f>Q490-Q56</f>
        <v>0</v>
      </c>
      <c r="R522" s="775">
        <f t="shared" si="596"/>
        <v>2169.16</v>
      </c>
      <c r="S522" s="1325">
        <f>S490-S56</f>
        <v>0</v>
      </c>
      <c r="T522" s="1325">
        <f>T490-T56</f>
        <v>2248.96</v>
      </c>
      <c r="U522" s="3468">
        <f>U490-U56</f>
        <v>0</v>
      </c>
      <c r="V522" s="775">
        <f t="shared" si="597"/>
        <v>4418.12</v>
      </c>
      <c r="W522" s="1325">
        <f>W490-W56</f>
        <v>0</v>
      </c>
      <c r="X522" s="1325">
        <f>X490-X56</f>
        <v>1413.77</v>
      </c>
      <c r="Y522" s="1693">
        <f>Y490-Y56</f>
        <v>0</v>
      </c>
      <c r="Z522" s="774">
        <f t="shared" si="598"/>
        <v>4125.83</v>
      </c>
      <c r="AA522" s="5756">
        <f>AA490-AA56</f>
        <v>0</v>
      </c>
      <c r="AB522" s="460">
        <f t="shared" si="599"/>
        <v>5831.8899999999994</v>
      </c>
      <c r="AC522" s="1325">
        <f>AC490-AC56</f>
        <v>0</v>
      </c>
      <c r="AD522" s="1325">
        <f>AD490-AD56</f>
        <v>2004.0999999999995</v>
      </c>
      <c r="AE522" s="3468">
        <f>AE490-AE56</f>
        <v>0</v>
      </c>
      <c r="AF522" s="775">
        <f t="shared" si="600"/>
        <v>7835.9899999999989</v>
      </c>
      <c r="AG522" s="1325">
        <f t="shared" ref="AG522:BD522" si="604">AG490-AG56</f>
        <v>0</v>
      </c>
      <c r="AH522" s="1325">
        <f t="shared" si="604"/>
        <v>0</v>
      </c>
      <c r="AI522" s="3468">
        <f t="shared" si="604"/>
        <v>0</v>
      </c>
      <c r="AJ522" s="3468">
        <f t="shared" si="604"/>
        <v>7835.989999999998</v>
      </c>
      <c r="AK522" s="1325">
        <f t="shared" si="604"/>
        <v>0</v>
      </c>
      <c r="AL522" s="1325">
        <f t="shared" si="604"/>
        <v>703.34</v>
      </c>
      <c r="AM522" s="1693">
        <f t="shared" si="604"/>
        <v>0</v>
      </c>
      <c r="AN522" s="1693">
        <f t="shared" si="604"/>
        <v>2707.4400000000005</v>
      </c>
      <c r="AO522" s="3468">
        <f t="shared" si="604"/>
        <v>0</v>
      </c>
      <c r="AP522" s="3468">
        <f t="shared" si="604"/>
        <v>8539.3299999999981</v>
      </c>
      <c r="AQ522" s="1325">
        <f t="shared" si="604"/>
        <v>0</v>
      </c>
      <c r="AR522" s="1325">
        <f t="shared" si="604"/>
        <v>1589.8399999999997</v>
      </c>
      <c r="AS522" s="3468">
        <f t="shared" si="604"/>
        <v>0</v>
      </c>
      <c r="AT522" s="3468">
        <f t="shared" si="604"/>
        <v>10129.169999999998</v>
      </c>
      <c r="AU522" s="1325">
        <f t="shared" si="604"/>
        <v>0</v>
      </c>
      <c r="AV522" s="1325">
        <f t="shared" si="604"/>
        <v>481.38000000000011</v>
      </c>
      <c r="AW522" s="3468">
        <f t="shared" si="604"/>
        <v>0</v>
      </c>
      <c r="AX522" s="3468">
        <f t="shared" si="604"/>
        <v>10610.550000000003</v>
      </c>
      <c r="AY522" s="1325">
        <f t="shared" si="604"/>
        <v>0</v>
      </c>
      <c r="AZ522" s="1325">
        <f t="shared" si="604"/>
        <v>1544.2600000000002</v>
      </c>
      <c r="BA522" s="1693">
        <f t="shared" si="604"/>
        <v>0</v>
      </c>
      <c r="BB522" s="1693">
        <f t="shared" si="604"/>
        <v>3615.4800000000014</v>
      </c>
      <c r="BC522" s="5756">
        <f t="shared" si="604"/>
        <v>0</v>
      </c>
      <c r="BD522" s="5756">
        <f t="shared" si="604"/>
        <v>6322.9199999999983</v>
      </c>
      <c r="BE522" s="3468"/>
      <c r="BF522" s="3468">
        <f>BF490-BF56</f>
        <v>12154.810000000001</v>
      </c>
      <c r="BG522" s="26">
        <f t="shared" si="575"/>
        <v>0</v>
      </c>
      <c r="BH522" s="26">
        <f t="shared" si="576"/>
        <v>0</v>
      </c>
      <c r="BI522" s="26"/>
      <c r="BJ522" s="26">
        <f t="shared" si="577"/>
        <v>0</v>
      </c>
      <c r="BK522" s="26">
        <f t="shared" si="578"/>
        <v>0</v>
      </c>
    </row>
    <row r="523" spans="1:63" ht="21" hidden="1" customHeight="1" x14ac:dyDescent="0.3">
      <c r="A523" s="151"/>
      <c r="B523" s="637"/>
      <c r="C523" s="637"/>
      <c r="D523" s="637"/>
      <c r="E523" s="637"/>
      <c r="F523" s="1325">
        <f>F471-F48</f>
        <v>0</v>
      </c>
      <c r="G523" s="637"/>
      <c r="H523" s="1325">
        <f>H471-H48</f>
        <v>0</v>
      </c>
      <c r="I523" s="3468">
        <f>I471-I48</f>
        <v>0</v>
      </c>
      <c r="J523" s="775">
        <f t="shared" si="594"/>
        <v>0</v>
      </c>
      <c r="K523" s="637"/>
      <c r="L523" s="1325">
        <f>L471-L48</f>
        <v>0</v>
      </c>
      <c r="M523" s="1693">
        <f>M471-M48</f>
        <v>0</v>
      </c>
      <c r="N523" s="774">
        <f t="shared" si="595"/>
        <v>0</v>
      </c>
      <c r="O523" s="637"/>
      <c r="P523" s="1325">
        <f>P471-P48</f>
        <v>0</v>
      </c>
      <c r="Q523" s="3468">
        <f>Q471-Q48</f>
        <v>0</v>
      </c>
      <c r="R523" s="775">
        <f t="shared" si="596"/>
        <v>0</v>
      </c>
      <c r="S523" s="637"/>
      <c r="T523" s="1325">
        <f>T471-T48</f>
        <v>0</v>
      </c>
      <c r="U523" s="3468">
        <f>U471-U48</f>
        <v>0</v>
      </c>
      <c r="V523" s="775">
        <f t="shared" si="597"/>
        <v>0</v>
      </c>
      <c r="W523" s="637"/>
      <c r="X523" s="1325">
        <f>X471-X48</f>
        <v>0</v>
      </c>
      <c r="Y523" s="1693">
        <f>Y471-Y48</f>
        <v>0</v>
      </c>
      <c r="Z523" s="774">
        <f t="shared" si="598"/>
        <v>0</v>
      </c>
      <c r="AA523" s="5756">
        <f>AA471-AA48</f>
        <v>0</v>
      </c>
      <c r="AB523" s="460">
        <f t="shared" si="599"/>
        <v>0</v>
      </c>
      <c r="AC523" s="637"/>
      <c r="AD523" s="1325">
        <f>AD471-AD48</f>
        <v>0</v>
      </c>
      <c r="AE523" s="3468">
        <f>AE471-AE48</f>
        <v>0</v>
      </c>
      <c r="AF523" s="775">
        <f t="shared" si="600"/>
        <v>0</v>
      </c>
      <c r="AG523" s="637"/>
      <c r="AH523" s="1325">
        <f>AH471-AH48</f>
        <v>0</v>
      </c>
      <c r="AI523" s="3468">
        <f>AI471-AI48</f>
        <v>0</v>
      </c>
      <c r="AJ523" s="3468">
        <f>AJ471-AJ48</f>
        <v>0</v>
      </c>
      <c r="AK523" s="637"/>
      <c r="AL523" s="1325">
        <f>AL471-AL48</f>
        <v>0</v>
      </c>
      <c r="AM523" s="1693">
        <f>AM471-AM48</f>
        <v>0</v>
      </c>
      <c r="AN523" s="1693">
        <f>AN471-AN48</f>
        <v>0</v>
      </c>
      <c r="AO523" s="3468">
        <f>AO471-AO48</f>
        <v>0</v>
      </c>
      <c r="AP523" s="3468">
        <f>AP471-AP48</f>
        <v>0</v>
      </c>
      <c r="AQ523" s="637"/>
      <c r="AR523" s="1325">
        <f>AR471-AR48</f>
        <v>0</v>
      </c>
      <c r="AS523" s="3468">
        <f>AS471-AS48</f>
        <v>0</v>
      </c>
      <c r="AT523" s="3468">
        <f>AT471-AT48</f>
        <v>0</v>
      </c>
      <c r="AU523" s="637"/>
      <c r="AV523" s="1325">
        <f>AV471-AV48</f>
        <v>0</v>
      </c>
      <c r="AW523" s="3468">
        <f>AW471-AW48</f>
        <v>0</v>
      </c>
      <c r="AX523" s="3468">
        <f>AX471-AX48</f>
        <v>0</v>
      </c>
      <c r="AY523" s="637"/>
      <c r="AZ523" s="1325">
        <f>AZ471-AZ48</f>
        <v>0</v>
      </c>
      <c r="BA523" s="1693">
        <f>BA471-BA48</f>
        <v>0</v>
      </c>
      <c r="BB523" s="1693">
        <f>BB471-BB48</f>
        <v>0</v>
      </c>
      <c r="BC523" s="5756">
        <f>BC471-BC48</f>
        <v>0</v>
      </c>
      <c r="BD523" s="5756">
        <f>BD471-BD48</f>
        <v>0</v>
      </c>
      <c r="BE523" s="3468"/>
      <c r="BF523" s="3468">
        <f>BF471-BF48</f>
        <v>0</v>
      </c>
      <c r="BG523" s="26">
        <f t="shared" si="575"/>
        <v>0</v>
      </c>
      <c r="BH523" s="26">
        <f t="shared" si="576"/>
        <v>0</v>
      </c>
      <c r="BI523" s="26"/>
      <c r="BJ523" s="26">
        <f t="shared" si="577"/>
        <v>0</v>
      </c>
      <c r="BK523" s="26">
        <f t="shared" si="578"/>
        <v>0</v>
      </c>
    </row>
    <row r="524" spans="1:63" ht="21" hidden="1" customHeight="1" x14ac:dyDescent="0.3">
      <c r="A524" s="151"/>
      <c r="B524" s="637"/>
      <c r="C524" s="637"/>
      <c r="D524" s="637"/>
      <c r="E524" s="637"/>
      <c r="F524" s="637"/>
      <c r="G524" s="637"/>
      <c r="H524" s="637"/>
      <c r="I524" s="866"/>
      <c r="J524" s="775">
        <f t="shared" si="594"/>
        <v>0</v>
      </c>
      <c r="K524" s="637"/>
      <c r="L524" s="637"/>
      <c r="M524" s="867"/>
      <c r="N524" s="774">
        <f t="shared" si="595"/>
        <v>0</v>
      </c>
      <c r="O524" s="637"/>
      <c r="P524" s="637"/>
      <c r="Q524" s="866"/>
      <c r="R524" s="775">
        <f t="shared" si="596"/>
        <v>0</v>
      </c>
      <c r="S524" s="637"/>
      <c r="T524" s="637"/>
      <c r="U524" s="866"/>
      <c r="V524" s="775">
        <f t="shared" si="597"/>
        <v>0</v>
      </c>
      <c r="W524" s="637"/>
      <c r="X524" s="637"/>
      <c r="Y524" s="867"/>
      <c r="Z524" s="774">
        <f t="shared" si="598"/>
        <v>0</v>
      </c>
      <c r="AA524" s="5733"/>
      <c r="AB524" s="460">
        <f t="shared" si="599"/>
        <v>0</v>
      </c>
      <c r="AC524" s="637"/>
      <c r="AD524" s="637"/>
      <c r="AE524" s="866"/>
      <c r="AF524" s="775">
        <f t="shared" si="600"/>
        <v>0</v>
      </c>
      <c r="AG524" s="637"/>
      <c r="AH524" s="637"/>
      <c r="AK524" s="637"/>
      <c r="AL524" s="637"/>
      <c r="AM524" s="867"/>
      <c r="AN524" s="867"/>
      <c r="AQ524" s="637"/>
      <c r="AR524" s="637"/>
      <c r="AU524" s="637"/>
      <c r="AV524" s="637"/>
      <c r="AY524" s="637"/>
      <c r="AZ524" s="637"/>
      <c r="BA524" s="867"/>
      <c r="BB524" s="867"/>
      <c r="BC524" s="5733"/>
      <c r="BD524" s="5733"/>
      <c r="BG524" s="26">
        <f t="shared" si="575"/>
        <v>0</v>
      </c>
      <c r="BH524" s="26">
        <f t="shared" si="576"/>
        <v>0</v>
      </c>
      <c r="BI524" s="26"/>
      <c r="BJ524" s="26">
        <f t="shared" si="577"/>
        <v>0</v>
      </c>
      <c r="BK524" s="26">
        <f t="shared" si="578"/>
        <v>0</v>
      </c>
    </row>
    <row r="525" spans="1:63" ht="21" hidden="1" customHeight="1" x14ac:dyDescent="0.3">
      <c r="A525" s="151"/>
      <c r="B525" s="637"/>
      <c r="C525" s="637"/>
      <c r="D525" s="637"/>
      <c r="E525" s="637"/>
      <c r="F525" s="637"/>
      <c r="G525" s="637"/>
      <c r="H525" s="637"/>
      <c r="I525" s="866"/>
      <c r="J525" s="775">
        <f t="shared" si="594"/>
        <v>0</v>
      </c>
      <c r="K525" s="637"/>
      <c r="L525" s="637"/>
      <c r="M525" s="867"/>
      <c r="N525" s="774">
        <f t="shared" si="595"/>
        <v>0</v>
      </c>
      <c r="O525" s="637"/>
      <c r="P525" s="637"/>
      <c r="Q525" s="866"/>
      <c r="R525" s="775">
        <f t="shared" si="596"/>
        <v>0</v>
      </c>
      <c r="S525" s="637"/>
      <c r="T525" s="637"/>
      <c r="U525" s="866"/>
      <c r="V525" s="775">
        <f t="shared" si="597"/>
        <v>0</v>
      </c>
      <c r="W525" s="637"/>
      <c r="X525" s="637"/>
      <c r="Y525" s="867"/>
      <c r="Z525" s="774">
        <f t="shared" si="598"/>
        <v>0</v>
      </c>
      <c r="AA525" s="5733"/>
      <c r="AB525" s="460">
        <f t="shared" si="599"/>
        <v>0</v>
      </c>
      <c r="AC525" s="637"/>
      <c r="AD525" s="637"/>
      <c r="AE525" s="866"/>
      <c r="AF525" s="775">
        <f t="shared" si="600"/>
        <v>0</v>
      </c>
      <c r="AG525" s="637"/>
      <c r="AH525" s="637"/>
      <c r="AK525" s="637"/>
      <c r="AL525" s="637"/>
      <c r="AM525" s="867"/>
      <c r="AN525" s="867"/>
      <c r="AQ525" s="637"/>
      <c r="AR525" s="637"/>
      <c r="AU525" s="637"/>
      <c r="AV525" s="637"/>
      <c r="AY525" s="637"/>
      <c r="AZ525" s="637"/>
      <c r="BA525" s="867"/>
      <c r="BB525" s="867"/>
      <c r="BC525" s="5733"/>
      <c r="BD525" s="5733"/>
      <c r="BG525" s="26">
        <f t="shared" si="575"/>
        <v>0</v>
      </c>
      <c r="BH525" s="26">
        <f t="shared" si="576"/>
        <v>0</v>
      </c>
      <c r="BI525" s="26"/>
      <c r="BJ525" s="26">
        <f t="shared" si="577"/>
        <v>0</v>
      </c>
      <c r="BK525" s="26">
        <f t="shared" si="578"/>
        <v>0</v>
      </c>
    </row>
    <row r="526" spans="1:63" ht="21" hidden="1" customHeight="1" x14ac:dyDescent="0.3">
      <c r="A526" s="151"/>
      <c r="B526" s="637"/>
      <c r="C526" s="637"/>
      <c r="D526" s="637"/>
      <c r="E526" s="637"/>
      <c r="F526" s="637"/>
      <c r="G526" s="637"/>
      <c r="H526" s="637"/>
      <c r="I526" s="866"/>
      <c r="J526" s="775">
        <f t="shared" si="594"/>
        <v>0</v>
      </c>
      <c r="K526" s="637"/>
      <c r="L526" s="637"/>
      <c r="M526" s="867"/>
      <c r="N526" s="774">
        <f t="shared" si="595"/>
        <v>0</v>
      </c>
      <c r="O526" s="637"/>
      <c r="P526" s="637"/>
      <c r="Q526" s="866"/>
      <c r="R526" s="775">
        <f t="shared" si="596"/>
        <v>0</v>
      </c>
      <c r="S526" s="637"/>
      <c r="T526" s="637"/>
      <c r="U526" s="866"/>
      <c r="V526" s="775">
        <f t="shared" si="597"/>
        <v>0</v>
      </c>
      <c r="W526" s="637"/>
      <c r="X526" s="637"/>
      <c r="Y526" s="867"/>
      <c r="Z526" s="774">
        <f t="shared" si="598"/>
        <v>0</v>
      </c>
      <c r="AA526" s="5733"/>
      <c r="AB526" s="460">
        <f t="shared" si="599"/>
        <v>0</v>
      </c>
      <c r="AC526" s="637"/>
      <c r="AD526" s="637"/>
      <c r="AE526" s="866"/>
      <c r="AF526" s="775">
        <f t="shared" si="600"/>
        <v>0</v>
      </c>
      <c r="AG526" s="637"/>
      <c r="AH526" s="637"/>
      <c r="AK526" s="637"/>
      <c r="AL526" s="637"/>
      <c r="AM526" s="867"/>
      <c r="AN526" s="867"/>
      <c r="AQ526" s="637"/>
      <c r="AR526" s="637"/>
      <c r="AU526" s="637"/>
      <c r="AV526" s="637"/>
      <c r="AY526" s="637"/>
      <c r="AZ526" s="637"/>
      <c r="BA526" s="867"/>
      <c r="BB526" s="867"/>
      <c r="BC526" s="5733"/>
      <c r="BD526" s="5733"/>
      <c r="BG526" s="26">
        <f t="shared" si="575"/>
        <v>0</v>
      </c>
      <c r="BH526" s="26">
        <f t="shared" si="576"/>
        <v>0</v>
      </c>
      <c r="BI526" s="26"/>
      <c r="BJ526" s="26">
        <f t="shared" si="577"/>
        <v>0</v>
      </c>
      <c r="BK526" s="26">
        <f t="shared" si="578"/>
        <v>0</v>
      </c>
    </row>
    <row r="527" spans="1:63" ht="21" hidden="1" customHeight="1" x14ac:dyDescent="0.3">
      <c r="A527" s="151"/>
      <c r="B527" s="637"/>
      <c r="C527" s="637"/>
      <c r="D527" s="637"/>
      <c r="E527" s="637"/>
      <c r="F527" s="637"/>
      <c r="G527" s="637"/>
      <c r="H527" s="637"/>
      <c r="I527" s="866"/>
      <c r="J527" s="775">
        <f t="shared" si="594"/>
        <v>0</v>
      </c>
      <c r="K527" s="637"/>
      <c r="L527" s="637"/>
      <c r="M527" s="867"/>
      <c r="N527" s="774">
        <f t="shared" si="595"/>
        <v>0</v>
      </c>
      <c r="O527" s="637"/>
      <c r="P527" s="637"/>
      <c r="Q527" s="866"/>
      <c r="R527" s="775">
        <f t="shared" si="596"/>
        <v>0</v>
      </c>
      <c r="S527" s="637"/>
      <c r="T527" s="637"/>
      <c r="U527" s="866"/>
      <c r="V527" s="775">
        <f t="shared" si="597"/>
        <v>0</v>
      </c>
      <c r="W527" s="637"/>
      <c r="X527" s="637"/>
      <c r="Y527" s="867"/>
      <c r="Z527" s="774">
        <f t="shared" si="598"/>
        <v>0</v>
      </c>
      <c r="AA527" s="5733"/>
      <c r="AB527" s="460">
        <f t="shared" si="599"/>
        <v>0</v>
      </c>
      <c r="AC527" s="637"/>
      <c r="AD527" s="637"/>
      <c r="AE527" s="866"/>
      <c r="AF527" s="775">
        <f t="shared" si="600"/>
        <v>0</v>
      </c>
      <c r="AG527" s="637"/>
      <c r="AH527" s="637"/>
      <c r="AK527" s="637"/>
      <c r="AL527" s="637"/>
      <c r="AM527" s="867"/>
      <c r="AN527" s="867"/>
      <c r="AQ527" s="637"/>
      <c r="AR527" s="637"/>
      <c r="AU527" s="637"/>
      <c r="AV527" s="637"/>
      <c r="AY527" s="637"/>
      <c r="AZ527" s="637"/>
      <c r="BA527" s="867"/>
      <c r="BB527" s="867"/>
      <c r="BC527" s="5733"/>
      <c r="BD527" s="5733"/>
      <c r="BG527" s="26">
        <f t="shared" si="575"/>
        <v>0</v>
      </c>
      <c r="BH527" s="26">
        <f t="shared" si="576"/>
        <v>0</v>
      </c>
      <c r="BI527" s="26"/>
      <c r="BJ527" s="26">
        <f t="shared" si="577"/>
        <v>0</v>
      </c>
      <c r="BK527" s="26">
        <f t="shared" si="578"/>
        <v>0</v>
      </c>
    </row>
    <row r="528" spans="1:63" ht="21" hidden="1" customHeight="1" x14ac:dyDescent="0.3">
      <c r="A528" s="151"/>
      <c r="B528" s="637"/>
      <c r="C528" s="637"/>
      <c r="D528" s="637"/>
      <c r="E528" s="637"/>
      <c r="F528" s="637"/>
      <c r="G528" s="637"/>
      <c r="H528" s="637"/>
      <c r="I528" s="866"/>
      <c r="J528" s="775">
        <f t="shared" si="594"/>
        <v>0</v>
      </c>
      <c r="K528" s="637"/>
      <c r="L528" s="637"/>
      <c r="M528" s="867"/>
      <c r="N528" s="774">
        <f t="shared" si="595"/>
        <v>0</v>
      </c>
      <c r="O528" s="637"/>
      <c r="P528" s="637"/>
      <c r="Q528" s="866"/>
      <c r="R528" s="775">
        <f t="shared" si="596"/>
        <v>0</v>
      </c>
      <c r="S528" s="637"/>
      <c r="T528" s="637"/>
      <c r="U528" s="866"/>
      <c r="V528" s="775">
        <f t="shared" si="597"/>
        <v>0</v>
      </c>
      <c r="W528" s="637"/>
      <c r="X528" s="637"/>
      <c r="Y528" s="867"/>
      <c r="Z528" s="774">
        <f t="shared" si="598"/>
        <v>0</v>
      </c>
      <c r="AA528" s="5733"/>
      <c r="AB528" s="460">
        <f t="shared" si="599"/>
        <v>0</v>
      </c>
      <c r="AC528" s="637"/>
      <c r="AD528" s="637"/>
      <c r="AE528" s="866"/>
      <c r="AF528" s="775">
        <f t="shared" si="600"/>
        <v>0</v>
      </c>
      <c r="AG528" s="637"/>
      <c r="AH528" s="637"/>
      <c r="AK528" s="637"/>
      <c r="AL528" s="637"/>
      <c r="AM528" s="867"/>
      <c r="AN528" s="867"/>
      <c r="AQ528" s="637"/>
      <c r="AR528" s="637"/>
      <c r="AU528" s="637"/>
      <c r="AV528" s="637"/>
      <c r="AY528" s="637"/>
      <c r="AZ528" s="637"/>
      <c r="BA528" s="867"/>
      <c r="BB528" s="867"/>
      <c r="BC528" s="5733"/>
      <c r="BD528" s="5733"/>
      <c r="BG528" s="26">
        <f t="shared" si="575"/>
        <v>0</v>
      </c>
      <c r="BH528" s="26">
        <f t="shared" si="576"/>
        <v>0</v>
      </c>
      <c r="BI528" s="26"/>
      <c r="BJ528" s="26">
        <f t="shared" si="577"/>
        <v>0</v>
      </c>
      <c r="BK528" s="26">
        <f t="shared" si="578"/>
        <v>0</v>
      </c>
    </row>
    <row r="529" spans="1:63" ht="21" hidden="1" customHeight="1" x14ac:dyDescent="0.3">
      <c r="A529" s="151"/>
      <c r="B529" s="637"/>
      <c r="C529" s="637"/>
      <c r="D529" s="637"/>
      <c r="E529" s="637"/>
      <c r="F529" s="637"/>
      <c r="G529" s="637"/>
      <c r="H529" s="637"/>
      <c r="I529" s="866"/>
      <c r="J529" s="775">
        <f t="shared" si="594"/>
        <v>0</v>
      </c>
      <c r="K529" s="637"/>
      <c r="L529" s="637"/>
      <c r="M529" s="867"/>
      <c r="N529" s="774">
        <f t="shared" si="595"/>
        <v>0</v>
      </c>
      <c r="O529" s="637"/>
      <c r="P529" s="637"/>
      <c r="Q529" s="866"/>
      <c r="R529" s="775">
        <f t="shared" si="596"/>
        <v>0</v>
      </c>
      <c r="S529" s="637"/>
      <c r="T529" s="637"/>
      <c r="U529" s="866"/>
      <c r="V529" s="775">
        <f t="shared" si="597"/>
        <v>0</v>
      </c>
      <c r="W529" s="637"/>
      <c r="X529" s="637"/>
      <c r="Y529" s="867"/>
      <c r="Z529" s="774">
        <f t="shared" si="598"/>
        <v>0</v>
      </c>
      <c r="AA529" s="5733"/>
      <c r="AB529" s="460">
        <f t="shared" si="599"/>
        <v>0</v>
      </c>
      <c r="AC529" s="637"/>
      <c r="AD529" s="637"/>
      <c r="AE529" s="866"/>
      <c r="AF529" s="775">
        <f t="shared" si="600"/>
        <v>0</v>
      </c>
      <c r="AG529" s="637"/>
      <c r="AH529" s="637"/>
      <c r="AK529" s="637"/>
      <c r="AL529" s="637"/>
      <c r="AM529" s="867"/>
      <c r="AN529" s="867"/>
      <c r="AQ529" s="637"/>
      <c r="AR529" s="637"/>
      <c r="AU529" s="637"/>
      <c r="AV529" s="637"/>
      <c r="AY529" s="637"/>
      <c r="AZ529" s="637"/>
      <c r="BA529" s="867"/>
      <c r="BB529" s="867"/>
      <c r="BC529" s="5733"/>
      <c r="BD529" s="5733"/>
      <c r="BG529" s="26">
        <f t="shared" si="575"/>
        <v>0</v>
      </c>
      <c r="BH529" s="26">
        <f t="shared" si="576"/>
        <v>0</v>
      </c>
      <c r="BI529" s="26"/>
      <c r="BJ529" s="26">
        <f t="shared" si="577"/>
        <v>0</v>
      </c>
      <c r="BK529" s="26">
        <f t="shared" si="578"/>
        <v>0</v>
      </c>
    </row>
    <row r="530" spans="1:63" ht="21" hidden="1" customHeight="1" x14ac:dyDescent="0.3">
      <c r="A530" s="151"/>
      <c r="B530" s="637"/>
      <c r="C530" s="637"/>
      <c r="D530" s="637"/>
      <c r="E530" s="637"/>
      <c r="F530" s="637"/>
      <c r="G530" s="637"/>
      <c r="H530" s="637"/>
      <c r="I530" s="866"/>
      <c r="J530" s="775">
        <f t="shared" si="594"/>
        <v>0</v>
      </c>
      <c r="K530" s="637"/>
      <c r="L530" s="637"/>
      <c r="M530" s="867"/>
      <c r="N530" s="774">
        <f t="shared" si="595"/>
        <v>0</v>
      </c>
      <c r="O530" s="637"/>
      <c r="P530" s="637"/>
      <c r="Q530" s="866"/>
      <c r="R530" s="775">
        <f t="shared" si="596"/>
        <v>0</v>
      </c>
      <c r="S530" s="637"/>
      <c r="T530" s="637"/>
      <c r="U530" s="866"/>
      <c r="V530" s="775">
        <f t="shared" si="597"/>
        <v>0</v>
      </c>
      <c r="W530" s="637"/>
      <c r="X530" s="637"/>
      <c r="Y530" s="867"/>
      <c r="Z530" s="774">
        <f t="shared" si="598"/>
        <v>0</v>
      </c>
      <c r="AA530" s="5733"/>
      <c r="AB530" s="460">
        <f t="shared" si="599"/>
        <v>0</v>
      </c>
      <c r="AC530" s="637"/>
      <c r="AD530" s="637"/>
      <c r="AE530" s="866"/>
      <c r="AF530" s="775">
        <f t="shared" si="600"/>
        <v>0</v>
      </c>
      <c r="AG530" s="637"/>
      <c r="AH530" s="637"/>
      <c r="AK530" s="637"/>
      <c r="AL530" s="637"/>
      <c r="AM530" s="867"/>
      <c r="AN530" s="867"/>
      <c r="AQ530" s="637"/>
      <c r="AR530" s="637"/>
      <c r="AU530" s="637"/>
      <c r="AV530" s="637"/>
      <c r="AY530" s="637"/>
      <c r="AZ530" s="637"/>
      <c r="BA530" s="867"/>
      <c r="BB530" s="867"/>
      <c r="BC530" s="5733"/>
      <c r="BD530" s="5733"/>
      <c r="BG530" s="26">
        <f t="shared" si="575"/>
        <v>0</v>
      </c>
      <c r="BH530" s="26">
        <f t="shared" si="576"/>
        <v>0</v>
      </c>
      <c r="BI530" s="26"/>
      <c r="BJ530" s="26">
        <f t="shared" si="577"/>
        <v>0</v>
      </c>
      <c r="BK530" s="26">
        <f t="shared" si="578"/>
        <v>0</v>
      </c>
    </row>
    <row r="531" spans="1:63" ht="21" hidden="1" customHeight="1" x14ac:dyDescent="0.3">
      <c r="A531" s="151"/>
      <c r="B531" s="637"/>
      <c r="C531" s="637"/>
      <c r="D531" s="637"/>
      <c r="E531" s="637"/>
      <c r="F531" s="637"/>
      <c r="G531" s="637"/>
      <c r="H531" s="637"/>
      <c r="I531" s="866"/>
      <c r="J531" s="775">
        <f t="shared" si="594"/>
        <v>0</v>
      </c>
      <c r="K531" s="637"/>
      <c r="L531" s="637"/>
      <c r="M531" s="867"/>
      <c r="N531" s="774">
        <f t="shared" si="595"/>
        <v>0</v>
      </c>
      <c r="O531" s="637"/>
      <c r="P531" s="637"/>
      <c r="Q531" s="866"/>
      <c r="R531" s="775">
        <f t="shared" si="596"/>
        <v>0</v>
      </c>
      <c r="S531" s="637"/>
      <c r="T531" s="637"/>
      <c r="U531" s="866"/>
      <c r="V531" s="775">
        <f t="shared" si="597"/>
        <v>0</v>
      </c>
      <c r="W531" s="637"/>
      <c r="X531" s="637"/>
      <c r="Y531" s="867"/>
      <c r="Z531" s="774">
        <f t="shared" si="598"/>
        <v>0</v>
      </c>
      <c r="AA531" s="5733"/>
      <c r="AB531" s="460">
        <f t="shared" si="599"/>
        <v>0</v>
      </c>
      <c r="AC531" s="637"/>
      <c r="AD531" s="637"/>
      <c r="AE531" s="866"/>
      <c r="AF531" s="775">
        <f t="shared" si="600"/>
        <v>0</v>
      </c>
      <c r="AG531" s="637"/>
      <c r="AH531" s="637"/>
      <c r="AK531" s="637"/>
      <c r="AL531" s="637"/>
      <c r="AM531" s="867"/>
      <c r="AN531" s="867"/>
      <c r="AQ531" s="637"/>
      <c r="AR531" s="637"/>
      <c r="AU531" s="637"/>
      <c r="AV531" s="637"/>
      <c r="AY531" s="637"/>
      <c r="AZ531" s="637"/>
      <c r="BA531" s="867"/>
      <c r="BB531" s="867"/>
      <c r="BC531" s="5733"/>
      <c r="BD531" s="5733"/>
      <c r="BG531" s="26">
        <f t="shared" ref="BG531:BG594" si="605">AY531+AU531+AQ531+AK531+AG531+AC531+W531+S531+O531+K531+G531+E531-BE531</f>
        <v>0</v>
      </c>
      <c r="BH531" s="26">
        <f t="shared" ref="BH531:BH594" si="606">AZ531+AV531+AR531+AL531+AH531+AD531+X531+T531+P531+L531+H531+F531-BF531</f>
        <v>0</v>
      </c>
      <c r="BI531" s="26"/>
      <c r="BJ531" s="26">
        <f t="shared" ref="BJ531:BJ594" si="607">AY531+AU531+AQ531+AK531+AG531+AC531-BC531</f>
        <v>0</v>
      </c>
      <c r="BK531" s="26">
        <f t="shared" ref="BK531:BK594" si="608">AZ531+AV531+AR531+AL531+AH531+AD531-BD531</f>
        <v>0</v>
      </c>
    </row>
    <row r="532" spans="1:63" ht="21" hidden="1" customHeight="1" x14ac:dyDescent="0.3">
      <c r="A532" s="151"/>
      <c r="B532" s="637"/>
      <c r="C532" s="637"/>
      <c r="D532" s="637"/>
      <c r="E532" s="637"/>
      <c r="F532" s="637"/>
      <c r="G532" s="637"/>
      <c r="H532" s="637"/>
      <c r="I532" s="866"/>
      <c r="J532" s="775">
        <f t="shared" si="594"/>
        <v>0</v>
      </c>
      <c r="K532" s="637"/>
      <c r="L532" s="637"/>
      <c r="M532" s="867"/>
      <c r="N532" s="774">
        <f t="shared" si="595"/>
        <v>0</v>
      </c>
      <c r="O532" s="637"/>
      <c r="P532" s="637"/>
      <c r="Q532" s="866"/>
      <c r="R532" s="775">
        <f t="shared" si="596"/>
        <v>0</v>
      </c>
      <c r="S532" s="637"/>
      <c r="T532" s="637"/>
      <c r="U532" s="866"/>
      <c r="V532" s="775">
        <f t="shared" si="597"/>
        <v>0</v>
      </c>
      <c r="W532" s="637"/>
      <c r="X532" s="637"/>
      <c r="Y532" s="867"/>
      <c r="Z532" s="774">
        <f t="shared" si="598"/>
        <v>0</v>
      </c>
      <c r="AA532" s="5733"/>
      <c r="AB532" s="460">
        <f t="shared" si="599"/>
        <v>0</v>
      </c>
      <c r="AC532" s="637"/>
      <c r="AD532" s="637"/>
      <c r="AE532" s="866"/>
      <c r="AF532" s="775">
        <f t="shared" si="600"/>
        <v>0</v>
      </c>
      <c r="AG532" s="637"/>
      <c r="AH532" s="637"/>
      <c r="AK532" s="637"/>
      <c r="AL532" s="637"/>
      <c r="AM532" s="867"/>
      <c r="AN532" s="867"/>
      <c r="AQ532" s="637"/>
      <c r="AR532" s="637"/>
      <c r="AU532" s="637"/>
      <c r="AV532" s="637"/>
      <c r="AY532" s="637"/>
      <c r="AZ532" s="637"/>
      <c r="BA532" s="867"/>
      <c r="BB532" s="867"/>
      <c r="BC532" s="5733"/>
      <c r="BD532" s="5733"/>
      <c r="BG532" s="26">
        <f t="shared" si="605"/>
        <v>0</v>
      </c>
      <c r="BH532" s="26">
        <f t="shared" si="606"/>
        <v>0</v>
      </c>
      <c r="BI532" s="26"/>
      <c r="BJ532" s="26">
        <f t="shared" si="607"/>
        <v>0</v>
      </c>
      <c r="BK532" s="26">
        <f t="shared" si="608"/>
        <v>0</v>
      </c>
    </row>
    <row r="533" spans="1:63" ht="21" hidden="1" customHeight="1" x14ac:dyDescent="0.3">
      <c r="A533" s="151"/>
      <c r="B533" s="637"/>
      <c r="C533" s="637"/>
      <c r="D533" s="637"/>
      <c r="E533" s="637"/>
      <c r="F533" s="637"/>
      <c r="G533" s="637"/>
      <c r="H533" s="637"/>
      <c r="I533" s="866"/>
      <c r="J533" s="775">
        <f t="shared" si="594"/>
        <v>0</v>
      </c>
      <c r="K533" s="637"/>
      <c r="L533" s="637"/>
      <c r="M533" s="867"/>
      <c r="N533" s="774">
        <f t="shared" si="595"/>
        <v>0</v>
      </c>
      <c r="O533" s="637"/>
      <c r="P533" s="637"/>
      <c r="Q533" s="866"/>
      <c r="R533" s="775">
        <f t="shared" si="596"/>
        <v>0</v>
      </c>
      <c r="S533" s="637"/>
      <c r="T533" s="637"/>
      <c r="U533" s="866"/>
      <c r="V533" s="775">
        <f t="shared" si="597"/>
        <v>0</v>
      </c>
      <c r="W533" s="637"/>
      <c r="X533" s="637"/>
      <c r="Y533" s="867"/>
      <c r="Z533" s="774">
        <f t="shared" si="598"/>
        <v>0</v>
      </c>
      <c r="AA533" s="5733"/>
      <c r="AB533" s="460">
        <f t="shared" si="599"/>
        <v>0</v>
      </c>
      <c r="AC533" s="637"/>
      <c r="AD533" s="637"/>
      <c r="AE533" s="866"/>
      <c r="AF533" s="775">
        <f t="shared" si="600"/>
        <v>0</v>
      </c>
      <c r="AG533" s="637"/>
      <c r="AH533" s="637"/>
      <c r="AK533" s="637"/>
      <c r="AL533" s="637"/>
      <c r="AM533" s="867"/>
      <c r="AN533" s="867"/>
      <c r="AQ533" s="637"/>
      <c r="AR533" s="637"/>
      <c r="AU533" s="637"/>
      <c r="AV533" s="637"/>
      <c r="AY533" s="637"/>
      <c r="AZ533" s="637"/>
      <c r="BA533" s="867"/>
      <c r="BB533" s="867"/>
      <c r="BC533" s="5733"/>
      <c r="BD533" s="5733"/>
      <c r="BG533" s="26">
        <f t="shared" si="605"/>
        <v>0</v>
      </c>
      <c r="BH533" s="26">
        <f t="shared" si="606"/>
        <v>0</v>
      </c>
      <c r="BI533" s="26"/>
      <c r="BJ533" s="26">
        <f t="shared" si="607"/>
        <v>0</v>
      </c>
      <c r="BK533" s="26">
        <f t="shared" si="608"/>
        <v>0</v>
      </c>
    </row>
    <row r="534" spans="1:63" ht="21" hidden="1" customHeight="1" x14ac:dyDescent="0.3">
      <c r="A534" s="151"/>
      <c r="B534" s="637"/>
      <c r="C534" s="637"/>
      <c r="D534" s="637"/>
      <c r="E534" s="637"/>
      <c r="F534" s="637"/>
      <c r="G534" s="637"/>
      <c r="H534" s="637"/>
      <c r="I534" s="866"/>
      <c r="J534" s="775">
        <f t="shared" si="594"/>
        <v>0</v>
      </c>
      <c r="K534" s="637"/>
      <c r="L534" s="637"/>
      <c r="M534" s="867"/>
      <c r="N534" s="774">
        <f t="shared" si="595"/>
        <v>0</v>
      </c>
      <c r="O534" s="637"/>
      <c r="P534" s="637"/>
      <c r="Q534" s="866"/>
      <c r="R534" s="775">
        <f t="shared" si="596"/>
        <v>0</v>
      </c>
      <c r="S534" s="637"/>
      <c r="T534" s="637"/>
      <c r="U534" s="866"/>
      <c r="V534" s="775">
        <f t="shared" si="597"/>
        <v>0</v>
      </c>
      <c r="W534" s="637"/>
      <c r="X534" s="637"/>
      <c r="Y534" s="867"/>
      <c r="Z534" s="774">
        <f t="shared" si="598"/>
        <v>0</v>
      </c>
      <c r="AA534" s="5733"/>
      <c r="AB534" s="460">
        <f t="shared" si="599"/>
        <v>0</v>
      </c>
      <c r="AC534" s="637"/>
      <c r="AD534" s="637"/>
      <c r="AE534" s="866"/>
      <c r="AF534" s="775">
        <f t="shared" si="600"/>
        <v>0</v>
      </c>
      <c r="AG534" s="637"/>
      <c r="AH534" s="637"/>
      <c r="AK534" s="637"/>
      <c r="AL534" s="637"/>
      <c r="AM534" s="867"/>
      <c r="AN534" s="867"/>
      <c r="AQ534" s="637"/>
      <c r="AR534" s="637"/>
      <c r="AU534" s="637"/>
      <c r="AV534" s="637"/>
      <c r="AY534" s="637"/>
      <c r="AZ534" s="637"/>
      <c r="BA534" s="867"/>
      <c r="BB534" s="867"/>
      <c r="BC534" s="5733"/>
      <c r="BD534" s="5733"/>
      <c r="BG534" s="26">
        <f t="shared" si="605"/>
        <v>0</v>
      </c>
      <c r="BH534" s="26">
        <f t="shared" si="606"/>
        <v>0</v>
      </c>
      <c r="BI534" s="26"/>
      <c r="BJ534" s="26">
        <f t="shared" si="607"/>
        <v>0</v>
      </c>
      <c r="BK534" s="26">
        <f t="shared" si="608"/>
        <v>0</v>
      </c>
    </row>
    <row r="535" spans="1:63" ht="21" hidden="1" customHeight="1" x14ac:dyDescent="0.3">
      <c r="A535" s="151"/>
      <c r="B535" s="637"/>
      <c r="C535" s="637"/>
      <c r="D535" s="637"/>
      <c r="E535" s="637"/>
      <c r="F535" s="637"/>
      <c r="G535" s="637"/>
      <c r="H535" s="637"/>
      <c r="I535" s="866"/>
      <c r="J535" s="775">
        <f t="shared" si="594"/>
        <v>0</v>
      </c>
      <c r="K535" s="637"/>
      <c r="L535" s="637"/>
      <c r="M535" s="867"/>
      <c r="N535" s="774">
        <f t="shared" si="595"/>
        <v>0</v>
      </c>
      <c r="O535" s="637"/>
      <c r="P535" s="637"/>
      <c r="Q535" s="866"/>
      <c r="R535" s="775">
        <f t="shared" si="596"/>
        <v>0</v>
      </c>
      <c r="S535" s="637"/>
      <c r="T535" s="637"/>
      <c r="U535" s="866"/>
      <c r="V535" s="775">
        <f t="shared" si="597"/>
        <v>0</v>
      </c>
      <c r="W535" s="637"/>
      <c r="X535" s="637"/>
      <c r="Y535" s="867"/>
      <c r="Z535" s="774">
        <f t="shared" si="598"/>
        <v>0</v>
      </c>
      <c r="AA535" s="5733"/>
      <c r="AB535" s="460">
        <f t="shared" si="599"/>
        <v>0</v>
      </c>
      <c r="AC535" s="637"/>
      <c r="AD535" s="637"/>
      <c r="AE535" s="866"/>
      <c r="AF535" s="775">
        <f t="shared" si="600"/>
        <v>0</v>
      </c>
      <c r="AG535" s="637"/>
      <c r="AH535" s="637"/>
      <c r="AK535" s="637"/>
      <c r="AL535" s="637"/>
      <c r="AM535" s="867"/>
      <c r="AN535" s="867"/>
      <c r="AQ535" s="637"/>
      <c r="AR535" s="637"/>
      <c r="AU535" s="637"/>
      <c r="AV535" s="637"/>
      <c r="AY535" s="637"/>
      <c r="AZ535" s="637"/>
      <c r="BA535" s="867"/>
      <c r="BB535" s="867"/>
      <c r="BC535" s="5733"/>
      <c r="BD535" s="5733"/>
      <c r="BG535" s="26">
        <f t="shared" si="605"/>
        <v>0</v>
      </c>
      <c r="BH535" s="26">
        <f t="shared" si="606"/>
        <v>0</v>
      </c>
      <c r="BI535" s="26"/>
      <c r="BJ535" s="26">
        <f t="shared" si="607"/>
        <v>0</v>
      </c>
      <c r="BK535" s="26">
        <f t="shared" si="608"/>
        <v>0</v>
      </c>
    </row>
    <row r="536" spans="1:63" ht="21" hidden="1" customHeight="1" x14ac:dyDescent="0.3">
      <c r="A536" s="151"/>
      <c r="B536" s="637"/>
      <c r="C536" s="637"/>
      <c r="D536" s="637"/>
      <c r="E536" s="637"/>
      <c r="F536" s="637"/>
      <c r="G536" s="637"/>
      <c r="H536" s="637"/>
      <c r="I536" s="866"/>
      <c r="J536" s="775">
        <f t="shared" si="594"/>
        <v>0</v>
      </c>
      <c r="K536" s="637"/>
      <c r="L536" s="637"/>
      <c r="M536" s="867"/>
      <c r="N536" s="774">
        <f t="shared" si="595"/>
        <v>0</v>
      </c>
      <c r="O536" s="637"/>
      <c r="P536" s="637"/>
      <c r="Q536" s="866"/>
      <c r="R536" s="775">
        <f t="shared" si="596"/>
        <v>0</v>
      </c>
      <c r="S536" s="637"/>
      <c r="T536" s="637"/>
      <c r="U536" s="866"/>
      <c r="V536" s="775">
        <f t="shared" si="597"/>
        <v>0</v>
      </c>
      <c r="W536" s="637"/>
      <c r="X536" s="637"/>
      <c r="Y536" s="867"/>
      <c r="Z536" s="774">
        <f t="shared" si="598"/>
        <v>0</v>
      </c>
      <c r="AA536" s="5733"/>
      <c r="AB536" s="460">
        <f t="shared" si="599"/>
        <v>0</v>
      </c>
      <c r="AC536" s="637"/>
      <c r="AD536" s="637"/>
      <c r="AE536" s="866"/>
      <c r="AF536" s="775">
        <f t="shared" si="600"/>
        <v>0</v>
      </c>
      <c r="AG536" s="637"/>
      <c r="AH536" s="637"/>
      <c r="AK536" s="637"/>
      <c r="AL536" s="637"/>
      <c r="AM536" s="867"/>
      <c r="AN536" s="867"/>
      <c r="AQ536" s="637"/>
      <c r="AR536" s="637"/>
      <c r="AU536" s="637"/>
      <c r="AV536" s="637"/>
      <c r="AY536" s="637"/>
      <c r="AZ536" s="637"/>
      <c r="BA536" s="867"/>
      <c r="BB536" s="867"/>
      <c r="BC536" s="5733"/>
      <c r="BD536" s="5733"/>
      <c r="BG536" s="26">
        <f t="shared" si="605"/>
        <v>0</v>
      </c>
      <c r="BH536" s="26">
        <f t="shared" si="606"/>
        <v>0</v>
      </c>
      <c r="BI536" s="26"/>
      <c r="BJ536" s="26">
        <f t="shared" si="607"/>
        <v>0</v>
      </c>
      <c r="BK536" s="26">
        <f t="shared" si="608"/>
        <v>0</v>
      </c>
    </row>
    <row r="537" spans="1:63" ht="21" hidden="1" customHeight="1" x14ac:dyDescent="0.3">
      <c r="A537" s="151"/>
      <c r="B537" s="637"/>
      <c r="C537" s="637"/>
      <c r="D537" s="637"/>
      <c r="E537" s="637"/>
      <c r="F537" s="637"/>
      <c r="G537" s="637"/>
      <c r="H537" s="637"/>
      <c r="I537" s="866"/>
      <c r="J537" s="775">
        <f t="shared" si="594"/>
        <v>0</v>
      </c>
      <c r="K537" s="637"/>
      <c r="L537" s="637"/>
      <c r="M537" s="867"/>
      <c r="N537" s="774">
        <f t="shared" si="595"/>
        <v>0</v>
      </c>
      <c r="O537" s="637"/>
      <c r="P537" s="637"/>
      <c r="Q537" s="866"/>
      <c r="R537" s="775">
        <f t="shared" si="596"/>
        <v>0</v>
      </c>
      <c r="S537" s="637"/>
      <c r="T537" s="637"/>
      <c r="U537" s="866"/>
      <c r="V537" s="775">
        <f t="shared" si="597"/>
        <v>0</v>
      </c>
      <c r="W537" s="637"/>
      <c r="X537" s="637"/>
      <c r="Y537" s="867"/>
      <c r="Z537" s="774">
        <f t="shared" si="598"/>
        <v>0</v>
      </c>
      <c r="AA537" s="5733"/>
      <c r="AB537" s="460">
        <f t="shared" si="599"/>
        <v>0</v>
      </c>
      <c r="AC537" s="637"/>
      <c r="AD537" s="637"/>
      <c r="AE537" s="866"/>
      <c r="AF537" s="775">
        <f t="shared" si="600"/>
        <v>0</v>
      </c>
      <c r="AG537" s="637"/>
      <c r="AH537" s="637"/>
      <c r="AK537" s="637"/>
      <c r="AL537" s="637"/>
      <c r="AM537" s="867"/>
      <c r="AN537" s="867"/>
      <c r="AQ537" s="637"/>
      <c r="AR537" s="637"/>
      <c r="AU537" s="637"/>
      <c r="AV537" s="637"/>
      <c r="AY537" s="637"/>
      <c r="AZ537" s="637"/>
      <c r="BA537" s="867"/>
      <c r="BB537" s="867"/>
      <c r="BC537" s="5733"/>
      <c r="BD537" s="5733"/>
      <c r="BG537" s="26">
        <f t="shared" si="605"/>
        <v>0</v>
      </c>
      <c r="BH537" s="26">
        <f t="shared" si="606"/>
        <v>0</v>
      </c>
      <c r="BI537" s="26"/>
      <c r="BJ537" s="26">
        <f t="shared" si="607"/>
        <v>0</v>
      </c>
      <c r="BK537" s="26">
        <f t="shared" si="608"/>
        <v>0</v>
      </c>
    </row>
    <row r="538" spans="1:63" ht="21" hidden="1" customHeight="1" x14ac:dyDescent="0.3">
      <c r="A538" s="151"/>
      <c r="B538" s="637"/>
      <c r="C538" s="637"/>
      <c r="D538" s="637"/>
      <c r="E538" s="637"/>
      <c r="F538" s="637"/>
      <c r="G538" s="637"/>
      <c r="H538" s="637"/>
      <c r="I538" s="866"/>
      <c r="J538" s="775">
        <f t="shared" si="594"/>
        <v>0</v>
      </c>
      <c r="K538" s="637"/>
      <c r="L538" s="637"/>
      <c r="M538" s="867"/>
      <c r="N538" s="774">
        <f t="shared" si="595"/>
        <v>0</v>
      </c>
      <c r="O538" s="637"/>
      <c r="P538" s="637"/>
      <c r="Q538" s="866"/>
      <c r="R538" s="775">
        <f t="shared" si="596"/>
        <v>0</v>
      </c>
      <c r="S538" s="637"/>
      <c r="T538" s="637"/>
      <c r="U538" s="866"/>
      <c r="V538" s="775">
        <f t="shared" si="597"/>
        <v>0</v>
      </c>
      <c r="W538" s="637"/>
      <c r="X538" s="637"/>
      <c r="Y538" s="867"/>
      <c r="Z538" s="774">
        <f t="shared" si="598"/>
        <v>0</v>
      </c>
      <c r="AA538" s="5733"/>
      <c r="AB538" s="460">
        <f t="shared" si="599"/>
        <v>0</v>
      </c>
      <c r="AC538" s="637"/>
      <c r="AD538" s="637"/>
      <c r="AE538" s="866"/>
      <c r="AF538" s="775">
        <f t="shared" si="600"/>
        <v>0</v>
      </c>
      <c r="AG538" s="637"/>
      <c r="AH538" s="637"/>
      <c r="AK538" s="637"/>
      <c r="AL538" s="637"/>
      <c r="AM538" s="867"/>
      <c r="AN538" s="867"/>
      <c r="AQ538" s="637"/>
      <c r="AR538" s="637"/>
      <c r="AU538" s="637"/>
      <c r="AV538" s="637"/>
      <c r="AY538" s="637"/>
      <c r="AZ538" s="637"/>
      <c r="BA538" s="867"/>
      <c r="BB538" s="867"/>
      <c r="BC538" s="5733"/>
      <c r="BD538" s="5733"/>
      <c r="BG538" s="26">
        <f t="shared" si="605"/>
        <v>0</v>
      </c>
      <c r="BH538" s="26">
        <f t="shared" si="606"/>
        <v>0</v>
      </c>
      <c r="BI538" s="26"/>
      <c r="BJ538" s="26">
        <f t="shared" si="607"/>
        <v>0</v>
      </c>
      <c r="BK538" s="26">
        <f t="shared" si="608"/>
        <v>0</v>
      </c>
    </row>
    <row r="539" spans="1:63" ht="21" hidden="1" customHeight="1" x14ac:dyDescent="0.3">
      <c r="A539" s="151"/>
      <c r="B539" s="637"/>
      <c r="C539" s="637"/>
      <c r="D539" s="637"/>
      <c r="E539" s="637"/>
      <c r="F539" s="637"/>
      <c r="G539" s="637"/>
      <c r="H539" s="637"/>
      <c r="I539" s="866"/>
      <c r="J539" s="775">
        <f t="shared" si="594"/>
        <v>0</v>
      </c>
      <c r="K539" s="637"/>
      <c r="L539" s="637"/>
      <c r="M539" s="867"/>
      <c r="N539" s="774">
        <f t="shared" si="595"/>
        <v>0</v>
      </c>
      <c r="O539" s="637"/>
      <c r="P539" s="637"/>
      <c r="Q539" s="866"/>
      <c r="R539" s="775">
        <f t="shared" si="596"/>
        <v>0</v>
      </c>
      <c r="S539" s="637"/>
      <c r="T539" s="637"/>
      <c r="U539" s="866"/>
      <c r="V539" s="775">
        <f t="shared" si="597"/>
        <v>0</v>
      </c>
      <c r="W539" s="637"/>
      <c r="X539" s="637"/>
      <c r="Y539" s="867"/>
      <c r="Z539" s="774">
        <f t="shared" si="598"/>
        <v>0</v>
      </c>
      <c r="AA539" s="5733"/>
      <c r="AB539" s="460">
        <f t="shared" si="599"/>
        <v>0</v>
      </c>
      <c r="AC539" s="637"/>
      <c r="AD539" s="637"/>
      <c r="AE539" s="866"/>
      <c r="AF539" s="775">
        <f t="shared" si="600"/>
        <v>0</v>
      </c>
      <c r="AG539" s="637"/>
      <c r="AH539" s="637"/>
      <c r="AK539" s="637"/>
      <c r="AL539" s="637"/>
      <c r="AM539" s="867"/>
      <c r="AN539" s="867"/>
      <c r="AQ539" s="637"/>
      <c r="AR539" s="637"/>
      <c r="AU539" s="637"/>
      <c r="AV539" s="637"/>
      <c r="AY539" s="637"/>
      <c r="AZ539" s="637"/>
      <c r="BA539" s="867"/>
      <c r="BB539" s="867"/>
      <c r="BC539" s="5733"/>
      <c r="BD539" s="5733"/>
      <c r="BG539" s="26">
        <f t="shared" si="605"/>
        <v>0</v>
      </c>
      <c r="BH539" s="26">
        <f t="shared" si="606"/>
        <v>0</v>
      </c>
      <c r="BI539" s="26"/>
      <c r="BJ539" s="26">
        <f t="shared" si="607"/>
        <v>0</v>
      </c>
      <c r="BK539" s="26">
        <f t="shared" si="608"/>
        <v>0</v>
      </c>
    </row>
    <row r="540" spans="1:63" ht="21" hidden="1" customHeight="1" x14ac:dyDescent="0.3">
      <c r="A540" s="151"/>
      <c r="B540" s="637"/>
      <c r="C540" s="637"/>
      <c r="D540" s="637"/>
      <c r="E540" s="637"/>
      <c r="F540" s="637"/>
      <c r="G540" s="637"/>
      <c r="H540" s="637"/>
      <c r="I540" s="866"/>
      <c r="J540" s="775">
        <f t="shared" si="594"/>
        <v>0</v>
      </c>
      <c r="K540" s="637"/>
      <c r="L540" s="637"/>
      <c r="M540" s="867"/>
      <c r="N540" s="774">
        <f t="shared" si="595"/>
        <v>0</v>
      </c>
      <c r="O540" s="637"/>
      <c r="P540" s="637"/>
      <c r="Q540" s="866"/>
      <c r="R540" s="775">
        <f t="shared" si="596"/>
        <v>0</v>
      </c>
      <c r="S540" s="637"/>
      <c r="T540" s="637"/>
      <c r="U540" s="866"/>
      <c r="V540" s="775">
        <f t="shared" si="597"/>
        <v>0</v>
      </c>
      <c r="W540" s="637"/>
      <c r="X540" s="637"/>
      <c r="Y540" s="867"/>
      <c r="Z540" s="774">
        <f t="shared" si="598"/>
        <v>0</v>
      </c>
      <c r="AA540" s="5733"/>
      <c r="AB540" s="460">
        <f t="shared" si="599"/>
        <v>0</v>
      </c>
      <c r="AC540" s="637"/>
      <c r="AD540" s="637"/>
      <c r="AE540" s="866"/>
      <c r="AF540" s="775">
        <f t="shared" si="600"/>
        <v>0</v>
      </c>
      <c r="AG540" s="637"/>
      <c r="AH540" s="637"/>
      <c r="AK540" s="637"/>
      <c r="AL540" s="637"/>
      <c r="AM540" s="867"/>
      <c r="AN540" s="867"/>
      <c r="AQ540" s="637"/>
      <c r="AR540" s="637"/>
      <c r="AU540" s="637"/>
      <c r="AV540" s="637"/>
      <c r="AY540" s="637"/>
      <c r="AZ540" s="637"/>
      <c r="BA540" s="867"/>
      <c r="BB540" s="867"/>
      <c r="BC540" s="5733"/>
      <c r="BD540" s="5733"/>
      <c r="BG540" s="26">
        <f t="shared" si="605"/>
        <v>0</v>
      </c>
      <c r="BH540" s="26">
        <f t="shared" si="606"/>
        <v>0</v>
      </c>
      <c r="BI540" s="26"/>
      <c r="BJ540" s="26">
        <f t="shared" si="607"/>
        <v>0</v>
      </c>
      <c r="BK540" s="26">
        <f t="shared" si="608"/>
        <v>0</v>
      </c>
    </row>
    <row r="541" spans="1:63" ht="21" hidden="1" customHeight="1" x14ac:dyDescent="0.3">
      <c r="A541" s="151"/>
      <c r="B541" s="637"/>
      <c r="C541" s="637"/>
      <c r="D541" s="637"/>
      <c r="E541" s="637"/>
      <c r="F541" s="637"/>
      <c r="G541" s="637"/>
      <c r="H541" s="637"/>
      <c r="I541" s="866"/>
      <c r="J541" s="775">
        <f t="shared" si="594"/>
        <v>0</v>
      </c>
      <c r="K541" s="637"/>
      <c r="L541" s="637"/>
      <c r="M541" s="867"/>
      <c r="N541" s="774">
        <f t="shared" si="595"/>
        <v>0</v>
      </c>
      <c r="O541" s="637"/>
      <c r="P541" s="637"/>
      <c r="Q541" s="866"/>
      <c r="R541" s="775">
        <f t="shared" si="596"/>
        <v>0</v>
      </c>
      <c r="S541" s="637"/>
      <c r="T541" s="637"/>
      <c r="U541" s="866"/>
      <c r="V541" s="775">
        <f t="shared" si="597"/>
        <v>0</v>
      </c>
      <c r="W541" s="637"/>
      <c r="X541" s="637"/>
      <c r="Y541" s="867"/>
      <c r="Z541" s="774">
        <f t="shared" si="598"/>
        <v>0</v>
      </c>
      <c r="AA541" s="5733"/>
      <c r="AB541" s="460">
        <f t="shared" si="599"/>
        <v>0</v>
      </c>
      <c r="AC541" s="637"/>
      <c r="AD541" s="637"/>
      <c r="AE541" s="866"/>
      <c r="AF541" s="775">
        <f t="shared" si="600"/>
        <v>0</v>
      </c>
      <c r="AG541" s="637"/>
      <c r="AH541" s="637"/>
      <c r="AK541" s="637"/>
      <c r="AL541" s="637"/>
      <c r="AM541" s="867"/>
      <c r="AN541" s="867"/>
      <c r="AQ541" s="637"/>
      <c r="AR541" s="637"/>
      <c r="AU541" s="637"/>
      <c r="AV541" s="637"/>
      <c r="AY541" s="637"/>
      <c r="AZ541" s="637"/>
      <c r="BA541" s="867"/>
      <c r="BB541" s="867"/>
      <c r="BC541" s="5733"/>
      <c r="BD541" s="5733"/>
      <c r="BG541" s="26">
        <f t="shared" si="605"/>
        <v>0</v>
      </c>
      <c r="BH541" s="26">
        <f t="shared" si="606"/>
        <v>0</v>
      </c>
      <c r="BI541" s="26"/>
      <c r="BJ541" s="26">
        <f t="shared" si="607"/>
        <v>0</v>
      </c>
      <c r="BK541" s="26">
        <f t="shared" si="608"/>
        <v>0</v>
      </c>
    </row>
    <row r="542" spans="1:63" ht="21" hidden="1" customHeight="1" x14ac:dyDescent="0.3">
      <c r="A542" s="151"/>
      <c r="B542" s="637"/>
      <c r="C542" s="637"/>
      <c r="D542" s="637"/>
      <c r="E542" s="637"/>
      <c r="F542" s="637"/>
      <c r="G542" s="637"/>
      <c r="H542" s="637"/>
      <c r="I542" s="866"/>
      <c r="J542" s="775">
        <f t="shared" si="594"/>
        <v>0</v>
      </c>
      <c r="K542" s="637"/>
      <c r="L542" s="637"/>
      <c r="M542" s="867"/>
      <c r="N542" s="774">
        <f t="shared" si="595"/>
        <v>0</v>
      </c>
      <c r="O542" s="637"/>
      <c r="P542" s="637"/>
      <c r="Q542" s="866"/>
      <c r="R542" s="775">
        <f t="shared" si="596"/>
        <v>0</v>
      </c>
      <c r="S542" s="637"/>
      <c r="T542" s="637"/>
      <c r="U542" s="866"/>
      <c r="V542" s="775">
        <f t="shared" si="597"/>
        <v>0</v>
      </c>
      <c r="W542" s="637"/>
      <c r="X542" s="637"/>
      <c r="Y542" s="867"/>
      <c r="Z542" s="774">
        <f t="shared" si="598"/>
        <v>0</v>
      </c>
      <c r="AA542" s="5733"/>
      <c r="AB542" s="460">
        <f t="shared" si="599"/>
        <v>0</v>
      </c>
      <c r="AC542" s="637"/>
      <c r="AD542" s="637"/>
      <c r="AE542" s="866"/>
      <c r="AF542" s="775">
        <f t="shared" si="600"/>
        <v>0</v>
      </c>
      <c r="AG542" s="637"/>
      <c r="AH542" s="637"/>
      <c r="AK542" s="637"/>
      <c r="AL542" s="637"/>
      <c r="AM542" s="867"/>
      <c r="AN542" s="867"/>
      <c r="AQ542" s="637"/>
      <c r="AR542" s="637"/>
      <c r="AU542" s="637"/>
      <c r="AV542" s="637"/>
      <c r="AY542" s="637"/>
      <c r="AZ542" s="637"/>
      <c r="BA542" s="867"/>
      <c r="BB542" s="867"/>
      <c r="BC542" s="5733"/>
      <c r="BD542" s="5733"/>
      <c r="BG542" s="26">
        <f t="shared" si="605"/>
        <v>0</v>
      </c>
      <c r="BH542" s="26">
        <f t="shared" si="606"/>
        <v>0</v>
      </c>
      <c r="BI542" s="26"/>
      <c r="BJ542" s="26">
        <f t="shared" si="607"/>
        <v>0</v>
      </c>
      <c r="BK542" s="26">
        <f t="shared" si="608"/>
        <v>0</v>
      </c>
    </row>
    <row r="543" spans="1:63" ht="21" hidden="1" customHeight="1" x14ac:dyDescent="0.3">
      <c r="A543" s="151"/>
      <c r="B543" s="637"/>
      <c r="C543" s="637"/>
      <c r="D543" s="637"/>
      <c r="E543" s="637"/>
      <c r="F543" s="637"/>
      <c r="G543" s="637"/>
      <c r="H543" s="637"/>
      <c r="I543" s="866"/>
      <c r="J543" s="775">
        <f t="shared" si="594"/>
        <v>0</v>
      </c>
      <c r="K543" s="637"/>
      <c r="L543" s="637"/>
      <c r="M543" s="867"/>
      <c r="N543" s="774">
        <f t="shared" si="595"/>
        <v>0</v>
      </c>
      <c r="O543" s="637"/>
      <c r="P543" s="637"/>
      <c r="Q543" s="866"/>
      <c r="R543" s="775">
        <f t="shared" si="596"/>
        <v>0</v>
      </c>
      <c r="S543" s="637"/>
      <c r="T543" s="637"/>
      <c r="U543" s="866"/>
      <c r="V543" s="775">
        <f t="shared" si="597"/>
        <v>0</v>
      </c>
      <c r="W543" s="637"/>
      <c r="X543" s="637"/>
      <c r="Y543" s="867"/>
      <c r="Z543" s="774">
        <f t="shared" si="598"/>
        <v>0</v>
      </c>
      <c r="AA543" s="5733"/>
      <c r="AB543" s="460">
        <f t="shared" si="599"/>
        <v>0</v>
      </c>
      <c r="AC543" s="637"/>
      <c r="AD543" s="637"/>
      <c r="AE543" s="866"/>
      <c r="AF543" s="775">
        <f t="shared" si="600"/>
        <v>0</v>
      </c>
      <c r="AG543" s="637"/>
      <c r="AH543" s="637"/>
      <c r="AK543" s="637"/>
      <c r="AL543" s="637"/>
      <c r="AM543" s="867"/>
      <c r="AN543" s="867"/>
      <c r="AQ543" s="637"/>
      <c r="AR543" s="637"/>
      <c r="AU543" s="637"/>
      <c r="AV543" s="637"/>
      <c r="AY543" s="637"/>
      <c r="AZ543" s="637"/>
      <c r="BA543" s="867"/>
      <c r="BB543" s="867"/>
      <c r="BC543" s="5733"/>
      <c r="BD543" s="5733"/>
      <c r="BG543" s="26">
        <f t="shared" si="605"/>
        <v>0</v>
      </c>
      <c r="BH543" s="26">
        <f t="shared" si="606"/>
        <v>0</v>
      </c>
      <c r="BI543" s="26"/>
      <c r="BJ543" s="26">
        <f t="shared" si="607"/>
        <v>0</v>
      </c>
      <c r="BK543" s="26">
        <f t="shared" si="608"/>
        <v>0</v>
      </c>
    </row>
    <row r="544" spans="1:63" ht="21" hidden="1" customHeight="1" x14ac:dyDescent="0.3">
      <c r="A544" s="151"/>
      <c r="B544" s="637"/>
      <c r="C544" s="637"/>
      <c r="D544" s="637"/>
      <c r="E544" s="637"/>
      <c r="F544" s="637"/>
      <c r="G544" s="637"/>
      <c r="H544" s="637"/>
      <c r="I544" s="866"/>
      <c r="J544" s="775">
        <f t="shared" si="594"/>
        <v>0</v>
      </c>
      <c r="K544" s="637"/>
      <c r="L544" s="637"/>
      <c r="M544" s="867"/>
      <c r="N544" s="774">
        <f t="shared" si="595"/>
        <v>0</v>
      </c>
      <c r="O544" s="637"/>
      <c r="P544" s="637"/>
      <c r="Q544" s="866"/>
      <c r="R544" s="775">
        <f t="shared" si="596"/>
        <v>0</v>
      </c>
      <c r="S544" s="637"/>
      <c r="T544" s="637"/>
      <c r="U544" s="866"/>
      <c r="V544" s="775">
        <f t="shared" si="597"/>
        <v>0</v>
      </c>
      <c r="W544" s="637"/>
      <c r="X544" s="637"/>
      <c r="Y544" s="867"/>
      <c r="Z544" s="774">
        <f t="shared" si="598"/>
        <v>0</v>
      </c>
      <c r="AA544" s="5733"/>
      <c r="AB544" s="460">
        <f t="shared" si="599"/>
        <v>0</v>
      </c>
      <c r="AC544" s="637"/>
      <c r="AD544" s="637"/>
      <c r="AE544" s="866"/>
      <c r="AF544" s="775">
        <f t="shared" si="600"/>
        <v>0</v>
      </c>
      <c r="AG544" s="637"/>
      <c r="AH544" s="637"/>
      <c r="AK544" s="637"/>
      <c r="AL544" s="637"/>
      <c r="AM544" s="867"/>
      <c r="AN544" s="867"/>
      <c r="AQ544" s="637"/>
      <c r="AR544" s="637"/>
      <c r="AU544" s="637"/>
      <c r="AV544" s="637"/>
      <c r="AY544" s="637"/>
      <c r="AZ544" s="637"/>
      <c r="BA544" s="867"/>
      <c r="BB544" s="867"/>
      <c r="BC544" s="5733"/>
      <c r="BD544" s="5733"/>
      <c r="BG544" s="26">
        <f t="shared" si="605"/>
        <v>0</v>
      </c>
      <c r="BH544" s="26">
        <f t="shared" si="606"/>
        <v>0</v>
      </c>
      <c r="BI544" s="26"/>
      <c r="BJ544" s="26">
        <f t="shared" si="607"/>
        <v>0</v>
      </c>
      <c r="BK544" s="26">
        <f t="shared" si="608"/>
        <v>0</v>
      </c>
    </row>
    <row r="545" spans="1:63" ht="21" hidden="1" customHeight="1" x14ac:dyDescent="0.3">
      <c r="A545" s="151"/>
      <c r="B545" s="637"/>
      <c r="C545" s="637"/>
      <c r="D545" s="637"/>
      <c r="E545" s="637"/>
      <c r="F545" s="637"/>
      <c r="G545" s="637"/>
      <c r="H545" s="637"/>
      <c r="I545" s="866"/>
      <c r="J545" s="775">
        <f t="shared" si="594"/>
        <v>0</v>
      </c>
      <c r="K545" s="637"/>
      <c r="L545" s="637"/>
      <c r="M545" s="867"/>
      <c r="N545" s="774">
        <f t="shared" si="595"/>
        <v>0</v>
      </c>
      <c r="O545" s="637"/>
      <c r="P545" s="637"/>
      <c r="Q545" s="866"/>
      <c r="R545" s="775">
        <f t="shared" si="596"/>
        <v>0</v>
      </c>
      <c r="S545" s="637"/>
      <c r="T545" s="637"/>
      <c r="U545" s="866"/>
      <c r="V545" s="775">
        <f t="shared" si="597"/>
        <v>0</v>
      </c>
      <c r="W545" s="637"/>
      <c r="X545" s="637"/>
      <c r="Y545" s="867"/>
      <c r="Z545" s="774">
        <f t="shared" si="598"/>
        <v>0</v>
      </c>
      <c r="AA545" s="5733"/>
      <c r="AB545" s="460">
        <f t="shared" si="599"/>
        <v>0</v>
      </c>
      <c r="AC545" s="637"/>
      <c r="AD545" s="637"/>
      <c r="AE545" s="866"/>
      <c r="AF545" s="775">
        <f t="shared" si="600"/>
        <v>0</v>
      </c>
      <c r="AG545" s="637"/>
      <c r="AH545" s="637"/>
      <c r="AK545" s="637"/>
      <c r="AL545" s="637"/>
      <c r="AM545" s="867"/>
      <c r="AN545" s="867"/>
      <c r="AQ545" s="637"/>
      <c r="AR545" s="637"/>
      <c r="AU545" s="637"/>
      <c r="AV545" s="637"/>
      <c r="AY545" s="637"/>
      <c r="AZ545" s="637"/>
      <c r="BA545" s="867"/>
      <c r="BB545" s="867"/>
      <c r="BC545" s="5733"/>
      <c r="BD545" s="5733"/>
      <c r="BG545" s="26">
        <f t="shared" si="605"/>
        <v>0</v>
      </c>
      <c r="BH545" s="26">
        <f t="shared" si="606"/>
        <v>0</v>
      </c>
      <c r="BI545" s="26"/>
      <c r="BJ545" s="26">
        <f t="shared" si="607"/>
        <v>0</v>
      </c>
      <c r="BK545" s="26">
        <f t="shared" si="608"/>
        <v>0</v>
      </c>
    </row>
    <row r="546" spans="1:63" ht="21" hidden="1" customHeight="1" x14ac:dyDescent="0.3">
      <c r="A546" s="151"/>
      <c r="B546" s="637"/>
      <c r="C546" s="637"/>
      <c r="D546" s="637"/>
      <c r="E546" s="637"/>
      <c r="F546" s="637"/>
      <c r="G546" s="637"/>
      <c r="H546" s="637"/>
      <c r="I546" s="866"/>
      <c r="J546" s="775">
        <f t="shared" si="594"/>
        <v>0</v>
      </c>
      <c r="K546" s="637"/>
      <c r="L546" s="637"/>
      <c r="M546" s="867"/>
      <c r="N546" s="774">
        <f t="shared" si="595"/>
        <v>0</v>
      </c>
      <c r="O546" s="637"/>
      <c r="P546" s="637"/>
      <c r="Q546" s="866"/>
      <c r="R546" s="775">
        <f t="shared" si="596"/>
        <v>0</v>
      </c>
      <c r="S546" s="637"/>
      <c r="T546" s="637"/>
      <c r="U546" s="866"/>
      <c r="V546" s="775">
        <f t="shared" si="597"/>
        <v>0</v>
      </c>
      <c r="W546" s="637"/>
      <c r="X546" s="637"/>
      <c r="Y546" s="867"/>
      <c r="Z546" s="774">
        <f t="shared" si="598"/>
        <v>0</v>
      </c>
      <c r="AA546" s="5733"/>
      <c r="AB546" s="460">
        <f t="shared" si="599"/>
        <v>0</v>
      </c>
      <c r="AC546" s="637"/>
      <c r="AD546" s="637"/>
      <c r="AE546" s="866"/>
      <c r="AF546" s="775">
        <f t="shared" si="600"/>
        <v>0</v>
      </c>
      <c r="AG546" s="637"/>
      <c r="AH546" s="637"/>
      <c r="AK546" s="637"/>
      <c r="AL546" s="637"/>
      <c r="AM546" s="867"/>
      <c r="AN546" s="867"/>
      <c r="AQ546" s="637"/>
      <c r="AR546" s="637"/>
      <c r="AU546" s="637"/>
      <c r="AV546" s="637"/>
      <c r="AY546" s="637"/>
      <c r="AZ546" s="637"/>
      <c r="BA546" s="867"/>
      <c r="BB546" s="867"/>
      <c r="BC546" s="5733"/>
      <c r="BD546" s="5733"/>
      <c r="BG546" s="26">
        <f t="shared" si="605"/>
        <v>0</v>
      </c>
      <c r="BH546" s="26">
        <f t="shared" si="606"/>
        <v>0</v>
      </c>
      <c r="BI546" s="26"/>
      <c r="BJ546" s="26">
        <f t="shared" si="607"/>
        <v>0</v>
      </c>
      <c r="BK546" s="26">
        <f t="shared" si="608"/>
        <v>0</v>
      </c>
    </row>
    <row r="547" spans="1:63" ht="21" hidden="1" customHeight="1" x14ac:dyDescent="0.3">
      <c r="A547" s="151"/>
      <c r="B547" s="637"/>
      <c r="C547" s="637"/>
      <c r="D547" s="637"/>
      <c r="E547" s="637"/>
      <c r="F547" s="637"/>
      <c r="G547" s="637"/>
      <c r="H547" s="637"/>
      <c r="I547" s="866"/>
      <c r="J547" s="775">
        <f t="shared" si="594"/>
        <v>0</v>
      </c>
      <c r="K547" s="637"/>
      <c r="L547" s="637"/>
      <c r="M547" s="867"/>
      <c r="N547" s="774">
        <f t="shared" si="595"/>
        <v>0</v>
      </c>
      <c r="O547" s="637"/>
      <c r="P547" s="637"/>
      <c r="Q547" s="866"/>
      <c r="R547" s="775">
        <f t="shared" si="596"/>
        <v>0</v>
      </c>
      <c r="S547" s="637"/>
      <c r="T547" s="637"/>
      <c r="U547" s="866"/>
      <c r="V547" s="775">
        <f t="shared" si="597"/>
        <v>0</v>
      </c>
      <c r="W547" s="637"/>
      <c r="X547" s="637"/>
      <c r="Y547" s="867"/>
      <c r="Z547" s="774">
        <f t="shared" si="598"/>
        <v>0</v>
      </c>
      <c r="AA547" s="5733"/>
      <c r="AB547" s="460">
        <f t="shared" si="599"/>
        <v>0</v>
      </c>
      <c r="AC547" s="637"/>
      <c r="AD547" s="637"/>
      <c r="AE547" s="866"/>
      <c r="AF547" s="775">
        <f t="shared" si="600"/>
        <v>0</v>
      </c>
      <c r="AG547" s="637"/>
      <c r="AH547" s="637"/>
      <c r="AK547" s="637"/>
      <c r="AL547" s="637"/>
      <c r="AM547" s="867"/>
      <c r="AN547" s="867"/>
      <c r="AQ547" s="637"/>
      <c r="AR547" s="637"/>
      <c r="AU547" s="637"/>
      <c r="AV547" s="637"/>
      <c r="AY547" s="637"/>
      <c r="AZ547" s="637"/>
      <c r="BA547" s="867"/>
      <c r="BB547" s="867"/>
      <c r="BC547" s="5733"/>
      <c r="BD547" s="5733"/>
      <c r="BG547" s="26">
        <f t="shared" si="605"/>
        <v>0</v>
      </c>
      <c r="BH547" s="26">
        <f t="shared" si="606"/>
        <v>0</v>
      </c>
      <c r="BI547" s="26"/>
      <c r="BJ547" s="26">
        <f t="shared" si="607"/>
        <v>0</v>
      </c>
      <c r="BK547" s="26">
        <f t="shared" si="608"/>
        <v>0</v>
      </c>
    </row>
    <row r="548" spans="1:63" ht="21" hidden="1" customHeight="1" x14ac:dyDescent="0.3">
      <c r="A548" s="151"/>
      <c r="B548" s="637"/>
      <c r="C548" s="637"/>
      <c r="D548" s="637"/>
      <c r="E548" s="637"/>
      <c r="F548" s="637"/>
      <c r="G548" s="637"/>
      <c r="H548" s="637"/>
      <c r="I548" s="866"/>
      <c r="J548" s="775">
        <f t="shared" si="594"/>
        <v>0</v>
      </c>
      <c r="K548" s="637"/>
      <c r="L548" s="637"/>
      <c r="M548" s="867"/>
      <c r="N548" s="774">
        <f t="shared" si="595"/>
        <v>0</v>
      </c>
      <c r="O548" s="637"/>
      <c r="P548" s="637"/>
      <c r="Q548" s="866"/>
      <c r="R548" s="775">
        <f t="shared" si="596"/>
        <v>0</v>
      </c>
      <c r="S548" s="637"/>
      <c r="T548" s="637"/>
      <c r="U548" s="866"/>
      <c r="V548" s="775">
        <f t="shared" si="597"/>
        <v>0</v>
      </c>
      <c r="W548" s="637"/>
      <c r="X548" s="637"/>
      <c r="Y548" s="867"/>
      <c r="Z548" s="774">
        <f t="shared" si="598"/>
        <v>0</v>
      </c>
      <c r="AA548" s="5733"/>
      <c r="AB548" s="460">
        <f t="shared" si="599"/>
        <v>0</v>
      </c>
      <c r="AC548" s="637"/>
      <c r="AD548" s="637"/>
      <c r="AE548" s="866"/>
      <c r="AF548" s="775">
        <f t="shared" si="600"/>
        <v>0</v>
      </c>
      <c r="AG548" s="637"/>
      <c r="AH548" s="637"/>
      <c r="AK548" s="637"/>
      <c r="AL548" s="637"/>
      <c r="AM548" s="867"/>
      <c r="AN548" s="867"/>
      <c r="AQ548" s="637"/>
      <c r="AR548" s="637"/>
      <c r="AU548" s="637"/>
      <c r="AV548" s="637"/>
      <c r="AY548" s="637"/>
      <c r="AZ548" s="637"/>
      <c r="BA548" s="867"/>
      <c r="BB548" s="867"/>
      <c r="BC548" s="5733"/>
      <c r="BD548" s="5733"/>
      <c r="BG548" s="26">
        <f t="shared" si="605"/>
        <v>0</v>
      </c>
      <c r="BH548" s="26">
        <f t="shared" si="606"/>
        <v>0</v>
      </c>
      <c r="BI548" s="26"/>
      <c r="BJ548" s="26">
        <f t="shared" si="607"/>
        <v>0</v>
      </c>
      <c r="BK548" s="26">
        <f t="shared" si="608"/>
        <v>0</v>
      </c>
    </row>
    <row r="549" spans="1:63" ht="21" hidden="1" customHeight="1" x14ac:dyDescent="0.3">
      <c r="A549" s="151"/>
      <c r="B549" s="637"/>
      <c r="C549" s="637"/>
      <c r="D549" s="637"/>
      <c r="E549" s="637"/>
      <c r="F549" s="637"/>
      <c r="G549" s="637"/>
      <c r="H549" s="637"/>
      <c r="I549" s="866"/>
      <c r="J549" s="775">
        <f t="shared" si="594"/>
        <v>0</v>
      </c>
      <c r="K549" s="637"/>
      <c r="L549" s="637"/>
      <c r="M549" s="867"/>
      <c r="N549" s="774">
        <f t="shared" si="595"/>
        <v>0</v>
      </c>
      <c r="O549" s="637"/>
      <c r="P549" s="637"/>
      <c r="Q549" s="866"/>
      <c r="R549" s="775">
        <f t="shared" si="596"/>
        <v>0</v>
      </c>
      <c r="S549" s="637"/>
      <c r="T549" s="637"/>
      <c r="U549" s="866"/>
      <c r="V549" s="775">
        <f t="shared" si="597"/>
        <v>0</v>
      </c>
      <c r="W549" s="637"/>
      <c r="X549" s="637"/>
      <c r="Y549" s="867"/>
      <c r="Z549" s="774">
        <f t="shared" si="598"/>
        <v>0</v>
      </c>
      <c r="AA549" s="5733"/>
      <c r="AB549" s="460">
        <f t="shared" si="599"/>
        <v>0</v>
      </c>
      <c r="AC549" s="637"/>
      <c r="AD549" s="637"/>
      <c r="AE549" s="866"/>
      <c r="AF549" s="775">
        <f t="shared" si="600"/>
        <v>0</v>
      </c>
      <c r="AG549" s="637"/>
      <c r="AH549" s="637"/>
      <c r="AK549" s="637"/>
      <c r="AL549" s="637"/>
      <c r="AM549" s="867"/>
      <c r="AN549" s="867"/>
      <c r="AQ549" s="637"/>
      <c r="AR549" s="637"/>
      <c r="AU549" s="637"/>
      <c r="AV549" s="637"/>
      <c r="AY549" s="637"/>
      <c r="AZ549" s="637"/>
      <c r="BA549" s="867"/>
      <c r="BB549" s="867"/>
      <c r="BC549" s="5733"/>
      <c r="BD549" s="5733"/>
      <c r="BG549" s="26">
        <f t="shared" si="605"/>
        <v>0</v>
      </c>
      <c r="BH549" s="26">
        <f t="shared" si="606"/>
        <v>0</v>
      </c>
      <c r="BI549" s="26"/>
      <c r="BJ549" s="26">
        <f t="shared" si="607"/>
        <v>0</v>
      </c>
      <c r="BK549" s="26">
        <f t="shared" si="608"/>
        <v>0</v>
      </c>
    </row>
    <row r="550" spans="1:63" ht="21" hidden="1" customHeight="1" x14ac:dyDescent="0.3">
      <c r="A550" s="151"/>
      <c r="B550" s="637"/>
      <c r="C550" s="637"/>
      <c r="D550" s="637"/>
      <c r="E550" s="637"/>
      <c r="F550" s="637"/>
      <c r="G550" s="637"/>
      <c r="H550" s="637"/>
      <c r="I550" s="866"/>
      <c r="J550" s="775">
        <f t="shared" si="594"/>
        <v>0</v>
      </c>
      <c r="K550" s="637"/>
      <c r="L550" s="637"/>
      <c r="M550" s="867"/>
      <c r="N550" s="774">
        <f t="shared" si="595"/>
        <v>0</v>
      </c>
      <c r="O550" s="637"/>
      <c r="P550" s="637"/>
      <c r="Q550" s="866"/>
      <c r="R550" s="775">
        <f t="shared" si="596"/>
        <v>0</v>
      </c>
      <c r="S550" s="637"/>
      <c r="T550" s="637"/>
      <c r="U550" s="866"/>
      <c r="V550" s="775">
        <f t="shared" si="597"/>
        <v>0</v>
      </c>
      <c r="W550" s="637"/>
      <c r="X550" s="637"/>
      <c r="Y550" s="867"/>
      <c r="Z550" s="774">
        <f t="shared" si="598"/>
        <v>0</v>
      </c>
      <c r="AA550" s="5733"/>
      <c r="AB550" s="460">
        <f t="shared" si="599"/>
        <v>0</v>
      </c>
      <c r="AC550" s="637"/>
      <c r="AD550" s="637"/>
      <c r="AE550" s="866"/>
      <c r="AF550" s="775">
        <f t="shared" si="600"/>
        <v>0</v>
      </c>
      <c r="AG550" s="637"/>
      <c r="AH550" s="637"/>
      <c r="AK550" s="637"/>
      <c r="AL550" s="637"/>
      <c r="AM550" s="867"/>
      <c r="AN550" s="867"/>
      <c r="AQ550" s="637"/>
      <c r="AR550" s="637"/>
      <c r="AU550" s="637"/>
      <c r="AV550" s="637"/>
      <c r="AY550" s="637"/>
      <c r="AZ550" s="637"/>
      <c r="BA550" s="867"/>
      <c r="BB550" s="867"/>
      <c r="BC550" s="5733"/>
      <c r="BD550" s="5733"/>
      <c r="BG550" s="26">
        <f t="shared" si="605"/>
        <v>0</v>
      </c>
      <c r="BH550" s="26">
        <f t="shared" si="606"/>
        <v>0</v>
      </c>
      <c r="BI550" s="26"/>
      <c r="BJ550" s="26">
        <f t="shared" si="607"/>
        <v>0</v>
      </c>
      <c r="BK550" s="26">
        <f t="shared" si="608"/>
        <v>0</v>
      </c>
    </row>
    <row r="551" spans="1:63" ht="21" hidden="1" customHeight="1" x14ac:dyDescent="0.3">
      <c r="A551" s="151"/>
      <c r="B551" s="637"/>
      <c r="C551" s="637"/>
      <c r="D551" s="637"/>
      <c r="E551" s="637"/>
      <c r="F551" s="637"/>
      <c r="G551" s="637"/>
      <c r="H551" s="637"/>
      <c r="I551" s="866"/>
      <c r="J551" s="775">
        <f t="shared" si="594"/>
        <v>0</v>
      </c>
      <c r="K551" s="637"/>
      <c r="L551" s="637"/>
      <c r="M551" s="867"/>
      <c r="N551" s="774">
        <f t="shared" si="595"/>
        <v>0</v>
      </c>
      <c r="O551" s="637"/>
      <c r="P551" s="637"/>
      <c r="Q551" s="866"/>
      <c r="R551" s="775">
        <f t="shared" si="596"/>
        <v>0</v>
      </c>
      <c r="S551" s="637"/>
      <c r="T551" s="637"/>
      <c r="U551" s="866"/>
      <c r="V551" s="775">
        <f t="shared" si="597"/>
        <v>0</v>
      </c>
      <c r="W551" s="637"/>
      <c r="X551" s="637"/>
      <c r="Y551" s="867"/>
      <c r="Z551" s="774">
        <f t="shared" si="598"/>
        <v>0</v>
      </c>
      <c r="AA551" s="5733"/>
      <c r="AB551" s="460">
        <f t="shared" si="599"/>
        <v>0</v>
      </c>
      <c r="AC551" s="637"/>
      <c r="AD551" s="637"/>
      <c r="AE551" s="866"/>
      <c r="AF551" s="775">
        <f t="shared" si="600"/>
        <v>0</v>
      </c>
      <c r="AG551" s="637"/>
      <c r="AH551" s="637"/>
      <c r="AK551" s="637"/>
      <c r="AL551" s="637"/>
      <c r="AM551" s="867"/>
      <c r="AN551" s="867"/>
      <c r="AQ551" s="637"/>
      <c r="AR551" s="637"/>
      <c r="AU551" s="637"/>
      <c r="AV551" s="637"/>
      <c r="AY551" s="637"/>
      <c r="AZ551" s="637"/>
      <c r="BA551" s="867"/>
      <c r="BB551" s="867"/>
      <c r="BC551" s="5733"/>
      <c r="BD551" s="5733"/>
      <c r="BG551" s="26">
        <f t="shared" si="605"/>
        <v>0</v>
      </c>
      <c r="BH551" s="26">
        <f t="shared" si="606"/>
        <v>0</v>
      </c>
      <c r="BI551" s="26"/>
      <c r="BJ551" s="26">
        <f t="shared" si="607"/>
        <v>0</v>
      </c>
      <c r="BK551" s="26">
        <f t="shared" si="608"/>
        <v>0</v>
      </c>
    </row>
    <row r="552" spans="1:63" ht="21" hidden="1" customHeight="1" x14ac:dyDescent="0.3">
      <c r="A552" s="151"/>
      <c r="B552" s="637"/>
      <c r="C552" s="637"/>
      <c r="D552" s="637"/>
      <c r="E552" s="637"/>
      <c r="F552" s="637"/>
      <c r="G552" s="637"/>
      <c r="H552" s="637"/>
      <c r="I552" s="866"/>
      <c r="J552" s="775">
        <f t="shared" si="594"/>
        <v>0</v>
      </c>
      <c r="K552" s="637"/>
      <c r="L552" s="637"/>
      <c r="M552" s="867"/>
      <c r="N552" s="774">
        <f t="shared" si="595"/>
        <v>0</v>
      </c>
      <c r="O552" s="637"/>
      <c r="P552" s="637"/>
      <c r="Q552" s="866"/>
      <c r="R552" s="775">
        <f t="shared" si="596"/>
        <v>0</v>
      </c>
      <c r="S552" s="637"/>
      <c r="T552" s="637"/>
      <c r="U552" s="866"/>
      <c r="V552" s="775">
        <f t="shared" si="597"/>
        <v>0</v>
      </c>
      <c r="W552" s="637"/>
      <c r="X552" s="637"/>
      <c r="Y552" s="867"/>
      <c r="Z552" s="774">
        <f t="shared" si="598"/>
        <v>0</v>
      </c>
      <c r="AA552" s="5733"/>
      <c r="AB552" s="460">
        <f t="shared" si="599"/>
        <v>0</v>
      </c>
      <c r="AC552" s="637"/>
      <c r="AD552" s="637"/>
      <c r="AE552" s="866"/>
      <c r="AF552" s="775">
        <f t="shared" si="600"/>
        <v>0</v>
      </c>
      <c r="AG552" s="637"/>
      <c r="AH552" s="637"/>
      <c r="AK552" s="637"/>
      <c r="AL552" s="637"/>
      <c r="AM552" s="867"/>
      <c r="AN552" s="867"/>
      <c r="AQ552" s="637"/>
      <c r="AR552" s="637"/>
      <c r="AU552" s="637"/>
      <c r="AV552" s="637"/>
      <c r="AY552" s="637"/>
      <c r="AZ552" s="637"/>
      <c r="BA552" s="867"/>
      <c r="BB552" s="867"/>
      <c r="BC552" s="5733"/>
      <c r="BD552" s="5733"/>
      <c r="BG552" s="26">
        <f t="shared" si="605"/>
        <v>0</v>
      </c>
      <c r="BH552" s="26">
        <f t="shared" si="606"/>
        <v>0</v>
      </c>
      <c r="BI552" s="26"/>
      <c r="BJ552" s="26">
        <f t="shared" si="607"/>
        <v>0</v>
      </c>
      <c r="BK552" s="26">
        <f t="shared" si="608"/>
        <v>0</v>
      </c>
    </row>
    <row r="553" spans="1:63" ht="21" hidden="1" customHeight="1" x14ac:dyDescent="0.3">
      <c r="A553" s="151"/>
      <c r="B553" s="637"/>
      <c r="C553" s="637"/>
      <c r="D553" s="637"/>
      <c r="E553" s="637"/>
      <c r="F553" s="637"/>
      <c r="G553" s="637"/>
      <c r="H553" s="637"/>
      <c r="I553" s="866"/>
      <c r="J553" s="775">
        <f t="shared" si="594"/>
        <v>0</v>
      </c>
      <c r="K553" s="637"/>
      <c r="L553" s="637"/>
      <c r="M553" s="867"/>
      <c r="N553" s="774">
        <f t="shared" si="595"/>
        <v>0</v>
      </c>
      <c r="O553" s="637"/>
      <c r="P553" s="637"/>
      <c r="Q553" s="866"/>
      <c r="R553" s="775">
        <f t="shared" si="596"/>
        <v>0</v>
      </c>
      <c r="S553" s="637"/>
      <c r="T553" s="637"/>
      <c r="U553" s="866"/>
      <c r="V553" s="775">
        <f t="shared" si="597"/>
        <v>0</v>
      </c>
      <c r="W553" s="637"/>
      <c r="X553" s="637"/>
      <c r="Y553" s="867"/>
      <c r="Z553" s="774">
        <f t="shared" si="598"/>
        <v>0</v>
      </c>
      <c r="AA553" s="5733"/>
      <c r="AB553" s="460">
        <f t="shared" si="599"/>
        <v>0</v>
      </c>
      <c r="AC553" s="637"/>
      <c r="AD553" s="637"/>
      <c r="AE553" s="866"/>
      <c r="AF553" s="775">
        <f t="shared" si="600"/>
        <v>0</v>
      </c>
      <c r="AG553" s="637"/>
      <c r="AH553" s="637"/>
      <c r="AK553" s="637"/>
      <c r="AL553" s="637"/>
      <c r="AM553" s="867"/>
      <c r="AN553" s="867"/>
      <c r="AQ553" s="637"/>
      <c r="AR553" s="637"/>
      <c r="AU553" s="637"/>
      <c r="AV553" s="637"/>
      <c r="AY553" s="637"/>
      <c r="AZ553" s="637"/>
      <c r="BA553" s="867"/>
      <c r="BB553" s="867"/>
      <c r="BC553" s="5733"/>
      <c r="BD553" s="5733"/>
      <c r="BG553" s="26">
        <f t="shared" si="605"/>
        <v>0</v>
      </c>
      <c r="BH553" s="26">
        <f t="shared" si="606"/>
        <v>0</v>
      </c>
      <c r="BI553" s="26"/>
      <c r="BJ553" s="26">
        <f t="shared" si="607"/>
        <v>0</v>
      </c>
      <c r="BK553" s="26">
        <f t="shared" si="608"/>
        <v>0</v>
      </c>
    </row>
    <row r="554" spans="1:63" ht="21" hidden="1" customHeight="1" x14ac:dyDescent="0.3">
      <c r="A554" s="151"/>
      <c r="B554" s="637"/>
      <c r="C554" s="637"/>
      <c r="D554" s="637"/>
      <c r="E554" s="637"/>
      <c r="F554" s="637"/>
      <c r="G554" s="637"/>
      <c r="H554" s="637"/>
      <c r="I554" s="866"/>
      <c r="J554" s="775">
        <f t="shared" si="594"/>
        <v>0</v>
      </c>
      <c r="K554" s="637"/>
      <c r="L554" s="637"/>
      <c r="M554" s="867"/>
      <c r="N554" s="774">
        <f t="shared" si="595"/>
        <v>0</v>
      </c>
      <c r="O554" s="637"/>
      <c r="P554" s="637"/>
      <c r="Q554" s="866"/>
      <c r="R554" s="775">
        <f t="shared" si="596"/>
        <v>0</v>
      </c>
      <c r="S554" s="637"/>
      <c r="T554" s="637"/>
      <c r="U554" s="866"/>
      <c r="V554" s="775">
        <f t="shared" si="597"/>
        <v>0</v>
      </c>
      <c r="W554" s="637"/>
      <c r="X554" s="637"/>
      <c r="Y554" s="867"/>
      <c r="Z554" s="774">
        <f t="shared" si="598"/>
        <v>0</v>
      </c>
      <c r="AA554" s="5733"/>
      <c r="AB554" s="460">
        <f t="shared" si="599"/>
        <v>0</v>
      </c>
      <c r="AC554" s="637"/>
      <c r="AD554" s="637"/>
      <c r="AE554" s="866"/>
      <c r="AF554" s="775">
        <f t="shared" si="600"/>
        <v>0</v>
      </c>
      <c r="AG554" s="637"/>
      <c r="AH554" s="637"/>
      <c r="AK554" s="637"/>
      <c r="AL554" s="637"/>
      <c r="AM554" s="867"/>
      <c r="AN554" s="867"/>
      <c r="AQ554" s="637"/>
      <c r="AR554" s="637"/>
      <c r="AU554" s="637"/>
      <c r="AV554" s="637"/>
      <c r="AY554" s="637"/>
      <c r="AZ554" s="637"/>
      <c r="BA554" s="867"/>
      <c r="BB554" s="867"/>
      <c r="BC554" s="5733"/>
      <c r="BD554" s="5733"/>
      <c r="BG554" s="26">
        <f t="shared" si="605"/>
        <v>0</v>
      </c>
      <c r="BH554" s="26">
        <f t="shared" si="606"/>
        <v>0</v>
      </c>
      <c r="BI554" s="26"/>
      <c r="BJ554" s="26">
        <f t="shared" si="607"/>
        <v>0</v>
      </c>
      <c r="BK554" s="26">
        <f t="shared" si="608"/>
        <v>0</v>
      </c>
    </row>
    <row r="555" spans="1:63" ht="21" hidden="1" customHeight="1" x14ac:dyDescent="0.3">
      <c r="A555" s="151"/>
      <c r="B555" s="637"/>
      <c r="C555" s="637"/>
      <c r="D555" s="637"/>
      <c r="E555" s="637"/>
      <c r="F555" s="637"/>
      <c r="G555" s="637"/>
      <c r="H555" s="637"/>
      <c r="I555" s="866"/>
      <c r="J555" s="775">
        <f t="shared" si="594"/>
        <v>0</v>
      </c>
      <c r="K555" s="637"/>
      <c r="L555" s="637"/>
      <c r="M555" s="867"/>
      <c r="N555" s="774">
        <f t="shared" si="595"/>
        <v>0</v>
      </c>
      <c r="O555" s="637"/>
      <c r="P555" s="637"/>
      <c r="Q555" s="866"/>
      <c r="R555" s="775">
        <f t="shared" si="596"/>
        <v>0</v>
      </c>
      <c r="S555" s="637"/>
      <c r="T555" s="637"/>
      <c r="U555" s="866"/>
      <c r="V555" s="775">
        <f t="shared" si="597"/>
        <v>0</v>
      </c>
      <c r="W555" s="637"/>
      <c r="X555" s="637"/>
      <c r="Y555" s="867"/>
      <c r="Z555" s="774">
        <f t="shared" si="598"/>
        <v>0</v>
      </c>
      <c r="AA555" s="5733"/>
      <c r="AB555" s="460">
        <f t="shared" si="599"/>
        <v>0</v>
      </c>
      <c r="AC555" s="637"/>
      <c r="AD555" s="637"/>
      <c r="AE555" s="866"/>
      <c r="AF555" s="775">
        <f t="shared" si="600"/>
        <v>0</v>
      </c>
      <c r="AG555" s="637"/>
      <c r="AH555" s="637"/>
      <c r="AK555" s="637"/>
      <c r="AL555" s="637"/>
      <c r="AM555" s="867"/>
      <c r="AN555" s="867"/>
      <c r="AQ555" s="637"/>
      <c r="AR555" s="637"/>
      <c r="AU555" s="637"/>
      <c r="AV555" s="637"/>
      <c r="AY555" s="637"/>
      <c r="AZ555" s="637"/>
      <c r="BA555" s="867"/>
      <c r="BB555" s="867"/>
      <c r="BC555" s="5733"/>
      <c r="BD555" s="5733"/>
      <c r="BG555" s="26">
        <f t="shared" si="605"/>
        <v>0</v>
      </c>
      <c r="BH555" s="26">
        <f t="shared" si="606"/>
        <v>0</v>
      </c>
      <c r="BI555" s="26"/>
      <c r="BJ555" s="26">
        <f t="shared" si="607"/>
        <v>0</v>
      </c>
      <c r="BK555" s="26">
        <f t="shared" si="608"/>
        <v>0</v>
      </c>
    </row>
    <row r="556" spans="1:63" ht="21" hidden="1" customHeight="1" x14ac:dyDescent="0.3">
      <c r="A556" s="151"/>
      <c r="B556" s="637"/>
      <c r="C556" s="637"/>
      <c r="D556" s="637"/>
      <c r="E556" s="637"/>
      <c r="F556" s="637"/>
      <c r="G556" s="637"/>
      <c r="H556" s="637"/>
      <c r="I556" s="866"/>
      <c r="J556" s="775">
        <f t="shared" si="594"/>
        <v>0</v>
      </c>
      <c r="K556" s="637"/>
      <c r="L556" s="637"/>
      <c r="M556" s="867"/>
      <c r="N556" s="774">
        <f t="shared" si="595"/>
        <v>0</v>
      </c>
      <c r="O556" s="637"/>
      <c r="P556" s="637"/>
      <c r="Q556" s="866"/>
      <c r="R556" s="775">
        <f t="shared" si="596"/>
        <v>0</v>
      </c>
      <c r="S556" s="637"/>
      <c r="T556" s="637"/>
      <c r="U556" s="866"/>
      <c r="V556" s="775">
        <f t="shared" si="597"/>
        <v>0</v>
      </c>
      <c r="W556" s="637"/>
      <c r="X556" s="637"/>
      <c r="Y556" s="867"/>
      <c r="Z556" s="774">
        <f t="shared" si="598"/>
        <v>0</v>
      </c>
      <c r="AA556" s="5733"/>
      <c r="AB556" s="460">
        <f t="shared" si="599"/>
        <v>0</v>
      </c>
      <c r="AC556" s="637"/>
      <c r="AD556" s="637"/>
      <c r="AE556" s="866"/>
      <c r="AF556" s="775">
        <f t="shared" si="600"/>
        <v>0</v>
      </c>
      <c r="AG556" s="637"/>
      <c r="AH556" s="637"/>
      <c r="AK556" s="637"/>
      <c r="AL556" s="637"/>
      <c r="AM556" s="867"/>
      <c r="AN556" s="867"/>
      <c r="AQ556" s="637"/>
      <c r="AR556" s="637"/>
      <c r="AU556" s="637"/>
      <c r="AV556" s="637"/>
      <c r="AY556" s="637"/>
      <c r="AZ556" s="637"/>
      <c r="BA556" s="867"/>
      <c r="BB556" s="867"/>
      <c r="BC556" s="5733"/>
      <c r="BD556" s="5733"/>
      <c r="BG556" s="26">
        <f t="shared" si="605"/>
        <v>0</v>
      </c>
      <c r="BH556" s="26">
        <f t="shared" si="606"/>
        <v>0</v>
      </c>
      <c r="BI556" s="26"/>
      <c r="BJ556" s="26">
        <f t="shared" si="607"/>
        <v>0</v>
      </c>
      <c r="BK556" s="26">
        <f t="shared" si="608"/>
        <v>0</v>
      </c>
    </row>
    <row r="557" spans="1:63" ht="21" hidden="1" customHeight="1" x14ac:dyDescent="0.3">
      <c r="A557" s="151"/>
      <c r="B557" s="637"/>
      <c r="C557" s="637"/>
      <c r="D557" s="637"/>
      <c r="E557" s="637"/>
      <c r="F557" s="637"/>
      <c r="G557" s="637"/>
      <c r="H557" s="637"/>
      <c r="I557" s="866"/>
      <c r="J557" s="775">
        <f t="shared" si="594"/>
        <v>0</v>
      </c>
      <c r="K557" s="637"/>
      <c r="L557" s="637"/>
      <c r="M557" s="867"/>
      <c r="N557" s="774">
        <f t="shared" si="595"/>
        <v>0</v>
      </c>
      <c r="O557" s="637"/>
      <c r="P557" s="637"/>
      <c r="Q557" s="866"/>
      <c r="R557" s="775">
        <f t="shared" si="596"/>
        <v>0</v>
      </c>
      <c r="S557" s="637"/>
      <c r="T557" s="637"/>
      <c r="U557" s="866"/>
      <c r="V557" s="775">
        <f t="shared" si="597"/>
        <v>0</v>
      </c>
      <c r="W557" s="637"/>
      <c r="X557" s="637"/>
      <c r="Y557" s="867"/>
      <c r="Z557" s="774">
        <f t="shared" si="598"/>
        <v>0</v>
      </c>
      <c r="AA557" s="5733"/>
      <c r="AB557" s="460">
        <f t="shared" si="599"/>
        <v>0</v>
      </c>
      <c r="AC557" s="637"/>
      <c r="AD557" s="637"/>
      <c r="AE557" s="866"/>
      <c r="AF557" s="775">
        <f t="shared" si="600"/>
        <v>0</v>
      </c>
      <c r="AG557" s="637"/>
      <c r="AH557" s="637"/>
      <c r="AK557" s="637"/>
      <c r="AL557" s="637"/>
      <c r="AM557" s="867"/>
      <c r="AN557" s="867"/>
      <c r="AQ557" s="637"/>
      <c r="AR557" s="637"/>
      <c r="AU557" s="637"/>
      <c r="AV557" s="637"/>
      <c r="AY557" s="637"/>
      <c r="AZ557" s="637"/>
      <c r="BA557" s="867"/>
      <c r="BB557" s="867"/>
      <c r="BC557" s="5733"/>
      <c r="BD557" s="5733"/>
      <c r="BG557" s="26">
        <f t="shared" si="605"/>
        <v>0</v>
      </c>
      <c r="BH557" s="26">
        <f t="shared" si="606"/>
        <v>0</v>
      </c>
      <c r="BI557" s="26"/>
      <c r="BJ557" s="26">
        <f t="shared" si="607"/>
        <v>0</v>
      </c>
      <c r="BK557" s="26">
        <f t="shared" si="608"/>
        <v>0</v>
      </c>
    </row>
    <row r="558" spans="1:63" ht="21" hidden="1" customHeight="1" x14ac:dyDescent="0.3">
      <c r="A558" s="151"/>
      <c r="B558" s="637"/>
      <c r="C558" s="637"/>
      <c r="D558" s="637"/>
      <c r="E558" s="637"/>
      <c r="F558" s="637"/>
      <c r="G558" s="637"/>
      <c r="H558" s="637"/>
      <c r="I558" s="866"/>
      <c r="J558" s="775">
        <f t="shared" si="594"/>
        <v>0</v>
      </c>
      <c r="K558" s="637"/>
      <c r="L558" s="637"/>
      <c r="M558" s="867"/>
      <c r="N558" s="774">
        <f t="shared" si="595"/>
        <v>0</v>
      </c>
      <c r="O558" s="637"/>
      <c r="P558" s="637"/>
      <c r="Q558" s="866"/>
      <c r="R558" s="775">
        <f t="shared" si="596"/>
        <v>0</v>
      </c>
      <c r="S558" s="637"/>
      <c r="T558" s="637"/>
      <c r="U558" s="866"/>
      <c r="V558" s="775">
        <f t="shared" si="597"/>
        <v>0</v>
      </c>
      <c r="W558" s="637"/>
      <c r="X558" s="637"/>
      <c r="Y558" s="867"/>
      <c r="Z558" s="774">
        <f t="shared" si="598"/>
        <v>0</v>
      </c>
      <c r="AA558" s="5733"/>
      <c r="AB558" s="460">
        <f t="shared" si="599"/>
        <v>0</v>
      </c>
      <c r="AC558" s="637"/>
      <c r="AD558" s="637"/>
      <c r="AE558" s="866"/>
      <c r="AF558" s="775">
        <f t="shared" si="600"/>
        <v>0</v>
      </c>
      <c r="AG558" s="637"/>
      <c r="AH558" s="637"/>
      <c r="AK558" s="637"/>
      <c r="AL558" s="637"/>
      <c r="AM558" s="867"/>
      <c r="AN558" s="867"/>
      <c r="AQ558" s="637"/>
      <c r="AR558" s="637"/>
      <c r="AU558" s="637"/>
      <c r="AV558" s="637"/>
      <c r="AY558" s="637"/>
      <c r="AZ558" s="637"/>
      <c r="BA558" s="867"/>
      <c r="BB558" s="867"/>
      <c r="BC558" s="5733"/>
      <c r="BD558" s="5733"/>
      <c r="BG558" s="26">
        <f t="shared" si="605"/>
        <v>0</v>
      </c>
      <c r="BH558" s="26">
        <f t="shared" si="606"/>
        <v>0</v>
      </c>
      <c r="BI558" s="26"/>
      <c r="BJ558" s="26">
        <f t="shared" si="607"/>
        <v>0</v>
      </c>
      <c r="BK558" s="26">
        <f t="shared" si="608"/>
        <v>0</v>
      </c>
    </row>
    <row r="559" spans="1:63" ht="21" hidden="1" customHeight="1" x14ac:dyDescent="0.3">
      <c r="A559" s="151"/>
      <c r="B559" s="637"/>
      <c r="C559" s="637"/>
      <c r="D559" s="637"/>
      <c r="E559" s="637"/>
      <c r="F559" s="637"/>
      <c r="G559" s="637"/>
      <c r="H559" s="637"/>
      <c r="I559" s="866"/>
      <c r="J559" s="775">
        <f t="shared" si="594"/>
        <v>0</v>
      </c>
      <c r="K559" s="637"/>
      <c r="L559" s="637"/>
      <c r="M559" s="867"/>
      <c r="N559" s="774">
        <f t="shared" si="595"/>
        <v>0</v>
      </c>
      <c r="O559" s="637"/>
      <c r="P559" s="637"/>
      <c r="Q559" s="866"/>
      <c r="R559" s="775">
        <f t="shared" si="596"/>
        <v>0</v>
      </c>
      <c r="S559" s="637"/>
      <c r="T559" s="637"/>
      <c r="U559" s="866"/>
      <c r="V559" s="775">
        <f t="shared" si="597"/>
        <v>0</v>
      </c>
      <c r="W559" s="637"/>
      <c r="X559" s="637"/>
      <c r="Y559" s="867"/>
      <c r="Z559" s="774">
        <f t="shared" si="598"/>
        <v>0</v>
      </c>
      <c r="AA559" s="5733"/>
      <c r="AB559" s="460">
        <f t="shared" si="599"/>
        <v>0</v>
      </c>
      <c r="AC559" s="637"/>
      <c r="AD559" s="637"/>
      <c r="AE559" s="866"/>
      <c r="AF559" s="775">
        <f t="shared" si="600"/>
        <v>0</v>
      </c>
      <c r="AG559" s="637"/>
      <c r="AH559" s="637"/>
      <c r="AK559" s="637"/>
      <c r="AL559" s="637"/>
      <c r="AM559" s="867"/>
      <c r="AN559" s="867"/>
      <c r="AQ559" s="637"/>
      <c r="AR559" s="637"/>
      <c r="AU559" s="637"/>
      <c r="AV559" s="637"/>
      <c r="AY559" s="637"/>
      <c r="AZ559" s="637"/>
      <c r="BA559" s="867"/>
      <c r="BB559" s="867"/>
      <c r="BC559" s="5733"/>
      <c r="BD559" s="5733"/>
      <c r="BG559" s="26">
        <f t="shared" si="605"/>
        <v>0</v>
      </c>
      <c r="BH559" s="26">
        <f t="shared" si="606"/>
        <v>0</v>
      </c>
      <c r="BI559" s="26"/>
      <c r="BJ559" s="26">
        <f t="shared" si="607"/>
        <v>0</v>
      </c>
      <c r="BK559" s="26">
        <f t="shared" si="608"/>
        <v>0</v>
      </c>
    </row>
    <row r="560" spans="1:63" ht="21" hidden="1" customHeight="1" x14ac:dyDescent="0.3">
      <c r="A560" s="151"/>
      <c r="B560" s="637"/>
      <c r="C560" s="637"/>
      <c r="D560" s="637"/>
      <c r="E560" s="637"/>
      <c r="F560" s="637"/>
      <c r="G560" s="637"/>
      <c r="H560" s="637"/>
      <c r="I560" s="866"/>
      <c r="J560" s="775">
        <f t="shared" si="594"/>
        <v>0</v>
      </c>
      <c r="K560" s="637"/>
      <c r="L560" s="637"/>
      <c r="M560" s="867"/>
      <c r="N560" s="774">
        <f t="shared" si="595"/>
        <v>0</v>
      </c>
      <c r="O560" s="637"/>
      <c r="P560" s="637"/>
      <c r="Q560" s="866"/>
      <c r="R560" s="775">
        <f t="shared" si="596"/>
        <v>0</v>
      </c>
      <c r="S560" s="637"/>
      <c r="T560" s="637"/>
      <c r="U560" s="866"/>
      <c r="V560" s="775">
        <f t="shared" si="597"/>
        <v>0</v>
      </c>
      <c r="W560" s="637"/>
      <c r="X560" s="637"/>
      <c r="Y560" s="867"/>
      <c r="Z560" s="774">
        <f t="shared" si="598"/>
        <v>0</v>
      </c>
      <c r="AA560" s="5733"/>
      <c r="AB560" s="460">
        <f t="shared" si="599"/>
        <v>0</v>
      </c>
      <c r="AC560" s="637"/>
      <c r="AD560" s="637"/>
      <c r="AE560" s="866"/>
      <c r="AF560" s="775">
        <f t="shared" si="600"/>
        <v>0</v>
      </c>
      <c r="AG560" s="637"/>
      <c r="AH560" s="637"/>
      <c r="AK560" s="637"/>
      <c r="AL560" s="637"/>
      <c r="AM560" s="867"/>
      <c r="AN560" s="867"/>
      <c r="AQ560" s="637"/>
      <c r="AR560" s="637"/>
      <c r="AU560" s="637"/>
      <c r="AV560" s="637"/>
      <c r="AY560" s="637"/>
      <c r="AZ560" s="637"/>
      <c r="BA560" s="867"/>
      <c r="BB560" s="867"/>
      <c r="BC560" s="5733"/>
      <c r="BD560" s="5733"/>
      <c r="BG560" s="26">
        <f t="shared" si="605"/>
        <v>0</v>
      </c>
      <c r="BH560" s="26">
        <f t="shared" si="606"/>
        <v>0</v>
      </c>
      <c r="BI560" s="26"/>
      <c r="BJ560" s="26">
        <f t="shared" si="607"/>
        <v>0</v>
      </c>
      <c r="BK560" s="26">
        <f t="shared" si="608"/>
        <v>0</v>
      </c>
    </row>
    <row r="561" spans="1:63" ht="21" hidden="1" customHeight="1" x14ac:dyDescent="0.3">
      <c r="A561" s="151"/>
      <c r="B561" s="637"/>
      <c r="C561" s="637"/>
      <c r="D561" s="637"/>
      <c r="E561" s="637"/>
      <c r="F561" s="637"/>
      <c r="G561" s="637"/>
      <c r="H561" s="637"/>
      <c r="I561" s="866"/>
      <c r="J561" s="775">
        <f t="shared" si="594"/>
        <v>0</v>
      </c>
      <c r="K561" s="637"/>
      <c r="L561" s="637"/>
      <c r="M561" s="867"/>
      <c r="N561" s="774">
        <f t="shared" si="595"/>
        <v>0</v>
      </c>
      <c r="O561" s="637"/>
      <c r="P561" s="637"/>
      <c r="Q561" s="866"/>
      <c r="R561" s="775">
        <f t="shared" si="596"/>
        <v>0</v>
      </c>
      <c r="S561" s="637"/>
      <c r="T561" s="637"/>
      <c r="U561" s="866"/>
      <c r="V561" s="775">
        <f t="shared" si="597"/>
        <v>0</v>
      </c>
      <c r="W561" s="637"/>
      <c r="X561" s="637"/>
      <c r="Y561" s="867"/>
      <c r="Z561" s="774">
        <f t="shared" si="598"/>
        <v>0</v>
      </c>
      <c r="AA561" s="5733"/>
      <c r="AB561" s="460">
        <f t="shared" si="599"/>
        <v>0</v>
      </c>
      <c r="AC561" s="637"/>
      <c r="AD561" s="637"/>
      <c r="AE561" s="866"/>
      <c r="AF561" s="775">
        <f t="shared" si="600"/>
        <v>0</v>
      </c>
      <c r="AG561" s="637"/>
      <c r="AH561" s="637"/>
      <c r="AK561" s="637"/>
      <c r="AL561" s="637"/>
      <c r="AM561" s="867"/>
      <c r="AN561" s="867"/>
      <c r="AQ561" s="637"/>
      <c r="AR561" s="637"/>
      <c r="AU561" s="637"/>
      <c r="AV561" s="637"/>
      <c r="AY561" s="637"/>
      <c r="AZ561" s="637"/>
      <c r="BA561" s="867"/>
      <c r="BB561" s="867"/>
      <c r="BC561" s="5733"/>
      <c r="BD561" s="5733"/>
      <c r="BG561" s="26">
        <f t="shared" si="605"/>
        <v>0</v>
      </c>
      <c r="BH561" s="26">
        <f t="shared" si="606"/>
        <v>0</v>
      </c>
      <c r="BI561" s="26"/>
      <c r="BJ561" s="26">
        <f t="shared" si="607"/>
        <v>0</v>
      </c>
      <c r="BK561" s="26">
        <f t="shared" si="608"/>
        <v>0</v>
      </c>
    </row>
    <row r="562" spans="1:63" ht="21" hidden="1" customHeight="1" x14ac:dyDescent="0.3">
      <c r="A562" s="151"/>
      <c r="B562" s="637"/>
      <c r="C562" s="637"/>
      <c r="D562" s="637"/>
      <c r="E562" s="637"/>
      <c r="F562" s="637"/>
      <c r="G562" s="637"/>
      <c r="H562" s="637"/>
      <c r="I562" s="866"/>
      <c r="J562" s="775">
        <f t="shared" si="594"/>
        <v>0</v>
      </c>
      <c r="K562" s="637"/>
      <c r="L562" s="637"/>
      <c r="M562" s="867"/>
      <c r="N562" s="774">
        <f t="shared" si="595"/>
        <v>0</v>
      </c>
      <c r="O562" s="637"/>
      <c r="P562" s="637"/>
      <c r="Q562" s="866"/>
      <c r="R562" s="775">
        <f t="shared" si="596"/>
        <v>0</v>
      </c>
      <c r="S562" s="637"/>
      <c r="T562" s="637"/>
      <c r="U562" s="866"/>
      <c r="V562" s="775">
        <f t="shared" si="597"/>
        <v>0</v>
      </c>
      <c r="W562" s="637"/>
      <c r="X562" s="637"/>
      <c r="Y562" s="867"/>
      <c r="Z562" s="774">
        <f t="shared" si="598"/>
        <v>0</v>
      </c>
      <c r="AA562" s="5733"/>
      <c r="AB562" s="460">
        <f t="shared" si="599"/>
        <v>0</v>
      </c>
      <c r="AC562" s="637"/>
      <c r="AD562" s="637"/>
      <c r="AE562" s="866"/>
      <c r="AF562" s="775">
        <f t="shared" si="600"/>
        <v>0</v>
      </c>
      <c r="AG562" s="637"/>
      <c r="AH562" s="637"/>
      <c r="AK562" s="637"/>
      <c r="AL562" s="637"/>
      <c r="AM562" s="867"/>
      <c r="AN562" s="867"/>
      <c r="AQ562" s="637"/>
      <c r="AR562" s="637"/>
      <c r="AU562" s="637"/>
      <c r="AV562" s="637"/>
      <c r="AY562" s="637"/>
      <c r="AZ562" s="637"/>
      <c r="BA562" s="867"/>
      <c r="BB562" s="867"/>
      <c r="BC562" s="5733"/>
      <c r="BD562" s="5733"/>
      <c r="BG562" s="26">
        <f t="shared" si="605"/>
        <v>0</v>
      </c>
      <c r="BH562" s="26">
        <f t="shared" si="606"/>
        <v>0</v>
      </c>
      <c r="BI562" s="26"/>
      <c r="BJ562" s="26">
        <f t="shared" si="607"/>
        <v>0</v>
      </c>
      <c r="BK562" s="26">
        <f t="shared" si="608"/>
        <v>0</v>
      </c>
    </row>
    <row r="563" spans="1:63" ht="21" hidden="1" customHeight="1" x14ac:dyDescent="0.3">
      <c r="A563" s="151"/>
      <c r="B563" s="637"/>
      <c r="C563" s="637"/>
      <c r="D563" s="637"/>
      <c r="E563" s="637"/>
      <c r="F563" s="637"/>
      <c r="G563" s="637"/>
      <c r="H563" s="637"/>
      <c r="I563" s="866"/>
      <c r="J563" s="775">
        <f t="shared" si="594"/>
        <v>0</v>
      </c>
      <c r="K563" s="637"/>
      <c r="L563" s="637"/>
      <c r="M563" s="867"/>
      <c r="N563" s="774">
        <f t="shared" si="595"/>
        <v>0</v>
      </c>
      <c r="O563" s="637"/>
      <c r="P563" s="637"/>
      <c r="Q563" s="866"/>
      <c r="R563" s="775">
        <f t="shared" si="596"/>
        <v>0</v>
      </c>
      <c r="S563" s="637"/>
      <c r="T563" s="637"/>
      <c r="U563" s="866"/>
      <c r="V563" s="775">
        <f t="shared" si="597"/>
        <v>0</v>
      </c>
      <c r="W563" s="637"/>
      <c r="X563" s="637"/>
      <c r="Y563" s="867"/>
      <c r="Z563" s="774">
        <f t="shared" si="598"/>
        <v>0</v>
      </c>
      <c r="AA563" s="5733"/>
      <c r="AB563" s="460">
        <f t="shared" si="599"/>
        <v>0</v>
      </c>
      <c r="AC563" s="637"/>
      <c r="AD563" s="637"/>
      <c r="AE563" s="866"/>
      <c r="AF563" s="775">
        <f t="shared" si="600"/>
        <v>0</v>
      </c>
      <c r="AG563" s="637"/>
      <c r="AH563" s="637"/>
      <c r="AK563" s="637"/>
      <c r="AL563" s="637"/>
      <c r="AM563" s="867"/>
      <c r="AN563" s="867"/>
      <c r="AQ563" s="637"/>
      <c r="AR563" s="637"/>
      <c r="AU563" s="637"/>
      <c r="AV563" s="637"/>
      <c r="AY563" s="637"/>
      <c r="AZ563" s="637"/>
      <c r="BA563" s="867"/>
      <c r="BB563" s="867"/>
      <c r="BC563" s="5733"/>
      <c r="BD563" s="5733"/>
      <c r="BG563" s="26">
        <f t="shared" si="605"/>
        <v>0</v>
      </c>
      <c r="BH563" s="26">
        <f t="shared" si="606"/>
        <v>0</v>
      </c>
      <c r="BI563" s="26"/>
      <c r="BJ563" s="26">
        <f t="shared" si="607"/>
        <v>0</v>
      </c>
      <c r="BK563" s="26">
        <f t="shared" si="608"/>
        <v>0</v>
      </c>
    </row>
    <row r="564" spans="1:63" ht="21" hidden="1" customHeight="1" x14ac:dyDescent="0.3">
      <c r="A564" s="151"/>
      <c r="B564" s="637"/>
      <c r="C564" s="637"/>
      <c r="D564" s="637"/>
      <c r="E564" s="637"/>
      <c r="F564" s="637"/>
      <c r="G564" s="637"/>
      <c r="H564" s="637"/>
      <c r="I564" s="866"/>
      <c r="J564" s="775">
        <f t="shared" si="594"/>
        <v>0</v>
      </c>
      <c r="K564" s="637"/>
      <c r="L564" s="637"/>
      <c r="M564" s="867"/>
      <c r="N564" s="774">
        <f t="shared" si="595"/>
        <v>0</v>
      </c>
      <c r="O564" s="637"/>
      <c r="P564" s="637"/>
      <c r="Q564" s="866"/>
      <c r="R564" s="775">
        <f t="shared" si="596"/>
        <v>0</v>
      </c>
      <c r="S564" s="637"/>
      <c r="T564" s="637"/>
      <c r="U564" s="866"/>
      <c r="V564" s="775">
        <f t="shared" si="597"/>
        <v>0</v>
      </c>
      <c r="W564" s="637"/>
      <c r="X564" s="637"/>
      <c r="Y564" s="867"/>
      <c r="Z564" s="774">
        <f t="shared" si="598"/>
        <v>0</v>
      </c>
      <c r="AA564" s="5733"/>
      <c r="AB564" s="460">
        <f t="shared" si="599"/>
        <v>0</v>
      </c>
      <c r="AC564" s="637"/>
      <c r="AD564" s="637"/>
      <c r="AE564" s="866"/>
      <c r="AF564" s="775">
        <f t="shared" si="600"/>
        <v>0</v>
      </c>
      <c r="AG564" s="637"/>
      <c r="AH564" s="637"/>
      <c r="AK564" s="637"/>
      <c r="AL564" s="637"/>
      <c r="AM564" s="867"/>
      <c r="AN564" s="867"/>
      <c r="AQ564" s="637"/>
      <c r="AR564" s="637"/>
      <c r="AU564" s="637"/>
      <c r="AV564" s="637"/>
      <c r="AY564" s="637"/>
      <c r="AZ564" s="637"/>
      <c r="BA564" s="867"/>
      <c r="BB564" s="867"/>
      <c r="BC564" s="5733"/>
      <c r="BD564" s="5733"/>
      <c r="BG564" s="26">
        <f t="shared" si="605"/>
        <v>0</v>
      </c>
      <c r="BH564" s="26">
        <f t="shared" si="606"/>
        <v>0</v>
      </c>
      <c r="BI564" s="26"/>
      <c r="BJ564" s="26">
        <f t="shared" si="607"/>
        <v>0</v>
      </c>
      <c r="BK564" s="26">
        <f t="shared" si="608"/>
        <v>0</v>
      </c>
    </row>
    <row r="565" spans="1:63" ht="21" hidden="1" customHeight="1" x14ac:dyDescent="0.3">
      <c r="A565" s="151"/>
      <c r="B565" s="637"/>
      <c r="C565" s="637"/>
      <c r="D565" s="637"/>
      <c r="E565" s="637"/>
      <c r="F565" s="637"/>
      <c r="G565" s="637"/>
      <c r="H565" s="637"/>
      <c r="I565" s="866"/>
      <c r="J565" s="775">
        <f t="shared" si="594"/>
        <v>0</v>
      </c>
      <c r="K565" s="637"/>
      <c r="L565" s="637"/>
      <c r="M565" s="867"/>
      <c r="N565" s="774">
        <f t="shared" si="595"/>
        <v>0</v>
      </c>
      <c r="O565" s="637"/>
      <c r="P565" s="637"/>
      <c r="Q565" s="866"/>
      <c r="R565" s="775">
        <f t="shared" si="596"/>
        <v>0</v>
      </c>
      <c r="S565" s="637"/>
      <c r="T565" s="637"/>
      <c r="U565" s="866"/>
      <c r="V565" s="775">
        <f t="shared" si="597"/>
        <v>0</v>
      </c>
      <c r="W565" s="637"/>
      <c r="X565" s="637"/>
      <c r="Y565" s="867"/>
      <c r="Z565" s="774">
        <f t="shared" si="598"/>
        <v>0</v>
      </c>
      <c r="AA565" s="5733"/>
      <c r="AB565" s="460">
        <f t="shared" si="599"/>
        <v>0</v>
      </c>
      <c r="AC565" s="637"/>
      <c r="AD565" s="637"/>
      <c r="AE565" s="866"/>
      <c r="AF565" s="775">
        <f t="shared" si="600"/>
        <v>0</v>
      </c>
      <c r="AG565" s="637"/>
      <c r="AH565" s="637"/>
      <c r="AK565" s="637"/>
      <c r="AL565" s="637"/>
      <c r="AM565" s="867"/>
      <c r="AN565" s="867"/>
      <c r="AQ565" s="637"/>
      <c r="AR565" s="637"/>
      <c r="AU565" s="637"/>
      <c r="AV565" s="637"/>
      <c r="AY565" s="637"/>
      <c r="AZ565" s="637"/>
      <c r="BA565" s="867"/>
      <c r="BB565" s="867"/>
      <c r="BC565" s="5733"/>
      <c r="BD565" s="5733"/>
      <c r="BG565" s="26">
        <f t="shared" si="605"/>
        <v>0</v>
      </c>
      <c r="BH565" s="26">
        <f t="shared" si="606"/>
        <v>0</v>
      </c>
      <c r="BI565" s="26"/>
      <c r="BJ565" s="26">
        <f t="shared" si="607"/>
        <v>0</v>
      </c>
      <c r="BK565" s="26">
        <f t="shared" si="608"/>
        <v>0</v>
      </c>
    </row>
    <row r="566" spans="1:63" ht="21" hidden="1" customHeight="1" x14ac:dyDescent="0.3">
      <c r="A566" s="151"/>
      <c r="B566" s="637"/>
      <c r="C566" s="637"/>
      <c r="D566" s="637"/>
      <c r="E566" s="637"/>
      <c r="F566" s="637"/>
      <c r="G566" s="637"/>
      <c r="H566" s="637"/>
      <c r="I566" s="866"/>
      <c r="J566" s="775">
        <f t="shared" si="594"/>
        <v>0</v>
      </c>
      <c r="K566" s="637"/>
      <c r="L566" s="637"/>
      <c r="M566" s="867"/>
      <c r="N566" s="774">
        <f t="shared" si="595"/>
        <v>0</v>
      </c>
      <c r="O566" s="637"/>
      <c r="P566" s="637"/>
      <c r="Q566" s="866"/>
      <c r="R566" s="775">
        <f t="shared" si="596"/>
        <v>0</v>
      </c>
      <c r="S566" s="637"/>
      <c r="T566" s="637"/>
      <c r="U566" s="866"/>
      <c r="V566" s="775">
        <f t="shared" si="597"/>
        <v>0</v>
      </c>
      <c r="W566" s="637"/>
      <c r="X566" s="637"/>
      <c r="Y566" s="867"/>
      <c r="Z566" s="774">
        <f t="shared" si="598"/>
        <v>0</v>
      </c>
      <c r="AA566" s="5733"/>
      <c r="AB566" s="460">
        <f t="shared" si="599"/>
        <v>0</v>
      </c>
      <c r="AC566" s="637"/>
      <c r="AD566" s="637"/>
      <c r="AE566" s="866"/>
      <c r="AF566" s="775">
        <f t="shared" si="600"/>
        <v>0</v>
      </c>
      <c r="AG566" s="637"/>
      <c r="AH566" s="637"/>
      <c r="AK566" s="637"/>
      <c r="AL566" s="637"/>
      <c r="AM566" s="867"/>
      <c r="AN566" s="867"/>
      <c r="AQ566" s="637"/>
      <c r="AR566" s="637"/>
      <c r="AU566" s="637"/>
      <c r="AV566" s="637"/>
      <c r="AY566" s="637"/>
      <c r="AZ566" s="637"/>
      <c r="BA566" s="867"/>
      <c r="BB566" s="867"/>
      <c r="BC566" s="5733"/>
      <c r="BD566" s="5733"/>
      <c r="BG566" s="26">
        <f t="shared" si="605"/>
        <v>0</v>
      </c>
      <c r="BH566" s="26">
        <f t="shared" si="606"/>
        <v>0</v>
      </c>
      <c r="BI566" s="26"/>
      <c r="BJ566" s="26">
        <f t="shared" si="607"/>
        <v>0</v>
      </c>
      <c r="BK566" s="26">
        <f t="shared" si="608"/>
        <v>0</v>
      </c>
    </row>
    <row r="567" spans="1:63" ht="21" hidden="1" customHeight="1" x14ac:dyDescent="0.3">
      <c r="A567" s="151"/>
      <c r="B567" s="637"/>
      <c r="C567" s="637"/>
      <c r="D567" s="637"/>
      <c r="E567" s="637"/>
      <c r="F567" s="637"/>
      <c r="G567" s="637"/>
      <c r="H567" s="637"/>
      <c r="I567" s="866"/>
      <c r="J567" s="775">
        <f t="shared" si="594"/>
        <v>0</v>
      </c>
      <c r="K567" s="637"/>
      <c r="L567" s="637"/>
      <c r="M567" s="867"/>
      <c r="N567" s="774">
        <f t="shared" si="595"/>
        <v>0</v>
      </c>
      <c r="O567" s="637"/>
      <c r="P567" s="637"/>
      <c r="Q567" s="866"/>
      <c r="R567" s="775">
        <f t="shared" si="596"/>
        <v>0</v>
      </c>
      <c r="S567" s="637"/>
      <c r="T567" s="637"/>
      <c r="U567" s="866"/>
      <c r="V567" s="775">
        <f t="shared" si="597"/>
        <v>0</v>
      </c>
      <c r="W567" s="637"/>
      <c r="X567" s="637"/>
      <c r="Y567" s="867"/>
      <c r="Z567" s="774">
        <f t="shared" si="598"/>
        <v>0</v>
      </c>
      <c r="AA567" s="5733"/>
      <c r="AB567" s="460">
        <f t="shared" si="599"/>
        <v>0</v>
      </c>
      <c r="AC567" s="637"/>
      <c r="AD567" s="637"/>
      <c r="AE567" s="866"/>
      <c r="AF567" s="775">
        <f t="shared" si="600"/>
        <v>0</v>
      </c>
      <c r="AG567" s="637"/>
      <c r="AH567" s="637"/>
      <c r="AK567" s="637"/>
      <c r="AL567" s="637"/>
      <c r="AM567" s="867"/>
      <c r="AN567" s="867"/>
      <c r="AQ567" s="637"/>
      <c r="AR567" s="637"/>
      <c r="AU567" s="637"/>
      <c r="AV567" s="637"/>
      <c r="AY567" s="637"/>
      <c r="AZ567" s="637"/>
      <c r="BA567" s="867"/>
      <c r="BB567" s="867"/>
      <c r="BC567" s="5733"/>
      <c r="BD567" s="5733"/>
      <c r="BG567" s="26">
        <f t="shared" si="605"/>
        <v>0</v>
      </c>
      <c r="BH567" s="26">
        <f t="shared" si="606"/>
        <v>0</v>
      </c>
      <c r="BI567" s="26"/>
      <c r="BJ567" s="26">
        <f t="shared" si="607"/>
        <v>0</v>
      </c>
      <c r="BK567" s="26">
        <f t="shared" si="608"/>
        <v>0</v>
      </c>
    </row>
    <row r="568" spans="1:63" ht="21" hidden="1" customHeight="1" x14ac:dyDescent="0.3">
      <c r="A568" s="151"/>
      <c r="B568" s="637"/>
      <c r="C568" s="637"/>
      <c r="D568" s="637"/>
      <c r="E568" s="637"/>
      <c r="F568" s="637"/>
      <c r="G568" s="637"/>
      <c r="H568" s="637"/>
      <c r="I568" s="866"/>
      <c r="J568" s="775">
        <f t="shared" ref="J568:J594" si="609">F568+H568</f>
        <v>0</v>
      </c>
      <c r="K568" s="637"/>
      <c r="L568" s="637"/>
      <c r="M568" s="867"/>
      <c r="N568" s="774">
        <f t="shared" ref="N568:N594" si="610">J568+L568</f>
        <v>0</v>
      </c>
      <c r="O568" s="637"/>
      <c r="P568" s="637"/>
      <c r="Q568" s="866"/>
      <c r="R568" s="775">
        <f t="shared" ref="R568:R594" si="611">N568+P568</f>
        <v>0</v>
      </c>
      <c r="S568" s="637"/>
      <c r="T568" s="637"/>
      <c r="U568" s="866"/>
      <c r="V568" s="775">
        <f t="shared" ref="V568:V594" si="612">R568+T568</f>
        <v>0</v>
      </c>
      <c r="W568" s="637"/>
      <c r="X568" s="637"/>
      <c r="Y568" s="867"/>
      <c r="Z568" s="774">
        <f t="shared" ref="Z568:Z594" si="613">P568+T568+X568</f>
        <v>0</v>
      </c>
      <c r="AA568" s="5733"/>
      <c r="AB568" s="460">
        <f t="shared" ref="AB568:AB594" si="614">N568+Z568</f>
        <v>0</v>
      </c>
      <c r="AC568" s="637"/>
      <c r="AD568" s="637"/>
      <c r="AE568" s="866"/>
      <c r="AF568" s="775">
        <f t="shared" ref="AF568:AF594" si="615">AB568+AD568</f>
        <v>0</v>
      </c>
      <c r="AG568" s="637"/>
      <c r="AH568" s="637"/>
      <c r="AK568" s="637"/>
      <c r="AL568" s="637"/>
      <c r="AM568" s="867"/>
      <c r="AN568" s="867"/>
      <c r="AQ568" s="637"/>
      <c r="AR568" s="637"/>
      <c r="AU568" s="637"/>
      <c r="AV568" s="637"/>
      <c r="AY568" s="637"/>
      <c r="AZ568" s="637"/>
      <c r="BA568" s="867"/>
      <c r="BB568" s="867"/>
      <c r="BC568" s="5733"/>
      <c r="BD568" s="5733"/>
      <c r="BG568" s="26">
        <f t="shared" si="605"/>
        <v>0</v>
      </c>
      <c r="BH568" s="26">
        <f t="shared" si="606"/>
        <v>0</v>
      </c>
      <c r="BI568" s="26"/>
      <c r="BJ568" s="26">
        <f t="shared" si="607"/>
        <v>0</v>
      </c>
      <c r="BK568" s="26">
        <f t="shared" si="608"/>
        <v>0</v>
      </c>
    </row>
    <row r="569" spans="1:63" ht="21" hidden="1" customHeight="1" x14ac:dyDescent="0.3">
      <c r="A569" s="151"/>
      <c r="B569" s="637"/>
      <c r="C569" s="637"/>
      <c r="D569" s="637"/>
      <c r="E569" s="637"/>
      <c r="F569" s="637"/>
      <c r="G569" s="637"/>
      <c r="H569" s="637"/>
      <c r="I569" s="866"/>
      <c r="J569" s="775">
        <f t="shared" si="609"/>
        <v>0</v>
      </c>
      <c r="K569" s="637"/>
      <c r="L569" s="637"/>
      <c r="M569" s="867"/>
      <c r="N569" s="774">
        <f t="shared" si="610"/>
        <v>0</v>
      </c>
      <c r="O569" s="637"/>
      <c r="P569" s="637"/>
      <c r="Q569" s="866"/>
      <c r="R569" s="775">
        <f t="shared" si="611"/>
        <v>0</v>
      </c>
      <c r="S569" s="637"/>
      <c r="T569" s="637"/>
      <c r="U569" s="866"/>
      <c r="V569" s="775">
        <f t="shared" si="612"/>
        <v>0</v>
      </c>
      <c r="W569" s="637"/>
      <c r="X569" s="637"/>
      <c r="Y569" s="867"/>
      <c r="Z569" s="774">
        <f t="shared" si="613"/>
        <v>0</v>
      </c>
      <c r="AA569" s="5733"/>
      <c r="AB569" s="460">
        <f t="shared" si="614"/>
        <v>0</v>
      </c>
      <c r="AC569" s="637"/>
      <c r="AD569" s="637"/>
      <c r="AE569" s="866"/>
      <c r="AF569" s="775">
        <f t="shared" si="615"/>
        <v>0</v>
      </c>
      <c r="AG569" s="637"/>
      <c r="AH569" s="637"/>
      <c r="AK569" s="637"/>
      <c r="AL569" s="637"/>
      <c r="AM569" s="867"/>
      <c r="AN569" s="867"/>
      <c r="AQ569" s="637"/>
      <c r="AR569" s="637"/>
      <c r="AU569" s="637"/>
      <c r="AV569" s="637"/>
      <c r="AY569" s="637"/>
      <c r="AZ569" s="637"/>
      <c r="BA569" s="867"/>
      <c r="BB569" s="867"/>
      <c r="BC569" s="5733"/>
      <c r="BD569" s="5733"/>
      <c r="BG569" s="26">
        <f t="shared" si="605"/>
        <v>0</v>
      </c>
      <c r="BH569" s="26">
        <f t="shared" si="606"/>
        <v>0</v>
      </c>
      <c r="BI569" s="26"/>
      <c r="BJ569" s="26">
        <f t="shared" si="607"/>
        <v>0</v>
      </c>
      <c r="BK569" s="26">
        <f t="shared" si="608"/>
        <v>0</v>
      </c>
    </row>
    <row r="570" spans="1:63" ht="21" hidden="1" customHeight="1" x14ac:dyDescent="0.3">
      <c r="A570" s="151"/>
      <c r="B570" s="637"/>
      <c r="C570" s="637"/>
      <c r="D570" s="637"/>
      <c r="E570" s="637"/>
      <c r="F570" s="637"/>
      <c r="G570" s="637"/>
      <c r="H570" s="637"/>
      <c r="I570" s="866"/>
      <c r="J570" s="775">
        <f t="shared" si="609"/>
        <v>0</v>
      </c>
      <c r="K570" s="637"/>
      <c r="L570" s="637"/>
      <c r="M570" s="867"/>
      <c r="N570" s="774">
        <f t="shared" si="610"/>
        <v>0</v>
      </c>
      <c r="O570" s="637"/>
      <c r="P570" s="637"/>
      <c r="Q570" s="866"/>
      <c r="R570" s="775">
        <f t="shared" si="611"/>
        <v>0</v>
      </c>
      <c r="S570" s="637"/>
      <c r="T570" s="637"/>
      <c r="U570" s="866"/>
      <c r="V570" s="775">
        <f t="shared" si="612"/>
        <v>0</v>
      </c>
      <c r="W570" s="637"/>
      <c r="X570" s="637"/>
      <c r="Y570" s="867"/>
      <c r="Z570" s="774">
        <f t="shared" si="613"/>
        <v>0</v>
      </c>
      <c r="AA570" s="5733"/>
      <c r="AB570" s="460">
        <f t="shared" si="614"/>
        <v>0</v>
      </c>
      <c r="AC570" s="637"/>
      <c r="AD570" s="637"/>
      <c r="AE570" s="866"/>
      <c r="AF570" s="775">
        <f t="shared" si="615"/>
        <v>0</v>
      </c>
      <c r="AG570" s="637"/>
      <c r="AH570" s="637"/>
      <c r="AK570" s="637"/>
      <c r="AL570" s="637"/>
      <c r="AM570" s="867"/>
      <c r="AN570" s="867"/>
      <c r="AQ570" s="637"/>
      <c r="AR570" s="637"/>
      <c r="AU570" s="637"/>
      <c r="AV570" s="637"/>
      <c r="AY570" s="637"/>
      <c r="AZ570" s="637"/>
      <c r="BA570" s="867"/>
      <c r="BB570" s="867"/>
      <c r="BC570" s="5733"/>
      <c r="BD570" s="5733"/>
      <c r="BG570" s="26">
        <f t="shared" si="605"/>
        <v>0</v>
      </c>
      <c r="BH570" s="26">
        <f t="shared" si="606"/>
        <v>0</v>
      </c>
      <c r="BI570" s="26"/>
      <c r="BJ570" s="26">
        <f t="shared" si="607"/>
        <v>0</v>
      </c>
      <c r="BK570" s="26">
        <f t="shared" si="608"/>
        <v>0</v>
      </c>
    </row>
    <row r="571" spans="1:63" ht="21" hidden="1" customHeight="1" x14ac:dyDescent="0.3">
      <c r="A571" s="151"/>
      <c r="B571" s="637"/>
      <c r="C571" s="637"/>
      <c r="D571" s="637"/>
      <c r="E571" s="637"/>
      <c r="F571" s="637"/>
      <c r="G571" s="637"/>
      <c r="H571" s="637"/>
      <c r="I571" s="866"/>
      <c r="J571" s="775">
        <f t="shared" si="609"/>
        <v>0</v>
      </c>
      <c r="K571" s="637"/>
      <c r="L571" s="637"/>
      <c r="M571" s="867"/>
      <c r="N571" s="774">
        <f t="shared" si="610"/>
        <v>0</v>
      </c>
      <c r="O571" s="637"/>
      <c r="P571" s="637"/>
      <c r="Q571" s="866"/>
      <c r="R571" s="775">
        <f t="shared" si="611"/>
        <v>0</v>
      </c>
      <c r="S571" s="637"/>
      <c r="T571" s="637"/>
      <c r="U571" s="866"/>
      <c r="V571" s="775">
        <f t="shared" si="612"/>
        <v>0</v>
      </c>
      <c r="W571" s="637"/>
      <c r="X571" s="637"/>
      <c r="Y571" s="867"/>
      <c r="Z571" s="774">
        <f t="shared" si="613"/>
        <v>0</v>
      </c>
      <c r="AA571" s="5733"/>
      <c r="AB571" s="460">
        <f t="shared" si="614"/>
        <v>0</v>
      </c>
      <c r="AC571" s="637"/>
      <c r="AD571" s="637"/>
      <c r="AE571" s="866"/>
      <c r="AF571" s="775">
        <f t="shared" si="615"/>
        <v>0</v>
      </c>
      <c r="AG571" s="637"/>
      <c r="AH571" s="637"/>
      <c r="AK571" s="637"/>
      <c r="AL571" s="637"/>
      <c r="AM571" s="867"/>
      <c r="AN571" s="867"/>
      <c r="AQ571" s="637"/>
      <c r="AR571" s="637"/>
      <c r="AU571" s="637"/>
      <c r="AV571" s="637"/>
      <c r="AY571" s="637"/>
      <c r="AZ571" s="637"/>
      <c r="BA571" s="867"/>
      <c r="BB571" s="867"/>
      <c r="BC571" s="5733"/>
      <c r="BD571" s="5733"/>
      <c r="BG571" s="26">
        <f t="shared" si="605"/>
        <v>0</v>
      </c>
      <c r="BH571" s="26">
        <f t="shared" si="606"/>
        <v>0</v>
      </c>
      <c r="BI571" s="26"/>
      <c r="BJ571" s="26">
        <f t="shared" si="607"/>
        <v>0</v>
      </c>
      <c r="BK571" s="26">
        <f t="shared" si="608"/>
        <v>0</v>
      </c>
    </row>
    <row r="572" spans="1:63" ht="21" hidden="1" customHeight="1" x14ac:dyDescent="0.3">
      <c r="A572" s="151"/>
      <c r="B572" s="637"/>
      <c r="C572" s="637"/>
      <c r="D572" s="637"/>
      <c r="E572" s="637"/>
      <c r="F572" s="637"/>
      <c r="G572" s="637"/>
      <c r="H572" s="637"/>
      <c r="I572" s="866"/>
      <c r="J572" s="775">
        <f t="shared" si="609"/>
        <v>0</v>
      </c>
      <c r="K572" s="637"/>
      <c r="L572" s="637"/>
      <c r="M572" s="867"/>
      <c r="N572" s="774">
        <f t="shared" si="610"/>
        <v>0</v>
      </c>
      <c r="O572" s="637"/>
      <c r="P572" s="637"/>
      <c r="Q572" s="866"/>
      <c r="R572" s="775">
        <f t="shared" si="611"/>
        <v>0</v>
      </c>
      <c r="S572" s="637"/>
      <c r="T572" s="637"/>
      <c r="U572" s="866"/>
      <c r="V572" s="775">
        <f t="shared" si="612"/>
        <v>0</v>
      </c>
      <c r="W572" s="637"/>
      <c r="X572" s="637"/>
      <c r="Y572" s="867"/>
      <c r="Z572" s="774">
        <f t="shared" si="613"/>
        <v>0</v>
      </c>
      <c r="AA572" s="5733"/>
      <c r="AB572" s="460">
        <f t="shared" si="614"/>
        <v>0</v>
      </c>
      <c r="AC572" s="637"/>
      <c r="AD572" s="637"/>
      <c r="AE572" s="866"/>
      <c r="AF572" s="775">
        <f t="shared" si="615"/>
        <v>0</v>
      </c>
      <c r="AG572" s="637"/>
      <c r="AH572" s="637"/>
      <c r="AK572" s="637"/>
      <c r="AL572" s="637"/>
      <c r="AM572" s="867"/>
      <c r="AN572" s="867"/>
      <c r="AQ572" s="637"/>
      <c r="AR572" s="637"/>
      <c r="AU572" s="637"/>
      <c r="AV572" s="637"/>
      <c r="AY572" s="637"/>
      <c r="AZ572" s="637"/>
      <c r="BA572" s="867"/>
      <c r="BB572" s="867"/>
      <c r="BC572" s="5733"/>
      <c r="BD572" s="5733"/>
      <c r="BG572" s="26">
        <f t="shared" si="605"/>
        <v>0</v>
      </c>
      <c r="BH572" s="26">
        <f t="shared" si="606"/>
        <v>0</v>
      </c>
      <c r="BI572" s="26"/>
      <c r="BJ572" s="26">
        <f t="shared" si="607"/>
        <v>0</v>
      </c>
      <c r="BK572" s="26">
        <f t="shared" si="608"/>
        <v>0</v>
      </c>
    </row>
    <row r="573" spans="1:63" ht="21" hidden="1" customHeight="1" x14ac:dyDescent="0.3">
      <c r="A573" s="151"/>
      <c r="B573" s="637"/>
      <c r="C573" s="637"/>
      <c r="D573" s="637"/>
      <c r="E573" s="637"/>
      <c r="F573" s="637"/>
      <c r="G573" s="637"/>
      <c r="H573" s="637"/>
      <c r="I573" s="866"/>
      <c r="J573" s="775">
        <f t="shared" si="609"/>
        <v>0</v>
      </c>
      <c r="K573" s="637"/>
      <c r="L573" s="637"/>
      <c r="M573" s="867"/>
      <c r="N573" s="774">
        <f t="shared" si="610"/>
        <v>0</v>
      </c>
      <c r="O573" s="637"/>
      <c r="P573" s="637"/>
      <c r="Q573" s="866"/>
      <c r="R573" s="775">
        <f t="shared" si="611"/>
        <v>0</v>
      </c>
      <c r="S573" s="637"/>
      <c r="T573" s="637"/>
      <c r="U573" s="866"/>
      <c r="V573" s="775">
        <f t="shared" si="612"/>
        <v>0</v>
      </c>
      <c r="W573" s="637"/>
      <c r="X573" s="637"/>
      <c r="Y573" s="867"/>
      <c r="Z573" s="774">
        <f t="shared" si="613"/>
        <v>0</v>
      </c>
      <c r="AA573" s="5733"/>
      <c r="AB573" s="460">
        <f t="shared" si="614"/>
        <v>0</v>
      </c>
      <c r="AC573" s="637"/>
      <c r="AD573" s="637"/>
      <c r="AE573" s="866"/>
      <c r="AF573" s="775">
        <f t="shared" si="615"/>
        <v>0</v>
      </c>
      <c r="AG573" s="637"/>
      <c r="AH573" s="637"/>
      <c r="AK573" s="637"/>
      <c r="AL573" s="637"/>
      <c r="AM573" s="867"/>
      <c r="AN573" s="867"/>
      <c r="AQ573" s="637"/>
      <c r="AR573" s="637"/>
      <c r="AU573" s="637"/>
      <c r="AV573" s="637"/>
      <c r="AY573" s="637"/>
      <c r="AZ573" s="637"/>
      <c r="BA573" s="867"/>
      <c r="BB573" s="867"/>
      <c r="BC573" s="5733"/>
      <c r="BD573" s="5733"/>
      <c r="BG573" s="26">
        <f t="shared" si="605"/>
        <v>0</v>
      </c>
      <c r="BH573" s="26">
        <f t="shared" si="606"/>
        <v>0</v>
      </c>
      <c r="BI573" s="26"/>
      <c r="BJ573" s="26">
        <f t="shared" si="607"/>
        <v>0</v>
      </c>
      <c r="BK573" s="26">
        <f t="shared" si="608"/>
        <v>0</v>
      </c>
    </row>
    <row r="574" spans="1:63" ht="21" hidden="1" customHeight="1" x14ac:dyDescent="0.3">
      <c r="A574" s="151"/>
      <c r="B574" s="637"/>
      <c r="C574" s="637"/>
      <c r="D574" s="637"/>
      <c r="E574" s="637"/>
      <c r="F574" s="637"/>
      <c r="G574" s="637"/>
      <c r="H574" s="637"/>
      <c r="I574" s="866"/>
      <c r="J574" s="775">
        <f t="shared" si="609"/>
        <v>0</v>
      </c>
      <c r="K574" s="637"/>
      <c r="L574" s="637"/>
      <c r="M574" s="867"/>
      <c r="N574" s="774">
        <f t="shared" si="610"/>
        <v>0</v>
      </c>
      <c r="O574" s="637"/>
      <c r="P574" s="637"/>
      <c r="Q574" s="866"/>
      <c r="R574" s="775">
        <f t="shared" si="611"/>
        <v>0</v>
      </c>
      <c r="S574" s="637"/>
      <c r="T574" s="637"/>
      <c r="U574" s="866"/>
      <c r="V574" s="775">
        <f t="shared" si="612"/>
        <v>0</v>
      </c>
      <c r="W574" s="637"/>
      <c r="X574" s="637"/>
      <c r="Y574" s="867"/>
      <c r="Z574" s="774">
        <f t="shared" si="613"/>
        <v>0</v>
      </c>
      <c r="AA574" s="5733"/>
      <c r="AB574" s="460">
        <f t="shared" si="614"/>
        <v>0</v>
      </c>
      <c r="AC574" s="637"/>
      <c r="AD574" s="637"/>
      <c r="AE574" s="866"/>
      <c r="AF574" s="775">
        <f t="shared" si="615"/>
        <v>0</v>
      </c>
      <c r="AG574" s="637"/>
      <c r="AH574" s="637"/>
      <c r="AK574" s="637"/>
      <c r="AL574" s="637"/>
      <c r="AM574" s="867"/>
      <c r="AN574" s="867"/>
      <c r="AQ574" s="637"/>
      <c r="AR574" s="637"/>
      <c r="AU574" s="637"/>
      <c r="AV574" s="637"/>
      <c r="AY574" s="637"/>
      <c r="AZ574" s="637"/>
      <c r="BA574" s="867"/>
      <c r="BB574" s="867"/>
      <c r="BC574" s="5733"/>
      <c r="BD574" s="5733"/>
      <c r="BG574" s="26">
        <f t="shared" si="605"/>
        <v>0</v>
      </c>
      <c r="BH574" s="26">
        <f t="shared" si="606"/>
        <v>0</v>
      </c>
      <c r="BI574" s="26"/>
      <c r="BJ574" s="26">
        <f t="shared" si="607"/>
        <v>0</v>
      </c>
      <c r="BK574" s="26">
        <f t="shared" si="608"/>
        <v>0</v>
      </c>
    </row>
    <row r="575" spans="1:63" ht="21" hidden="1" customHeight="1" x14ac:dyDescent="0.3">
      <c r="A575" s="151"/>
      <c r="B575" s="637"/>
      <c r="C575" s="637"/>
      <c r="D575" s="637"/>
      <c r="E575" s="637"/>
      <c r="F575" s="637"/>
      <c r="G575" s="637"/>
      <c r="H575" s="637"/>
      <c r="I575" s="866"/>
      <c r="J575" s="775">
        <f t="shared" si="609"/>
        <v>0</v>
      </c>
      <c r="K575" s="637"/>
      <c r="L575" s="637"/>
      <c r="M575" s="867"/>
      <c r="N575" s="774">
        <f t="shared" si="610"/>
        <v>0</v>
      </c>
      <c r="O575" s="637"/>
      <c r="P575" s="637"/>
      <c r="Q575" s="866"/>
      <c r="R575" s="775">
        <f t="shared" si="611"/>
        <v>0</v>
      </c>
      <c r="S575" s="637"/>
      <c r="T575" s="637"/>
      <c r="U575" s="866"/>
      <c r="V575" s="775">
        <f t="shared" si="612"/>
        <v>0</v>
      </c>
      <c r="W575" s="637"/>
      <c r="X575" s="637"/>
      <c r="Y575" s="867"/>
      <c r="Z575" s="774">
        <f t="shared" si="613"/>
        <v>0</v>
      </c>
      <c r="AA575" s="5733"/>
      <c r="AB575" s="460">
        <f t="shared" si="614"/>
        <v>0</v>
      </c>
      <c r="AC575" s="637"/>
      <c r="AD575" s="637"/>
      <c r="AE575" s="866"/>
      <c r="AF575" s="775">
        <f t="shared" si="615"/>
        <v>0</v>
      </c>
      <c r="AG575" s="637"/>
      <c r="AH575" s="637"/>
      <c r="AK575" s="637"/>
      <c r="AL575" s="637"/>
      <c r="AM575" s="867"/>
      <c r="AN575" s="867"/>
      <c r="AQ575" s="637"/>
      <c r="AR575" s="637"/>
      <c r="AU575" s="637"/>
      <c r="AV575" s="637"/>
      <c r="AY575" s="637"/>
      <c r="AZ575" s="637"/>
      <c r="BA575" s="867"/>
      <c r="BB575" s="867"/>
      <c r="BC575" s="5733"/>
      <c r="BD575" s="5733"/>
      <c r="BG575" s="26">
        <f t="shared" si="605"/>
        <v>0</v>
      </c>
      <c r="BH575" s="26">
        <f t="shared" si="606"/>
        <v>0</v>
      </c>
      <c r="BI575" s="26"/>
      <c r="BJ575" s="26">
        <f t="shared" si="607"/>
        <v>0</v>
      </c>
      <c r="BK575" s="26">
        <f t="shared" si="608"/>
        <v>0</v>
      </c>
    </row>
    <row r="576" spans="1:63" ht="15" hidden="1" customHeight="1" x14ac:dyDescent="0.3">
      <c r="J576" s="775">
        <f t="shared" si="609"/>
        <v>0</v>
      </c>
      <c r="N576" s="774">
        <f t="shared" si="610"/>
        <v>0</v>
      </c>
      <c r="R576" s="775">
        <f t="shared" si="611"/>
        <v>0</v>
      </c>
      <c r="V576" s="775">
        <f t="shared" si="612"/>
        <v>0</v>
      </c>
      <c r="Z576" s="774">
        <f t="shared" si="613"/>
        <v>0</v>
      </c>
      <c r="AB576" s="460">
        <f t="shared" si="614"/>
        <v>0</v>
      </c>
      <c r="AF576" s="775">
        <f t="shared" si="615"/>
        <v>0</v>
      </c>
      <c r="BG576" s="26">
        <f t="shared" si="605"/>
        <v>0</v>
      </c>
      <c r="BH576" s="26">
        <f t="shared" si="606"/>
        <v>0</v>
      </c>
      <c r="BI576" s="26"/>
      <c r="BJ576" s="26">
        <f t="shared" si="607"/>
        <v>0</v>
      </c>
      <c r="BK576" s="26">
        <f t="shared" si="608"/>
        <v>0</v>
      </c>
    </row>
    <row r="577" spans="2:63" ht="15" hidden="1" customHeight="1" x14ac:dyDescent="0.3">
      <c r="J577" s="775">
        <f t="shared" si="609"/>
        <v>0</v>
      </c>
      <c r="N577" s="774">
        <f t="shared" si="610"/>
        <v>0</v>
      </c>
      <c r="R577" s="775">
        <f t="shared" si="611"/>
        <v>0</v>
      </c>
      <c r="V577" s="775">
        <f t="shared" si="612"/>
        <v>0</v>
      </c>
      <c r="Z577" s="774">
        <f t="shared" si="613"/>
        <v>0</v>
      </c>
      <c r="AB577" s="460">
        <f t="shared" si="614"/>
        <v>0</v>
      </c>
      <c r="AF577" s="775">
        <f t="shared" si="615"/>
        <v>0</v>
      </c>
      <c r="BG577" s="26">
        <f t="shared" si="605"/>
        <v>0</v>
      </c>
      <c r="BH577" s="26">
        <f t="shared" si="606"/>
        <v>0</v>
      </c>
      <c r="BI577" s="26"/>
      <c r="BJ577" s="26">
        <f t="shared" si="607"/>
        <v>0</v>
      </c>
      <c r="BK577" s="26">
        <f t="shared" si="608"/>
        <v>0</v>
      </c>
    </row>
    <row r="578" spans="2:63" ht="15" hidden="1" customHeight="1" x14ac:dyDescent="0.3">
      <c r="J578" s="775">
        <f t="shared" si="609"/>
        <v>0</v>
      </c>
      <c r="N578" s="774">
        <f t="shared" si="610"/>
        <v>0</v>
      </c>
      <c r="R578" s="775">
        <f t="shared" si="611"/>
        <v>0</v>
      </c>
      <c r="V578" s="775">
        <f t="shared" si="612"/>
        <v>0</v>
      </c>
      <c r="Z578" s="774">
        <f t="shared" si="613"/>
        <v>0</v>
      </c>
      <c r="AB578" s="460">
        <f t="shared" si="614"/>
        <v>0</v>
      </c>
      <c r="AF578" s="775">
        <f t="shared" si="615"/>
        <v>0</v>
      </c>
      <c r="BG578" s="26">
        <f t="shared" si="605"/>
        <v>0</v>
      </c>
      <c r="BH578" s="26">
        <f t="shared" si="606"/>
        <v>0</v>
      </c>
      <c r="BI578" s="26"/>
      <c r="BJ578" s="26">
        <f t="shared" si="607"/>
        <v>0</v>
      </c>
      <c r="BK578" s="26">
        <f t="shared" si="608"/>
        <v>0</v>
      </c>
    </row>
    <row r="579" spans="2:63" ht="15" hidden="1" customHeight="1" x14ac:dyDescent="0.3">
      <c r="J579" s="775">
        <f t="shared" si="609"/>
        <v>0</v>
      </c>
      <c r="N579" s="774">
        <f t="shared" si="610"/>
        <v>0</v>
      </c>
      <c r="R579" s="775">
        <f t="shared" si="611"/>
        <v>0</v>
      </c>
      <c r="V579" s="775">
        <f t="shared" si="612"/>
        <v>0</v>
      </c>
      <c r="Z579" s="774">
        <f t="shared" si="613"/>
        <v>0</v>
      </c>
      <c r="AB579" s="460">
        <f t="shared" si="614"/>
        <v>0</v>
      </c>
      <c r="AF579" s="775">
        <f t="shared" si="615"/>
        <v>0</v>
      </c>
      <c r="BG579" s="26">
        <f t="shared" si="605"/>
        <v>0</v>
      </c>
      <c r="BH579" s="26">
        <f t="shared" si="606"/>
        <v>0</v>
      </c>
      <c r="BI579" s="26"/>
      <c r="BJ579" s="26">
        <f t="shared" si="607"/>
        <v>0</v>
      </c>
      <c r="BK579" s="26">
        <f t="shared" si="608"/>
        <v>0</v>
      </c>
    </row>
    <row r="580" spans="2:63" ht="5.25" hidden="1" customHeight="1" x14ac:dyDescent="0.3">
      <c r="J580" s="775">
        <f t="shared" si="609"/>
        <v>0</v>
      </c>
      <c r="N580" s="774">
        <f t="shared" si="610"/>
        <v>0</v>
      </c>
      <c r="R580" s="775">
        <f t="shared" si="611"/>
        <v>0</v>
      </c>
      <c r="V580" s="775">
        <f t="shared" si="612"/>
        <v>0</v>
      </c>
      <c r="Z580" s="774">
        <f t="shared" si="613"/>
        <v>0</v>
      </c>
      <c r="AB580" s="460">
        <f t="shared" si="614"/>
        <v>0</v>
      </c>
      <c r="AF580" s="775">
        <f t="shared" si="615"/>
        <v>0</v>
      </c>
      <c r="BG580" s="26">
        <f t="shared" si="605"/>
        <v>0</v>
      </c>
      <c r="BH580" s="26">
        <f t="shared" si="606"/>
        <v>0</v>
      </c>
      <c r="BI580" s="26"/>
      <c r="BJ580" s="26">
        <f t="shared" si="607"/>
        <v>0</v>
      </c>
      <c r="BK580" s="26">
        <f t="shared" si="608"/>
        <v>0</v>
      </c>
    </row>
    <row r="581" spans="2:63" ht="15" hidden="1" customHeight="1" x14ac:dyDescent="0.3">
      <c r="J581" s="775">
        <f t="shared" si="609"/>
        <v>0</v>
      </c>
      <c r="N581" s="774">
        <f t="shared" si="610"/>
        <v>0</v>
      </c>
      <c r="R581" s="775">
        <f t="shared" si="611"/>
        <v>0</v>
      </c>
      <c r="V581" s="775">
        <f t="shared" si="612"/>
        <v>0</v>
      </c>
      <c r="Z581" s="774">
        <f t="shared" si="613"/>
        <v>0</v>
      </c>
      <c r="AB581" s="460">
        <f t="shared" si="614"/>
        <v>0</v>
      </c>
      <c r="AF581" s="775">
        <f t="shared" si="615"/>
        <v>0</v>
      </c>
      <c r="BG581" s="26">
        <f t="shared" si="605"/>
        <v>0</v>
      </c>
      <c r="BH581" s="26">
        <f t="shared" si="606"/>
        <v>0</v>
      </c>
      <c r="BI581" s="26"/>
      <c r="BJ581" s="26">
        <f t="shared" si="607"/>
        <v>0</v>
      </c>
      <c r="BK581" s="26">
        <f t="shared" si="608"/>
        <v>0</v>
      </c>
    </row>
    <row r="582" spans="2:63" ht="15" hidden="1" customHeight="1" x14ac:dyDescent="0.3">
      <c r="J582" s="775">
        <f t="shared" si="609"/>
        <v>0</v>
      </c>
      <c r="N582" s="774">
        <f t="shared" si="610"/>
        <v>0</v>
      </c>
      <c r="R582" s="775">
        <f t="shared" si="611"/>
        <v>0</v>
      </c>
      <c r="V582" s="775">
        <f t="shared" si="612"/>
        <v>0</v>
      </c>
      <c r="Z582" s="774">
        <f t="shared" si="613"/>
        <v>0</v>
      </c>
      <c r="AB582" s="460">
        <f t="shared" si="614"/>
        <v>0</v>
      </c>
      <c r="AF582" s="775">
        <f t="shared" si="615"/>
        <v>0</v>
      </c>
      <c r="BG582" s="26">
        <f t="shared" si="605"/>
        <v>0</v>
      </c>
      <c r="BH582" s="26">
        <f t="shared" si="606"/>
        <v>0</v>
      </c>
      <c r="BI582" s="26"/>
      <c r="BJ582" s="26">
        <f t="shared" si="607"/>
        <v>0</v>
      </c>
      <c r="BK582" s="26">
        <f t="shared" si="608"/>
        <v>0</v>
      </c>
    </row>
    <row r="583" spans="2:63" ht="15" hidden="1" customHeight="1" x14ac:dyDescent="0.3">
      <c r="J583" s="775">
        <f t="shared" si="609"/>
        <v>0</v>
      </c>
      <c r="N583" s="774">
        <f t="shared" si="610"/>
        <v>0</v>
      </c>
      <c r="R583" s="775">
        <f t="shared" si="611"/>
        <v>0</v>
      </c>
      <c r="V583" s="775">
        <f t="shared" si="612"/>
        <v>0</v>
      </c>
      <c r="Z583" s="774">
        <f t="shared" si="613"/>
        <v>0</v>
      </c>
      <c r="AB583" s="460">
        <f t="shared" si="614"/>
        <v>0</v>
      </c>
      <c r="AF583" s="775">
        <f t="shared" si="615"/>
        <v>0</v>
      </c>
      <c r="BG583" s="26">
        <f t="shared" si="605"/>
        <v>0</v>
      </c>
      <c r="BH583" s="26">
        <f t="shared" si="606"/>
        <v>0</v>
      </c>
      <c r="BI583" s="26"/>
      <c r="BJ583" s="26">
        <f t="shared" si="607"/>
        <v>0</v>
      </c>
      <c r="BK583" s="26">
        <f t="shared" si="608"/>
        <v>0</v>
      </c>
    </row>
    <row r="584" spans="2:63" ht="15" hidden="1" customHeight="1" x14ac:dyDescent="0.3">
      <c r="J584" s="775">
        <f t="shared" si="609"/>
        <v>0</v>
      </c>
      <c r="N584" s="774">
        <f t="shared" si="610"/>
        <v>0</v>
      </c>
      <c r="R584" s="775">
        <f t="shared" si="611"/>
        <v>0</v>
      </c>
      <c r="V584" s="775">
        <f t="shared" si="612"/>
        <v>0</v>
      </c>
      <c r="Z584" s="774">
        <f t="shared" si="613"/>
        <v>0</v>
      </c>
      <c r="AB584" s="460">
        <f t="shared" si="614"/>
        <v>0</v>
      </c>
      <c r="AF584" s="775">
        <f t="shared" si="615"/>
        <v>0</v>
      </c>
      <c r="BG584" s="26">
        <f t="shared" si="605"/>
        <v>0</v>
      </c>
      <c r="BH584" s="26">
        <f t="shared" si="606"/>
        <v>0</v>
      </c>
      <c r="BI584" s="26"/>
      <c r="BJ584" s="26">
        <f t="shared" si="607"/>
        <v>0</v>
      </c>
      <c r="BK584" s="26">
        <f t="shared" si="608"/>
        <v>0</v>
      </c>
    </row>
    <row r="585" spans="2:63" ht="15" hidden="1" customHeight="1" x14ac:dyDescent="0.3">
      <c r="J585" s="775">
        <f t="shared" si="609"/>
        <v>0</v>
      </c>
      <c r="N585" s="774">
        <f t="shared" si="610"/>
        <v>0</v>
      </c>
      <c r="R585" s="775">
        <f t="shared" si="611"/>
        <v>0</v>
      </c>
      <c r="V585" s="775">
        <f t="shared" si="612"/>
        <v>0</v>
      </c>
      <c r="Z585" s="774">
        <f t="shared" si="613"/>
        <v>0</v>
      </c>
      <c r="AB585" s="460">
        <f t="shared" si="614"/>
        <v>0</v>
      </c>
      <c r="AF585" s="775">
        <f t="shared" si="615"/>
        <v>0</v>
      </c>
      <c r="BG585" s="26">
        <f t="shared" si="605"/>
        <v>0</v>
      </c>
      <c r="BH585" s="26">
        <f t="shared" si="606"/>
        <v>0</v>
      </c>
      <c r="BI585" s="26"/>
      <c r="BJ585" s="26">
        <f t="shared" si="607"/>
        <v>0</v>
      </c>
      <c r="BK585" s="26">
        <f t="shared" si="608"/>
        <v>0</v>
      </c>
    </row>
    <row r="586" spans="2:63" ht="15" hidden="1" customHeight="1" x14ac:dyDescent="0.3">
      <c r="J586" s="775">
        <f t="shared" si="609"/>
        <v>0</v>
      </c>
      <c r="N586" s="774">
        <f t="shared" si="610"/>
        <v>0</v>
      </c>
      <c r="R586" s="775">
        <f t="shared" si="611"/>
        <v>0</v>
      </c>
      <c r="V586" s="775">
        <f t="shared" si="612"/>
        <v>0</v>
      </c>
      <c r="Z586" s="774">
        <f t="shared" si="613"/>
        <v>0</v>
      </c>
      <c r="AB586" s="460">
        <f t="shared" si="614"/>
        <v>0</v>
      </c>
      <c r="AF586" s="775">
        <f t="shared" si="615"/>
        <v>0</v>
      </c>
      <c r="BG586" s="26">
        <f t="shared" si="605"/>
        <v>0</v>
      </c>
      <c r="BH586" s="26">
        <f t="shared" si="606"/>
        <v>0</v>
      </c>
      <c r="BI586" s="26"/>
      <c r="BJ586" s="26">
        <f t="shared" si="607"/>
        <v>0</v>
      </c>
      <c r="BK586" s="26">
        <f t="shared" si="608"/>
        <v>0</v>
      </c>
    </row>
    <row r="587" spans="2:63" ht="15" hidden="1" customHeight="1" x14ac:dyDescent="0.3">
      <c r="J587" s="775">
        <f t="shared" si="609"/>
        <v>0</v>
      </c>
      <c r="N587" s="774">
        <f t="shared" si="610"/>
        <v>0</v>
      </c>
      <c r="R587" s="775">
        <f t="shared" si="611"/>
        <v>0</v>
      </c>
      <c r="V587" s="775">
        <f t="shared" si="612"/>
        <v>0</v>
      </c>
      <c r="Z587" s="774">
        <f t="shared" si="613"/>
        <v>0</v>
      </c>
      <c r="AB587" s="460">
        <f t="shared" si="614"/>
        <v>0</v>
      </c>
      <c r="AF587" s="775">
        <f t="shared" si="615"/>
        <v>0</v>
      </c>
      <c r="BG587" s="26">
        <f t="shared" si="605"/>
        <v>0</v>
      </c>
      <c r="BH587" s="26">
        <f t="shared" si="606"/>
        <v>0</v>
      </c>
      <c r="BI587" s="26"/>
      <c r="BJ587" s="26">
        <f t="shared" si="607"/>
        <v>0</v>
      </c>
      <c r="BK587" s="26">
        <f t="shared" si="608"/>
        <v>0</v>
      </c>
    </row>
    <row r="588" spans="2:63" ht="15" hidden="1" customHeight="1" x14ac:dyDescent="0.3">
      <c r="J588" s="775">
        <f t="shared" si="609"/>
        <v>0</v>
      </c>
      <c r="N588" s="774">
        <f t="shared" si="610"/>
        <v>0</v>
      </c>
      <c r="R588" s="775">
        <f t="shared" si="611"/>
        <v>0</v>
      </c>
      <c r="V588" s="775">
        <f t="shared" si="612"/>
        <v>0</v>
      </c>
      <c r="Z588" s="774">
        <f t="shared" si="613"/>
        <v>0</v>
      </c>
      <c r="AB588" s="460">
        <f t="shared" si="614"/>
        <v>0</v>
      </c>
      <c r="AF588" s="775">
        <f t="shared" si="615"/>
        <v>0</v>
      </c>
      <c r="BG588" s="26">
        <f t="shared" si="605"/>
        <v>0</v>
      </c>
      <c r="BH588" s="26">
        <f t="shared" si="606"/>
        <v>0</v>
      </c>
      <c r="BI588" s="26"/>
      <c r="BJ588" s="26">
        <f t="shared" si="607"/>
        <v>0</v>
      </c>
      <c r="BK588" s="26">
        <f t="shared" si="608"/>
        <v>0</v>
      </c>
    </row>
    <row r="589" spans="2:63" ht="15" hidden="1" customHeight="1" x14ac:dyDescent="0.3">
      <c r="J589" s="775">
        <f t="shared" si="609"/>
        <v>0</v>
      </c>
      <c r="N589" s="774">
        <f t="shared" si="610"/>
        <v>0</v>
      </c>
      <c r="R589" s="775">
        <f t="shared" si="611"/>
        <v>0</v>
      </c>
      <c r="V589" s="775">
        <f t="shared" si="612"/>
        <v>0</v>
      </c>
      <c r="Z589" s="774">
        <f t="shared" si="613"/>
        <v>0</v>
      </c>
      <c r="AB589" s="460">
        <f t="shared" si="614"/>
        <v>0</v>
      </c>
      <c r="AF589" s="775">
        <f t="shared" si="615"/>
        <v>0</v>
      </c>
      <c r="BG589" s="26">
        <f t="shared" si="605"/>
        <v>0</v>
      </c>
      <c r="BH589" s="26">
        <f t="shared" si="606"/>
        <v>0</v>
      </c>
      <c r="BI589" s="26"/>
      <c r="BJ589" s="26">
        <f t="shared" si="607"/>
        <v>0</v>
      </c>
      <c r="BK589" s="26">
        <f t="shared" si="608"/>
        <v>0</v>
      </c>
    </row>
    <row r="590" spans="2:63" ht="15" hidden="1" customHeight="1" x14ac:dyDescent="0.3">
      <c r="J590" s="775">
        <f t="shared" si="609"/>
        <v>0</v>
      </c>
      <c r="N590" s="774">
        <f t="shared" si="610"/>
        <v>0</v>
      </c>
      <c r="R590" s="775">
        <f t="shared" si="611"/>
        <v>0</v>
      </c>
      <c r="V590" s="775">
        <f t="shared" si="612"/>
        <v>0</v>
      </c>
      <c r="Z590" s="774">
        <f t="shared" si="613"/>
        <v>0</v>
      </c>
      <c r="AB590" s="460">
        <f t="shared" si="614"/>
        <v>0</v>
      </c>
      <c r="AF590" s="775">
        <f t="shared" si="615"/>
        <v>0</v>
      </c>
      <c r="BG590" s="26">
        <f t="shared" si="605"/>
        <v>0</v>
      </c>
      <c r="BH590" s="26">
        <f t="shared" si="606"/>
        <v>0</v>
      </c>
      <c r="BI590" s="26"/>
      <c r="BJ590" s="26">
        <f t="shared" si="607"/>
        <v>0</v>
      </c>
      <c r="BK590" s="26">
        <f t="shared" si="608"/>
        <v>0</v>
      </c>
    </row>
    <row r="591" spans="2:63" ht="15" hidden="1" customHeight="1" x14ac:dyDescent="0.3">
      <c r="J591" s="775">
        <f t="shared" si="609"/>
        <v>0</v>
      </c>
      <c r="N591" s="774">
        <f t="shared" si="610"/>
        <v>0</v>
      </c>
      <c r="R591" s="775">
        <f t="shared" si="611"/>
        <v>0</v>
      </c>
      <c r="V591" s="775">
        <f t="shared" si="612"/>
        <v>0</v>
      </c>
      <c r="Z591" s="774">
        <f t="shared" si="613"/>
        <v>0</v>
      </c>
      <c r="AB591" s="460">
        <f t="shared" si="614"/>
        <v>0</v>
      </c>
      <c r="AF591" s="775">
        <f t="shared" si="615"/>
        <v>0</v>
      </c>
      <c r="BG591" s="26">
        <f t="shared" si="605"/>
        <v>0</v>
      </c>
      <c r="BH591" s="26">
        <f t="shared" si="606"/>
        <v>0</v>
      </c>
      <c r="BI591" s="26"/>
      <c r="BJ591" s="26">
        <f t="shared" si="607"/>
        <v>0</v>
      </c>
      <c r="BK591" s="26">
        <f t="shared" si="608"/>
        <v>0</v>
      </c>
    </row>
    <row r="592" spans="2:63" x14ac:dyDescent="0.3">
      <c r="B592" s="1009" t="s">
        <v>2012</v>
      </c>
      <c r="C592" s="156"/>
      <c r="D592" s="1118"/>
      <c r="E592" s="1118"/>
      <c r="F592" s="1185"/>
      <c r="G592" s="1118"/>
      <c r="H592" s="1185"/>
      <c r="I592" s="775"/>
      <c r="J592" s="775">
        <f t="shared" si="609"/>
        <v>0</v>
      </c>
      <c r="K592" s="1118"/>
      <c r="L592" s="1185"/>
      <c r="M592" s="774"/>
      <c r="N592" s="774">
        <f t="shared" si="610"/>
        <v>0</v>
      </c>
      <c r="O592" s="1118"/>
      <c r="P592" s="1185"/>
      <c r="Q592" s="775"/>
      <c r="R592" s="775">
        <f t="shared" si="611"/>
        <v>0</v>
      </c>
      <c r="S592" s="1118"/>
      <c r="T592" s="1185"/>
      <c r="U592" s="775"/>
      <c r="V592" s="775"/>
      <c r="W592" s="1118"/>
      <c r="X592" s="1185"/>
      <c r="Z592" s="774"/>
      <c r="AB592" s="460"/>
      <c r="AC592" s="1118"/>
      <c r="AD592" s="1185"/>
      <c r="AF592" s="775"/>
      <c r="AG592" s="1118"/>
      <c r="AH592" s="1185"/>
      <c r="AJ592" s="775"/>
      <c r="AK592" s="1118"/>
      <c r="AL592" s="1185"/>
      <c r="AQ592" s="1118"/>
      <c r="AR592" s="1185"/>
      <c r="AS592" s="775"/>
      <c r="AT592" s="775"/>
      <c r="AU592" s="1118"/>
      <c r="AV592" s="1185"/>
      <c r="AY592" s="1118"/>
      <c r="AZ592" s="1185"/>
      <c r="BG592" s="26">
        <f t="shared" si="605"/>
        <v>0</v>
      </c>
      <c r="BH592" s="26">
        <f t="shared" si="606"/>
        <v>0</v>
      </c>
      <c r="BI592" s="26"/>
      <c r="BJ592" s="26">
        <f t="shared" si="607"/>
        <v>0</v>
      </c>
      <c r="BK592" s="26">
        <f t="shared" si="608"/>
        <v>0</v>
      </c>
    </row>
    <row r="593" spans="2:63" ht="15" thickBot="1" x14ac:dyDescent="0.35">
      <c r="B593" s="1009" t="s">
        <v>1373</v>
      </c>
      <c r="C593" s="156"/>
      <c r="D593" s="1118"/>
      <c r="E593" s="1118"/>
      <c r="F593" s="1185">
        <v>5959</v>
      </c>
      <c r="G593" s="1118"/>
      <c r="H593" s="1185">
        <v>10028.82</v>
      </c>
      <c r="I593" s="775"/>
      <c r="J593" s="775">
        <f t="shared" si="609"/>
        <v>15987.82</v>
      </c>
      <c r="K593" s="1118"/>
      <c r="L593" s="1185">
        <v>7885</v>
      </c>
      <c r="M593" s="774"/>
      <c r="N593" s="774">
        <f t="shared" si="610"/>
        <v>23872.82</v>
      </c>
      <c r="O593" s="1118"/>
      <c r="P593" s="1185">
        <v>6996</v>
      </c>
      <c r="Q593" s="775"/>
      <c r="R593" s="775">
        <f t="shared" si="611"/>
        <v>30868.82</v>
      </c>
      <c r="S593" s="1118"/>
      <c r="T593" s="1185">
        <v>9644</v>
      </c>
      <c r="U593" s="775"/>
      <c r="V593" s="775">
        <f t="shared" si="612"/>
        <v>40512.82</v>
      </c>
      <c r="W593" s="1118"/>
      <c r="X593" s="1185">
        <v>13649</v>
      </c>
      <c r="Z593" s="774">
        <f t="shared" si="613"/>
        <v>30289</v>
      </c>
      <c r="AB593" s="460">
        <f t="shared" si="614"/>
        <v>54161.82</v>
      </c>
      <c r="AC593" s="1118"/>
      <c r="AD593" s="1185">
        <v>4011</v>
      </c>
      <c r="AF593" s="775">
        <f t="shared" si="615"/>
        <v>58172.82</v>
      </c>
      <c r="AG593" s="1118"/>
      <c r="AH593" s="1118">
        <v>11896</v>
      </c>
      <c r="AJ593" s="775">
        <f>AF593+AH593</f>
        <v>70068.820000000007</v>
      </c>
      <c r="AK593" s="1118"/>
      <c r="AL593" s="1118">
        <v>11371</v>
      </c>
      <c r="AN593" s="373">
        <f t="shared" ref="AN593:AN594" si="616">AD593+AH593+AL593</f>
        <v>27278</v>
      </c>
      <c r="AP593" s="775">
        <f t="shared" ref="AP593:AP594" si="617">AJ593+AL593</f>
        <v>81439.820000000007</v>
      </c>
      <c r="AQ593" s="1118"/>
      <c r="AR593" s="1118">
        <v>5812.86</v>
      </c>
      <c r="AS593" s="775"/>
      <c r="AT593" s="775">
        <f t="shared" ref="AT593:AT594" si="618">AP593+AR593</f>
        <v>87252.680000000008</v>
      </c>
      <c r="AU593" s="1118"/>
      <c r="AV593" s="1118">
        <v>4829</v>
      </c>
      <c r="AW593" s="371"/>
      <c r="AX593" s="371">
        <f t="shared" ref="AX593:AX594" si="619">AT593+AV593</f>
        <v>92081.680000000008</v>
      </c>
      <c r="AY593" s="1118"/>
      <c r="AZ593" s="1118">
        <v>7533</v>
      </c>
      <c r="BA593" s="2228">
        <f t="shared" ref="BA593:BA594" si="620">AQ593+AU593+AY593</f>
        <v>0</v>
      </c>
      <c r="BB593" s="2228">
        <f t="shared" ref="BB593:BB594" si="621">AR593+AV593+AZ593</f>
        <v>18174.86</v>
      </c>
      <c r="BC593" s="539">
        <f t="shared" ref="BC593:BC594" si="622">AM593+BA593</f>
        <v>0</v>
      </c>
      <c r="BD593" s="2229">
        <f t="shared" ref="BD593:BD594" si="623">AN593+BB593</f>
        <v>45452.86</v>
      </c>
      <c r="BE593" s="2227">
        <f t="shared" ref="BE593:BE594" si="624">+BE146</f>
        <v>0</v>
      </c>
      <c r="BF593" s="2227">
        <f t="shared" ref="BF593:BF594" si="625">AX593+AZ593</f>
        <v>99614.680000000008</v>
      </c>
      <c r="BG593" s="26">
        <f t="shared" si="605"/>
        <v>0</v>
      </c>
      <c r="BH593" s="26">
        <f t="shared" si="606"/>
        <v>0</v>
      </c>
      <c r="BI593" s="26"/>
      <c r="BJ593" s="26">
        <f t="shared" si="607"/>
        <v>0</v>
      </c>
      <c r="BK593" s="26">
        <f t="shared" si="608"/>
        <v>0</v>
      </c>
    </row>
    <row r="594" spans="2:63" ht="15" thickBot="1" x14ac:dyDescent="0.35">
      <c r="B594" s="1009" t="s">
        <v>1374</v>
      </c>
      <c r="C594" s="156"/>
      <c r="D594" s="1118"/>
      <c r="E594" s="1118"/>
      <c r="F594" s="1185">
        <v>0</v>
      </c>
      <c r="G594" s="1118"/>
      <c r="H594" s="1185">
        <v>0</v>
      </c>
      <c r="I594" s="775"/>
      <c r="J594" s="775">
        <f t="shared" si="609"/>
        <v>0</v>
      </c>
      <c r="K594" s="1118"/>
      <c r="L594" s="1185">
        <v>0</v>
      </c>
      <c r="M594" s="774"/>
      <c r="N594" s="774">
        <f t="shared" si="610"/>
        <v>0</v>
      </c>
      <c r="O594" s="1118"/>
      <c r="P594" s="1185">
        <v>0</v>
      </c>
      <c r="Q594" s="775"/>
      <c r="R594" s="775">
        <f t="shared" si="611"/>
        <v>0</v>
      </c>
      <c r="S594" s="1118"/>
      <c r="T594" s="1185">
        <v>0</v>
      </c>
      <c r="U594" s="775"/>
      <c r="V594" s="775">
        <f t="shared" si="612"/>
        <v>0</v>
      </c>
      <c r="W594" s="1118"/>
      <c r="X594" s="1185">
        <v>0</v>
      </c>
      <c r="Z594" s="774">
        <f t="shared" si="613"/>
        <v>0</v>
      </c>
      <c r="AB594" s="460">
        <f t="shared" si="614"/>
        <v>0</v>
      </c>
      <c r="AC594" s="1118"/>
      <c r="AD594" s="1185">
        <v>0</v>
      </c>
      <c r="AF594" s="775">
        <f t="shared" si="615"/>
        <v>0</v>
      </c>
      <c r="AG594" s="1118"/>
      <c r="AH594" s="1118">
        <v>0</v>
      </c>
      <c r="AJ594" s="775">
        <f t="shared" ref="AJ594" si="626">AF594+AH594</f>
        <v>0</v>
      </c>
      <c r="AK594" s="1118"/>
      <c r="AL594" s="1118">
        <v>0</v>
      </c>
      <c r="AN594" s="373">
        <f t="shared" si="616"/>
        <v>0</v>
      </c>
      <c r="AP594" s="371">
        <f t="shared" si="617"/>
        <v>0</v>
      </c>
      <c r="AQ594" s="1118"/>
      <c r="AR594" s="1118">
        <v>0</v>
      </c>
      <c r="AS594" s="775"/>
      <c r="AT594" s="775">
        <f t="shared" si="618"/>
        <v>0</v>
      </c>
      <c r="AU594" s="1118"/>
      <c r="AV594" s="1118"/>
      <c r="AW594" s="371"/>
      <c r="AX594" s="371">
        <f t="shared" si="619"/>
        <v>0</v>
      </c>
      <c r="AY594" s="1118"/>
      <c r="AZ594" s="1118"/>
      <c r="BA594" s="2228">
        <f t="shared" si="620"/>
        <v>0</v>
      </c>
      <c r="BB594" s="2228">
        <f t="shared" si="621"/>
        <v>0</v>
      </c>
      <c r="BC594" s="539">
        <f t="shared" si="622"/>
        <v>0</v>
      </c>
      <c r="BD594" s="2229">
        <f t="shared" si="623"/>
        <v>0</v>
      </c>
      <c r="BE594" s="2227">
        <f t="shared" si="624"/>
        <v>0</v>
      </c>
      <c r="BF594" s="2227">
        <f t="shared" si="625"/>
        <v>0</v>
      </c>
      <c r="BG594" s="26">
        <f t="shared" si="605"/>
        <v>0</v>
      </c>
      <c r="BH594" s="26">
        <f t="shared" si="606"/>
        <v>0</v>
      </c>
      <c r="BI594" s="26"/>
      <c r="BJ594" s="26">
        <f t="shared" si="607"/>
        <v>0</v>
      </c>
      <c r="BK594" s="26">
        <f t="shared" si="608"/>
        <v>0</v>
      </c>
    </row>
  </sheetData>
  <mergeCells count="423">
    <mergeCell ref="AG438:AG470"/>
    <mergeCell ref="AU87:AU89"/>
    <mergeCell ref="AW87:AW89"/>
    <mergeCell ref="AU91:AU93"/>
    <mergeCell ref="AW91:AW93"/>
    <mergeCell ref="AU95:AU97"/>
    <mergeCell ref="AW95:AW97"/>
    <mergeCell ref="AU307:AU413"/>
    <mergeCell ref="AW307:AW413"/>
    <mergeCell ref="AQ87:AQ89"/>
    <mergeCell ref="AS87:AS89"/>
    <mergeCell ref="AQ91:AQ93"/>
    <mergeCell ref="AS91:AS93"/>
    <mergeCell ref="AQ95:AQ97"/>
    <mergeCell ref="AS95:AS97"/>
    <mergeCell ref="AQ307:AQ413"/>
    <mergeCell ref="AS307:AS413"/>
    <mergeCell ref="AG87:AG89"/>
    <mergeCell ref="AI87:AI89"/>
    <mergeCell ref="AG91:AG93"/>
    <mergeCell ref="AI91:AI93"/>
    <mergeCell ref="AG95:AG97"/>
    <mergeCell ref="AI95:AI97"/>
    <mergeCell ref="AG307:AG413"/>
    <mergeCell ref="AU42:AU43"/>
    <mergeCell ref="AW42:AW43"/>
    <mergeCell ref="AU50:AU51"/>
    <mergeCell ref="AW50:AW51"/>
    <mergeCell ref="AU63:AU64"/>
    <mergeCell ref="AW63:AW64"/>
    <mergeCell ref="AU79:AU81"/>
    <mergeCell ref="AW79:AW81"/>
    <mergeCell ref="AU83:AU85"/>
    <mergeCell ref="AW83:AW85"/>
    <mergeCell ref="AU3:AV3"/>
    <mergeCell ref="AW3:AX3"/>
    <mergeCell ref="AU7:AU8"/>
    <mergeCell ref="AW7:AW8"/>
    <mergeCell ref="AU15:AU16"/>
    <mergeCell ref="AW15:AW16"/>
    <mergeCell ref="AU23:AU24"/>
    <mergeCell ref="AW23:AW24"/>
    <mergeCell ref="AU31:AU32"/>
    <mergeCell ref="AW31:AW32"/>
    <mergeCell ref="AQ42:AQ43"/>
    <mergeCell ref="AS42:AS43"/>
    <mergeCell ref="AQ50:AQ51"/>
    <mergeCell ref="AS50:AS51"/>
    <mergeCell ref="AQ63:AQ64"/>
    <mergeCell ref="AS63:AS64"/>
    <mergeCell ref="AQ79:AQ81"/>
    <mergeCell ref="AS79:AS81"/>
    <mergeCell ref="AQ83:AQ85"/>
    <mergeCell ref="AS83:AS85"/>
    <mergeCell ref="AQ3:AR3"/>
    <mergeCell ref="AS3:AT3"/>
    <mergeCell ref="AQ7:AQ8"/>
    <mergeCell ref="AS7:AS8"/>
    <mergeCell ref="AQ15:AQ16"/>
    <mergeCell ref="AS15:AS16"/>
    <mergeCell ref="AQ23:AQ24"/>
    <mergeCell ref="AS23:AS24"/>
    <mergeCell ref="AQ31:AQ32"/>
    <mergeCell ref="AS31:AS32"/>
    <mergeCell ref="AI307:AI413"/>
    <mergeCell ref="AG42:AG43"/>
    <mergeCell ref="AI42:AI43"/>
    <mergeCell ref="AG50:AG51"/>
    <mergeCell ref="AI50:AI51"/>
    <mergeCell ref="AG63:AG64"/>
    <mergeCell ref="AI63:AI64"/>
    <mergeCell ref="AG79:AG81"/>
    <mergeCell ref="AI79:AI81"/>
    <mergeCell ref="AG83:AG85"/>
    <mergeCell ref="AI83:AI85"/>
    <mergeCell ref="AG3:AH3"/>
    <mergeCell ref="AI3:AJ3"/>
    <mergeCell ref="AG7:AG8"/>
    <mergeCell ref="AI7:AI8"/>
    <mergeCell ref="AG15:AG16"/>
    <mergeCell ref="AI15:AI16"/>
    <mergeCell ref="AG23:AG24"/>
    <mergeCell ref="AI23:AI24"/>
    <mergeCell ref="AG31:AG32"/>
    <mergeCell ref="AI31:AI32"/>
    <mergeCell ref="AC87:AC89"/>
    <mergeCell ref="AE87:AE89"/>
    <mergeCell ref="AC91:AC93"/>
    <mergeCell ref="AE91:AE93"/>
    <mergeCell ref="AC95:AC97"/>
    <mergeCell ref="AE95:AE97"/>
    <mergeCell ref="AC307:AC413"/>
    <mergeCell ref="AE307:AE413"/>
    <mergeCell ref="AC438:AC470"/>
    <mergeCell ref="AE438:AE470"/>
    <mergeCell ref="AC42:AC43"/>
    <mergeCell ref="AE42:AE43"/>
    <mergeCell ref="AC50:AC51"/>
    <mergeCell ref="AE50:AE51"/>
    <mergeCell ref="AC63:AC64"/>
    <mergeCell ref="AE63:AE64"/>
    <mergeCell ref="AC79:AC81"/>
    <mergeCell ref="AE79:AE81"/>
    <mergeCell ref="AC83:AC85"/>
    <mergeCell ref="AE83:AE85"/>
    <mergeCell ref="AC3:AD3"/>
    <mergeCell ref="AE3:AF3"/>
    <mergeCell ref="AC7:AC8"/>
    <mergeCell ref="AE7:AE8"/>
    <mergeCell ref="AC15:AC16"/>
    <mergeCell ref="AE15:AE16"/>
    <mergeCell ref="AC23:AC24"/>
    <mergeCell ref="AE23:AE24"/>
    <mergeCell ref="AC31:AC32"/>
    <mergeCell ref="AE31:AE32"/>
    <mergeCell ref="AA83:AA85"/>
    <mergeCell ref="AA87:AA89"/>
    <mergeCell ref="AA91:AA93"/>
    <mergeCell ref="AA95:AA97"/>
    <mergeCell ref="AA307:AA413"/>
    <mergeCell ref="AA438:AA470"/>
    <mergeCell ref="AA3:AB3"/>
    <mergeCell ref="AA7:AA8"/>
    <mergeCell ref="AA15:AA16"/>
    <mergeCell ref="AA23:AA24"/>
    <mergeCell ref="AA31:AA32"/>
    <mergeCell ref="AA42:AA43"/>
    <mergeCell ref="AA50:AA51"/>
    <mergeCell ref="AA63:AA64"/>
    <mergeCell ref="AA79:AA81"/>
    <mergeCell ref="W87:W89"/>
    <mergeCell ref="Y87:Y89"/>
    <mergeCell ref="W91:W93"/>
    <mergeCell ref="Y91:Y93"/>
    <mergeCell ref="W95:W97"/>
    <mergeCell ref="Y95:Y97"/>
    <mergeCell ref="W307:W413"/>
    <mergeCell ref="Y307:Y413"/>
    <mergeCell ref="W438:W470"/>
    <mergeCell ref="Y438:Y470"/>
    <mergeCell ref="W42:W43"/>
    <mergeCell ref="Y42:Y43"/>
    <mergeCell ref="W50:W51"/>
    <mergeCell ref="Y50:Y51"/>
    <mergeCell ref="W63:W64"/>
    <mergeCell ref="Y63:Y64"/>
    <mergeCell ref="W79:W81"/>
    <mergeCell ref="Y79:Y81"/>
    <mergeCell ref="W83:W85"/>
    <mergeCell ref="Y83:Y85"/>
    <mergeCell ref="W3:X3"/>
    <mergeCell ref="Y3:Z3"/>
    <mergeCell ref="W7:W8"/>
    <mergeCell ref="Y7:Y8"/>
    <mergeCell ref="W15:W16"/>
    <mergeCell ref="Y15:Y16"/>
    <mergeCell ref="W23:W24"/>
    <mergeCell ref="Y23:Y24"/>
    <mergeCell ref="W31:W32"/>
    <mergeCell ref="Y31:Y32"/>
    <mergeCell ref="K91:K93"/>
    <mergeCell ref="M91:M93"/>
    <mergeCell ref="K95:K97"/>
    <mergeCell ref="M95:M97"/>
    <mergeCell ref="K307:K413"/>
    <mergeCell ref="M307:M413"/>
    <mergeCell ref="K438:K470"/>
    <mergeCell ref="M438:M470"/>
    <mergeCell ref="K50:K51"/>
    <mergeCell ref="M50:M51"/>
    <mergeCell ref="K63:K64"/>
    <mergeCell ref="M63:M64"/>
    <mergeCell ref="K79:K81"/>
    <mergeCell ref="M79:M81"/>
    <mergeCell ref="K83:K85"/>
    <mergeCell ref="M83:M85"/>
    <mergeCell ref="K87:K89"/>
    <mergeCell ref="M87:M89"/>
    <mergeCell ref="I438:I470"/>
    <mergeCell ref="I50:I51"/>
    <mergeCell ref="I63:I64"/>
    <mergeCell ref="I79:I81"/>
    <mergeCell ref="I83:I85"/>
    <mergeCell ref="E31:E32"/>
    <mergeCell ref="E42:E43"/>
    <mergeCell ref="K3:L3"/>
    <mergeCell ref="M3:N3"/>
    <mergeCell ref="K7:K8"/>
    <mergeCell ref="M7:M8"/>
    <mergeCell ref="K15:K16"/>
    <mergeCell ref="M15:M16"/>
    <mergeCell ref="K23:K24"/>
    <mergeCell ref="M23:M24"/>
    <mergeCell ref="K31:K32"/>
    <mergeCell ref="M31:M32"/>
    <mergeCell ref="K42:K43"/>
    <mergeCell ref="M42:M43"/>
    <mergeCell ref="I42:I43"/>
    <mergeCell ref="G15:G16"/>
    <mergeCell ref="G23:G24"/>
    <mergeCell ref="G31:G32"/>
    <mergeCell ref="G438:G470"/>
    <mergeCell ref="B511:B514"/>
    <mergeCell ref="E307:E413"/>
    <mergeCell ref="B515:B518"/>
    <mergeCell ref="B507:B510"/>
    <mergeCell ref="E3:F3"/>
    <mergeCell ref="D3:D4"/>
    <mergeCell ref="E79:E81"/>
    <mergeCell ref="E87:E89"/>
    <mergeCell ref="E95:E97"/>
    <mergeCell ref="D50:D51"/>
    <mergeCell ref="D63:D64"/>
    <mergeCell ref="D79:D81"/>
    <mergeCell ref="B3:B4"/>
    <mergeCell ref="C3:C4"/>
    <mergeCell ref="D83:D85"/>
    <mergeCell ref="D87:D89"/>
    <mergeCell ref="D7:D8"/>
    <mergeCell ref="D15:D16"/>
    <mergeCell ref="D23:D24"/>
    <mergeCell ref="D31:D32"/>
    <mergeCell ref="D42:D43"/>
    <mergeCell ref="E7:E8"/>
    <mergeCell ref="E15:E16"/>
    <mergeCell ref="E23:E24"/>
    <mergeCell ref="A492:A499"/>
    <mergeCell ref="B503:B506"/>
    <mergeCell ref="E438:E470"/>
    <mergeCell ref="D91:D93"/>
    <mergeCell ref="D95:D97"/>
    <mergeCell ref="E91:E93"/>
    <mergeCell ref="E83:E85"/>
    <mergeCell ref="E50:E51"/>
    <mergeCell ref="E63:E64"/>
    <mergeCell ref="G42:G43"/>
    <mergeCell ref="G50:G51"/>
    <mergeCell ref="G63:G64"/>
    <mergeCell ref="G1:H1"/>
    <mergeCell ref="I87:I89"/>
    <mergeCell ref="I91:I93"/>
    <mergeCell ref="I95:I97"/>
    <mergeCell ref="I307:I413"/>
    <mergeCell ref="I3:J3"/>
    <mergeCell ref="I7:I8"/>
    <mergeCell ref="I15:I16"/>
    <mergeCell ref="I23:I24"/>
    <mergeCell ref="I31:I32"/>
    <mergeCell ref="G87:G89"/>
    <mergeCell ref="G91:G93"/>
    <mergeCell ref="G95:G97"/>
    <mergeCell ref="G307:G413"/>
    <mergeCell ref="G3:H3"/>
    <mergeCell ref="G7:G8"/>
    <mergeCell ref="G79:G81"/>
    <mergeCell ref="G83:G85"/>
    <mergeCell ref="O42:O43"/>
    <mergeCell ref="O50:O51"/>
    <mergeCell ref="O63:O64"/>
    <mergeCell ref="O79:O81"/>
    <mergeCell ref="O83:O85"/>
    <mergeCell ref="O3:P3"/>
    <mergeCell ref="O7:O8"/>
    <mergeCell ref="O15:O16"/>
    <mergeCell ref="O23:O24"/>
    <mergeCell ref="O31:O32"/>
    <mergeCell ref="O87:O89"/>
    <mergeCell ref="O91:O93"/>
    <mergeCell ref="O95:O97"/>
    <mergeCell ref="O307:O413"/>
    <mergeCell ref="Q87:Q89"/>
    <mergeCell ref="Q91:Q93"/>
    <mergeCell ref="Q95:Q97"/>
    <mergeCell ref="Q307:Q413"/>
    <mergeCell ref="O438:O470"/>
    <mergeCell ref="Q438:Q470"/>
    <mergeCell ref="Q42:Q43"/>
    <mergeCell ref="Q50:Q51"/>
    <mergeCell ref="Q63:Q64"/>
    <mergeCell ref="Q79:Q81"/>
    <mergeCell ref="Q83:Q85"/>
    <mergeCell ref="Q3:R3"/>
    <mergeCell ref="Q7:Q8"/>
    <mergeCell ref="Q15:Q16"/>
    <mergeCell ref="Q23:Q24"/>
    <mergeCell ref="Q31:Q32"/>
    <mergeCell ref="S3:T3"/>
    <mergeCell ref="U3:V3"/>
    <mergeCell ref="S7:S8"/>
    <mergeCell ref="U7:U8"/>
    <mergeCell ref="S15:S16"/>
    <mergeCell ref="U15:U16"/>
    <mergeCell ref="S23:S24"/>
    <mergeCell ref="U23:U24"/>
    <mergeCell ref="S31:S32"/>
    <mergeCell ref="U31:U32"/>
    <mergeCell ref="S42:S43"/>
    <mergeCell ref="U42:U43"/>
    <mergeCell ref="S50:S51"/>
    <mergeCell ref="U50:U51"/>
    <mergeCell ref="S63:S64"/>
    <mergeCell ref="U63:U64"/>
    <mergeCell ref="S79:S81"/>
    <mergeCell ref="U79:U81"/>
    <mergeCell ref="S83:S85"/>
    <mergeCell ref="U83:U85"/>
    <mergeCell ref="S87:S89"/>
    <mergeCell ref="U87:U89"/>
    <mergeCell ref="S91:S93"/>
    <mergeCell ref="U91:U93"/>
    <mergeCell ref="S95:S97"/>
    <mergeCell ref="U95:U97"/>
    <mergeCell ref="S307:S413"/>
    <mergeCell ref="U307:U413"/>
    <mergeCell ref="S438:S470"/>
    <mergeCell ref="U438:U470"/>
    <mergeCell ref="AK3:AL3"/>
    <mergeCell ref="AM3:AN3"/>
    <mergeCell ref="AK7:AK8"/>
    <mergeCell ref="AM7:AM8"/>
    <mergeCell ref="AK15:AK16"/>
    <mergeCell ref="AM15:AM16"/>
    <mergeCell ref="AK23:AK24"/>
    <mergeCell ref="AM23:AM24"/>
    <mergeCell ref="AK31:AK32"/>
    <mergeCell ref="AM31:AM32"/>
    <mergeCell ref="AM91:AM93"/>
    <mergeCell ref="AK95:AK97"/>
    <mergeCell ref="AM95:AM97"/>
    <mergeCell ref="AK307:AK413"/>
    <mergeCell ref="AM307:AM413"/>
    <mergeCell ref="AK438:AK470"/>
    <mergeCell ref="AM438:AM470"/>
    <mergeCell ref="AK42:AK43"/>
    <mergeCell ref="AM42:AM43"/>
    <mergeCell ref="AK50:AK51"/>
    <mergeCell ref="AM50:AM51"/>
    <mergeCell ref="AK63:AK64"/>
    <mergeCell ref="AM63:AM64"/>
    <mergeCell ref="AK79:AK81"/>
    <mergeCell ref="AM79:AM81"/>
    <mergeCell ref="AK83:AK85"/>
    <mergeCell ref="AM83:AM85"/>
    <mergeCell ref="AO3:AP3"/>
    <mergeCell ref="AO7:AO8"/>
    <mergeCell ref="AO15:AO16"/>
    <mergeCell ref="AO23:AO24"/>
    <mergeCell ref="AO31:AO32"/>
    <mergeCell ref="AO42:AO43"/>
    <mergeCell ref="AO50:AO51"/>
    <mergeCell ref="AO63:AO64"/>
    <mergeCell ref="AO79:AO81"/>
    <mergeCell ref="AY3:AZ3"/>
    <mergeCell ref="BE3:BF3"/>
    <mergeCell ref="AY7:AY8"/>
    <mergeCell ref="BE7:BE8"/>
    <mergeCell ref="AY15:AY16"/>
    <mergeCell ref="BE15:BE16"/>
    <mergeCell ref="AY23:AY24"/>
    <mergeCell ref="BE23:BE24"/>
    <mergeCell ref="AY31:AY32"/>
    <mergeCell ref="BE31:BE32"/>
    <mergeCell ref="BE42:BE43"/>
    <mergeCell ref="AY50:AY51"/>
    <mergeCell ref="BE50:BE51"/>
    <mergeCell ref="AY63:AY64"/>
    <mergeCell ref="BE63:BE64"/>
    <mergeCell ref="AY79:AY81"/>
    <mergeCell ref="BE79:BE81"/>
    <mergeCell ref="AY83:AY85"/>
    <mergeCell ref="BE83:BE85"/>
    <mergeCell ref="BA79:BA81"/>
    <mergeCell ref="BC79:BC81"/>
    <mergeCell ref="BA83:BA85"/>
    <mergeCell ref="BC83:BC85"/>
    <mergeCell ref="BE87:BE89"/>
    <mergeCell ref="AY91:AY93"/>
    <mergeCell ref="BE91:BE93"/>
    <mergeCell ref="AY95:AY97"/>
    <mergeCell ref="BE95:BE97"/>
    <mergeCell ref="AY307:AY413"/>
    <mergeCell ref="BE307:BE413"/>
    <mergeCell ref="BA3:BB3"/>
    <mergeCell ref="BC3:BD3"/>
    <mergeCell ref="BA7:BA8"/>
    <mergeCell ref="BC7:BC8"/>
    <mergeCell ref="BA15:BA16"/>
    <mergeCell ref="BC15:BC16"/>
    <mergeCell ref="BA23:BA24"/>
    <mergeCell ref="BC23:BC24"/>
    <mergeCell ref="BA31:BA32"/>
    <mergeCell ref="BC31:BC32"/>
    <mergeCell ref="BA42:BA43"/>
    <mergeCell ref="BC42:BC43"/>
    <mergeCell ref="BA50:BA51"/>
    <mergeCell ref="BC50:BC51"/>
    <mergeCell ref="BA63:BA64"/>
    <mergeCell ref="BC63:BC64"/>
    <mergeCell ref="AY42:AY43"/>
    <mergeCell ref="D46:D47"/>
    <mergeCell ref="AQ438:AQ470"/>
    <mergeCell ref="BA87:BA89"/>
    <mergeCell ref="BC87:BC89"/>
    <mergeCell ref="BA91:BA93"/>
    <mergeCell ref="BC91:BC93"/>
    <mergeCell ref="BA95:BA97"/>
    <mergeCell ref="BC95:BC97"/>
    <mergeCell ref="BA307:BA413"/>
    <mergeCell ref="BC307:BC413"/>
    <mergeCell ref="BA438:BA470"/>
    <mergeCell ref="BC438:BC470"/>
    <mergeCell ref="AY87:AY89"/>
    <mergeCell ref="AU438:AU470"/>
    <mergeCell ref="AY438:AY470"/>
    <mergeCell ref="AO83:AO85"/>
    <mergeCell ref="AO87:AO89"/>
    <mergeCell ref="AO91:AO93"/>
    <mergeCell ref="AO95:AO97"/>
    <mergeCell ref="AO307:AO413"/>
    <mergeCell ref="AO438:AO470"/>
    <mergeCell ref="AK87:AK89"/>
    <mergeCell ref="AM87:AM89"/>
    <mergeCell ref="AK91:AK93"/>
  </mergeCells>
  <phoneticPr fontId="85" type="noConversion"/>
  <printOptions horizontalCentered="1" verticalCentered="1"/>
  <pageMargins left="0" right="0" top="0" bottom="0" header="0" footer="0"/>
  <pageSetup scale="4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theme="4" tint="0.39997558519241921"/>
  </sheetPr>
  <dimension ref="B1:CB352"/>
  <sheetViews>
    <sheetView zoomScale="85" zoomScaleNormal="85" workbookViewId="0">
      <pane xSplit="3" ySplit="3" topLeftCell="O4" activePane="bottomRight" state="frozen"/>
      <selection pane="topRight" activeCell="D1" sqref="D1"/>
      <selection pane="bottomLeft" activeCell="A4" sqref="A4"/>
      <selection pane="bottomRight" activeCell="AY23" sqref="AY23"/>
    </sheetView>
  </sheetViews>
  <sheetFormatPr defaultRowHeight="14.4" x14ac:dyDescent="0.3"/>
  <cols>
    <col min="1" max="1" width="2.5546875" customWidth="1"/>
    <col min="2" max="2" width="45.109375" customWidth="1"/>
    <col min="3" max="3" width="46.109375" bestFit="1" customWidth="1"/>
    <col min="4" max="4" width="7.5546875" hidden="1" customWidth="1"/>
    <col min="5" max="5" width="11.5546875" customWidth="1"/>
    <col min="6" max="6" width="7.5546875" hidden="1" customWidth="1"/>
    <col min="7" max="7" width="9.44140625" customWidth="1"/>
    <col min="8" max="8" width="7.5546875" hidden="1" customWidth="1"/>
    <col min="9" max="9" width="9.44140625" hidden="1" customWidth="1"/>
    <col min="10" max="10" width="7.88671875" style="146" hidden="1" customWidth="1"/>
    <col min="11" max="11" width="10.33203125" style="146" customWidth="1"/>
    <col min="12" max="12" width="7.88671875" hidden="1" customWidth="1"/>
    <col min="13" max="13" width="11.44140625" customWidth="1"/>
    <col min="14" max="14" width="7.88671875" hidden="1" customWidth="1"/>
    <col min="15" max="15" width="11.33203125" customWidth="1"/>
    <col min="16" max="16" width="7.5546875" hidden="1" customWidth="1"/>
    <col min="17" max="17" width="9.44140625" hidden="1" customWidth="1"/>
    <col min="18" max="18" width="7.88671875" hidden="1" customWidth="1"/>
    <col min="19" max="19" width="10.33203125" customWidth="1"/>
    <col min="20" max="20" width="7.5546875" hidden="1" customWidth="1"/>
    <col min="21" max="21" width="9.44140625" hidden="1" customWidth="1"/>
    <col min="22" max="22" width="8" hidden="1" customWidth="1"/>
    <col min="23" max="23" width="10.33203125" customWidth="1"/>
    <col min="24" max="24" width="7.88671875" hidden="1" customWidth="1"/>
    <col min="25" max="25" width="11.44140625" customWidth="1"/>
    <col min="26" max="26" width="7.88671875" hidden="1" customWidth="1"/>
    <col min="27" max="27" width="11.5546875" customWidth="1"/>
    <col min="28" max="28" width="7.5546875" hidden="1" customWidth="1"/>
    <col min="29" max="29" width="9.109375" customWidth="1"/>
    <col min="30" max="30" width="9.109375" hidden="1" customWidth="1"/>
    <col min="31" max="31" width="9.109375" style="5080" hidden="1" customWidth="1"/>
    <col min="32" max="32" width="9.109375" hidden="1" customWidth="1"/>
    <col min="33" max="33" width="9.109375" customWidth="1"/>
    <col min="34" max="34" width="9.109375" hidden="1" customWidth="1"/>
    <col min="35" max="35" width="18.6640625" hidden="1" customWidth="1"/>
    <col min="36" max="36" width="9.109375" hidden="1" customWidth="1"/>
    <col min="37" max="37" width="9.109375" customWidth="1"/>
    <col min="38" max="38" width="7.5546875" hidden="1" customWidth="1"/>
    <col min="39" max="39" width="8.109375" bestFit="1" customWidth="1"/>
    <col min="40" max="40" width="9.109375" hidden="1" customWidth="1"/>
    <col min="41" max="41" width="9.44140625" hidden="1" customWidth="1"/>
    <col min="42" max="42" width="9.109375" hidden="1" customWidth="1"/>
    <col min="43" max="43" width="9.109375" customWidth="1"/>
    <col min="44" max="44" width="9.109375" hidden="1" customWidth="1"/>
    <col min="45" max="45" width="9.44140625" hidden="1" customWidth="1"/>
    <col min="46" max="46" width="9.109375" hidden="1" customWidth="1"/>
    <col min="47" max="47" width="9.109375" customWidth="1"/>
    <col min="48" max="48" width="7.5546875" hidden="1" customWidth="1"/>
    <col min="49" max="50" width="9.109375" hidden="1" customWidth="1"/>
    <col min="51" max="51" width="9.109375" customWidth="1"/>
    <col min="52" max="52" width="9.109375" hidden="1" customWidth="1"/>
    <col min="53" max="53" width="9.109375" customWidth="1"/>
    <col min="54" max="54" width="7.5546875" hidden="1" customWidth="1"/>
    <col min="55" max="55" width="9.44140625" bestFit="1" customWidth="1"/>
    <col min="56" max="56" width="9.109375" hidden="1" customWidth="1"/>
    <col min="57" max="57" width="9.44140625" bestFit="1" customWidth="1"/>
    <col min="59" max="59" width="9.6640625" bestFit="1" customWidth="1"/>
    <col min="60" max="60" width="17" bestFit="1" customWidth="1"/>
  </cols>
  <sheetData>
    <row r="1" spans="2:80" ht="15" thickBot="1" x14ac:dyDescent="0.35">
      <c r="BE1" s="2613"/>
    </row>
    <row r="2" spans="2:80" ht="21.9" customHeight="1" x14ac:dyDescent="0.3">
      <c r="B2" s="1455"/>
      <c r="C2" s="1458"/>
      <c r="D2" s="6157">
        <v>45748</v>
      </c>
      <c r="E2" s="6158"/>
      <c r="F2" s="6157">
        <v>45778</v>
      </c>
      <c r="G2" s="6158"/>
      <c r="H2" s="6153" t="s">
        <v>658</v>
      </c>
      <c r="I2" s="6154"/>
      <c r="J2" s="6151">
        <v>45809</v>
      </c>
      <c r="K2" s="6159"/>
      <c r="L2" s="6160" t="s">
        <v>637</v>
      </c>
      <c r="M2" s="6161"/>
      <c r="N2" s="6151">
        <v>45839</v>
      </c>
      <c r="O2" s="6152"/>
      <c r="P2" s="6153" t="s">
        <v>651</v>
      </c>
      <c r="Q2" s="6154"/>
      <c r="R2" s="6151">
        <v>45870</v>
      </c>
      <c r="S2" s="6152"/>
      <c r="T2" s="6153" t="s">
        <v>830</v>
      </c>
      <c r="U2" s="6154"/>
      <c r="V2" s="6151">
        <v>45901</v>
      </c>
      <c r="W2" s="6152"/>
      <c r="X2" s="6160" t="s">
        <v>660</v>
      </c>
      <c r="Y2" s="6173"/>
      <c r="Z2" s="6156" t="s">
        <v>657</v>
      </c>
      <c r="AA2" s="6156"/>
      <c r="AB2" s="6151">
        <v>45931</v>
      </c>
      <c r="AC2" s="6152"/>
      <c r="AD2" s="6153" t="s">
        <v>1090</v>
      </c>
      <c r="AE2" s="6154"/>
      <c r="AF2" s="6151">
        <v>45962</v>
      </c>
      <c r="AG2" s="6152"/>
      <c r="AH2" s="6153" t="s">
        <v>1599</v>
      </c>
      <c r="AI2" s="6154"/>
      <c r="AJ2" s="6151">
        <v>45992</v>
      </c>
      <c r="AK2" s="6152"/>
      <c r="AL2" s="6160" t="s">
        <v>662</v>
      </c>
      <c r="AM2" s="6161"/>
      <c r="AN2" s="6153" t="s">
        <v>908</v>
      </c>
      <c r="AO2" s="6154"/>
      <c r="AP2" s="6151">
        <v>46023</v>
      </c>
      <c r="AQ2" s="6152"/>
      <c r="AR2" s="6153" t="s">
        <v>1631</v>
      </c>
      <c r="AS2" s="6154"/>
      <c r="AT2" s="6151">
        <v>46054</v>
      </c>
      <c r="AU2" s="6152"/>
      <c r="AV2" s="6153" t="s">
        <v>1637</v>
      </c>
      <c r="AW2" s="6154"/>
      <c r="AX2" s="6151">
        <v>46082</v>
      </c>
      <c r="AY2" s="6152"/>
      <c r="AZ2" s="6160" t="s">
        <v>663</v>
      </c>
      <c r="BA2" s="6173"/>
      <c r="BB2" s="6156" t="s">
        <v>670</v>
      </c>
      <c r="BC2" s="6156"/>
      <c r="BD2" s="6153" t="s">
        <v>2041</v>
      </c>
      <c r="BE2" s="6154"/>
    </row>
    <row r="3" spans="2:80" s="1335" customFormat="1" ht="21.9" customHeight="1" thickBot="1" x14ac:dyDescent="0.35">
      <c r="B3" s="1456"/>
      <c r="C3" s="1459"/>
      <c r="D3" s="1457" t="s">
        <v>1211</v>
      </c>
      <c r="E3" s="1454" t="s">
        <v>1212</v>
      </c>
      <c r="F3" s="1457" t="s">
        <v>1211</v>
      </c>
      <c r="G3" s="1454" t="s">
        <v>1212</v>
      </c>
      <c r="H3" s="1462" t="s">
        <v>1211</v>
      </c>
      <c r="I3" s="1461" t="s">
        <v>1212</v>
      </c>
      <c r="J3" s="1497" t="s">
        <v>1211</v>
      </c>
      <c r="K3" s="2097" t="s">
        <v>1212</v>
      </c>
      <c r="L3" s="2098" t="s">
        <v>1211</v>
      </c>
      <c r="M3" s="2099" t="s">
        <v>1212</v>
      </c>
      <c r="N3" s="1497" t="s">
        <v>1211</v>
      </c>
      <c r="O3" s="1498" t="s">
        <v>1212</v>
      </c>
      <c r="P3" s="1462" t="s">
        <v>1211</v>
      </c>
      <c r="Q3" s="1461" t="s">
        <v>1212</v>
      </c>
      <c r="R3" s="1497" t="s">
        <v>1211</v>
      </c>
      <c r="S3" s="1498" t="s">
        <v>1212</v>
      </c>
      <c r="T3" s="1462" t="s">
        <v>1211</v>
      </c>
      <c r="U3" s="1461" t="s">
        <v>1212</v>
      </c>
      <c r="V3" s="1497" t="s">
        <v>1211</v>
      </c>
      <c r="W3" s="1498" t="s">
        <v>1212</v>
      </c>
      <c r="X3" s="2098" t="s">
        <v>1211</v>
      </c>
      <c r="Y3" s="2651" t="s">
        <v>1212</v>
      </c>
      <c r="Z3" s="2652" t="s">
        <v>1211</v>
      </c>
      <c r="AA3" s="2652" t="s">
        <v>1212</v>
      </c>
      <c r="AB3" s="1497" t="s">
        <v>1211</v>
      </c>
      <c r="AC3" s="1498" t="s">
        <v>1212</v>
      </c>
      <c r="AD3" s="5081" t="s">
        <v>1211</v>
      </c>
      <c r="AE3" s="5104" t="s">
        <v>1212</v>
      </c>
      <c r="AF3" s="5096" t="s">
        <v>1211</v>
      </c>
      <c r="AG3" s="1498" t="s">
        <v>1212</v>
      </c>
      <c r="AH3" s="1462" t="s">
        <v>1211</v>
      </c>
      <c r="AI3" s="1461" t="s">
        <v>1212</v>
      </c>
      <c r="AJ3" s="1497" t="s">
        <v>1211</v>
      </c>
      <c r="AK3" s="1498" t="s">
        <v>1212</v>
      </c>
      <c r="AL3" s="2098" t="s">
        <v>1211</v>
      </c>
      <c r="AM3" s="2099" t="s">
        <v>1212</v>
      </c>
      <c r="AN3" s="1462" t="s">
        <v>1211</v>
      </c>
      <c r="AO3" s="1461" t="s">
        <v>1212</v>
      </c>
      <c r="AP3" s="1497" t="s">
        <v>1211</v>
      </c>
      <c r="AQ3" s="1498" t="s">
        <v>1212</v>
      </c>
      <c r="AR3" s="1462" t="s">
        <v>1211</v>
      </c>
      <c r="AS3" s="1461" t="s">
        <v>1212</v>
      </c>
      <c r="AT3" s="1497" t="s">
        <v>1211</v>
      </c>
      <c r="AU3" s="1498" t="s">
        <v>1212</v>
      </c>
      <c r="AV3" s="1462" t="s">
        <v>1211</v>
      </c>
      <c r="AW3" s="1461" t="s">
        <v>1212</v>
      </c>
      <c r="AX3" s="1497" t="s">
        <v>1211</v>
      </c>
      <c r="AY3" s="1498" t="s">
        <v>1212</v>
      </c>
      <c r="AZ3" s="2098" t="s">
        <v>1211</v>
      </c>
      <c r="BA3" s="2651" t="s">
        <v>1212</v>
      </c>
      <c r="BB3" s="2652" t="s">
        <v>1211</v>
      </c>
      <c r="BC3" s="2652" t="s">
        <v>1212</v>
      </c>
      <c r="BD3" s="1462" t="s">
        <v>1211</v>
      </c>
      <c r="BE3" s="1461" t="s">
        <v>1212</v>
      </c>
    </row>
    <row r="4" spans="2:80" ht="21.9" customHeight="1" thickBot="1" x14ac:dyDescent="0.35">
      <c r="B4" s="6145" t="s">
        <v>1213</v>
      </c>
      <c r="C4" s="1440" t="s">
        <v>1008</v>
      </c>
      <c r="D4" s="1453">
        <v>14.1</v>
      </c>
      <c r="E4" s="1460">
        <v>52558</v>
      </c>
      <c r="F4" s="1453">
        <v>14.2</v>
      </c>
      <c r="G4" s="1460">
        <v>51152</v>
      </c>
      <c r="H4" s="1463">
        <f>+D4+F4</f>
        <v>28.299999999999997</v>
      </c>
      <c r="I4" s="1464">
        <f>+G4+E4</f>
        <v>103710</v>
      </c>
      <c r="J4" s="1453">
        <v>10.5</v>
      </c>
      <c r="K4" s="1460">
        <v>39920</v>
      </c>
      <c r="L4" s="4471">
        <f>+D4+F4+J4</f>
        <v>38.799999999999997</v>
      </c>
      <c r="M4" s="4526">
        <f>+E4+G4+K4</f>
        <v>143630</v>
      </c>
      <c r="N4" s="1453">
        <v>11.4</v>
      </c>
      <c r="O4" s="1460">
        <v>45986</v>
      </c>
      <c r="P4" s="1522">
        <f>L4+N4</f>
        <v>50.199999999999996</v>
      </c>
      <c r="Q4" s="1522">
        <f>+E4+G4+K4+O4</f>
        <v>189616</v>
      </c>
      <c r="R4" s="1453">
        <v>10.7</v>
      </c>
      <c r="S4" s="1460">
        <v>41746.199999999997</v>
      </c>
      <c r="T4" s="1522">
        <f>P4+R4</f>
        <v>60.899999999999991</v>
      </c>
      <c r="U4" s="1522">
        <f>+E4+S4+O4+K4+G4</f>
        <v>231362.2</v>
      </c>
      <c r="V4" s="1453">
        <v>10.8</v>
      </c>
      <c r="W4" s="1460">
        <v>42309.4</v>
      </c>
      <c r="X4" s="4471">
        <f>+N4+R4+V4</f>
        <v>32.900000000000006</v>
      </c>
      <c r="Y4" s="4527">
        <f>+O4+S4+W4</f>
        <v>130041.60000000001</v>
      </c>
      <c r="Z4" s="4472">
        <f>L4+X4</f>
        <v>71.7</v>
      </c>
      <c r="AA4" s="4469">
        <f>+W4+S4+O4+K4+G4+E4</f>
        <v>273671.59999999998</v>
      </c>
      <c r="AB4" s="1453">
        <v>10.8</v>
      </c>
      <c r="AC4" s="1460">
        <v>41546.400000000001</v>
      </c>
      <c r="AD4" s="5082">
        <f>Z4+AB4</f>
        <v>82.5</v>
      </c>
      <c r="AE4" s="5021">
        <f>+AC4+W4+S4+O4+K4+G4+E4</f>
        <v>315218</v>
      </c>
      <c r="AF4" s="1453">
        <v>7.3</v>
      </c>
      <c r="AG4" s="1460">
        <v>28660.42</v>
      </c>
      <c r="AH4" s="1463">
        <f>AD4+AF4</f>
        <v>89.8</v>
      </c>
      <c r="AI4" s="1522">
        <f>+AG4+AC4+W4+S4+O4+K4+G4+E4</f>
        <v>343878.42</v>
      </c>
      <c r="AJ4" s="1453">
        <v>6.4</v>
      </c>
      <c r="AK4" s="1460">
        <v>46095.09</v>
      </c>
      <c r="AL4" s="4471">
        <f>+AB4+AF4+AJ4</f>
        <v>24.5</v>
      </c>
      <c r="AM4" s="4526">
        <f>+AC4+AG4+AK4</f>
        <v>116301.91</v>
      </c>
      <c r="AN4" s="1463">
        <f>AH4+AJ4</f>
        <v>96.2</v>
      </c>
      <c r="AO4" s="1522">
        <f>+AK4+AG4+AC4+W4+S4+O4+K4+G4+E4</f>
        <v>389973.51</v>
      </c>
      <c r="AP4" s="1453">
        <v>10.1</v>
      </c>
      <c r="AQ4" s="1460">
        <v>40797.53</v>
      </c>
      <c r="AR4" s="1463">
        <f>AN4+AP4</f>
        <v>106.3</v>
      </c>
      <c r="AS4" s="1522">
        <f>+AQ4+AK4+AG4+AC4+W4+S4+O4+K4+G4+E4</f>
        <v>430771.04</v>
      </c>
      <c r="AT4" s="1453">
        <v>12.5</v>
      </c>
      <c r="AU4" s="1460">
        <v>47894.83</v>
      </c>
      <c r="AV4" s="1463">
        <f>AR4+AT4</f>
        <v>118.8</v>
      </c>
      <c r="AW4" s="1522">
        <f>+AU4+AQ4+AK4+AG4+AC4+W4+S4+O4+K4+G4+E4</f>
        <v>478665.87</v>
      </c>
      <c r="AX4" s="1453">
        <v>14.5</v>
      </c>
      <c r="AY4" s="1460">
        <v>56660.94</v>
      </c>
      <c r="AZ4" s="4471">
        <f>+AP4+AT4+AX4</f>
        <v>37.1</v>
      </c>
      <c r="BA4" s="4527">
        <f>+AQ4+AU4+AY4</f>
        <v>145353.29999999999</v>
      </c>
      <c r="BB4" s="4472">
        <f>AL4+AZ4</f>
        <v>61.6</v>
      </c>
      <c r="BC4" s="4469">
        <f>AM4+BA4</f>
        <v>261655.21</v>
      </c>
      <c r="BD4" s="1463">
        <f>AV4+AX4</f>
        <v>133.30000000000001</v>
      </c>
      <c r="BE4" s="1522">
        <f>+BC4+AA4</f>
        <v>535326.80999999994</v>
      </c>
      <c r="BF4" s="1202"/>
      <c r="BG4" s="1202"/>
      <c r="BH4" s="528"/>
      <c r="BI4" s="528"/>
      <c r="BJ4" s="528"/>
      <c r="BQ4" s="528"/>
      <c r="BR4" s="528"/>
      <c r="BS4" s="528"/>
      <c r="BT4" s="528"/>
      <c r="BU4" s="528"/>
      <c r="BV4" s="528"/>
      <c r="BW4" s="528"/>
      <c r="BX4" s="528"/>
      <c r="BY4" s="528"/>
      <c r="BZ4" s="528"/>
      <c r="CA4" s="528"/>
      <c r="CB4" s="528"/>
    </row>
    <row r="5" spans="2:80" ht="21.9" customHeight="1" thickBot="1" x14ac:dyDescent="0.35">
      <c r="B5" s="6146"/>
      <c r="C5" s="4528" t="s">
        <v>1009</v>
      </c>
      <c r="D5" s="4529">
        <v>10.6</v>
      </c>
      <c r="E5" s="4530">
        <v>40502</v>
      </c>
      <c r="F5" s="4529">
        <v>13.2</v>
      </c>
      <c r="G5" s="4530">
        <v>47881</v>
      </c>
      <c r="H5" s="1463">
        <f t="shared" ref="H5:H75" si="0">+D5+F5</f>
        <v>23.799999999999997</v>
      </c>
      <c r="I5" s="1464">
        <f t="shared" ref="I5:I74" si="1">+G5+E5</f>
        <v>88383</v>
      </c>
      <c r="J5" s="4529">
        <v>10.6</v>
      </c>
      <c r="K5" s="4530">
        <v>40444</v>
      </c>
      <c r="L5" s="4471">
        <f>+D5+F5+J5</f>
        <v>34.4</v>
      </c>
      <c r="M5" s="4526">
        <f t="shared" ref="M5:M74" si="2">+E5+G5+K5</f>
        <v>128827</v>
      </c>
      <c r="N5" s="4529">
        <v>7.2</v>
      </c>
      <c r="O5" s="4530">
        <v>27251.599999999999</v>
      </c>
      <c r="P5" s="1522">
        <f t="shared" ref="P5:P18" si="3">L5+N5</f>
        <v>41.6</v>
      </c>
      <c r="Q5" s="1522">
        <f t="shared" ref="Q5:Q74" si="4">+E5+G5+K5+O5</f>
        <v>156078.6</v>
      </c>
      <c r="R5" s="4529">
        <v>10</v>
      </c>
      <c r="S5" s="4530">
        <v>40295.519999999997</v>
      </c>
      <c r="T5" s="1522">
        <f t="shared" ref="T5:T74" si="5">P5+R5</f>
        <v>51.6</v>
      </c>
      <c r="U5" s="1522">
        <f t="shared" ref="U5:U74" si="6">+E5+S5+O5+K5+G5</f>
        <v>196374.12</v>
      </c>
      <c r="V5" s="4529">
        <v>12.3</v>
      </c>
      <c r="W5" s="4530">
        <v>49970.600000000006</v>
      </c>
      <c r="X5" s="4471">
        <f t="shared" ref="X5:X74" si="7">+N5+R5+V5</f>
        <v>29.5</v>
      </c>
      <c r="Y5" s="4527">
        <f t="shared" ref="Y5:Y74" si="8">+O5+S5+W5</f>
        <v>117517.72</v>
      </c>
      <c r="Z5" s="4472">
        <f t="shared" ref="Z5:Z74" si="9">L5+X5</f>
        <v>63.9</v>
      </c>
      <c r="AA5" s="4469">
        <f t="shared" ref="AA5:AA74" si="10">+W5+S5+O5+K5+G5+E5</f>
        <v>246344.72</v>
      </c>
      <c r="AB5" s="4529">
        <v>8.6</v>
      </c>
      <c r="AC5" s="4530">
        <v>33378.6</v>
      </c>
      <c r="AD5" s="5082">
        <f t="shared" ref="AD5:AD74" si="11">Z5+AB5</f>
        <v>72.5</v>
      </c>
      <c r="AE5" s="5021">
        <f t="shared" ref="AE5:AE74" si="12">+AC5+W5+S5+O5+K5+G5+E5</f>
        <v>279723.32</v>
      </c>
      <c r="AF5" s="5074">
        <v>6.8999999999999995</v>
      </c>
      <c r="AG5" s="4530">
        <v>27203.899999999998</v>
      </c>
      <c r="AH5" s="1463">
        <f t="shared" ref="AH5:AH6" si="13">AD5+AF5</f>
        <v>79.400000000000006</v>
      </c>
      <c r="AI5" s="1522">
        <f t="shared" ref="AI5:AI74" si="14">+AG5+AC5+W5+S5+O5+K5+G5+E5</f>
        <v>306927.21999999997</v>
      </c>
      <c r="AJ5" s="4529">
        <v>4.0999999999999996</v>
      </c>
      <c r="AK5" s="4530">
        <v>35578.44</v>
      </c>
      <c r="AL5" s="4471">
        <f t="shared" ref="AL5:AL6" si="15">+AB5+AF5+AJ5</f>
        <v>19.600000000000001</v>
      </c>
      <c r="AM5" s="4526">
        <f t="shared" ref="AM5:AM74" si="16">+AC5+AG5+AK5</f>
        <v>96160.94</v>
      </c>
      <c r="AN5" s="1463">
        <f t="shared" ref="AN5:AN23" si="17">AH5+AJ5</f>
        <v>83.5</v>
      </c>
      <c r="AO5" s="1522">
        <f t="shared" ref="AO5:AO74" si="18">+AK5+AG5+AC5+W5+S5+O5+K5+G5+E5</f>
        <v>342505.66000000003</v>
      </c>
      <c r="AP5" s="4529">
        <v>5</v>
      </c>
      <c r="AQ5" s="4530">
        <v>20550.02</v>
      </c>
      <c r="AR5" s="1463">
        <f t="shared" ref="AR5:AR6" si="19">AN5+AP5</f>
        <v>88.5</v>
      </c>
      <c r="AS5" s="1522">
        <f t="shared" ref="AS5:AS74" si="20">+AQ5+AK5+AG5+AC5+W5+S5+O5+K5+G5+E5</f>
        <v>363055.68</v>
      </c>
      <c r="AT5" s="4529">
        <v>2.7</v>
      </c>
      <c r="AU5" s="4530">
        <v>11617.39</v>
      </c>
      <c r="AV5" s="1463">
        <f t="shared" ref="AV5:AV6" si="21">AR5+AT5</f>
        <v>91.2</v>
      </c>
      <c r="AW5" s="1522">
        <f t="shared" ref="AW5:AW74" si="22">+AU5+AQ5+AK5+AG5+AC5+W5+S5+O5+K5+G5+E5</f>
        <v>374673.07</v>
      </c>
      <c r="AX5" s="4529">
        <v>1.9</v>
      </c>
      <c r="AY5" s="4530">
        <v>8290.2999999999993</v>
      </c>
      <c r="AZ5" s="4471">
        <f t="shared" ref="AZ5:AZ6" si="23">+AP5+AT5+AX5</f>
        <v>9.6</v>
      </c>
      <c r="BA5" s="4527">
        <f t="shared" ref="BA5:BA74" si="24">+AQ5+AU5+AY5</f>
        <v>40457.71</v>
      </c>
      <c r="BB5" s="4472">
        <f t="shared" ref="BB5:BB6" si="25">AL5+AZ5</f>
        <v>29.200000000000003</v>
      </c>
      <c r="BC5" s="4469">
        <f t="shared" ref="BC5:BC74" si="26">AM5+BA5</f>
        <v>136618.65</v>
      </c>
      <c r="BD5" s="1463">
        <f t="shared" ref="BD5:BD6" si="27">AV5+AX5</f>
        <v>93.100000000000009</v>
      </c>
      <c r="BE5" s="1522">
        <f t="shared" ref="BE5:BE74" si="28">+BC5+AA5</f>
        <v>382963.37</v>
      </c>
      <c r="BF5" s="1202"/>
      <c r="BG5" s="1202"/>
      <c r="BH5" s="528"/>
      <c r="BI5" s="528"/>
      <c r="BJ5" s="528"/>
      <c r="BQ5" s="528"/>
      <c r="BR5" s="528"/>
      <c r="BS5" s="528"/>
      <c r="BT5" s="528"/>
      <c r="BU5" s="528"/>
      <c r="BV5" s="528"/>
      <c r="BW5" s="528"/>
      <c r="BX5" s="528"/>
      <c r="BY5" s="528"/>
      <c r="BZ5" s="528"/>
      <c r="CA5" s="528"/>
      <c r="CB5" s="528"/>
    </row>
    <row r="6" spans="2:80" ht="21.9" customHeight="1" x14ac:dyDescent="0.3">
      <c r="B6" s="6146"/>
      <c r="C6" s="4528" t="s">
        <v>1214</v>
      </c>
      <c r="D6" s="4529">
        <v>0</v>
      </c>
      <c r="E6" s="4530">
        <v>0</v>
      </c>
      <c r="F6" s="4529">
        <v>0</v>
      </c>
      <c r="G6" s="4530">
        <v>0</v>
      </c>
      <c r="H6" s="1463">
        <f t="shared" si="0"/>
        <v>0</v>
      </c>
      <c r="I6" s="1464">
        <f t="shared" si="1"/>
        <v>0</v>
      </c>
      <c r="J6" s="4529">
        <v>0</v>
      </c>
      <c r="K6" s="4530">
        <v>0</v>
      </c>
      <c r="L6" s="4471">
        <f t="shared" ref="L6:L75" si="29">+D6+F6+J6</f>
        <v>0</v>
      </c>
      <c r="M6" s="4526">
        <f t="shared" si="2"/>
        <v>0</v>
      </c>
      <c r="N6" s="4529">
        <v>0</v>
      </c>
      <c r="O6" s="4530">
        <v>0</v>
      </c>
      <c r="P6" s="1522">
        <f t="shared" si="3"/>
        <v>0</v>
      </c>
      <c r="Q6" s="1522">
        <f t="shared" si="4"/>
        <v>0</v>
      </c>
      <c r="R6" s="4529">
        <v>0</v>
      </c>
      <c r="S6" s="4530">
        <v>0</v>
      </c>
      <c r="T6" s="1522">
        <f t="shared" si="5"/>
        <v>0</v>
      </c>
      <c r="U6" s="1522">
        <f t="shared" si="6"/>
        <v>0</v>
      </c>
      <c r="V6" s="4529">
        <v>0</v>
      </c>
      <c r="W6" s="4530">
        <v>0</v>
      </c>
      <c r="X6" s="4471">
        <f t="shared" si="7"/>
        <v>0</v>
      </c>
      <c r="Y6" s="4527">
        <f t="shared" si="8"/>
        <v>0</v>
      </c>
      <c r="Z6" s="4472">
        <f t="shared" si="9"/>
        <v>0</v>
      </c>
      <c r="AA6" s="4469">
        <f t="shared" si="10"/>
        <v>0</v>
      </c>
      <c r="AB6" s="4529">
        <v>0</v>
      </c>
      <c r="AC6" s="4530">
        <v>0</v>
      </c>
      <c r="AD6" s="5082">
        <f t="shared" si="11"/>
        <v>0</v>
      </c>
      <c r="AE6" s="5021">
        <f t="shared" si="12"/>
        <v>0</v>
      </c>
      <c r="AF6" s="5074">
        <v>0</v>
      </c>
      <c r="AG6" s="4530">
        <v>0</v>
      </c>
      <c r="AH6" s="1463">
        <f t="shared" si="13"/>
        <v>0</v>
      </c>
      <c r="AI6" s="1522">
        <f t="shared" si="14"/>
        <v>0</v>
      </c>
      <c r="AJ6" s="4529">
        <v>0</v>
      </c>
      <c r="AK6" s="4530">
        <v>0</v>
      </c>
      <c r="AL6" s="4471">
        <f t="shared" si="15"/>
        <v>0</v>
      </c>
      <c r="AM6" s="4526">
        <f t="shared" si="16"/>
        <v>0</v>
      </c>
      <c r="AN6" s="1463">
        <f t="shared" si="17"/>
        <v>0</v>
      </c>
      <c r="AO6" s="1522">
        <f t="shared" si="18"/>
        <v>0</v>
      </c>
      <c r="AP6" s="4529">
        <v>0</v>
      </c>
      <c r="AQ6" s="4530">
        <v>0</v>
      </c>
      <c r="AR6" s="1463">
        <f t="shared" si="19"/>
        <v>0</v>
      </c>
      <c r="AS6" s="1522">
        <f t="shared" si="20"/>
        <v>0</v>
      </c>
      <c r="AT6" s="4529">
        <v>0</v>
      </c>
      <c r="AU6" s="4530">
        <v>0</v>
      </c>
      <c r="AV6" s="1463">
        <f t="shared" si="21"/>
        <v>0</v>
      </c>
      <c r="AW6" s="1522">
        <f t="shared" si="22"/>
        <v>0</v>
      </c>
      <c r="AX6" s="4529">
        <v>0</v>
      </c>
      <c r="AY6" s="4530">
        <v>0</v>
      </c>
      <c r="AZ6" s="4471">
        <f t="shared" si="23"/>
        <v>0</v>
      </c>
      <c r="BA6" s="4527">
        <f t="shared" si="24"/>
        <v>0</v>
      </c>
      <c r="BB6" s="4472">
        <f t="shared" si="25"/>
        <v>0</v>
      </c>
      <c r="BC6" s="4469">
        <f t="shared" si="26"/>
        <v>0</v>
      </c>
      <c r="BD6" s="1463">
        <f t="shared" si="27"/>
        <v>0</v>
      </c>
      <c r="BE6" s="1522">
        <f t="shared" si="28"/>
        <v>0</v>
      </c>
      <c r="BF6" s="1202"/>
      <c r="BG6" s="1202"/>
      <c r="BH6" s="528"/>
      <c r="BI6" s="528"/>
      <c r="BJ6" s="528"/>
      <c r="BQ6" s="528"/>
      <c r="BR6" s="528"/>
      <c r="BS6" s="528"/>
      <c r="BT6" s="528"/>
      <c r="BU6" s="528"/>
      <c r="BV6" s="528"/>
      <c r="BW6" s="528"/>
      <c r="BX6" s="528"/>
      <c r="BY6" s="528"/>
      <c r="BZ6" s="528"/>
      <c r="CA6" s="528"/>
      <c r="CB6" s="528"/>
    </row>
    <row r="7" spans="2:80" ht="21.9" customHeight="1" thickBot="1" x14ac:dyDescent="0.35">
      <c r="B7" s="6146"/>
      <c r="C7" s="4531" t="s">
        <v>2</v>
      </c>
      <c r="D7" s="4532">
        <f>SUM(D4:D6)</f>
        <v>24.7</v>
      </c>
      <c r="E7" s="4533">
        <f t="shared" ref="E7:BE7" si="30">SUM(E4:E6)</f>
        <v>93060</v>
      </c>
      <c r="F7" s="4533">
        <f t="shared" si="30"/>
        <v>27.4</v>
      </c>
      <c r="G7" s="4533">
        <f t="shared" si="30"/>
        <v>99033</v>
      </c>
      <c r="H7" s="4533">
        <f t="shared" si="30"/>
        <v>52.099999999999994</v>
      </c>
      <c r="I7" s="4533">
        <f t="shared" si="30"/>
        <v>192093</v>
      </c>
      <c r="J7" s="4533">
        <f t="shared" si="30"/>
        <v>21.1</v>
      </c>
      <c r="K7" s="4533">
        <f t="shared" si="30"/>
        <v>80364</v>
      </c>
      <c r="L7" s="4533">
        <f t="shared" si="30"/>
        <v>73.199999999999989</v>
      </c>
      <c r="M7" s="4533">
        <f t="shared" si="30"/>
        <v>272457</v>
      </c>
      <c r="N7" s="4533">
        <f t="shared" si="30"/>
        <v>18.600000000000001</v>
      </c>
      <c r="O7" s="4533">
        <f t="shared" si="30"/>
        <v>73237.600000000006</v>
      </c>
      <c r="P7" s="4533">
        <f t="shared" si="30"/>
        <v>91.8</v>
      </c>
      <c r="Q7" s="4533">
        <f t="shared" si="30"/>
        <v>345694.6</v>
      </c>
      <c r="R7" s="4533">
        <f t="shared" si="30"/>
        <v>20.7</v>
      </c>
      <c r="S7" s="4533">
        <f t="shared" si="30"/>
        <v>82041.72</v>
      </c>
      <c r="T7" s="4533">
        <f t="shared" si="30"/>
        <v>112.5</v>
      </c>
      <c r="U7" s="4533">
        <f t="shared" si="30"/>
        <v>427736.32000000001</v>
      </c>
      <c r="V7" s="4533">
        <f t="shared" si="30"/>
        <v>23.1</v>
      </c>
      <c r="W7" s="4533">
        <f t="shared" si="30"/>
        <v>92280</v>
      </c>
      <c r="X7" s="4533">
        <f t="shared" si="30"/>
        <v>62.400000000000006</v>
      </c>
      <c r="Y7" s="4533">
        <f t="shared" si="30"/>
        <v>247559.32</v>
      </c>
      <c r="Z7" s="4533">
        <f t="shared" si="30"/>
        <v>135.6</v>
      </c>
      <c r="AA7" s="4533">
        <f t="shared" si="30"/>
        <v>520016.31999999995</v>
      </c>
      <c r="AB7" s="4533">
        <f t="shared" si="30"/>
        <v>19.399999999999999</v>
      </c>
      <c r="AC7" s="4533">
        <f t="shared" si="30"/>
        <v>74925</v>
      </c>
      <c r="AD7" s="5083">
        <f t="shared" si="30"/>
        <v>155</v>
      </c>
      <c r="AE7" s="4944">
        <f t="shared" si="30"/>
        <v>594941.32000000007</v>
      </c>
      <c r="AF7" s="5057">
        <f t="shared" si="30"/>
        <v>14.2</v>
      </c>
      <c r="AG7" s="4533">
        <f t="shared" ref="AG7" si="31">SUM(AG4:AG6)</f>
        <v>55864.319999999992</v>
      </c>
      <c r="AH7" s="4533">
        <f t="shared" si="30"/>
        <v>169.2</v>
      </c>
      <c r="AI7" s="4533">
        <f t="shared" si="14"/>
        <v>650805.64</v>
      </c>
      <c r="AJ7" s="4533">
        <f t="shared" si="30"/>
        <v>10.5</v>
      </c>
      <c r="AK7" s="4533">
        <f t="shared" si="30"/>
        <v>81673.53</v>
      </c>
      <c r="AL7" s="4533">
        <f t="shared" si="30"/>
        <v>44.1</v>
      </c>
      <c r="AM7" s="4533">
        <f t="shared" si="30"/>
        <v>212462.85</v>
      </c>
      <c r="AN7" s="4533">
        <f t="shared" si="30"/>
        <v>179.7</v>
      </c>
      <c r="AO7" s="4533">
        <f t="shared" si="30"/>
        <v>732479.17</v>
      </c>
      <c r="AP7" s="4533">
        <f t="shared" ref="AP7:AQ7" si="32">SUM(AP4:AP6)</f>
        <v>15.1</v>
      </c>
      <c r="AQ7" s="4533">
        <f t="shared" si="32"/>
        <v>61347.55</v>
      </c>
      <c r="AR7" s="4533">
        <f t="shared" si="30"/>
        <v>194.8</v>
      </c>
      <c r="AS7" s="4533">
        <f t="shared" si="30"/>
        <v>793826.72</v>
      </c>
      <c r="AT7" s="4533">
        <f t="shared" si="30"/>
        <v>15.2</v>
      </c>
      <c r="AU7" s="4533">
        <f t="shared" si="30"/>
        <v>59512.22</v>
      </c>
      <c r="AV7" s="4533">
        <f t="shared" si="30"/>
        <v>210</v>
      </c>
      <c r="AW7" s="4533">
        <f t="shared" si="30"/>
        <v>853338.94</v>
      </c>
      <c r="AX7" s="4533">
        <f t="shared" ref="AX7:AY7" si="33">SUM(AX4:AX6)</f>
        <v>16.399999999999999</v>
      </c>
      <c r="AY7" s="4533">
        <f t="shared" si="33"/>
        <v>64951.240000000005</v>
      </c>
      <c r="AZ7" s="4533">
        <f t="shared" si="30"/>
        <v>46.7</v>
      </c>
      <c r="BA7" s="4533">
        <f t="shared" si="30"/>
        <v>185811.00999999998</v>
      </c>
      <c r="BB7" s="4533">
        <f t="shared" si="30"/>
        <v>90.800000000000011</v>
      </c>
      <c r="BC7" s="4533">
        <f t="shared" si="30"/>
        <v>398273.86</v>
      </c>
      <c r="BD7" s="4533">
        <f t="shared" si="30"/>
        <v>226.40000000000003</v>
      </c>
      <c r="BE7" s="4533">
        <f t="shared" si="30"/>
        <v>918290.17999999993</v>
      </c>
      <c r="BF7" s="1202"/>
      <c r="BG7" s="1202"/>
      <c r="BH7" s="528"/>
      <c r="BI7" s="528"/>
      <c r="BJ7" s="528"/>
      <c r="BQ7" s="528"/>
      <c r="BR7" s="528"/>
      <c r="BS7" s="528"/>
      <c r="BT7" s="528"/>
      <c r="BU7" s="528"/>
      <c r="BV7" s="528"/>
      <c r="BW7" s="528"/>
      <c r="BX7" s="528"/>
      <c r="BY7" s="528"/>
      <c r="BZ7" s="528"/>
      <c r="CA7" s="528"/>
      <c r="CB7" s="528"/>
    </row>
    <row r="8" spans="2:80" ht="21.9" customHeight="1" thickBot="1" x14ac:dyDescent="0.35">
      <c r="B8" s="6146"/>
      <c r="C8" s="4528" t="s">
        <v>1006</v>
      </c>
      <c r="D8" s="4529">
        <v>20.5</v>
      </c>
      <c r="E8" s="4530">
        <v>78260</v>
      </c>
      <c r="F8" s="4529">
        <v>16</v>
      </c>
      <c r="G8" s="4530">
        <v>61793</v>
      </c>
      <c r="H8" s="1463">
        <f t="shared" si="0"/>
        <v>36.5</v>
      </c>
      <c r="I8" s="1464">
        <f t="shared" si="1"/>
        <v>140053</v>
      </c>
      <c r="J8" s="4529">
        <v>9.1</v>
      </c>
      <c r="K8" s="4530">
        <v>34541</v>
      </c>
      <c r="L8" s="4471">
        <f t="shared" si="29"/>
        <v>45.6</v>
      </c>
      <c r="M8" s="4526">
        <f t="shared" si="2"/>
        <v>174594</v>
      </c>
      <c r="N8" s="4529">
        <v>10.1</v>
      </c>
      <c r="O8" s="4530">
        <v>38148.699999999997</v>
      </c>
      <c r="P8" s="1522">
        <f t="shared" si="3"/>
        <v>55.7</v>
      </c>
      <c r="Q8" s="1522">
        <f t="shared" si="4"/>
        <v>212742.7</v>
      </c>
      <c r="R8" s="4529">
        <v>6.5</v>
      </c>
      <c r="S8" s="4530">
        <v>24877.300000000003</v>
      </c>
      <c r="T8" s="1522">
        <f t="shared" si="5"/>
        <v>62.2</v>
      </c>
      <c r="U8" s="1522">
        <f t="shared" si="6"/>
        <v>237620</v>
      </c>
      <c r="V8" s="4529">
        <v>3</v>
      </c>
      <c r="W8" s="4530">
        <v>11483.900000000001</v>
      </c>
      <c r="X8" s="4471">
        <f t="shared" si="7"/>
        <v>19.600000000000001</v>
      </c>
      <c r="Y8" s="4527">
        <f t="shared" si="8"/>
        <v>74509.899999999994</v>
      </c>
      <c r="Z8" s="4472">
        <f t="shared" si="9"/>
        <v>65.2</v>
      </c>
      <c r="AA8" s="4469">
        <f t="shared" si="10"/>
        <v>249103.9</v>
      </c>
      <c r="AB8" s="4529">
        <v>5.6</v>
      </c>
      <c r="AC8" s="4530">
        <v>20853.599999999999</v>
      </c>
      <c r="AD8" s="5082">
        <f t="shared" si="11"/>
        <v>70.8</v>
      </c>
      <c r="AE8" s="5021">
        <f t="shared" si="12"/>
        <v>269957.5</v>
      </c>
      <c r="AF8" s="5074">
        <v>3</v>
      </c>
      <c r="AG8" s="4530">
        <v>11370.2</v>
      </c>
      <c r="AH8" s="1463">
        <f t="shared" ref="AH8:AH12" si="34">AD8+AF8</f>
        <v>73.8</v>
      </c>
      <c r="AI8" s="1522">
        <f t="shared" si="14"/>
        <v>281327.7</v>
      </c>
      <c r="AJ8" s="4529">
        <v>7.6</v>
      </c>
      <c r="AK8" s="4530">
        <v>22193</v>
      </c>
      <c r="AL8" s="4471">
        <f t="shared" ref="AL8:AL12" si="35">+AB8+AF8+AJ8</f>
        <v>16.2</v>
      </c>
      <c r="AM8" s="4526">
        <f t="shared" si="16"/>
        <v>54416.800000000003</v>
      </c>
      <c r="AN8" s="1463">
        <f t="shared" si="17"/>
        <v>81.399999999999991</v>
      </c>
      <c r="AO8" s="1522">
        <f t="shared" si="18"/>
        <v>303520.7</v>
      </c>
      <c r="AP8" s="4529">
        <v>6.5</v>
      </c>
      <c r="AQ8" s="4530">
        <v>24690.5</v>
      </c>
      <c r="AR8" s="1463">
        <f t="shared" ref="AR8:AR12" si="36">AN8+AP8</f>
        <v>87.899999999999991</v>
      </c>
      <c r="AS8" s="1522">
        <f t="shared" si="20"/>
        <v>328211.19999999995</v>
      </c>
      <c r="AT8" s="4529">
        <v>8.1</v>
      </c>
      <c r="AU8" s="4530">
        <v>31169.4</v>
      </c>
      <c r="AV8" s="1463">
        <f t="shared" ref="AV8:AV12" si="37">AR8+AT8</f>
        <v>95.999999999999986</v>
      </c>
      <c r="AW8" s="1522">
        <f t="shared" si="22"/>
        <v>359380.6</v>
      </c>
      <c r="AX8" s="4529">
        <v>6.8</v>
      </c>
      <c r="AY8" s="4530">
        <v>26191.21</v>
      </c>
      <c r="AZ8" s="4471">
        <f t="shared" ref="AZ8:AZ12" si="38">+AP8+AT8+AX8</f>
        <v>21.4</v>
      </c>
      <c r="BA8" s="4527">
        <f t="shared" si="24"/>
        <v>82051.11</v>
      </c>
      <c r="BB8" s="4472">
        <f t="shared" ref="BB8:BB12" si="39">AL8+AZ8</f>
        <v>37.599999999999994</v>
      </c>
      <c r="BC8" s="4469">
        <f t="shared" si="26"/>
        <v>136467.91</v>
      </c>
      <c r="BD8" s="1463">
        <f t="shared" ref="BD8:BD12" si="40">AV8+AX8</f>
        <v>102.79999999999998</v>
      </c>
      <c r="BE8" s="1522">
        <f t="shared" si="28"/>
        <v>385571.81</v>
      </c>
      <c r="BF8" s="1202"/>
      <c r="BG8" s="1202"/>
      <c r="BH8" s="528"/>
      <c r="BI8" s="528"/>
      <c r="BJ8" s="528"/>
      <c r="BQ8" s="528"/>
      <c r="BR8" s="528"/>
      <c r="BS8" s="528"/>
      <c r="BT8" s="528"/>
      <c r="BU8" s="528"/>
      <c r="BV8" s="528"/>
      <c r="BW8" s="528"/>
      <c r="BX8" s="528"/>
      <c r="BY8" s="528"/>
      <c r="BZ8" s="528"/>
      <c r="CA8" s="528"/>
      <c r="CB8" s="528"/>
    </row>
    <row r="9" spans="2:80" ht="21.9" customHeight="1" thickBot="1" x14ac:dyDescent="0.35">
      <c r="B9" s="6147"/>
      <c r="C9" s="1443" t="s">
        <v>1007</v>
      </c>
      <c r="D9" s="4534">
        <v>4.2</v>
      </c>
      <c r="E9" s="4535">
        <v>14800</v>
      </c>
      <c r="F9" s="4534">
        <v>11.4</v>
      </c>
      <c r="G9" s="4535">
        <v>37239</v>
      </c>
      <c r="H9" s="1463">
        <f t="shared" si="0"/>
        <v>15.600000000000001</v>
      </c>
      <c r="I9" s="1464">
        <f t="shared" si="1"/>
        <v>52039</v>
      </c>
      <c r="J9" s="4534">
        <v>12</v>
      </c>
      <c r="K9" s="4535">
        <v>45824</v>
      </c>
      <c r="L9" s="4471">
        <f t="shared" si="29"/>
        <v>27.6</v>
      </c>
      <c r="M9" s="4526">
        <f t="shared" si="2"/>
        <v>97863</v>
      </c>
      <c r="N9" s="4534">
        <v>8.5</v>
      </c>
      <c r="O9" s="4535">
        <v>35089.1</v>
      </c>
      <c r="P9" s="1522">
        <f t="shared" si="3"/>
        <v>36.1</v>
      </c>
      <c r="Q9" s="1522">
        <f t="shared" si="4"/>
        <v>132952.1</v>
      </c>
      <c r="R9" s="4534">
        <v>14.2</v>
      </c>
      <c r="S9" s="4535">
        <v>57164.42</v>
      </c>
      <c r="T9" s="1522">
        <f t="shared" si="5"/>
        <v>50.3</v>
      </c>
      <c r="U9" s="1522">
        <f t="shared" si="6"/>
        <v>190116.52</v>
      </c>
      <c r="V9" s="4534">
        <v>20.100000000000001</v>
      </c>
      <c r="W9" s="4535">
        <v>80796.100000000006</v>
      </c>
      <c r="X9" s="4471">
        <f t="shared" si="7"/>
        <v>42.8</v>
      </c>
      <c r="Y9" s="4527">
        <f t="shared" si="8"/>
        <v>173049.62</v>
      </c>
      <c r="Z9" s="4472">
        <f t="shared" si="9"/>
        <v>70.400000000000006</v>
      </c>
      <c r="AA9" s="4469">
        <f t="shared" si="10"/>
        <v>270912.62</v>
      </c>
      <c r="AB9" s="4534">
        <v>13.8</v>
      </c>
      <c r="AC9" s="4535">
        <v>54071.4</v>
      </c>
      <c r="AD9" s="5082">
        <f t="shared" si="11"/>
        <v>84.2</v>
      </c>
      <c r="AE9" s="5021">
        <f t="shared" si="12"/>
        <v>324984.02</v>
      </c>
      <c r="AF9" s="4534">
        <v>11.2</v>
      </c>
      <c r="AG9" s="4535">
        <v>44494.119999999995</v>
      </c>
      <c r="AH9" s="1463">
        <f t="shared" si="34"/>
        <v>95.4</v>
      </c>
      <c r="AI9" s="1522">
        <f t="shared" si="14"/>
        <v>369478.13999999996</v>
      </c>
      <c r="AJ9" s="4534">
        <v>2.9</v>
      </c>
      <c r="AK9" s="4535">
        <v>59480.53</v>
      </c>
      <c r="AL9" s="4471">
        <f t="shared" si="35"/>
        <v>27.9</v>
      </c>
      <c r="AM9" s="4526">
        <f t="shared" si="16"/>
        <v>158046.04999999999</v>
      </c>
      <c r="AN9" s="1463">
        <f t="shared" si="17"/>
        <v>98.300000000000011</v>
      </c>
      <c r="AO9" s="1522">
        <f t="shared" si="18"/>
        <v>428958.67</v>
      </c>
      <c r="AP9" s="4534">
        <v>8.6</v>
      </c>
      <c r="AQ9" s="4535">
        <v>36657.050000000003</v>
      </c>
      <c r="AR9" s="1463">
        <f t="shared" si="36"/>
        <v>106.9</v>
      </c>
      <c r="AS9" s="1522">
        <f t="shared" si="20"/>
        <v>465615.72</v>
      </c>
      <c r="AT9" s="4534">
        <v>7.1000000000000005</v>
      </c>
      <c r="AU9" s="4535">
        <v>28342.82</v>
      </c>
      <c r="AV9" s="1463">
        <f t="shared" si="37"/>
        <v>114</v>
      </c>
      <c r="AW9" s="1522">
        <f t="shared" si="22"/>
        <v>493958.54</v>
      </c>
      <c r="AX9" s="4534">
        <v>9.6</v>
      </c>
      <c r="AY9" s="4535">
        <v>38760.03</v>
      </c>
      <c r="AZ9" s="4471">
        <f t="shared" si="38"/>
        <v>25.299999999999997</v>
      </c>
      <c r="BA9" s="4527">
        <f t="shared" si="24"/>
        <v>103759.9</v>
      </c>
      <c r="BB9" s="4472">
        <f t="shared" si="39"/>
        <v>53.199999999999996</v>
      </c>
      <c r="BC9" s="4469">
        <f t="shared" si="26"/>
        <v>261805.94999999998</v>
      </c>
      <c r="BD9" s="1463">
        <f t="shared" si="40"/>
        <v>123.6</v>
      </c>
      <c r="BE9" s="1522">
        <f t="shared" si="28"/>
        <v>532718.56999999995</v>
      </c>
      <c r="BF9" s="1202"/>
      <c r="BG9" s="1202"/>
      <c r="BH9" s="528"/>
      <c r="BI9" s="528"/>
      <c r="BJ9" s="528"/>
      <c r="BQ9" s="528"/>
      <c r="BR9" s="528"/>
      <c r="BS9" s="528"/>
      <c r="BT9" s="528"/>
      <c r="BU9" s="528"/>
      <c r="BV9" s="528"/>
      <c r="BW9" s="528"/>
      <c r="BX9" s="528"/>
      <c r="BY9" s="528"/>
      <c r="BZ9" s="528"/>
      <c r="CA9" s="528"/>
      <c r="CB9" s="528"/>
    </row>
    <row r="10" spans="2:80" ht="21.9" customHeight="1" thickBot="1" x14ac:dyDescent="0.35">
      <c r="B10" s="6145" t="s">
        <v>1215</v>
      </c>
      <c r="C10" s="1440" t="s">
        <v>1008</v>
      </c>
      <c r="D10" s="1453">
        <v>58.9</v>
      </c>
      <c r="E10" s="1460">
        <v>221633</v>
      </c>
      <c r="F10" s="1453">
        <v>60.8</v>
      </c>
      <c r="G10" s="1460">
        <v>214121</v>
      </c>
      <c r="H10" s="1463">
        <f t="shared" si="0"/>
        <v>119.69999999999999</v>
      </c>
      <c r="I10" s="1464">
        <f t="shared" si="1"/>
        <v>435754</v>
      </c>
      <c r="J10" s="1453">
        <v>55.5</v>
      </c>
      <c r="K10" s="1460">
        <v>210544</v>
      </c>
      <c r="L10" s="4471">
        <f t="shared" si="29"/>
        <v>175.2</v>
      </c>
      <c r="M10" s="4526">
        <f t="shared" si="2"/>
        <v>646298</v>
      </c>
      <c r="N10" s="1453">
        <v>62.3</v>
      </c>
      <c r="O10" s="1460">
        <v>245889.94</v>
      </c>
      <c r="P10" s="1522">
        <f t="shared" si="3"/>
        <v>237.5</v>
      </c>
      <c r="Q10" s="1522">
        <f t="shared" si="4"/>
        <v>892187.94</v>
      </c>
      <c r="R10" s="1453">
        <v>51.3</v>
      </c>
      <c r="S10" s="1460">
        <v>198519.24</v>
      </c>
      <c r="T10" s="1522">
        <f t="shared" si="5"/>
        <v>288.8</v>
      </c>
      <c r="U10" s="1522">
        <f t="shared" si="6"/>
        <v>1090707.18</v>
      </c>
      <c r="V10" s="1453">
        <v>63.8</v>
      </c>
      <c r="W10" s="1460">
        <v>248966.46999999997</v>
      </c>
      <c r="X10" s="4471">
        <f t="shared" si="7"/>
        <v>177.39999999999998</v>
      </c>
      <c r="Y10" s="4527">
        <f t="shared" si="8"/>
        <v>693375.64999999991</v>
      </c>
      <c r="Z10" s="4472">
        <f t="shared" si="9"/>
        <v>352.59999999999997</v>
      </c>
      <c r="AA10" s="4469">
        <f t="shared" si="10"/>
        <v>1339673.6499999999</v>
      </c>
      <c r="AB10" s="1453">
        <v>63.199999999999996</v>
      </c>
      <c r="AC10" s="1460">
        <v>243474.99</v>
      </c>
      <c r="AD10" s="5082">
        <f t="shared" si="11"/>
        <v>415.79999999999995</v>
      </c>
      <c r="AE10" s="5021">
        <f t="shared" si="12"/>
        <v>1583148.64</v>
      </c>
      <c r="AF10" s="1453">
        <v>46.7</v>
      </c>
      <c r="AG10" s="1460">
        <v>184238.98</v>
      </c>
      <c r="AH10" s="1463">
        <f t="shared" si="34"/>
        <v>462.49999999999994</v>
      </c>
      <c r="AI10" s="1522">
        <f t="shared" si="14"/>
        <v>1767387.6199999999</v>
      </c>
      <c r="AJ10" s="1453">
        <v>60.6</v>
      </c>
      <c r="AK10" s="1460">
        <v>216130.47999999998</v>
      </c>
      <c r="AL10" s="4471">
        <f t="shared" si="35"/>
        <v>170.5</v>
      </c>
      <c r="AM10" s="4526">
        <f t="shared" si="16"/>
        <v>643844.44999999995</v>
      </c>
      <c r="AN10" s="1463">
        <f t="shared" si="17"/>
        <v>523.09999999999991</v>
      </c>
      <c r="AO10" s="1522">
        <f t="shared" si="18"/>
        <v>1983518.0999999999</v>
      </c>
      <c r="AP10" s="1453">
        <v>57.5</v>
      </c>
      <c r="AQ10" s="1460">
        <v>227045.12</v>
      </c>
      <c r="AR10" s="1463">
        <f t="shared" si="36"/>
        <v>580.59999999999991</v>
      </c>
      <c r="AS10" s="1522">
        <f t="shared" si="20"/>
        <v>2210563.2199999997</v>
      </c>
      <c r="AT10" s="1453">
        <v>49.3</v>
      </c>
      <c r="AU10" s="1460">
        <v>190660.5</v>
      </c>
      <c r="AV10" s="1463">
        <f t="shared" si="37"/>
        <v>629.89999999999986</v>
      </c>
      <c r="AW10" s="1522">
        <f t="shared" si="22"/>
        <v>2401223.7199999997</v>
      </c>
      <c r="AX10" s="1453">
        <v>58.5</v>
      </c>
      <c r="AY10" s="1460">
        <v>233633.87</v>
      </c>
      <c r="AZ10" s="4471">
        <f t="shared" si="38"/>
        <v>165.3</v>
      </c>
      <c r="BA10" s="4527">
        <f t="shared" si="24"/>
        <v>651339.49</v>
      </c>
      <c r="BB10" s="4472">
        <f t="shared" si="39"/>
        <v>335.8</v>
      </c>
      <c r="BC10" s="4469">
        <f t="shared" si="26"/>
        <v>1295183.94</v>
      </c>
      <c r="BD10" s="1463">
        <f t="shared" si="40"/>
        <v>688.39999999999986</v>
      </c>
      <c r="BE10" s="1522">
        <f t="shared" si="28"/>
        <v>2634857.59</v>
      </c>
      <c r="BF10" s="1202"/>
      <c r="BG10" s="1202"/>
      <c r="BH10" s="528"/>
      <c r="BI10" s="528"/>
      <c r="BJ10" s="528"/>
      <c r="BQ10" s="528"/>
      <c r="BR10" s="528"/>
      <c r="BS10" s="528"/>
      <c r="BT10" s="528"/>
      <c r="BU10" s="528"/>
      <c r="BV10" s="528"/>
      <c r="BW10" s="528"/>
      <c r="BX10" s="528"/>
      <c r="BY10" s="528"/>
      <c r="BZ10" s="528"/>
      <c r="CA10" s="528"/>
      <c r="CB10" s="528"/>
    </row>
    <row r="11" spans="2:80" ht="21.9" customHeight="1" thickBot="1" x14ac:dyDescent="0.35">
      <c r="B11" s="6146"/>
      <c r="C11" s="4528" t="s">
        <v>1009</v>
      </c>
      <c r="D11" s="4529">
        <v>12.4</v>
      </c>
      <c r="E11" s="4536">
        <v>45947</v>
      </c>
      <c r="F11" s="4529">
        <v>12.8</v>
      </c>
      <c r="G11" s="4536">
        <v>37438</v>
      </c>
      <c r="H11" s="1463">
        <f t="shared" si="0"/>
        <v>25.200000000000003</v>
      </c>
      <c r="I11" s="1464">
        <f t="shared" si="1"/>
        <v>83385</v>
      </c>
      <c r="J11" s="4529">
        <v>11.4</v>
      </c>
      <c r="K11" s="4536">
        <v>43637</v>
      </c>
      <c r="L11" s="4471">
        <f t="shared" si="29"/>
        <v>36.6</v>
      </c>
      <c r="M11" s="4526">
        <f t="shared" si="2"/>
        <v>127022</v>
      </c>
      <c r="N11" s="4529">
        <v>8.8000000000000007</v>
      </c>
      <c r="O11" s="4536">
        <v>33986.5</v>
      </c>
      <c r="P11" s="1522">
        <f t="shared" si="3"/>
        <v>45.400000000000006</v>
      </c>
      <c r="Q11" s="1522">
        <f t="shared" si="4"/>
        <v>161008.5</v>
      </c>
      <c r="R11" s="4529">
        <v>15</v>
      </c>
      <c r="S11" s="4536">
        <v>59832.829999999994</v>
      </c>
      <c r="T11" s="1522">
        <f t="shared" si="5"/>
        <v>60.400000000000006</v>
      </c>
      <c r="U11" s="1522">
        <f t="shared" si="6"/>
        <v>220841.33</v>
      </c>
      <c r="V11" s="4529">
        <v>15.7</v>
      </c>
      <c r="W11" s="4536">
        <v>64874.799999999996</v>
      </c>
      <c r="X11" s="4471">
        <f t="shared" si="7"/>
        <v>39.5</v>
      </c>
      <c r="Y11" s="4527">
        <f t="shared" si="8"/>
        <v>158694.12999999998</v>
      </c>
      <c r="Z11" s="4472">
        <f t="shared" si="9"/>
        <v>76.099999999999994</v>
      </c>
      <c r="AA11" s="4469">
        <f t="shared" si="10"/>
        <v>285716.13</v>
      </c>
      <c r="AB11" s="4529">
        <v>13.4</v>
      </c>
      <c r="AC11" s="4536">
        <v>52192.4</v>
      </c>
      <c r="AD11" s="5082">
        <f t="shared" si="11"/>
        <v>89.5</v>
      </c>
      <c r="AE11" s="5021">
        <f t="shared" si="12"/>
        <v>337908.53</v>
      </c>
      <c r="AF11" s="5074">
        <v>13.1</v>
      </c>
      <c r="AG11" s="4536">
        <v>52944.41</v>
      </c>
      <c r="AH11" s="1463">
        <f t="shared" si="34"/>
        <v>102.6</v>
      </c>
      <c r="AI11" s="1522">
        <f t="shared" si="14"/>
        <v>390852.93999999994</v>
      </c>
      <c r="AJ11" s="4529">
        <v>6.9</v>
      </c>
      <c r="AK11" s="4536">
        <v>70013.509999999995</v>
      </c>
      <c r="AL11" s="4471">
        <f t="shared" si="35"/>
        <v>33.4</v>
      </c>
      <c r="AM11" s="4526">
        <f t="shared" si="16"/>
        <v>175150.32</v>
      </c>
      <c r="AN11" s="1463">
        <f t="shared" si="17"/>
        <v>109.5</v>
      </c>
      <c r="AO11" s="1522">
        <f t="shared" si="18"/>
        <v>460866.45</v>
      </c>
      <c r="AP11" s="4529">
        <v>10</v>
      </c>
      <c r="AQ11" s="4536">
        <v>40538.5</v>
      </c>
      <c r="AR11" s="1463">
        <f t="shared" si="36"/>
        <v>119.5</v>
      </c>
      <c r="AS11" s="1522">
        <f t="shared" si="20"/>
        <v>501404.95</v>
      </c>
      <c r="AT11" s="4529">
        <v>12.3</v>
      </c>
      <c r="AU11" s="4536">
        <v>49612.18</v>
      </c>
      <c r="AV11" s="1463">
        <f t="shared" si="37"/>
        <v>131.80000000000001</v>
      </c>
      <c r="AW11" s="1522">
        <f t="shared" si="22"/>
        <v>551017.13</v>
      </c>
      <c r="AX11" s="4529">
        <v>8.1</v>
      </c>
      <c r="AY11" s="4536">
        <v>35511.549999999996</v>
      </c>
      <c r="AZ11" s="4471">
        <f t="shared" si="38"/>
        <v>30.4</v>
      </c>
      <c r="BA11" s="4527">
        <f t="shared" si="24"/>
        <v>125662.22999999998</v>
      </c>
      <c r="BB11" s="4472">
        <f t="shared" si="39"/>
        <v>63.8</v>
      </c>
      <c r="BC11" s="4469">
        <f t="shared" si="26"/>
        <v>300812.55</v>
      </c>
      <c r="BD11" s="1463">
        <f t="shared" si="40"/>
        <v>139.9</v>
      </c>
      <c r="BE11" s="1522">
        <f t="shared" si="28"/>
        <v>586528.67999999993</v>
      </c>
      <c r="BF11" s="1202"/>
      <c r="BG11" s="1202"/>
      <c r="BH11" s="528"/>
      <c r="BI11" s="528"/>
      <c r="BJ11" s="528"/>
      <c r="BQ11" s="528"/>
      <c r="BR11" s="528"/>
      <c r="BS11" s="528"/>
      <c r="BT11" s="528"/>
      <c r="BU11" s="528"/>
      <c r="BV11" s="528"/>
      <c r="BW11" s="528"/>
      <c r="BX11" s="528"/>
      <c r="BY11" s="528"/>
      <c r="BZ11" s="528"/>
      <c r="CA11" s="528"/>
      <c r="CB11" s="528"/>
    </row>
    <row r="12" spans="2:80" ht="21.9" customHeight="1" x14ac:dyDescent="0.3">
      <c r="B12" s="6146"/>
      <c r="C12" s="4528" t="s">
        <v>1214</v>
      </c>
      <c r="D12" s="4529">
        <v>5</v>
      </c>
      <c r="E12" s="4530">
        <v>15518</v>
      </c>
      <c r="F12" s="4529">
        <v>1</v>
      </c>
      <c r="G12" s="4530">
        <v>3081</v>
      </c>
      <c r="H12" s="1463">
        <f t="shared" si="0"/>
        <v>6</v>
      </c>
      <c r="I12" s="1464">
        <f t="shared" si="1"/>
        <v>18599</v>
      </c>
      <c r="J12" s="4529">
        <v>3</v>
      </c>
      <c r="K12" s="4530">
        <v>10570</v>
      </c>
      <c r="L12" s="4471">
        <f t="shared" si="29"/>
        <v>9</v>
      </c>
      <c r="M12" s="4526">
        <f t="shared" si="2"/>
        <v>29169</v>
      </c>
      <c r="N12" s="4529">
        <v>5</v>
      </c>
      <c r="O12" s="4530">
        <v>17532.900000000001</v>
      </c>
      <c r="P12" s="1522">
        <f t="shared" si="3"/>
        <v>14</v>
      </c>
      <c r="Q12" s="1522">
        <f t="shared" si="4"/>
        <v>46701.9</v>
      </c>
      <c r="R12" s="4529">
        <v>5</v>
      </c>
      <c r="S12" s="4530">
        <v>18020.079999999998</v>
      </c>
      <c r="T12" s="1522">
        <f t="shared" si="5"/>
        <v>19</v>
      </c>
      <c r="U12" s="1522">
        <f t="shared" si="6"/>
        <v>64721.98</v>
      </c>
      <c r="V12" s="4529">
        <v>0</v>
      </c>
      <c r="W12" s="4530">
        <v>0</v>
      </c>
      <c r="X12" s="4471">
        <f t="shared" si="7"/>
        <v>10</v>
      </c>
      <c r="Y12" s="4527">
        <f t="shared" si="8"/>
        <v>35552.979999999996</v>
      </c>
      <c r="Z12" s="4472">
        <f t="shared" si="9"/>
        <v>19</v>
      </c>
      <c r="AA12" s="4469">
        <f t="shared" si="10"/>
        <v>64721.979999999996</v>
      </c>
      <c r="AB12" s="4529">
        <v>1</v>
      </c>
      <c r="AC12" s="4530">
        <v>4012</v>
      </c>
      <c r="AD12" s="5082">
        <f t="shared" si="11"/>
        <v>20</v>
      </c>
      <c r="AE12" s="5021">
        <f t="shared" si="12"/>
        <v>68733.98</v>
      </c>
      <c r="AF12" s="5074">
        <v>0</v>
      </c>
      <c r="AG12" s="4530">
        <v>0</v>
      </c>
      <c r="AH12" s="1463">
        <f t="shared" si="34"/>
        <v>20</v>
      </c>
      <c r="AI12" s="1522">
        <f t="shared" si="14"/>
        <v>68733.98</v>
      </c>
      <c r="AJ12" s="4529">
        <v>1</v>
      </c>
      <c r="AK12" s="4530">
        <v>0</v>
      </c>
      <c r="AL12" s="4471">
        <f t="shared" si="35"/>
        <v>2</v>
      </c>
      <c r="AM12" s="4526">
        <f t="shared" si="16"/>
        <v>4012</v>
      </c>
      <c r="AN12" s="1463">
        <f t="shared" si="17"/>
        <v>21</v>
      </c>
      <c r="AO12" s="1522">
        <f t="shared" si="18"/>
        <v>68733.98</v>
      </c>
      <c r="AP12" s="4529">
        <v>0</v>
      </c>
      <c r="AQ12" s="4530">
        <v>0</v>
      </c>
      <c r="AR12" s="1463">
        <f t="shared" si="36"/>
        <v>21</v>
      </c>
      <c r="AS12" s="1522">
        <f t="shared" si="20"/>
        <v>68733.98</v>
      </c>
      <c r="AT12" s="4529">
        <v>0</v>
      </c>
      <c r="AU12" s="4530">
        <v>0</v>
      </c>
      <c r="AV12" s="1463">
        <f t="shared" si="37"/>
        <v>21</v>
      </c>
      <c r="AW12" s="1522">
        <f t="shared" si="22"/>
        <v>68733.98</v>
      </c>
      <c r="AX12" s="4529">
        <v>0</v>
      </c>
      <c r="AY12" s="4530">
        <v>0</v>
      </c>
      <c r="AZ12" s="4471">
        <f t="shared" si="38"/>
        <v>0</v>
      </c>
      <c r="BA12" s="4527">
        <f t="shared" si="24"/>
        <v>0</v>
      </c>
      <c r="BB12" s="4472">
        <f t="shared" si="39"/>
        <v>2</v>
      </c>
      <c r="BC12" s="4469">
        <f t="shared" si="26"/>
        <v>4012</v>
      </c>
      <c r="BD12" s="1463">
        <f t="shared" si="40"/>
        <v>21</v>
      </c>
      <c r="BE12" s="1522">
        <f t="shared" si="28"/>
        <v>68733.98</v>
      </c>
      <c r="BF12" s="1202"/>
      <c r="BG12" s="1202"/>
      <c r="BH12" s="528"/>
      <c r="BI12" s="528"/>
      <c r="BJ12" s="528"/>
      <c r="BQ12" s="528"/>
      <c r="BR12" s="528"/>
      <c r="BS12" s="528"/>
      <c r="BT12" s="528"/>
      <c r="BU12" s="528"/>
      <c r="BV12" s="528"/>
      <c r="BW12" s="528"/>
      <c r="BX12" s="528"/>
      <c r="BY12" s="528"/>
      <c r="BZ12" s="528"/>
      <c r="CA12" s="528"/>
      <c r="CB12" s="528"/>
    </row>
    <row r="13" spans="2:80" ht="21.9" customHeight="1" thickBot="1" x14ac:dyDescent="0.35">
      <c r="B13" s="6146"/>
      <c r="C13" s="4531" t="s">
        <v>2</v>
      </c>
      <c r="D13" s="4533">
        <f>SUM(D10:D12)</f>
        <v>76.3</v>
      </c>
      <c r="E13" s="4533">
        <f t="shared" ref="E13:BE13" si="41">SUM(E10:E12)</f>
        <v>283098</v>
      </c>
      <c r="F13" s="4533">
        <f t="shared" si="41"/>
        <v>74.599999999999994</v>
      </c>
      <c r="G13" s="4533">
        <f t="shared" si="41"/>
        <v>254640</v>
      </c>
      <c r="H13" s="4533">
        <f t="shared" si="41"/>
        <v>150.89999999999998</v>
      </c>
      <c r="I13" s="4533">
        <f t="shared" si="41"/>
        <v>537738</v>
      </c>
      <c r="J13" s="4533">
        <f t="shared" si="41"/>
        <v>69.900000000000006</v>
      </c>
      <c r="K13" s="4533">
        <f t="shared" si="41"/>
        <v>264751</v>
      </c>
      <c r="L13" s="4533">
        <f t="shared" si="41"/>
        <v>220.79999999999998</v>
      </c>
      <c r="M13" s="4533">
        <f t="shared" si="41"/>
        <v>802489</v>
      </c>
      <c r="N13" s="4533">
        <f t="shared" si="41"/>
        <v>76.099999999999994</v>
      </c>
      <c r="O13" s="4533">
        <f t="shared" si="41"/>
        <v>297409.34000000003</v>
      </c>
      <c r="P13" s="4533">
        <f t="shared" si="41"/>
        <v>296.89999999999998</v>
      </c>
      <c r="Q13" s="4533">
        <f t="shared" si="41"/>
        <v>1099898.3399999999</v>
      </c>
      <c r="R13" s="4533">
        <f t="shared" si="41"/>
        <v>71.3</v>
      </c>
      <c r="S13" s="4533">
        <f t="shared" si="41"/>
        <v>276372.14999999997</v>
      </c>
      <c r="T13" s="4533">
        <f t="shared" si="41"/>
        <v>368.20000000000005</v>
      </c>
      <c r="U13" s="4533">
        <f t="shared" si="41"/>
        <v>1376270.49</v>
      </c>
      <c r="V13" s="4533">
        <f t="shared" si="41"/>
        <v>79.5</v>
      </c>
      <c r="W13" s="4533">
        <f t="shared" si="41"/>
        <v>313841.26999999996</v>
      </c>
      <c r="X13" s="4533">
        <f t="shared" si="41"/>
        <v>226.89999999999998</v>
      </c>
      <c r="Y13" s="4533">
        <f t="shared" si="41"/>
        <v>887622.75999999989</v>
      </c>
      <c r="Z13" s="4533">
        <f t="shared" si="41"/>
        <v>447.69999999999993</v>
      </c>
      <c r="AA13" s="4533">
        <f t="shared" si="41"/>
        <v>1690111.7599999998</v>
      </c>
      <c r="AB13" s="4533">
        <f t="shared" si="41"/>
        <v>77.599999999999994</v>
      </c>
      <c r="AC13" s="4533">
        <f t="shared" si="41"/>
        <v>299679.39</v>
      </c>
      <c r="AD13" s="5083">
        <f t="shared" si="41"/>
        <v>525.29999999999995</v>
      </c>
      <c r="AE13" s="4944">
        <f t="shared" si="41"/>
        <v>1989791.15</v>
      </c>
      <c r="AF13" s="5057">
        <f t="shared" si="41"/>
        <v>59.800000000000004</v>
      </c>
      <c r="AG13" s="4533">
        <f t="shared" ref="AG13" si="42">SUM(AG10:AG12)</f>
        <v>237183.39</v>
      </c>
      <c r="AH13" s="4533">
        <f t="shared" si="41"/>
        <v>585.09999999999991</v>
      </c>
      <c r="AI13" s="4533">
        <f t="shared" si="14"/>
        <v>2226974.54</v>
      </c>
      <c r="AJ13" s="4533">
        <f t="shared" si="41"/>
        <v>68.5</v>
      </c>
      <c r="AK13" s="4533">
        <f t="shared" si="41"/>
        <v>286143.99</v>
      </c>
      <c r="AL13" s="4533">
        <f t="shared" si="41"/>
        <v>205.9</v>
      </c>
      <c r="AM13" s="4533">
        <f t="shared" si="41"/>
        <v>823006.77</v>
      </c>
      <c r="AN13" s="4533">
        <f t="shared" si="41"/>
        <v>653.59999999999991</v>
      </c>
      <c r="AO13" s="4533">
        <f t="shared" si="41"/>
        <v>2513118.5299999998</v>
      </c>
      <c r="AP13" s="4533">
        <f t="shared" ref="AP13:AQ13" si="43">SUM(AP10:AP12)</f>
        <v>67.5</v>
      </c>
      <c r="AQ13" s="4533">
        <f t="shared" si="43"/>
        <v>267583.62</v>
      </c>
      <c r="AR13" s="4533">
        <f t="shared" si="41"/>
        <v>721.09999999999991</v>
      </c>
      <c r="AS13" s="4533">
        <f t="shared" si="41"/>
        <v>2780702.15</v>
      </c>
      <c r="AT13" s="4533">
        <f t="shared" si="41"/>
        <v>61.599999999999994</v>
      </c>
      <c r="AU13" s="4533">
        <f t="shared" si="41"/>
        <v>240272.68</v>
      </c>
      <c r="AV13" s="4533">
        <f t="shared" si="41"/>
        <v>782.69999999999982</v>
      </c>
      <c r="AW13" s="4533">
        <f t="shared" si="41"/>
        <v>3020974.8299999996</v>
      </c>
      <c r="AX13" s="4533">
        <f t="shared" ref="AX13:AY13" si="44">SUM(AX10:AX12)</f>
        <v>66.599999999999994</v>
      </c>
      <c r="AY13" s="4533">
        <f t="shared" si="44"/>
        <v>269145.42</v>
      </c>
      <c r="AZ13" s="4533">
        <f t="shared" si="41"/>
        <v>195.70000000000002</v>
      </c>
      <c r="BA13" s="4533">
        <f t="shared" si="41"/>
        <v>777001.72</v>
      </c>
      <c r="BB13" s="4533">
        <f t="shared" si="41"/>
        <v>401.6</v>
      </c>
      <c r="BC13" s="4533">
        <f t="shared" si="41"/>
        <v>1600008.49</v>
      </c>
      <c r="BD13" s="4533">
        <f t="shared" si="41"/>
        <v>849.29999999999984</v>
      </c>
      <c r="BE13" s="4533">
        <f t="shared" si="41"/>
        <v>3290120.2499999995</v>
      </c>
      <c r="BF13" s="1202"/>
      <c r="BG13" s="1202"/>
      <c r="BH13" s="528"/>
      <c r="BI13" s="528"/>
      <c r="BJ13" s="528"/>
      <c r="BQ13" s="528"/>
      <c r="BR13" s="528"/>
      <c r="BS13" s="528"/>
      <c r="BT13" s="528"/>
      <c r="BU13" s="528"/>
      <c r="BV13" s="528"/>
      <c r="BW13" s="528"/>
      <c r="BX13" s="528"/>
      <c r="BY13" s="528"/>
      <c r="BZ13" s="528"/>
      <c r="CA13" s="528"/>
      <c r="CB13" s="528"/>
    </row>
    <row r="14" spans="2:80" ht="21.9" customHeight="1" thickBot="1" x14ac:dyDescent="0.35">
      <c r="B14" s="6146"/>
      <c r="C14" s="4528" t="s">
        <v>1006</v>
      </c>
      <c r="D14" s="4529">
        <v>61.5</v>
      </c>
      <c r="E14" s="4530">
        <v>231475</v>
      </c>
      <c r="F14" s="4529">
        <v>43</v>
      </c>
      <c r="G14" s="4530">
        <v>157366</v>
      </c>
      <c r="H14" s="1463">
        <f t="shared" si="0"/>
        <v>104.5</v>
      </c>
      <c r="I14" s="1464">
        <f t="shared" si="1"/>
        <v>388841</v>
      </c>
      <c r="J14" s="4529">
        <v>40.9</v>
      </c>
      <c r="K14" s="4530">
        <v>156519</v>
      </c>
      <c r="L14" s="4471">
        <f t="shared" si="29"/>
        <v>145.4</v>
      </c>
      <c r="M14" s="4526">
        <f t="shared" si="2"/>
        <v>545360</v>
      </c>
      <c r="N14" s="4529">
        <v>41.6</v>
      </c>
      <c r="O14" s="4530">
        <v>157151</v>
      </c>
      <c r="P14" s="1522">
        <f t="shared" si="3"/>
        <v>187</v>
      </c>
      <c r="Q14" s="1522">
        <f t="shared" si="4"/>
        <v>702511</v>
      </c>
      <c r="R14" s="4529">
        <v>31.5</v>
      </c>
      <c r="S14" s="4530">
        <v>118600.1</v>
      </c>
      <c r="T14" s="1522">
        <f t="shared" si="5"/>
        <v>218.5</v>
      </c>
      <c r="U14" s="1522">
        <f t="shared" si="6"/>
        <v>821111.1</v>
      </c>
      <c r="V14" s="4529">
        <v>18.8</v>
      </c>
      <c r="W14" s="4530">
        <v>71715.3</v>
      </c>
      <c r="X14" s="4471">
        <f t="shared" si="7"/>
        <v>91.899999999999991</v>
      </c>
      <c r="Y14" s="4527">
        <f t="shared" si="8"/>
        <v>347466.39999999997</v>
      </c>
      <c r="Z14" s="4472">
        <f t="shared" si="9"/>
        <v>237.3</v>
      </c>
      <c r="AA14" s="4469">
        <f t="shared" si="10"/>
        <v>892826.4</v>
      </c>
      <c r="AB14" s="4529">
        <v>31.4</v>
      </c>
      <c r="AC14" s="4530">
        <v>118011</v>
      </c>
      <c r="AD14" s="5082">
        <f t="shared" si="11"/>
        <v>268.7</v>
      </c>
      <c r="AE14" s="5021">
        <f t="shared" si="12"/>
        <v>1010837.4</v>
      </c>
      <c r="AF14" s="5074">
        <v>21</v>
      </c>
      <c r="AG14" s="4530">
        <v>78525.400000000009</v>
      </c>
      <c r="AH14" s="1463">
        <f t="shared" ref="AH14:AH20" si="45">AD14+AF14</f>
        <v>289.7</v>
      </c>
      <c r="AI14" s="1522">
        <f t="shared" si="14"/>
        <v>1089362.8</v>
      </c>
      <c r="AJ14" s="4529">
        <v>59.4</v>
      </c>
      <c r="AK14" s="4530">
        <v>115965.5</v>
      </c>
      <c r="AL14" s="4471">
        <f t="shared" ref="AL14:AL20" si="46">+AB14+AF14+AJ14</f>
        <v>111.8</v>
      </c>
      <c r="AM14" s="4526">
        <f t="shared" si="16"/>
        <v>312501.90000000002</v>
      </c>
      <c r="AN14" s="1463">
        <f t="shared" si="17"/>
        <v>349.09999999999997</v>
      </c>
      <c r="AO14" s="1522">
        <f t="shared" si="18"/>
        <v>1205328.3</v>
      </c>
      <c r="AP14" s="4529">
        <v>34.5</v>
      </c>
      <c r="AQ14" s="4530">
        <v>133030.20000000001</v>
      </c>
      <c r="AR14" s="1463">
        <f t="shared" ref="AR14:AR20" si="47">AN14+AP14</f>
        <v>383.59999999999997</v>
      </c>
      <c r="AS14" s="1522">
        <f t="shared" si="20"/>
        <v>1338358.5</v>
      </c>
      <c r="AT14" s="4529">
        <v>29.9</v>
      </c>
      <c r="AU14" s="4530">
        <v>113945.5</v>
      </c>
      <c r="AV14" s="1463">
        <f t="shared" ref="AV14:AV20" si="48">AR14+AT14</f>
        <v>413.49999999999994</v>
      </c>
      <c r="AW14" s="1522">
        <f t="shared" si="22"/>
        <v>1452304</v>
      </c>
      <c r="AX14" s="4529">
        <v>26.2</v>
      </c>
      <c r="AY14" s="4530">
        <v>101229.5</v>
      </c>
      <c r="AZ14" s="4471">
        <f t="shared" ref="AZ14:AZ20" si="49">+AP14+AT14+AX14</f>
        <v>90.600000000000009</v>
      </c>
      <c r="BA14" s="4527">
        <f t="shared" si="24"/>
        <v>348205.2</v>
      </c>
      <c r="BB14" s="4472">
        <f t="shared" ref="BB14:BB20" si="50">AL14+AZ14</f>
        <v>202.4</v>
      </c>
      <c r="BC14" s="4469">
        <f t="shared" si="26"/>
        <v>660707.10000000009</v>
      </c>
      <c r="BD14" s="1463">
        <f t="shared" ref="BD14:BD20" si="51">AV14+AX14</f>
        <v>439.69999999999993</v>
      </c>
      <c r="BE14" s="1522">
        <f t="shared" si="28"/>
        <v>1553533.5</v>
      </c>
      <c r="BF14" s="1202"/>
      <c r="BG14" s="1202"/>
      <c r="BH14" s="528"/>
      <c r="BI14" s="528"/>
      <c r="BJ14" s="528"/>
      <c r="BQ14" s="528"/>
      <c r="BR14" s="528"/>
      <c r="BS14" s="528"/>
      <c r="BT14" s="528"/>
      <c r="BU14" s="528"/>
      <c r="BV14" s="528"/>
      <c r="BW14" s="528"/>
      <c r="BX14" s="528"/>
      <c r="BY14" s="528"/>
      <c r="BZ14" s="528"/>
      <c r="CA14" s="528"/>
      <c r="CB14" s="528"/>
    </row>
    <row r="15" spans="2:80" ht="21.9" customHeight="1" thickBot="1" x14ac:dyDescent="0.35">
      <c r="B15" s="6147"/>
      <c r="C15" s="1443" t="s">
        <v>1007</v>
      </c>
      <c r="D15" s="4534">
        <v>14.8</v>
      </c>
      <c r="E15" s="4535">
        <v>51623</v>
      </c>
      <c r="F15" s="4534">
        <v>31.6</v>
      </c>
      <c r="G15" s="4535">
        <v>97275</v>
      </c>
      <c r="H15" s="1463">
        <f t="shared" si="0"/>
        <v>46.400000000000006</v>
      </c>
      <c r="I15" s="1464">
        <f t="shared" si="1"/>
        <v>148898</v>
      </c>
      <c r="J15" s="4534">
        <v>29</v>
      </c>
      <c r="K15" s="4535">
        <v>108233</v>
      </c>
      <c r="L15" s="4471">
        <f t="shared" si="29"/>
        <v>75.400000000000006</v>
      </c>
      <c r="M15" s="4526">
        <f t="shared" si="2"/>
        <v>257131</v>
      </c>
      <c r="N15" s="4534">
        <v>34.5</v>
      </c>
      <c r="O15" s="4535">
        <v>140258.34</v>
      </c>
      <c r="P15" s="1522">
        <f t="shared" si="3"/>
        <v>109.9</v>
      </c>
      <c r="Q15" s="1522">
        <f t="shared" si="4"/>
        <v>397389.33999999997</v>
      </c>
      <c r="R15" s="4534">
        <v>39.799999999999997</v>
      </c>
      <c r="S15" s="4535">
        <v>157772.05000000002</v>
      </c>
      <c r="T15" s="1522">
        <f t="shared" si="5"/>
        <v>149.69999999999999</v>
      </c>
      <c r="U15" s="1522">
        <f t="shared" si="6"/>
        <v>555161.39</v>
      </c>
      <c r="V15" s="4534">
        <v>60.7</v>
      </c>
      <c r="W15" s="4535">
        <v>242125.96999999997</v>
      </c>
      <c r="X15" s="4471">
        <f t="shared" si="7"/>
        <v>135</v>
      </c>
      <c r="Y15" s="4527">
        <f t="shared" si="8"/>
        <v>540156.36</v>
      </c>
      <c r="Z15" s="4472">
        <f t="shared" si="9"/>
        <v>210.4</v>
      </c>
      <c r="AA15" s="4469">
        <f t="shared" si="10"/>
        <v>797287.36</v>
      </c>
      <c r="AB15" s="4534">
        <v>46.199999999999996</v>
      </c>
      <c r="AC15" s="4535">
        <v>181668.38999999998</v>
      </c>
      <c r="AD15" s="5082">
        <f t="shared" si="11"/>
        <v>256.60000000000002</v>
      </c>
      <c r="AE15" s="5021">
        <f t="shared" si="12"/>
        <v>978955.75</v>
      </c>
      <c r="AF15" s="4534">
        <v>38.799999999999997</v>
      </c>
      <c r="AG15" s="4535">
        <v>158657.99</v>
      </c>
      <c r="AH15" s="1463">
        <f t="shared" si="45"/>
        <v>295.40000000000003</v>
      </c>
      <c r="AI15" s="1522">
        <f t="shared" si="14"/>
        <v>1137613.74</v>
      </c>
      <c r="AJ15" s="4534">
        <v>9.1</v>
      </c>
      <c r="AK15" s="4535">
        <v>170178.49</v>
      </c>
      <c r="AL15" s="4471">
        <f t="shared" si="46"/>
        <v>94.1</v>
      </c>
      <c r="AM15" s="4526">
        <f t="shared" si="16"/>
        <v>510504.87</v>
      </c>
      <c r="AN15" s="1463">
        <f t="shared" si="17"/>
        <v>304.50000000000006</v>
      </c>
      <c r="AO15" s="1522">
        <f t="shared" si="18"/>
        <v>1307792.23</v>
      </c>
      <c r="AP15" s="4534">
        <v>33</v>
      </c>
      <c r="AQ15" s="4535">
        <v>134553.41999999998</v>
      </c>
      <c r="AR15" s="1463">
        <f t="shared" si="47"/>
        <v>337.50000000000006</v>
      </c>
      <c r="AS15" s="1522">
        <f t="shared" si="20"/>
        <v>1442345.65</v>
      </c>
      <c r="AT15" s="4534">
        <v>31.7</v>
      </c>
      <c r="AU15" s="4535">
        <v>126327.18000000001</v>
      </c>
      <c r="AV15" s="1463">
        <f t="shared" si="48"/>
        <v>369.20000000000005</v>
      </c>
      <c r="AW15" s="1522">
        <f t="shared" si="22"/>
        <v>1568672.83</v>
      </c>
      <c r="AX15" s="4534">
        <v>40.4</v>
      </c>
      <c r="AY15" s="4535">
        <v>167915.92</v>
      </c>
      <c r="AZ15" s="4471">
        <f t="shared" si="49"/>
        <v>105.1</v>
      </c>
      <c r="BA15" s="4527">
        <f t="shared" si="24"/>
        <v>428796.52</v>
      </c>
      <c r="BB15" s="4472">
        <f t="shared" si="50"/>
        <v>199.2</v>
      </c>
      <c r="BC15" s="4469">
        <f t="shared" si="26"/>
        <v>939301.39</v>
      </c>
      <c r="BD15" s="1463">
        <f t="shared" si="51"/>
        <v>409.6</v>
      </c>
      <c r="BE15" s="1522">
        <f t="shared" si="28"/>
        <v>1736588.75</v>
      </c>
      <c r="BF15" s="1202"/>
      <c r="BG15" s="1202"/>
      <c r="BH15" s="528"/>
      <c r="BI15" s="528"/>
      <c r="BJ15" s="528"/>
      <c r="BQ15" s="528"/>
      <c r="BR15" s="528"/>
      <c r="BS15" s="528"/>
      <c r="BT15" s="528"/>
      <c r="BU15" s="528"/>
      <c r="BV15" s="528"/>
      <c r="BW15" s="528"/>
      <c r="BX15" s="528"/>
      <c r="BY15" s="528"/>
      <c r="BZ15" s="528"/>
      <c r="CA15" s="528"/>
      <c r="CB15" s="528"/>
    </row>
    <row r="16" spans="2:80" ht="21.9" customHeight="1" thickBot="1" x14ac:dyDescent="0.35">
      <c r="B16" s="6166" t="s">
        <v>1300</v>
      </c>
      <c r="C16" s="4776" t="s">
        <v>2042</v>
      </c>
      <c r="D16" s="4779">
        <v>17</v>
      </c>
      <c r="E16" s="4780">
        <v>69320</v>
      </c>
      <c r="F16" s="4779">
        <v>20</v>
      </c>
      <c r="G16" s="4780">
        <v>82611</v>
      </c>
      <c r="H16" s="1463">
        <f t="shared" si="0"/>
        <v>37</v>
      </c>
      <c r="I16" s="1464">
        <f t="shared" si="1"/>
        <v>151931</v>
      </c>
      <c r="J16" s="4779">
        <v>20</v>
      </c>
      <c r="K16" s="4780">
        <v>85063</v>
      </c>
      <c r="L16" s="4471">
        <f t="shared" ref="L16:L18" si="52">+D16+F16+J16</f>
        <v>57</v>
      </c>
      <c r="M16" s="4526">
        <f t="shared" si="2"/>
        <v>236994</v>
      </c>
      <c r="N16" s="4779">
        <v>22</v>
      </c>
      <c r="O16" s="4780">
        <v>90744.8</v>
      </c>
      <c r="P16" s="1522">
        <f t="shared" si="3"/>
        <v>79</v>
      </c>
      <c r="Q16" s="1522">
        <f t="shared" si="4"/>
        <v>327738.8</v>
      </c>
      <c r="R16" s="4779">
        <v>18</v>
      </c>
      <c r="S16" s="4780">
        <v>74831.399999999994</v>
      </c>
      <c r="T16" s="1522">
        <f t="shared" si="5"/>
        <v>97</v>
      </c>
      <c r="U16" s="1522">
        <f t="shared" si="6"/>
        <v>402570.2</v>
      </c>
      <c r="V16" s="4779">
        <v>18</v>
      </c>
      <c r="W16" s="4780">
        <v>73771.8</v>
      </c>
      <c r="X16" s="4471">
        <f t="shared" si="7"/>
        <v>58</v>
      </c>
      <c r="Y16" s="4527">
        <f t="shared" si="8"/>
        <v>239348</v>
      </c>
      <c r="Z16" s="4472">
        <f t="shared" si="9"/>
        <v>115</v>
      </c>
      <c r="AA16" s="4469">
        <f t="shared" si="10"/>
        <v>476342</v>
      </c>
      <c r="AB16" s="4779">
        <v>16</v>
      </c>
      <c r="AC16" s="4780">
        <v>67646.600000000006</v>
      </c>
      <c r="AD16" s="5082">
        <f t="shared" si="11"/>
        <v>131</v>
      </c>
      <c r="AE16" s="5021">
        <f t="shared" si="12"/>
        <v>543988.60000000009</v>
      </c>
      <c r="AF16" s="4779">
        <v>18</v>
      </c>
      <c r="AG16" s="4780">
        <v>72568.2</v>
      </c>
      <c r="AH16" s="1463"/>
      <c r="AI16" s="1522">
        <f t="shared" si="14"/>
        <v>616556.80000000005</v>
      </c>
      <c r="AJ16" s="4779"/>
      <c r="AK16" s="4780">
        <v>74404.2</v>
      </c>
      <c r="AL16" s="4471"/>
      <c r="AM16" s="4526">
        <f t="shared" si="16"/>
        <v>214619</v>
      </c>
      <c r="AN16" s="1463"/>
      <c r="AO16" s="1522">
        <f t="shared" si="18"/>
        <v>690961</v>
      </c>
      <c r="AP16" s="4779">
        <v>18</v>
      </c>
      <c r="AQ16" s="4780">
        <v>75892</v>
      </c>
      <c r="AR16" s="1463"/>
      <c r="AS16" s="1522">
        <f t="shared" si="20"/>
        <v>766853</v>
      </c>
      <c r="AT16" s="4779">
        <v>17</v>
      </c>
      <c r="AU16" s="4780">
        <v>72020</v>
      </c>
      <c r="AV16" s="1463"/>
      <c r="AW16" s="1522">
        <f t="shared" si="22"/>
        <v>838873</v>
      </c>
      <c r="AX16" s="4779">
        <v>19</v>
      </c>
      <c r="AY16" s="4780">
        <v>81669.600000000006</v>
      </c>
      <c r="AZ16" s="4471"/>
      <c r="BA16" s="4527">
        <f t="shared" si="24"/>
        <v>229581.6</v>
      </c>
      <c r="BB16" s="4472"/>
      <c r="BC16" s="4469">
        <f t="shared" si="26"/>
        <v>444200.6</v>
      </c>
      <c r="BD16" s="1463"/>
      <c r="BE16" s="1522">
        <f t="shared" si="28"/>
        <v>920542.6</v>
      </c>
      <c r="BF16" s="1202"/>
      <c r="BG16" s="1202"/>
      <c r="BH16" s="528"/>
      <c r="BI16" s="528"/>
      <c r="BJ16" s="528"/>
      <c r="BQ16" s="528"/>
      <c r="BR16" s="528"/>
      <c r="BS16" s="528"/>
      <c r="BT16" s="528"/>
      <c r="BU16" s="528"/>
      <c r="BV16" s="528"/>
      <c r="BW16" s="528"/>
      <c r="BX16" s="528"/>
      <c r="BY16" s="528"/>
      <c r="BZ16" s="528"/>
      <c r="CA16" s="528"/>
      <c r="CB16" s="528"/>
    </row>
    <row r="17" spans="2:80" ht="21.9" customHeight="1" thickBot="1" x14ac:dyDescent="0.35">
      <c r="B17" s="6167"/>
      <c r="C17" s="4776" t="s">
        <v>1300</v>
      </c>
      <c r="D17" s="4779">
        <v>12</v>
      </c>
      <c r="E17" s="4780">
        <v>49705</v>
      </c>
      <c r="F17" s="4779">
        <v>16</v>
      </c>
      <c r="G17" s="4780">
        <v>60403</v>
      </c>
      <c r="H17" s="1463">
        <f t="shared" si="0"/>
        <v>28</v>
      </c>
      <c r="I17" s="1464">
        <f t="shared" si="1"/>
        <v>110108</v>
      </c>
      <c r="J17" s="4779">
        <v>16</v>
      </c>
      <c r="K17" s="4780">
        <v>66375</v>
      </c>
      <c r="L17" s="4471">
        <f t="shared" si="52"/>
        <v>44</v>
      </c>
      <c r="M17" s="4526">
        <f t="shared" si="2"/>
        <v>176483</v>
      </c>
      <c r="N17" s="4779">
        <v>16</v>
      </c>
      <c r="O17" s="4780">
        <v>65365.38</v>
      </c>
      <c r="P17" s="1522">
        <f t="shared" si="3"/>
        <v>60</v>
      </c>
      <c r="Q17" s="1522">
        <f t="shared" si="4"/>
        <v>241848.38</v>
      </c>
      <c r="R17" s="4779">
        <v>20</v>
      </c>
      <c r="S17" s="4780">
        <v>82261.61</v>
      </c>
      <c r="T17" s="1522">
        <f t="shared" si="5"/>
        <v>80</v>
      </c>
      <c r="U17" s="1522">
        <f t="shared" si="6"/>
        <v>324109.99</v>
      </c>
      <c r="V17" s="4779">
        <v>14</v>
      </c>
      <c r="W17" s="4780">
        <v>58497.16</v>
      </c>
      <c r="X17" s="4471">
        <f t="shared" si="7"/>
        <v>50</v>
      </c>
      <c r="Y17" s="4527">
        <f t="shared" si="8"/>
        <v>206124.15</v>
      </c>
      <c r="Z17" s="4472">
        <f t="shared" si="9"/>
        <v>94</v>
      </c>
      <c r="AA17" s="4469">
        <f t="shared" si="10"/>
        <v>382607.15</v>
      </c>
      <c r="AB17" s="4779">
        <v>16</v>
      </c>
      <c r="AC17" s="4780">
        <v>65790.649999999994</v>
      </c>
      <c r="AD17" s="5082">
        <f t="shared" si="11"/>
        <v>110</v>
      </c>
      <c r="AE17" s="5021">
        <f t="shared" si="12"/>
        <v>448397.8</v>
      </c>
      <c r="AF17" s="4779">
        <v>15</v>
      </c>
      <c r="AG17" s="4780">
        <v>61123.93</v>
      </c>
      <c r="AH17" s="1463"/>
      <c r="AI17" s="1522">
        <f t="shared" si="14"/>
        <v>509521.73</v>
      </c>
      <c r="AJ17" s="4779"/>
      <c r="AK17" s="4780">
        <v>65777</v>
      </c>
      <c r="AL17" s="4471"/>
      <c r="AM17" s="4526">
        <f t="shared" si="16"/>
        <v>192691.58</v>
      </c>
      <c r="AN17" s="1463"/>
      <c r="AO17" s="1522">
        <f t="shared" si="18"/>
        <v>575298.73</v>
      </c>
      <c r="AP17" s="4779">
        <v>14</v>
      </c>
      <c r="AQ17" s="4780">
        <v>56692.73</v>
      </c>
      <c r="AR17" s="1463"/>
      <c r="AS17" s="1522">
        <f t="shared" si="20"/>
        <v>631991.46</v>
      </c>
      <c r="AT17" s="4779">
        <v>15</v>
      </c>
      <c r="AU17" s="4780">
        <v>61602.71</v>
      </c>
      <c r="AV17" s="1463"/>
      <c r="AW17" s="1522">
        <f t="shared" si="22"/>
        <v>693594.17</v>
      </c>
      <c r="AX17" s="4779">
        <v>15</v>
      </c>
      <c r="AY17" s="4780">
        <v>62110.96</v>
      </c>
      <c r="AZ17" s="4471"/>
      <c r="BA17" s="4527">
        <f t="shared" si="24"/>
        <v>180406.39999999999</v>
      </c>
      <c r="BB17" s="4472"/>
      <c r="BC17" s="4469">
        <f t="shared" si="26"/>
        <v>373097.98</v>
      </c>
      <c r="BD17" s="1463"/>
      <c r="BE17" s="1522">
        <f t="shared" si="28"/>
        <v>755705.13</v>
      </c>
      <c r="BF17" s="1202"/>
      <c r="BG17" s="1202"/>
      <c r="BH17" s="528"/>
      <c r="BI17" s="528"/>
      <c r="BJ17" s="528"/>
      <c r="BQ17" s="528"/>
      <c r="BR17" s="528"/>
      <c r="BS17" s="528"/>
      <c r="BT17" s="528"/>
      <c r="BU17" s="528"/>
      <c r="BV17" s="528"/>
      <c r="BW17" s="528"/>
      <c r="BX17" s="528"/>
      <c r="BY17" s="528"/>
      <c r="BZ17" s="528"/>
      <c r="CA17" s="528"/>
      <c r="CB17" s="528"/>
    </row>
    <row r="18" spans="2:80" ht="21.9" customHeight="1" thickBot="1" x14ac:dyDescent="0.35">
      <c r="B18" s="4778"/>
      <c r="C18" s="4777"/>
      <c r="D18" s="4779"/>
      <c r="E18" s="4780"/>
      <c r="F18" s="4779"/>
      <c r="G18" s="4780"/>
      <c r="H18" s="1463"/>
      <c r="I18" s="1464">
        <f t="shared" si="1"/>
        <v>0</v>
      </c>
      <c r="J18" s="4779"/>
      <c r="K18" s="4780"/>
      <c r="L18" s="4471">
        <f t="shared" si="52"/>
        <v>0</v>
      </c>
      <c r="M18" s="4526">
        <f t="shared" si="2"/>
        <v>0</v>
      </c>
      <c r="N18" s="4779"/>
      <c r="O18" s="4780"/>
      <c r="P18" s="1522">
        <f t="shared" si="3"/>
        <v>0</v>
      </c>
      <c r="Q18" s="1522">
        <f t="shared" si="4"/>
        <v>0</v>
      </c>
      <c r="R18" s="4779"/>
      <c r="S18" s="4780"/>
      <c r="T18" s="1522">
        <f t="shared" si="5"/>
        <v>0</v>
      </c>
      <c r="U18" s="1522">
        <f t="shared" si="6"/>
        <v>0</v>
      </c>
      <c r="V18" s="4779"/>
      <c r="W18" s="4780"/>
      <c r="X18" s="4471">
        <f t="shared" si="7"/>
        <v>0</v>
      </c>
      <c r="Y18" s="4527">
        <f t="shared" si="8"/>
        <v>0</v>
      </c>
      <c r="Z18" s="4472">
        <f t="shared" si="9"/>
        <v>0</v>
      </c>
      <c r="AA18" s="4469">
        <f t="shared" si="10"/>
        <v>0</v>
      </c>
      <c r="AB18" s="4779"/>
      <c r="AC18" s="4780"/>
      <c r="AD18" s="5082">
        <f t="shared" si="11"/>
        <v>0</v>
      </c>
      <c r="AE18" s="5021">
        <f t="shared" si="12"/>
        <v>0</v>
      </c>
      <c r="AF18" s="4779"/>
      <c r="AG18" s="4780"/>
      <c r="AH18" s="1463"/>
      <c r="AI18" s="1522">
        <f t="shared" si="14"/>
        <v>0</v>
      </c>
      <c r="AJ18" s="4779"/>
      <c r="AK18" s="4780"/>
      <c r="AL18" s="4471"/>
      <c r="AM18" s="4526">
        <f t="shared" si="16"/>
        <v>0</v>
      </c>
      <c r="AN18" s="1463"/>
      <c r="AO18" s="1522">
        <f t="shared" si="18"/>
        <v>0</v>
      </c>
      <c r="AP18" s="4779"/>
      <c r="AQ18" s="4780"/>
      <c r="AR18" s="1463"/>
      <c r="AS18" s="1522">
        <f t="shared" si="20"/>
        <v>0</v>
      </c>
      <c r="AT18" s="4779"/>
      <c r="AU18" s="4780"/>
      <c r="AV18" s="1463"/>
      <c r="AW18" s="1522">
        <f t="shared" si="22"/>
        <v>0</v>
      </c>
      <c r="AX18" s="4779"/>
      <c r="AY18" s="4780"/>
      <c r="AZ18" s="4471"/>
      <c r="BA18" s="4527">
        <f t="shared" si="24"/>
        <v>0</v>
      </c>
      <c r="BB18" s="4472"/>
      <c r="BC18" s="4469">
        <f t="shared" si="26"/>
        <v>0</v>
      </c>
      <c r="BD18" s="1463"/>
      <c r="BE18" s="1522">
        <f t="shared" si="28"/>
        <v>0</v>
      </c>
      <c r="BF18" s="1202"/>
      <c r="BG18" s="1202"/>
      <c r="BH18" s="528"/>
      <c r="BI18" s="528"/>
      <c r="BJ18" s="528"/>
      <c r="BQ18" s="528"/>
      <c r="BR18" s="528"/>
      <c r="BS18" s="528"/>
      <c r="BT18" s="528"/>
      <c r="BU18" s="528"/>
      <c r="BV18" s="528"/>
      <c r="BW18" s="528"/>
      <c r="BX18" s="528"/>
      <c r="BY18" s="528"/>
      <c r="BZ18" s="528"/>
      <c r="CA18" s="528"/>
      <c r="CB18" s="528"/>
    </row>
    <row r="19" spans="2:80" ht="21.9" customHeight="1" thickBot="1" x14ac:dyDescent="0.35">
      <c r="B19" s="6148" t="s">
        <v>1216</v>
      </c>
      <c r="C19" s="1440" t="s">
        <v>1011</v>
      </c>
      <c r="D19" s="1453">
        <v>6</v>
      </c>
      <c r="E19" s="1460">
        <v>24753</v>
      </c>
      <c r="F19" s="1453">
        <v>7</v>
      </c>
      <c r="G19" s="1460">
        <v>28976</v>
      </c>
      <c r="H19" s="1463">
        <f t="shared" si="0"/>
        <v>13</v>
      </c>
      <c r="I19" s="1464">
        <f t="shared" si="1"/>
        <v>53729</v>
      </c>
      <c r="J19" s="1453">
        <v>5</v>
      </c>
      <c r="K19" s="1460">
        <v>20609</v>
      </c>
      <c r="L19" s="4471">
        <f t="shared" si="29"/>
        <v>18</v>
      </c>
      <c r="M19" s="4526">
        <f t="shared" si="2"/>
        <v>74338</v>
      </c>
      <c r="N19" s="1453">
        <v>10</v>
      </c>
      <c r="O19" s="1460">
        <v>41059.71</v>
      </c>
      <c r="P19" s="1522">
        <f t="shared" ref="P19:P75" si="53">L19+N19</f>
        <v>28</v>
      </c>
      <c r="Q19" s="1522">
        <f t="shared" si="4"/>
        <v>115397.70999999999</v>
      </c>
      <c r="R19" s="1453">
        <v>8</v>
      </c>
      <c r="S19" s="1460">
        <v>33032.14</v>
      </c>
      <c r="T19" s="1522">
        <f t="shared" si="5"/>
        <v>36</v>
      </c>
      <c r="U19" s="1522">
        <f t="shared" si="6"/>
        <v>148429.85</v>
      </c>
      <c r="V19" s="1453">
        <v>8</v>
      </c>
      <c r="W19" s="1460">
        <v>32927.870000000003</v>
      </c>
      <c r="X19" s="4471">
        <f t="shared" si="7"/>
        <v>26</v>
      </c>
      <c r="Y19" s="4527">
        <f t="shared" si="8"/>
        <v>107019.72</v>
      </c>
      <c r="Z19" s="4472">
        <f t="shared" si="9"/>
        <v>44</v>
      </c>
      <c r="AA19" s="4469">
        <f t="shared" si="10"/>
        <v>181357.72</v>
      </c>
      <c r="AB19" s="1453">
        <v>8</v>
      </c>
      <c r="AC19" s="1460">
        <v>32841.440000000002</v>
      </c>
      <c r="AD19" s="5082">
        <f t="shared" si="11"/>
        <v>52</v>
      </c>
      <c r="AE19" s="5021">
        <f t="shared" si="12"/>
        <v>214199.16</v>
      </c>
      <c r="AF19" s="1453">
        <v>8</v>
      </c>
      <c r="AG19" s="1460">
        <v>32887.54</v>
      </c>
      <c r="AH19" s="1463">
        <f t="shared" si="45"/>
        <v>60</v>
      </c>
      <c r="AI19" s="1522">
        <f t="shared" si="14"/>
        <v>247086.69999999998</v>
      </c>
      <c r="AJ19" s="1453">
        <v>4</v>
      </c>
      <c r="AK19" s="1460">
        <v>28692.639999999999</v>
      </c>
      <c r="AL19" s="4471">
        <f t="shared" si="46"/>
        <v>20</v>
      </c>
      <c r="AM19" s="4526">
        <f t="shared" si="16"/>
        <v>94421.62000000001</v>
      </c>
      <c r="AN19" s="1463">
        <f t="shared" si="17"/>
        <v>64</v>
      </c>
      <c r="AO19" s="1522">
        <f t="shared" si="18"/>
        <v>275779.33999999997</v>
      </c>
      <c r="AP19" s="1453">
        <v>10</v>
      </c>
      <c r="AQ19" s="1460">
        <v>41215.269999999997</v>
      </c>
      <c r="AR19" s="1463">
        <f t="shared" si="47"/>
        <v>74</v>
      </c>
      <c r="AS19" s="1522">
        <f t="shared" si="20"/>
        <v>316994.61</v>
      </c>
      <c r="AT19" s="1453">
        <v>9</v>
      </c>
      <c r="AU19" s="1460">
        <v>37212.97</v>
      </c>
      <c r="AV19" s="1463">
        <f t="shared" si="48"/>
        <v>83</v>
      </c>
      <c r="AW19" s="1522">
        <f t="shared" si="22"/>
        <v>354207.58</v>
      </c>
      <c r="AX19" s="1453">
        <v>10</v>
      </c>
      <c r="AY19" s="1460">
        <v>41136.76</v>
      </c>
      <c r="AZ19" s="4471">
        <f t="shared" si="49"/>
        <v>29</v>
      </c>
      <c r="BA19" s="4527">
        <f t="shared" si="24"/>
        <v>119565</v>
      </c>
      <c r="BB19" s="4472">
        <f t="shared" si="50"/>
        <v>49</v>
      </c>
      <c r="BC19" s="4469">
        <f t="shared" si="26"/>
        <v>213986.62</v>
      </c>
      <c r="BD19" s="1463">
        <f t="shared" si="51"/>
        <v>93</v>
      </c>
      <c r="BE19" s="1522">
        <f t="shared" si="28"/>
        <v>395344.33999999997</v>
      </c>
      <c r="BF19" s="1202"/>
      <c r="BG19" s="1202"/>
      <c r="BH19" s="528"/>
      <c r="BI19" s="528"/>
      <c r="BJ19" s="528"/>
      <c r="BQ19" s="528"/>
      <c r="BR19" s="528"/>
      <c r="BS19" s="528"/>
      <c r="BT19" s="528"/>
      <c r="BU19" s="528"/>
      <c r="BV19" s="528"/>
      <c r="BW19" s="528"/>
      <c r="BX19" s="528"/>
      <c r="BY19" s="528"/>
      <c r="BZ19" s="528"/>
      <c r="CA19" s="528"/>
      <c r="CB19" s="528"/>
    </row>
    <row r="20" spans="2:80" ht="21.9" customHeight="1" x14ac:dyDescent="0.3">
      <c r="B20" s="6149"/>
      <c r="C20" s="4528" t="s">
        <v>1012</v>
      </c>
      <c r="D20" s="4529">
        <v>9</v>
      </c>
      <c r="E20" s="4530">
        <v>35195</v>
      </c>
      <c r="F20" s="4529">
        <v>9</v>
      </c>
      <c r="G20" s="4530">
        <v>34601</v>
      </c>
      <c r="H20" s="1463">
        <f t="shared" si="0"/>
        <v>18</v>
      </c>
      <c r="I20" s="1464">
        <f t="shared" si="1"/>
        <v>69796</v>
      </c>
      <c r="J20" s="4529">
        <v>8</v>
      </c>
      <c r="K20" s="4530">
        <v>31490</v>
      </c>
      <c r="L20" s="4471">
        <f t="shared" si="29"/>
        <v>26</v>
      </c>
      <c r="M20" s="4526">
        <f t="shared" si="2"/>
        <v>101286</v>
      </c>
      <c r="N20" s="4529">
        <v>9</v>
      </c>
      <c r="O20" s="4530">
        <v>31875</v>
      </c>
      <c r="P20" s="1522">
        <f t="shared" si="53"/>
        <v>35</v>
      </c>
      <c r="Q20" s="1522">
        <f t="shared" si="4"/>
        <v>133161</v>
      </c>
      <c r="R20" s="4529">
        <v>7</v>
      </c>
      <c r="S20" s="4530">
        <v>27437.95</v>
      </c>
      <c r="T20" s="1522">
        <f t="shared" si="5"/>
        <v>42</v>
      </c>
      <c r="U20" s="1522">
        <f t="shared" si="6"/>
        <v>160598.95000000001</v>
      </c>
      <c r="V20" s="4529">
        <v>6</v>
      </c>
      <c r="W20" s="4530">
        <v>23636</v>
      </c>
      <c r="X20" s="4471">
        <f t="shared" si="7"/>
        <v>22</v>
      </c>
      <c r="Y20" s="4527">
        <f t="shared" si="8"/>
        <v>82948.95</v>
      </c>
      <c r="Z20" s="4472">
        <f t="shared" si="9"/>
        <v>48</v>
      </c>
      <c r="AA20" s="4469">
        <f t="shared" si="10"/>
        <v>184234.95</v>
      </c>
      <c r="AB20" s="4529">
        <v>8</v>
      </c>
      <c r="AC20" s="4530">
        <v>30910.74</v>
      </c>
      <c r="AD20" s="5082">
        <f t="shared" si="11"/>
        <v>56</v>
      </c>
      <c r="AE20" s="5021">
        <f t="shared" si="12"/>
        <v>215145.69</v>
      </c>
      <c r="AF20" s="5074">
        <v>6</v>
      </c>
      <c r="AG20" s="4530">
        <v>23187.95</v>
      </c>
      <c r="AH20" s="1463">
        <f t="shared" si="45"/>
        <v>62</v>
      </c>
      <c r="AI20" s="1522">
        <f t="shared" si="14"/>
        <v>238333.64</v>
      </c>
      <c r="AJ20" s="4529">
        <v>9</v>
      </c>
      <c r="AK20" s="4530">
        <v>35326.54</v>
      </c>
      <c r="AL20" s="4471">
        <f t="shared" si="46"/>
        <v>23</v>
      </c>
      <c r="AM20" s="4526">
        <f t="shared" si="16"/>
        <v>89425.23000000001</v>
      </c>
      <c r="AN20" s="1463">
        <f t="shared" si="17"/>
        <v>71</v>
      </c>
      <c r="AO20" s="1522">
        <f t="shared" si="18"/>
        <v>273660.18000000005</v>
      </c>
      <c r="AP20" s="4529">
        <v>8</v>
      </c>
      <c r="AQ20" s="4530">
        <v>31150.98</v>
      </c>
      <c r="AR20" s="1463">
        <f t="shared" si="47"/>
        <v>79</v>
      </c>
      <c r="AS20" s="1522">
        <f t="shared" si="20"/>
        <v>304811.16000000003</v>
      </c>
      <c r="AT20" s="4529">
        <v>6</v>
      </c>
      <c r="AU20" s="4530">
        <v>23018.82</v>
      </c>
      <c r="AV20" s="1463">
        <f t="shared" si="48"/>
        <v>85</v>
      </c>
      <c r="AW20" s="1522">
        <f t="shared" si="22"/>
        <v>327829.98</v>
      </c>
      <c r="AX20" s="4529">
        <v>6</v>
      </c>
      <c r="AY20" s="4530">
        <v>22898.76</v>
      </c>
      <c r="AZ20" s="4471">
        <f t="shared" si="49"/>
        <v>20</v>
      </c>
      <c r="BA20" s="4527">
        <f t="shared" si="24"/>
        <v>77068.56</v>
      </c>
      <c r="BB20" s="4472">
        <f t="shared" si="50"/>
        <v>43</v>
      </c>
      <c r="BC20" s="4469">
        <f t="shared" si="26"/>
        <v>166493.79</v>
      </c>
      <c r="BD20" s="1463">
        <f t="shared" si="51"/>
        <v>91</v>
      </c>
      <c r="BE20" s="1522">
        <f t="shared" si="28"/>
        <v>350728.74</v>
      </c>
      <c r="BF20" s="1202"/>
      <c r="BG20" s="1202"/>
      <c r="BH20" s="528"/>
      <c r="BI20" s="528"/>
      <c r="BJ20" s="528"/>
      <c r="BQ20" s="528"/>
      <c r="BR20" s="528"/>
      <c r="BS20" s="528"/>
      <c r="BT20" s="528"/>
      <c r="BU20" s="528"/>
      <c r="BV20" s="528"/>
      <c r="BW20" s="528"/>
      <c r="BX20" s="528"/>
      <c r="BY20" s="528"/>
      <c r="BZ20" s="528"/>
      <c r="CA20" s="528"/>
      <c r="CB20" s="528"/>
    </row>
    <row r="21" spans="2:80" ht="21.9" customHeight="1" thickBot="1" x14ac:dyDescent="0.35">
      <c r="B21" s="6150"/>
      <c r="C21" s="4537" t="s">
        <v>2</v>
      </c>
      <c r="D21" s="4538">
        <f>SUM(D19:D20)</f>
        <v>15</v>
      </c>
      <c r="E21" s="4538">
        <f t="shared" ref="E21:BE21" si="54">SUM(E19:E20)</f>
        <v>59948</v>
      </c>
      <c r="F21" s="4538">
        <f t="shared" si="54"/>
        <v>16</v>
      </c>
      <c r="G21" s="4538">
        <f t="shared" si="54"/>
        <v>63577</v>
      </c>
      <c r="H21" s="4538">
        <f t="shared" si="54"/>
        <v>31</v>
      </c>
      <c r="I21" s="4538">
        <f t="shared" si="54"/>
        <v>123525</v>
      </c>
      <c r="J21" s="4538">
        <f t="shared" si="54"/>
        <v>13</v>
      </c>
      <c r="K21" s="4538">
        <f t="shared" si="54"/>
        <v>52099</v>
      </c>
      <c r="L21" s="4538">
        <f t="shared" si="54"/>
        <v>44</v>
      </c>
      <c r="M21" s="4538">
        <f t="shared" si="54"/>
        <v>175624</v>
      </c>
      <c r="N21" s="4538">
        <f t="shared" si="54"/>
        <v>19</v>
      </c>
      <c r="O21" s="4538">
        <f t="shared" si="54"/>
        <v>72934.709999999992</v>
      </c>
      <c r="P21" s="4538">
        <f t="shared" si="54"/>
        <v>63</v>
      </c>
      <c r="Q21" s="4538">
        <f t="shared" si="54"/>
        <v>248558.71</v>
      </c>
      <c r="R21" s="4538">
        <f t="shared" si="54"/>
        <v>15</v>
      </c>
      <c r="S21" s="4538">
        <f t="shared" si="54"/>
        <v>60470.09</v>
      </c>
      <c r="T21" s="4538">
        <f t="shared" si="54"/>
        <v>78</v>
      </c>
      <c r="U21" s="4538">
        <f t="shared" si="54"/>
        <v>309028.80000000005</v>
      </c>
      <c r="V21" s="4538">
        <f t="shared" si="54"/>
        <v>14</v>
      </c>
      <c r="W21" s="4538">
        <f t="shared" si="54"/>
        <v>56563.87</v>
      </c>
      <c r="X21" s="4538">
        <f t="shared" si="54"/>
        <v>48</v>
      </c>
      <c r="Y21" s="4538">
        <f t="shared" si="54"/>
        <v>189968.66999999998</v>
      </c>
      <c r="Z21" s="4538">
        <f t="shared" si="54"/>
        <v>92</v>
      </c>
      <c r="AA21" s="4538">
        <f t="shared" si="54"/>
        <v>365592.67000000004</v>
      </c>
      <c r="AB21" s="4538">
        <f t="shared" si="54"/>
        <v>16</v>
      </c>
      <c r="AC21" s="4538">
        <f t="shared" si="54"/>
        <v>63752.180000000008</v>
      </c>
      <c r="AD21" s="5084">
        <f t="shared" si="54"/>
        <v>108</v>
      </c>
      <c r="AE21" s="4944">
        <f t="shared" si="54"/>
        <v>429344.85</v>
      </c>
      <c r="AF21" s="5097">
        <f t="shared" si="54"/>
        <v>14</v>
      </c>
      <c r="AG21" s="4538">
        <f t="shared" ref="AG21" si="55">SUM(AG19:AG20)</f>
        <v>56075.490000000005</v>
      </c>
      <c r="AH21" s="4538">
        <f t="shared" si="54"/>
        <v>122</v>
      </c>
      <c r="AI21" s="4538">
        <f t="shared" si="14"/>
        <v>485420.33999999997</v>
      </c>
      <c r="AJ21" s="4538">
        <f t="shared" si="54"/>
        <v>13</v>
      </c>
      <c r="AK21" s="4538">
        <f t="shared" si="54"/>
        <v>64019.18</v>
      </c>
      <c r="AL21" s="4538">
        <f t="shared" si="54"/>
        <v>43</v>
      </c>
      <c r="AM21" s="4538">
        <f t="shared" si="54"/>
        <v>183846.85000000003</v>
      </c>
      <c r="AN21" s="4538">
        <f t="shared" si="54"/>
        <v>135</v>
      </c>
      <c r="AO21" s="4538">
        <f t="shared" si="54"/>
        <v>549439.52</v>
      </c>
      <c r="AP21" s="4538">
        <f t="shared" ref="AP21:AQ21" si="56">SUM(AP19:AP20)</f>
        <v>18</v>
      </c>
      <c r="AQ21" s="4538">
        <f t="shared" si="56"/>
        <v>72366.25</v>
      </c>
      <c r="AR21" s="4538">
        <f t="shared" si="54"/>
        <v>153</v>
      </c>
      <c r="AS21" s="4538">
        <f t="shared" si="54"/>
        <v>621805.77</v>
      </c>
      <c r="AT21" s="4538">
        <f t="shared" si="54"/>
        <v>15</v>
      </c>
      <c r="AU21" s="4538">
        <f t="shared" si="54"/>
        <v>60231.79</v>
      </c>
      <c r="AV21" s="4538">
        <f t="shared" si="54"/>
        <v>168</v>
      </c>
      <c r="AW21" s="4538">
        <f t="shared" si="54"/>
        <v>682037.56</v>
      </c>
      <c r="AX21" s="4538">
        <f t="shared" ref="AX21:AY21" si="57">SUM(AX19:AX20)</f>
        <v>16</v>
      </c>
      <c r="AY21" s="4538">
        <f t="shared" si="57"/>
        <v>64035.520000000004</v>
      </c>
      <c r="AZ21" s="4538">
        <f t="shared" si="54"/>
        <v>49</v>
      </c>
      <c r="BA21" s="4538">
        <f t="shared" si="54"/>
        <v>196633.56</v>
      </c>
      <c r="BB21" s="4538">
        <f t="shared" si="54"/>
        <v>92</v>
      </c>
      <c r="BC21" s="4538">
        <f t="shared" si="54"/>
        <v>380480.41000000003</v>
      </c>
      <c r="BD21" s="4538">
        <f t="shared" si="54"/>
        <v>184</v>
      </c>
      <c r="BE21" s="4538">
        <f t="shared" si="54"/>
        <v>746073.08</v>
      </c>
      <c r="BF21" s="1202"/>
      <c r="BG21" s="1202"/>
      <c r="BH21" s="528"/>
      <c r="BI21" s="528"/>
      <c r="BJ21" s="528"/>
      <c r="BQ21" s="528"/>
      <c r="BR21" s="528"/>
      <c r="BS21" s="528"/>
      <c r="BT21" s="528"/>
      <c r="BU21" s="528"/>
      <c r="BV21" s="528"/>
      <c r="BW21" s="528"/>
      <c r="BX21" s="528"/>
      <c r="BY21" s="528"/>
      <c r="BZ21" s="528"/>
      <c r="CA21" s="528"/>
      <c r="CB21" s="528"/>
    </row>
    <row r="22" spans="2:80" ht="21.9" customHeight="1" thickBot="1" x14ac:dyDescent="0.35">
      <c r="B22" s="6148" t="s">
        <v>1217</v>
      </c>
      <c r="C22" s="1581" t="s">
        <v>1011</v>
      </c>
      <c r="D22" s="1453">
        <v>0</v>
      </c>
      <c r="E22" s="1460">
        <v>0</v>
      </c>
      <c r="F22" s="1453">
        <v>0</v>
      </c>
      <c r="G22" s="1460">
        <v>0</v>
      </c>
      <c r="H22" s="1463">
        <f t="shared" si="0"/>
        <v>0</v>
      </c>
      <c r="I22" s="1464">
        <f t="shared" si="1"/>
        <v>0</v>
      </c>
      <c r="J22" s="1453">
        <v>0</v>
      </c>
      <c r="K22" s="1460">
        <v>0</v>
      </c>
      <c r="L22" s="4471">
        <f t="shared" si="29"/>
        <v>0</v>
      </c>
      <c r="M22" s="4526">
        <f t="shared" si="2"/>
        <v>0</v>
      </c>
      <c r="N22" s="1453"/>
      <c r="O22" s="1460"/>
      <c r="P22" s="1522">
        <f t="shared" si="53"/>
        <v>0</v>
      </c>
      <c r="Q22" s="1522">
        <f t="shared" si="4"/>
        <v>0</v>
      </c>
      <c r="R22" s="1453"/>
      <c r="S22" s="1460"/>
      <c r="T22" s="1522">
        <f t="shared" si="5"/>
        <v>0</v>
      </c>
      <c r="U22" s="1522">
        <f t="shared" si="6"/>
        <v>0</v>
      </c>
      <c r="V22" s="1453"/>
      <c r="W22" s="1460"/>
      <c r="X22" s="4471">
        <f t="shared" si="7"/>
        <v>0</v>
      </c>
      <c r="Y22" s="4527">
        <f t="shared" si="8"/>
        <v>0</v>
      </c>
      <c r="Z22" s="4472">
        <f t="shared" si="9"/>
        <v>0</v>
      </c>
      <c r="AA22" s="4469">
        <f t="shared" si="10"/>
        <v>0</v>
      </c>
      <c r="AB22" s="1453">
        <v>0</v>
      </c>
      <c r="AC22" s="1460">
        <v>0</v>
      </c>
      <c r="AD22" s="5085">
        <f t="shared" si="11"/>
        <v>0</v>
      </c>
      <c r="AE22" s="5021">
        <f t="shared" si="12"/>
        <v>0</v>
      </c>
      <c r="AF22" s="1453">
        <v>0</v>
      </c>
      <c r="AG22" s="1460">
        <v>0</v>
      </c>
      <c r="AH22" s="2043">
        <f t="shared" ref="AH22:AH25" si="58">AD22+AF22</f>
        <v>0</v>
      </c>
      <c r="AI22" s="1522">
        <f t="shared" si="14"/>
        <v>0</v>
      </c>
      <c r="AJ22" s="1453">
        <v>0</v>
      </c>
      <c r="AK22" s="1460"/>
      <c r="AL22" s="4471">
        <f t="shared" ref="AL22:AL25" si="59">+AB22+AF22+AJ22</f>
        <v>0</v>
      </c>
      <c r="AM22" s="4526">
        <f t="shared" si="16"/>
        <v>0</v>
      </c>
      <c r="AN22" s="1463">
        <f t="shared" si="17"/>
        <v>0</v>
      </c>
      <c r="AO22" s="1522">
        <f t="shared" si="18"/>
        <v>0</v>
      </c>
      <c r="AP22" s="1453">
        <v>0</v>
      </c>
      <c r="AQ22" s="1460">
        <v>0</v>
      </c>
      <c r="AR22" s="2043">
        <f t="shared" ref="AR22:AR25" si="60">AN22+AP22</f>
        <v>0</v>
      </c>
      <c r="AS22" s="1522">
        <f t="shared" si="20"/>
        <v>0</v>
      </c>
      <c r="AT22" s="1453">
        <v>0</v>
      </c>
      <c r="AU22" s="1460">
        <v>0</v>
      </c>
      <c r="AV22" s="2043">
        <f t="shared" ref="AV22:AV25" si="61">AR22+AT22</f>
        <v>0</v>
      </c>
      <c r="AW22" s="1522">
        <f t="shared" si="22"/>
        <v>0</v>
      </c>
      <c r="AX22" s="1453">
        <v>0</v>
      </c>
      <c r="AY22" s="1460">
        <v>0</v>
      </c>
      <c r="AZ22" s="4471">
        <f t="shared" ref="AZ22:AZ25" si="62">+AP22+AT22+AX22</f>
        <v>0</v>
      </c>
      <c r="BA22" s="4527">
        <f t="shared" si="24"/>
        <v>0</v>
      </c>
      <c r="BB22" s="4472">
        <f t="shared" ref="BB22:BB25" si="63">AL22+AZ22</f>
        <v>0</v>
      </c>
      <c r="BC22" s="4469">
        <f t="shared" si="26"/>
        <v>0</v>
      </c>
      <c r="BD22" s="1463">
        <f t="shared" ref="BD22:BD25" si="64">AV22+AX22</f>
        <v>0</v>
      </c>
      <c r="BE22" s="1522">
        <f t="shared" si="28"/>
        <v>0</v>
      </c>
      <c r="BF22" s="1202"/>
      <c r="BG22" s="1202"/>
      <c r="BH22" s="528"/>
      <c r="BI22" s="528"/>
      <c r="BJ22" s="528"/>
      <c r="BQ22" s="528"/>
      <c r="BR22" s="528"/>
      <c r="BS22" s="528"/>
      <c r="BT22" s="528"/>
      <c r="BU22" s="528"/>
      <c r="BV22" s="528"/>
      <c r="BW22" s="528"/>
      <c r="BX22" s="528"/>
      <c r="BY22" s="528"/>
      <c r="BZ22" s="528"/>
      <c r="CA22" s="528"/>
      <c r="CB22" s="528"/>
    </row>
    <row r="23" spans="2:80" ht="21.9" customHeight="1" thickBot="1" x14ac:dyDescent="0.35">
      <c r="B23" s="6149"/>
      <c r="C23" s="4539" t="s">
        <v>1012</v>
      </c>
      <c r="D23" s="4529">
        <v>0</v>
      </c>
      <c r="E23" s="4530">
        <v>0</v>
      </c>
      <c r="F23" s="4529">
        <v>0</v>
      </c>
      <c r="G23" s="4530">
        <v>0</v>
      </c>
      <c r="H23" s="1463">
        <f t="shared" si="0"/>
        <v>0</v>
      </c>
      <c r="I23" s="1464">
        <f t="shared" si="1"/>
        <v>0</v>
      </c>
      <c r="J23" s="4529">
        <v>0</v>
      </c>
      <c r="K23" s="4530">
        <v>0</v>
      </c>
      <c r="L23" s="4471">
        <f t="shared" si="29"/>
        <v>0</v>
      </c>
      <c r="M23" s="4526">
        <f t="shared" si="2"/>
        <v>0</v>
      </c>
      <c r="N23" s="4529"/>
      <c r="O23" s="4530"/>
      <c r="P23" s="1522">
        <f t="shared" si="53"/>
        <v>0</v>
      </c>
      <c r="Q23" s="1522">
        <f t="shared" si="4"/>
        <v>0</v>
      </c>
      <c r="R23" s="4529"/>
      <c r="S23" s="4530"/>
      <c r="T23" s="1522">
        <f t="shared" si="5"/>
        <v>0</v>
      </c>
      <c r="U23" s="1522">
        <f t="shared" si="6"/>
        <v>0</v>
      </c>
      <c r="V23" s="4529"/>
      <c r="W23" s="4530"/>
      <c r="X23" s="4471">
        <f t="shared" si="7"/>
        <v>0</v>
      </c>
      <c r="Y23" s="4527">
        <f t="shared" si="8"/>
        <v>0</v>
      </c>
      <c r="Z23" s="4472">
        <f t="shared" si="9"/>
        <v>0</v>
      </c>
      <c r="AA23" s="4469">
        <f t="shared" si="10"/>
        <v>0</v>
      </c>
      <c r="AB23" s="4529">
        <v>0</v>
      </c>
      <c r="AC23" s="4530">
        <v>0</v>
      </c>
      <c r="AD23" s="5085">
        <f t="shared" si="11"/>
        <v>0</v>
      </c>
      <c r="AE23" s="5021">
        <f t="shared" si="12"/>
        <v>0</v>
      </c>
      <c r="AF23" s="5074">
        <v>0</v>
      </c>
      <c r="AG23" s="4530">
        <v>0</v>
      </c>
      <c r="AH23" s="2043">
        <f t="shared" si="58"/>
        <v>0</v>
      </c>
      <c r="AI23" s="1522">
        <f t="shared" si="14"/>
        <v>0</v>
      </c>
      <c r="AJ23" s="4529">
        <v>0</v>
      </c>
      <c r="AK23" s="4530"/>
      <c r="AL23" s="4471">
        <f t="shared" si="59"/>
        <v>0</v>
      </c>
      <c r="AM23" s="4526">
        <f t="shared" si="16"/>
        <v>0</v>
      </c>
      <c r="AN23" s="1463">
        <f t="shared" si="17"/>
        <v>0</v>
      </c>
      <c r="AO23" s="1522">
        <f t="shared" si="18"/>
        <v>0</v>
      </c>
      <c r="AP23" s="4529">
        <v>0</v>
      </c>
      <c r="AQ23" s="4530">
        <v>0</v>
      </c>
      <c r="AR23" s="2043">
        <f t="shared" si="60"/>
        <v>0</v>
      </c>
      <c r="AS23" s="1522">
        <f t="shared" si="20"/>
        <v>0</v>
      </c>
      <c r="AT23" s="4529">
        <v>0</v>
      </c>
      <c r="AU23" s="4530">
        <v>0</v>
      </c>
      <c r="AV23" s="2043">
        <f t="shared" si="61"/>
        <v>0</v>
      </c>
      <c r="AW23" s="1522">
        <f t="shared" si="22"/>
        <v>0</v>
      </c>
      <c r="AX23" s="4529">
        <v>0</v>
      </c>
      <c r="AY23" s="4530">
        <v>0</v>
      </c>
      <c r="AZ23" s="4471">
        <f t="shared" si="62"/>
        <v>0</v>
      </c>
      <c r="BA23" s="4527">
        <f t="shared" si="24"/>
        <v>0</v>
      </c>
      <c r="BB23" s="4472">
        <f t="shared" si="63"/>
        <v>0</v>
      </c>
      <c r="BC23" s="4469">
        <f t="shared" si="26"/>
        <v>0</v>
      </c>
      <c r="BD23" s="1463">
        <f t="shared" si="64"/>
        <v>0</v>
      </c>
      <c r="BE23" s="1522">
        <f t="shared" si="28"/>
        <v>0</v>
      </c>
      <c r="BF23" s="1202"/>
      <c r="BG23" s="1202"/>
      <c r="BH23" s="528"/>
      <c r="BI23" s="528"/>
      <c r="BJ23" s="528"/>
      <c r="BQ23" s="528"/>
      <c r="BR23" s="528"/>
      <c r="BS23" s="528"/>
      <c r="BT23" s="528"/>
      <c r="BU23" s="528"/>
      <c r="BV23" s="528"/>
      <c r="BW23" s="528"/>
      <c r="BX23" s="528"/>
      <c r="BY23" s="528"/>
      <c r="BZ23" s="528"/>
      <c r="CA23" s="528"/>
      <c r="CB23" s="528"/>
    </row>
    <row r="24" spans="2:80" ht="21.9" customHeight="1" thickBot="1" x14ac:dyDescent="0.35">
      <c r="B24" s="6149"/>
      <c r="C24" s="4539" t="s">
        <v>1117</v>
      </c>
      <c r="D24" s="4529">
        <v>0</v>
      </c>
      <c r="E24" s="4530">
        <v>0</v>
      </c>
      <c r="F24" s="4529"/>
      <c r="G24" s="4530"/>
      <c r="H24" s="1463">
        <f t="shared" si="0"/>
        <v>0</v>
      </c>
      <c r="I24" s="1464">
        <f t="shared" si="1"/>
        <v>0</v>
      </c>
      <c r="J24" s="4529">
        <v>0</v>
      </c>
      <c r="K24" s="4530">
        <v>0</v>
      </c>
      <c r="L24" s="4471">
        <f t="shared" si="29"/>
        <v>0</v>
      </c>
      <c r="M24" s="4526">
        <f t="shared" si="2"/>
        <v>0</v>
      </c>
      <c r="N24" s="4529">
        <v>0</v>
      </c>
      <c r="O24" s="4530">
        <v>0</v>
      </c>
      <c r="P24" s="1522">
        <f t="shared" si="53"/>
        <v>0</v>
      </c>
      <c r="Q24" s="1522">
        <f t="shared" si="4"/>
        <v>0</v>
      </c>
      <c r="R24" s="4529"/>
      <c r="S24" s="4530"/>
      <c r="T24" s="1522">
        <f t="shared" si="5"/>
        <v>0</v>
      </c>
      <c r="U24" s="1522">
        <f t="shared" si="6"/>
        <v>0</v>
      </c>
      <c r="V24" s="4529"/>
      <c r="W24" s="4530"/>
      <c r="X24" s="4471">
        <f t="shared" si="7"/>
        <v>0</v>
      </c>
      <c r="Y24" s="4527">
        <f t="shared" si="8"/>
        <v>0</v>
      </c>
      <c r="Z24" s="4472">
        <f t="shared" si="9"/>
        <v>0</v>
      </c>
      <c r="AA24" s="4469">
        <f t="shared" si="10"/>
        <v>0</v>
      </c>
      <c r="AB24" s="4529">
        <v>0</v>
      </c>
      <c r="AC24" s="4530">
        <v>0</v>
      </c>
      <c r="AD24" s="5086">
        <f t="shared" si="11"/>
        <v>0</v>
      </c>
      <c r="AE24" s="5021">
        <f t="shared" si="12"/>
        <v>0</v>
      </c>
      <c r="AF24" s="5074">
        <v>0</v>
      </c>
      <c r="AG24" s="4530">
        <v>0</v>
      </c>
      <c r="AH24" s="2044">
        <f t="shared" si="58"/>
        <v>0</v>
      </c>
      <c r="AI24" s="1522">
        <f t="shared" si="14"/>
        <v>0</v>
      </c>
      <c r="AJ24" s="4529">
        <v>0</v>
      </c>
      <c r="AK24" s="4530"/>
      <c r="AL24" s="4471">
        <f t="shared" si="59"/>
        <v>0</v>
      </c>
      <c r="AM24" s="4526">
        <f t="shared" si="16"/>
        <v>0</v>
      </c>
      <c r="AN24" s="1463">
        <f t="shared" ref="AN24:AN46" si="65">AH24+AJ24</f>
        <v>0</v>
      </c>
      <c r="AO24" s="1522">
        <f t="shared" si="18"/>
        <v>0</v>
      </c>
      <c r="AP24" s="4529">
        <v>0</v>
      </c>
      <c r="AQ24" s="4530">
        <v>0</v>
      </c>
      <c r="AR24" s="2044">
        <f t="shared" si="60"/>
        <v>0</v>
      </c>
      <c r="AS24" s="1522">
        <f t="shared" si="20"/>
        <v>0</v>
      </c>
      <c r="AT24" s="4529">
        <v>0</v>
      </c>
      <c r="AU24" s="4530">
        <v>0</v>
      </c>
      <c r="AV24" s="2044">
        <f t="shared" si="61"/>
        <v>0</v>
      </c>
      <c r="AW24" s="1522">
        <f t="shared" si="22"/>
        <v>0</v>
      </c>
      <c r="AX24" s="4529">
        <v>0</v>
      </c>
      <c r="AY24" s="4530">
        <v>0</v>
      </c>
      <c r="AZ24" s="4471">
        <f t="shared" si="62"/>
        <v>0</v>
      </c>
      <c r="BA24" s="4527">
        <f t="shared" si="24"/>
        <v>0</v>
      </c>
      <c r="BB24" s="4472">
        <f t="shared" si="63"/>
        <v>0</v>
      </c>
      <c r="BC24" s="4469">
        <f t="shared" si="26"/>
        <v>0</v>
      </c>
      <c r="BD24" s="1463">
        <f t="shared" si="64"/>
        <v>0</v>
      </c>
      <c r="BE24" s="1522">
        <f t="shared" si="28"/>
        <v>0</v>
      </c>
      <c r="BF24" s="1202"/>
      <c r="BG24" s="1202"/>
      <c r="BH24" s="528"/>
      <c r="BI24" s="528"/>
      <c r="BJ24" s="528"/>
      <c r="BQ24" s="528"/>
      <c r="BR24" s="528"/>
      <c r="BS24" s="528"/>
      <c r="BT24" s="528"/>
      <c r="BU24" s="528"/>
      <c r="BV24" s="528"/>
      <c r="BW24" s="528"/>
      <c r="BX24" s="528"/>
      <c r="BY24" s="528"/>
      <c r="BZ24" s="528"/>
      <c r="CA24" s="528"/>
      <c r="CB24" s="528"/>
    </row>
    <row r="25" spans="2:80" ht="21.9" customHeight="1" x14ac:dyDescent="0.3">
      <c r="B25" s="6150"/>
      <c r="C25" s="4540" t="s">
        <v>1271</v>
      </c>
      <c r="D25" s="4541">
        <v>1</v>
      </c>
      <c r="E25" s="4542">
        <v>4151</v>
      </c>
      <c r="F25" s="4541"/>
      <c r="G25" s="4542"/>
      <c r="H25" s="1463">
        <f t="shared" si="0"/>
        <v>1</v>
      </c>
      <c r="I25" s="1464">
        <f t="shared" si="1"/>
        <v>4151</v>
      </c>
      <c r="J25" s="4541">
        <v>0</v>
      </c>
      <c r="K25" s="4542">
        <v>0</v>
      </c>
      <c r="L25" s="4471">
        <f t="shared" si="29"/>
        <v>1</v>
      </c>
      <c r="M25" s="4526">
        <f t="shared" si="2"/>
        <v>4151</v>
      </c>
      <c r="N25" s="4541">
        <v>1</v>
      </c>
      <c r="O25" s="4542">
        <v>4039.73</v>
      </c>
      <c r="P25" s="1522">
        <f t="shared" si="53"/>
        <v>2</v>
      </c>
      <c r="Q25" s="1522">
        <f t="shared" si="4"/>
        <v>8190.73</v>
      </c>
      <c r="R25" s="4541"/>
      <c r="S25" s="4542"/>
      <c r="T25" s="1522">
        <f t="shared" si="5"/>
        <v>2</v>
      </c>
      <c r="U25" s="1522">
        <f t="shared" si="6"/>
        <v>8190.73</v>
      </c>
      <c r="V25" s="4541"/>
      <c r="W25" s="4542"/>
      <c r="X25" s="4471">
        <f t="shared" si="7"/>
        <v>1</v>
      </c>
      <c r="Y25" s="4527">
        <f t="shared" si="8"/>
        <v>4039.73</v>
      </c>
      <c r="Z25" s="4472">
        <f t="shared" si="9"/>
        <v>2</v>
      </c>
      <c r="AA25" s="4469">
        <f t="shared" si="10"/>
        <v>8190.73</v>
      </c>
      <c r="AB25" s="4541">
        <v>1</v>
      </c>
      <c r="AC25" s="4542">
        <v>4139.5200000000004</v>
      </c>
      <c r="AD25" s="5087">
        <f t="shared" si="11"/>
        <v>3</v>
      </c>
      <c r="AE25" s="5021">
        <f t="shared" si="12"/>
        <v>12330.25</v>
      </c>
      <c r="AF25" s="5098">
        <v>1</v>
      </c>
      <c r="AG25" s="4542">
        <v>4143.88</v>
      </c>
      <c r="AH25" s="4473">
        <f t="shared" si="58"/>
        <v>4</v>
      </c>
      <c r="AI25" s="1522">
        <f t="shared" si="14"/>
        <v>16474.13</v>
      </c>
      <c r="AJ25" s="4541">
        <v>1</v>
      </c>
      <c r="AK25" s="4542"/>
      <c r="AL25" s="4471">
        <f t="shared" si="59"/>
        <v>3</v>
      </c>
      <c r="AM25" s="4526">
        <f t="shared" si="16"/>
        <v>8283.4000000000015</v>
      </c>
      <c r="AN25" s="1463">
        <f t="shared" si="65"/>
        <v>5</v>
      </c>
      <c r="AO25" s="1522">
        <f t="shared" si="18"/>
        <v>16474.13</v>
      </c>
      <c r="AP25" s="4541">
        <v>1</v>
      </c>
      <c r="AQ25" s="4542">
        <v>4013.23</v>
      </c>
      <c r="AR25" s="4473">
        <f t="shared" si="60"/>
        <v>6</v>
      </c>
      <c r="AS25" s="1522">
        <f t="shared" si="20"/>
        <v>20487.36</v>
      </c>
      <c r="AT25" s="4541">
        <v>0</v>
      </c>
      <c r="AU25" s="4542">
        <v>0</v>
      </c>
      <c r="AV25" s="4473">
        <f t="shared" si="61"/>
        <v>6</v>
      </c>
      <c r="AW25" s="1522">
        <f t="shared" si="22"/>
        <v>20487.36</v>
      </c>
      <c r="AX25" s="4541">
        <v>0</v>
      </c>
      <c r="AY25" s="4542">
        <v>0</v>
      </c>
      <c r="AZ25" s="4471">
        <f t="shared" si="62"/>
        <v>1</v>
      </c>
      <c r="BA25" s="4527">
        <f t="shared" si="24"/>
        <v>4013.23</v>
      </c>
      <c r="BB25" s="4472">
        <f t="shared" si="63"/>
        <v>4</v>
      </c>
      <c r="BC25" s="4469">
        <f t="shared" si="26"/>
        <v>12296.630000000001</v>
      </c>
      <c r="BD25" s="1463">
        <f t="shared" si="64"/>
        <v>6</v>
      </c>
      <c r="BE25" s="1522">
        <f t="shared" si="28"/>
        <v>20487.36</v>
      </c>
      <c r="BF25" s="1202"/>
      <c r="BG25" s="1202"/>
      <c r="BH25" s="528"/>
      <c r="BI25" s="528"/>
      <c r="BJ25" s="528"/>
      <c r="BQ25" s="528"/>
      <c r="BR25" s="528"/>
      <c r="BS25" s="528"/>
      <c r="BT25" s="528"/>
      <c r="BU25" s="528"/>
      <c r="BV25" s="528"/>
      <c r="BW25" s="528"/>
      <c r="BX25" s="528"/>
      <c r="BY25" s="528"/>
      <c r="BZ25" s="528"/>
      <c r="CA25" s="528"/>
      <c r="CB25" s="528"/>
    </row>
    <row r="26" spans="2:80" ht="21.9" customHeight="1" thickBot="1" x14ac:dyDescent="0.35">
      <c r="B26" s="6162"/>
      <c r="C26" s="1582" t="s">
        <v>2</v>
      </c>
      <c r="D26" s="4543">
        <f>SUM(D22:D25)</f>
        <v>1</v>
      </c>
      <c r="E26" s="4543">
        <f t="shared" ref="E26:BE26" si="66">SUM(E22:E25)</f>
        <v>4151</v>
      </c>
      <c r="F26" s="4543">
        <f t="shared" si="66"/>
        <v>0</v>
      </c>
      <c r="G26" s="4543">
        <f t="shared" si="66"/>
        <v>0</v>
      </c>
      <c r="H26" s="4543">
        <f t="shared" si="66"/>
        <v>1</v>
      </c>
      <c r="I26" s="4543">
        <f t="shared" si="66"/>
        <v>4151</v>
      </c>
      <c r="J26" s="4543">
        <f t="shared" si="66"/>
        <v>0</v>
      </c>
      <c r="K26" s="4543">
        <f t="shared" si="66"/>
        <v>0</v>
      </c>
      <c r="L26" s="4543">
        <f t="shared" si="66"/>
        <v>1</v>
      </c>
      <c r="M26" s="4543">
        <f t="shared" si="66"/>
        <v>4151</v>
      </c>
      <c r="N26" s="4543">
        <f t="shared" si="66"/>
        <v>1</v>
      </c>
      <c r="O26" s="4543">
        <f t="shared" si="66"/>
        <v>4039.73</v>
      </c>
      <c r="P26" s="4543">
        <f t="shared" si="66"/>
        <v>2</v>
      </c>
      <c r="Q26" s="4543">
        <f t="shared" si="66"/>
        <v>8190.73</v>
      </c>
      <c r="R26" s="4543">
        <f t="shared" si="66"/>
        <v>0</v>
      </c>
      <c r="S26" s="4543">
        <f t="shared" si="66"/>
        <v>0</v>
      </c>
      <c r="T26" s="4543">
        <f t="shared" si="66"/>
        <v>2</v>
      </c>
      <c r="U26" s="4543">
        <f t="shared" si="66"/>
        <v>8190.73</v>
      </c>
      <c r="V26" s="4543">
        <f t="shared" si="66"/>
        <v>0</v>
      </c>
      <c r="W26" s="4543">
        <f t="shared" si="66"/>
        <v>0</v>
      </c>
      <c r="X26" s="4543">
        <f t="shared" si="66"/>
        <v>1</v>
      </c>
      <c r="Y26" s="4543">
        <f t="shared" si="66"/>
        <v>4039.73</v>
      </c>
      <c r="Z26" s="4543">
        <f t="shared" si="66"/>
        <v>2</v>
      </c>
      <c r="AA26" s="4543">
        <f t="shared" si="66"/>
        <v>8190.73</v>
      </c>
      <c r="AB26" s="4543">
        <f t="shared" si="66"/>
        <v>1</v>
      </c>
      <c r="AC26" s="4543">
        <f t="shared" si="66"/>
        <v>4139.5200000000004</v>
      </c>
      <c r="AD26" s="4544">
        <f t="shared" si="66"/>
        <v>3</v>
      </c>
      <c r="AE26" s="4944">
        <f t="shared" si="66"/>
        <v>12330.25</v>
      </c>
      <c r="AF26" s="4543">
        <f t="shared" si="66"/>
        <v>1</v>
      </c>
      <c r="AG26" s="4543">
        <f t="shared" ref="AG26" si="67">SUM(AG22:AG25)</f>
        <v>4143.88</v>
      </c>
      <c r="AH26" s="4543">
        <f t="shared" si="66"/>
        <v>4</v>
      </c>
      <c r="AI26" s="4543">
        <f t="shared" si="14"/>
        <v>16474.13</v>
      </c>
      <c r="AJ26" s="4543">
        <f t="shared" si="66"/>
        <v>1</v>
      </c>
      <c r="AK26" s="4543">
        <f t="shared" si="66"/>
        <v>0</v>
      </c>
      <c r="AL26" s="4543">
        <f t="shared" si="66"/>
        <v>3</v>
      </c>
      <c r="AM26" s="4543">
        <f t="shared" si="66"/>
        <v>8283.4000000000015</v>
      </c>
      <c r="AN26" s="4543">
        <f t="shared" si="66"/>
        <v>5</v>
      </c>
      <c r="AO26" s="4543">
        <f t="shared" si="66"/>
        <v>16474.13</v>
      </c>
      <c r="AP26" s="4543">
        <f t="shared" ref="AP26:AQ26" si="68">SUM(AP22:AP25)</f>
        <v>1</v>
      </c>
      <c r="AQ26" s="4543">
        <f t="shared" si="68"/>
        <v>4013.23</v>
      </c>
      <c r="AR26" s="4543">
        <f t="shared" si="66"/>
        <v>6</v>
      </c>
      <c r="AS26" s="4543">
        <f t="shared" si="66"/>
        <v>20487.36</v>
      </c>
      <c r="AT26" s="4543">
        <f t="shared" si="66"/>
        <v>0</v>
      </c>
      <c r="AU26" s="4543">
        <f t="shared" si="66"/>
        <v>0</v>
      </c>
      <c r="AV26" s="4543">
        <f t="shared" si="66"/>
        <v>6</v>
      </c>
      <c r="AW26" s="4543">
        <f t="shared" si="66"/>
        <v>20487.36</v>
      </c>
      <c r="AX26" s="4543">
        <f t="shared" ref="AX26:AY26" si="69">SUM(AX22:AX25)</f>
        <v>0</v>
      </c>
      <c r="AY26" s="4543">
        <f t="shared" si="69"/>
        <v>0</v>
      </c>
      <c r="AZ26" s="4543">
        <f t="shared" si="66"/>
        <v>1</v>
      </c>
      <c r="BA26" s="4543">
        <f t="shared" si="66"/>
        <v>4013.23</v>
      </c>
      <c r="BB26" s="4543">
        <f t="shared" si="66"/>
        <v>4</v>
      </c>
      <c r="BC26" s="4543">
        <f t="shared" si="66"/>
        <v>12296.630000000001</v>
      </c>
      <c r="BD26" s="4543">
        <f t="shared" si="66"/>
        <v>6</v>
      </c>
      <c r="BE26" s="4543">
        <f t="shared" si="66"/>
        <v>20487.36</v>
      </c>
      <c r="BF26" s="1202"/>
      <c r="BG26" s="1202"/>
      <c r="BH26" s="528"/>
      <c r="BI26" s="528"/>
      <c r="BJ26" s="528"/>
      <c r="BQ26" s="528"/>
      <c r="BR26" s="528"/>
      <c r="BS26" s="528"/>
      <c r="BT26" s="528"/>
      <c r="BU26" s="528"/>
      <c r="BV26" s="528"/>
      <c r="BW26" s="528"/>
      <c r="BX26" s="528"/>
      <c r="BY26" s="528"/>
      <c r="BZ26" s="528"/>
      <c r="CA26" s="528"/>
      <c r="CB26" s="528"/>
    </row>
    <row r="27" spans="2:80" ht="21.9" customHeight="1" thickBot="1" x14ac:dyDescent="0.35">
      <c r="B27" s="6163" t="s">
        <v>1218</v>
      </c>
      <c r="C27" s="1583" t="s">
        <v>1219</v>
      </c>
      <c r="D27" s="1441">
        <v>1</v>
      </c>
      <c r="E27" s="1442">
        <v>4038</v>
      </c>
      <c r="F27" s="1441">
        <v>2</v>
      </c>
      <c r="G27" s="1442">
        <v>6631</v>
      </c>
      <c r="H27" s="1463">
        <f t="shared" si="0"/>
        <v>3</v>
      </c>
      <c r="I27" s="1464">
        <f t="shared" si="1"/>
        <v>10669</v>
      </c>
      <c r="J27" s="1441">
        <v>1</v>
      </c>
      <c r="K27" s="1442">
        <v>4115</v>
      </c>
      <c r="L27" s="4471">
        <f t="shared" si="29"/>
        <v>4</v>
      </c>
      <c r="M27" s="4526">
        <f t="shared" si="2"/>
        <v>14784</v>
      </c>
      <c r="N27" s="1441">
        <v>1</v>
      </c>
      <c r="O27" s="1442">
        <v>4030.11</v>
      </c>
      <c r="P27" s="1522">
        <f t="shared" si="53"/>
        <v>5</v>
      </c>
      <c r="Q27" s="1522">
        <f t="shared" si="4"/>
        <v>18814.11</v>
      </c>
      <c r="R27" s="1441">
        <v>2</v>
      </c>
      <c r="S27" s="1442">
        <v>7453.56</v>
      </c>
      <c r="T27" s="1522">
        <f t="shared" si="5"/>
        <v>7</v>
      </c>
      <c r="U27" s="1522">
        <f t="shared" si="6"/>
        <v>26267.670000000002</v>
      </c>
      <c r="V27" s="1441">
        <v>1</v>
      </c>
      <c r="W27" s="1442">
        <v>3900.83</v>
      </c>
      <c r="X27" s="4471">
        <f t="shared" si="7"/>
        <v>4</v>
      </c>
      <c r="Y27" s="4527">
        <f t="shared" si="8"/>
        <v>15384.5</v>
      </c>
      <c r="Z27" s="4472">
        <f t="shared" si="9"/>
        <v>8</v>
      </c>
      <c r="AA27" s="4469">
        <f t="shared" si="10"/>
        <v>30168.5</v>
      </c>
      <c r="AB27" s="1441">
        <v>1</v>
      </c>
      <c r="AC27" s="1442">
        <v>3992.12</v>
      </c>
      <c r="AD27" s="5082">
        <f t="shared" si="11"/>
        <v>9</v>
      </c>
      <c r="AE27" s="5021">
        <f t="shared" si="12"/>
        <v>34160.619999999995</v>
      </c>
      <c r="AF27" s="1441">
        <v>1</v>
      </c>
      <c r="AG27" s="1442">
        <v>3364.78</v>
      </c>
      <c r="AH27" s="1463">
        <f t="shared" ref="AH27:AH31" si="70">AD27+AF27</f>
        <v>10</v>
      </c>
      <c r="AI27" s="1522">
        <f t="shared" si="14"/>
        <v>37525.4</v>
      </c>
      <c r="AJ27" s="1441">
        <v>1</v>
      </c>
      <c r="AK27" s="1442">
        <v>4059.37</v>
      </c>
      <c r="AL27" s="4471">
        <f t="shared" ref="AL27:AL31" si="71">+AB27+AF27+AJ27</f>
        <v>3</v>
      </c>
      <c r="AM27" s="4526">
        <f t="shared" si="16"/>
        <v>11416.27</v>
      </c>
      <c r="AN27" s="1463">
        <f t="shared" si="65"/>
        <v>11</v>
      </c>
      <c r="AO27" s="1522">
        <f t="shared" si="18"/>
        <v>41584.770000000004</v>
      </c>
      <c r="AP27" s="1441">
        <v>0</v>
      </c>
      <c r="AQ27" s="1442">
        <v>0</v>
      </c>
      <c r="AR27" s="1463">
        <f t="shared" ref="AR27:AR31" si="72">AN27+AP27</f>
        <v>11</v>
      </c>
      <c r="AS27" s="1522">
        <f t="shared" si="20"/>
        <v>41584.770000000004</v>
      </c>
      <c r="AT27" s="1441">
        <v>1</v>
      </c>
      <c r="AU27" s="1442">
        <v>3547.67</v>
      </c>
      <c r="AV27" s="1463">
        <f t="shared" ref="AV27:AV31" si="73">AR27+AT27</f>
        <v>12</v>
      </c>
      <c r="AW27" s="1522">
        <f t="shared" si="22"/>
        <v>45132.44</v>
      </c>
      <c r="AX27" s="1441">
        <v>0</v>
      </c>
      <c r="AY27" s="1442">
        <v>0</v>
      </c>
      <c r="AZ27" s="4471">
        <f t="shared" ref="AZ27:AZ31" si="74">+AP27+AT27+AX27</f>
        <v>1</v>
      </c>
      <c r="BA27" s="4527">
        <f t="shared" si="24"/>
        <v>3547.67</v>
      </c>
      <c r="BB27" s="4472">
        <f t="shared" ref="BB27:BB31" si="75">AL27+AZ27</f>
        <v>4</v>
      </c>
      <c r="BC27" s="4469">
        <f t="shared" si="26"/>
        <v>14963.94</v>
      </c>
      <c r="BD27" s="1463">
        <f t="shared" ref="BD27:BD31" si="76">AV27+AX27</f>
        <v>12</v>
      </c>
      <c r="BE27" s="1522">
        <f t="shared" si="28"/>
        <v>45132.44</v>
      </c>
      <c r="BF27" s="1202"/>
      <c r="BG27" s="1202"/>
      <c r="BH27" s="528"/>
      <c r="BI27" s="528"/>
      <c r="BJ27" s="528"/>
      <c r="BQ27" s="528"/>
      <c r="BR27" s="528"/>
      <c r="BS27" s="528"/>
      <c r="BT27" s="528"/>
      <c r="BU27" s="528"/>
      <c r="BV27" s="528"/>
      <c r="BW27" s="528"/>
      <c r="BX27" s="528"/>
      <c r="BY27" s="528"/>
      <c r="BZ27" s="528"/>
      <c r="CA27" s="528"/>
      <c r="CB27" s="528"/>
    </row>
    <row r="28" spans="2:80" ht="21.9" customHeight="1" thickBot="1" x14ac:dyDescent="0.35">
      <c r="B28" s="6164"/>
      <c r="C28" s="4539" t="s">
        <v>1220</v>
      </c>
      <c r="D28" s="4545">
        <v>0</v>
      </c>
      <c r="E28" s="4546">
        <v>0</v>
      </c>
      <c r="F28" s="4545"/>
      <c r="G28" s="4546"/>
      <c r="H28" s="1463">
        <f t="shared" si="0"/>
        <v>0</v>
      </c>
      <c r="I28" s="1464">
        <f t="shared" si="1"/>
        <v>0</v>
      </c>
      <c r="J28" s="4545"/>
      <c r="K28" s="4546"/>
      <c r="L28" s="4471">
        <f t="shared" si="29"/>
        <v>0</v>
      </c>
      <c r="M28" s="4526">
        <f t="shared" si="2"/>
        <v>0</v>
      </c>
      <c r="N28" s="4545"/>
      <c r="O28" s="4546"/>
      <c r="P28" s="1522">
        <f t="shared" si="53"/>
        <v>0</v>
      </c>
      <c r="Q28" s="1522">
        <f t="shared" si="4"/>
        <v>0</v>
      </c>
      <c r="R28" s="4545"/>
      <c r="S28" s="4546"/>
      <c r="T28" s="1522">
        <f t="shared" si="5"/>
        <v>0</v>
      </c>
      <c r="U28" s="1522">
        <f t="shared" si="6"/>
        <v>0</v>
      </c>
      <c r="V28" s="4545"/>
      <c r="W28" s="4546"/>
      <c r="X28" s="4471">
        <f t="shared" si="7"/>
        <v>0</v>
      </c>
      <c r="Y28" s="4527">
        <f t="shared" si="8"/>
        <v>0</v>
      </c>
      <c r="Z28" s="4472">
        <f t="shared" si="9"/>
        <v>0</v>
      </c>
      <c r="AA28" s="4469">
        <f t="shared" si="10"/>
        <v>0</v>
      </c>
      <c r="AB28" s="4545">
        <v>0</v>
      </c>
      <c r="AC28" s="4546">
        <v>0</v>
      </c>
      <c r="AD28" s="5082">
        <f t="shared" si="11"/>
        <v>0</v>
      </c>
      <c r="AE28" s="5021">
        <f t="shared" si="12"/>
        <v>0</v>
      </c>
      <c r="AF28" s="5099">
        <v>0</v>
      </c>
      <c r="AG28" s="4546">
        <v>0</v>
      </c>
      <c r="AH28" s="1463">
        <f t="shared" si="70"/>
        <v>0</v>
      </c>
      <c r="AI28" s="1522">
        <f t="shared" si="14"/>
        <v>0</v>
      </c>
      <c r="AJ28" s="4545"/>
      <c r="AK28" s="4546">
        <v>0</v>
      </c>
      <c r="AL28" s="4471">
        <f t="shared" si="71"/>
        <v>0</v>
      </c>
      <c r="AM28" s="4526">
        <f t="shared" si="16"/>
        <v>0</v>
      </c>
      <c r="AN28" s="1463">
        <f t="shared" si="65"/>
        <v>0</v>
      </c>
      <c r="AO28" s="1522">
        <f t="shared" si="18"/>
        <v>0</v>
      </c>
      <c r="AP28" s="4545">
        <v>0</v>
      </c>
      <c r="AQ28" s="4546">
        <v>0</v>
      </c>
      <c r="AR28" s="1463">
        <f t="shared" si="72"/>
        <v>0</v>
      </c>
      <c r="AS28" s="1522">
        <f t="shared" si="20"/>
        <v>0</v>
      </c>
      <c r="AT28" s="4545">
        <v>0</v>
      </c>
      <c r="AU28" s="4546">
        <v>0</v>
      </c>
      <c r="AV28" s="1463">
        <f t="shared" si="73"/>
        <v>0</v>
      </c>
      <c r="AW28" s="1522">
        <f t="shared" si="22"/>
        <v>0</v>
      </c>
      <c r="AX28" s="4545">
        <v>0</v>
      </c>
      <c r="AY28" s="4546">
        <v>0</v>
      </c>
      <c r="AZ28" s="4471">
        <f t="shared" si="74"/>
        <v>0</v>
      </c>
      <c r="BA28" s="4527">
        <f t="shared" si="24"/>
        <v>0</v>
      </c>
      <c r="BB28" s="4472">
        <f t="shared" si="75"/>
        <v>0</v>
      </c>
      <c r="BC28" s="4469">
        <f t="shared" si="26"/>
        <v>0</v>
      </c>
      <c r="BD28" s="1463">
        <f t="shared" si="76"/>
        <v>0</v>
      </c>
      <c r="BE28" s="1522">
        <f t="shared" si="28"/>
        <v>0</v>
      </c>
      <c r="BF28" s="1202"/>
      <c r="BG28" s="1202"/>
      <c r="BH28" s="528"/>
      <c r="BI28" s="528"/>
      <c r="BJ28" s="528"/>
      <c r="BQ28" s="528"/>
      <c r="BR28" s="528"/>
      <c r="BS28" s="528"/>
      <c r="BT28" s="528"/>
      <c r="BU28" s="528"/>
      <c r="BV28" s="528"/>
      <c r="BW28" s="528"/>
      <c r="BX28" s="528"/>
      <c r="BY28" s="528"/>
      <c r="BZ28" s="528"/>
      <c r="CA28" s="528"/>
      <c r="CB28" s="528"/>
    </row>
    <row r="29" spans="2:80" ht="21.9" customHeight="1" thickBot="1" x14ac:dyDescent="0.35">
      <c r="B29" s="6164"/>
      <c r="C29" s="4539" t="s">
        <v>1010</v>
      </c>
      <c r="D29" s="4529">
        <v>4</v>
      </c>
      <c r="E29" s="4530">
        <v>15454</v>
      </c>
      <c r="F29" s="4529">
        <v>3</v>
      </c>
      <c r="G29" s="4530">
        <v>11998</v>
      </c>
      <c r="H29" s="1463">
        <f t="shared" si="0"/>
        <v>7</v>
      </c>
      <c r="I29" s="1464">
        <f t="shared" si="1"/>
        <v>27452</v>
      </c>
      <c r="J29" s="4529">
        <v>4</v>
      </c>
      <c r="K29" s="4530">
        <v>15764</v>
      </c>
      <c r="L29" s="4471">
        <f t="shared" si="29"/>
        <v>11</v>
      </c>
      <c r="M29" s="4526">
        <f t="shared" si="2"/>
        <v>43216</v>
      </c>
      <c r="N29" s="4529">
        <v>4</v>
      </c>
      <c r="O29" s="4530">
        <v>16007.35</v>
      </c>
      <c r="P29" s="1522">
        <f t="shared" si="53"/>
        <v>15</v>
      </c>
      <c r="Q29" s="1522">
        <f t="shared" si="4"/>
        <v>59223.35</v>
      </c>
      <c r="R29" s="4529">
        <v>4</v>
      </c>
      <c r="S29" s="4530">
        <v>15772.76</v>
      </c>
      <c r="T29" s="1522">
        <f t="shared" si="5"/>
        <v>19</v>
      </c>
      <c r="U29" s="1522">
        <f t="shared" si="6"/>
        <v>74996.11</v>
      </c>
      <c r="V29" s="4529">
        <v>4</v>
      </c>
      <c r="W29" s="4530">
        <v>15524.81</v>
      </c>
      <c r="X29" s="4471">
        <f t="shared" si="7"/>
        <v>12</v>
      </c>
      <c r="Y29" s="4527">
        <f t="shared" si="8"/>
        <v>47304.92</v>
      </c>
      <c r="Z29" s="4472">
        <f t="shared" si="9"/>
        <v>23</v>
      </c>
      <c r="AA29" s="4469">
        <f t="shared" si="10"/>
        <v>90520.92</v>
      </c>
      <c r="AB29" s="4529">
        <v>6</v>
      </c>
      <c r="AC29" s="4530">
        <v>23472.39</v>
      </c>
      <c r="AD29" s="5082">
        <f t="shared" si="11"/>
        <v>29</v>
      </c>
      <c r="AE29" s="5021">
        <f t="shared" si="12"/>
        <v>113993.31</v>
      </c>
      <c r="AF29" s="5074">
        <v>5</v>
      </c>
      <c r="AG29" s="4530">
        <v>19195.349999999999</v>
      </c>
      <c r="AH29" s="1463">
        <f t="shared" si="70"/>
        <v>34</v>
      </c>
      <c r="AI29" s="1522">
        <f t="shared" si="14"/>
        <v>133188.66</v>
      </c>
      <c r="AJ29" s="4529">
        <v>2</v>
      </c>
      <c r="AK29" s="4530">
        <v>31519.17</v>
      </c>
      <c r="AL29" s="4471">
        <f t="shared" si="71"/>
        <v>13</v>
      </c>
      <c r="AM29" s="4526">
        <f t="shared" si="16"/>
        <v>74186.91</v>
      </c>
      <c r="AN29" s="1463">
        <f t="shared" si="65"/>
        <v>36</v>
      </c>
      <c r="AO29" s="1522">
        <f t="shared" si="18"/>
        <v>164707.83000000002</v>
      </c>
      <c r="AP29" s="4529">
        <v>7</v>
      </c>
      <c r="AQ29" s="4530">
        <v>27528.880000000001</v>
      </c>
      <c r="AR29" s="1463">
        <f t="shared" si="72"/>
        <v>43</v>
      </c>
      <c r="AS29" s="1522">
        <f t="shared" si="20"/>
        <v>192236.71</v>
      </c>
      <c r="AT29" s="4529">
        <v>4</v>
      </c>
      <c r="AU29" s="4530">
        <v>15817.37</v>
      </c>
      <c r="AV29" s="1463">
        <f t="shared" si="73"/>
        <v>47</v>
      </c>
      <c r="AW29" s="1522">
        <f t="shared" si="22"/>
        <v>208054.08000000002</v>
      </c>
      <c r="AX29" s="4529">
        <v>5</v>
      </c>
      <c r="AY29" s="4530">
        <v>19523.439999999999</v>
      </c>
      <c r="AZ29" s="4471">
        <f t="shared" si="74"/>
        <v>16</v>
      </c>
      <c r="BA29" s="4527">
        <f t="shared" si="24"/>
        <v>62869.69</v>
      </c>
      <c r="BB29" s="4472">
        <f t="shared" si="75"/>
        <v>29</v>
      </c>
      <c r="BC29" s="4469">
        <f t="shared" si="26"/>
        <v>137056.6</v>
      </c>
      <c r="BD29" s="1463">
        <f t="shared" si="76"/>
        <v>52</v>
      </c>
      <c r="BE29" s="1522">
        <f t="shared" si="28"/>
        <v>227577.52000000002</v>
      </c>
      <c r="BF29" s="1202"/>
      <c r="BG29" s="1202"/>
      <c r="BH29" s="528"/>
      <c r="BI29" s="528"/>
      <c r="BJ29" s="528"/>
      <c r="BQ29" s="528"/>
      <c r="BR29" s="528"/>
      <c r="BS29" s="528"/>
      <c r="BT29" s="528"/>
      <c r="BU29" s="528"/>
      <c r="BV29" s="528"/>
      <c r="BW29" s="528"/>
      <c r="BX29" s="528"/>
      <c r="BY29" s="528"/>
      <c r="BZ29" s="528"/>
      <c r="CA29" s="528"/>
      <c r="CB29" s="528"/>
    </row>
    <row r="30" spans="2:80" ht="21.9" customHeight="1" thickBot="1" x14ac:dyDescent="0.35">
      <c r="B30" s="6164"/>
      <c r="C30" s="4539" t="s">
        <v>1221</v>
      </c>
      <c r="D30" s="4529">
        <v>0</v>
      </c>
      <c r="E30" s="4530">
        <v>0</v>
      </c>
      <c r="F30" s="4529">
        <v>0</v>
      </c>
      <c r="G30" s="4530">
        <v>0</v>
      </c>
      <c r="H30" s="1463">
        <f t="shared" si="0"/>
        <v>0</v>
      </c>
      <c r="I30" s="1464">
        <f t="shared" si="1"/>
        <v>0</v>
      </c>
      <c r="J30" s="4529">
        <v>1</v>
      </c>
      <c r="K30" s="4530">
        <v>4048</v>
      </c>
      <c r="L30" s="4471">
        <f t="shared" si="29"/>
        <v>1</v>
      </c>
      <c r="M30" s="4526">
        <f t="shared" si="2"/>
        <v>4048</v>
      </c>
      <c r="N30" s="4529">
        <v>1</v>
      </c>
      <c r="O30" s="4530">
        <v>4083.64</v>
      </c>
      <c r="P30" s="1522">
        <f t="shared" si="53"/>
        <v>2</v>
      </c>
      <c r="Q30" s="1522">
        <f t="shared" si="4"/>
        <v>8131.6399999999994</v>
      </c>
      <c r="R30" s="4529">
        <v>0</v>
      </c>
      <c r="S30" s="4530">
        <v>0</v>
      </c>
      <c r="T30" s="1522">
        <f t="shared" si="5"/>
        <v>2</v>
      </c>
      <c r="U30" s="1522">
        <f t="shared" si="6"/>
        <v>8131.6399999999994</v>
      </c>
      <c r="V30" s="4529">
        <v>0</v>
      </c>
      <c r="W30" s="4530">
        <v>0</v>
      </c>
      <c r="X30" s="4471">
        <f t="shared" si="7"/>
        <v>1</v>
      </c>
      <c r="Y30" s="4527">
        <f t="shared" si="8"/>
        <v>4083.64</v>
      </c>
      <c r="Z30" s="4472">
        <f t="shared" si="9"/>
        <v>2</v>
      </c>
      <c r="AA30" s="4469">
        <f t="shared" si="10"/>
        <v>8131.6399999999994</v>
      </c>
      <c r="AB30" s="4529">
        <v>1</v>
      </c>
      <c r="AC30" s="4530">
        <v>4158.8</v>
      </c>
      <c r="AD30" s="5082">
        <f t="shared" si="11"/>
        <v>3</v>
      </c>
      <c r="AE30" s="5021">
        <f t="shared" si="12"/>
        <v>12290.44</v>
      </c>
      <c r="AF30" s="5074">
        <v>0</v>
      </c>
      <c r="AG30" s="4530">
        <v>0</v>
      </c>
      <c r="AH30" s="1463">
        <f t="shared" si="70"/>
        <v>3</v>
      </c>
      <c r="AI30" s="1522">
        <f t="shared" si="14"/>
        <v>12290.44</v>
      </c>
      <c r="AJ30" s="4529">
        <v>1</v>
      </c>
      <c r="AK30" s="4530">
        <v>4084.52</v>
      </c>
      <c r="AL30" s="4471">
        <f t="shared" si="71"/>
        <v>2</v>
      </c>
      <c r="AM30" s="4526">
        <f t="shared" si="16"/>
        <v>8243.32</v>
      </c>
      <c r="AN30" s="1463">
        <f t="shared" si="65"/>
        <v>4</v>
      </c>
      <c r="AO30" s="1522">
        <f t="shared" si="18"/>
        <v>16374.96</v>
      </c>
      <c r="AP30" s="4529">
        <v>1</v>
      </c>
      <c r="AQ30" s="4530">
        <v>3955.25</v>
      </c>
      <c r="AR30" s="1463">
        <f t="shared" si="72"/>
        <v>5</v>
      </c>
      <c r="AS30" s="1522">
        <f t="shared" si="20"/>
        <v>20330.21</v>
      </c>
      <c r="AT30" s="4529">
        <v>0</v>
      </c>
      <c r="AU30" s="4530">
        <v>0</v>
      </c>
      <c r="AV30" s="1463">
        <f t="shared" si="73"/>
        <v>5</v>
      </c>
      <c r="AW30" s="1522">
        <f t="shared" si="22"/>
        <v>20330.21</v>
      </c>
      <c r="AX30" s="4529">
        <v>0</v>
      </c>
      <c r="AY30" s="4530">
        <v>0</v>
      </c>
      <c r="AZ30" s="4471">
        <f t="shared" si="74"/>
        <v>1</v>
      </c>
      <c r="BA30" s="4527">
        <f t="shared" si="24"/>
        <v>3955.25</v>
      </c>
      <c r="BB30" s="4472">
        <f t="shared" si="75"/>
        <v>3</v>
      </c>
      <c r="BC30" s="4469">
        <f t="shared" si="26"/>
        <v>12198.57</v>
      </c>
      <c r="BD30" s="1463">
        <f t="shared" si="76"/>
        <v>5</v>
      </c>
      <c r="BE30" s="1522">
        <f t="shared" si="28"/>
        <v>20330.21</v>
      </c>
      <c r="BF30" s="1202"/>
      <c r="BG30" s="1202"/>
      <c r="BH30" s="528"/>
      <c r="BI30" s="528"/>
      <c r="BJ30" s="528"/>
      <c r="BQ30" s="528"/>
      <c r="BR30" s="528"/>
      <c r="BS30" s="528"/>
      <c r="BT30" s="528"/>
      <c r="BU30" s="528"/>
      <c r="BV30" s="528"/>
      <c r="BW30" s="528"/>
      <c r="BX30" s="528"/>
      <c r="BY30" s="528"/>
      <c r="BZ30" s="528"/>
      <c r="CA30" s="528"/>
      <c r="CB30" s="528"/>
    </row>
    <row r="31" spans="2:80" ht="21.9" customHeight="1" x14ac:dyDescent="0.3">
      <c r="B31" s="6164"/>
      <c r="C31" s="4539" t="s">
        <v>1222</v>
      </c>
      <c r="D31" s="4529">
        <v>0</v>
      </c>
      <c r="E31" s="4530">
        <v>0</v>
      </c>
      <c r="F31" s="4529">
        <v>0</v>
      </c>
      <c r="G31" s="4530">
        <v>0</v>
      </c>
      <c r="H31" s="1463">
        <f t="shared" si="0"/>
        <v>0</v>
      </c>
      <c r="I31" s="1464">
        <f t="shared" si="1"/>
        <v>0</v>
      </c>
      <c r="J31" s="4529">
        <v>0</v>
      </c>
      <c r="K31" s="4530">
        <v>0</v>
      </c>
      <c r="L31" s="4471">
        <f t="shared" si="29"/>
        <v>0</v>
      </c>
      <c r="M31" s="4526">
        <f t="shared" si="2"/>
        <v>0</v>
      </c>
      <c r="N31" s="4529">
        <v>1</v>
      </c>
      <c r="O31" s="4530">
        <v>3850.4</v>
      </c>
      <c r="P31" s="1522">
        <f t="shared" si="53"/>
        <v>1</v>
      </c>
      <c r="Q31" s="1522">
        <f t="shared" si="4"/>
        <v>3850.4</v>
      </c>
      <c r="R31" s="4529">
        <v>1</v>
      </c>
      <c r="S31" s="4530">
        <v>3852.88</v>
      </c>
      <c r="T31" s="1522">
        <f t="shared" si="5"/>
        <v>2</v>
      </c>
      <c r="U31" s="1522">
        <f t="shared" si="6"/>
        <v>7703.2800000000007</v>
      </c>
      <c r="V31" s="4529">
        <v>0</v>
      </c>
      <c r="W31" s="4530">
        <v>0</v>
      </c>
      <c r="X31" s="4471">
        <f t="shared" si="7"/>
        <v>2</v>
      </c>
      <c r="Y31" s="4527">
        <f t="shared" si="8"/>
        <v>7703.2800000000007</v>
      </c>
      <c r="Z31" s="4472">
        <f t="shared" si="9"/>
        <v>2</v>
      </c>
      <c r="AA31" s="4469">
        <f t="shared" si="10"/>
        <v>7703.2800000000007</v>
      </c>
      <c r="AB31" s="4529">
        <v>0</v>
      </c>
      <c r="AC31" s="4530">
        <v>0</v>
      </c>
      <c r="AD31" s="5082">
        <f t="shared" si="11"/>
        <v>2</v>
      </c>
      <c r="AE31" s="5021">
        <f t="shared" si="12"/>
        <v>7703.2800000000007</v>
      </c>
      <c r="AF31" s="5074">
        <v>1</v>
      </c>
      <c r="AG31" s="4530">
        <v>3817.47</v>
      </c>
      <c r="AH31" s="1463">
        <f t="shared" si="70"/>
        <v>3</v>
      </c>
      <c r="AI31" s="1522">
        <f t="shared" si="14"/>
        <v>11520.75</v>
      </c>
      <c r="AJ31" s="4529">
        <v>0</v>
      </c>
      <c r="AK31" s="4530">
        <v>0</v>
      </c>
      <c r="AL31" s="4471">
        <f t="shared" si="71"/>
        <v>1</v>
      </c>
      <c r="AM31" s="4526">
        <f t="shared" si="16"/>
        <v>3817.47</v>
      </c>
      <c r="AN31" s="1463">
        <f t="shared" si="65"/>
        <v>3</v>
      </c>
      <c r="AO31" s="1522">
        <f t="shared" si="18"/>
        <v>11520.75</v>
      </c>
      <c r="AP31" s="4529">
        <v>0</v>
      </c>
      <c r="AQ31" s="4530">
        <v>0</v>
      </c>
      <c r="AR31" s="1463">
        <f t="shared" si="72"/>
        <v>3</v>
      </c>
      <c r="AS31" s="1522">
        <f t="shared" si="20"/>
        <v>11520.75</v>
      </c>
      <c r="AT31" s="4529">
        <v>0</v>
      </c>
      <c r="AU31" s="4530">
        <v>0</v>
      </c>
      <c r="AV31" s="1463">
        <f t="shared" si="73"/>
        <v>3</v>
      </c>
      <c r="AW31" s="1522">
        <f t="shared" si="22"/>
        <v>11520.75</v>
      </c>
      <c r="AX31" s="4529">
        <v>0</v>
      </c>
      <c r="AY31" s="4530">
        <v>0</v>
      </c>
      <c r="AZ31" s="4471">
        <f t="shared" si="74"/>
        <v>0</v>
      </c>
      <c r="BA31" s="4527">
        <f t="shared" si="24"/>
        <v>0</v>
      </c>
      <c r="BB31" s="4472">
        <f t="shared" si="75"/>
        <v>1</v>
      </c>
      <c r="BC31" s="4469">
        <f t="shared" si="26"/>
        <v>3817.47</v>
      </c>
      <c r="BD31" s="1463">
        <f t="shared" si="76"/>
        <v>3</v>
      </c>
      <c r="BE31" s="1522">
        <f t="shared" si="28"/>
        <v>11520.75</v>
      </c>
      <c r="BF31" s="1202"/>
      <c r="BG31" s="1202"/>
      <c r="BH31" s="528"/>
      <c r="BI31" s="528"/>
      <c r="BJ31" s="528"/>
      <c r="BQ31" s="528"/>
      <c r="BR31" s="528"/>
      <c r="BS31" s="528"/>
      <c r="BT31" s="528"/>
      <c r="BU31" s="528"/>
      <c r="BV31" s="528"/>
      <c r="BW31" s="528"/>
      <c r="BX31" s="528"/>
      <c r="BY31" s="528"/>
      <c r="BZ31" s="528"/>
      <c r="CA31" s="528"/>
      <c r="CB31" s="528"/>
    </row>
    <row r="32" spans="2:80" ht="21.9" customHeight="1" thickBot="1" x14ac:dyDescent="0.35">
      <c r="B32" s="6165"/>
      <c r="C32" s="1582" t="s">
        <v>2</v>
      </c>
      <c r="D32" s="4543">
        <f>SUM(D27:D31)</f>
        <v>5</v>
      </c>
      <c r="E32" s="4543">
        <f t="shared" ref="E32:BE32" si="77">SUM(E27:E31)</f>
        <v>19492</v>
      </c>
      <c r="F32" s="4543">
        <f t="shared" si="77"/>
        <v>5</v>
      </c>
      <c r="G32" s="4543">
        <f t="shared" si="77"/>
        <v>18629</v>
      </c>
      <c r="H32" s="4543">
        <f t="shared" si="77"/>
        <v>10</v>
      </c>
      <c r="I32" s="4543">
        <f t="shared" si="77"/>
        <v>38121</v>
      </c>
      <c r="J32" s="4543">
        <f t="shared" si="77"/>
        <v>6</v>
      </c>
      <c r="K32" s="4543">
        <f t="shared" si="77"/>
        <v>23927</v>
      </c>
      <c r="L32" s="4543">
        <f t="shared" si="77"/>
        <v>16</v>
      </c>
      <c r="M32" s="4543">
        <f t="shared" si="77"/>
        <v>62048</v>
      </c>
      <c r="N32" s="4543">
        <f t="shared" si="77"/>
        <v>7</v>
      </c>
      <c r="O32" s="4543">
        <f t="shared" si="77"/>
        <v>27971.5</v>
      </c>
      <c r="P32" s="4543">
        <f t="shared" si="77"/>
        <v>23</v>
      </c>
      <c r="Q32" s="4543">
        <f t="shared" si="77"/>
        <v>90019.499999999985</v>
      </c>
      <c r="R32" s="4543">
        <f t="shared" si="77"/>
        <v>7</v>
      </c>
      <c r="S32" s="4543">
        <f t="shared" si="77"/>
        <v>27079.200000000001</v>
      </c>
      <c r="T32" s="4543">
        <f t="shared" si="77"/>
        <v>30</v>
      </c>
      <c r="U32" s="4543">
        <f t="shared" si="77"/>
        <v>117098.7</v>
      </c>
      <c r="V32" s="4543">
        <f t="shared" si="77"/>
        <v>5</v>
      </c>
      <c r="W32" s="4543">
        <f t="shared" si="77"/>
        <v>19425.64</v>
      </c>
      <c r="X32" s="4543">
        <f t="shared" si="77"/>
        <v>19</v>
      </c>
      <c r="Y32" s="4543">
        <f t="shared" si="77"/>
        <v>74476.34</v>
      </c>
      <c r="Z32" s="4543">
        <f t="shared" si="77"/>
        <v>35</v>
      </c>
      <c r="AA32" s="4543">
        <f t="shared" si="77"/>
        <v>136524.34</v>
      </c>
      <c r="AB32" s="4543">
        <f t="shared" si="77"/>
        <v>8</v>
      </c>
      <c r="AC32" s="4543">
        <f t="shared" si="77"/>
        <v>31623.309999999998</v>
      </c>
      <c r="AD32" s="4544">
        <f t="shared" si="77"/>
        <v>43</v>
      </c>
      <c r="AE32" s="4944">
        <f t="shared" si="77"/>
        <v>168147.65</v>
      </c>
      <c r="AF32" s="4543">
        <f t="shared" si="77"/>
        <v>7</v>
      </c>
      <c r="AG32" s="4543">
        <f t="shared" ref="AG32" si="78">SUM(AG27:AG31)</f>
        <v>26377.599999999999</v>
      </c>
      <c r="AH32" s="4543">
        <f t="shared" si="77"/>
        <v>50</v>
      </c>
      <c r="AI32" s="4543">
        <f t="shared" si="14"/>
        <v>194525.25</v>
      </c>
      <c r="AJ32" s="4543">
        <f t="shared" si="77"/>
        <v>4</v>
      </c>
      <c r="AK32" s="4543">
        <f t="shared" si="77"/>
        <v>39663.06</v>
      </c>
      <c r="AL32" s="4543">
        <f t="shared" si="77"/>
        <v>19</v>
      </c>
      <c r="AM32" s="4543">
        <f t="shared" si="77"/>
        <v>97663.97</v>
      </c>
      <c r="AN32" s="4543">
        <f t="shared" si="77"/>
        <v>54</v>
      </c>
      <c r="AO32" s="4543">
        <f t="shared" si="77"/>
        <v>234188.31000000003</v>
      </c>
      <c r="AP32" s="4543">
        <f t="shared" ref="AP32:AQ32" si="79">SUM(AP27:AP31)</f>
        <v>8</v>
      </c>
      <c r="AQ32" s="4543">
        <f t="shared" si="79"/>
        <v>31484.13</v>
      </c>
      <c r="AR32" s="4543">
        <f t="shared" si="77"/>
        <v>62</v>
      </c>
      <c r="AS32" s="4543">
        <f t="shared" si="77"/>
        <v>265672.43999999994</v>
      </c>
      <c r="AT32" s="4543">
        <f t="shared" si="77"/>
        <v>5</v>
      </c>
      <c r="AU32" s="4543">
        <f t="shared" si="77"/>
        <v>19365.04</v>
      </c>
      <c r="AV32" s="4543">
        <f t="shared" si="77"/>
        <v>67</v>
      </c>
      <c r="AW32" s="4543">
        <f t="shared" si="77"/>
        <v>285037.48000000004</v>
      </c>
      <c r="AX32" s="4543">
        <f t="shared" ref="AX32:AY32" si="80">SUM(AX27:AX31)</f>
        <v>5</v>
      </c>
      <c r="AY32" s="4543">
        <f t="shared" si="80"/>
        <v>19523.439999999999</v>
      </c>
      <c r="AZ32" s="4543">
        <f t="shared" si="77"/>
        <v>18</v>
      </c>
      <c r="BA32" s="4543">
        <f t="shared" si="77"/>
        <v>70372.61</v>
      </c>
      <c r="BB32" s="4543">
        <f t="shared" si="77"/>
        <v>37</v>
      </c>
      <c r="BC32" s="4543">
        <f t="shared" si="77"/>
        <v>168036.58000000002</v>
      </c>
      <c r="BD32" s="4543">
        <f t="shared" si="77"/>
        <v>72</v>
      </c>
      <c r="BE32" s="4543">
        <f t="shared" si="77"/>
        <v>304560.92000000004</v>
      </c>
      <c r="BF32" s="1202"/>
      <c r="BG32" s="1202"/>
      <c r="BH32" s="528"/>
      <c r="BI32" s="528"/>
      <c r="BJ32" s="528"/>
      <c r="BQ32" s="528"/>
      <c r="BR32" s="528"/>
      <c r="BS32" s="528"/>
      <c r="BT32" s="528"/>
      <c r="BU32" s="528"/>
      <c r="BV32" s="528"/>
      <c r="BW32" s="528"/>
      <c r="BX32" s="528"/>
      <c r="BY32" s="528"/>
      <c r="BZ32" s="528"/>
      <c r="CA32" s="528"/>
      <c r="CB32" s="528"/>
    </row>
    <row r="33" spans="2:80" ht="21.9" customHeight="1" thickBot="1" x14ac:dyDescent="0.35">
      <c r="B33" s="6174" t="s">
        <v>1223</v>
      </c>
      <c r="C33" s="1581" t="s">
        <v>1010</v>
      </c>
      <c r="D33" s="1453">
        <v>7</v>
      </c>
      <c r="E33" s="1460">
        <v>27201</v>
      </c>
      <c r="F33" s="1453">
        <v>4</v>
      </c>
      <c r="G33" s="1460">
        <v>15831</v>
      </c>
      <c r="H33" s="1463">
        <f t="shared" si="0"/>
        <v>11</v>
      </c>
      <c r="I33" s="1464">
        <f t="shared" si="1"/>
        <v>43032</v>
      </c>
      <c r="J33" s="1453">
        <v>5</v>
      </c>
      <c r="K33" s="1460">
        <v>19803</v>
      </c>
      <c r="L33" s="4471">
        <f t="shared" si="29"/>
        <v>16</v>
      </c>
      <c r="M33" s="4526">
        <f t="shared" si="2"/>
        <v>62835</v>
      </c>
      <c r="N33" s="1453">
        <v>4</v>
      </c>
      <c r="O33" s="1460">
        <v>15864.51</v>
      </c>
      <c r="P33" s="1522">
        <f t="shared" si="53"/>
        <v>20</v>
      </c>
      <c r="Q33" s="1522">
        <f t="shared" si="4"/>
        <v>78699.509999999995</v>
      </c>
      <c r="R33" s="1453">
        <v>6</v>
      </c>
      <c r="S33" s="1460">
        <v>23547.25</v>
      </c>
      <c r="T33" s="1522">
        <f t="shared" si="5"/>
        <v>26</v>
      </c>
      <c r="U33" s="1522">
        <f t="shared" si="6"/>
        <v>102246.76</v>
      </c>
      <c r="V33" s="1453">
        <v>3</v>
      </c>
      <c r="W33" s="1460">
        <v>11744.630000000001</v>
      </c>
      <c r="X33" s="4471">
        <f t="shared" si="7"/>
        <v>13</v>
      </c>
      <c r="Y33" s="4527">
        <f t="shared" si="8"/>
        <v>51156.39</v>
      </c>
      <c r="Z33" s="4472">
        <f t="shared" si="9"/>
        <v>29</v>
      </c>
      <c r="AA33" s="4469">
        <f t="shared" si="10"/>
        <v>113991.39000000001</v>
      </c>
      <c r="AB33" s="1453">
        <v>4</v>
      </c>
      <c r="AC33" s="1460">
        <v>15678.11</v>
      </c>
      <c r="AD33" s="5082">
        <f t="shared" si="11"/>
        <v>33</v>
      </c>
      <c r="AE33" s="5021">
        <f t="shared" si="12"/>
        <v>129669.5</v>
      </c>
      <c r="AF33" s="1453">
        <v>4</v>
      </c>
      <c r="AG33" s="1460">
        <v>15705.72</v>
      </c>
      <c r="AH33" s="1463">
        <f t="shared" ref="AH33:AH35" si="81">AD33+AF33</f>
        <v>37</v>
      </c>
      <c r="AI33" s="1522">
        <f t="shared" si="14"/>
        <v>145375.22</v>
      </c>
      <c r="AJ33" s="1453">
        <v>3</v>
      </c>
      <c r="AK33" s="1460"/>
      <c r="AL33" s="4471">
        <f t="shared" ref="AL33:AL35" si="82">+AB33+AF33+AJ33</f>
        <v>11</v>
      </c>
      <c r="AM33" s="4526">
        <f t="shared" si="16"/>
        <v>31383.83</v>
      </c>
      <c r="AN33" s="1463">
        <f t="shared" si="65"/>
        <v>40</v>
      </c>
      <c r="AO33" s="1522">
        <f t="shared" si="18"/>
        <v>145375.22</v>
      </c>
      <c r="AP33" s="1453">
        <v>1</v>
      </c>
      <c r="AQ33" s="1460">
        <v>3917.27</v>
      </c>
      <c r="AR33" s="1463">
        <f t="shared" ref="AR33:AR35" si="83">AN33+AP33</f>
        <v>41</v>
      </c>
      <c r="AS33" s="1522">
        <f t="shared" si="20"/>
        <v>149292.49</v>
      </c>
      <c r="AT33" s="1453">
        <v>4</v>
      </c>
      <c r="AU33" s="1460">
        <v>15560.09</v>
      </c>
      <c r="AV33" s="1463">
        <f t="shared" ref="AV33:AV35" si="84">AR33+AT33</f>
        <v>45</v>
      </c>
      <c r="AW33" s="1522">
        <f t="shared" si="22"/>
        <v>164852.58000000002</v>
      </c>
      <c r="AX33" s="1453">
        <v>7</v>
      </c>
      <c r="AY33" s="1460">
        <v>27401.59</v>
      </c>
      <c r="AZ33" s="4471">
        <f t="shared" ref="AZ33:AZ35" si="85">+AP33+AT33+AX33</f>
        <v>12</v>
      </c>
      <c r="BA33" s="4527">
        <f t="shared" si="24"/>
        <v>46878.95</v>
      </c>
      <c r="BB33" s="4472">
        <f t="shared" ref="BB33:BB35" si="86">AL33+AZ33</f>
        <v>23</v>
      </c>
      <c r="BC33" s="4469">
        <f t="shared" si="26"/>
        <v>78262.78</v>
      </c>
      <c r="BD33" s="1463">
        <f t="shared" ref="BD33:BD35" si="87">AV33+AX33</f>
        <v>52</v>
      </c>
      <c r="BE33" s="1522">
        <f t="shared" si="28"/>
        <v>192254.17</v>
      </c>
      <c r="BF33" s="1202"/>
      <c r="BG33" s="1202"/>
      <c r="BH33" s="528"/>
      <c r="BI33" s="528"/>
      <c r="BJ33" s="528"/>
      <c r="BQ33" s="528"/>
      <c r="BR33" s="528"/>
      <c r="BS33" s="528"/>
      <c r="BT33" s="528"/>
      <c r="BU33" s="528"/>
      <c r="BV33" s="528"/>
      <c r="BW33" s="528"/>
      <c r="BX33" s="528"/>
      <c r="BY33" s="528"/>
      <c r="BZ33" s="528"/>
      <c r="CA33" s="528"/>
      <c r="CB33" s="528"/>
    </row>
    <row r="34" spans="2:80" ht="21.9" customHeight="1" thickBot="1" x14ac:dyDescent="0.35">
      <c r="B34" s="6164"/>
      <c r="C34" s="4528" t="s">
        <v>1221</v>
      </c>
      <c r="D34" s="4529">
        <v>2</v>
      </c>
      <c r="E34" s="4530">
        <v>8111</v>
      </c>
      <c r="F34" s="4529">
        <v>1</v>
      </c>
      <c r="G34" s="4530">
        <v>4163</v>
      </c>
      <c r="H34" s="1463">
        <f t="shared" si="0"/>
        <v>3</v>
      </c>
      <c r="I34" s="1464">
        <f t="shared" si="1"/>
        <v>12274</v>
      </c>
      <c r="J34" s="4529">
        <v>0</v>
      </c>
      <c r="K34" s="4530">
        <v>0</v>
      </c>
      <c r="L34" s="4471">
        <f t="shared" si="29"/>
        <v>3</v>
      </c>
      <c r="M34" s="4526">
        <f t="shared" si="2"/>
        <v>12274</v>
      </c>
      <c r="N34" s="4529">
        <v>1</v>
      </c>
      <c r="O34" s="4530">
        <v>4073.51</v>
      </c>
      <c r="P34" s="1522">
        <f t="shared" si="53"/>
        <v>4</v>
      </c>
      <c r="Q34" s="1522">
        <f t="shared" si="4"/>
        <v>16347.51</v>
      </c>
      <c r="R34" s="4529">
        <v>1</v>
      </c>
      <c r="S34" s="4530">
        <v>4102.3900000000003</v>
      </c>
      <c r="T34" s="1522">
        <f t="shared" si="5"/>
        <v>5</v>
      </c>
      <c r="U34" s="1522">
        <f t="shared" si="6"/>
        <v>20449.900000000001</v>
      </c>
      <c r="V34" s="4529">
        <v>1</v>
      </c>
      <c r="W34" s="4530">
        <v>4138.8</v>
      </c>
      <c r="X34" s="4471">
        <f t="shared" si="7"/>
        <v>3</v>
      </c>
      <c r="Y34" s="4527">
        <f t="shared" si="8"/>
        <v>12314.7</v>
      </c>
      <c r="Z34" s="4472">
        <f t="shared" si="9"/>
        <v>6</v>
      </c>
      <c r="AA34" s="4469">
        <f t="shared" si="10"/>
        <v>24588.7</v>
      </c>
      <c r="AB34" s="4529">
        <v>2</v>
      </c>
      <c r="AC34" s="4530">
        <v>8183.4</v>
      </c>
      <c r="AD34" s="5082">
        <f t="shared" si="11"/>
        <v>8</v>
      </c>
      <c r="AE34" s="5021">
        <f t="shared" si="12"/>
        <v>32772.1</v>
      </c>
      <c r="AF34" s="5074">
        <v>1</v>
      </c>
      <c r="AG34" s="4530">
        <v>4183.8999999999996</v>
      </c>
      <c r="AH34" s="1463">
        <f t="shared" si="81"/>
        <v>9</v>
      </c>
      <c r="AI34" s="1522">
        <f t="shared" si="14"/>
        <v>36956</v>
      </c>
      <c r="AJ34" s="4529">
        <v>0</v>
      </c>
      <c r="AK34" s="4530"/>
      <c r="AL34" s="4471">
        <f t="shared" si="82"/>
        <v>3</v>
      </c>
      <c r="AM34" s="4526">
        <f t="shared" si="16"/>
        <v>12367.3</v>
      </c>
      <c r="AN34" s="1463">
        <f t="shared" si="65"/>
        <v>9</v>
      </c>
      <c r="AO34" s="1522">
        <f t="shared" si="18"/>
        <v>36956</v>
      </c>
      <c r="AP34" s="4529">
        <v>1</v>
      </c>
      <c r="AQ34" s="4530">
        <v>4158.8999999999996</v>
      </c>
      <c r="AR34" s="1463">
        <f t="shared" si="83"/>
        <v>10</v>
      </c>
      <c r="AS34" s="1522">
        <f t="shared" si="20"/>
        <v>41114.899999999994</v>
      </c>
      <c r="AT34" s="4529">
        <v>1</v>
      </c>
      <c r="AU34" s="4530">
        <v>4176.68</v>
      </c>
      <c r="AV34" s="1463">
        <f t="shared" si="84"/>
        <v>11</v>
      </c>
      <c r="AW34" s="1522">
        <f t="shared" si="22"/>
        <v>45291.579999999994</v>
      </c>
      <c r="AX34" s="4529">
        <v>0</v>
      </c>
      <c r="AY34" s="4530">
        <v>0</v>
      </c>
      <c r="AZ34" s="4471">
        <f t="shared" si="85"/>
        <v>2</v>
      </c>
      <c r="BA34" s="4527">
        <f t="shared" si="24"/>
        <v>8335.58</v>
      </c>
      <c r="BB34" s="4472">
        <f t="shared" si="86"/>
        <v>5</v>
      </c>
      <c r="BC34" s="4469">
        <f t="shared" si="26"/>
        <v>20702.879999999997</v>
      </c>
      <c r="BD34" s="1463">
        <f t="shared" si="87"/>
        <v>11</v>
      </c>
      <c r="BE34" s="1522">
        <f t="shared" si="28"/>
        <v>45291.58</v>
      </c>
      <c r="BF34" s="1202"/>
      <c r="BG34" s="1202"/>
      <c r="BH34" s="528"/>
      <c r="BI34" s="528"/>
      <c r="BJ34" s="528"/>
      <c r="BQ34" s="528"/>
      <c r="BR34" s="528"/>
      <c r="BS34" s="528"/>
      <c r="BT34" s="528"/>
      <c r="BU34" s="528"/>
      <c r="BV34" s="528"/>
      <c r="BW34" s="528"/>
      <c r="BX34" s="528"/>
      <c r="BY34" s="528"/>
      <c r="BZ34" s="528"/>
      <c r="CA34" s="528"/>
      <c r="CB34" s="528"/>
    </row>
    <row r="35" spans="2:80" ht="21.9" customHeight="1" x14ac:dyDescent="0.3">
      <c r="B35" s="6175"/>
      <c r="C35" s="4539" t="s">
        <v>1222</v>
      </c>
      <c r="D35" s="4541">
        <v>0</v>
      </c>
      <c r="E35" s="4542">
        <v>0</v>
      </c>
      <c r="F35" s="4541">
        <v>0</v>
      </c>
      <c r="G35" s="4542">
        <v>0</v>
      </c>
      <c r="H35" s="1463">
        <f t="shared" si="0"/>
        <v>0</v>
      </c>
      <c r="I35" s="1464">
        <f t="shared" si="1"/>
        <v>0</v>
      </c>
      <c r="J35" s="4541">
        <v>0</v>
      </c>
      <c r="K35" s="4542">
        <v>0</v>
      </c>
      <c r="L35" s="4471">
        <f t="shared" si="29"/>
        <v>0</v>
      </c>
      <c r="M35" s="4526">
        <f t="shared" si="2"/>
        <v>0</v>
      </c>
      <c r="N35" s="4541">
        <v>0</v>
      </c>
      <c r="O35" s="4542">
        <v>0</v>
      </c>
      <c r="P35" s="1522">
        <f t="shared" si="53"/>
        <v>0</v>
      </c>
      <c r="Q35" s="1522">
        <f t="shared" si="4"/>
        <v>0</v>
      </c>
      <c r="R35" s="4541"/>
      <c r="S35" s="4542"/>
      <c r="T35" s="1522">
        <f t="shared" si="5"/>
        <v>0</v>
      </c>
      <c r="U35" s="1522">
        <f t="shared" si="6"/>
        <v>0</v>
      </c>
      <c r="V35" s="4541">
        <v>0</v>
      </c>
      <c r="W35" s="4542">
        <v>0</v>
      </c>
      <c r="X35" s="4471">
        <f t="shared" si="7"/>
        <v>0</v>
      </c>
      <c r="Y35" s="4527">
        <f t="shared" si="8"/>
        <v>0</v>
      </c>
      <c r="Z35" s="4472">
        <f t="shared" si="9"/>
        <v>0</v>
      </c>
      <c r="AA35" s="4469">
        <f t="shared" si="10"/>
        <v>0</v>
      </c>
      <c r="AB35" s="4541">
        <v>0</v>
      </c>
      <c r="AC35" s="4542">
        <v>0</v>
      </c>
      <c r="AD35" s="5082">
        <f t="shared" si="11"/>
        <v>0</v>
      </c>
      <c r="AE35" s="5021">
        <f t="shared" si="12"/>
        <v>0</v>
      </c>
      <c r="AF35" s="5098">
        <v>0</v>
      </c>
      <c r="AG35" s="4542">
        <v>0</v>
      </c>
      <c r="AH35" s="1463">
        <f t="shared" si="81"/>
        <v>0</v>
      </c>
      <c r="AI35" s="1522">
        <f t="shared" si="14"/>
        <v>0</v>
      </c>
      <c r="AJ35" s="4541">
        <v>0</v>
      </c>
      <c r="AK35" s="4542"/>
      <c r="AL35" s="4471">
        <f t="shared" si="82"/>
        <v>0</v>
      </c>
      <c r="AM35" s="4526">
        <f t="shared" si="16"/>
        <v>0</v>
      </c>
      <c r="AN35" s="1463">
        <f t="shared" si="65"/>
        <v>0</v>
      </c>
      <c r="AO35" s="1522">
        <f t="shared" si="18"/>
        <v>0</v>
      </c>
      <c r="AP35" s="4541">
        <v>0</v>
      </c>
      <c r="AQ35" s="4542">
        <v>0</v>
      </c>
      <c r="AR35" s="1463">
        <f t="shared" si="83"/>
        <v>0</v>
      </c>
      <c r="AS35" s="1522">
        <f t="shared" si="20"/>
        <v>0</v>
      </c>
      <c r="AT35" s="4541">
        <v>0</v>
      </c>
      <c r="AU35" s="4542">
        <v>0</v>
      </c>
      <c r="AV35" s="1463">
        <f t="shared" si="84"/>
        <v>0</v>
      </c>
      <c r="AW35" s="1522">
        <f t="shared" si="22"/>
        <v>0</v>
      </c>
      <c r="AX35" s="4541">
        <v>0</v>
      </c>
      <c r="AY35" s="4542">
        <v>0</v>
      </c>
      <c r="AZ35" s="4471">
        <f t="shared" si="85"/>
        <v>0</v>
      </c>
      <c r="BA35" s="4527">
        <f t="shared" si="24"/>
        <v>0</v>
      </c>
      <c r="BB35" s="4472">
        <f t="shared" si="86"/>
        <v>0</v>
      </c>
      <c r="BC35" s="4469">
        <f t="shared" si="26"/>
        <v>0</v>
      </c>
      <c r="BD35" s="1463">
        <f t="shared" si="87"/>
        <v>0</v>
      </c>
      <c r="BE35" s="1522">
        <f t="shared" si="28"/>
        <v>0</v>
      </c>
      <c r="BF35" s="1202"/>
      <c r="BG35" s="1202"/>
      <c r="BH35" s="528"/>
      <c r="BI35" s="528"/>
      <c r="BJ35" s="528"/>
      <c r="BQ35" s="528"/>
      <c r="BR35" s="528"/>
      <c r="BS35" s="528"/>
      <c r="BT35" s="528"/>
      <c r="BU35" s="528"/>
      <c r="BV35" s="528"/>
      <c r="BW35" s="528"/>
      <c r="BX35" s="528"/>
      <c r="BY35" s="528"/>
      <c r="BZ35" s="528"/>
      <c r="CA35" s="528"/>
      <c r="CB35" s="528"/>
    </row>
    <row r="36" spans="2:80" ht="21.9" customHeight="1" thickBot="1" x14ac:dyDescent="0.35">
      <c r="B36" s="6176"/>
      <c r="C36" s="4537" t="s">
        <v>2</v>
      </c>
      <c r="D36" s="5581">
        <f>SUM(D33:D35)</f>
        <v>9</v>
      </c>
      <c r="E36" s="5581">
        <f t="shared" ref="E36:BE36" si="88">SUM(E33:E35)</f>
        <v>35312</v>
      </c>
      <c r="F36" s="5581">
        <f t="shared" si="88"/>
        <v>5</v>
      </c>
      <c r="G36" s="5581">
        <f t="shared" si="88"/>
        <v>19994</v>
      </c>
      <c r="H36" s="5581">
        <f t="shared" si="88"/>
        <v>14</v>
      </c>
      <c r="I36" s="5581">
        <f t="shared" si="88"/>
        <v>55306</v>
      </c>
      <c r="J36" s="5581">
        <f t="shared" si="88"/>
        <v>5</v>
      </c>
      <c r="K36" s="5581">
        <f t="shared" si="88"/>
        <v>19803</v>
      </c>
      <c r="L36" s="5581">
        <f t="shared" si="88"/>
        <v>19</v>
      </c>
      <c r="M36" s="5581">
        <f t="shared" si="88"/>
        <v>75109</v>
      </c>
      <c r="N36" s="5581">
        <f t="shared" si="88"/>
        <v>5</v>
      </c>
      <c r="O36" s="5581">
        <f t="shared" si="88"/>
        <v>19938.02</v>
      </c>
      <c r="P36" s="5581">
        <f t="shared" si="88"/>
        <v>24</v>
      </c>
      <c r="Q36" s="5581">
        <f t="shared" si="88"/>
        <v>95047.01999999999</v>
      </c>
      <c r="R36" s="5581">
        <f t="shared" si="88"/>
        <v>7</v>
      </c>
      <c r="S36" s="5581">
        <f t="shared" si="88"/>
        <v>27649.64</v>
      </c>
      <c r="T36" s="5581">
        <f t="shared" si="88"/>
        <v>31</v>
      </c>
      <c r="U36" s="5581">
        <f t="shared" si="88"/>
        <v>122696.66</v>
      </c>
      <c r="V36" s="5581">
        <f t="shared" si="88"/>
        <v>4</v>
      </c>
      <c r="W36" s="5581">
        <f t="shared" si="88"/>
        <v>15883.43</v>
      </c>
      <c r="X36" s="5581">
        <f t="shared" si="88"/>
        <v>16</v>
      </c>
      <c r="Y36" s="5581">
        <f t="shared" si="88"/>
        <v>63471.09</v>
      </c>
      <c r="Z36" s="5581">
        <f t="shared" si="88"/>
        <v>35</v>
      </c>
      <c r="AA36" s="5581">
        <f t="shared" si="88"/>
        <v>138580.09000000003</v>
      </c>
      <c r="AB36" s="5581">
        <f t="shared" si="88"/>
        <v>6</v>
      </c>
      <c r="AC36" s="5581">
        <f t="shared" si="88"/>
        <v>23861.510000000002</v>
      </c>
      <c r="AD36" s="5084">
        <f t="shared" si="88"/>
        <v>41</v>
      </c>
      <c r="AE36" s="5640">
        <f t="shared" si="88"/>
        <v>162441.60000000001</v>
      </c>
      <c r="AF36" s="5581">
        <f t="shared" si="88"/>
        <v>5</v>
      </c>
      <c r="AG36" s="5581">
        <f t="shared" ref="AG36" si="89">SUM(AG33:AG35)</f>
        <v>19889.62</v>
      </c>
      <c r="AH36" s="5581">
        <f t="shared" si="88"/>
        <v>46</v>
      </c>
      <c r="AI36" s="5581">
        <f t="shared" si="14"/>
        <v>182331.22000000003</v>
      </c>
      <c r="AJ36" s="5581">
        <f t="shared" si="88"/>
        <v>3</v>
      </c>
      <c r="AK36" s="5581">
        <f t="shared" si="88"/>
        <v>0</v>
      </c>
      <c r="AL36" s="5581">
        <f t="shared" si="88"/>
        <v>14</v>
      </c>
      <c r="AM36" s="5581">
        <f t="shared" si="88"/>
        <v>43751.130000000005</v>
      </c>
      <c r="AN36" s="5581">
        <f t="shared" si="88"/>
        <v>49</v>
      </c>
      <c r="AO36" s="5581">
        <f t="shared" si="88"/>
        <v>182331.22</v>
      </c>
      <c r="AP36" s="5581">
        <f t="shared" ref="AP36:AQ36" si="90">SUM(AP33:AP35)</f>
        <v>2</v>
      </c>
      <c r="AQ36" s="5581">
        <f t="shared" si="90"/>
        <v>8076.17</v>
      </c>
      <c r="AR36" s="5581">
        <f t="shared" si="88"/>
        <v>51</v>
      </c>
      <c r="AS36" s="5581">
        <f t="shared" si="88"/>
        <v>190407.38999999998</v>
      </c>
      <c r="AT36" s="5581">
        <f t="shared" si="88"/>
        <v>5</v>
      </c>
      <c r="AU36" s="5581">
        <f t="shared" si="88"/>
        <v>19736.77</v>
      </c>
      <c r="AV36" s="5581">
        <f t="shared" si="88"/>
        <v>56</v>
      </c>
      <c r="AW36" s="5581">
        <f t="shared" si="88"/>
        <v>210144.16</v>
      </c>
      <c r="AX36" s="5581">
        <f t="shared" ref="AX36:AY36" si="91">SUM(AX33:AX35)</f>
        <v>7</v>
      </c>
      <c r="AY36" s="5581">
        <f t="shared" si="91"/>
        <v>27401.59</v>
      </c>
      <c r="AZ36" s="5581">
        <f t="shared" si="88"/>
        <v>14</v>
      </c>
      <c r="BA36" s="5581">
        <f t="shared" si="88"/>
        <v>55214.53</v>
      </c>
      <c r="BB36" s="5581">
        <f t="shared" si="88"/>
        <v>28</v>
      </c>
      <c r="BC36" s="5581">
        <f t="shared" si="88"/>
        <v>98965.66</v>
      </c>
      <c r="BD36" s="5581">
        <f t="shared" si="88"/>
        <v>63</v>
      </c>
      <c r="BE36" s="5581">
        <f t="shared" si="88"/>
        <v>237545.75</v>
      </c>
      <c r="BF36" s="1202"/>
      <c r="BG36" s="1202"/>
      <c r="BH36" s="528"/>
      <c r="BI36" s="528"/>
      <c r="BJ36" s="528"/>
      <c r="BQ36" s="528"/>
      <c r="BR36" s="528"/>
      <c r="BS36" s="528"/>
      <c r="BT36" s="528"/>
      <c r="BU36" s="528"/>
      <c r="BV36" s="528"/>
      <c r="BW36" s="528"/>
      <c r="BX36" s="528"/>
      <c r="BY36" s="528"/>
      <c r="BZ36" s="528"/>
      <c r="CA36" s="528"/>
      <c r="CB36" s="528"/>
    </row>
    <row r="37" spans="2:80" ht="21.9" customHeight="1" thickBot="1" x14ac:dyDescent="0.35">
      <c r="B37" s="5647" t="s">
        <v>6</v>
      </c>
      <c r="C37" s="5648"/>
      <c r="D37" s="5582"/>
      <c r="E37" s="5582">
        <f t="shared" ref="E37:L37" si="92">+E41+E42</f>
        <v>0</v>
      </c>
      <c r="F37" s="5582">
        <f t="shared" si="92"/>
        <v>0</v>
      </c>
      <c r="G37" s="5582">
        <f t="shared" si="92"/>
        <v>0</v>
      </c>
      <c r="H37" s="5582">
        <f t="shared" si="92"/>
        <v>0</v>
      </c>
      <c r="I37" s="5582">
        <f t="shared" si="92"/>
        <v>0</v>
      </c>
      <c r="J37" s="5582">
        <f t="shared" si="92"/>
        <v>0</v>
      </c>
      <c r="K37" s="5582">
        <f t="shared" si="92"/>
        <v>0</v>
      </c>
      <c r="L37" s="5582">
        <f t="shared" si="92"/>
        <v>0</v>
      </c>
      <c r="M37" s="4526">
        <f t="shared" si="2"/>
        <v>0</v>
      </c>
      <c r="N37" s="5582">
        <f t="shared" ref="N37:X37" si="93">+N41+N42</f>
        <v>0</v>
      </c>
      <c r="O37" s="5582">
        <f t="shared" si="93"/>
        <v>184.69</v>
      </c>
      <c r="P37" s="5582">
        <f t="shared" si="93"/>
        <v>0</v>
      </c>
      <c r="Q37" s="5582">
        <f t="shared" si="93"/>
        <v>184.69</v>
      </c>
      <c r="R37" s="5582">
        <f t="shared" si="93"/>
        <v>0</v>
      </c>
      <c r="S37" s="5582">
        <f t="shared" si="93"/>
        <v>4020</v>
      </c>
      <c r="T37" s="5582">
        <f t="shared" si="93"/>
        <v>0</v>
      </c>
      <c r="U37" s="5582">
        <f t="shared" si="93"/>
        <v>4204.6899999999996</v>
      </c>
      <c r="V37" s="5582">
        <f t="shared" si="93"/>
        <v>0</v>
      </c>
      <c r="W37" s="5582">
        <f t="shared" si="93"/>
        <v>4027.2</v>
      </c>
      <c r="X37" s="5582">
        <f t="shared" si="93"/>
        <v>0</v>
      </c>
      <c r="Y37" s="4527">
        <f t="shared" si="8"/>
        <v>8231.89</v>
      </c>
      <c r="Z37" s="5582">
        <f>+Z41+Z42</f>
        <v>0</v>
      </c>
      <c r="AA37" s="4469">
        <f t="shared" si="10"/>
        <v>8231.89</v>
      </c>
      <c r="AB37" s="5582">
        <f t="shared" ref="AB37:AL37" si="94">+AB41+AB42</f>
        <v>0</v>
      </c>
      <c r="AC37" s="5582">
        <f t="shared" si="94"/>
        <v>0</v>
      </c>
      <c r="AD37" s="5582">
        <f t="shared" si="94"/>
        <v>0</v>
      </c>
      <c r="AE37" s="5582">
        <f t="shared" si="94"/>
        <v>8231.89</v>
      </c>
      <c r="AF37" s="5582">
        <f t="shared" si="94"/>
        <v>0</v>
      </c>
      <c r="AG37" s="5582">
        <f t="shared" si="94"/>
        <v>0</v>
      </c>
      <c r="AH37" s="5582">
        <f t="shared" si="94"/>
        <v>0</v>
      </c>
      <c r="AI37" s="5582">
        <f t="shared" si="94"/>
        <v>8231.89</v>
      </c>
      <c r="AJ37" s="5582">
        <f t="shared" si="94"/>
        <v>0</v>
      </c>
      <c r="AK37" s="5582">
        <f t="shared" si="94"/>
        <v>0</v>
      </c>
      <c r="AL37" s="5582">
        <f t="shared" si="94"/>
        <v>0</v>
      </c>
      <c r="AM37" s="4526">
        <f t="shared" si="16"/>
        <v>0</v>
      </c>
      <c r="AN37" s="5582">
        <f t="shared" ref="AN37:AZ37" si="95">+AN41+AN42</f>
        <v>0</v>
      </c>
      <c r="AO37" s="5582">
        <f t="shared" si="95"/>
        <v>8231.89</v>
      </c>
      <c r="AP37" s="5582">
        <f t="shared" si="95"/>
        <v>0</v>
      </c>
      <c r="AQ37" s="5582">
        <f t="shared" si="95"/>
        <v>0</v>
      </c>
      <c r="AR37" s="5582">
        <f t="shared" si="95"/>
        <v>0</v>
      </c>
      <c r="AS37" s="5582">
        <f t="shared" si="95"/>
        <v>8231.89</v>
      </c>
      <c r="AT37" s="5582">
        <f t="shared" si="95"/>
        <v>0</v>
      </c>
      <c r="AU37" s="5582">
        <f t="shared" si="95"/>
        <v>3557.53</v>
      </c>
      <c r="AV37" s="5582">
        <f t="shared" si="95"/>
        <v>0</v>
      </c>
      <c r="AW37" s="5582">
        <f t="shared" si="95"/>
        <v>11789.42</v>
      </c>
      <c r="AX37" s="5582">
        <f t="shared" si="95"/>
        <v>0</v>
      </c>
      <c r="AY37" s="5582">
        <f t="shared" si="95"/>
        <v>136.72</v>
      </c>
      <c r="AZ37" s="5582">
        <f t="shared" si="95"/>
        <v>0</v>
      </c>
      <c r="BA37" s="4527">
        <f t="shared" si="24"/>
        <v>3694.25</v>
      </c>
      <c r="BB37" s="5582">
        <f>+BB41+BB42</f>
        <v>0</v>
      </c>
      <c r="BC37" s="4469">
        <f t="shared" si="26"/>
        <v>3694.25</v>
      </c>
      <c r="BD37" s="5582">
        <f>+BD41+BD42</f>
        <v>0</v>
      </c>
      <c r="BE37" s="1522">
        <f t="shared" si="28"/>
        <v>11926.14</v>
      </c>
      <c r="BF37" s="1202"/>
      <c r="BG37" s="1202"/>
      <c r="BH37" s="528"/>
      <c r="BI37" s="528"/>
      <c r="BJ37" s="528"/>
      <c r="BQ37" s="528"/>
      <c r="BR37" s="528"/>
      <c r="BS37" s="528"/>
      <c r="BT37" s="528"/>
      <c r="BU37" s="528"/>
      <c r="BV37" s="528"/>
      <c r="BW37" s="528"/>
      <c r="BX37" s="528"/>
      <c r="BY37" s="528"/>
      <c r="BZ37" s="528"/>
      <c r="CA37" s="528"/>
      <c r="CB37" s="528"/>
    </row>
    <row r="38" spans="2:80" ht="21.9" customHeight="1" thickBot="1" x14ac:dyDescent="0.35">
      <c r="B38" s="5648" t="s">
        <v>2352</v>
      </c>
      <c r="C38" s="5648"/>
      <c r="D38" s="5582"/>
      <c r="E38" s="5582">
        <v>0</v>
      </c>
      <c r="F38" s="5582"/>
      <c r="G38" s="5582">
        <v>0</v>
      </c>
      <c r="H38" s="5651"/>
      <c r="I38" s="5652"/>
      <c r="J38" s="5582"/>
      <c r="K38" s="5582">
        <v>0</v>
      </c>
      <c r="L38" s="5653"/>
      <c r="M38" s="4526">
        <f t="shared" si="2"/>
        <v>0</v>
      </c>
      <c r="N38" s="5582"/>
      <c r="O38" s="5582">
        <v>0</v>
      </c>
      <c r="P38" s="5651"/>
      <c r="Q38" s="5651"/>
      <c r="R38" s="5582"/>
      <c r="S38" s="5582">
        <v>4020</v>
      </c>
      <c r="T38" s="5651">
        <v>0</v>
      </c>
      <c r="U38" s="5651">
        <v>4020</v>
      </c>
      <c r="V38" s="5582"/>
      <c r="W38" s="5582">
        <v>4027.2</v>
      </c>
      <c r="X38" s="5653"/>
      <c r="Y38" s="4527">
        <f t="shared" si="8"/>
        <v>8047.2</v>
      </c>
      <c r="Z38" s="5582"/>
      <c r="AA38" s="4469">
        <f t="shared" si="10"/>
        <v>8047.2</v>
      </c>
      <c r="AB38" s="5582"/>
      <c r="AC38" s="5649">
        <v>0</v>
      </c>
      <c r="AD38" s="5655"/>
      <c r="AE38" s="5582"/>
      <c r="AF38" s="5582"/>
      <c r="AG38" s="5649">
        <v>0</v>
      </c>
      <c r="AH38" s="5651"/>
      <c r="AI38" s="5651"/>
      <c r="AJ38" s="5582"/>
      <c r="AK38" s="5649">
        <v>0</v>
      </c>
      <c r="AL38" s="5653"/>
      <c r="AM38" s="4526">
        <f t="shared" si="16"/>
        <v>0</v>
      </c>
      <c r="AN38" s="5651"/>
      <c r="AO38" s="5651"/>
      <c r="AP38" s="5582"/>
      <c r="AQ38" s="5582"/>
      <c r="AR38" s="5651"/>
      <c r="AS38" s="5651"/>
      <c r="AT38" s="5582"/>
      <c r="AU38" s="5582">
        <v>3481</v>
      </c>
      <c r="AV38" s="5651"/>
      <c r="AW38" s="5651"/>
      <c r="AX38" s="5582"/>
      <c r="AY38" s="5582">
        <v>0</v>
      </c>
      <c r="AZ38" s="5653"/>
      <c r="BA38" s="4527">
        <f t="shared" si="24"/>
        <v>3481</v>
      </c>
      <c r="BB38" s="5582"/>
      <c r="BC38" s="4469">
        <f t="shared" si="26"/>
        <v>3481</v>
      </c>
      <c r="BD38" s="5651"/>
      <c r="BE38" s="1522">
        <f t="shared" si="28"/>
        <v>11528.2</v>
      </c>
      <c r="BF38" s="1202"/>
      <c r="BG38" s="1202"/>
      <c r="BH38" s="528"/>
      <c r="BI38" s="528"/>
      <c r="BJ38" s="528"/>
      <c r="BQ38" s="528"/>
      <c r="BR38" s="528"/>
      <c r="BS38" s="528"/>
      <c r="BT38" s="528"/>
      <c r="BU38" s="528"/>
      <c r="BV38" s="528"/>
      <c r="BW38" s="528"/>
      <c r="BX38" s="528"/>
      <c r="BY38" s="528"/>
      <c r="BZ38" s="528"/>
      <c r="CA38" s="528"/>
      <c r="CB38" s="528"/>
    </row>
    <row r="39" spans="2:80" ht="21.9" customHeight="1" x14ac:dyDescent="0.3">
      <c r="B39" s="5648" t="s">
        <v>2353</v>
      </c>
      <c r="C39" s="5648"/>
      <c r="D39" s="5582"/>
      <c r="E39" s="5582">
        <v>0</v>
      </c>
      <c r="F39" s="5582"/>
      <c r="G39" s="5582">
        <v>0</v>
      </c>
      <c r="H39" s="5651"/>
      <c r="I39" s="5652"/>
      <c r="J39" s="5582"/>
      <c r="K39" s="5582">
        <v>0</v>
      </c>
      <c r="L39" s="5653"/>
      <c r="M39" s="4526">
        <f t="shared" si="2"/>
        <v>0</v>
      </c>
      <c r="N39" s="5582"/>
      <c r="O39" s="5582">
        <v>184.69</v>
      </c>
      <c r="P39" s="5651"/>
      <c r="Q39" s="5651"/>
      <c r="R39" s="5582"/>
      <c r="S39" s="5582">
        <v>0</v>
      </c>
      <c r="T39" s="5651"/>
      <c r="U39" s="5651"/>
      <c r="V39" s="5582"/>
      <c r="W39" s="5582">
        <v>0</v>
      </c>
      <c r="X39" s="5653"/>
      <c r="Y39" s="4527">
        <f t="shared" si="8"/>
        <v>184.69</v>
      </c>
      <c r="Z39" s="5582"/>
      <c r="AA39" s="4469">
        <f t="shared" si="10"/>
        <v>184.69</v>
      </c>
      <c r="AB39" s="5582"/>
      <c r="AC39" s="5649">
        <v>0</v>
      </c>
      <c r="AD39" s="5655"/>
      <c r="AE39" s="5582"/>
      <c r="AF39" s="5582"/>
      <c r="AG39" s="5649">
        <v>0</v>
      </c>
      <c r="AH39" s="5651"/>
      <c r="AI39" s="5651"/>
      <c r="AJ39" s="5582"/>
      <c r="AK39" s="5649">
        <v>0</v>
      </c>
      <c r="AL39" s="5653"/>
      <c r="AM39" s="4526">
        <f t="shared" si="16"/>
        <v>0</v>
      </c>
      <c r="AN39" s="5651"/>
      <c r="AO39" s="5651"/>
      <c r="AP39" s="5582"/>
      <c r="AQ39" s="5582"/>
      <c r="AR39" s="5651"/>
      <c r="AS39" s="5651"/>
      <c r="AT39" s="5582"/>
      <c r="AU39" s="5582">
        <v>76.5300000000002</v>
      </c>
      <c r="AV39" s="5651"/>
      <c r="AW39" s="5651"/>
      <c r="AX39" s="5582"/>
      <c r="AY39" s="5582">
        <v>136.72</v>
      </c>
      <c r="AZ39" s="5653"/>
      <c r="BA39" s="4527">
        <f t="shared" si="24"/>
        <v>213.2500000000002</v>
      </c>
      <c r="BB39" s="5582"/>
      <c r="BC39" s="4469">
        <f t="shared" si="26"/>
        <v>213.2500000000002</v>
      </c>
      <c r="BD39" s="5651"/>
      <c r="BE39" s="1522">
        <f t="shared" si="28"/>
        <v>397.94000000000017</v>
      </c>
      <c r="BF39" s="1202"/>
      <c r="BG39" s="1202"/>
      <c r="BH39" s="528"/>
      <c r="BI39" s="528"/>
      <c r="BJ39" s="528"/>
      <c r="BQ39" s="528"/>
      <c r="BR39" s="528"/>
      <c r="BS39" s="528"/>
      <c r="BT39" s="528"/>
      <c r="BU39" s="528"/>
      <c r="BV39" s="528"/>
      <c r="BW39" s="528"/>
      <c r="BX39" s="528"/>
      <c r="BY39" s="528"/>
      <c r="BZ39" s="528"/>
      <c r="CA39" s="528"/>
      <c r="CB39" s="528"/>
    </row>
    <row r="40" spans="2:80" ht="6.75" customHeight="1" thickBot="1" x14ac:dyDescent="0.35">
      <c r="B40" s="5648"/>
      <c r="C40" s="5648"/>
      <c r="D40" s="5582"/>
      <c r="E40" s="5582"/>
      <c r="F40" s="5582"/>
      <c r="G40" s="5582"/>
      <c r="H40" s="5651"/>
      <c r="I40" s="5652"/>
      <c r="J40" s="5582"/>
      <c r="K40" s="5582"/>
      <c r="L40" s="5653"/>
      <c r="M40" s="5654"/>
      <c r="N40" s="5582"/>
      <c r="O40" s="5582"/>
      <c r="P40" s="5651"/>
      <c r="Q40" s="5651"/>
      <c r="R40" s="5582"/>
      <c r="S40" s="5582"/>
      <c r="T40" s="5651"/>
      <c r="U40" s="5651"/>
      <c r="V40" s="5582"/>
      <c r="W40" s="5582"/>
      <c r="X40" s="5653"/>
      <c r="Y40" s="5654"/>
      <c r="Z40" s="5582"/>
      <c r="AA40" s="5582"/>
      <c r="AB40" s="5582"/>
      <c r="AC40" s="5582"/>
      <c r="AD40" s="5655"/>
      <c r="AE40" s="5582"/>
      <c r="AF40" s="5582"/>
      <c r="AG40" s="5582"/>
      <c r="AH40" s="5651"/>
      <c r="AI40" s="5651"/>
      <c r="AJ40" s="5582"/>
      <c r="AK40" s="5582"/>
      <c r="AL40" s="5653"/>
      <c r="AM40" s="5654"/>
      <c r="AN40" s="5651"/>
      <c r="AO40" s="5651"/>
      <c r="AP40" s="5582"/>
      <c r="AQ40" s="5582"/>
      <c r="AR40" s="5651"/>
      <c r="AS40" s="5651"/>
      <c r="AT40" s="5582"/>
      <c r="AU40" s="5582"/>
      <c r="AV40" s="5651"/>
      <c r="AW40" s="5651"/>
      <c r="AX40" s="5582"/>
      <c r="AY40" s="5582"/>
      <c r="AZ40" s="5653"/>
      <c r="BA40" s="5654"/>
      <c r="BB40" s="5582"/>
      <c r="BC40" s="5582"/>
      <c r="BD40" s="5651"/>
      <c r="BE40" s="5651"/>
      <c r="BF40" s="1202"/>
      <c r="BG40" s="1202"/>
      <c r="BH40" s="528"/>
      <c r="BI40" s="528"/>
      <c r="BJ40" s="528"/>
      <c r="BQ40" s="528"/>
      <c r="BR40" s="528"/>
      <c r="BS40" s="528"/>
      <c r="BT40" s="528"/>
      <c r="BU40" s="528"/>
      <c r="BV40" s="528"/>
      <c r="BW40" s="528"/>
      <c r="BX40" s="528"/>
      <c r="BY40" s="528"/>
      <c r="BZ40" s="528"/>
      <c r="CA40" s="528"/>
      <c r="CB40" s="528"/>
    </row>
    <row r="41" spans="2:80" ht="21.9" customHeight="1" thickBot="1" x14ac:dyDescent="0.35">
      <c r="B41" s="5648" t="s">
        <v>693</v>
      </c>
      <c r="C41" s="5648"/>
      <c r="D41" s="5582"/>
      <c r="E41" s="5649">
        <v>0</v>
      </c>
      <c r="F41" s="5650"/>
      <c r="G41" s="5649">
        <v>0</v>
      </c>
      <c r="H41" s="1463">
        <f t="shared" ref="H41:H42" si="96">+D41+F41</f>
        <v>0</v>
      </c>
      <c r="I41" s="1464">
        <f t="shared" ref="I41:I42" si="97">+G41+E41</f>
        <v>0</v>
      </c>
      <c r="J41" s="5650"/>
      <c r="K41" s="5649">
        <v>0</v>
      </c>
      <c r="L41" s="4471">
        <f t="shared" ref="L41:L42" si="98">+D41+F41+J41</f>
        <v>0</v>
      </c>
      <c r="M41" s="4526">
        <f t="shared" ref="M41:M42" si="99">+E41+G41+K41</f>
        <v>0</v>
      </c>
      <c r="N41" s="5650"/>
      <c r="O41" s="5649">
        <v>0</v>
      </c>
      <c r="P41" s="1522">
        <f t="shared" ref="P41:P42" si="100">L41+N41</f>
        <v>0</v>
      </c>
      <c r="Q41" s="1522">
        <f t="shared" ref="Q41:Q42" si="101">+E41+G41+K41+O41</f>
        <v>0</v>
      </c>
      <c r="R41" s="5650"/>
      <c r="S41" s="5649">
        <v>4020</v>
      </c>
      <c r="T41" s="1522">
        <f t="shared" ref="T41:T42" si="102">P41+R41</f>
        <v>0</v>
      </c>
      <c r="U41" s="1522">
        <f t="shared" ref="U41:U42" si="103">+E41+S41+O41+K41+G41</f>
        <v>4020</v>
      </c>
      <c r="V41" s="5650"/>
      <c r="W41" s="5649">
        <v>4027.2</v>
      </c>
      <c r="X41" s="4471">
        <f t="shared" ref="X41:X42" si="104">+N41+R41+V41</f>
        <v>0</v>
      </c>
      <c r="Y41" s="4527">
        <f t="shared" ref="Y41:Y42" si="105">+O41+S41+W41</f>
        <v>8047.2</v>
      </c>
      <c r="Z41" s="4472">
        <f t="shared" ref="Z41:Z42" si="106">L41+X41</f>
        <v>0</v>
      </c>
      <c r="AA41" s="4469">
        <f t="shared" ref="AA41:AA42" si="107">+W41+S41+O41+K41+G41+E41</f>
        <v>8047.2</v>
      </c>
      <c r="AB41" s="5650"/>
      <c r="AC41" s="5649">
        <v>0</v>
      </c>
      <c r="AD41" s="5082">
        <f t="shared" ref="AD41:AD42" si="108">Z41+AB41</f>
        <v>0</v>
      </c>
      <c r="AE41" s="5021">
        <f t="shared" ref="AE41:AE42" si="109">+AC41+W41+S41+O41+K41+G41+E41</f>
        <v>8047.2</v>
      </c>
      <c r="AF41" s="5650"/>
      <c r="AG41" s="5649">
        <v>0</v>
      </c>
      <c r="AH41" s="1463">
        <f t="shared" ref="AH41:AH42" si="110">AD41+AF41</f>
        <v>0</v>
      </c>
      <c r="AI41" s="1522">
        <f t="shared" ref="AI41:AI42" si="111">+AG41+AC41+W41+S41+O41+K41+G41+E41</f>
        <v>8047.2</v>
      </c>
      <c r="AJ41" s="5650"/>
      <c r="AK41" s="5649">
        <v>0</v>
      </c>
      <c r="AL41" s="4471">
        <f t="shared" ref="AL41:AL42" si="112">+AB41+AF41+AJ41</f>
        <v>0</v>
      </c>
      <c r="AM41" s="4526">
        <f t="shared" ref="AM41:AM42" si="113">+AC41+AG41+AK41</f>
        <v>0</v>
      </c>
      <c r="AN41" s="1463">
        <f t="shared" ref="AN41:AN42" si="114">AH41+AJ41</f>
        <v>0</v>
      </c>
      <c r="AO41" s="1522">
        <f t="shared" ref="AO41:AO42" si="115">+AK41+AG41+AC41+W41+S41+O41+K41+G41+E41</f>
        <v>8047.2</v>
      </c>
      <c r="AP41" s="5650"/>
      <c r="AQ41" s="5649">
        <v>0</v>
      </c>
      <c r="AR41" s="1463">
        <f t="shared" ref="AR41:AR42" si="116">AN41+AP41</f>
        <v>0</v>
      </c>
      <c r="AS41" s="1522">
        <f t="shared" ref="AS41:AS42" si="117">+AQ41+AK41+AG41+AC41+W41+S41+O41+K41+G41+E41</f>
        <v>8047.2</v>
      </c>
      <c r="AT41" s="5650"/>
      <c r="AU41" s="5649">
        <v>0</v>
      </c>
      <c r="AV41" s="1463">
        <f t="shared" ref="AV41:AV42" si="118">AR41+AT41</f>
        <v>0</v>
      </c>
      <c r="AW41" s="1522">
        <f t="shared" ref="AW41:AW42" si="119">+AU41+AQ41+AK41+AG41+AC41+W41+S41+O41+K41+G41+E41</f>
        <v>8047.2</v>
      </c>
      <c r="AX41" s="5650"/>
      <c r="AY41" s="5649">
        <v>0</v>
      </c>
      <c r="AZ41" s="4471">
        <f t="shared" ref="AZ41:AZ42" si="120">+AP41+AT41+AX41</f>
        <v>0</v>
      </c>
      <c r="BA41" s="4527">
        <f t="shared" ref="BA41:BA42" si="121">+AQ41+AU41+AY41</f>
        <v>0</v>
      </c>
      <c r="BB41" s="4472">
        <f t="shared" ref="BB41:BB42" si="122">AL41+AZ41</f>
        <v>0</v>
      </c>
      <c r="BC41" s="4469">
        <f t="shared" ref="BC41:BC42" si="123">AM41+BA41</f>
        <v>0</v>
      </c>
      <c r="BD41" s="1463">
        <f t="shared" ref="BD41:BD42" si="124">AV41+AX41</f>
        <v>0</v>
      </c>
      <c r="BE41" s="1522">
        <f t="shared" ref="BE41:BE42" si="125">+BC41+AA41</f>
        <v>8047.2</v>
      </c>
      <c r="BF41" s="1202"/>
      <c r="BG41" s="1202"/>
      <c r="BH41" s="528"/>
      <c r="BI41" s="528"/>
      <c r="BJ41" s="528"/>
      <c r="BQ41" s="528"/>
      <c r="BR41" s="528"/>
      <c r="BS41" s="528"/>
      <c r="BT41" s="528"/>
      <c r="BU41" s="528"/>
      <c r="BV41" s="528"/>
      <c r="BW41" s="528"/>
      <c r="BX41" s="528"/>
      <c r="BY41" s="528"/>
      <c r="BZ41" s="528"/>
      <c r="CA41" s="528"/>
      <c r="CB41" s="528"/>
    </row>
    <row r="42" spans="2:80" ht="21.9" customHeight="1" x14ac:dyDescent="0.3">
      <c r="B42" s="5648" t="s">
        <v>77</v>
      </c>
      <c r="C42" s="5648"/>
      <c r="D42" s="5582"/>
      <c r="E42" s="5649">
        <f>+'Direct sales IPT details'!E218</f>
        <v>0</v>
      </c>
      <c r="F42" s="5650">
        <f>+'Direct sales IPT details'!F218</f>
        <v>0</v>
      </c>
      <c r="G42" s="5649">
        <f>+'Direct sales IPT details'!G218</f>
        <v>0</v>
      </c>
      <c r="H42" s="1463">
        <f t="shared" si="96"/>
        <v>0</v>
      </c>
      <c r="I42" s="1464">
        <f t="shared" si="97"/>
        <v>0</v>
      </c>
      <c r="J42" s="5650">
        <f>+'Direct sales IPT details'!J218</f>
        <v>0</v>
      </c>
      <c r="K42" s="5649">
        <f>+'Direct sales IPT details'!K218</f>
        <v>0</v>
      </c>
      <c r="L42" s="4471">
        <f t="shared" si="98"/>
        <v>0</v>
      </c>
      <c r="M42" s="4526">
        <f t="shared" si="99"/>
        <v>0</v>
      </c>
      <c r="N42" s="5650">
        <f>+'Direct sales IPT details'!N218</f>
        <v>0</v>
      </c>
      <c r="O42" s="5649">
        <f>+'Direct sales IPT details'!O218</f>
        <v>184.69</v>
      </c>
      <c r="P42" s="1522">
        <f t="shared" si="100"/>
        <v>0</v>
      </c>
      <c r="Q42" s="1522">
        <f t="shared" si="101"/>
        <v>184.69</v>
      </c>
      <c r="R42" s="5650">
        <f>+'Direct sales IPT details'!R218</f>
        <v>0</v>
      </c>
      <c r="S42" s="5649">
        <f>+'Direct sales IPT details'!S218</f>
        <v>0</v>
      </c>
      <c r="T42" s="1522">
        <f t="shared" si="102"/>
        <v>0</v>
      </c>
      <c r="U42" s="1522">
        <f t="shared" si="103"/>
        <v>184.69</v>
      </c>
      <c r="V42" s="5650">
        <f>+'Direct sales IPT details'!V218</f>
        <v>0</v>
      </c>
      <c r="W42" s="5649">
        <f>+'Direct sales IPT details'!W218</f>
        <v>0</v>
      </c>
      <c r="X42" s="4471">
        <f t="shared" si="104"/>
        <v>0</v>
      </c>
      <c r="Y42" s="4527">
        <f t="shared" si="105"/>
        <v>184.69</v>
      </c>
      <c r="Z42" s="4472">
        <f t="shared" si="106"/>
        <v>0</v>
      </c>
      <c r="AA42" s="4469">
        <f t="shared" si="107"/>
        <v>184.69</v>
      </c>
      <c r="AB42" s="5650">
        <f>+'Direct sales IPT details'!AB218</f>
        <v>0</v>
      </c>
      <c r="AC42" s="5649">
        <f>+'Direct sales IPT details'!AC218</f>
        <v>0</v>
      </c>
      <c r="AD42" s="5082">
        <f t="shared" si="108"/>
        <v>0</v>
      </c>
      <c r="AE42" s="5021">
        <f t="shared" si="109"/>
        <v>184.69</v>
      </c>
      <c r="AF42" s="5650">
        <f>+'Direct sales IPT details'!AF218</f>
        <v>0</v>
      </c>
      <c r="AG42" s="5649">
        <f>+'Direct sales IPT details'!AG218</f>
        <v>0</v>
      </c>
      <c r="AH42" s="1463">
        <f t="shared" si="110"/>
        <v>0</v>
      </c>
      <c r="AI42" s="1522">
        <f t="shared" si="111"/>
        <v>184.69</v>
      </c>
      <c r="AJ42" s="5650">
        <f>+'Direct sales IPT details'!AJ218</f>
        <v>0</v>
      </c>
      <c r="AK42" s="5649">
        <f>+'Direct sales IPT details'!AK218</f>
        <v>0</v>
      </c>
      <c r="AL42" s="4471">
        <f t="shared" si="112"/>
        <v>0</v>
      </c>
      <c r="AM42" s="4526">
        <f t="shared" si="113"/>
        <v>0</v>
      </c>
      <c r="AN42" s="1463">
        <f t="shared" si="114"/>
        <v>0</v>
      </c>
      <c r="AO42" s="1522">
        <f t="shared" si="115"/>
        <v>184.69</v>
      </c>
      <c r="AP42" s="5650">
        <f>+'Direct sales IPT details'!AP218</f>
        <v>0</v>
      </c>
      <c r="AQ42" s="5649">
        <f>+'Direct sales IPT details'!AQ218</f>
        <v>0</v>
      </c>
      <c r="AR42" s="1463">
        <f t="shared" si="116"/>
        <v>0</v>
      </c>
      <c r="AS42" s="1522">
        <f t="shared" si="117"/>
        <v>184.69</v>
      </c>
      <c r="AT42" s="5650">
        <f>+'Direct sales IPT details'!AT218</f>
        <v>0</v>
      </c>
      <c r="AU42" s="5649">
        <f>+'Direct sales IPT details'!AU218</f>
        <v>3557.53</v>
      </c>
      <c r="AV42" s="1463">
        <f t="shared" si="118"/>
        <v>0</v>
      </c>
      <c r="AW42" s="1522">
        <f t="shared" si="119"/>
        <v>3742.2200000000003</v>
      </c>
      <c r="AX42" s="5650">
        <f>+'Direct sales IPT details'!AX218</f>
        <v>0</v>
      </c>
      <c r="AY42" s="5649">
        <f>+'Direct sales IPT details'!AY218</f>
        <v>136.72</v>
      </c>
      <c r="AZ42" s="4471">
        <f t="shared" si="120"/>
        <v>0</v>
      </c>
      <c r="BA42" s="4527">
        <f t="shared" si="121"/>
        <v>3694.25</v>
      </c>
      <c r="BB42" s="4472">
        <f t="shared" si="122"/>
        <v>0</v>
      </c>
      <c r="BC42" s="4469">
        <f t="shared" si="123"/>
        <v>3694.25</v>
      </c>
      <c r="BD42" s="1463">
        <f t="shared" si="124"/>
        <v>0</v>
      </c>
      <c r="BE42" s="1522">
        <f t="shared" si="125"/>
        <v>3878.94</v>
      </c>
      <c r="BF42" s="1202"/>
      <c r="BG42" s="1202"/>
      <c r="BH42" s="528"/>
      <c r="BI42" s="528"/>
      <c r="BJ42" s="528"/>
      <c r="BQ42" s="528"/>
      <c r="BR42" s="528"/>
      <c r="BS42" s="528"/>
      <c r="BT42" s="528"/>
      <c r="BU42" s="528"/>
      <c r="BV42" s="528"/>
      <c r="BW42" s="528"/>
      <c r="BX42" s="528"/>
      <c r="BY42" s="528"/>
      <c r="BZ42" s="528"/>
      <c r="CA42" s="528"/>
      <c r="CB42" s="528"/>
    </row>
    <row r="43" spans="2:80" ht="21.9" customHeight="1" thickBot="1" x14ac:dyDescent="0.35">
      <c r="B43" s="6142" t="s">
        <v>1224</v>
      </c>
      <c r="C43" s="4917" t="s">
        <v>1225</v>
      </c>
      <c r="D43" s="1441">
        <v>11</v>
      </c>
      <c r="E43" s="1442">
        <v>43009</v>
      </c>
      <c r="F43" s="1441">
        <v>14</v>
      </c>
      <c r="G43" s="1442">
        <v>55133</v>
      </c>
      <c r="H43" s="3806">
        <f t="shared" si="0"/>
        <v>25</v>
      </c>
      <c r="I43" s="5641">
        <f t="shared" si="1"/>
        <v>98142</v>
      </c>
      <c r="J43" s="1441">
        <v>10</v>
      </c>
      <c r="K43" s="1442">
        <v>39886</v>
      </c>
      <c r="L43" s="3807">
        <f t="shared" si="29"/>
        <v>35</v>
      </c>
      <c r="M43" s="5642">
        <f t="shared" si="2"/>
        <v>138028</v>
      </c>
      <c r="N43" s="1441">
        <v>13.5</v>
      </c>
      <c r="O43" s="1442">
        <v>50563.76</v>
      </c>
      <c r="P43" s="5643">
        <f t="shared" si="53"/>
        <v>48.5</v>
      </c>
      <c r="Q43" s="5643">
        <f t="shared" si="4"/>
        <v>188591.76</v>
      </c>
      <c r="R43" s="1441">
        <v>10</v>
      </c>
      <c r="S43" s="1442">
        <v>38128.58</v>
      </c>
      <c r="T43" s="5643">
        <f t="shared" si="5"/>
        <v>58.5</v>
      </c>
      <c r="U43" s="5643">
        <f t="shared" si="6"/>
        <v>226720.34</v>
      </c>
      <c r="V43" s="1441">
        <v>12.7</v>
      </c>
      <c r="W43" s="1442">
        <v>49886.91</v>
      </c>
      <c r="X43" s="3807">
        <f t="shared" si="7"/>
        <v>36.200000000000003</v>
      </c>
      <c r="Y43" s="5644">
        <f t="shared" si="8"/>
        <v>138579.25</v>
      </c>
      <c r="Z43" s="3808">
        <f t="shared" si="9"/>
        <v>71.2</v>
      </c>
      <c r="AA43" s="5645">
        <f t="shared" si="10"/>
        <v>276607.25</v>
      </c>
      <c r="AB43" s="1441">
        <v>11</v>
      </c>
      <c r="AC43" s="1442">
        <v>42469.22</v>
      </c>
      <c r="AD43" s="5091">
        <f t="shared" si="11"/>
        <v>82.2</v>
      </c>
      <c r="AE43" s="5646">
        <f t="shared" si="12"/>
        <v>319076.46999999997</v>
      </c>
      <c r="AF43" s="1441">
        <v>12</v>
      </c>
      <c r="AG43" s="1442">
        <v>46868.11</v>
      </c>
      <c r="AH43" s="3806">
        <f t="shared" ref="AH43:AH52" si="126">AD43+AF43</f>
        <v>94.2</v>
      </c>
      <c r="AI43" s="5643">
        <f t="shared" si="14"/>
        <v>365944.58</v>
      </c>
      <c r="AJ43" s="1441">
        <v>13.7</v>
      </c>
      <c r="AK43" s="1442">
        <v>48327.99</v>
      </c>
      <c r="AL43" s="3807">
        <f t="shared" ref="AL43:AL52" si="127">+AB43+AF43+AJ43</f>
        <v>36.700000000000003</v>
      </c>
      <c r="AM43" s="5642">
        <f t="shared" si="16"/>
        <v>137665.32</v>
      </c>
      <c r="AN43" s="3806">
        <f t="shared" si="65"/>
        <v>107.9</v>
      </c>
      <c r="AO43" s="5643">
        <f t="shared" si="18"/>
        <v>414272.57</v>
      </c>
      <c r="AP43" s="1441">
        <v>11.6</v>
      </c>
      <c r="AQ43" s="1442">
        <v>45893.46</v>
      </c>
      <c r="AR43" s="3806">
        <f t="shared" ref="AR43:AR52" si="128">AN43+AP43</f>
        <v>119.5</v>
      </c>
      <c r="AS43" s="5643">
        <f t="shared" si="20"/>
        <v>460166.03</v>
      </c>
      <c r="AT43" s="1441">
        <v>8.9</v>
      </c>
      <c r="AU43" s="1442">
        <v>34608.35</v>
      </c>
      <c r="AV43" s="3806">
        <f t="shared" ref="AV43:AV52" si="129">AR43+AT43</f>
        <v>128.4</v>
      </c>
      <c r="AW43" s="5643">
        <f t="shared" si="22"/>
        <v>494774.38</v>
      </c>
      <c r="AX43" s="1441">
        <v>12.1</v>
      </c>
      <c r="AY43" s="1442">
        <v>46699.24</v>
      </c>
      <c r="AZ43" s="3807">
        <f t="shared" ref="AZ43:AZ52" si="130">+AP43+AT43+AX43</f>
        <v>32.6</v>
      </c>
      <c r="BA43" s="5644">
        <f t="shared" si="24"/>
        <v>127201.04999999999</v>
      </c>
      <c r="BB43" s="3808">
        <f t="shared" ref="BB43:BB52" si="131">AL43+AZ43</f>
        <v>69.300000000000011</v>
      </c>
      <c r="BC43" s="5645">
        <f t="shared" si="26"/>
        <v>264866.37</v>
      </c>
      <c r="BD43" s="3806">
        <f t="shared" ref="BD43:BD52" si="132">AV43+AX43</f>
        <v>140.5</v>
      </c>
      <c r="BE43" s="5643">
        <f t="shared" si="28"/>
        <v>541473.62</v>
      </c>
      <c r="BF43" s="1202"/>
      <c r="BG43" s="1202"/>
      <c r="BH43" s="528"/>
      <c r="BI43" s="528"/>
      <c r="BJ43" s="528"/>
      <c r="BQ43" s="528"/>
      <c r="BR43" s="528"/>
      <c r="BS43" s="528"/>
      <c r="BT43" s="528"/>
      <c r="BU43" s="528"/>
      <c r="BV43" s="528"/>
      <c r="BW43" s="528"/>
      <c r="BX43" s="528"/>
      <c r="BY43" s="528"/>
      <c r="BZ43" s="528"/>
      <c r="CA43" s="528"/>
      <c r="CB43" s="528"/>
    </row>
    <row r="44" spans="2:80" ht="21.9" customHeight="1" thickBot="1" x14ac:dyDescent="0.35">
      <c r="B44" s="6142"/>
      <c r="C44" s="4917" t="s">
        <v>2077</v>
      </c>
      <c r="D44" s="1441"/>
      <c r="E44" s="1442"/>
      <c r="F44" s="1441"/>
      <c r="G44" s="1442"/>
      <c r="H44" s="1463"/>
      <c r="I44" s="1464">
        <f t="shared" si="1"/>
        <v>0</v>
      </c>
      <c r="J44" s="1441"/>
      <c r="K44" s="1442"/>
      <c r="L44" s="4471"/>
      <c r="M44" s="4526">
        <f t="shared" si="2"/>
        <v>0</v>
      </c>
      <c r="N44" s="1441">
        <v>3.8</v>
      </c>
      <c r="O44" s="1442">
        <v>13797.21</v>
      </c>
      <c r="P44" s="1522">
        <f t="shared" ref="P44" si="133">L44+N44</f>
        <v>3.8</v>
      </c>
      <c r="Q44" s="1522">
        <f t="shared" si="4"/>
        <v>13797.21</v>
      </c>
      <c r="R44" s="1441">
        <v>3</v>
      </c>
      <c r="S44" s="1442">
        <v>11960.6</v>
      </c>
      <c r="T44" s="1522">
        <f t="shared" si="5"/>
        <v>6.8</v>
      </c>
      <c r="U44" s="1522">
        <f t="shared" si="6"/>
        <v>25757.809999999998</v>
      </c>
      <c r="V44" s="1441">
        <v>3.3</v>
      </c>
      <c r="W44" s="1442">
        <v>12937.04</v>
      </c>
      <c r="X44" s="4471">
        <f t="shared" si="7"/>
        <v>10.1</v>
      </c>
      <c r="Y44" s="4527">
        <f t="shared" si="8"/>
        <v>38694.85</v>
      </c>
      <c r="Z44" s="4918">
        <f t="shared" si="9"/>
        <v>10.1</v>
      </c>
      <c r="AA44" s="4469">
        <f t="shared" si="10"/>
        <v>38694.85</v>
      </c>
      <c r="AB44" s="1441">
        <v>4.5</v>
      </c>
      <c r="AC44" s="1442">
        <v>17165.080000000002</v>
      </c>
      <c r="AD44" s="5082">
        <f t="shared" si="11"/>
        <v>14.6</v>
      </c>
      <c r="AE44" s="5021">
        <f t="shared" si="12"/>
        <v>55859.93</v>
      </c>
      <c r="AF44" s="1441">
        <v>1</v>
      </c>
      <c r="AG44" s="1442">
        <v>3870.4</v>
      </c>
      <c r="AH44" s="1463"/>
      <c r="AI44" s="1522">
        <f t="shared" si="14"/>
        <v>59730.33</v>
      </c>
      <c r="AJ44" s="1441"/>
      <c r="AK44" s="1442">
        <v>0</v>
      </c>
      <c r="AL44" s="4471"/>
      <c r="AM44" s="4526">
        <f t="shared" si="16"/>
        <v>21035.480000000003</v>
      </c>
      <c r="AN44" s="1463"/>
      <c r="AO44" s="1522">
        <f t="shared" si="18"/>
        <v>59730.33</v>
      </c>
      <c r="AP44" s="1441">
        <v>3.4</v>
      </c>
      <c r="AQ44" s="1442">
        <v>13056.78</v>
      </c>
      <c r="AR44" s="1463"/>
      <c r="AS44" s="1522">
        <f t="shared" si="20"/>
        <v>72787.11</v>
      </c>
      <c r="AT44" s="1441">
        <v>2.1</v>
      </c>
      <c r="AU44" s="1442">
        <v>8159.41</v>
      </c>
      <c r="AV44" s="1463"/>
      <c r="AW44" s="1522">
        <f t="shared" si="22"/>
        <v>80946.520000000019</v>
      </c>
      <c r="AX44" s="1441">
        <v>0</v>
      </c>
      <c r="AY44" s="1442">
        <v>0</v>
      </c>
      <c r="AZ44" s="4471"/>
      <c r="BA44" s="4527">
        <f t="shared" si="24"/>
        <v>21216.190000000002</v>
      </c>
      <c r="BB44" s="4918"/>
      <c r="BC44" s="4469">
        <f t="shared" si="26"/>
        <v>42251.670000000006</v>
      </c>
      <c r="BD44" s="1463"/>
      <c r="BE44" s="1522">
        <f t="shared" si="28"/>
        <v>80946.52</v>
      </c>
      <c r="BF44" s="1202"/>
      <c r="BG44" s="1202"/>
      <c r="BH44" s="528"/>
      <c r="BI44" s="528"/>
      <c r="BJ44" s="528"/>
      <c r="BQ44" s="528"/>
      <c r="BR44" s="528"/>
      <c r="BS44" s="528"/>
      <c r="BT44" s="528"/>
      <c r="BU44" s="528"/>
      <c r="BV44" s="528"/>
      <c r="BW44" s="528"/>
      <c r="BX44" s="528"/>
      <c r="BY44" s="528"/>
      <c r="BZ44" s="528"/>
      <c r="CA44" s="528"/>
      <c r="CB44" s="528"/>
    </row>
    <row r="45" spans="2:80" ht="21.9" customHeight="1" thickBot="1" x14ac:dyDescent="0.35">
      <c r="B45" s="6143"/>
      <c r="C45" s="4528" t="s">
        <v>1226</v>
      </c>
      <c r="D45" s="4529">
        <v>3</v>
      </c>
      <c r="E45" s="4530">
        <v>11237</v>
      </c>
      <c r="F45" s="4529">
        <v>4</v>
      </c>
      <c r="G45" s="4530">
        <v>15810</v>
      </c>
      <c r="H45" s="1463">
        <f t="shared" si="0"/>
        <v>7</v>
      </c>
      <c r="I45" s="1464">
        <f t="shared" si="1"/>
        <v>27047</v>
      </c>
      <c r="J45" s="4529">
        <v>0</v>
      </c>
      <c r="K45" s="4530">
        <v>0</v>
      </c>
      <c r="L45" s="4471">
        <f t="shared" si="29"/>
        <v>7</v>
      </c>
      <c r="M45" s="4526">
        <f t="shared" si="2"/>
        <v>27047</v>
      </c>
      <c r="N45" s="4529">
        <v>1</v>
      </c>
      <c r="O45" s="4530">
        <v>3727.57</v>
      </c>
      <c r="P45" s="1522">
        <f t="shared" si="53"/>
        <v>8</v>
      </c>
      <c r="Q45" s="1522">
        <f t="shared" si="4"/>
        <v>30774.57</v>
      </c>
      <c r="R45" s="4529">
        <v>3</v>
      </c>
      <c r="S45" s="4530">
        <v>11163.08</v>
      </c>
      <c r="T45" s="1522">
        <f t="shared" si="5"/>
        <v>11</v>
      </c>
      <c r="U45" s="1522">
        <f t="shared" si="6"/>
        <v>41937.65</v>
      </c>
      <c r="V45" s="4529">
        <v>3</v>
      </c>
      <c r="W45" s="4530">
        <v>11682.16</v>
      </c>
      <c r="X45" s="4471">
        <f t="shared" si="7"/>
        <v>7</v>
      </c>
      <c r="Y45" s="4527">
        <f t="shared" si="8"/>
        <v>26572.809999999998</v>
      </c>
      <c r="Z45" s="4472">
        <f t="shared" si="9"/>
        <v>14</v>
      </c>
      <c r="AA45" s="4469">
        <f t="shared" si="10"/>
        <v>53619.81</v>
      </c>
      <c r="AB45" s="4529">
        <v>3.5</v>
      </c>
      <c r="AC45" s="4530">
        <v>13042.07</v>
      </c>
      <c r="AD45" s="5082">
        <f t="shared" si="11"/>
        <v>17.5</v>
      </c>
      <c r="AE45" s="5021">
        <f t="shared" si="12"/>
        <v>66661.88</v>
      </c>
      <c r="AF45" s="5074">
        <v>3.1</v>
      </c>
      <c r="AG45" s="4530">
        <v>11346.39</v>
      </c>
      <c r="AH45" s="1463">
        <f t="shared" si="126"/>
        <v>20.6</v>
      </c>
      <c r="AI45" s="1522">
        <f t="shared" si="14"/>
        <v>78008.26999999999</v>
      </c>
      <c r="AJ45" s="4529">
        <v>1.8</v>
      </c>
      <c r="AK45" s="4530">
        <v>0</v>
      </c>
      <c r="AL45" s="4471">
        <f t="shared" si="127"/>
        <v>8.4</v>
      </c>
      <c r="AM45" s="4526">
        <f t="shared" si="16"/>
        <v>24388.46</v>
      </c>
      <c r="AN45" s="1463">
        <f t="shared" si="65"/>
        <v>22.400000000000002</v>
      </c>
      <c r="AO45" s="1522">
        <f t="shared" si="18"/>
        <v>78008.26999999999</v>
      </c>
      <c r="AP45" s="4529">
        <v>0</v>
      </c>
      <c r="AQ45" s="4530">
        <v>0</v>
      </c>
      <c r="AR45" s="1463">
        <f t="shared" si="128"/>
        <v>22.400000000000002</v>
      </c>
      <c r="AS45" s="1522">
        <f t="shared" si="20"/>
        <v>78008.26999999999</v>
      </c>
      <c r="AT45" s="4529">
        <v>0</v>
      </c>
      <c r="AU45" s="4530">
        <v>0</v>
      </c>
      <c r="AV45" s="1463">
        <f t="shared" si="129"/>
        <v>22.400000000000002</v>
      </c>
      <c r="AW45" s="1522">
        <f t="shared" si="22"/>
        <v>78008.26999999999</v>
      </c>
      <c r="AX45" s="4529">
        <v>1</v>
      </c>
      <c r="AY45" s="4530">
        <v>3808.63</v>
      </c>
      <c r="AZ45" s="4471">
        <f t="shared" si="130"/>
        <v>1</v>
      </c>
      <c r="BA45" s="4527">
        <f t="shared" si="24"/>
        <v>3808.63</v>
      </c>
      <c r="BB45" s="4472">
        <f t="shared" si="131"/>
        <v>9.4</v>
      </c>
      <c r="BC45" s="4469">
        <f t="shared" si="26"/>
        <v>28197.09</v>
      </c>
      <c r="BD45" s="1463">
        <f t="shared" si="132"/>
        <v>23.400000000000002</v>
      </c>
      <c r="BE45" s="1522">
        <f t="shared" si="28"/>
        <v>81816.899999999994</v>
      </c>
      <c r="BF45" s="1202"/>
      <c r="BG45" s="1202"/>
      <c r="BH45" s="528"/>
      <c r="BI45" s="528"/>
      <c r="BJ45" s="528"/>
      <c r="BQ45" s="528"/>
      <c r="BR45" s="528"/>
      <c r="BS45" s="528"/>
      <c r="BT45" s="528"/>
      <c r="BU45" s="528"/>
      <c r="BV45" s="528"/>
      <c r="BW45" s="528"/>
      <c r="BX45" s="528"/>
      <c r="BY45" s="528"/>
      <c r="BZ45" s="528"/>
      <c r="CA45" s="528"/>
      <c r="CB45" s="528"/>
    </row>
    <row r="46" spans="2:80" s="1336" customFormat="1" ht="21.9" customHeight="1" thickBot="1" x14ac:dyDescent="0.35">
      <c r="B46" s="6143"/>
      <c r="C46" s="4528" t="s">
        <v>1227</v>
      </c>
      <c r="D46" s="4529">
        <v>0</v>
      </c>
      <c r="E46" s="4530">
        <v>0</v>
      </c>
      <c r="F46" s="4529">
        <v>0</v>
      </c>
      <c r="G46" s="4530">
        <v>0</v>
      </c>
      <c r="H46" s="1463">
        <f t="shared" si="0"/>
        <v>0</v>
      </c>
      <c r="I46" s="1464">
        <f t="shared" si="1"/>
        <v>0</v>
      </c>
      <c r="J46" s="4529">
        <v>0</v>
      </c>
      <c r="K46" s="4530">
        <v>0</v>
      </c>
      <c r="L46" s="4471">
        <f t="shared" si="29"/>
        <v>0</v>
      </c>
      <c r="M46" s="4526">
        <f t="shared" si="2"/>
        <v>0</v>
      </c>
      <c r="N46" s="4529">
        <v>3</v>
      </c>
      <c r="O46" s="4530">
        <v>10982.12</v>
      </c>
      <c r="P46" s="1522">
        <f t="shared" si="53"/>
        <v>3</v>
      </c>
      <c r="Q46" s="1522">
        <f t="shared" si="4"/>
        <v>10982.12</v>
      </c>
      <c r="R46" s="4529">
        <v>0</v>
      </c>
      <c r="S46" s="4530">
        <v>0</v>
      </c>
      <c r="T46" s="1522">
        <f t="shared" si="5"/>
        <v>3</v>
      </c>
      <c r="U46" s="1522">
        <f t="shared" si="6"/>
        <v>10982.12</v>
      </c>
      <c r="V46" s="4529">
        <v>0</v>
      </c>
      <c r="W46" s="4530">
        <v>0</v>
      </c>
      <c r="X46" s="4471">
        <f t="shared" si="7"/>
        <v>3</v>
      </c>
      <c r="Y46" s="4527">
        <f t="shared" si="8"/>
        <v>10982.12</v>
      </c>
      <c r="Z46" s="4472">
        <f t="shared" si="9"/>
        <v>3</v>
      </c>
      <c r="AA46" s="4469">
        <f t="shared" si="10"/>
        <v>10982.12</v>
      </c>
      <c r="AB46" s="4529">
        <v>0</v>
      </c>
      <c r="AC46" s="4530">
        <v>0</v>
      </c>
      <c r="AD46" s="5082">
        <f t="shared" si="11"/>
        <v>3</v>
      </c>
      <c r="AE46" s="5021">
        <f t="shared" si="12"/>
        <v>10982.12</v>
      </c>
      <c r="AF46" s="5074">
        <v>0.9</v>
      </c>
      <c r="AG46" s="4530">
        <v>3483.25</v>
      </c>
      <c r="AH46" s="1463">
        <f t="shared" si="126"/>
        <v>3.9</v>
      </c>
      <c r="AI46" s="1522">
        <f t="shared" si="14"/>
        <v>14465.37</v>
      </c>
      <c r="AJ46" s="4529">
        <v>0</v>
      </c>
      <c r="AK46" s="4530">
        <v>10057.18</v>
      </c>
      <c r="AL46" s="4471">
        <f t="shared" si="127"/>
        <v>0.9</v>
      </c>
      <c r="AM46" s="4526">
        <f t="shared" si="16"/>
        <v>13540.43</v>
      </c>
      <c r="AN46" s="1463">
        <f t="shared" si="65"/>
        <v>3.9</v>
      </c>
      <c r="AO46" s="1522">
        <f t="shared" si="18"/>
        <v>24522.550000000003</v>
      </c>
      <c r="AP46" s="4529">
        <v>4</v>
      </c>
      <c r="AQ46" s="4530">
        <v>15887.06</v>
      </c>
      <c r="AR46" s="1463">
        <f t="shared" si="128"/>
        <v>7.9</v>
      </c>
      <c r="AS46" s="1522">
        <f t="shared" si="20"/>
        <v>40409.61</v>
      </c>
      <c r="AT46" s="4529">
        <v>3</v>
      </c>
      <c r="AU46" s="4530">
        <v>11959.79</v>
      </c>
      <c r="AV46" s="1463">
        <f t="shared" si="129"/>
        <v>10.9</v>
      </c>
      <c r="AW46" s="1522">
        <f t="shared" si="22"/>
        <v>52369.4</v>
      </c>
      <c r="AX46" s="4529">
        <v>3</v>
      </c>
      <c r="AY46" s="4530">
        <v>11238.87</v>
      </c>
      <c r="AZ46" s="4471">
        <f t="shared" si="130"/>
        <v>10</v>
      </c>
      <c r="BA46" s="4527">
        <f t="shared" si="24"/>
        <v>39085.72</v>
      </c>
      <c r="BB46" s="4472">
        <f t="shared" si="131"/>
        <v>10.9</v>
      </c>
      <c r="BC46" s="4469">
        <f t="shared" si="26"/>
        <v>52626.15</v>
      </c>
      <c r="BD46" s="1463">
        <f t="shared" si="132"/>
        <v>13.9</v>
      </c>
      <c r="BE46" s="1522">
        <f t="shared" si="28"/>
        <v>63608.270000000004</v>
      </c>
      <c r="BF46" s="1202"/>
      <c r="BG46" s="1202"/>
      <c r="BH46" s="528"/>
      <c r="BI46" s="528"/>
      <c r="BJ46" s="528"/>
      <c r="BQ46" s="528"/>
      <c r="BR46" s="528"/>
      <c r="BS46" s="528"/>
      <c r="BT46" s="528"/>
      <c r="BU46" s="528"/>
      <c r="BV46" s="528"/>
      <c r="BW46" s="528"/>
      <c r="BX46" s="528"/>
      <c r="BY46" s="528"/>
      <c r="BZ46" s="528"/>
      <c r="CA46" s="528"/>
      <c r="CB46" s="528"/>
    </row>
    <row r="47" spans="2:80" s="1336" customFormat="1" ht="21.9" customHeight="1" thickBot="1" x14ac:dyDescent="0.35">
      <c r="B47" s="6143"/>
      <c r="C47" s="4539" t="s">
        <v>1272</v>
      </c>
      <c r="D47" s="4529">
        <v>0</v>
      </c>
      <c r="E47" s="4530">
        <v>0</v>
      </c>
      <c r="F47" s="4529"/>
      <c r="G47" s="4530"/>
      <c r="H47" s="1463">
        <f t="shared" si="0"/>
        <v>0</v>
      </c>
      <c r="I47" s="1464">
        <f t="shared" si="1"/>
        <v>0</v>
      </c>
      <c r="J47" s="4529">
        <v>1</v>
      </c>
      <c r="K47" s="4530">
        <v>3956</v>
      </c>
      <c r="L47" s="4471">
        <f t="shared" si="29"/>
        <v>1</v>
      </c>
      <c r="M47" s="4526">
        <f t="shared" si="2"/>
        <v>3956</v>
      </c>
      <c r="N47" s="4529">
        <v>0</v>
      </c>
      <c r="O47" s="4530">
        <v>0</v>
      </c>
      <c r="P47" s="1522">
        <f t="shared" si="53"/>
        <v>1</v>
      </c>
      <c r="Q47" s="1522">
        <f t="shared" si="4"/>
        <v>3956</v>
      </c>
      <c r="R47" s="4529">
        <v>0</v>
      </c>
      <c r="S47" s="4530">
        <v>0</v>
      </c>
      <c r="T47" s="1522">
        <f t="shared" si="5"/>
        <v>1</v>
      </c>
      <c r="U47" s="1522">
        <f t="shared" si="6"/>
        <v>3956</v>
      </c>
      <c r="V47" s="4529">
        <v>0</v>
      </c>
      <c r="W47" s="4530">
        <v>0</v>
      </c>
      <c r="X47" s="4471">
        <f t="shared" si="7"/>
        <v>0</v>
      </c>
      <c r="Y47" s="4527">
        <f t="shared" si="8"/>
        <v>0</v>
      </c>
      <c r="Z47" s="4472">
        <f t="shared" si="9"/>
        <v>1</v>
      </c>
      <c r="AA47" s="4469">
        <f t="shared" si="10"/>
        <v>3956</v>
      </c>
      <c r="AB47" s="4529">
        <v>0</v>
      </c>
      <c r="AC47" s="4530">
        <v>0</v>
      </c>
      <c r="AD47" s="5082">
        <f t="shared" si="11"/>
        <v>1</v>
      </c>
      <c r="AE47" s="5021">
        <f t="shared" si="12"/>
        <v>3956</v>
      </c>
      <c r="AF47" s="5074">
        <v>0</v>
      </c>
      <c r="AG47" s="4530">
        <v>0</v>
      </c>
      <c r="AH47" s="1463">
        <f t="shared" si="126"/>
        <v>1</v>
      </c>
      <c r="AI47" s="1522">
        <f t="shared" si="14"/>
        <v>3956</v>
      </c>
      <c r="AJ47" s="4529">
        <v>0</v>
      </c>
      <c r="AK47" s="4530">
        <v>0</v>
      </c>
      <c r="AL47" s="4471">
        <f t="shared" si="127"/>
        <v>0</v>
      </c>
      <c r="AM47" s="4526">
        <f t="shared" si="16"/>
        <v>0</v>
      </c>
      <c r="AN47" s="1463">
        <f t="shared" ref="AN47:AN63" si="134">AH47+AJ47</f>
        <v>1</v>
      </c>
      <c r="AO47" s="1522">
        <f t="shared" si="18"/>
        <v>3956</v>
      </c>
      <c r="AP47" s="4529">
        <v>0</v>
      </c>
      <c r="AQ47" s="4530">
        <v>0</v>
      </c>
      <c r="AR47" s="1463">
        <f t="shared" si="128"/>
        <v>1</v>
      </c>
      <c r="AS47" s="1522">
        <f t="shared" si="20"/>
        <v>3956</v>
      </c>
      <c r="AT47" s="4529">
        <v>0</v>
      </c>
      <c r="AU47" s="4530">
        <v>0</v>
      </c>
      <c r="AV47" s="1463">
        <f t="shared" si="129"/>
        <v>1</v>
      </c>
      <c r="AW47" s="1522">
        <f t="shared" si="22"/>
        <v>3956</v>
      </c>
      <c r="AX47" s="4529">
        <v>0</v>
      </c>
      <c r="AY47" s="4530">
        <v>0</v>
      </c>
      <c r="AZ47" s="4471">
        <f t="shared" si="130"/>
        <v>0</v>
      </c>
      <c r="BA47" s="4527">
        <f t="shared" si="24"/>
        <v>0</v>
      </c>
      <c r="BB47" s="4472">
        <f t="shared" si="131"/>
        <v>0</v>
      </c>
      <c r="BC47" s="4469">
        <f t="shared" si="26"/>
        <v>0</v>
      </c>
      <c r="BD47" s="1463">
        <f t="shared" si="132"/>
        <v>1</v>
      </c>
      <c r="BE47" s="1522">
        <f t="shared" si="28"/>
        <v>3956</v>
      </c>
      <c r="BF47" s="1202"/>
      <c r="BG47" s="1202"/>
      <c r="BH47" s="528"/>
      <c r="BI47" s="528"/>
      <c r="BJ47" s="528"/>
      <c r="BQ47" s="528"/>
      <c r="BR47" s="528"/>
      <c r="BS47" s="528"/>
      <c r="BT47" s="528"/>
      <c r="BU47" s="528"/>
      <c r="BV47" s="528"/>
      <c r="BW47" s="528"/>
      <c r="BX47" s="528"/>
      <c r="BY47" s="528"/>
      <c r="BZ47" s="528"/>
      <c r="CA47" s="528"/>
      <c r="CB47" s="528"/>
    </row>
    <row r="48" spans="2:80" s="1336" customFormat="1" ht="21.9" customHeight="1" thickBot="1" x14ac:dyDescent="0.35">
      <c r="B48" s="6143"/>
      <c r="C48" s="4539" t="s">
        <v>1228</v>
      </c>
      <c r="D48" s="4529">
        <v>4</v>
      </c>
      <c r="E48" s="4530">
        <v>14972</v>
      </c>
      <c r="F48" s="4529">
        <v>4</v>
      </c>
      <c r="G48" s="4530">
        <v>15821</v>
      </c>
      <c r="H48" s="1463">
        <f t="shared" si="0"/>
        <v>8</v>
      </c>
      <c r="I48" s="1464">
        <f t="shared" si="1"/>
        <v>30793</v>
      </c>
      <c r="J48" s="4529">
        <v>3.5</v>
      </c>
      <c r="K48" s="4530">
        <v>13254</v>
      </c>
      <c r="L48" s="4471">
        <f t="shared" si="29"/>
        <v>11.5</v>
      </c>
      <c r="M48" s="4526">
        <f t="shared" si="2"/>
        <v>44047</v>
      </c>
      <c r="N48" s="4529">
        <v>1</v>
      </c>
      <c r="O48" s="4530">
        <v>3837.17</v>
      </c>
      <c r="P48" s="1522">
        <f t="shared" si="53"/>
        <v>12.5</v>
      </c>
      <c r="Q48" s="1522">
        <f t="shared" si="4"/>
        <v>47884.17</v>
      </c>
      <c r="R48" s="4529">
        <v>1</v>
      </c>
      <c r="S48" s="4530">
        <v>3854.78</v>
      </c>
      <c r="T48" s="1522">
        <f t="shared" si="5"/>
        <v>13.5</v>
      </c>
      <c r="U48" s="1522">
        <f t="shared" si="6"/>
        <v>51738.95</v>
      </c>
      <c r="V48" s="4529">
        <v>0</v>
      </c>
      <c r="W48" s="4530">
        <v>0</v>
      </c>
      <c r="X48" s="4471">
        <f t="shared" si="7"/>
        <v>2</v>
      </c>
      <c r="Y48" s="4527">
        <f t="shared" si="8"/>
        <v>7691.9500000000007</v>
      </c>
      <c r="Z48" s="4472">
        <f t="shared" si="9"/>
        <v>13.5</v>
      </c>
      <c r="AA48" s="4469">
        <f t="shared" si="10"/>
        <v>51738.95</v>
      </c>
      <c r="AB48" s="4529">
        <v>0</v>
      </c>
      <c r="AC48" s="4530">
        <v>0</v>
      </c>
      <c r="AD48" s="5082">
        <f t="shared" si="11"/>
        <v>13.5</v>
      </c>
      <c r="AE48" s="5021">
        <f t="shared" si="12"/>
        <v>51738.95</v>
      </c>
      <c r="AF48" s="5074">
        <v>2</v>
      </c>
      <c r="AG48" s="4530">
        <v>7638.88</v>
      </c>
      <c r="AH48" s="1463">
        <f t="shared" si="126"/>
        <v>15.5</v>
      </c>
      <c r="AI48" s="1522">
        <f t="shared" si="14"/>
        <v>59377.83</v>
      </c>
      <c r="AJ48" s="4529">
        <v>2.5</v>
      </c>
      <c r="AK48" s="4530">
        <v>14219.22</v>
      </c>
      <c r="AL48" s="4471">
        <f t="shared" si="127"/>
        <v>4.5</v>
      </c>
      <c r="AM48" s="4526">
        <f t="shared" si="16"/>
        <v>21858.1</v>
      </c>
      <c r="AN48" s="1463">
        <f t="shared" si="134"/>
        <v>18</v>
      </c>
      <c r="AO48" s="1522">
        <f t="shared" si="18"/>
        <v>73597.049999999988</v>
      </c>
      <c r="AP48" s="4529">
        <v>0</v>
      </c>
      <c r="AQ48" s="4530">
        <v>0</v>
      </c>
      <c r="AR48" s="1463">
        <f t="shared" si="128"/>
        <v>18</v>
      </c>
      <c r="AS48" s="1522">
        <f t="shared" si="20"/>
        <v>73597.049999999988</v>
      </c>
      <c r="AT48" s="4529">
        <v>1.5</v>
      </c>
      <c r="AU48" s="4530">
        <v>5782.3</v>
      </c>
      <c r="AV48" s="1463">
        <f t="shared" si="129"/>
        <v>19.5</v>
      </c>
      <c r="AW48" s="1522">
        <f t="shared" si="22"/>
        <v>79379.350000000006</v>
      </c>
      <c r="AX48" s="4529">
        <v>3</v>
      </c>
      <c r="AY48" s="4530">
        <v>11774.48</v>
      </c>
      <c r="AZ48" s="4471">
        <f t="shared" si="130"/>
        <v>4.5</v>
      </c>
      <c r="BA48" s="4527">
        <f t="shared" si="24"/>
        <v>17556.78</v>
      </c>
      <c r="BB48" s="4472">
        <f t="shared" si="131"/>
        <v>9</v>
      </c>
      <c r="BC48" s="4469">
        <f t="shared" si="26"/>
        <v>39414.879999999997</v>
      </c>
      <c r="BD48" s="1463">
        <f t="shared" si="132"/>
        <v>22.5</v>
      </c>
      <c r="BE48" s="1522">
        <f t="shared" si="28"/>
        <v>91153.829999999987</v>
      </c>
      <c r="BF48" s="1202"/>
      <c r="BG48" s="1202"/>
      <c r="BH48" s="528"/>
      <c r="BI48" s="528"/>
      <c r="BJ48" s="528"/>
      <c r="BQ48" s="528"/>
      <c r="BR48" s="528"/>
      <c r="BS48" s="528"/>
      <c r="BT48" s="528"/>
      <c r="BU48" s="528"/>
      <c r="BV48" s="528"/>
      <c r="BW48" s="528"/>
      <c r="BX48" s="528"/>
      <c r="BY48" s="528"/>
      <c r="BZ48" s="528"/>
      <c r="CA48" s="528"/>
      <c r="CB48" s="528"/>
    </row>
    <row r="49" spans="2:80" s="1336" customFormat="1" ht="21.9" customHeight="1" thickBot="1" x14ac:dyDescent="0.35">
      <c r="B49" s="6143"/>
      <c r="C49" s="4539" t="s">
        <v>1229</v>
      </c>
      <c r="D49" s="4529">
        <v>7</v>
      </c>
      <c r="E49" s="4530">
        <v>26618</v>
      </c>
      <c r="F49" s="4529">
        <v>5</v>
      </c>
      <c r="G49" s="4530">
        <v>19520</v>
      </c>
      <c r="H49" s="1463">
        <f t="shared" si="0"/>
        <v>12</v>
      </c>
      <c r="I49" s="1464">
        <f t="shared" si="1"/>
        <v>46138</v>
      </c>
      <c r="J49" s="4529">
        <v>3.5</v>
      </c>
      <c r="K49" s="4530">
        <v>13724</v>
      </c>
      <c r="L49" s="4471">
        <f t="shared" si="29"/>
        <v>15.5</v>
      </c>
      <c r="M49" s="4526">
        <f t="shared" si="2"/>
        <v>59862</v>
      </c>
      <c r="N49" s="4529">
        <v>4.7</v>
      </c>
      <c r="O49" s="4530">
        <v>18259.91</v>
      </c>
      <c r="P49" s="1522">
        <f t="shared" si="53"/>
        <v>20.2</v>
      </c>
      <c r="Q49" s="1522">
        <f t="shared" si="4"/>
        <v>78121.91</v>
      </c>
      <c r="R49" s="4529">
        <v>4</v>
      </c>
      <c r="S49" s="4530">
        <v>15716.369999999999</v>
      </c>
      <c r="T49" s="1522">
        <f t="shared" si="5"/>
        <v>24.2</v>
      </c>
      <c r="U49" s="1522">
        <f t="shared" si="6"/>
        <v>93838.28</v>
      </c>
      <c r="V49" s="4529">
        <v>5</v>
      </c>
      <c r="W49" s="4530">
        <v>19564.97</v>
      </c>
      <c r="X49" s="4471">
        <f t="shared" si="7"/>
        <v>13.7</v>
      </c>
      <c r="Y49" s="4527">
        <f t="shared" si="8"/>
        <v>53541.25</v>
      </c>
      <c r="Z49" s="4472">
        <f t="shared" si="9"/>
        <v>29.2</v>
      </c>
      <c r="AA49" s="4469">
        <f t="shared" si="10"/>
        <v>113403.25</v>
      </c>
      <c r="AB49" s="4529">
        <v>3</v>
      </c>
      <c r="AC49" s="4530">
        <v>11850.81</v>
      </c>
      <c r="AD49" s="5082">
        <f t="shared" si="11"/>
        <v>32.200000000000003</v>
      </c>
      <c r="AE49" s="5021">
        <f t="shared" si="12"/>
        <v>125254.06</v>
      </c>
      <c r="AF49" s="5074">
        <v>4</v>
      </c>
      <c r="AG49" s="4530">
        <v>15487.1</v>
      </c>
      <c r="AH49" s="1463">
        <f t="shared" si="126"/>
        <v>36.200000000000003</v>
      </c>
      <c r="AI49" s="1522">
        <f t="shared" si="14"/>
        <v>140741.16</v>
      </c>
      <c r="AJ49" s="4529">
        <v>5</v>
      </c>
      <c r="AK49" s="4530">
        <v>27378.42</v>
      </c>
      <c r="AL49" s="4471">
        <f t="shared" si="127"/>
        <v>12</v>
      </c>
      <c r="AM49" s="4526">
        <f t="shared" si="16"/>
        <v>54716.33</v>
      </c>
      <c r="AN49" s="1463">
        <f t="shared" si="134"/>
        <v>41.2</v>
      </c>
      <c r="AO49" s="1522">
        <f t="shared" si="18"/>
        <v>168119.58</v>
      </c>
      <c r="AP49" s="4529">
        <v>5</v>
      </c>
      <c r="AQ49" s="4530">
        <v>18888.54</v>
      </c>
      <c r="AR49" s="1463">
        <f t="shared" si="128"/>
        <v>46.2</v>
      </c>
      <c r="AS49" s="1522">
        <f t="shared" si="20"/>
        <v>187008.12</v>
      </c>
      <c r="AT49" s="4529">
        <v>5.5</v>
      </c>
      <c r="AU49" s="4530">
        <v>21894.34</v>
      </c>
      <c r="AV49" s="1463">
        <f t="shared" si="129"/>
        <v>51.7</v>
      </c>
      <c r="AW49" s="1522">
        <f t="shared" si="22"/>
        <v>208902.46</v>
      </c>
      <c r="AX49" s="4529">
        <v>5</v>
      </c>
      <c r="AY49" s="4530">
        <v>19354.45</v>
      </c>
      <c r="AZ49" s="4471">
        <f t="shared" si="130"/>
        <v>15.5</v>
      </c>
      <c r="BA49" s="4527">
        <f t="shared" si="24"/>
        <v>60137.33</v>
      </c>
      <c r="BB49" s="4472">
        <f t="shared" si="131"/>
        <v>27.5</v>
      </c>
      <c r="BC49" s="4469">
        <f t="shared" si="26"/>
        <v>114853.66</v>
      </c>
      <c r="BD49" s="1463">
        <f t="shared" si="132"/>
        <v>56.7</v>
      </c>
      <c r="BE49" s="1522">
        <f t="shared" si="28"/>
        <v>228256.91</v>
      </c>
      <c r="BF49" s="1202"/>
      <c r="BG49" s="1202"/>
      <c r="BH49" s="528"/>
      <c r="BI49" s="528"/>
      <c r="BJ49" s="528"/>
      <c r="BQ49" s="528"/>
      <c r="BR49" s="528"/>
      <c r="BS49" s="528"/>
      <c r="BT49" s="528"/>
      <c r="BU49" s="528"/>
      <c r="BV49" s="528"/>
      <c r="BW49" s="528"/>
      <c r="BX49" s="528"/>
      <c r="BY49" s="528"/>
      <c r="BZ49" s="528"/>
      <c r="CA49" s="528"/>
      <c r="CB49" s="528"/>
    </row>
    <row r="50" spans="2:80" s="1336" customFormat="1" ht="21.9" customHeight="1" thickBot="1" x14ac:dyDescent="0.35">
      <c r="B50" s="6143"/>
      <c r="C50" s="4539" t="s">
        <v>1230</v>
      </c>
      <c r="D50" s="4529">
        <v>0</v>
      </c>
      <c r="E50" s="4530">
        <v>0</v>
      </c>
      <c r="F50" s="4529"/>
      <c r="G50" s="4530"/>
      <c r="H50" s="1463">
        <f t="shared" si="0"/>
        <v>0</v>
      </c>
      <c r="I50" s="1464">
        <f t="shared" si="1"/>
        <v>0</v>
      </c>
      <c r="J50" s="4529"/>
      <c r="K50" s="4530"/>
      <c r="L50" s="4471">
        <f t="shared" si="29"/>
        <v>0</v>
      </c>
      <c r="M50" s="4526">
        <f t="shared" si="2"/>
        <v>0</v>
      </c>
      <c r="N50" s="4529">
        <v>1</v>
      </c>
      <c r="O50" s="4530">
        <v>3982.2</v>
      </c>
      <c r="P50" s="1522">
        <f t="shared" si="53"/>
        <v>1</v>
      </c>
      <c r="Q50" s="1522">
        <f t="shared" si="4"/>
        <v>3982.2</v>
      </c>
      <c r="R50" s="4529">
        <v>2</v>
      </c>
      <c r="S50" s="4530">
        <v>7945.68</v>
      </c>
      <c r="T50" s="1522">
        <f t="shared" si="5"/>
        <v>3</v>
      </c>
      <c r="U50" s="1522">
        <f t="shared" si="6"/>
        <v>11927.880000000001</v>
      </c>
      <c r="V50" s="4529">
        <v>0</v>
      </c>
      <c r="W50" s="4530">
        <v>0</v>
      </c>
      <c r="X50" s="4471">
        <f t="shared" si="7"/>
        <v>3</v>
      </c>
      <c r="Y50" s="4527">
        <f t="shared" si="8"/>
        <v>11927.880000000001</v>
      </c>
      <c r="Z50" s="4472">
        <f t="shared" si="9"/>
        <v>3</v>
      </c>
      <c r="AA50" s="4469">
        <f t="shared" si="10"/>
        <v>11927.880000000001</v>
      </c>
      <c r="AB50" s="4529">
        <v>0</v>
      </c>
      <c r="AC50" s="4530">
        <v>0</v>
      </c>
      <c r="AD50" s="5082">
        <f t="shared" si="11"/>
        <v>3</v>
      </c>
      <c r="AE50" s="5021">
        <f t="shared" si="12"/>
        <v>11927.880000000001</v>
      </c>
      <c r="AF50" s="5074">
        <v>0</v>
      </c>
      <c r="AG50" s="4530">
        <v>0</v>
      </c>
      <c r="AH50" s="1463">
        <f t="shared" si="126"/>
        <v>3</v>
      </c>
      <c r="AI50" s="1522">
        <f t="shared" si="14"/>
        <v>11927.880000000001</v>
      </c>
      <c r="AJ50" s="4529"/>
      <c r="AK50" s="4530">
        <v>0</v>
      </c>
      <c r="AL50" s="4471">
        <f t="shared" si="127"/>
        <v>0</v>
      </c>
      <c r="AM50" s="4526">
        <f t="shared" si="16"/>
        <v>0</v>
      </c>
      <c r="AN50" s="1463">
        <f t="shared" si="134"/>
        <v>3</v>
      </c>
      <c r="AO50" s="1522">
        <f t="shared" si="18"/>
        <v>11927.880000000001</v>
      </c>
      <c r="AP50" s="4529">
        <v>0</v>
      </c>
      <c r="AQ50" s="4530">
        <v>68.400000000000006</v>
      </c>
      <c r="AR50" s="1463">
        <f t="shared" si="128"/>
        <v>3</v>
      </c>
      <c r="AS50" s="1522">
        <f t="shared" si="20"/>
        <v>11996.279999999999</v>
      </c>
      <c r="AT50" s="4529">
        <v>0</v>
      </c>
      <c r="AU50" s="4530">
        <v>0</v>
      </c>
      <c r="AV50" s="1463">
        <f t="shared" si="129"/>
        <v>3</v>
      </c>
      <c r="AW50" s="1522">
        <f t="shared" si="22"/>
        <v>11996.279999999999</v>
      </c>
      <c r="AX50" s="4529">
        <v>0</v>
      </c>
      <c r="AY50" s="4530">
        <v>0</v>
      </c>
      <c r="AZ50" s="4471">
        <f t="shared" si="130"/>
        <v>0</v>
      </c>
      <c r="BA50" s="4527">
        <f t="shared" si="24"/>
        <v>68.400000000000006</v>
      </c>
      <c r="BB50" s="4472">
        <f t="shared" si="131"/>
        <v>0</v>
      </c>
      <c r="BC50" s="4469">
        <f t="shared" si="26"/>
        <v>68.400000000000006</v>
      </c>
      <c r="BD50" s="1463">
        <f t="shared" si="132"/>
        <v>3</v>
      </c>
      <c r="BE50" s="1522">
        <f t="shared" si="28"/>
        <v>11996.28</v>
      </c>
      <c r="BF50" s="1202"/>
      <c r="BG50" s="1202"/>
      <c r="BH50" s="528"/>
      <c r="BI50" s="528"/>
      <c r="BJ50" s="528"/>
      <c r="BQ50" s="528"/>
      <c r="BR50" s="528"/>
      <c r="BS50" s="528"/>
      <c r="BT50" s="528"/>
      <c r="BU50" s="528"/>
      <c r="BV50" s="528"/>
      <c r="BW50" s="528"/>
      <c r="BX50" s="528"/>
      <c r="BY50" s="528"/>
      <c r="BZ50" s="528"/>
      <c r="CA50" s="528"/>
      <c r="CB50" s="528"/>
    </row>
    <row r="51" spans="2:80" s="1336" customFormat="1" ht="21.9" customHeight="1" thickBot="1" x14ac:dyDescent="0.35">
      <c r="B51" s="6143"/>
      <c r="C51" s="4539" t="s">
        <v>1231</v>
      </c>
      <c r="D51" s="4529">
        <v>0</v>
      </c>
      <c r="E51" s="4530">
        <v>68</v>
      </c>
      <c r="F51" s="4529">
        <v>0</v>
      </c>
      <c r="G51" s="4530">
        <v>0</v>
      </c>
      <c r="H51" s="1463">
        <f t="shared" si="0"/>
        <v>0</v>
      </c>
      <c r="I51" s="1464">
        <f t="shared" si="1"/>
        <v>68</v>
      </c>
      <c r="J51" s="4529">
        <v>0</v>
      </c>
      <c r="K51" s="4530">
        <v>0</v>
      </c>
      <c r="L51" s="4471">
        <f t="shared" si="29"/>
        <v>0</v>
      </c>
      <c r="M51" s="4526">
        <f t="shared" si="2"/>
        <v>68</v>
      </c>
      <c r="N51" s="4529">
        <v>0</v>
      </c>
      <c r="O51" s="4530">
        <v>0</v>
      </c>
      <c r="P51" s="1522">
        <f t="shared" si="53"/>
        <v>0</v>
      </c>
      <c r="Q51" s="1522">
        <f t="shared" si="4"/>
        <v>68</v>
      </c>
      <c r="R51" s="4529">
        <v>0</v>
      </c>
      <c r="S51" s="4530">
        <v>0</v>
      </c>
      <c r="T51" s="1522">
        <f t="shared" si="5"/>
        <v>0</v>
      </c>
      <c r="U51" s="1522">
        <f t="shared" si="6"/>
        <v>68</v>
      </c>
      <c r="V51" s="4529">
        <v>0</v>
      </c>
      <c r="W51" s="4530">
        <v>0</v>
      </c>
      <c r="X51" s="4471">
        <f t="shared" si="7"/>
        <v>0</v>
      </c>
      <c r="Y51" s="4527">
        <f t="shared" si="8"/>
        <v>0</v>
      </c>
      <c r="Z51" s="4472">
        <f t="shared" si="9"/>
        <v>0</v>
      </c>
      <c r="AA51" s="4469">
        <f t="shared" si="10"/>
        <v>68</v>
      </c>
      <c r="AB51" s="4529">
        <v>0</v>
      </c>
      <c r="AC51" s="4530">
        <v>0</v>
      </c>
      <c r="AD51" s="5082">
        <f t="shared" si="11"/>
        <v>0</v>
      </c>
      <c r="AE51" s="5021">
        <f t="shared" si="12"/>
        <v>68</v>
      </c>
      <c r="AF51" s="5074">
        <v>0</v>
      </c>
      <c r="AG51" s="4530">
        <v>0</v>
      </c>
      <c r="AH51" s="1463">
        <f t="shared" si="126"/>
        <v>0</v>
      </c>
      <c r="AI51" s="1522">
        <f t="shared" si="14"/>
        <v>68</v>
      </c>
      <c r="AJ51" s="4529">
        <v>1</v>
      </c>
      <c r="AK51" s="4530">
        <v>0</v>
      </c>
      <c r="AL51" s="4471">
        <f t="shared" si="127"/>
        <v>1</v>
      </c>
      <c r="AM51" s="4526">
        <f t="shared" si="16"/>
        <v>0</v>
      </c>
      <c r="AN51" s="1463">
        <f t="shared" si="134"/>
        <v>1</v>
      </c>
      <c r="AO51" s="1522">
        <f t="shared" si="18"/>
        <v>68</v>
      </c>
      <c r="AP51" s="4529">
        <v>0</v>
      </c>
      <c r="AQ51" s="4530">
        <v>0</v>
      </c>
      <c r="AR51" s="1463">
        <f t="shared" si="128"/>
        <v>1</v>
      </c>
      <c r="AS51" s="1522">
        <f t="shared" si="20"/>
        <v>68</v>
      </c>
      <c r="AT51" s="4529">
        <v>0</v>
      </c>
      <c r="AU51" s="4530">
        <v>0</v>
      </c>
      <c r="AV51" s="1463">
        <f t="shared" si="129"/>
        <v>1</v>
      </c>
      <c r="AW51" s="1522">
        <f t="shared" si="22"/>
        <v>68</v>
      </c>
      <c r="AX51" s="4529">
        <v>0</v>
      </c>
      <c r="AY51" s="4530">
        <v>0</v>
      </c>
      <c r="AZ51" s="4471">
        <f t="shared" si="130"/>
        <v>0</v>
      </c>
      <c r="BA51" s="4527">
        <f t="shared" si="24"/>
        <v>0</v>
      </c>
      <c r="BB51" s="4472">
        <f t="shared" si="131"/>
        <v>1</v>
      </c>
      <c r="BC51" s="4469">
        <f t="shared" si="26"/>
        <v>0</v>
      </c>
      <c r="BD51" s="1463">
        <f t="shared" si="132"/>
        <v>1</v>
      </c>
      <c r="BE51" s="1522">
        <f t="shared" si="28"/>
        <v>68</v>
      </c>
      <c r="BF51" s="1202"/>
      <c r="BG51" s="1202"/>
      <c r="BH51" s="528"/>
      <c r="BI51" s="528"/>
      <c r="BJ51" s="528"/>
      <c r="BQ51" s="528"/>
      <c r="BR51" s="528"/>
      <c r="BS51" s="528"/>
      <c r="BT51" s="528"/>
      <c r="BU51" s="528"/>
      <c r="BV51" s="528"/>
      <c r="BW51" s="528"/>
      <c r="BX51" s="528"/>
      <c r="BY51" s="528"/>
      <c r="BZ51" s="528"/>
      <c r="CA51" s="528"/>
      <c r="CB51" s="528"/>
    </row>
    <row r="52" spans="2:80" s="1336" customFormat="1" ht="21.9" customHeight="1" x14ac:dyDescent="0.3">
      <c r="B52" s="6143"/>
      <c r="C52" s="4539" t="s">
        <v>1346</v>
      </c>
      <c r="D52" s="4529">
        <v>0</v>
      </c>
      <c r="E52" s="4530">
        <v>0</v>
      </c>
      <c r="F52" s="4529">
        <v>0</v>
      </c>
      <c r="G52" s="4530">
        <v>0</v>
      </c>
      <c r="H52" s="1463">
        <f t="shared" si="0"/>
        <v>0</v>
      </c>
      <c r="I52" s="1464">
        <f t="shared" si="1"/>
        <v>0</v>
      </c>
      <c r="J52" s="4529">
        <v>0</v>
      </c>
      <c r="K52" s="4530">
        <v>0</v>
      </c>
      <c r="L52" s="4471">
        <f t="shared" si="29"/>
        <v>0</v>
      </c>
      <c r="M52" s="4526">
        <f t="shared" si="2"/>
        <v>0</v>
      </c>
      <c r="N52" s="4529">
        <v>0</v>
      </c>
      <c r="O52" s="4530">
        <v>0</v>
      </c>
      <c r="P52" s="1522">
        <f t="shared" si="53"/>
        <v>0</v>
      </c>
      <c r="Q52" s="1522">
        <f t="shared" si="4"/>
        <v>0</v>
      </c>
      <c r="R52" s="4529">
        <v>0</v>
      </c>
      <c r="S52" s="4530">
        <v>0</v>
      </c>
      <c r="T52" s="1522">
        <f t="shared" si="5"/>
        <v>0</v>
      </c>
      <c r="U52" s="1522">
        <f t="shared" si="6"/>
        <v>0</v>
      </c>
      <c r="V52" s="4529">
        <v>2</v>
      </c>
      <c r="W52" s="4530">
        <v>7822</v>
      </c>
      <c r="X52" s="4471">
        <f t="shared" si="7"/>
        <v>2</v>
      </c>
      <c r="Y52" s="4527">
        <f t="shared" si="8"/>
        <v>7822</v>
      </c>
      <c r="Z52" s="4472">
        <f t="shared" si="9"/>
        <v>2</v>
      </c>
      <c r="AA52" s="4469">
        <f t="shared" si="10"/>
        <v>7822</v>
      </c>
      <c r="AB52" s="4529">
        <v>2</v>
      </c>
      <c r="AC52" s="4530">
        <v>7805.44</v>
      </c>
      <c r="AD52" s="5082">
        <f t="shared" si="11"/>
        <v>4</v>
      </c>
      <c r="AE52" s="5021">
        <f t="shared" si="12"/>
        <v>15627.439999999999</v>
      </c>
      <c r="AF52" s="5074">
        <v>2</v>
      </c>
      <c r="AG52" s="4530">
        <v>7726.35</v>
      </c>
      <c r="AH52" s="1463">
        <f t="shared" si="126"/>
        <v>6</v>
      </c>
      <c r="AI52" s="1522">
        <f t="shared" si="14"/>
        <v>23353.79</v>
      </c>
      <c r="AJ52" s="4529">
        <v>0</v>
      </c>
      <c r="AK52" s="4530">
        <v>0</v>
      </c>
      <c r="AL52" s="4471">
        <f t="shared" si="127"/>
        <v>4</v>
      </c>
      <c r="AM52" s="4526">
        <f t="shared" si="16"/>
        <v>15531.79</v>
      </c>
      <c r="AN52" s="1463">
        <f t="shared" si="134"/>
        <v>6</v>
      </c>
      <c r="AO52" s="1522">
        <f t="shared" si="18"/>
        <v>23353.79</v>
      </c>
      <c r="AP52" s="4529">
        <v>0</v>
      </c>
      <c r="AQ52" s="4530">
        <v>68</v>
      </c>
      <c r="AR52" s="1463">
        <f t="shared" si="128"/>
        <v>6</v>
      </c>
      <c r="AS52" s="1522">
        <f t="shared" si="20"/>
        <v>23421.79</v>
      </c>
      <c r="AT52" s="4529">
        <v>1.5</v>
      </c>
      <c r="AU52" s="4530">
        <v>5710.8</v>
      </c>
      <c r="AV52" s="1463">
        <f t="shared" si="129"/>
        <v>7.5</v>
      </c>
      <c r="AW52" s="1522">
        <f t="shared" si="22"/>
        <v>29132.59</v>
      </c>
      <c r="AX52" s="4529">
        <v>2.5</v>
      </c>
      <c r="AY52" s="4530">
        <v>9839.98</v>
      </c>
      <c r="AZ52" s="4471">
        <f t="shared" si="130"/>
        <v>4</v>
      </c>
      <c r="BA52" s="4527">
        <f t="shared" si="24"/>
        <v>15618.779999999999</v>
      </c>
      <c r="BB52" s="4472">
        <f t="shared" si="131"/>
        <v>8</v>
      </c>
      <c r="BC52" s="4469">
        <f t="shared" si="26"/>
        <v>31150.57</v>
      </c>
      <c r="BD52" s="1463">
        <f t="shared" si="132"/>
        <v>10</v>
      </c>
      <c r="BE52" s="1522">
        <f t="shared" si="28"/>
        <v>38972.57</v>
      </c>
      <c r="BF52" s="1202"/>
      <c r="BG52" s="1202"/>
      <c r="BH52" s="528"/>
      <c r="BI52" s="528"/>
      <c r="BJ52" s="528"/>
      <c r="BQ52" s="528"/>
      <c r="BR52" s="528"/>
      <c r="BS52" s="528"/>
      <c r="BT52" s="528"/>
      <c r="BU52" s="528"/>
      <c r="BV52" s="528"/>
      <c r="BW52" s="528"/>
      <c r="BX52" s="528"/>
      <c r="BY52" s="528"/>
      <c r="BZ52" s="528"/>
      <c r="CA52" s="528"/>
      <c r="CB52" s="528"/>
    </row>
    <row r="53" spans="2:80" s="1336" customFormat="1" ht="21.9" customHeight="1" thickBot="1" x14ac:dyDescent="0.35">
      <c r="B53" s="6143"/>
      <c r="C53" s="4547" t="s">
        <v>2</v>
      </c>
      <c r="D53" s="4548">
        <f>SUM(D43:D52)</f>
        <v>25</v>
      </c>
      <c r="E53" s="4548">
        <f t="shared" ref="E53:BE53" si="135">SUM(E43:E52)</f>
        <v>95904</v>
      </c>
      <c r="F53" s="4548">
        <f t="shared" si="135"/>
        <v>27</v>
      </c>
      <c r="G53" s="4548">
        <f t="shared" si="135"/>
        <v>106284</v>
      </c>
      <c r="H53" s="4548">
        <f t="shared" si="135"/>
        <v>52</v>
      </c>
      <c r="I53" s="4548">
        <f t="shared" si="135"/>
        <v>202188</v>
      </c>
      <c r="J53" s="4548">
        <f t="shared" si="135"/>
        <v>18</v>
      </c>
      <c r="K53" s="4548">
        <f t="shared" si="135"/>
        <v>70820</v>
      </c>
      <c r="L53" s="4548">
        <f t="shared" si="135"/>
        <v>70</v>
      </c>
      <c r="M53" s="4548">
        <f t="shared" si="135"/>
        <v>273008</v>
      </c>
      <c r="N53" s="4548">
        <f t="shared" si="135"/>
        <v>28</v>
      </c>
      <c r="O53" s="4548">
        <f t="shared" si="135"/>
        <v>105149.94</v>
      </c>
      <c r="P53" s="4548">
        <f t="shared" si="135"/>
        <v>98</v>
      </c>
      <c r="Q53" s="4548">
        <f t="shared" si="135"/>
        <v>378157.94</v>
      </c>
      <c r="R53" s="4548">
        <f t="shared" si="135"/>
        <v>23</v>
      </c>
      <c r="S53" s="4548">
        <f t="shared" si="135"/>
        <v>88769.09</v>
      </c>
      <c r="T53" s="4548">
        <f t="shared" si="135"/>
        <v>121</v>
      </c>
      <c r="U53" s="4548">
        <f t="shared" si="135"/>
        <v>466927.03</v>
      </c>
      <c r="V53" s="4548">
        <f t="shared" si="135"/>
        <v>26</v>
      </c>
      <c r="W53" s="4548">
        <f t="shared" si="135"/>
        <v>101893.08</v>
      </c>
      <c r="X53" s="4548">
        <f t="shared" si="135"/>
        <v>77</v>
      </c>
      <c r="Y53" s="4548">
        <f t="shared" si="135"/>
        <v>295812.11</v>
      </c>
      <c r="Z53" s="4548">
        <f t="shared" si="135"/>
        <v>147</v>
      </c>
      <c r="AA53" s="4548">
        <f t="shared" si="135"/>
        <v>568820.11</v>
      </c>
      <c r="AB53" s="4548">
        <f t="shared" si="135"/>
        <v>24</v>
      </c>
      <c r="AC53" s="4548">
        <f t="shared" si="135"/>
        <v>92332.62</v>
      </c>
      <c r="AD53" s="4550">
        <f t="shared" si="135"/>
        <v>171</v>
      </c>
      <c r="AE53" s="4948">
        <f t="shared" si="135"/>
        <v>661152.72999999986</v>
      </c>
      <c r="AF53" s="5072">
        <f t="shared" si="135"/>
        <v>25</v>
      </c>
      <c r="AG53" s="4548">
        <f t="shared" ref="AG53" si="136">SUM(AG43:AG52)</f>
        <v>96420.48000000001</v>
      </c>
      <c r="AH53" s="4548">
        <f t="shared" si="135"/>
        <v>180.40000000000003</v>
      </c>
      <c r="AI53" s="4548">
        <f t="shared" si="14"/>
        <v>757573.21</v>
      </c>
      <c r="AJ53" s="4548">
        <f t="shared" si="135"/>
        <v>24</v>
      </c>
      <c r="AK53" s="4548">
        <f t="shared" si="135"/>
        <v>99982.81</v>
      </c>
      <c r="AL53" s="4548">
        <f t="shared" si="135"/>
        <v>67.5</v>
      </c>
      <c r="AM53" s="4548">
        <f t="shared" si="135"/>
        <v>288735.90999999997</v>
      </c>
      <c r="AN53" s="4548">
        <f t="shared" si="135"/>
        <v>204.40000000000003</v>
      </c>
      <c r="AO53" s="4548">
        <f t="shared" si="135"/>
        <v>857556.02</v>
      </c>
      <c r="AP53" s="4548">
        <f t="shared" ref="AP53:AQ53" si="137">SUM(AP43:AP52)</f>
        <v>24</v>
      </c>
      <c r="AQ53" s="4548">
        <f t="shared" si="137"/>
        <v>93862.239999999991</v>
      </c>
      <c r="AR53" s="4548">
        <f t="shared" si="135"/>
        <v>225</v>
      </c>
      <c r="AS53" s="4548">
        <f t="shared" si="135"/>
        <v>951418.26000000013</v>
      </c>
      <c r="AT53" s="4548">
        <f t="shared" si="135"/>
        <v>22.5</v>
      </c>
      <c r="AU53" s="4548">
        <f t="shared" si="135"/>
        <v>88114.99</v>
      </c>
      <c r="AV53" s="4548">
        <f t="shared" si="135"/>
        <v>245.40000000000003</v>
      </c>
      <c r="AW53" s="4548">
        <f t="shared" si="135"/>
        <v>1039533.25</v>
      </c>
      <c r="AX53" s="4548">
        <f t="shared" ref="AX53:AY53" si="138">SUM(AX43:AX52)</f>
        <v>26.6</v>
      </c>
      <c r="AY53" s="4548">
        <f t="shared" si="138"/>
        <v>102715.65</v>
      </c>
      <c r="AZ53" s="4548">
        <f t="shared" si="135"/>
        <v>67.599999999999994</v>
      </c>
      <c r="BA53" s="4548">
        <f t="shared" si="135"/>
        <v>284692.88</v>
      </c>
      <c r="BB53" s="4548">
        <f t="shared" si="135"/>
        <v>135.10000000000002</v>
      </c>
      <c r="BC53" s="4548">
        <f t="shared" si="135"/>
        <v>573428.79</v>
      </c>
      <c r="BD53" s="4548">
        <f t="shared" si="135"/>
        <v>272</v>
      </c>
      <c r="BE53" s="4548">
        <f t="shared" si="135"/>
        <v>1142248.9000000001</v>
      </c>
      <c r="BF53" s="1202"/>
      <c r="BG53" s="1202"/>
      <c r="BH53" s="528"/>
      <c r="BI53" s="528"/>
      <c r="BJ53" s="528"/>
      <c r="BQ53" s="528"/>
      <c r="BR53" s="528"/>
      <c r="BS53" s="528"/>
      <c r="BT53" s="528"/>
      <c r="BU53" s="528"/>
      <c r="BV53" s="528"/>
      <c r="BW53" s="528"/>
      <c r="BX53" s="528"/>
      <c r="BY53" s="528"/>
      <c r="BZ53" s="528"/>
      <c r="CA53" s="528"/>
      <c r="CB53" s="528"/>
    </row>
    <row r="54" spans="2:80" s="1336" customFormat="1" ht="21.9" customHeight="1" thickBot="1" x14ac:dyDescent="0.35">
      <c r="B54" s="6143"/>
      <c r="C54" s="4539" t="s">
        <v>1232</v>
      </c>
      <c r="D54" s="4529">
        <v>21</v>
      </c>
      <c r="E54" s="4530">
        <v>79885</v>
      </c>
      <c r="F54" s="4529">
        <v>15</v>
      </c>
      <c r="G54" s="4530">
        <v>58396</v>
      </c>
      <c r="H54" s="1463">
        <f t="shared" si="0"/>
        <v>36</v>
      </c>
      <c r="I54" s="1464">
        <f t="shared" si="1"/>
        <v>138281</v>
      </c>
      <c r="J54" s="4529">
        <v>12</v>
      </c>
      <c r="K54" s="4530">
        <v>46825</v>
      </c>
      <c r="L54" s="4471">
        <f t="shared" si="29"/>
        <v>48</v>
      </c>
      <c r="M54" s="4526">
        <f t="shared" si="2"/>
        <v>185106</v>
      </c>
      <c r="N54" s="4529">
        <v>18</v>
      </c>
      <c r="O54" s="4530">
        <v>66738.19</v>
      </c>
      <c r="P54" s="1522">
        <f t="shared" si="53"/>
        <v>66</v>
      </c>
      <c r="Q54" s="1522">
        <f t="shared" si="4"/>
        <v>251844.19</v>
      </c>
      <c r="R54" s="4529">
        <v>11</v>
      </c>
      <c r="S54" s="4530">
        <v>42077</v>
      </c>
      <c r="T54" s="1522">
        <f t="shared" si="5"/>
        <v>77</v>
      </c>
      <c r="U54" s="1522">
        <f t="shared" si="6"/>
        <v>293921.19</v>
      </c>
      <c r="V54" s="4529">
        <v>26</v>
      </c>
      <c r="W54" s="4530">
        <v>101893.08</v>
      </c>
      <c r="X54" s="4471">
        <f t="shared" si="7"/>
        <v>55</v>
      </c>
      <c r="Y54" s="4527">
        <f t="shared" si="8"/>
        <v>210708.27000000002</v>
      </c>
      <c r="Z54" s="4472">
        <f t="shared" si="9"/>
        <v>103</v>
      </c>
      <c r="AA54" s="4469">
        <f t="shared" si="10"/>
        <v>395814.27</v>
      </c>
      <c r="AB54" s="4529">
        <v>18</v>
      </c>
      <c r="AC54" s="4530">
        <v>68402.7</v>
      </c>
      <c r="AD54" s="5082">
        <f t="shared" si="11"/>
        <v>121</v>
      </c>
      <c r="AE54" s="5021">
        <f t="shared" si="12"/>
        <v>464216.97</v>
      </c>
      <c r="AF54" s="5074">
        <v>20</v>
      </c>
      <c r="AG54" s="4530">
        <v>76185.75</v>
      </c>
      <c r="AH54" s="1463">
        <f t="shared" ref="AH54:AH69" si="139">AD54+AF54</f>
        <v>141</v>
      </c>
      <c r="AI54" s="1522">
        <f t="shared" si="14"/>
        <v>540402.72</v>
      </c>
      <c r="AJ54" s="4529">
        <v>15</v>
      </c>
      <c r="AK54" s="4530">
        <v>68445.600000000006</v>
      </c>
      <c r="AL54" s="4471">
        <f t="shared" ref="AL54:AL69" si="140">+AB54+AF54+AJ54</f>
        <v>53</v>
      </c>
      <c r="AM54" s="4526">
        <f t="shared" si="16"/>
        <v>213034.05000000002</v>
      </c>
      <c r="AN54" s="1463">
        <f t="shared" si="134"/>
        <v>156</v>
      </c>
      <c r="AO54" s="1522">
        <f t="shared" si="18"/>
        <v>608848.32000000007</v>
      </c>
      <c r="AP54" s="4529">
        <v>16</v>
      </c>
      <c r="AQ54" s="4530">
        <v>61962.21</v>
      </c>
      <c r="AR54" s="1463">
        <f t="shared" ref="AR54:AR69" si="141">AN54+AP54</f>
        <v>172</v>
      </c>
      <c r="AS54" s="1522">
        <f t="shared" si="20"/>
        <v>670810.53</v>
      </c>
      <c r="AT54" s="4529">
        <v>17.399999999999999</v>
      </c>
      <c r="AU54" s="4530">
        <v>68170.53</v>
      </c>
      <c r="AV54" s="1463">
        <f t="shared" ref="AV54:AV69" si="142">AR54+AT54</f>
        <v>189.4</v>
      </c>
      <c r="AW54" s="1522">
        <f t="shared" si="22"/>
        <v>738981.06</v>
      </c>
      <c r="AX54" s="4529">
        <v>16</v>
      </c>
      <c r="AY54" s="4530">
        <v>61714.36</v>
      </c>
      <c r="AZ54" s="4471">
        <f t="shared" ref="AZ54:AZ69" si="143">+AP54+AT54+AX54</f>
        <v>49.4</v>
      </c>
      <c r="BA54" s="4527">
        <f t="shared" si="24"/>
        <v>191847.09999999998</v>
      </c>
      <c r="BB54" s="4472">
        <f t="shared" ref="BB54:BB69" si="144">AL54+AZ54</f>
        <v>102.4</v>
      </c>
      <c r="BC54" s="4469">
        <f t="shared" si="26"/>
        <v>404881.15</v>
      </c>
      <c r="BD54" s="1463">
        <f t="shared" ref="BD54:BD69" si="145">AV54+AX54</f>
        <v>205.4</v>
      </c>
      <c r="BE54" s="1522">
        <f t="shared" si="28"/>
        <v>800695.42</v>
      </c>
      <c r="BF54" s="1202"/>
      <c r="BG54" s="1202"/>
      <c r="BH54" s="528"/>
      <c r="BI54" s="528"/>
      <c r="BJ54" s="528"/>
      <c r="BQ54" s="528"/>
      <c r="BR54" s="528"/>
      <c r="BS54" s="528"/>
      <c r="BT54" s="528"/>
      <c r="BU54" s="528"/>
      <c r="BV54" s="528"/>
      <c r="BW54" s="528"/>
      <c r="BX54" s="528"/>
      <c r="BY54" s="528"/>
      <c r="BZ54" s="528"/>
      <c r="CA54" s="528"/>
      <c r="CB54" s="528"/>
    </row>
    <row r="55" spans="2:80" s="1336" customFormat="1" ht="21.9" customHeight="1" thickBot="1" x14ac:dyDescent="0.35">
      <c r="B55" s="6143"/>
      <c r="C55" s="4539" t="s">
        <v>1233</v>
      </c>
      <c r="D55" s="4529">
        <v>4</v>
      </c>
      <c r="E55" s="4530">
        <v>16019</v>
      </c>
      <c r="F55" s="4529">
        <v>12</v>
      </c>
      <c r="G55" s="4530">
        <v>47888</v>
      </c>
      <c r="H55" s="1463">
        <f t="shared" si="0"/>
        <v>16</v>
      </c>
      <c r="I55" s="1464">
        <f t="shared" si="1"/>
        <v>63907</v>
      </c>
      <c r="J55" s="4529">
        <v>6</v>
      </c>
      <c r="K55" s="4530">
        <v>23996</v>
      </c>
      <c r="L55" s="4471">
        <f t="shared" si="29"/>
        <v>22</v>
      </c>
      <c r="M55" s="4526">
        <f t="shared" si="2"/>
        <v>87903</v>
      </c>
      <c r="N55" s="4529">
        <v>10</v>
      </c>
      <c r="O55" s="4530">
        <v>38411.75</v>
      </c>
      <c r="P55" s="1522">
        <f t="shared" si="53"/>
        <v>32</v>
      </c>
      <c r="Q55" s="1522">
        <f t="shared" si="4"/>
        <v>126314.75</v>
      </c>
      <c r="R55" s="4529">
        <v>12</v>
      </c>
      <c r="S55" s="4530">
        <v>46692</v>
      </c>
      <c r="T55" s="1522">
        <f t="shared" si="5"/>
        <v>44</v>
      </c>
      <c r="U55" s="1522">
        <f t="shared" si="6"/>
        <v>173006.75</v>
      </c>
      <c r="V55" s="4529">
        <v>11</v>
      </c>
      <c r="W55" s="4530">
        <v>41994.29</v>
      </c>
      <c r="X55" s="4471">
        <f t="shared" si="7"/>
        <v>33</v>
      </c>
      <c r="Y55" s="4527">
        <f t="shared" si="8"/>
        <v>127098.04000000001</v>
      </c>
      <c r="Z55" s="4472">
        <f t="shared" si="9"/>
        <v>55</v>
      </c>
      <c r="AA55" s="4469">
        <f t="shared" si="10"/>
        <v>215001.04</v>
      </c>
      <c r="AB55" s="4529">
        <v>6</v>
      </c>
      <c r="AC55" s="4530">
        <v>23929.919999999998</v>
      </c>
      <c r="AD55" s="5082">
        <f t="shared" si="11"/>
        <v>61</v>
      </c>
      <c r="AE55" s="5021">
        <f t="shared" si="12"/>
        <v>238930.96</v>
      </c>
      <c r="AF55" s="5074">
        <v>5</v>
      </c>
      <c r="AG55" s="4530">
        <v>20234.73</v>
      </c>
      <c r="AH55" s="1463">
        <f t="shared" si="139"/>
        <v>66</v>
      </c>
      <c r="AI55" s="1522">
        <f t="shared" si="14"/>
        <v>259165.69</v>
      </c>
      <c r="AJ55" s="4529">
        <v>10</v>
      </c>
      <c r="AK55" s="4530">
        <v>31537.21</v>
      </c>
      <c r="AL55" s="4471">
        <f t="shared" si="140"/>
        <v>21</v>
      </c>
      <c r="AM55" s="4526">
        <f t="shared" si="16"/>
        <v>75701.859999999986</v>
      </c>
      <c r="AN55" s="1463">
        <f t="shared" si="134"/>
        <v>76</v>
      </c>
      <c r="AO55" s="1522">
        <f t="shared" si="18"/>
        <v>290702.90000000002</v>
      </c>
      <c r="AP55" s="4529">
        <v>8</v>
      </c>
      <c r="AQ55" s="4530">
        <v>31900.03</v>
      </c>
      <c r="AR55" s="1463">
        <f t="shared" si="141"/>
        <v>84</v>
      </c>
      <c r="AS55" s="1522">
        <f t="shared" si="20"/>
        <v>322602.93</v>
      </c>
      <c r="AT55" s="4529">
        <v>5</v>
      </c>
      <c r="AU55" s="4530">
        <v>19944.46</v>
      </c>
      <c r="AV55" s="1463">
        <f t="shared" si="142"/>
        <v>89</v>
      </c>
      <c r="AW55" s="1522">
        <f t="shared" si="22"/>
        <v>342547.39</v>
      </c>
      <c r="AX55" s="4529">
        <v>10.6</v>
      </c>
      <c r="AY55" s="4530">
        <v>41001.29</v>
      </c>
      <c r="AZ55" s="4471">
        <f t="shared" si="143"/>
        <v>23.6</v>
      </c>
      <c r="BA55" s="4527">
        <f t="shared" si="24"/>
        <v>92845.78</v>
      </c>
      <c r="BB55" s="4472">
        <f t="shared" si="144"/>
        <v>44.6</v>
      </c>
      <c r="BC55" s="4469">
        <f t="shared" si="26"/>
        <v>168547.63999999998</v>
      </c>
      <c r="BD55" s="1463">
        <f t="shared" si="145"/>
        <v>99.6</v>
      </c>
      <c r="BE55" s="1522">
        <f t="shared" si="28"/>
        <v>383548.68</v>
      </c>
      <c r="BF55" s="1202"/>
      <c r="BG55" s="1202"/>
      <c r="BH55" s="528"/>
      <c r="BI55" s="528"/>
      <c r="BJ55" s="528"/>
      <c r="BQ55" s="528"/>
      <c r="BR55" s="528"/>
      <c r="BS55" s="528"/>
      <c r="BT55" s="528"/>
      <c r="BU55" s="528"/>
      <c r="BV55" s="528"/>
      <c r="BW55" s="528"/>
      <c r="BX55" s="528"/>
      <c r="BY55" s="528"/>
      <c r="BZ55" s="528"/>
      <c r="CA55" s="528"/>
      <c r="CB55" s="528"/>
    </row>
    <row r="56" spans="2:80" s="1336" customFormat="1" ht="21.9" customHeight="1" thickBot="1" x14ac:dyDescent="0.35">
      <c r="B56" s="6155"/>
      <c r="C56" s="1580" t="s">
        <v>1234</v>
      </c>
      <c r="D56" s="4534">
        <v>0</v>
      </c>
      <c r="E56" s="4535">
        <v>0</v>
      </c>
      <c r="F56" s="4534">
        <v>0</v>
      </c>
      <c r="G56" s="4535">
        <v>0</v>
      </c>
      <c r="H56" s="1463">
        <f t="shared" si="0"/>
        <v>0</v>
      </c>
      <c r="I56" s="1464">
        <f t="shared" si="1"/>
        <v>0</v>
      </c>
      <c r="J56" s="4534"/>
      <c r="K56" s="4535"/>
      <c r="L56" s="4471">
        <f t="shared" si="29"/>
        <v>0</v>
      </c>
      <c r="M56" s="4526">
        <f t="shared" si="2"/>
        <v>0</v>
      </c>
      <c r="N56" s="4534">
        <v>0</v>
      </c>
      <c r="O56" s="4535">
        <v>0</v>
      </c>
      <c r="P56" s="1522">
        <f t="shared" si="53"/>
        <v>0</v>
      </c>
      <c r="Q56" s="1522">
        <f t="shared" si="4"/>
        <v>0</v>
      </c>
      <c r="R56" s="4534">
        <v>0</v>
      </c>
      <c r="S56" s="4535">
        <v>0</v>
      </c>
      <c r="T56" s="1522">
        <f t="shared" si="5"/>
        <v>0</v>
      </c>
      <c r="U56" s="1522">
        <f t="shared" si="6"/>
        <v>0</v>
      </c>
      <c r="V56" s="4534">
        <v>0</v>
      </c>
      <c r="W56" s="4535">
        <v>0</v>
      </c>
      <c r="X56" s="4471">
        <f t="shared" si="7"/>
        <v>0</v>
      </c>
      <c r="Y56" s="4527">
        <f t="shared" si="8"/>
        <v>0</v>
      </c>
      <c r="Z56" s="4472">
        <f t="shared" si="9"/>
        <v>0</v>
      </c>
      <c r="AA56" s="4469">
        <f t="shared" si="10"/>
        <v>0</v>
      </c>
      <c r="AB56" s="4534">
        <v>0</v>
      </c>
      <c r="AC56" s="4535">
        <v>0</v>
      </c>
      <c r="AD56" s="5082">
        <f t="shared" si="11"/>
        <v>0</v>
      </c>
      <c r="AE56" s="5021">
        <f t="shared" si="12"/>
        <v>0</v>
      </c>
      <c r="AF56" s="4534">
        <v>0</v>
      </c>
      <c r="AG56" s="4535">
        <v>0</v>
      </c>
      <c r="AH56" s="1463">
        <f t="shared" si="139"/>
        <v>0</v>
      </c>
      <c r="AI56" s="1522">
        <f t="shared" si="14"/>
        <v>0</v>
      </c>
      <c r="AJ56" s="4534">
        <v>0</v>
      </c>
      <c r="AK56" s="4535">
        <v>0</v>
      </c>
      <c r="AL56" s="4471">
        <f t="shared" si="140"/>
        <v>0</v>
      </c>
      <c r="AM56" s="4526">
        <f t="shared" si="16"/>
        <v>0</v>
      </c>
      <c r="AN56" s="1463">
        <f t="shared" si="134"/>
        <v>0</v>
      </c>
      <c r="AO56" s="1522">
        <f t="shared" si="18"/>
        <v>0</v>
      </c>
      <c r="AP56" s="4534">
        <v>0</v>
      </c>
      <c r="AQ56" s="4535">
        <v>0</v>
      </c>
      <c r="AR56" s="1463">
        <f t="shared" si="141"/>
        <v>0</v>
      </c>
      <c r="AS56" s="1522">
        <f t="shared" si="20"/>
        <v>0</v>
      </c>
      <c r="AT56" s="4534">
        <v>0</v>
      </c>
      <c r="AU56" s="4535">
        <v>0</v>
      </c>
      <c r="AV56" s="1463">
        <f t="shared" si="142"/>
        <v>0</v>
      </c>
      <c r="AW56" s="1522">
        <f t="shared" si="22"/>
        <v>0</v>
      </c>
      <c r="AX56" s="4534">
        <v>0</v>
      </c>
      <c r="AY56" s="4535">
        <v>0</v>
      </c>
      <c r="AZ56" s="4471">
        <f t="shared" si="143"/>
        <v>0</v>
      </c>
      <c r="BA56" s="4527">
        <f t="shared" si="24"/>
        <v>0</v>
      </c>
      <c r="BB56" s="4472">
        <f t="shared" si="144"/>
        <v>0</v>
      </c>
      <c r="BC56" s="4469">
        <f t="shared" si="26"/>
        <v>0</v>
      </c>
      <c r="BD56" s="1463">
        <f t="shared" si="145"/>
        <v>0</v>
      </c>
      <c r="BE56" s="1522">
        <f t="shared" si="28"/>
        <v>0</v>
      </c>
      <c r="BF56" s="1202"/>
      <c r="BG56" s="1202"/>
      <c r="BH56" s="528"/>
      <c r="BI56" s="528"/>
      <c r="BJ56" s="528"/>
      <c r="BQ56" s="528"/>
      <c r="BR56" s="528"/>
      <c r="BS56" s="528"/>
      <c r="BT56" s="528"/>
      <c r="BU56" s="528"/>
      <c r="BV56" s="528"/>
      <c r="BW56" s="528"/>
      <c r="BX56" s="528"/>
      <c r="BY56" s="528"/>
      <c r="BZ56" s="528"/>
      <c r="CA56" s="528"/>
      <c r="CB56" s="528"/>
    </row>
    <row r="57" spans="2:80" s="1336" customFormat="1" ht="21.9" customHeight="1" thickBot="1" x14ac:dyDescent="0.35">
      <c r="B57" s="5429" t="s">
        <v>2328</v>
      </c>
      <c r="C57" s="3801" t="s">
        <v>1013</v>
      </c>
      <c r="D57" s="2204">
        <v>2</v>
      </c>
      <c r="E57" s="2203">
        <v>7722</v>
      </c>
      <c r="F57" s="2204">
        <v>1</v>
      </c>
      <c r="G57" s="2203">
        <v>2902</v>
      </c>
      <c r="H57" s="1463">
        <f t="shared" si="0"/>
        <v>3</v>
      </c>
      <c r="I57" s="1464">
        <f t="shared" si="1"/>
        <v>10624</v>
      </c>
      <c r="J57" s="2204">
        <v>2</v>
      </c>
      <c r="K57" s="2203">
        <v>7189</v>
      </c>
      <c r="L57" s="4552">
        <f t="shared" si="29"/>
        <v>5</v>
      </c>
      <c r="M57" s="4526">
        <f t="shared" si="2"/>
        <v>17813</v>
      </c>
      <c r="N57" s="2204">
        <v>1</v>
      </c>
      <c r="O57" s="2203">
        <v>3551.31</v>
      </c>
      <c r="P57" s="1522">
        <f t="shared" si="53"/>
        <v>6</v>
      </c>
      <c r="Q57" s="1522">
        <f t="shared" si="4"/>
        <v>21364.31</v>
      </c>
      <c r="R57" s="2204">
        <v>1</v>
      </c>
      <c r="S57" s="2203">
        <v>4030.6</v>
      </c>
      <c r="T57" s="1522">
        <f t="shared" si="5"/>
        <v>7</v>
      </c>
      <c r="U57" s="1522">
        <f t="shared" si="6"/>
        <v>25394.91</v>
      </c>
      <c r="V57" s="2204">
        <v>2</v>
      </c>
      <c r="W57" s="2203">
        <v>7324.35</v>
      </c>
      <c r="X57" s="4552">
        <f t="shared" si="7"/>
        <v>4</v>
      </c>
      <c r="Y57" s="4527">
        <f t="shared" si="8"/>
        <v>14906.26</v>
      </c>
      <c r="Z57" s="4553">
        <f t="shared" si="9"/>
        <v>9</v>
      </c>
      <c r="AA57" s="4469">
        <f t="shared" si="10"/>
        <v>32719.260000000002</v>
      </c>
      <c r="AB57" s="2204">
        <v>1</v>
      </c>
      <c r="AC57" s="2203">
        <v>3520</v>
      </c>
      <c r="AD57" s="5088">
        <f t="shared" si="11"/>
        <v>10</v>
      </c>
      <c r="AE57" s="5021">
        <f t="shared" si="12"/>
        <v>36239.26</v>
      </c>
      <c r="AF57" s="2204">
        <v>1</v>
      </c>
      <c r="AG57" s="2203">
        <v>3850.27</v>
      </c>
      <c r="AH57" s="2205">
        <f t="shared" si="139"/>
        <v>11</v>
      </c>
      <c r="AI57" s="1522">
        <f t="shared" si="14"/>
        <v>40089.53</v>
      </c>
      <c r="AJ57" s="2204">
        <v>1</v>
      </c>
      <c r="AK57" s="2203">
        <v>8101.2</v>
      </c>
      <c r="AL57" s="4552">
        <f t="shared" si="140"/>
        <v>3</v>
      </c>
      <c r="AM57" s="4526">
        <f t="shared" si="16"/>
        <v>15471.470000000001</v>
      </c>
      <c r="AN57" s="2205">
        <f t="shared" si="134"/>
        <v>12</v>
      </c>
      <c r="AO57" s="1522">
        <f t="shared" si="18"/>
        <v>48190.729999999996</v>
      </c>
      <c r="AP57" s="2204">
        <v>1</v>
      </c>
      <c r="AQ57" s="2203">
        <v>3899.6</v>
      </c>
      <c r="AR57" s="2205">
        <f t="shared" si="141"/>
        <v>13</v>
      </c>
      <c r="AS57" s="1522">
        <f t="shared" si="20"/>
        <v>52090.329999999994</v>
      </c>
      <c r="AT57" s="2204">
        <v>2</v>
      </c>
      <c r="AU57" s="2203">
        <v>8090.87</v>
      </c>
      <c r="AV57" s="2205">
        <f t="shared" si="142"/>
        <v>15</v>
      </c>
      <c r="AW57" s="1522">
        <f t="shared" si="22"/>
        <v>60181.2</v>
      </c>
      <c r="AX57" s="2204">
        <v>0</v>
      </c>
      <c r="AY57" s="2203">
        <v>0</v>
      </c>
      <c r="AZ57" s="4552">
        <f t="shared" si="143"/>
        <v>3</v>
      </c>
      <c r="BA57" s="4527">
        <f t="shared" si="24"/>
        <v>11990.47</v>
      </c>
      <c r="BB57" s="4554">
        <f t="shared" si="144"/>
        <v>6</v>
      </c>
      <c r="BC57" s="4469">
        <f t="shared" si="26"/>
        <v>27461.940000000002</v>
      </c>
      <c r="BD57" s="1463">
        <f t="shared" si="145"/>
        <v>15</v>
      </c>
      <c r="BE57" s="1522">
        <f t="shared" si="28"/>
        <v>60181.200000000004</v>
      </c>
      <c r="BF57" s="1202"/>
      <c r="BG57" s="1202"/>
      <c r="BH57" s="528"/>
      <c r="BI57" s="528"/>
      <c r="BJ57" s="528"/>
      <c r="BQ57" s="528"/>
      <c r="BR57" s="528"/>
      <c r="BS57" s="528"/>
      <c r="BT57" s="528"/>
      <c r="BU57" s="528"/>
      <c r="BV57" s="528"/>
      <c r="BW57" s="528"/>
      <c r="BX57" s="528"/>
      <c r="BY57" s="528"/>
      <c r="BZ57" s="528"/>
      <c r="CA57" s="528"/>
      <c r="CB57" s="528"/>
    </row>
    <row r="58" spans="2:80" s="1336" customFormat="1" ht="21.9" customHeight="1" thickBot="1" x14ac:dyDescent="0.35">
      <c r="B58" s="6171" t="s">
        <v>1801</v>
      </c>
      <c r="C58" s="3814" t="s">
        <v>1235</v>
      </c>
      <c r="D58" s="3809">
        <v>8</v>
      </c>
      <c r="E58" s="3810">
        <v>31874</v>
      </c>
      <c r="F58" s="3809">
        <v>12</v>
      </c>
      <c r="G58" s="3810">
        <v>45506</v>
      </c>
      <c r="H58" s="1463">
        <f t="shared" si="0"/>
        <v>20</v>
      </c>
      <c r="I58" s="1464">
        <f t="shared" si="1"/>
        <v>77380</v>
      </c>
      <c r="J58" s="3809">
        <v>13</v>
      </c>
      <c r="K58" s="3810">
        <v>48829</v>
      </c>
      <c r="L58" s="3812">
        <f t="shared" si="29"/>
        <v>33</v>
      </c>
      <c r="M58" s="4526">
        <f t="shared" si="2"/>
        <v>126209</v>
      </c>
      <c r="N58" s="3809">
        <v>11</v>
      </c>
      <c r="O58" s="3810">
        <v>41938</v>
      </c>
      <c r="P58" s="1522">
        <f t="shared" si="53"/>
        <v>44</v>
      </c>
      <c r="Q58" s="1522">
        <f t="shared" si="4"/>
        <v>168147</v>
      </c>
      <c r="R58" s="3809">
        <v>10</v>
      </c>
      <c r="S58" s="3810">
        <v>38260.080000000002</v>
      </c>
      <c r="T58" s="1522">
        <f t="shared" si="5"/>
        <v>54</v>
      </c>
      <c r="U58" s="1522">
        <f t="shared" si="6"/>
        <v>206407.08000000002</v>
      </c>
      <c r="V58" s="3809">
        <v>10</v>
      </c>
      <c r="W58" s="3810">
        <v>39261.86</v>
      </c>
      <c r="X58" s="3812">
        <f t="shared" si="7"/>
        <v>31</v>
      </c>
      <c r="Y58" s="4527">
        <f t="shared" si="8"/>
        <v>119459.94</v>
      </c>
      <c r="Z58" s="3962">
        <f t="shared" si="9"/>
        <v>64</v>
      </c>
      <c r="AA58" s="4469">
        <f t="shared" si="10"/>
        <v>245668.94</v>
      </c>
      <c r="AB58" s="3809">
        <v>6</v>
      </c>
      <c r="AC58" s="3810">
        <v>22604</v>
      </c>
      <c r="AD58" s="5089">
        <f t="shared" si="11"/>
        <v>70</v>
      </c>
      <c r="AE58" s="5021">
        <f t="shared" si="12"/>
        <v>268272.94</v>
      </c>
      <c r="AF58" s="5100">
        <v>10</v>
      </c>
      <c r="AG58" s="3810">
        <v>38771.83</v>
      </c>
      <c r="AH58" s="3811">
        <f t="shared" si="139"/>
        <v>80</v>
      </c>
      <c r="AI58" s="1522">
        <f t="shared" si="14"/>
        <v>307044.77</v>
      </c>
      <c r="AJ58" s="3809">
        <v>8</v>
      </c>
      <c r="AK58" s="3810">
        <v>35304.04</v>
      </c>
      <c r="AL58" s="3812">
        <f t="shared" si="140"/>
        <v>24</v>
      </c>
      <c r="AM58" s="4526">
        <f t="shared" si="16"/>
        <v>96679.87</v>
      </c>
      <c r="AN58" s="3811">
        <f t="shared" si="134"/>
        <v>88</v>
      </c>
      <c r="AO58" s="1522">
        <f t="shared" si="18"/>
        <v>342348.81</v>
      </c>
      <c r="AP58" s="3809">
        <v>10</v>
      </c>
      <c r="AQ58" s="3810">
        <v>39805.569999999992</v>
      </c>
      <c r="AR58" s="3811">
        <f t="shared" si="141"/>
        <v>98</v>
      </c>
      <c r="AS58" s="1522">
        <f t="shared" si="20"/>
        <v>382154.38</v>
      </c>
      <c r="AT58" s="3809">
        <v>5.5</v>
      </c>
      <c r="AU58" s="3810">
        <v>20408.048947368421</v>
      </c>
      <c r="AV58" s="3811">
        <f t="shared" si="142"/>
        <v>103.5</v>
      </c>
      <c r="AW58" s="1522">
        <f t="shared" si="22"/>
        <v>402562.4289473684</v>
      </c>
      <c r="AX58" s="3809">
        <v>8.4</v>
      </c>
      <c r="AY58" s="3810">
        <v>33604.82</v>
      </c>
      <c r="AZ58" s="3812">
        <f t="shared" si="143"/>
        <v>23.9</v>
      </c>
      <c r="BA58" s="4527">
        <f t="shared" si="24"/>
        <v>93818.438947368413</v>
      </c>
      <c r="BB58" s="3813">
        <f t="shared" si="144"/>
        <v>47.9</v>
      </c>
      <c r="BC58" s="4469">
        <f t="shared" si="26"/>
        <v>190498.30894736841</v>
      </c>
      <c r="BD58" s="1463">
        <f t="shared" si="145"/>
        <v>111.9</v>
      </c>
      <c r="BE58" s="1522">
        <f t="shared" si="28"/>
        <v>436167.24894736841</v>
      </c>
      <c r="BF58" s="1202"/>
      <c r="BG58" s="1202"/>
      <c r="BH58" s="528"/>
      <c r="BI58" s="528"/>
      <c r="BJ58" s="528"/>
      <c r="BQ58" s="528"/>
      <c r="BR58" s="528"/>
      <c r="BS58" s="528"/>
      <c r="BT58" s="528"/>
      <c r="BU58" s="528"/>
      <c r="BV58" s="528"/>
      <c r="BW58" s="528"/>
      <c r="BX58" s="528"/>
      <c r="BY58" s="528"/>
      <c r="BZ58" s="528"/>
      <c r="CA58" s="528"/>
      <c r="CB58" s="528"/>
    </row>
    <row r="59" spans="2:80" s="1336" customFormat="1" ht="21.9" customHeight="1" thickBot="1" x14ac:dyDescent="0.35">
      <c r="B59" s="6172"/>
      <c r="C59" s="4555" t="s">
        <v>1800</v>
      </c>
      <c r="D59" s="4556">
        <v>0</v>
      </c>
      <c r="E59" s="4557">
        <v>0</v>
      </c>
      <c r="F59" s="4556">
        <v>0</v>
      </c>
      <c r="G59" s="4557">
        <v>0</v>
      </c>
      <c r="H59" s="1463">
        <f t="shared" si="0"/>
        <v>0</v>
      </c>
      <c r="I59" s="1464">
        <f t="shared" si="1"/>
        <v>0</v>
      </c>
      <c r="J59" s="4556">
        <v>0</v>
      </c>
      <c r="K59" s="4557">
        <v>0</v>
      </c>
      <c r="L59" s="4558">
        <f t="shared" si="29"/>
        <v>0</v>
      </c>
      <c r="M59" s="4526">
        <f t="shared" si="2"/>
        <v>0</v>
      </c>
      <c r="N59" s="4556">
        <v>0</v>
      </c>
      <c r="O59" s="4557">
        <v>0</v>
      </c>
      <c r="P59" s="1522">
        <f t="shared" si="53"/>
        <v>0</v>
      </c>
      <c r="Q59" s="1522">
        <f t="shared" si="4"/>
        <v>0</v>
      </c>
      <c r="R59" s="4556">
        <v>0</v>
      </c>
      <c r="S59" s="4557">
        <v>0</v>
      </c>
      <c r="T59" s="1522">
        <f t="shared" si="5"/>
        <v>0</v>
      </c>
      <c r="U59" s="1522">
        <f t="shared" si="6"/>
        <v>0</v>
      </c>
      <c r="V59" s="4556">
        <v>0</v>
      </c>
      <c r="W59" s="4557">
        <v>0</v>
      </c>
      <c r="X59" s="3812">
        <f t="shared" si="7"/>
        <v>0</v>
      </c>
      <c r="Y59" s="4527">
        <f t="shared" si="8"/>
        <v>0</v>
      </c>
      <c r="Z59" s="3962">
        <f t="shared" si="9"/>
        <v>0</v>
      </c>
      <c r="AA59" s="4469">
        <f t="shared" si="10"/>
        <v>0</v>
      </c>
      <c r="AB59" s="4556">
        <v>0</v>
      </c>
      <c r="AC59" s="4557">
        <v>0</v>
      </c>
      <c r="AD59" s="5090">
        <f t="shared" si="11"/>
        <v>0</v>
      </c>
      <c r="AE59" s="5021">
        <f t="shared" si="12"/>
        <v>0</v>
      </c>
      <c r="AF59" s="5101">
        <v>0</v>
      </c>
      <c r="AG59" s="4557">
        <v>0</v>
      </c>
      <c r="AH59" s="3811">
        <f t="shared" si="139"/>
        <v>0</v>
      </c>
      <c r="AI59" s="1522">
        <f t="shared" si="14"/>
        <v>0</v>
      </c>
      <c r="AJ59" s="4556">
        <v>0</v>
      </c>
      <c r="AK59" s="4557">
        <v>0</v>
      </c>
      <c r="AL59" s="3812">
        <f t="shared" si="140"/>
        <v>0</v>
      </c>
      <c r="AM59" s="4526">
        <f t="shared" si="16"/>
        <v>0</v>
      </c>
      <c r="AN59" s="3811">
        <f t="shared" si="134"/>
        <v>0</v>
      </c>
      <c r="AO59" s="1522">
        <f t="shared" si="18"/>
        <v>0</v>
      </c>
      <c r="AP59" s="4556">
        <v>0</v>
      </c>
      <c r="AQ59" s="4557">
        <v>0</v>
      </c>
      <c r="AR59" s="3811">
        <f t="shared" si="141"/>
        <v>0</v>
      </c>
      <c r="AS59" s="1522">
        <f t="shared" si="20"/>
        <v>0</v>
      </c>
      <c r="AT59" s="4556">
        <v>0</v>
      </c>
      <c r="AU59" s="4557">
        <v>0</v>
      </c>
      <c r="AV59" s="3811">
        <f t="shared" si="142"/>
        <v>0</v>
      </c>
      <c r="AW59" s="1522">
        <f t="shared" si="22"/>
        <v>0</v>
      </c>
      <c r="AX59" s="4556">
        <v>0</v>
      </c>
      <c r="AY59" s="4557">
        <v>0</v>
      </c>
      <c r="AZ59" s="3812">
        <f t="shared" si="143"/>
        <v>0</v>
      </c>
      <c r="BA59" s="4527">
        <f t="shared" si="24"/>
        <v>0</v>
      </c>
      <c r="BB59" s="3813">
        <f t="shared" si="144"/>
        <v>0</v>
      </c>
      <c r="BC59" s="4469">
        <f t="shared" si="26"/>
        <v>0</v>
      </c>
      <c r="BD59" s="1463">
        <f t="shared" si="145"/>
        <v>0</v>
      </c>
      <c r="BE59" s="1522">
        <f t="shared" si="28"/>
        <v>0</v>
      </c>
      <c r="BF59" s="1202"/>
      <c r="BG59" s="1202"/>
      <c r="BH59" s="528"/>
      <c r="BI59" s="528"/>
      <c r="BJ59" s="528"/>
      <c r="BQ59" s="528"/>
      <c r="BR59" s="528"/>
      <c r="BS59" s="528"/>
      <c r="BT59" s="528"/>
      <c r="BU59" s="528"/>
      <c r="BV59" s="528"/>
      <c r="BW59" s="528"/>
      <c r="BX59" s="528"/>
      <c r="BY59" s="528"/>
      <c r="BZ59" s="528"/>
      <c r="CA59" s="528"/>
      <c r="CB59" s="528"/>
    </row>
    <row r="60" spans="2:80" s="1336" customFormat="1" ht="21.9" customHeight="1" thickBot="1" x14ac:dyDescent="0.35">
      <c r="B60" s="6142" t="s">
        <v>1236</v>
      </c>
      <c r="C60" s="3802" t="s">
        <v>1225</v>
      </c>
      <c r="D60" s="3803">
        <v>5.5</v>
      </c>
      <c r="E60" s="3804">
        <v>21324</v>
      </c>
      <c r="F60" s="3803">
        <v>5.6</v>
      </c>
      <c r="G60" s="3804">
        <v>20685</v>
      </c>
      <c r="H60" s="1463">
        <f t="shared" si="0"/>
        <v>11.1</v>
      </c>
      <c r="I60" s="1464">
        <f t="shared" si="1"/>
        <v>42009</v>
      </c>
      <c r="J60" s="3803">
        <v>6.8</v>
      </c>
      <c r="K60" s="3804">
        <v>24848</v>
      </c>
      <c r="L60" s="3805">
        <f t="shared" si="29"/>
        <v>17.899999999999999</v>
      </c>
      <c r="M60" s="4526">
        <f t="shared" si="2"/>
        <v>66857</v>
      </c>
      <c r="N60" s="3803">
        <v>6.4</v>
      </c>
      <c r="O60" s="3804">
        <v>24200.09</v>
      </c>
      <c r="P60" s="1522">
        <f t="shared" si="53"/>
        <v>24.299999999999997</v>
      </c>
      <c r="Q60" s="1522">
        <f t="shared" si="4"/>
        <v>91057.09</v>
      </c>
      <c r="R60" s="3803">
        <v>6</v>
      </c>
      <c r="S60" s="3804">
        <v>23022</v>
      </c>
      <c r="T60" s="1522">
        <f t="shared" si="5"/>
        <v>30.299999999999997</v>
      </c>
      <c r="U60" s="1522">
        <f t="shared" si="6"/>
        <v>114079.09</v>
      </c>
      <c r="V60" s="3803">
        <v>7</v>
      </c>
      <c r="W60" s="3804">
        <v>26804.1</v>
      </c>
      <c r="X60" s="3807">
        <f t="shared" si="7"/>
        <v>19.399999999999999</v>
      </c>
      <c r="Y60" s="4527">
        <f t="shared" si="8"/>
        <v>74026.19</v>
      </c>
      <c r="Z60" s="3808">
        <f t="shared" si="9"/>
        <v>37.299999999999997</v>
      </c>
      <c r="AA60" s="4469">
        <f t="shared" si="10"/>
        <v>140883.19</v>
      </c>
      <c r="AB60" s="3803">
        <v>5.4</v>
      </c>
      <c r="AC60" s="3804">
        <v>20614.89</v>
      </c>
      <c r="AD60" s="5091">
        <f t="shared" si="11"/>
        <v>42.699999999999996</v>
      </c>
      <c r="AE60" s="5021">
        <f t="shared" si="12"/>
        <v>161498.07999999999</v>
      </c>
      <c r="AF60" s="1441">
        <v>5.5</v>
      </c>
      <c r="AG60" s="3804">
        <v>20561.810000000001</v>
      </c>
      <c r="AH60" s="3806">
        <f t="shared" si="139"/>
        <v>48.199999999999996</v>
      </c>
      <c r="AI60" s="1522">
        <f t="shared" si="14"/>
        <v>182059.88999999998</v>
      </c>
      <c r="AJ60" s="3803">
        <v>4.9000000000000004</v>
      </c>
      <c r="AK60" s="3804">
        <v>18806.89</v>
      </c>
      <c r="AL60" s="3807">
        <f t="shared" si="140"/>
        <v>15.8</v>
      </c>
      <c r="AM60" s="4526">
        <f t="shared" si="16"/>
        <v>59983.59</v>
      </c>
      <c r="AN60" s="3806">
        <f t="shared" si="134"/>
        <v>53.099999999999994</v>
      </c>
      <c r="AO60" s="1522">
        <f t="shared" si="18"/>
        <v>200866.78</v>
      </c>
      <c r="AP60" s="3803">
        <v>5.5</v>
      </c>
      <c r="AQ60" s="3804">
        <v>21318.38</v>
      </c>
      <c r="AR60" s="3806">
        <f t="shared" si="141"/>
        <v>58.599999999999994</v>
      </c>
      <c r="AS60" s="1522">
        <f t="shared" si="20"/>
        <v>222185.16</v>
      </c>
      <c r="AT60" s="3803">
        <v>7.2</v>
      </c>
      <c r="AU60" s="3804">
        <v>27361.57</v>
      </c>
      <c r="AV60" s="3806">
        <f t="shared" si="142"/>
        <v>65.8</v>
      </c>
      <c r="AW60" s="1522">
        <f t="shared" si="22"/>
        <v>249546.72999999998</v>
      </c>
      <c r="AX60" s="3803">
        <v>5.5</v>
      </c>
      <c r="AY60" s="3804">
        <v>21284.87</v>
      </c>
      <c r="AZ60" s="3807">
        <f t="shared" si="143"/>
        <v>18.2</v>
      </c>
      <c r="BA60" s="4527">
        <f t="shared" si="24"/>
        <v>69964.819999999992</v>
      </c>
      <c r="BB60" s="3808">
        <f t="shared" si="144"/>
        <v>34</v>
      </c>
      <c r="BC60" s="4469">
        <f t="shared" si="26"/>
        <v>129948.40999999999</v>
      </c>
      <c r="BD60" s="1463">
        <f t="shared" si="145"/>
        <v>71.3</v>
      </c>
      <c r="BE60" s="1522">
        <f t="shared" si="28"/>
        <v>270831.59999999998</v>
      </c>
      <c r="BF60" s="1202"/>
      <c r="BG60" s="1202"/>
      <c r="BH60" s="528"/>
      <c r="BI60" s="528"/>
      <c r="BJ60" s="528"/>
      <c r="BQ60" s="528"/>
      <c r="BR60" s="528"/>
      <c r="BS60" s="528"/>
      <c r="BT60" s="528"/>
      <c r="BU60" s="528"/>
      <c r="BV60" s="528"/>
      <c r="BW60" s="528"/>
      <c r="BX60" s="528"/>
      <c r="BY60" s="528"/>
      <c r="BZ60" s="528"/>
      <c r="CA60" s="528"/>
      <c r="CB60" s="528"/>
    </row>
    <row r="61" spans="2:80" s="1336" customFormat="1" ht="21.9" customHeight="1" thickBot="1" x14ac:dyDescent="0.35">
      <c r="B61" s="6142"/>
      <c r="C61" s="3802" t="s">
        <v>2077</v>
      </c>
      <c r="D61" s="3803"/>
      <c r="E61" s="3804"/>
      <c r="F61" s="3803"/>
      <c r="G61" s="3804"/>
      <c r="H61" s="1463"/>
      <c r="I61" s="1464">
        <f t="shared" si="1"/>
        <v>0</v>
      </c>
      <c r="J61" s="3803"/>
      <c r="K61" s="3804"/>
      <c r="L61" s="3805"/>
      <c r="M61" s="4526">
        <f t="shared" si="2"/>
        <v>0</v>
      </c>
      <c r="N61" s="3803">
        <v>1</v>
      </c>
      <c r="O61" s="3804">
        <v>3959.9</v>
      </c>
      <c r="P61" s="1522">
        <f t="shared" ref="P61" si="146">L61+N61</f>
        <v>1</v>
      </c>
      <c r="Q61" s="1522">
        <f t="shared" si="4"/>
        <v>3959.9</v>
      </c>
      <c r="R61" s="3803">
        <v>2</v>
      </c>
      <c r="S61" s="3804">
        <v>7316</v>
      </c>
      <c r="T61" s="1522">
        <f t="shared" si="5"/>
        <v>3</v>
      </c>
      <c r="U61" s="1522">
        <f t="shared" si="6"/>
        <v>11275.9</v>
      </c>
      <c r="V61" s="3803">
        <v>0</v>
      </c>
      <c r="W61" s="3804">
        <v>0</v>
      </c>
      <c r="X61" s="3807">
        <f t="shared" si="7"/>
        <v>3</v>
      </c>
      <c r="Y61" s="4527">
        <f t="shared" si="8"/>
        <v>11275.9</v>
      </c>
      <c r="Z61" s="3808">
        <f t="shared" ref="Z61:Z69" si="147">L61+X61</f>
        <v>3</v>
      </c>
      <c r="AA61" s="4469">
        <f t="shared" si="10"/>
        <v>11275.9</v>
      </c>
      <c r="AB61" s="3803">
        <v>0</v>
      </c>
      <c r="AC61" s="3804">
        <v>0</v>
      </c>
      <c r="AD61" s="5091">
        <f t="shared" si="11"/>
        <v>3</v>
      </c>
      <c r="AE61" s="5021">
        <f t="shared" si="12"/>
        <v>11275.9</v>
      </c>
      <c r="AF61" s="1441">
        <v>0</v>
      </c>
      <c r="AG61" s="3804">
        <v>0</v>
      </c>
      <c r="AH61" s="3806"/>
      <c r="AI61" s="1522">
        <f t="shared" si="14"/>
        <v>11275.9</v>
      </c>
      <c r="AJ61" s="3803"/>
      <c r="AK61" s="3804">
        <v>0</v>
      </c>
      <c r="AL61" s="3807"/>
      <c r="AM61" s="4526">
        <f t="shared" si="16"/>
        <v>0</v>
      </c>
      <c r="AN61" s="3806"/>
      <c r="AO61" s="1522">
        <f t="shared" si="18"/>
        <v>11275.9</v>
      </c>
      <c r="AP61" s="3803">
        <v>0</v>
      </c>
      <c r="AQ61" s="3804">
        <v>0</v>
      </c>
      <c r="AR61" s="3806"/>
      <c r="AS61" s="1522">
        <f t="shared" si="20"/>
        <v>11275.9</v>
      </c>
      <c r="AT61" s="3803">
        <v>0</v>
      </c>
      <c r="AU61" s="3804">
        <v>0</v>
      </c>
      <c r="AV61" s="3806"/>
      <c r="AW61" s="1522">
        <f t="shared" si="22"/>
        <v>11275.9</v>
      </c>
      <c r="AX61" s="3803">
        <v>0</v>
      </c>
      <c r="AY61" s="3804">
        <v>0</v>
      </c>
      <c r="AZ61" s="3807"/>
      <c r="BA61" s="4527">
        <f t="shared" si="24"/>
        <v>0</v>
      </c>
      <c r="BB61" s="3808"/>
      <c r="BC61" s="4469">
        <f t="shared" si="26"/>
        <v>0</v>
      </c>
      <c r="BD61" s="1463"/>
      <c r="BE61" s="1522">
        <f t="shared" si="28"/>
        <v>11275.9</v>
      </c>
      <c r="BF61" s="1202"/>
      <c r="BG61" s="1202"/>
      <c r="BH61" s="528"/>
      <c r="BI61" s="528"/>
      <c r="BJ61" s="528"/>
      <c r="BQ61" s="528"/>
      <c r="BR61" s="528"/>
      <c r="BS61" s="528"/>
      <c r="BT61" s="528"/>
      <c r="BU61" s="528"/>
      <c r="BV61" s="528"/>
      <c r="BW61" s="528"/>
      <c r="BX61" s="528"/>
      <c r="BY61" s="528"/>
      <c r="BZ61" s="528"/>
      <c r="CA61" s="528"/>
      <c r="CB61" s="528"/>
    </row>
    <row r="62" spans="2:80" s="1336" customFormat="1" ht="21.9" customHeight="1" thickBot="1" x14ac:dyDescent="0.35">
      <c r="B62" s="6143"/>
      <c r="C62" s="4559" t="s">
        <v>1226</v>
      </c>
      <c r="D62" s="4465">
        <v>2</v>
      </c>
      <c r="E62" s="4467">
        <v>7732</v>
      </c>
      <c r="F62" s="4465">
        <v>1.4</v>
      </c>
      <c r="G62" s="4467">
        <v>5659</v>
      </c>
      <c r="H62" s="1463">
        <f t="shared" si="0"/>
        <v>3.4</v>
      </c>
      <c r="I62" s="1464">
        <f t="shared" si="1"/>
        <v>13391</v>
      </c>
      <c r="J62" s="4465">
        <v>1.2</v>
      </c>
      <c r="K62" s="4467">
        <v>4510</v>
      </c>
      <c r="L62" s="4468">
        <f t="shared" si="29"/>
        <v>4.5999999999999996</v>
      </c>
      <c r="M62" s="4526">
        <f t="shared" si="2"/>
        <v>17901</v>
      </c>
      <c r="N62" s="4465">
        <v>1</v>
      </c>
      <c r="O62" s="4467">
        <v>3313.04</v>
      </c>
      <c r="P62" s="1522">
        <f t="shared" si="53"/>
        <v>5.6</v>
      </c>
      <c r="Q62" s="1522">
        <f t="shared" si="4"/>
        <v>21214.04</v>
      </c>
      <c r="R62" s="4465">
        <v>1</v>
      </c>
      <c r="S62" s="4467">
        <v>3787</v>
      </c>
      <c r="T62" s="1522">
        <f t="shared" si="5"/>
        <v>6.6</v>
      </c>
      <c r="U62" s="1522">
        <f t="shared" si="6"/>
        <v>25001.040000000001</v>
      </c>
      <c r="V62" s="4465">
        <v>1</v>
      </c>
      <c r="W62" s="4467">
        <v>3992.12</v>
      </c>
      <c r="X62" s="4471">
        <f t="shared" si="7"/>
        <v>3</v>
      </c>
      <c r="Y62" s="4527">
        <f t="shared" si="8"/>
        <v>11092.16</v>
      </c>
      <c r="Z62" s="3808">
        <f t="shared" si="147"/>
        <v>7.6</v>
      </c>
      <c r="AA62" s="4469">
        <f t="shared" si="10"/>
        <v>28993.16</v>
      </c>
      <c r="AB62" s="4465">
        <v>0</v>
      </c>
      <c r="AC62" s="4467">
        <v>0</v>
      </c>
      <c r="AD62" s="5082">
        <f t="shared" si="11"/>
        <v>7.6</v>
      </c>
      <c r="AE62" s="5021">
        <f t="shared" si="12"/>
        <v>28993.16</v>
      </c>
      <c r="AF62" s="5074">
        <v>0.5</v>
      </c>
      <c r="AG62" s="4467">
        <v>2095.94</v>
      </c>
      <c r="AH62" s="1463">
        <f t="shared" si="139"/>
        <v>8.1</v>
      </c>
      <c r="AI62" s="1522">
        <f t="shared" si="14"/>
        <v>31089.1</v>
      </c>
      <c r="AJ62" s="4465">
        <v>2</v>
      </c>
      <c r="AK62" s="4467">
        <v>0</v>
      </c>
      <c r="AL62" s="4471">
        <f t="shared" si="140"/>
        <v>2.5</v>
      </c>
      <c r="AM62" s="4526">
        <f t="shared" si="16"/>
        <v>2095.94</v>
      </c>
      <c r="AN62" s="1463">
        <f t="shared" si="134"/>
        <v>10.1</v>
      </c>
      <c r="AO62" s="1522">
        <f t="shared" si="18"/>
        <v>31089.1</v>
      </c>
      <c r="AP62" s="4465">
        <v>0</v>
      </c>
      <c r="AQ62" s="4467">
        <v>0</v>
      </c>
      <c r="AR62" s="1463">
        <f t="shared" si="141"/>
        <v>10.1</v>
      </c>
      <c r="AS62" s="1522">
        <f t="shared" si="20"/>
        <v>31089.1</v>
      </c>
      <c r="AT62" s="4465">
        <v>0</v>
      </c>
      <c r="AU62" s="4467">
        <v>0</v>
      </c>
      <c r="AV62" s="1463">
        <f t="shared" si="142"/>
        <v>10.1</v>
      </c>
      <c r="AW62" s="1522">
        <f t="shared" si="22"/>
        <v>31089.1</v>
      </c>
      <c r="AX62" s="4465">
        <v>1</v>
      </c>
      <c r="AY62" s="4467">
        <v>3909.97</v>
      </c>
      <c r="AZ62" s="4471">
        <f t="shared" si="143"/>
        <v>1</v>
      </c>
      <c r="BA62" s="4527">
        <f t="shared" si="24"/>
        <v>3909.97</v>
      </c>
      <c r="BB62" s="4472">
        <f t="shared" si="144"/>
        <v>3.5</v>
      </c>
      <c r="BC62" s="4469">
        <f t="shared" si="26"/>
        <v>6005.91</v>
      </c>
      <c r="BD62" s="1463">
        <f t="shared" si="145"/>
        <v>11.1</v>
      </c>
      <c r="BE62" s="1522">
        <f t="shared" si="28"/>
        <v>34999.07</v>
      </c>
      <c r="BF62" s="1202"/>
      <c r="BG62" s="1202"/>
      <c r="BH62" s="528"/>
      <c r="BI62" s="528"/>
      <c r="BJ62" s="528"/>
      <c r="BQ62" s="528"/>
      <c r="BR62" s="528"/>
      <c r="BS62" s="528"/>
      <c r="BT62" s="528"/>
      <c r="BU62" s="528"/>
      <c r="BV62" s="528"/>
      <c r="BW62" s="528"/>
      <c r="BX62" s="528"/>
      <c r="BY62" s="528"/>
      <c r="BZ62" s="528"/>
      <c r="CA62" s="528"/>
      <c r="CB62" s="528"/>
    </row>
    <row r="63" spans="2:80" s="1336" customFormat="1" ht="21.9" customHeight="1" thickBot="1" x14ac:dyDescent="0.35">
      <c r="B63" s="6143"/>
      <c r="C63" s="4559" t="s">
        <v>1227</v>
      </c>
      <c r="D63" s="4465">
        <v>0</v>
      </c>
      <c r="E63" s="4467">
        <v>0</v>
      </c>
      <c r="F63" s="4465">
        <v>0</v>
      </c>
      <c r="G63" s="4467">
        <v>0</v>
      </c>
      <c r="H63" s="1463">
        <f t="shared" si="0"/>
        <v>0</v>
      </c>
      <c r="I63" s="1464">
        <f t="shared" si="1"/>
        <v>0</v>
      </c>
      <c r="J63" s="4465">
        <v>1</v>
      </c>
      <c r="K63" s="4467">
        <v>3625</v>
      </c>
      <c r="L63" s="4468">
        <f t="shared" si="29"/>
        <v>1</v>
      </c>
      <c r="M63" s="4526">
        <f t="shared" si="2"/>
        <v>3625</v>
      </c>
      <c r="N63" s="4465">
        <v>1</v>
      </c>
      <c r="O63" s="4467">
        <v>3739.07</v>
      </c>
      <c r="P63" s="1522">
        <f t="shared" si="53"/>
        <v>2</v>
      </c>
      <c r="Q63" s="1522">
        <f t="shared" si="4"/>
        <v>7364.07</v>
      </c>
      <c r="R63" s="4465">
        <v>0</v>
      </c>
      <c r="S63" s="4467">
        <v>0</v>
      </c>
      <c r="T63" s="1522">
        <f t="shared" si="5"/>
        <v>2</v>
      </c>
      <c r="U63" s="1522">
        <f t="shared" si="6"/>
        <v>7364.07</v>
      </c>
      <c r="V63" s="4465"/>
      <c r="W63" s="4467">
        <v>67.2</v>
      </c>
      <c r="X63" s="4471">
        <f t="shared" si="7"/>
        <v>1</v>
      </c>
      <c r="Y63" s="4527">
        <f t="shared" si="8"/>
        <v>3806.27</v>
      </c>
      <c r="Z63" s="3808">
        <f t="shared" si="147"/>
        <v>2</v>
      </c>
      <c r="AA63" s="4469">
        <f t="shared" si="10"/>
        <v>7431.27</v>
      </c>
      <c r="AB63" s="4465">
        <v>2</v>
      </c>
      <c r="AC63" s="4467">
        <v>7686.42</v>
      </c>
      <c r="AD63" s="5082">
        <f t="shared" si="11"/>
        <v>4</v>
      </c>
      <c r="AE63" s="5021">
        <f t="shared" si="12"/>
        <v>15117.69</v>
      </c>
      <c r="AF63" s="5074">
        <v>2</v>
      </c>
      <c r="AG63" s="4467">
        <v>7748.16</v>
      </c>
      <c r="AH63" s="1463">
        <f t="shared" si="139"/>
        <v>6</v>
      </c>
      <c r="AI63" s="1522">
        <f t="shared" si="14"/>
        <v>22865.850000000002</v>
      </c>
      <c r="AJ63" s="4465">
        <v>0</v>
      </c>
      <c r="AK63" s="4467">
        <v>3998.8</v>
      </c>
      <c r="AL63" s="4471">
        <f t="shared" si="140"/>
        <v>4</v>
      </c>
      <c r="AM63" s="4526">
        <f t="shared" si="16"/>
        <v>19433.38</v>
      </c>
      <c r="AN63" s="1463">
        <f t="shared" si="134"/>
        <v>6</v>
      </c>
      <c r="AO63" s="1522">
        <f t="shared" si="18"/>
        <v>26864.649999999998</v>
      </c>
      <c r="AP63" s="4465">
        <v>2</v>
      </c>
      <c r="AQ63" s="4467">
        <v>7915.72</v>
      </c>
      <c r="AR63" s="1463">
        <f t="shared" si="141"/>
        <v>8</v>
      </c>
      <c r="AS63" s="1522">
        <f t="shared" si="20"/>
        <v>34780.369999999995</v>
      </c>
      <c r="AT63" s="4465">
        <v>1.5</v>
      </c>
      <c r="AU63" s="4467">
        <v>5500.59</v>
      </c>
      <c r="AV63" s="1463">
        <f t="shared" si="142"/>
        <v>9.5</v>
      </c>
      <c r="AW63" s="1522">
        <f t="shared" si="22"/>
        <v>40280.959999999999</v>
      </c>
      <c r="AX63" s="4465">
        <v>1</v>
      </c>
      <c r="AY63" s="4467">
        <v>3797.69</v>
      </c>
      <c r="AZ63" s="4471">
        <f t="shared" si="143"/>
        <v>4.5</v>
      </c>
      <c r="BA63" s="4527">
        <f t="shared" si="24"/>
        <v>17214</v>
      </c>
      <c r="BB63" s="4472">
        <f t="shared" si="144"/>
        <v>8.5</v>
      </c>
      <c r="BC63" s="4469">
        <f t="shared" si="26"/>
        <v>36647.380000000005</v>
      </c>
      <c r="BD63" s="1463">
        <f t="shared" si="145"/>
        <v>10.5</v>
      </c>
      <c r="BE63" s="1522">
        <f t="shared" si="28"/>
        <v>44078.650000000009</v>
      </c>
      <c r="BF63" s="1202"/>
      <c r="BG63" s="1202"/>
      <c r="BH63" s="528"/>
      <c r="BI63" s="528"/>
      <c r="BJ63" s="528"/>
      <c r="BQ63" s="528"/>
      <c r="BR63" s="528"/>
      <c r="BS63" s="528"/>
      <c r="BT63" s="528"/>
      <c r="BU63" s="528"/>
      <c r="BV63" s="528"/>
      <c r="BW63" s="528"/>
      <c r="BX63" s="528"/>
      <c r="BY63" s="528"/>
      <c r="BZ63" s="528"/>
      <c r="CA63" s="528"/>
      <c r="CB63" s="528"/>
    </row>
    <row r="64" spans="2:80" s="1336" customFormat="1" ht="21.9" customHeight="1" thickBot="1" x14ac:dyDescent="0.35">
      <c r="B64" s="6143"/>
      <c r="C64" s="4559" t="s">
        <v>1272</v>
      </c>
      <c r="D64" s="4465">
        <v>0</v>
      </c>
      <c r="E64" s="4467">
        <v>0</v>
      </c>
      <c r="F64" s="4465"/>
      <c r="G64" s="4467"/>
      <c r="H64" s="1463">
        <f t="shared" si="0"/>
        <v>0</v>
      </c>
      <c r="I64" s="1464">
        <f t="shared" si="1"/>
        <v>0</v>
      </c>
      <c r="J64" s="4465"/>
      <c r="K64" s="4467"/>
      <c r="L64" s="4468">
        <f t="shared" si="29"/>
        <v>0</v>
      </c>
      <c r="M64" s="4526">
        <f t="shared" si="2"/>
        <v>0</v>
      </c>
      <c r="N64" s="4465">
        <v>0</v>
      </c>
      <c r="O64" s="4467">
        <v>0</v>
      </c>
      <c r="P64" s="1522">
        <f t="shared" si="53"/>
        <v>0</v>
      </c>
      <c r="Q64" s="1522">
        <f t="shared" si="4"/>
        <v>0</v>
      </c>
      <c r="R64" s="4465">
        <v>0</v>
      </c>
      <c r="S64" s="4467">
        <v>0</v>
      </c>
      <c r="T64" s="1522">
        <f t="shared" si="5"/>
        <v>0</v>
      </c>
      <c r="U64" s="1522">
        <f t="shared" si="6"/>
        <v>0</v>
      </c>
      <c r="V64" s="4465">
        <v>0</v>
      </c>
      <c r="W64" s="4467">
        <v>0</v>
      </c>
      <c r="X64" s="4471">
        <f t="shared" si="7"/>
        <v>0</v>
      </c>
      <c r="Y64" s="4527">
        <f t="shared" si="8"/>
        <v>0</v>
      </c>
      <c r="Z64" s="3808">
        <f t="shared" si="147"/>
        <v>0</v>
      </c>
      <c r="AA64" s="4469">
        <f t="shared" si="10"/>
        <v>0</v>
      </c>
      <c r="AB64" s="4465">
        <v>0</v>
      </c>
      <c r="AC64" s="4467">
        <v>0</v>
      </c>
      <c r="AD64" s="5082">
        <f t="shared" si="11"/>
        <v>0</v>
      </c>
      <c r="AE64" s="5021">
        <f t="shared" si="12"/>
        <v>0</v>
      </c>
      <c r="AF64" s="5074">
        <v>0</v>
      </c>
      <c r="AG64" s="4467">
        <v>0</v>
      </c>
      <c r="AH64" s="1463">
        <f t="shared" si="139"/>
        <v>0</v>
      </c>
      <c r="AI64" s="1522">
        <f t="shared" si="14"/>
        <v>0</v>
      </c>
      <c r="AJ64" s="4465">
        <v>0</v>
      </c>
      <c r="AK64" s="4467">
        <v>0</v>
      </c>
      <c r="AL64" s="4471">
        <f t="shared" si="140"/>
        <v>0</v>
      </c>
      <c r="AM64" s="4526">
        <f t="shared" si="16"/>
        <v>0</v>
      </c>
      <c r="AN64" s="1463">
        <f t="shared" ref="AN64:AN75" si="148">AH64+AJ64</f>
        <v>0</v>
      </c>
      <c r="AO64" s="1522">
        <f t="shared" si="18"/>
        <v>0</v>
      </c>
      <c r="AP64" s="4465">
        <v>0</v>
      </c>
      <c r="AQ64" s="4467">
        <v>0</v>
      </c>
      <c r="AR64" s="1463">
        <f t="shared" si="141"/>
        <v>0</v>
      </c>
      <c r="AS64" s="1522">
        <f t="shared" si="20"/>
        <v>0</v>
      </c>
      <c r="AT64" s="4465">
        <v>0</v>
      </c>
      <c r="AU64" s="4467">
        <v>0</v>
      </c>
      <c r="AV64" s="1463">
        <f t="shared" si="142"/>
        <v>0</v>
      </c>
      <c r="AW64" s="1522">
        <f t="shared" si="22"/>
        <v>0</v>
      </c>
      <c r="AX64" s="4465">
        <v>0</v>
      </c>
      <c r="AY64" s="4467">
        <v>0</v>
      </c>
      <c r="AZ64" s="4471">
        <f t="shared" si="143"/>
        <v>0</v>
      </c>
      <c r="BA64" s="4527">
        <f t="shared" si="24"/>
        <v>0</v>
      </c>
      <c r="BB64" s="4472">
        <f t="shared" si="144"/>
        <v>0</v>
      </c>
      <c r="BC64" s="4469">
        <f t="shared" si="26"/>
        <v>0</v>
      </c>
      <c r="BD64" s="1463">
        <f t="shared" si="145"/>
        <v>0</v>
      </c>
      <c r="BE64" s="1522">
        <f t="shared" si="28"/>
        <v>0</v>
      </c>
      <c r="BF64" s="1202"/>
      <c r="BG64" s="1202"/>
      <c r="BH64" s="528"/>
      <c r="BI64" s="528"/>
      <c r="BJ64" s="528"/>
      <c r="BQ64" s="528"/>
      <c r="BR64" s="528"/>
      <c r="BS64" s="528"/>
      <c r="BT64" s="528"/>
      <c r="BU64" s="528"/>
      <c r="BV64" s="528"/>
      <c r="BW64" s="528"/>
      <c r="BX64" s="528"/>
      <c r="BY64" s="528"/>
      <c r="BZ64" s="528"/>
      <c r="CA64" s="528"/>
      <c r="CB64" s="528"/>
    </row>
    <row r="65" spans="2:80" s="1336" customFormat="1" ht="21.9" customHeight="1" thickBot="1" x14ac:dyDescent="0.35">
      <c r="B65" s="6143"/>
      <c r="C65" s="4559" t="s">
        <v>1228</v>
      </c>
      <c r="D65" s="4465">
        <v>1.5</v>
      </c>
      <c r="E65" s="4467">
        <v>5744</v>
      </c>
      <c r="F65" s="4465">
        <v>2</v>
      </c>
      <c r="G65" s="4467">
        <v>7436</v>
      </c>
      <c r="H65" s="1463">
        <f t="shared" si="0"/>
        <v>3.5</v>
      </c>
      <c r="I65" s="1464">
        <f t="shared" si="1"/>
        <v>13180</v>
      </c>
      <c r="J65" s="4465">
        <v>1.5</v>
      </c>
      <c r="K65" s="4467">
        <v>5747</v>
      </c>
      <c r="L65" s="4468">
        <f t="shared" si="29"/>
        <v>5</v>
      </c>
      <c r="M65" s="4526">
        <f t="shared" si="2"/>
        <v>18927</v>
      </c>
      <c r="N65" s="4465">
        <v>0.5</v>
      </c>
      <c r="O65" s="4467">
        <v>1959.58</v>
      </c>
      <c r="P65" s="1522">
        <f t="shared" si="53"/>
        <v>5.5</v>
      </c>
      <c r="Q65" s="1522">
        <f t="shared" si="4"/>
        <v>20886.580000000002</v>
      </c>
      <c r="R65" s="4465">
        <v>1</v>
      </c>
      <c r="S65" s="4467">
        <v>3837</v>
      </c>
      <c r="T65" s="1522">
        <f t="shared" si="5"/>
        <v>6.5</v>
      </c>
      <c r="U65" s="1522">
        <f t="shared" si="6"/>
        <v>24723.58</v>
      </c>
      <c r="V65" s="4465">
        <v>1</v>
      </c>
      <c r="W65" s="4467">
        <v>3646.95</v>
      </c>
      <c r="X65" s="4471">
        <f t="shared" si="7"/>
        <v>2.5</v>
      </c>
      <c r="Y65" s="4527">
        <f t="shared" si="8"/>
        <v>9443.5299999999988</v>
      </c>
      <c r="Z65" s="3808">
        <f t="shared" si="147"/>
        <v>7.5</v>
      </c>
      <c r="AA65" s="4469">
        <f t="shared" si="10"/>
        <v>28370.53</v>
      </c>
      <c r="AB65" s="4465">
        <v>1.5</v>
      </c>
      <c r="AC65" s="4467">
        <v>5647.02</v>
      </c>
      <c r="AD65" s="5082">
        <f t="shared" si="11"/>
        <v>9</v>
      </c>
      <c r="AE65" s="5021">
        <f t="shared" si="12"/>
        <v>34017.550000000003</v>
      </c>
      <c r="AF65" s="5074">
        <v>1</v>
      </c>
      <c r="AG65" s="4467">
        <v>3919.79</v>
      </c>
      <c r="AH65" s="1463">
        <f t="shared" si="139"/>
        <v>10</v>
      </c>
      <c r="AI65" s="1522">
        <f t="shared" si="14"/>
        <v>37937.340000000004</v>
      </c>
      <c r="AJ65" s="4465">
        <v>1</v>
      </c>
      <c r="AK65" s="4467">
        <v>7977.24</v>
      </c>
      <c r="AL65" s="4471">
        <f t="shared" si="140"/>
        <v>3.5</v>
      </c>
      <c r="AM65" s="4526">
        <f t="shared" si="16"/>
        <v>17544.050000000003</v>
      </c>
      <c r="AN65" s="1463">
        <f t="shared" si="148"/>
        <v>11</v>
      </c>
      <c r="AO65" s="1522">
        <f t="shared" si="18"/>
        <v>45914.58</v>
      </c>
      <c r="AP65" s="4465">
        <v>1</v>
      </c>
      <c r="AQ65" s="4467">
        <v>3951.48</v>
      </c>
      <c r="AR65" s="1463">
        <f t="shared" si="141"/>
        <v>12</v>
      </c>
      <c r="AS65" s="1522">
        <f t="shared" si="20"/>
        <v>49866.06</v>
      </c>
      <c r="AT65" s="4465">
        <v>1</v>
      </c>
      <c r="AU65" s="4467">
        <v>3747.44</v>
      </c>
      <c r="AV65" s="1463">
        <f t="shared" si="142"/>
        <v>13</v>
      </c>
      <c r="AW65" s="1522">
        <f t="shared" si="22"/>
        <v>53613.5</v>
      </c>
      <c r="AX65" s="4465">
        <v>2</v>
      </c>
      <c r="AY65" s="4467">
        <v>7697.98</v>
      </c>
      <c r="AZ65" s="4471">
        <f t="shared" si="143"/>
        <v>4</v>
      </c>
      <c r="BA65" s="4527">
        <f t="shared" si="24"/>
        <v>15396.9</v>
      </c>
      <c r="BB65" s="4472">
        <f t="shared" si="144"/>
        <v>7.5</v>
      </c>
      <c r="BC65" s="4469">
        <f t="shared" si="26"/>
        <v>32940.950000000004</v>
      </c>
      <c r="BD65" s="1463">
        <f t="shared" si="145"/>
        <v>15</v>
      </c>
      <c r="BE65" s="1522">
        <f t="shared" si="28"/>
        <v>61311.48</v>
      </c>
      <c r="BF65" s="1202"/>
      <c r="BG65" s="1202"/>
      <c r="BH65" s="528"/>
      <c r="BI65" s="528"/>
      <c r="BJ65" s="528"/>
      <c r="BQ65" s="528"/>
      <c r="BR65" s="528"/>
      <c r="BS65" s="528"/>
      <c r="BT65" s="528"/>
      <c r="BU65" s="528"/>
      <c r="BV65" s="528"/>
      <c r="BW65" s="528"/>
      <c r="BX65" s="528"/>
      <c r="BY65" s="528"/>
      <c r="BZ65" s="528"/>
      <c r="CA65" s="528"/>
      <c r="CB65" s="528"/>
    </row>
    <row r="66" spans="2:80" s="1336" customFormat="1" ht="21.9" customHeight="1" thickBot="1" x14ac:dyDescent="0.35">
      <c r="B66" s="6143"/>
      <c r="C66" s="4560" t="s">
        <v>1229</v>
      </c>
      <c r="D66" s="4465">
        <v>4</v>
      </c>
      <c r="E66" s="4467">
        <v>14168</v>
      </c>
      <c r="F66" s="4465">
        <v>4</v>
      </c>
      <c r="G66" s="4467">
        <v>15561</v>
      </c>
      <c r="H66" s="1463">
        <f t="shared" si="0"/>
        <v>8</v>
      </c>
      <c r="I66" s="1464">
        <f t="shared" si="1"/>
        <v>29729</v>
      </c>
      <c r="J66" s="4465">
        <v>3.5</v>
      </c>
      <c r="K66" s="4467">
        <v>13444</v>
      </c>
      <c r="L66" s="4468">
        <f t="shared" si="29"/>
        <v>11.5</v>
      </c>
      <c r="M66" s="4526">
        <f t="shared" si="2"/>
        <v>43173</v>
      </c>
      <c r="N66" s="4465">
        <v>2.7</v>
      </c>
      <c r="O66" s="4467">
        <v>10099.59</v>
      </c>
      <c r="P66" s="1522">
        <f t="shared" si="53"/>
        <v>14.2</v>
      </c>
      <c r="Q66" s="1522">
        <f t="shared" si="4"/>
        <v>53272.59</v>
      </c>
      <c r="R66" s="4465">
        <v>3</v>
      </c>
      <c r="S66" s="4467">
        <v>11501</v>
      </c>
      <c r="T66" s="1522">
        <f t="shared" si="5"/>
        <v>17.2</v>
      </c>
      <c r="U66" s="1522">
        <f t="shared" si="6"/>
        <v>64773.59</v>
      </c>
      <c r="V66" s="4465">
        <v>3</v>
      </c>
      <c r="W66" s="4467">
        <v>11708.05</v>
      </c>
      <c r="X66" s="4471">
        <f t="shared" si="7"/>
        <v>8.6999999999999993</v>
      </c>
      <c r="Y66" s="4527">
        <f t="shared" si="8"/>
        <v>33308.639999999999</v>
      </c>
      <c r="Z66" s="3808">
        <f t="shared" si="147"/>
        <v>20.2</v>
      </c>
      <c r="AA66" s="4469">
        <f t="shared" si="10"/>
        <v>76481.64</v>
      </c>
      <c r="AB66" s="4465">
        <v>3</v>
      </c>
      <c r="AC66" s="4467">
        <v>11400.75</v>
      </c>
      <c r="AD66" s="5082">
        <f t="shared" si="11"/>
        <v>23.2</v>
      </c>
      <c r="AE66" s="5021">
        <f t="shared" si="12"/>
        <v>87882.39</v>
      </c>
      <c r="AF66" s="5074">
        <v>3</v>
      </c>
      <c r="AG66" s="4467">
        <v>11799.42</v>
      </c>
      <c r="AH66" s="1463">
        <f t="shared" si="139"/>
        <v>26.2</v>
      </c>
      <c r="AI66" s="1522">
        <f t="shared" si="14"/>
        <v>99681.81</v>
      </c>
      <c r="AJ66" s="4465">
        <v>2.5</v>
      </c>
      <c r="AK66" s="4467">
        <v>11473.88</v>
      </c>
      <c r="AL66" s="4471">
        <f t="shared" si="140"/>
        <v>8.5</v>
      </c>
      <c r="AM66" s="4526">
        <f t="shared" si="16"/>
        <v>34674.049999999996</v>
      </c>
      <c r="AN66" s="1463">
        <f t="shared" si="148"/>
        <v>28.7</v>
      </c>
      <c r="AO66" s="1522">
        <f t="shared" si="18"/>
        <v>111155.69</v>
      </c>
      <c r="AP66" s="4465">
        <v>2.5</v>
      </c>
      <c r="AQ66" s="4467">
        <v>9850.5499999999993</v>
      </c>
      <c r="AR66" s="1463">
        <f t="shared" si="141"/>
        <v>31.2</v>
      </c>
      <c r="AS66" s="1522">
        <f t="shared" si="20"/>
        <v>121006.23999999999</v>
      </c>
      <c r="AT66" s="4465">
        <v>2</v>
      </c>
      <c r="AU66" s="4467">
        <v>7800.49</v>
      </c>
      <c r="AV66" s="1463">
        <f t="shared" si="142"/>
        <v>33.200000000000003</v>
      </c>
      <c r="AW66" s="1522">
        <f t="shared" si="22"/>
        <v>128806.73</v>
      </c>
      <c r="AX66" s="4465">
        <v>2</v>
      </c>
      <c r="AY66" s="4467">
        <v>7712.18</v>
      </c>
      <c r="AZ66" s="4471">
        <f t="shared" si="143"/>
        <v>6.5</v>
      </c>
      <c r="BA66" s="4527">
        <f t="shared" si="24"/>
        <v>25363.22</v>
      </c>
      <c r="BB66" s="4472">
        <f t="shared" si="144"/>
        <v>15</v>
      </c>
      <c r="BC66" s="4469">
        <f t="shared" si="26"/>
        <v>60037.27</v>
      </c>
      <c r="BD66" s="1463">
        <f t="shared" si="145"/>
        <v>35.200000000000003</v>
      </c>
      <c r="BE66" s="1522">
        <f t="shared" si="28"/>
        <v>136518.91</v>
      </c>
      <c r="BF66" s="1202"/>
      <c r="BG66" s="1202"/>
      <c r="BH66" s="528"/>
      <c r="BI66" s="528"/>
      <c r="BJ66" s="528"/>
      <c r="BQ66" s="528"/>
      <c r="BR66" s="528"/>
      <c r="BS66" s="528"/>
      <c r="BT66" s="528"/>
      <c r="BU66" s="528"/>
      <c r="BV66" s="528"/>
      <c r="BW66" s="528"/>
      <c r="BX66" s="528"/>
      <c r="BY66" s="528"/>
      <c r="BZ66" s="528"/>
      <c r="CA66" s="528"/>
      <c r="CB66" s="528"/>
    </row>
    <row r="67" spans="2:80" s="1336" customFormat="1" ht="21.9" customHeight="1" thickBot="1" x14ac:dyDescent="0.35">
      <c r="B67" s="6143"/>
      <c r="C67" s="4560" t="s">
        <v>1230</v>
      </c>
      <c r="D67" s="4465">
        <v>0</v>
      </c>
      <c r="E67" s="4467">
        <v>0</v>
      </c>
      <c r="F67" s="4465"/>
      <c r="G67" s="4467"/>
      <c r="H67" s="1463">
        <f t="shared" si="0"/>
        <v>0</v>
      </c>
      <c r="I67" s="1464">
        <f t="shared" si="1"/>
        <v>0</v>
      </c>
      <c r="J67" s="4465"/>
      <c r="K67" s="4467"/>
      <c r="L67" s="4468">
        <f t="shared" si="29"/>
        <v>0</v>
      </c>
      <c r="M67" s="4526">
        <f t="shared" si="2"/>
        <v>0</v>
      </c>
      <c r="N67" s="4465">
        <v>0.4</v>
      </c>
      <c r="O67" s="4467">
        <v>1487.75</v>
      </c>
      <c r="P67" s="1522">
        <f t="shared" si="53"/>
        <v>0.4</v>
      </c>
      <c r="Q67" s="1522">
        <f t="shared" si="4"/>
        <v>1487.75</v>
      </c>
      <c r="R67" s="4465">
        <v>1</v>
      </c>
      <c r="S67" s="4467">
        <v>3983</v>
      </c>
      <c r="T67" s="1522">
        <f t="shared" si="5"/>
        <v>1.4</v>
      </c>
      <c r="U67" s="1522">
        <f t="shared" si="6"/>
        <v>5470.75</v>
      </c>
      <c r="V67" s="4465">
        <v>0</v>
      </c>
      <c r="W67" s="4467">
        <v>0</v>
      </c>
      <c r="X67" s="4471">
        <f t="shared" si="7"/>
        <v>1.4</v>
      </c>
      <c r="Y67" s="4527">
        <f t="shared" si="8"/>
        <v>5470.75</v>
      </c>
      <c r="Z67" s="3808">
        <f t="shared" si="147"/>
        <v>1.4</v>
      </c>
      <c r="AA67" s="4469">
        <f t="shared" si="10"/>
        <v>5470.75</v>
      </c>
      <c r="AB67" s="4465">
        <v>0</v>
      </c>
      <c r="AC67" s="4467">
        <v>0</v>
      </c>
      <c r="AD67" s="5082">
        <f t="shared" si="11"/>
        <v>1.4</v>
      </c>
      <c r="AE67" s="5021">
        <f t="shared" si="12"/>
        <v>5470.75</v>
      </c>
      <c r="AF67" s="5074">
        <v>0</v>
      </c>
      <c r="AG67" s="4467">
        <v>0</v>
      </c>
      <c r="AH67" s="1463">
        <f t="shared" si="139"/>
        <v>1.4</v>
      </c>
      <c r="AI67" s="1522">
        <f t="shared" si="14"/>
        <v>5470.75</v>
      </c>
      <c r="AJ67" s="4465">
        <v>0</v>
      </c>
      <c r="AK67" s="4467">
        <v>0</v>
      </c>
      <c r="AL67" s="4471">
        <f t="shared" si="140"/>
        <v>0</v>
      </c>
      <c r="AM67" s="4526">
        <f t="shared" si="16"/>
        <v>0</v>
      </c>
      <c r="AN67" s="1463">
        <f t="shared" si="148"/>
        <v>1.4</v>
      </c>
      <c r="AO67" s="1522">
        <f t="shared" si="18"/>
        <v>5470.75</v>
      </c>
      <c r="AP67" s="4465">
        <v>0</v>
      </c>
      <c r="AQ67" s="4467">
        <v>0</v>
      </c>
      <c r="AR67" s="1463">
        <f t="shared" si="141"/>
        <v>1.4</v>
      </c>
      <c r="AS67" s="1522">
        <f t="shared" si="20"/>
        <v>5470.75</v>
      </c>
      <c r="AT67" s="4465">
        <v>0</v>
      </c>
      <c r="AU67" s="4467">
        <v>0</v>
      </c>
      <c r="AV67" s="1463">
        <f t="shared" si="142"/>
        <v>1.4</v>
      </c>
      <c r="AW67" s="1522">
        <f t="shared" si="22"/>
        <v>5470.75</v>
      </c>
      <c r="AX67" s="4465">
        <v>0</v>
      </c>
      <c r="AY67" s="4467">
        <v>0</v>
      </c>
      <c r="AZ67" s="4471">
        <f t="shared" si="143"/>
        <v>0</v>
      </c>
      <c r="BA67" s="4527">
        <f t="shared" si="24"/>
        <v>0</v>
      </c>
      <c r="BB67" s="4472">
        <f t="shared" si="144"/>
        <v>0</v>
      </c>
      <c r="BC67" s="4469">
        <f t="shared" si="26"/>
        <v>0</v>
      </c>
      <c r="BD67" s="1463">
        <f t="shared" si="145"/>
        <v>1.4</v>
      </c>
      <c r="BE67" s="1522">
        <f t="shared" si="28"/>
        <v>5470.75</v>
      </c>
      <c r="BF67" s="1202"/>
      <c r="BG67" s="1202"/>
      <c r="BH67" s="528"/>
      <c r="BI67" s="528"/>
      <c r="BJ67" s="528"/>
      <c r="BQ67" s="528"/>
      <c r="BR67" s="528"/>
      <c r="BS67" s="528"/>
      <c r="BT67" s="528"/>
      <c r="BU67" s="528"/>
      <c r="BV67" s="528"/>
      <c r="BW67" s="528"/>
      <c r="BX67" s="528"/>
      <c r="BY67" s="528"/>
      <c r="BZ67" s="528"/>
      <c r="CA67" s="528"/>
      <c r="CB67" s="528"/>
    </row>
    <row r="68" spans="2:80" s="1336" customFormat="1" ht="21.9" customHeight="1" thickBot="1" x14ac:dyDescent="0.35">
      <c r="B68" s="6143"/>
      <c r="C68" s="4560" t="s">
        <v>1346</v>
      </c>
      <c r="D68" s="4465">
        <v>0</v>
      </c>
      <c r="E68" s="4467">
        <v>0</v>
      </c>
      <c r="F68" s="4465">
        <v>0</v>
      </c>
      <c r="G68" s="4467">
        <v>0</v>
      </c>
      <c r="H68" s="1463">
        <f t="shared" si="0"/>
        <v>0</v>
      </c>
      <c r="I68" s="1464">
        <f t="shared" si="1"/>
        <v>0</v>
      </c>
      <c r="J68" s="4465">
        <v>1</v>
      </c>
      <c r="K68" s="4467">
        <v>3871</v>
      </c>
      <c r="L68" s="4468">
        <f t="shared" si="29"/>
        <v>1</v>
      </c>
      <c r="M68" s="4526">
        <f t="shared" si="2"/>
        <v>3871</v>
      </c>
      <c r="N68" s="4465">
        <v>0</v>
      </c>
      <c r="O68" s="4467">
        <v>0</v>
      </c>
      <c r="P68" s="1522">
        <f t="shared" si="53"/>
        <v>1</v>
      </c>
      <c r="Q68" s="1522">
        <f t="shared" si="4"/>
        <v>3871</v>
      </c>
      <c r="R68" s="4465">
        <v>0</v>
      </c>
      <c r="S68" s="4467">
        <v>0</v>
      </c>
      <c r="T68" s="1522">
        <f t="shared" si="5"/>
        <v>1</v>
      </c>
      <c r="U68" s="1522">
        <f t="shared" si="6"/>
        <v>3871</v>
      </c>
      <c r="V68" s="4465">
        <v>1</v>
      </c>
      <c r="W68" s="4467">
        <v>4044.42</v>
      </c>
      <c r="X68" s="4471">
        <f t="shared" si="7"/>
        <v>1</v>
      </c>
      <c r="Y68" s="4527">
        <f t="shared" si="8"/>
        <v>4044.42</v>
      </c>
      <c r="Z68" s="3808">
        <f t="shared" si="147"/>
        <v>2</v>
      </c>
      <c r="AA68" s="4469">
        <f t="shared" si="10"/>
        <v>7915.42</v>
      </c>
      <c r="AB68" s="4465">
        <v>2</v>
      </c>
      <c r="AC68" s="4467">
        <v>7694.52</v>
      </c>
      <c r="AD68" s="5082">
        <f t="shared" si="11"/>
        <v>4</v>
      </c>
      <c r="AE68" s="5021">
        <f t="shared" si="12"/>
        <v>15609.94</v>
      </c>
      <c r="AF68" s="5074">
        <v>1</v>
      </c>
      <c r="AG68" s="4467">
        <v>3950.91</v>
      </c>
      <c r="AH68" s="1463">
        <f t="shared" si="139"/>
        <v>5</v>
      </c>
      <c r="AI68" s="1522">
        <f t="shared" si="14"/>
        <v>19560.849999999999</v>
      </c>
      <c r="AJ68" s="4465">
        <v>0.5</v>
      </c>
      <c r="AK68" s="4467">
        <v>3822.69</v>
      </c>
      <c r="AL68" s="4471">
        <f t="shared" si="140"/>
        <v>3.5</v>
      </c>
      <c r="AM68" s="4526">
        <f t="shared" si="16"/>
        <v>15468.12</v>
      </c>
      <c r="AN68" s="1463">
        <f t="shared" si="148"/>
        <v>5.5</v>
      </c>
      <c r="AO68" s="1522">
        <f t="shared" si="18"/>
        <v>23383.54</v>
      </c>
      <c r="AP68" s="4465">
        <v>0</v>
      </c>
      <c r="AQ68" s="4467">
        <v>0</v>
      </c>
      <c r="AR68" s="1463">
        <f t="shared" si="141"/>
        <v>5.5</v>
      </c>
      <c r="AS68" s="1522">
        <f t="shared" si="20"/>
        <v>23383.54</v>
      </c>
      <c r="AT68" s="4465">
        <v>1.3</v>
      </c>
      <c r="AU68" s="4467">
        <v>5051.8900000000003</v>
      </c>
      <c r="AV68" s="1463">
        <f t="shared" si="142"/>
        <v>6.8</v>
      </c>
      <c r="AW68" s="1522">
        <f t="shared" si="22"/>
        <v>28435.43</v>
      </c>
      <c r="AX68" s="4465">
        <v>1.5</v>
      </c>
      <c r="AY68" s="4467">
        <v>5722.04</v>
      </c>
      <c r="AZ68" s="4471">
        <f t="shared" si="143"/>
        <v>2.8</v>
      </c>
      <c r="BA68" s="4527">
        <f t="shared" si="24"/>
        <v>10773.93</v>
      </c>
      <c r="BB68" s="4472">
        <f t="shared" si="144"/>
        <v>6.3</v>
      </c>
      <c r="BC68" s="4469">
        <f t="shared" si="26"/>
        <v>26242.050000000003</v>
      </c>
      <c r="BD68" s="1463">
        <f t="shared" si="145"/>
        <v>8.3000000000000007</v>
      </c>
      <c r="BE68" s="1522">
        <f t="shared" si="28"/>
        <v>34157.47</v>
      </c>
      <c r="BF68" s="1202"/>
      <c r="BG68" s="1202"/>
      <c r="BH68" s="528"/>
      <c r="BI68" s="528"/>
      <c r="BJ68" s="528"/>
      <c r="BQ68" s="528"/>
      <c r="BR68" s="528"/>
      <c r="BS68" s="528"/>
      <c r="BT68" s="528"/>
      <c r="BU68" s="528"/>
      <c r="BV68" s="528"/>
      <c r="BW68" s="528"/>
      <c r="BX68" s="528"/>
      <c r="BY68" s="528"/>
      <c r="BZ68" s="528"/>
      <c r="CA68" s="528"/>
      <c r="CB68" s="528"/>
    </row>
    <row r="69" spans="2:80" s="1336" customFormat="1" ht="21.9" customHeight="1" x14ac:dyDescent="0.3">
      <c r="B69" s="6143"/>
      <c r="C69" s="4560" t="s">
        <v>1231</v>
      </c>
      <c r="D69" s="4465">
        <v>0</v>
      </c>
      <c r="E69" s="4467">
        <v>0</v>
      </c>
      <c r="F69" s="4465">
        <v>0</v>
      </c>
      <c r="G69" s="4467">
        <v>0</v>
      </c>
      <c r="H69" s="1463">
        <f t="shared" si="0"/>
        <v>0</v>
      </c>
      <c r="I69" s="1464">
        <f t="shared" si="1"/>
        <v>0</v>
      </c>
      <c r="J69" s="4465">
        <v>0</v>
      </c>
      <c r="K69" s="4467">
        <v>0</v>
      </c>
      <c r="L69" s="4468">
        <f t="shared" si="29"/>
        <v>0</v>
      </c>
      <c r="M69" s="4526">
        <f t="shared" si="2"/>
        <v>0</v>
      </c>
      <c r="N69" s="4465">
        <v>0</v>
      </c>
      <c r="O69" s="4467">
        <v>0</v>
      </c>
      <c r="P69" s="1522">
        <f t="shared" si="53"/>
        <v>0</v>
      </c>
      <c r="Q69" s="1522">
        <f t="shared" si="4"/>
        <v>0</v>
      </c>
      <c r="R69" s="4465">
        <v>0</v>
      </c>
      <c r="S69" s="4467">
        <v>0</v>
      </c>
      <c r="T69" s="1522">
        <f t="shared" si="5"/>
        <v>0</v>
      </c>
      <c r="U69" s="1522">
        <f t="shared" si="6"/>
        <v>0</v>
      </c>
      <c r="V69" s="4465">
        <v>0</v>
      </c>
      <c r="W69" s="4467">
        <v>0</v>
      </c>
      <c r="X69" s="4471">
        <f t="shared" si="7"/>
        <v>0</v>
      </c>
      <c r="Y69" s="4527">
        <f t="shared" si="8"/>
        <v>0</v>
      </c>
      <c r="Z69" s="3808">
        <f t="shared" si="147"/>
        <v>0</v>
      </c>
      <c r="AA69" s="4469">
        <f t="shared" si="10"/>
        <v>0</v>
      </c>
      <c r="AB69" s="4465">
        <v>0</v>
      </c>
      <c r="AC69" s="4467">
        <v>0</v>
      </c>
      <c r="AD69" s="5082">
        <f t="shared" si="11"/>
        <v>0</v>
      </c>
      <c r="AE69" s="5021">
        <f t="shared" si="12"/>
        <v>0</v>
      </c>
      <c r="AF69" s="5074">
        <v>0</v>
      </c>
      <c r="AG69" s="4467">
        <v>0</v>
      </c>
      <c r="AH69" s="1463">
        <f t="shared" si="139"/>
        <v>0</v>
      </c>
      <c r="AI69" s="1522">
        <f t="shared" si="14"/>
        <v>0</v>
      </c>
      <c r="AJ69" s="4465">
        <v>0</v>
      </c>
      <c r="AK69" s="4467">
        <v>0</v>
      </c>
      <c r="AL69" s="4471">
        <f t="shared" si="140"/>
        <v>0</v>
      </c>
      <c r="AM69" s="4526">
        <f t="shared" si="16"/>
        <v>0</v>
      </c>
      <c r="AN69" s="1463">
        <f t="shared" si="148"/>
        <v>0</v>
      </c>
      <c r="AO69" s="1522">
        <f t="shared" si="18"/>
        <v>0</v>
      </c>
      <c r="AP69" s="4465">
        <v>0</v>
      </c>
      <c r="AQ69" s="4467">
        <v>0</v>
      </c>
      <c r="AR69" s="1463">
        <f t="shared" si="141"/>
        <v>0</v>
      </c>
      <c r="AS69" s="1522">
        <f t="shared" si="20"/>
        <v>0</v>
      </c>
      <c r="AT69" s="4465">
        <v>0</v>
      </c>
      <c r="AU69" s="4467">
        <v>0</v>
      </c>
      <c r="AV69" s="1463">
        <f t="shared" si="142"/>
        <v>0</v>
      </c>
      <c r="AW69" s="1522">
        <f t="shared" si="22"/>
        <v>0</v>
      </c>
      <c r="AX69" s="4465">
        <v>0</v>
      </c>
      <c r="AY69" s="4467">
        <v>0</v>
      </c>
      <c r="AZ69" s="4471">
        <f t="shared" si="143"/>
        <v>0</v>
      </c>
      <c r="BA69" s="4527">
        <f t="shared" si="24"/>
        <v>0</v>
      </c>
      <c r="BB69" s="4472">
        <f t="shared" si="144"/>
        <v>0</v>
      </c>
      <c r="BC69" s="4469">
        <f t="shared" si="26"/>
        <v>0</v>
      </c>
      <c r="BD69" s="1463">
        <f t="shared" si="145"/>
        <v>0</v>
      </c>
      <c r="BE69" s="1522">
        <f t="shared" si="28"/>
        <v>0</v>
      </c>
      <c r="BF69" s="1202"/>
      <c r="BG69" s="1202"/>
      <c r="BH69" s="528"/>
      <c r="BI69" s="528"/>
      <c r="BJ69" s="528"/>
      <c r="BQ69" s="528"/>
      <c r="BR69" s="528"/>
      <c r="BS69" s="528"/>
      <c r="BT69" s="528"/>
      <c r="BU69" s="528"/>
      <c r="BV69" s="528"/>
      <c r="BW69" s="528"/>
      <c r="BX69" s="528"/>
      <c r="BY69" s="528"/>
      <c r="BZ69" s="528"/>
      <c r="CA69" s="528"/>
      <c r="CB69" s="528"/>
    </row>
    <row r="70" spans="2:80" s="1336" customFormat="1" ht="21.9" customHeight="1" thickBot="1" x14ac:dyDescent="0.35">
      <c r="B70" s="6143"/>
      <c r="C70" s="4561" t="s">
        <v>2</v>
      </c>
      <c r="D70" s="4551">
        <f>SUM(D60:D69)</f>
        <v>13</v>
      </c>
      <c r="E70" s="4551">
        <f t="shared" ref="E70:BE70" si="149">SUM(E60:E69)</f>
        <v>48968</v>
      </c>
      <c r="F70" s="4551">
        <f t="shared" si="149"/>
        <v>13</v>
      </c>
      <c r="G70" s="4551">
        <f t="shared" si="149"/>
        <v>49341</v>
      </c>
      <c r="H70" s="4551">
        <f t="shared" si="149"/>
        <v>26</v>
      </c>
      <c r="I70" s="4551">
        <f t="shared" si="149"/>
        <v>98309</v>
      </c>
      <c r="J70" s="4551">
        <f t="shared" si="149"/>
        <v>15</v>
      </c>
      <c r="K70" s="4551">
        <f t="shared" si="149"/>
        <v>56045</v>
      </c>
      <c r="L70" s="4551">
        <f t="shared" si="149"/>
        <v>41</v>
      </c>
      <c r="M70" s="4551">
        <f t="shared" si="149"/>
        <v>154354</v>
      </c>
      <c r="N70" s="4551">
        <f t="shared" si="149"/>
        <v>13.000000000000002</v>
      </c>
      <c r="O70" s="4551">
        <f t="shared" si="149"/>
        <v>48759.020000000004</v>
      </c>
      <c r="P70" s="4551">
        <f t="shared" si="149"/>
        <v>53.999999999999993</v>
      </c>
      <c r="Q70" s="4551">
        <f t="shared" si="149"/>
        <v>203113.02</v>
      </c>
      <c r="R70" s="4551">
        <f t="shared" si="149"/>
        <v>14</v>
      </c>
      <c r="S70" s="4551">
        <f t="shared" si="149"/>
        <v>53446</v>
      </c>
      <c r="T70" s="4551">
        <f t="shared" si="149"/>
        <v>68</v>
      </c>
      <c r="U70" s="4551">
        <f t="shared" si="149"/>
        <v>256559.02</v>
      </c>
      <c r="V70" s="4551">
        <f t="shared" si="149"/>
        <v>13</v>
      </c>
      <c r="W70" s="4551">
        <f t="shared" si="149"/>
        <v>50262.84</v>
      </c>
      <c r="X70" s="4551">
        <f t="shared" si="149"/>
        <v>39.999999999999993</v>
      </c>
      <c r="Y70" s="4551">
        <f t="shared" si="149"/>
        <v>152467.86000000002</v>
      </c>
      <c r="Z70" s="4551">
        <f t="shared" si="149"/>
        <v>81</v>
      </c>
      <c r="AA70" s="4551">
        <f t="shared" si="149"/>
        <v>306821.86</v>
      </c>
      <c r="AB70" s="4551">
        <f t="shared" si="149"/>
        <v>13.9</v>
      </c>
      <c r="AC70" s="4551">
        <f t="shared" si="149"/>
        <v>53043.600000000006</v>
      </c>
      <c r="AD70" s="5092">
        <f t="shared" si="149"/>
        <v>94.9</v>
      </c>
      <c r="AE70" s="4948">
        <f t="shared" si="149"/>
        <v>359865.46</v>
      </c>
      <c r="AF70" s="5072">
        <f t="shared" si="149"/>
        <v>13</v>
      </c>
      <c r="AG70" s="4551">
        <f t="shared" ref="AG70" si="150">SUM(AG60:AG69)</f>
        <v>50076.03</v>
      </c>
      <c r="AH70" s="4551">
        <f t="shared" si="149"/>
        <v>104.9</v>
      </c>
      <c r="AI70" s="4551">
        <f t="shared" si="14"/>
        <v>409941.49</v>
      </c>
      <c r="AJ70" s="4551">
        <f t="shared" si="149"/>
        <v>10.9</v>
      </c>
      <c r="AK70" s="4551">
        <f t="shared" si="149"/>
        <v>46079.5</v>
      </c>
      <c r="AL70" s="4551">
        <f t="shared" si="149"/>
        <v>37.799999999999997</v>
      </c>
      <c r="AM70" s="4551">
        <f t="shared" si="149"/>
        <v>149199.13</v>
      </c>
      <c r="AN70" s="4551">
        <f t="shared" si="149"/>
        <v>115.8</v>
      </c>
      <c r="AO70" s="4551">
        <f t="shared" si="149"/>
        <v>456020.99</v>
      </c>
      <c r="AP70" s="4551">
        <f t="shared" ref="AP70:AQ70" si="151">SUM(AP60:AP69)</f>
        <v>11</v>
      </c>
      <c r="AQ70" s="4551">
        <f t="shared" si="151"/>
        <v>43036.130000000005</v>
      </c>
      <c r="AR70" s="4551">
        <f t="shared" si="149"/>
        <v>126.8</v>
      </c>
      <c r="AS70" s="4551">
        <f t="shared" si="149"/>
        <v>499057.11999999994</v>
      </c>
      <c r="AT70" s="4551">
        <f t="shared" si="149"/>
        <v>13</v>
      </c>
      <c r="AU70" s="4551">
        <f t="shared" si="149"/>
        <v>49461.98</v>
      </c>
      <c r="AV70" s="4551">
        <f t="shared" si="149"/>
        <v>139.80000000000001</v>
      </c>
      <c r="AW70" s="4551">
        <f t="shared" si="149"/>
        <v>548519.1</v>
      </c>
      <c r="AX70" s="4551">
        <f t="shared" ref="AX70:AY70" si="152">SUM(AX60:AX69)</f>
        <v>13</v>
      </c>
      <c r="AY70" s="4551">
        <f t="shared" si="152"/>
        <v>50124.729999999996</v>
      </c>
      <c r="AZ70" s="4551">
        <f t="shared" si="149"/>
        <v>37</v>
      </c>
      <c r="BA70" s="4551">
        <f t="shared" si="149"/>
        <v>142622.83999999997</v>
      </c>
      <c r="BB70" s="4551">
        <f t="shared" si="149"/>
        <v>74.8</v>
      </c>
      <c r="BC70" s="4551">
        <f t="shared" si="149"/>
        <v>291821.96999999997</v>
      </c>
      <c r="BD70" s="4551">
        <f t="shared" si="149"/>
        <v>152.80000000000001</v>
      </c>
      <c r="BE70" s="4551">
        <f t="shared" si="149"/>
        <v>598643.82999999996</v>
      </c>
      <c r="BF70" s="1202"/>
      <c r="BG70" s="1202"/>
      <c r="BH70" s="528"/>
      <c r="BI70" s="528"/>
      <c r="BJ70" s="528"/>
      <c r="BQ70" s="528"/>
      <c r="BR70" s="528"/>
      <c r="BS70" s="528"/>
      <c r="BT70" s="528"/>
      <c r="BU70" s="528"/>
      <c r="BV70" s="528"/>
      <c r="BW70" s="528"/>
      <c r="BX70" s="528"/>
      <c r="BY70" s="528"/>
      <c r="BZ70" s="528"/>
      <c r="CA70" s="528"/>
      <c r="CB70" s="528"/>
    </row>
    <row r="71" spans="2:80" s="1336" customFormat="1" ht="21.9" customHeight="1" thickBot="1" x14ac:dyDescent="0.35">
      <c r="B71" s="6143"/>
      <c r="C71" s="4560" t="s">
        <v>1232</v>
      </c>
      <c r="D71" s="4465">
        <v>13</v>
      </c>
      <c r="E71" s="4467">
        <v>48968</v>
      </c>
      <c r="F71" s="4465">
        <v>13</v>
      </c>
      <c r="G71" s="4467">
        <v>49341</v>
      </c>
      <c r="H71" s="1463">
        <f t="shared" si="0"/>
        <v>26</v>
      </c>
      <c r="I71" s="1464">
        <f t="shared" si="1"/>
        <v>98309</v>
      </c>
      <c r="J71" s="4465">
        <v>15</v>
      </c>
      <c r="K71" s="4467">
        <v>56046</v>
      </c>
      <c r="L71" s="4468">
        <f t="shared" si="29"/>
        <v>41</v>
      </c>
      <c r="M71" s="4526">
        <f t="shared" si="2"/>
        <v>154355</v>
      </c>
      <c r="N71" s="4465">
        <v>12</v>
      </c>
      <c r="O71" s="4467">
        <v>45011.32</v>
      </c>
      <c r="P71" s="1522">
        <f t="shared" si="53"/>
        <v>53</v>
      </c>
      <c r="Q71" s="1522">
        <f t="shared" si="4"/>
        <v>199366.32</v>
      </c>
      <c r="R71" s="4465">
        <v>13</v>
      </c>
      <c r="S71" s="4467">
        <v>49463</v>
      </c>
      <c r="T71" s="1522">
        <f t="shared" si="5"/>
        <v>66</v>
      </c>
      <c r="U71" s="1522">
        <f t="shared" si="6"/>
        <v>248829.32</v>
      </c>
      <c r="V71" s="4465">
        <v>13</v>
      </c>
      <c r="W71" s="4467">
        <v>50262.84</v>
      </c>
      <c r="X71" s="4471">
        <f t="shared" si="7"/>
        <v>38</v>
      </c>
      <c r="Y71" s="4527">
        <f t="shared" si="8"/>
        <v>144737.16</v>
      </c>
      <c r="Z71" s="4472">
        <f t="shared" si="9"/>
        <v>79</v>
      </c>
      <c r="AA71" s="4469">
        <f t="shared" si="10"/>
        <v>299092.16000000003</v>
      </c>
      <c r="AB71" s="4465">
        <v>13</v>
      </c>
      <c r="AC71" s="4467">
        <v>49019.6</v>
      </c>
      <c r="AD71" s="5082">
        <f t="shared" si="11"/>
        <v>92</v>
      </c>
      <c r="AE71" s="5021">
        <f t="shared" si="12"/>
        <v>348111.76</v>
      </c>
      <c r="AF71" s="5074">
        <v>12</v>
      </c>
      <c r="AG71" s="4467">
        <v>46055.03</v>
      </c>
      <c r="AH71" s="1463">
        <f t="shared" ref="AH71:AH75" si="153">AD71+AF71</f>
        <v>104</v>
      </c>
      <c r="AI71" s="1522">
        <f t="shared" si="14"/>
        <v>394166.79000000004</v>
      </c>
      <c r="AJ71" s="4465">
        <v>7</v>
      </c>
      <c r="AK71" s="4467">
        <v>42080.7</v>
      </c>
      <c r="AL71" s="4471">
        <f t="shared" ref="AL71:AL75" si="154">+AB71+AF71+AJ71</f>
        <v>32</v>
      </c>
      <c r="AM71" s="4526">
        <f t="shared" si="16"/>
        <v>137155.33000000002</v>
      </c>
      <c r="AN71" s="1463">
        <f t="shared" si="148"/>
        <v>111</v>
      </c>
      <c r="AO71" s="1522">
        <f t="shared" si="18"/>
        <v>436247.49</v>
      </c>
      <c r="AP71" s="4465">
        <v>10</v>
      </c>
      <c r="AQ71" s="4467">
        <v>39069.93</v>
      </c>
      <c r="AR71" s="1463">
        <f t="shared" ref="AR71:AR75" si="155">AN71+AP71</f>
        <v>121</v>
      </c>
      <c r="AS71" s="1522">
        <f t="shared" si="20"/>
        <v>475317.42</v>
      </c>
      <c r="AT71" s="4465">
        <v>12</v>
      </c>
      <c r="AU71" s="4467">
        <v>45560.98</v>
      </c>
      <c r="AV71" s="1463">
        <f t="shared" ref="AV71:AV75" si="156">AR71+AT71</f>
        <v>133</v>
      </c>
      <c r="AW71" s="1522">
        <f t="shared" si="22"/>
        <v>520878.4</v>
      </c>
      <c r="AX71" s="4465">
        <v>11</v>
      </c>
      <c r="AY71" s="4467">
        <v>42140.93</v>
      </c>
      <c r="AZ71" s="4471">
        <f t="shared" ref="AZ71:AZ75" si="157">+AP71+AT71+AX71</f>
        <v>33</v>
      </c>
      <c r="BA71" s="4527">
        <f t="shared" si="24"/>
        <v>126771.84</v>
      </c>
      <c r="BB71" s="4472">
        <f t="shared" ref="BB71:BB75" si="158">AL71+AZ71</f>
        <v>65</v>
      </c>
      <c r="BC71" s="4469">
        <f t="shared" si="26"/>
        <v>263927.17000000004</v>
      </c>
      <c r="BD71" s="1463">
        <f t="shared" ref="BD71:BD75" si="159">AV71+AX71</f>
        <v>144</v>
      </c>
      <c r="BE71" s="1522">
        <f t="shared" si="28"/>
        <v>563019.33000000007</v>
      </c>
      <c r="BF71" s="1202"/>
      <c r="BG71" s="1202"/>
      <c r="BH71" s="528"/>
      <c r="BI71" s="528"/>
      <c r="BJ71" s="528"/>
      <c r="BQ71" s="528"/>
      <c r="BR71" s="528"/>
      <c r="BS71" s="528"/>
      <c r="BT71" s="528"/>
      <c r="BU71" s="528"/>
      <c r="BV71" s="528"/>
      <c r="BW71" s="528"/>
      <c r="BX71" s="528"/>
      <c r="BY71" s="528"/>
      <c r="BZ71" s="528"/>
      <c r="CA71" s="528"/>
      <c r="CB71" s="528"/>
    </row>
    <row r="72" spans="2:80" s="1336" customFormat="1" ht="21.9" customHeight="1" thickBot="1" x14ac:dyDescent="0.35">
      <c r="B72" s="6143"/>
      <c r="C72" s="4560" t="s">
        <v>1233</v>
      </c>
      <c r="D72" s="4465">
        <v>0</v>
      </c>
      <c r="E72" s="4467">
        <v>0</v>
      </c>
      <c r="F72" s="4465">
        <v>0</v>
      </c>
      <c r="G72" s="4467">
        <v>0</v>
      </c>
      <c r="H72" s="1463">
        <f t="shared" si="0"/>
        <v>0</v>
      </c>
      <c r="I72" s="1464">
        <f t="shared" si="1"/>
        <v>0</v>
      </c>
      <c r="J72" s="4465">
        <v>0</v>
      </c>
      <c r="K72" s="4467">
        <v>0</v>
      </c>
      <c r="L72" s="4468">
        <f t="shared" si="29"/>
        <v>0</v>
      </c>
      <c r="M72" s="4526">
        <f t="shared" si="2"/>
        <v>0</v>
      </c>
      <c r="N72" s="4465">
        <v>1</v>
      </c>
      <c r="O72" s="4467">
        <v>3747.7</v>
      </c>
      <c r="P72" s="1522">
        <f t="shared" si="53"/>
        <v>1</v>
      </c>
      <c r="Q72" s="1522">
        <f t="shared" si="4"/>
        <v>3747.7</v>
      </c>
      <c r="R72" s="4465">
        <v>1</v>
      </c>
      <c r="S72" s="4467">
        <v>3983</v>
      </c>
      <c r="T72" s="1522">
        <f t="shared" si="5"/>
        <v>2</v>
      </c>
      <c r="U72" s="1522">
        <f t="shared" si="6"/>
        <v>7730.7</v>
      </c>
      <c r="V72" s="4465">
        <v>0</v>
      </c>
      <c r="W72" s="4467">
        <v>0</v>
      </c>
      <c r="X72" s="4471">
        <f t="shared" si="7"/>
        <v>2</v>
      </c>
      <c r="Y72" s="4527">
        <f t="shared" si="8"/>
        <v>7730.7</v>
      </c>
      <c r="Z72" s="4472">
        <f t="shared" si="9"/>
        <v>2</v>
      </c>
      <c r="AA72" s="4469">
        <f t="shared" si="10"/>
        <v>7730.7</v>
      </c>
      <c r="AB72" s="4465">
        <v>1</v>
      </c>
      <c r="AC72" s="4467">
        <v>4024</v>
      </c>
      <c r="AD72" s="5082">
        <f t="shared" si="11"/>
        <v>3</v>
      </c>
      <c r="AE72" s="5021">
        <f t="shared" si="12"/>
        <v>11754.7</v>
      </c>
      <c r="AF72" s="5074">
        <v>1</v>
      </c>
      <c r="AG72" s="4467">
        <v>4021</v>
      </c>
      <c r="AH72" s="1463">
        <f t="shared" si="153"/>
        <v>4</v>
      </c>
      <c r="AI72" s="1522">
        <f t="shared" si="14"/>
        <v>15775.7</v>
      </c>
      <c r="AJ72" s="4465">
        <v>5</v>
      </c>
      <c r="AK72" s="4467">
        <v>3998.8</v>
      </c>
      <c r="AL72" s="4471">
        <f t="shared" si="154"/>
        <v>7</v>
      </c>
      <c r="AM72" s="4526">
        <f t="shared" si="16"/>
        <v>12043.8</v>
      </c>
      <c r="AN72" s="1463">
        <f t="shared" si="148"/>
        <v>9</v>
      </c>
      <c r="AO72" s="1522">
        <f t="shared" si="18"/>
        <v>19774.5</v>
      </c>
      <c r="AP72" s="4465">
        <v>1</v>
      </c>
      <c r="AQ72" s="4467">
        <v>3966.2</v>
      </c>
      <c r="AR72" s="1463">
        <f t="shared" si="155"/>
        <v>10</v>
      </c>
      <c r="AS72" s="1522">
        <f t="shared" si="20"/>
        <v>23740.7</v>
      </c>
      <c r="AT72" s="4465">
        <v>1</v>
      </c>
      <c r="AU72" s="4467">
        <v>3901</v>
      </c>
      <c r="AV72" s="1463">
        <f t="shared" si="156"/>
        <v>11</v>
      </c>
      <c r="AW72" s="1522">
        <f t="shared" si="22"/>
        <v>27641.7</v>
      </c>
      <c r="AX72" s="4465">
        <v>2</v>
      </c>
      <c r="AY72" s="4467">
        <v>7984</v>
      </c>
      <c r="AZ72" s="4471">
        <f t="shared" si="157"/>
        <v>4</v>
      </c>
      <c r="BA72" s="4527">
        <f t="shared" si="24"/>
        <v>15851.2</v>
      </c>
      <c r="BB72" s="4472">
        <f t="shared" si="158"/>
        <v>11</v>
      </c>
      <c r="BC72" s="4469">
        <f t="shared" si="26"/>
        <v>27895</v>
      </c>
      <c r="BD72" s="1463">
        <f t="shared" si="159"/>
        <v>13</v>
      </c>
      <c r="BE72" s="1522">
        <f t="shared" si="28"/>
        <v>35625.699999999997</v>
      </c>
      <c r="BF72" s="1202"/>
      <c r="BG72" s="1202"/>
      <c r="BH72" s="528"/>
      <c r="BI72" s="528"/>
      <c r="BJ72" s="528"/>
      <c r="BQ72" s="528"/>
      <c r="BR72" s="528"/>
      <c r="BS72" s="528"/>
      <c r="BT72" s="528"/>
      <c r="BU72" s="528"/>
      <c r="BV72" s="528"/>
      <c r="BW72" s="528"/>
      <c r="BX72" s="528"/>
      <c r="BY72" s="528"/>
      <c r="BZ72" s="528"/>
      <c r="CA72" s="528"/>
      <c r="CB72" s="528"/>
    </row>
    <row r="73" spans="2:80" s="1336" customFormat="1" ht="21.9" customHeight="1" thickBot="1" x14ac:dyDescent="0.35">
      <c r="B73" s="6144"/>
      <c r="C73" s="4560" t="s">
        <v>1234</v>
      </c>
      <c r="D73" s="4465">
        <v>0</v>
      </c>
      <c r="E73" s="4467">
        <v>0</v>
      </c>
      <c r="F73" s="4465">
        <v>0</v>
      </c>
      <c r="G73" s="4467">
        <v>0</v>
      </c>
      <c r="H73" s="1463">
        <f t="shared" si="0"/>
        <v>0</v>
      </c>
      <c r="I73" s="1464">
        <f t="shared" si="1"/>
        <v>0</v>
      </c>
      <c r="J73" s="4465"/>
      <c r="K73" s="4467"/>
      <c r="L73" s="4468">
        <f t="shared" si="29"/>
        <v>0</v>
      </c>
      <c r="M73" s="4526">
        <f t="shared" si="2"/>
        <v>0</v>
      </c>
      <c r="N73" s="4465"/>
      <c r="O73" s="4467"/>
      <c r="P73" s="1522">
        <f t="shared" si="53"/>
        <v>0</v>
      </c>
      <c r="Q73" s="1522">
        <f t="shared" si="4"/>
        <v>0</v>
      </c>
      <c r="R73" s="4465">
        <v>0</v>
      </c>
      <c r="S73" s="4467">
        <v>0</v>
      </c>
      <c r="T73" s="1522">
        <f t="shared" si="5"/>
        <v>0</v>
      </c>
      <c r="U73" s="1522">
        <f t="shared" si="6"/>
        <v>0</v>
      </c>
      <c r="V73" s="4465">
        <v>0</v>
      </c>
      <c r="W73" s="4467">
        <v>0</v>
      </c>
      <c r="X73" s="4471">
        <f t="shared" si="7"/>
        <v>0</v>
      </c>
      <c r="Y73" s="4527">
        <f t="shared" si="8"/>
        <v>0</v>
      </c>
      <c r="Z73" s="4472">
        <f t="shared" si="9"/>
        <v>0</v>
      </c>
      <c r="AA73" s="4469">
        <f t="shared" si="10"/>
        <v>0</v>
      </c>
      <c r="AB73" s="4465">
        <v>0</v>
      </c>
      <c r="AC73" s="4467">
        <v>0</v>
      </c>
      <c r="AD73" s="5082">
        <f t="shared" si="11"/>
        <v>0</v>
      </c>
      <c r="AE73" s="5021">
        <f t="shared" si="12"/>
        <v>0</v>
      </c>
      <c r="AF73" s="5074">
        <v>0</v>
      </c>
      <c r="AG73" s="4467">
        <v>0</v>
      </c>
      <c r="AH73" s="1463">
        <f t="shared" si="153"/>
        <v>0</v>
      </c>
      <c r="AI73" s="1522">
        <f t="shared" si="14"/>
        <v>0</v>
      </c>
      <c r="AJ73" s="4465">
        <v>0</v>
      </c>
      <c r="AK73" s="4467">
        <v>0</v>
      </c>
      <c r="AL73" s="4471">
        <f t="shared" si="154"/>
        <v>0</v>
      </c>
      <c r="AM73" s="4526">
        <f t="shared" si="16"/>
        <v>0</v>
      </c>
      <c r="AN73" s="1463">
        <f t="shared" si="148"/>
        <v>0</v>
      </c>
      <c r="AO73" s="1522">
        <f t="shared" si="18"/>
        <v>0</v>
      </c>
      <c r="AP73" s="4465">
        <v>0</v>
      </c>
      <c r="AQ73" s="4467">
        <v>0</v>
      </c>
      <c r="AR73" s="1463">
        <f t="shared" si="155"/>
        <v>0</v>
      </c>
      <c r="AS73" s="1522">
        <f t="shared" si="20"/>
        <v>0</v>
      </c>
      <c r="AT73" s="4465">
        <v>0</v>
      </c>
      <c r="AU73" s="4467">
        <v>0</v>
      </c>
      <c r="AV73" s="1463">
        <f t="shared" si="156"/>
        <v>0</v>
      </c>
      <c r="AW73" s="1522">
        <f t="shared" si="22"/>
        <v>0</v>
      </c>
      <c r="AX73" s="4465">
        <v>0</v>
      </c>
      <c r="AY73" s="4467">
        <v>0</v>
      </c>
      <c r="AZ73" s="4471">
        <f t="shared" si="157"/>
        <v>0</v>
      </c>
      <c r="BA73" s="4527">
        <f t="shared" si="24"/>
        <v>0</v>
      </c>
      <c r="BB73" s="4472">
        <f t="shared" si="158"/>
        <v>0</v>
      </c>
      <c r="BC73" s="4469">
        <f t="shared" si="26"/>
        <v>0</v>
      </c>
      <c r="BD73" s="1463">
        <f t="shared" si="159"/>
        <v>0</v>
      </c>
      <c r="BE73" s="1522">
        <f t="shared" si="28"/>
        <v>0</v>
      </c>
      <c r="BF73" s="1202"/>
      <c r="BG73" s="1202"/>
      <c r="BH73" s="528">
        <f>+BE53+BE57+BE70+BE74</f>
        <v>1866115.8800000001</v>
      </c>
      <c r="BI73" s="528"/>
      <c r="BJ73" s="528"/>
      <c r="BQ73" s="528"/>
      <c r="BR73" s="528"/>
      <c r="BS73" s="528"/>
      <c r="BT73" s="528"/>
      <c r="BU73" s="528"/>
      <c r="BV73" s="528"/>
      <c r="BW73" s="528"/>
      <c r="BX73" s="528"/>
      <c r="BY73" s="528"/>
      <c r="BZ73" s="528"/>
      <c r="CA73" s="528"/>
      <c r="CB73" s="528"/>
    </row>
    <row r="74" spans="2:80" s="1336" customFormat="1" ht="21.9" customHeight="1" thickBot="1" x14ac:dyDescent="0.35">
      <c r="B74" s="5430" t="s">
        <v>2328</v>
      </c>
      <c r="C74" s="4460" t="s">
        <v>1013</v>
      </c>
      <c r="D74" s="4461">
        <v>2</v>
      </c>
      <c r="E74" s="4464">
        <v>7808</v>
      </c>
      <c r="F74" s="4461">
        <v>1</v>
      </c>
      <c r="G74" s="4464">
        <v>4038</v>
      </c>
      <c r="H74" s="1463">
        <f t="shared" si="0"/>
        <v>3</v>
      </c>
      <c r="I74" s="1464">
        <f t="shared" si="1"/>
        <v>11846</v>
      </c>
      <c r="J74" s="4461">
        <v>1</v>
      </c>
      <c r="K74" s="4464">
        <v>4028</v>
      </c>
      <c r="L74" s="4463">
        <f t="shared" si="29"/>
        <v>4</v>
      </c>
      <c r="M74" s="4526">
        <f t="shared" si="2"/>
        <v>15874</v>
      </c>
      <c r="N74" s="4461">
        <v>1</v>
      </c>
      <c r="O74" s="4464">
        <v>4022.73</v>
      </c>
      <c r="P74" s="1522">
        <f t="shared" si="53"/>
        <v>5</v>
      </c>
      <c r="Q74" s="1522">
        <f t="shared" si="4"/>
        <v>19896.73</v>
      </c>
      <c r="R74" s="4461">
        <v>2</v>
      </c>
      <c r="S74" s="4464">
        <v>7987.9</v>
      </c>
      <c r="T74" s="1522">
        <f t="shared" si="5"/>
        <v>7</v>
      </c>
      <c r="U74" s="1522">
        <f t="shared" si="6"/>
        <v>27884.63</v>
      </c>
      <c r="V74" s="4461">
        <v>1</v>
      </c>
      <c r="W74" s="4464">
        <v>4000.69</v>
      </c>
      <c r="X74" s="4549">
        <f t="shared" si="7"/>
        <v>4</v>
      </c>
      <c r="Y74" s="4527">
        <f t="shared" si="8"/>
        <v>16011.32</v>
      </c>
      <c r="Z74" s="4562">
        <f t="shared" si="9"/>
        <v>8</v>
      </c>
      <c r="AA74" s="4469">
        <f t="shared" si="10"/>
        <v>31885.32</v>
      </c>
      <c r="AB74" s="4461">
        <v>1</v>
      </c>
      <c r="AC74" s="4464">
        <v>2628.27</v>
      </c>
      <c r="AD74" s="5088">
        <f t="shared" si="11"/>
        <v>9</v>
      </c>
      <c r="AE74" s="5021">
        <f t="shared" si="12"/>
        <v>34513.589999999997</v>
      </c>
      <c r="AF74" s="5102">
        <v>2</v>
      </c>
      <c r="AG74" s="4464">
        <v>7426.31</v>
      </c>
      <c r="AH74" s="2205">
        <f t="shared" si="153"/>
        <v>11</v>
      </c>
      <c r="AI74" s="1522">
        <f t="shared" si="14"/>
        <v>41939.899999999994</v>
      </c>
      <c r="AJ74" s="4461">
        <v>1</v>
      </c>
      <c r="AK74" s="4464">
        <v>8023.4</v>
      </c>
      <c r="AL74" s="4549">
        <f t="shared" si="154"/>
        <v>4</v>
      </c>
      <c r="AM74" s="4526">
        <f t="shared" si="16"/>
        <v>18077.98</v>
      </c>
      <c r="AN74" s="2205">
        <f t="shared" si="148"/>
        <v>12</v>
      </c>
      <c r="AO74" s="1522">
        <f t="shared" si="18"/>
        <v>49963.3</v>
      </c>
      <c r="AP74" s="4461">
        <v>1</v>
      </c>
      <c r="AQ74" s="4464">
        <v>3692.97</v>
      </c>
      <c r="AR74" s="2205">
        <f t="shared" si="155"/>
        <v>13</v>
      </c>
      <c r="AS74" s="1522">
        <f t="shared" si="20"/>
        <v>53656.270000000004</v>
      </c>
      <c r="AT74" s="4461">
        <v>2</v>
      </c>
      <c r="AU74" s="4464">
        <v>7330.38</v>
      </c>
      <c r="AV74" s="2205">
        <f t="shared" si="156"/>
        <v>15</v>
      </c>
      <c r="AW74" s="1522">
        <f t="shared" si="22"/>
        <v>60986.650000000009</v>
      </c>
      <c r="AX74" s="4461">
        <v>1</v>
      </c>
      <c r="AY74" s="4464">
        <v>4055.3</v>
      </c>
      <c r="AZ74" s="4549">
        <f t="shared" si="157"/>
        <v>4</v>
      </c>
      <c r="BA74" s="4527">
        <f t="shared" si="24"/>
        <v>15078.650000000001</v>
      </c>
      <c r="BB74" s="4472">
        <f t="shared" si="158"/>
        <v>8</v>
      </c>
      <c r="BC74" s="4469">
        <f t="shared" si="26"/>
        <v>33156.630000000005</v>
      </c>
      <c r="BD74" s="1463">
        <f t="shared" si="159"/>
        <v>16</v>
      </c>
      <c r="BE74" s="1522">
        <f t="shared" si="28"/>
        <v>65041.950000000004</v>
      </c>
      <c r="BF74" s="1202"/>
      <c r="BG74" s="1202"/>
      <c r="BH74" s="528"/>
      <c r="BI74" s="528"/>
      <c r="BJ74" s="528"/>
      <c r="BQ74" s="528"/>
      <c r="BR74" s="528"/>
      <c r="BS74" s="528"/>
      <c r="BT74" s="528"/>
      <c r="BU74" s="528"/>
      <c r="BV74" s="528"/>
      <c r="BW74" s="528"/>
      <c r="BX74" s="528"/>
      <c r="BY74" s="528"/>
      <c r="BZ74" s="528"/>
      <c r="CA74" s="528"/>
      <c r="CB74" s="528"/>
    </row>
    <row r="75" spans="2:80" s="5666" customFormat="1" ht="21.9" customHeight="1" thickBot="1" x14ac:dyDescent="0.35">
      <c r="B75" s="6168" t="s">
        <v>2109</v>
      </c>
      <c r="C75" s="4559" t="s">
        <v>1237</v>
      </c>
      <c r="D75" s="5656">
        <v>0</v>
      </c>
      <c r="E75" s="4551">
        <v>0</v>
      </c>
      <c r="F75" s="5656">
        <v>0</v>
      </c>
      <c r="G75" s="4551">
        <v>0</v>
      </c>
      <c r="H75" s="5657">
        <f t="shared" si="0"/>
        <v>0</v>
      </c>
      <c r="I75" s="5658">
        <f t="shared" ref="I75:I76" si="160">+G75+E75</f>
        <v>0</v>
      </c>
      <c r="J75" s="5656">
        <v>0</v>
      </c>
      <c r="K75" s="4551">
        <v>0</v>
      </c>
      <c r="L75" s="4551">
        <f t="shared" si="29"/>
        <v>0</v>
      </c>
      <c r="M75" s="4536">
        <f t="shared" ref="M75:M76" si="161">+E75+G75+K75</f>
        <v>0</v>
      </c>
      <c r="N75" s="5656"/>
      <c r="O75" s="4551"/>
      <c r="P75" s="5659">
        <f t="shared" si="53"/>
        <v>0</v>
      </c>
      <c r="Q75" s="5659">
        <f t="shared" ref="Q75:Q76" si="162">+E75+G75+K75+O75</f>
        <v>0</v>
      </c>
      <c r="R75" s="5656"/>
      <c r="S75" s="4551"/>
      <c r="T75" s="5659">
        <f t="shared" ref="T75:T90" si="163">P75+R75</f>
        <v>0</v>
      </c>
      <c r="U75" s="5659">
        <f t="shared" ref="U75:U76" si="164">+E75+S75+O75+K75+G75</f>
        <v>0</v>
      </c>
      <c r="V75" s="5656"/>
      <c r="W75" s="4551"/>
      <c r="X75" s="5660">
        <f t="shared" ref="X75:X76" si="165">+N75+R75+V75</f>
        <v>0</v>
      </c>
      <c r="Y75" s="5661">
        <f t="shared" ref="Y75:Y76" si="166">+O75+S75+W75</f>
        <v>0</v>
      </c>
      <c r="Z75" s="5656">
        <f t="shared" ref="Z75:Z76" si="167">L75+X75</f>
        <v>0</v>
      </c>
      <c r="AA75" s="4466">
        <f t="shared" ref="AA75:AA76" si="168">+W75+S75+O75+K75+G75+E75</f>
        <v>0</v>
      </c>
      <c r="AB75" s="5656">
        <v>0</v>
      </c>
      <c r="AC75" s="4551">
        <v>0</v>
      </c>
      <c r="AD75" s="5662">
        <f t="shared" ref="AD75:AD77" si="169">Z75+AB75</f>
        <v>0</v>
      </c>
      <c r="AE75" s="4948">
        <f t="shared" ref="AE75:AE76" si="170">+AC75+W75+S75+O75+K75+G75+E75</f>
        <v>0</v>
      </c>
      <c r="AF75" s="5663">
        <v>0</v>
      </c>
      <c r="AG75" s="4551">
        <v>0</v>
      </c>
      <c r="AH75" s="5664">
        <f t="shared" si="153"/>
        <v>0</v>
      </c>
      <c r="AI75" s="5659">
        <f t="shared" ref="AI75:AI76" si="171">+AG75+AC75+W75+S75+O75+K75+G75+E75</f>
        <v>0</v>
      </c>
      <c r="AJ75" s="5656">
        <v>0</v>
      </c>
      <c r="AK75" s="4551">
        <v>0</v>
      </c>
      <c r="AL75" s="5660">
        <f t="shared" si="154"/>
        <v>0</v>
      </c>
      <c r="AM75" s="4536">
        <f t="shared" ref="AM75:AM76" si="172">+AC75+AG75+AK75</f>
        <v>0</v>
      </c>
      <c r="AN75" s="5664">
        <f t="shared" si="148"/>
        <v>0</v>
      </c>
      <c r="AO75" s="5659">
        <f t="shared" ref="AO75:AO76" si="173">+AK75+AG75+AC75+W75+S75+O75+K75+G75+E75</f>
        <v>0</v>
      </c>
      <c r="AP75" s="5656">
        <v>0</v>
      </c>
      <c r="AQ75" s="4551">
        <v>0</v>
      </c>
      <c r="AR75" s="5664">
        <f t="shared" si="155"/>
        <v>0</v>
      </c>
      <c r="AS75" s="5659">
        <f t="shared" ref="AS75:AS76" si="174">+AQ75+AK75+AG75+AC75+W75+S75+O75+K75+G75+E75</f>
        <v>0</v>
      </c>
      <c r="AT75" s="5656">
        <v>0</v>
      </c>
      <c r="AU75" s="4551">
        <v>0</v>
      </c>
      <c r="AV75" s="5664">
        <f t="shared" si="156"/>
        <v>0</v>
      </c>
      <c r="AW75" s="5659">
        <f t="shared" ref="AW75:AW76" si="175">+AU75+AQ75+AK75+AG75+AC75+W75+S75+O75+K75+G75+E75</f>
        <v>0</v>
      </c>
      <c r="AX75" s="5656">
        <v>0</v>
      </c>
      <c r="AY75" s="4551">
        <v>0</v>
      </c>
      <c r="AZ75" s="5660">
        <f t="shared" si="157"/>
        <v>0</v>
      </c>
      <c r="BA75" s="5661">
        <f t="shared" ref="BA75:BA76" si="176">+AQ75+AU75+AY75</f>
        <v>0</v>
      </c>
      <c r="BB75" s="5665">
        <f t="shared" si="158"/>
        <v>0</v>
      </c>
      <c r="BC75" s="4466">
        <f t="shared" ref="BC75:BC76" si="177">AM75+BA75</f>
        <v>0</v>
      </c>
      <c r="BD75" s="5657">
        <f t="shared" si="159"/>
        <v>0</v>
      </c>
      <c r="BE75" s="5659">
        <f t="shared" ref="BE75:BE76" si="178">+BC75+AA75</f>
        <v>0</v>
      </c>
      <c r="BF75" s="5639"/>
      <c r="BG75" s="5639"/>
      <c r="BH75" s="5073"/>
      <c r="BI75" s="5073"/>
      <c r="BJ75" s="5073"/>
      <c r="BQ75" s="5073"/>
      <c r="BR75" s="5073"/>
      <c r="BS75" s="5073"/>
      <c r="BT75" s="5073"/>
      <c r="BU75" s="5073"/>
      <c r="BV75" s="5073"/>
      <c r="BW75" s="5073"/>
      <c r="BX75" s="5073"/>
      <c r="BY75" s="5073"/>
      <c r="BZ75" s="5073"/>
      <c r="CA75" s="5073"/>
      <c r="CB75" s="5073"/>
    </row>
    <row r="76" spans="2:80" s="5666" customFormat="1" ht="21.9" customHeight="1" x14ac:dyDescent="0.3">
      <c r="B76" s="6169"/>
      <c r="C76" s="5667" t="s">
        <v>1822</v>
      </c>
      <c r="D76" s="5656"/>
      <c r="E76" s="4551">
        <v>346.6</v>
      </c>
      <c r="F76" s="5656"/>
      <c r="G76" s="4551">
        <v>758.36</v>
      </c>
      <c r="H76" s="5657">
        <f>+D76+F76</f>
        <v>0</v>
      </c>
      <c r="I76" s="5658">
        <f t="shared" si="160"/>
        <v>1104.96</v>
      </c>
      <c r="J76" s="5656"/>
      <c r="K76" s="4551">
        <v>683.15</v>
      </c>
      <c r="L76" s="4551">
        <f>+D76+F76+J76</f>
        <v>0</v>
      </c>
      <c r="M76" s="4536">
        <f t="shared" si="161"/>
        <v>1788.1100000000001</v>
      </c>
      <c r="N76" s="5656"/>
      <c r="O76" s="4551">
        <v>252.12</v>
      </c>
      <c r="P76" s="5659"/>
      <c r="Q76" s="5659">
        <f t="shared" si="162"/>
        <v>2040.23</v>
      </c>
      <c r="R76" s="5656"/>
      <c r="S76" s="4551">
        <v>497.27</v>
      </c>
      <c r="T76" s="5659">
        <f>P76+R76</f>
        <v>0</v>
      </c>
      <c r="U76" s="5659">
        <f t="shared" si="164"/>
        <v>2537.5</v>
      </c>
      <c r="V76" s="5656"/>
      <c r="W76" s="4551">
        <v>782.26</v>
      </c>
      <c r="X76" s="5668">
        <f t="shared" si="165"/>
        <v>0</v>
      </c>
      <c r="Y76" s="5661">
        <f t="shared" si="166"/>
        <v>1531.65</v>
      </c>
      <c r="Z76" s="5665">
        <f t="shared" si="167"/>
        <v>0</v>
      </c>
      <c r="AA76" s="4466">
        <f t="shared" si="168"/>
        <v>3319.76</v>
      </c>
      <c r="AB76" s="5656">
        <v>0</v>
      </c>
      <c r="AC76" s="4551">
        <v>647.98</v>
      </c>
      <c r="AD76" s="5661">
        <f t="shared" si="169"/>
        <v>0</v>
      </c>
      <c r="AE76" s="4948">
        <f t="shared" si="170"/>
        <v>3967.7400000000002</v>
      </c>
      <c r="AF76" s="5663">
        <v>0</v>
      </c>
      <c r="AG76" s="4551">
        <v>900.12</v>
      </c>
      <c r="AH76" s="4466"/>
      <c r="AI76" s="5659">
        <f t="shared" si="171"/>
        <v>4867.8599999999997</v>
      </c>
      <c r="AJ76" s="5656">
        <v>0</v>
      </c>
      <c r="AK76" s="4551">
        <v>490.04</v>
      </c>
      <c r="AL76" s="5669">
        <f>+AB76+AF76+AJ76</f>
        <v>0</v>
      </c>
      <c r="AM76" s="4536">
        <f t="shared" si="172"/>
        <v>2038.1399999999999</v>
      </c>
      <c r="AN76" s="4466"/>
      <c r="AO76" s="5659">
        <f t="shared" si="173"/>
        <v>5357.9</v>
      </c>
      <c r="AP76" s="5656">
        <v>0</v>
      </c>
      <c r="AQ76" s="4551">
        <v>408</v>
      </c>
      <c r="AR76" s="4466">
        <f>AN76+AP76</f>
        <v>0</v>
      </c>
      <c r="AS76" s="5659">
        <f t="shared" si="174"/>
        <v>5765.9</v>
      </c>
      <c r="AT76" s="5656">
        <v>0</v>
      </c>
      <c r="AU76" s="4551">
        <v>1681.78</v>
      </c>
      <c r="AV76" s="4466">
        <f>AR76+AT76</f>
        <v>0</v>
      </c>
      <c r="AW76" s="5659">
        <f t="shared" si="175"/>
        <v>7447.68</v>
      </c>
      <c r="AX76" s="5656">
        <v>0</v>
      </c>
      <c r="AY76" s="4551">
        <v>2093</v>
      </c>
      <c r="AZ76" s="4466">
        <f t="shared" ref="AZ76" si="179">AV76+AX76</f>
        <v>0</v>
      </c>
      <c r="BA76" s="5661">
        <f t="shared" si="176"/>
        <v>4182.78</v>
      </c>
      <c r="BB76" s="4466">
        <f t="shared" ref="BB76" si="180">AX76+AZ76</f>
        <v>0</v>
      </c>
      <c r="BC76" s="4466">
        <f t="shared" si="177"/>
        <v>6220.92</v>
      </c>
      <c r="BD76" s="5657">
        <f>AV76+AX76</f>
        <v>0</v>
      </c>
      <c r="BE76" s="5659">
        <f t="shared" si="178"/>
        <v>9540.68</v>
      </c>
      <c r="BF76" s="5639"/>
      <c r="BG76" s="5639"/>
      <c r="BH76" s="5073"/>
      <c r="BI76" s="5073"/>
      <c r="BJ76" s="5073"/>
      <c r="BQ76" s="5073"/>
      <c r="BR76" s="5073"/>
      <c r="BS76" s="5073"/>
      <c r="BT76" s="5073"/>
      <c r="BU76" s="5073"/>
      <c r="BV76" s="5073"/>
      <c r="BW76" s="5073"/>
      <c r="BX76" s="5073"/>
      <c r="BY76" s="5073"/>
      <c r="BZ76" s="5073"/>
      <c r="CA76" s="5073"/>
      <c r="CB76" s="5073"/>
    </row>
    <row r="77" spans="2:80" s="1334" customFormat="1" ht="21.9" customHeight="1" x14ac:dyDescent="0.3">
      <c r="B77" s="4952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>
        <f t="shared" si="169"/>
        <v>0</v>
      </c>
      <c r="AE77" s="5080">
        <f t="shared" ref="AE77" si="181">AA77+AC77</f>
        <v>0</v>
      </c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 s="1202"/>
      <c r="BG77" s="1202"/>
      <c r="BH77" s="528"/>
      <c r="BI77" s="528"/>
      <c r="BJ77" s="528"/>
      <c r="BQ77" s="528"/>
      <c r="BR77" s="528"/>
      <c r="BS77" s="528"/>
      <c r="BT77" s="528"/>
      <c r="BU77" s="528"/>
      <c r="BV77" s="528"/>
      <c r="BW77" s="528"/>
      <c r="BX77" s="528"/>
      <c r="BY77" s="528"/>
      <c r="BZ77" s="528"/>
      <c r="CA77" s="528"/>
      <c r="CB77" s="528"/>
    </row>
    <row r="78" spans="2:80" s="1334" customFormat="1" ht="21.9" customHeight="1" thickBot="1" x14ac:dyDescent="0.35">
      <c r="B78" s="6170"/>
      <c r="C78" s="4460" t="s">
        <v>1341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 s="5080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 s="1202"/>
      <c r="BG78" s="1202"/>
      <c r="BH78"/>
      <c r="BI78" s="528"/>
      <c r="BJ78" s="528"/>
      <c r="BQ78" s="528"/>
      <c r="BR78" s="528"/>
      <c r="BS78" s="528"/>
      <c r="BT78" s="528"/>
      <c r="BU78" s="528"/>
      <c r="BV78" s="528"/>
      <c r="BW78" s="528"/>
      <c r="BX78" s="528"/>
      <c r="BY78" s="528"/>
      <c r="BZ78" s="528"/>
      <c r="CA78" s="528"/>
      <c r="CB78" s="528"/>
    </row>
    <row r="79" spans="2:80" s="1334" customFormat="1" ht="21.9" customHeight="1" thickBot="1" x14ac:dyDescent="0.35">
      <c r="B79" s="6170"/>
      <c r="C79" s="4953" t="s">
        <v>1902</v>
      </c>
      <c r="D79" s="4465"/>
      <c r="E79" s="4466">
        <f>'Direct sales IPT details'!E199</f>
        <v>0</v>
      </c>
      <c r="F79" s="4465"/>
      <c r="G79" s="4466">
        <f>'Direct sales IPT details'!G199</f>
        <v>2078.5</v>
      </c>
      <c r="H79" s="1463">
        <f t="shared" ref="H79:H90" si="182">+D79+F79</f>
        <v>0</v>
      </c>
      <c r="I79" s="4950">
        <f t="shared" ref="I79:I82" si="183">+G79+E79</f>
        <v>2078.5</v>
      </c>
      <c r="J79" s="5074"/>
      <c r="K79" s="4466">
        <f>'Direct sales IPT details'!K199</f>
        <v>0</v>
      </c>
      <c r="L79" s="4468"/>
      <c r="M79" s="4526">
        <f t="shared" ref="M79:M82" si="184">+E79+G79+K79</f>
        <v>2078.5</v>
      </c>
      <c r="N79" s="4465"/>
      <c r="O79" s="4466">
        <f>'Direct sales IPT details'!O199</f>
        <v>0</v>
      </c>
      <c r="P79" s="4466">
        <f>'Direct sales IPT details'!P199</f>
        <v>0</v>
      </c>
      <c r="Q79" s="4950">
        <f t="shared" ref="Q79:Q82" si="185">+E79+G79+K79+O79</f>
        <v>2078.5</v>
      </c>
      <c r="R79" s="4465"/>
      <c r="S79" s="4466">
        <f>'Direct sales IPT details'!S199</f>
        <v>0</v>
      </c>
      <c r="T79" s="1522">
        <f t="shared" si="163"/>
        <v>0</v>
      </c>
      <c r="U79" s="4950">
        <f t="shared" ref="U79:U82" si="186">+E79+S79+O79+K79+G79</f>
        <v>2078.5</v>
      </c>
      <c r="V79" s="4465"/>
      <c r="W79" s="4466">
        <f>'Direct sales IPT details'!W199</f>
        <v>0</v>
      </c>
      <c r="X79" s="4949"/>
      <c r="Y79" s="4527">
        <f t="shared" ref="Y79:Y82" si="187">+O79+S79+W79</f>
        <v>0</v>
      </c>
      <c r="Z79" s="4946"/>
      <c r="AA79" s="4469">
        <f t="shared" ref="AA79:AA82" si="188">+W79+S79+O79+K79+G79+E79</f>
        <v>2078.5</v>
      </c>
      <c r="AB79" s="4467"/>
      <c r="AC79" s="4466">
        <f>'Direct sales IPT details'!AC199</f>
        <v>4508.43</v>
      </c>
      <c r="AD79" s="5090"/>
      <c r="AE79" s="5021">
        <f t="shared" ref="AE79:AE82" si="189">+AC79+W79+S79+O79+K79+G79+E79</f>
        <v>6586.93</v>
      </c>
      <c r="AF79" s="5076">
        <v>7</v>
      </c>
      <c r="AG79" s="4466">
        <f>'Direct sales IPT details'!AG199</f>
        <v>15128.48</v>
      </c>
      <c r="AH79" s="4466">
        <f>'Direct sales IPT details'!AH199</f>
        <v>0</v>
      </c>
      <c r="AI79" s="4950">
        <f t="shared" ref="AI79:AI94" si="190">+AG79+AC79+W79+S79+O79+K79+G79+E79</f>
        <v>21715.41</v>
      </c>
      <c r="AJ79" s="4466">
        <f>'Direct sales IPT details'!AJ199</f>
        <v>0</v>
      </c>
      <c r="AK79" s="4466">
        <f>'Direct sales IPT details'!AK199</f>
        <v>10865.68</v>
      </c>
      <c r="AL79" s="4467">
        <f>'Direct sales IPT details'!AL199</f>
        <v>0</v>
      </c>
      <c r="AM79" s="4526">
        <f t="shared" ref="AM79:AM82" si="191">+AC79+AG79+AK79</f>
        <v>30502.59</v>
      </c>
      <c r="AN79" s="4467">
        <f>'Direct sales IPT details'!AN199</f>
        <v>0</v>
      </c>
      <c r="AO79" s="4950">
        <f t="shared" ref="AO79:AO82" si="192">+AK79+AG79+AC79+W79+S79+O79+K79+G79+E79</f>
        <v>32581.09</v>
      </c>
      <c r="AP79" s="4466">
        <v>6</v>
      </c>
      <c r="AQ79" s="4466">
        <f>'Direct sales IPT details'!AQ199</f>
        <v>13342.22</v>
      </c>
      <c r="AR79" s="4466">
        <f>'Direct sales IPT details'!AR199</f>
        <v>0</v>
      </c>
      <c r="AS79" s="4950">
        <f t="shared" ref="AS79:AS82" si="193">+AQ79+AK79+AG79+AC79+W79+S79+O79+K79+G79+E79</f>
        <v>45923.310000000005</v>
      </c>
      <c r="AT79" s="4466">
        <v>6</v>
      </c>
      <c r="AU79" s="4466">
        <f>'Direct sales IPT details'!AU199</f>
        <v>13546.23</v>
      </c>
      <c r="AV79" s="4466">
        <f>'Direct sales IPT details'!AV199</f>
        <v>0</v>
      </c>
      <c r="AW79" s="4950">
        <f t="shared" ref="AW79:AW82" si="194">+AU79+AQ79+AK79+AG79+AC79+W79+S79+O79+K79+G79+E79</f>
        <v>59469.54</v>
      </c>
      <c r="AX79" s="4466"/>
      <c r="AY79" s="4466">
        <v>12646.78</v>
      </c>
      <c r="AZ79" s="4468">
        <f>'Direct sales IPT details'!AZ199</f>
        <v>0</v>
      </c>
      <c r="BA79" s="4527">
        <f t="shared" ref="BA79:BA82" si="195">+AQ79+AU79+AY79</f>
        <v>39535.229999999996</v>
      </c>
      <c r="BB79" s="4469">
        <f>'Direct sales IPT details'!BB199</f>
        <v>0</v>
      </c>
      <c r="BC79" s="4469">
        <f t="shared" ref="BC79:BC82" si="196">AM79+BA79</f>
        <v>70037.819999999992</v>
      </c>
      <c r="BD79" s="4470">
        <f>'Direct sales IPT details'!BD199</f>
        <v>0</v>
      </c>
      <c r="BE79" s="4950">
        <f t="shared" ref="BE79:BE82" si="197">+BC79+AA79</f>
        <v>72116.319999999992</v>
      </c>
      <c r="BF79" s="1202"/>
      <c r="BG79" s="1202"/>
      <c r="BH79" s="528"/>
      <c r="BI79" s="528"/>
      <c r="BJ79" s="528"/>
      <c r="BQ79" s="528"/>
      <c r="BR79" s="528"/>
      <c r="BS79" s="528"/>
      <c r="BT79" s="528"/>
      <c r="BU79" s="528"/>
      <c r="BV79" s="528"/>
      <c r="BW79" s="528"/>
      <c r="BX79" s="528"/>
      <c r="BY79" s="528"/>
      <c r="BZ79" s="528"/>
      <c r="CA79" s="528"/>
      <c r="CB79" s="528"/>
    </row>
    <row r="80" spans="2:80" s="1334" customFormat="1" ht="21.9" customHeight="1" thickBot="1" x14ac:dyDescent="0.35">
      <c r="B80" s="6170"/>
      <c r="C80" s="4953" t="s">
        <v>1578</v>
      </c>
      <c r="D80" s="4465"/>
      <c r="E80" s="4466">
        <f>'Direct sales IPT details'!E200</f>
        <v>0</v>
      </c>
      <c r="F80" s="4465"/>
      <c r="G80" s="4466">
        <f>'Direct sales IPT details'!G200</f>
        <v>0</v>
      </c>
      <c r="H80" s="1463">
        <f t="shared" si="182"/>
        <v>0</v>
      </c>
      <c r="I80" s="4950">
        <f t="shared" si="183"/>
        <v>0</v>
      </c>
      <c r="J80" s="5074"/>
      <c r="K80" s="4466">
        <f>'Direct sales IPT details'!K200</f>
        <v>0</v>
      </c>
      <c r="L80" s="4468"/>
      <c r="M80" s="4526">
        <f t="shared" si="184"/>
        <v>0</v>
      </c>
      <c r="N80" s="4465"/>
      <c r="O80" s="4466">
        <f>'Direct sales IPT details'!O200</f>
        <v>0</v>
      </c>
      <c r="P80" s="4466">
        <f>'Direct sales IPT details'!P200</f>
        <v>0</v>
      </c>
      <c r="Q80" s="4950">
        <f t="shared" si="185"/>
        <v>0</v>
      </c>
      <c r="R80" s="4465"/>
      <c r="S80" s="4466">
        <f>'Direct sales IPT details'!S200</f>
        <v>0</v>
      </c>
      <c r="T80" s="1522">
        <f t="shared" si="163"/>
        <v>0</v>
      </c>
      <c r="U80" s="4950">
        <f t="shared" si="186"/>
        <v>0</v>
      </c>
      <c r="V80" s="4465"/>
      <c r="W80" s="4466">
        <f>'Direct sales IPT details'!W200</f>
        <v>4878.29</v>
      </c>
      <c r="X80" s="4949"/>
      <c r="Y80" s="4527">
        <f t="shared" si="187"/>
        <v>4878.29</v>
      </c>
      <c r="Z80" s="4946"/>
      <c r="AA80" s="4469">
        <f t="shared" si="188"/>
        <v>4878.29</v>
      </c>
      <c r="AB80" s="4467"/>
      <c r="AC80" s="4466">
        <f>'Direct sales IPT details'!AC200</f>
        <v>0</v>
      </c>
      <c r="AD80" s="5090"/>
      <c r="AE80" s="5021">
        <f t="shared" si="189"/>
        <v>4878.29</v>
      </c>
      <c r="AF80" s="5076">
        <f>'Direct sales IPT details'!AF200</f>
        <v>0</v>
      </c>
      <c r="AG80" s="4466">
        <f>'Direct sales IPT details'!AG200</f>
        <v>0</v>
      </c>
      <c r="AH80" s="4466">
        <f>'Direct sales IPT details'!AH200</f>
        <v>0</v>
      </c>
      <c r="AI80" s="4950">
        <f t="shared" si="190"/>
        <v>4878.29</v>
      </c>
      <c r="AJ80" s="4466">
        <f>'Direct sales IPT details'!AJ200</f>
        <v>0</v>
      </c>
      <c r="AK80" s="4466">
        <f>'Direct sales IPT details'!AK200</f>
        <v>9344.0400000000009</v>
      </c>
      <c r="AL80" s="4467">
        <f>'Direct sales IPT details'!AL200</f>
        <v>0</v>
      </c>
      <c r="AM80" s="4526">
        <f t="shared" si="191"/>
        <v>9344.0400000000009</v>
      </c>
      <c r="AN80" s="4467">
        <f>'Direct sales IPT details'!AN200</f>
        <v>0</v>
      </c>
      <c r="AO80" s="4950">
        <f t="shared" si="192"/>
        <v>14222.330000000002</v>
      </c>
      <c r="AP80" s="4466">
        <v>0</v>
      </c>
      <c r="AQ80" s="4466">
        <f>'Direct sales IPT details'!AQ200</f>
        <v>0</v>
      </c>
      <c r="AR80" s="4466">
        <f>'Direct sales IPT details'!AR200</f>
        <v>0</v>
      </c>
      <c r="AS80" s="4950">
        <f t="shared" si="193"/>
        <v>14222.330000000002</v>
      </c>
      <c r="AT80" s="4466">
        <v>0</v>
      </c>
      <c r="AU80" s="4466">
        <f>'Direct sales IPT details'!AU200</f>
        <v>0</v>
      </c>
      <c r="AV80" s="4466">
        <f>'Direct sales IPT details'!AV200</f>
        <v>0</v>
      </c>
      <c r="AW80" s="4950">
        <f t="shared" si="194"/>
        <v>14222.330000000002</v>
      </c>
      <c r="AX80" s="4466"/>
      <c r="AY80" s="4466">
        <f>'Direct sales IPT details'!AY200</f>
        <v>0</v>
      </c>
      <c r="AZ80" s="4468">
        <f>'Direct sales IPT details'!AZ200</f>
        <v>0</v>
      </c>
      <c r="BA80" s="4527">
        <f t="shared" si="195"/>
        <v>0</v>
      </c>
      <c r="BB80" s="4469">
        <f>'Direct sales IPT details'!BB200</f>
        <v>0</v>
      </c>
      <c r="BC80" s="4469">
        <f t="shared" si="196"/>
        <v>9344.0400000000009</v>
      </c>
      <c r="BD80" s="4470">
        <f>'Direct sales IPT details'!BD200</f>
        <v>0</v>
      </c>
      <c r="BE80" s="4950">
        <f t="shared" si="197"/>
        <v>14222.330000000002</v>
      </c>
      <c r="BF80" s="1202"/>
      <c r="BG80" s="1202"/>
      <c r="BH80" s="528"/>
      <c r="BI80" s="528"/>
      <c r="BJ80" s="528"/>
      <c r="BQ80" s="528"/>
      <c r="BR80" s="528"/>
      <c r="BS80" s="528"/>
      <c r="BT80" s="528"/>
      <c r="BU80" s="528"/>
      <c r="BV80" s="528"/>
      <c r="BW80" s="528"/>
      <c r="BX80" s="528"/>
      <c r="BY80" s="528"/>
      <c r="BZ80" s="528"/>
      <c r="CA80" s="528"/>
      <c r="CB80" s="528"/>
    </row>
    <row r="81" spans="2:80" s="1334" customFormat="1" ht="21.9" customHeight="1" thickBot="1" x14ac:dyDescent="0.35">
      <c r="B81" s="6170"/>
      <c r="C81" s="4953" t="s">
        <v>2134</v>
      </c>
      <c r="D81" s="5006"/>
      <c r="E81" s="5007">
        <v>0</v>
      </c>
      <c r="F81" s="5006"/>
      <c r="G81" s="5007">
        <v>0</v>
      </c>
      <c r="H81" s="1463"/>
      <c r="I81" s="4950">
        <f t="shared" si="183"/>
        <v>0</v>
      </c>
      <c r="J81" s="5074"/>
      <c r="K81" s="5007">
        <v>0</v>
      </c>
      <c r="L81" s="4468"/>
      <c r="M81" s="4526">
        <f t="shared" si="184"/>
        <v>0</v>
      </c>
      <c r="N81" s="5006"/>
      <c r="O81" s="5007">
        <v>0</v>
      </c>
      <c r="P81" s="5007"/>
      <c r="Q81" s="4950">
        <f t="shared" si="185"/>
        <v>0</v>
      </c>
      <c r="R81" s="5006"/>
      <c r="S81" s="5007">
        <v>0</v>
      </c>
      <c r="T81" s="1522">
        <f t="shared" ref="T81" si="198">P81+R81</f>
        <v>0</v>
      </c>
      <c r="U81" s="4950">
        <f t="shared" si="186"/>
        <v>0</v>
      </c>
      <c r="V81" s="5006"/>
      <c r="W81" s="5007">
        <f>'Direct sales IPT details'!W201</f>
        <v>2391.88</v>
      </c>
      <c r="X81" s="4949"/>
      <c r="Y81" s="4527">
        <f t="shared" si="187"/>
        <v>2391.88</v>
      </c>
      <c r="Z81" s="4946"/>
      <c r="AA81" s="4469">
        <f t="shared" si="188"/>
        <v>2391.88</v>
      </c>
      <c r="AB81" s="5008"/>
      <c r="AC81" s="5007">
        <f>'Direct sales IPT details'!AC201</f>
        <v>0</v>
      </c>
      <c r="AD81" s="5090"/>
      <c r="AE81" s="5021">
        <f t="shared" si="189"/>
        <v>2391.88</v>
      </c>
      <c r="AF81" s="5076"/>
      <c r="AG81" s="5007">
        <f>'Direct sales IPT details'!AG201</f>
        <v>0</v>
      </c>
      <c r="AH81" s="5007"/>
      <c r="AI81" s="4950">
        <f t="shared" si="190"/>
        <v>2391.88</v>
      </c>
      <c r="AJ81" s="5007"/>
      <c r="AK81" s="5007">
        <f>'Direct sales IPT details'!AK201</f>
        <v>0</v>
      </c>
      <c r="AL81" s="5008"/>
      <c r="AM81" s="4526">
        <f t="shared" si="191"/>
        <v>0</v>
      </c>
      <c r="AN81" s="5008"/>
      <c r="AO81" s="4950">
        <f t="shared" si="192"/>
        <v>2391.88</v>
      </c>
      <c r="AP81" s="5007">
        <v>0</v>
      </c>
      <c r="AQ81" s="5007">
        <f>'Direct sales IPT details'!AQ201</f>
        <v>0</v>
      </c>
      <c r="AR81" s="5007"/>
      <c r="AS81" s="4950">
        <f t="shared" si="193"/>
        <v>2391.88</v>
      </c>
      <c r="AT81" s="5007">
        <v>0</v>
      </c>
      <c r="AU81" s="5007">
        <f>'Direct sales IPT details'!AU201</f>
        <v>0</v>
      </c>
      <c r="AV81" s="5007"/>
      <c r="AW81" s="4950">
        <f t="shared" si="194"/>
        <v>2391.88</v>
      </c>
      <c r="AX81" s="5007"/>
      <c r="AY81" s="5007">
        <f>'Direct sales IPT details'!AY201</f>
        <v>0</v>
      </c>
      <c r="AZ81" s="4951"/>
      <c r="BA81" s="4527">
        <f t="shared" si="195"/>
        <v>0</v>
      </c>
      <c r="BB81" s="4947"/>
      <c r="BC81" s="4469">
        <f t="shared" si="196"/>
        <v>0</v>
      </c>
      <c r="BD81" s="4950"/>
      <c r="BE81" s="4950">
        <f t="shared" si="197"/>
        <v>2391.88</v>
      </c>
      <c r="BF81" s="1202"/>
      <c r="BG81" s="1202"/>
      <c r="BH81" s="528"/>
      <c r="BI81" s="528"/>
      <c r="BJ81" s="528"/>
      <c r="BQ81" s="528"/>
      <c r="BR81" s="528"/>
      <c r="BS81" s="528"/>
      <c r="BT81" s="528"/>
      <c r="BU81" s="528"/>
      <c r="BV81" s="528"/>
      <c r="BW81" s="528"/>
      <c r="BX81" s="528"/>
      <c r="BY81" s="528"/>
      <c r="BZ81" s="528"/>
      <c r="CA81" s="528"/>
      <c r="CB81" s="528"/>
    </row>
    <row r="82" spans="2:80" s="1334" customFormat="1" ht="21.9" customHeight="1" x14ac:dyDescent="0.3">
      <c r="B82" s="6170"/>
      <c r="C82" s="4953" t="s">
        <v>2108</v>
      </c>
      <c r="D82" s="4465"/>
      <c r="E82" s="4466">
        <f>'Direct sales IPT details'!E201</f>
        <v>0</v>
      </c>
      <c r="F82" s="4465"/>
      <c r="G82" s="4466">
        <f>'Direct sales IPT details'!G201</f>
        <v>0</v>
      </c>
      <c r="H82" s="1463">
        <f t="shared" si="182"/>
        <v>0</v>
      </c>
      <c r="I82" s="4950">
        <f t="shared" si="183"/>
        <v>0</v>
      </c>
      <c r="J82" s="5074"/>
      <c r="K82" s="4466">
        <f>'Direct sales IPT details'!K201</f>
        <v>0</v>
      </c>
      <c r="L82" s="4468"/>
      <c r="M82" s="4526">
        <f t="shared" si="184"/>
        <v>0</v>
      </c>
      <c r="N82" s="4465"/>
      <c r="O82" s="4466">
        <f>'Direct sales IPT details'!O201</f>
        <v>0</v>
      </c>
      <c r="P82" s="4466">
        <f>'Direct sales IPT details'!P201</f>
        <v>0</v>
      </c>
      <c r="Q82" s="4950">
        <f t="shared" si="185"/>
        <v>0</v>
      </c>
      <c r="R82" s="4465"/>
      <c r="S82" s="4466">
        <f>'Direct sales IPT details'!S202</f>
        <v>2542.38</v>
      </c>
      <c r="T82" s="1522">
        <f t="shared" si="163"/>
        <v>0</v>
      </c>
      <c r="U82" s="4950">
        <f t="shared" si="186"/>
        <v>2542.38</v>
      </c>
      <c r="V82" s="4465"/>
      <c r="W82" s="4466">
        <f>'Direct sales IPT details'!W202</f>
        <v>2589.14</v>
      </c>
      <c r="X82" s="4949"/>
      <c r="Y82" s="4527">
        <f t="shared" si="187"/>
        <v>5131.5200000000004</v>
      </c>
      <c r="Z82" s="4946"/>
      <c r="AA82" s="4469">
        <f t="shared" si="188"/>
        <v>5131.5200000000004</v>
      </c>
      <c r="AB82" s="4467"/>
      <c r="AC82" s="4466">
        <f>'Direct sales IPT details'!AC202</f>
        <v>0</v>
      </c>
      <c r="AD82" s="5090"/>
      <c r="AE82" s="5021">
        <f t="shared" si="189"/>
        <v>5131.5200000000004</v>
      </c>
      <c r="AF82" s="5076">
        <v>1</v>
      </c>
      <c r="AG82" s="4466">
        <f>'Direct sales IPT details'!AG202</f>
        <v>2314.94</v>
      </c>
      <c r="AH82" s="4466">
        <f>'Direct sales IPT details'!AH201</f>
        <v>0</v>
      </c>
      <c r="AI82" s="4950">
        <f t="shared" si="190"/>
        <v>7446.46</v>
      </c>
      <c r="AJ82" s="4466">
        <f>'Direct sales IPT details'!AJ201</f>
        <v>0</v>
      </c>
      <c r="AK82" s="4466">
        <f>'Direct sales IPT details'!AK202</f>
        <v>2034.8</v>
      </c>
      <c r="AL82" s="4467">
        <f>'Direct sales IPT details'!AL201</f>
        <v>0</v>
      </c>
      <c r="AM82" s="4526">
        <f t="shared" si="191"/>
        <v>4349.74</v>
      </c>
      <c r="AN82" s="4467">
        <f>'Direct sales IPT details'!AN201</f>
        <v>0</v>
      </c>
      <c r="AO82" s="4950">
        <f t="shared" si="192"/>
        <v>9481.2599999999984</v>
      </c>
      <c r="AP82" s="4466">
        <v>0</v>
      </c>
      <c r="AQ82" s="4466">
        <f>'Direct sales IPT details'!AQ202</f>
        <v>0</v>
      </c>
      <c r="AR82" s="4466">
        <f>'Direct sales IPT details'!AR201</f>
        <v>0</v>
      </c>
      <c r="AS82" s="4950">
        <f t="shared" si="193"/>
        <v>9481.2599999999984</v>
      </c>
      <c r="AT82" s="4466">
        <v>1</v>
      </c>
      <c r="AU82" s="4466">
        <f>'Direct sales IPT details'!AU202</f>
        <v>2140.31</v>
      </c>
      <c r="AV82" s="4466">
        <f>'Direct sales IPT details'!AV201</f>
        <v>0</v>
      </c>
      <c r="AW82" s="4950">
        <f t="shared" si="194"/>
        <v>11621.57</v>
      </c>
      <c r="AX82" s="4466"/>
      <c r="AY82" s="4466">
        <f>'Direct sales IPT details'!AY202</f>
        <v>0</v>
      </c>
      <c r="AZ82" s="4468">
        <f>'Direct sales IPT details'!AZ201</f>
        <v>0</v>
      </c>
      <c r="BA82" s="4527">
        <f t="shared" si="195"/>
        <v>2140.31</v>
      </c>
      <c r="BB82" s="4469">
        <f>'Direct sales IPT details'!BB201</f>
        <v>0</v>
      </c>
      <c r="BC82" s="4469">
        <f t="shared" si="196"/>
        <v>6490.0499999999993</v>
      </c>
      <c r="BD82" s="4470">
        <f>'Direct sales IPT details'!BD201</f>
        <v>0</v>
      </c>
      <c r="BE82" s="4950">
        <f t="shared" si="197"/>
        <v>11621.57</v>
      </c>
      <c r="BF82" s="1202"/>
      <c r="BG82" s="1202"/>
      <c r="BH82" s="528"/>
      <c r="BI82" s="528"/>
      <c r="BJ82" s="528"/>
      <c r="BQ82" s="528"/>
      <c r="BR82" s="528"/>
      <c r="BS82" s="528"/>
      <c r="BT82" s="528"/>
      <c r="BU82" s="528"/>
      <c r="BV82" s="528"/>
      <c r="BW82" s="528"/>
      <c r="BX82" s="528"/>
      <c r="BY82" s="528"/>
      <c r="BZ82" s="528"/>
      <c r="CA82" s="528"/>
      <c r="CB82" s="528"/>
    </row>
    <row r="83" spans="2:80" s="1334" customFormat="1" ht="21.9" customHeight="1" x14ac:dyDescent="0.3">
      <c r="B83" s="6170"/>
      <c r="C83" s="5055" t="s">
        <v>1342</v>
      </c>
      <c r="D83" s="5056"/>
      <c r="E83" s="5056">
        <f>SUM(E79:E82)</f>
        <v>0</v>
      </c>
      <c r="F83" s="5056">
        <f t="shared" ref="F83:BE83" si="199">SUM(F79:F82)</f>
        <v>0</v>
      </c>
      <c r="G83" s="5056">
        <f t="shared" si="199"/>
        <v>2078.5</v>
      </c>
      <c r="H83" s="5056">
        <f t="shared" si="199"/>
        <v>0</v>
      </c>
      <c r="I83" s="5056">
        <f t="shared" si="199"/>
        <v>2078.5</v>
      </c>
      <c r="J83" s="5056">
        <f t="shared" si="199"/>
        <v>0</v>
      </c>
      <c r="K83" s="5056">
        <f t="shared" si="199"/>
        <v>0</v>
      </c>
      <c r="L83" s="5056">
        <f t="shared" si="199"/>
        <v>0</v>
      </c>
      <c r="M83" s="5056">
        <f t="shared" si="199"/>
        <v>2078.5</v>
      </c>
      <c r="N83" s="5056">
        <f t="shared" si="199"/>
        <v>0</v>
      </c>
      <c r="O83" s="5056">
        <f t="shared" si="199"/>
        <v>0</v>
      </c>
      <c r="P83" s="5056">
        <f t="shared" si="199"/>
        <v>0</v>
      </c>
      <c r="Q83" s="5056">
        <f t="shared" si="199"/>
        <v>2078.5</v>
      </c>
      <c r="R83" s="5056">
        <f t="shared" si="199"/>
        <v>0</v>
      </c>
      <c r="S83" s="5056">
        <f t="shared" si="199"/>
        <v>2542.38</v>
      </c>
      <c r="T83" s="5056">
        <f t="shared" si="199"/>
        <v>0</v>
      </c>
      <c r="U83" s="5056">
        <f t="shared" si="199"/>
        <v>4620.88</v>
      </c>
      <c r="V83" s="5056">
        <f t="shared" si="199"/>
        <v>0</v>
      </c>
      <c r="W83" s="5056">
        <f t="shared" si="199"/>
        <v>9859.31</v>
      </c>
      <c r="X83" s="5056">
        <f t="shared" si="199"/>
        <v>0</v>
      </c>
      <c r="Y83" s="5056">
        <f t="shared" si="199"/>
        <v>12401.69</v>
      </c>
      <c r="Z83" s="5056">
        <f t="shared" si="199"/>
        <v>0</v>
      </c>
      <c r="AA83" s="5056">
        <f t="shared" si="199"/>
        <v>14480.19</v>
      </c>
      <c r="AB83" s="5056">
        <f t="shared" si="199"/>
        <v>0</v>
      </c>
      <c r="AC83" s="5056">
        <f t="shared" si="199"/>
        <v>4508.43</v>
      </c>
      <c r="AD83" s="5093">
        <f t="shared" si="199"/>
        <v>0</v>
      </c>
      <c r="AE83" s="5062">
        <f t="shared" si="199"/>
        <v>18988.620000000003</v>
      </c>
      <c r="AF83" s="5103">
        <f t="shared" si="199"/>
        <v>8</v>
      </c>
      <c r="AG83" s="5056">
        <f t="shared" ref="AG83" si="200">SUM(AG79:AG82)</f>
        <v>17443.419999999998</v>
      </c>
      <c r="AH83" s="5056">
        <f t="shared" si="199"/>
        <v>0</v>
      </c>
      <c r="AI83" s="5056">
        <f t="shared" si="190"/>
        <v>36432.039999999994</v>
      </c>
      <c r="AJ83" s="5056">
        <f t="shared" si="199"/>
        <v>0</v>
      </c>
      <c r="AK83" s="5056">
        <f t="shared" si="199"/>
        <v>22244.52</v>
      </c>
      <c r="AL83" s="5056">
        <f t="shared" si="199"/>
        <v>0</v>
      </c>
      <c r="AM83" s="5056">
        <f t="shared" si="199"/>
        <v>44196.37</v>
      </c>
      <c r="AN83" s="5056">
        <f t="shared" si="199"/>
        <v>0</v>
      </c>
      <c r="AO83" s="5056">
        <f t="shared" si="199"/>
        <v>58676.56</v>
      </c>
      <c r="AP83" s="5056">
        <f t="shared" ref="AP83:AQ83" si="201">SUM(AP79:AP82)</f>
        <v>6</v>
      </c>
      <c r="AQ83" s="5056">
        <f t="shared" si="201"/>
        <v>13342.22</v>
      </c>
      <c r="AR83" s="5056">
        <f t="shared" si="199"/>
        <v>0</v>
      </c>
      <c r="AS83" s="5056">
        <f t="shared" si="199"/>
        <v>72018.78</v>
      </c>
      <c r="AT83" s="5056">
        <f t="shared" si="199"/>
        <v>7</v>
      </c>
      <c r="AU83" s="5056">
        <f t="shared" si="199"/>
        <v>15686.539999999999</v>
      </c>
      <c r="AV83" s="5056">
        <f t="shared" si="199"/>
        <v>0</v>
      </c>
      <c r="AW83" s="5056">
        <f t="shared" si="199"/>
        <v>87705.32</v>
      </c>
      <c r="AX83" s="5056">
        <f t="shared" ref="AX83:AY83" si="202">SUM(AX79:AX82)</f>
        <v>0</v>
      </c>
      <c r="AY83" s="5056">
        <f t="shared" si="202"/>
        <v>12646.78</v>
      </c>
      <c r="AZ83" s="5056">
        <f t="shared" si="199"/>
        <v>0</v>
      </c>
      <c r="BA83" s="5056">
        <f t="shared" si="199"/>
        <v>41675.539999999994</v>
      </c>
      <c r="BB83" s="5056">
        <f t="shared" si="199"/>
        <v>0</v>
      </c>
      <c r="BC83" s="5056">
        <f t="shared" si="199"/>
        <v>85871.909999999989</v>
      </c>
      <c r="BD83" s="5056">
        <f t="shared" si="199"/>
        <v>0</v>
      </c>
      <c r="BE83" s="5056">
        <f t="shared" si="199"/>
        <v>100352.1</v>
      </c>
      <c r="BF83" s="1202"/>
      <c r="BG83" s="1202">
        <v>100616</v>
      </c>
      <c r="BH83" s="26">
        <f>+BG83-BE83</f>
        <v>263.89999999999418</v>
      </c>
      <c r="BI83" s="528"/>
      <c r="BJ83" s="528"/>
      <c r="BQ83" s="528"/>
      <c r="BR83" s="528"/>
      <c r="BS83" s="528"/>
      <c r="BT83" s="528"/>
      <c r="BU83" s="528"/>
      <c r="BV83" s="528"/>
      <c r="BW83" s="528"/>
      <c r="BX83" s="528"/>
      <c r="BY83" s="528"/>
      <c r="BZ83" s="528"/>
      <c r="CA83" s="528"/>
      <c r="CB83" s="528"/>
    </row>
    <row r="84" spans="2:80" ht="15.75" customHeight="1" x14ac:dyDescent="0.3">
      <c r="B84" s="6170"/>
      <c r="C84" s="4997"/>
      <c r="D84" s="4997"/>
      <c r="E84" s="4997"/>
      <c r="F84" s="4997"/>
      <c r="G84" s="4997"/>
      <c r="H84" s="4997"/>
      <c r="I84" s="4997"/>
      <c r="J84" s="5059"/>
      <c r="K84" s="5059"/>
      <c r="L84" s="4997"/>
      <c r="M84" s="4997"/>
      <c r="N84" s="4997"/>
      <c r="O84" s="4997"/>
      <c r="P84" s="4997"/>
      <c r="Q84" s="4997"/>
      <c r="R84" s="4997"/>
      <c r="S84" s="4997"/>
      <c r="T84" s="4997"/>
      <c r="U84" s="4997"/>
      <c r="V84" s="4997"/>
      <c r="W84" s="4997"/>
      <c r="X84" s="4997"/>
      <c r="Y84" s="4997"/>
      <c r="Z84" s="4997"/>
      <c r="AA84" s="4997"/>
      <c r="AB84" s="4997"/>
      <c r="AC84" s="4997"/>
      <c r="AD84" s="5094"/>
      <c r="AG84" s="4997"/>
      <c r="AK84" s="4997"/>
      <c r="AQ84" s="4997"/>
      <c r="AU84" s="4997"/>
      <c r="AY84" s="4997"/>
      <c r="BF84" s="1202"/>
      <c r="BG84" s="1202"/>
      <c r="BH84" s="528"/>
      <c r="BI84" s="528"/>
      <c r="BJ84" s="528"/>
      <c r="BQ84" s="528"/>
      <c r="BR84" s="528"/>
      <c r="BS84" s="528"/>
      <c r="BT84" s="528"/>
      <c r="BU84" s="528"/>
      <c r="BV84" s="528"/>
      <c r="BW84" s="528"/>
      <c r="BX84" s="528"/>
      <c r="BY84" s="528"/>
      <c r="BZ84" s="528"/>
      <c r="CA84" s="528"/>
      <c r="CB84" s="528"/>
    </row>
    <row r="85" spans="2:80" ht="16.2" thickBot="1" x14ac:dyDescent="0.35">
      <c r="B85" s="6170"/>
      <c r="C85" s="5066" t="s">
        <v>1903</v>
      </c>
      <c r="D85" s="5067"/>
      <c r="E85" s="5068">
        <f t="shared" ref="E85:BE85" si="203">+SUM(E86:E87)</f>
        <v>0</v>
      </c>
      <c r="F85" s="5068">
        <f t="shared" si="203"/>
        <v>0</v>
      </c>
      <c r="G85" s="5068">
        <f t="shared" si="203"/>
        <v>10196</v>
      </c>
      <c r="H85" s="5068">
        <f t="shared" si="203"/>
        <v>0</v>
      </c>
      <c r="I85" s="5068">
        <f t="shared" si="203"/>
        <v>10196</v>
      </c>
      <c r="J85" s="5068">
        <f t="shared" si="203"/>
        <v>0</v>
      </c>
      <c r="K85" s="5068">
        <f t="shared" si="203"/>
        <v>0</v>
      </c>
      <c r="L85" s="5068">
        <f t="shared" si="203"/>
        <v>0</v>
      </c>
      <c r="M85" s="5068">
        <f t="shared" si="203"/>
        <v>10196</v>
      </c>
      <c r="N85" s="5068">
        <f t="shared" si="203"/>
        <v>0</v>
      </c>
      <c r="O85" s="5068">
        <f t="shared" si="203"/>
        <v>3764</v>
      </c>
      <c r="P85" s="5068">
        <f t="shared" si="203"/>
        <v>0</v>
      </c>
      <c r="Q85" s="5068">
        <f t="shared" si="203"/>
        <v>13960</v>
      </c>
      <c r="R85" s="5068">
        <f t="shared" si="203"/>
        <v>0</v>
      </c>
      <c r="S85" s="5068">
        <f t="shared" si="203"/>
        <v>0</v>
      </c>
      <c r="T85" s="5068">
        <f t="shared" si="203"/>
        <v>0</v>
      </c>
      <c r="U85" s="5068">
        <f t="shared" si="203"/>
        <v>13960</v>
      </c>
      <c r="V85" s="5068">
        <f t="shared" si="203"/>
        <v>0</v>
      </c>
      <c r="W85" s="5068">
        <f t="shared" si="203"/>
        <v>0</v>
      </c>
      <c r="X85" s="5068">
        <f t="shared" si="203"/>
        <v>0</v>
      </c>
      <c r="Y85" s="5068">
        <f t="shared" si="203"/>
        <v>3764</v>
      </c>
      <c r="Z85" s="5068">
        <f t="shared" si="203"/>
        <v>0</v>
      </c>
      <c r="AA85" s="5068">
        <f t="shared" si="203"/>
        <v>13960</v>
      </c>
      <c r="AB85" s="5068">
        <f t="shared" si="203"/>
        <v>0</v>
      </c>
      <c r="AC85" s="5068">
        <f t="shared" si="203"/>
        <v>3476.11</v>
      </c>
      <c r="AD85" s="5068">
        <f t="shared" si="203"/>
        <v>0</v>
      </c>
      <c r="AE85" s="5068">
        <f t="shared" si="203"/>
        <v>17436.11</v>
      </c>
      <c r="AF85" s="5070">
        <f t="shared" si="203"/>
        <v>1</v>
      </c>
      <c r="AG85" s="5068">
        <f t="shared" si="203"/>
        <v>3090.62</v>
      </c>
      <c r="AH85" s="5068">
        <f t="shared" si="203"/>
        <v>0</v>
      </c>
      <c r="AI85" s="5068">
        <f t="shared" si="203"/>
        <v>20526.73</v>
      </c>
      <c r="AJ85" s="5068">
        <f t="shared" si="203"/>
        <v>0</v>
      </c>
      <c r="AK85" s="5068">
        <f t="shared" ref="AK85" si="204">+SUM(AK86:AK87)</f>
        <v>3105.11</v>
      </c>
      <c r="AL85" s="5068">
        <f t="shared" si="203"/>
        <v>0</v>
      </c>
      <c r="AM85" s="5068">
        <f t="shared" si="203"/>
        <v>9671.84</v>
      </c>
      <c r="AN85" s="5068">
        <f t="shared" si="203"/>
        <v>0</v>
      </c>
      <c r="AO85" s="5068">
        <f t="shared" si="203"/>
        <v>23631.84</v>
      </c>
      <c r="AP85" s="5068">
        <f t="shared" ref="AP85" si="205">+SUM(AP86:AP87)</f>
        <v>2</v>
      </c>
      <c r="AQ85" s="5068">
        <f t="shared" ref="AQ85" si="206">+SUM(AQ86:AQ87)</f>
        <v>6210.87</v>
      </c>
      <c r="AR85" s="5068">
        <f t="shared" si="203"/>
        <v>0</v>
      </c>
      <c r="AS85" s="5068">
        <f t="shared" si="203"/>
        <v>29842.71</v>
      </c>
      <c r="AT85" s="5068">
        <f t="shared" ref="AT85:AU85" si="207">+SUM(AT86:AT87)</f>
        <v>0</v>
      </c>
      <c r="AU85" s="5068">
        <f t="shared" si="207"/>
        <v>0</v>
      </c>
      <c r="AV85" s="5068">
        <f t="shared" si="203"/>
        <v>0</v>
      </c>
      <c r="AW85" s="5068">
        <f t="shared" si="203"/>
        <v>29842.71</v>
      </c>
      <c r="AX85" s="5068">
        <f t="shared" ref="AX85:AY85" si="208">+SUM(AX86:AX87)</f>
        <v>0</v>
      </c>
      <c r="AY85" s="5068">
        <f t="shared" si="208"/>
        <v>3277.84</v>
      </c>
      <c r="AZ85" s="5068">
        <f t="shared" si="203"/>
        <v>0</v>
      </c>
      <c r="BA85" s="5068">
        <f t="shared" si="203"/>
        <v>9488.7099999999991</v>
      </c>
      <c r="BB85" s="5068">
        <f t="shared" si="203"/>
        <v>0</v>
      </c>
      <c r="BC85" s="5068">
        <f t="shared" si="203"/>
        <v>19160.55</v>
      </c>
      <c r="BD85" s="5068">
        <f t="shared" si="203"/>
        <v>0</v>
      </c>
      <c r="BE85" s="5068">
        <f t="shared" si="203"/>
        <v>33120.550000000003</v>
      </c>
      <c r="BF85" s="1202"/>
      <c r="BG85" s="1202"/>
      <c r="BI85" s="528"/>
      <c r="BJ85" s="528"/>
      <c r="BQ85" s="528"/>
      <c r="BR85" s="528"/>
      <c r="BS85" s="528"/>
      <c r="BT85" s="528"/>
      <c r="BU85" s="528"/>
      <c r="BV85" s="528"/>
      <c r="BW85" s="528"/>
      <c r="BX85" s="528"/>
      <c r="BY85" s="528"/>
      <c r="BZ85" s="528"/>
      <c r="CA85" s="528"/>
      <c r="CB85" s="528"/>
    </row>
    <row r="86" spans="2:80" ht="18" x14ac:dyDescent="0.3">
      <c r="B86" s="6170"/>
      <c r="C86" s="5060" t="s">
        <v>1790</v>
      </c>
      <c r="D86" s="4944"/>
      <c r="E86" s="5007">
        <v>0</v>
      </c>
      <c r="F86" s="4944"/>
      <c r="G86" s="5007">
        <v>10196</v>
      </c>
      <c r="H86" s="5019">
        <f t="shared" si="182"/>
        <v>0</v>
      </c>
      <c r="I86" s="4950">
        <f t="shared" ref="I86:I87" si="209">+G86+E86</f>
        <v>10196</v>
      </c>
      <c r="J86" s="4944"/>
      <c r="K86" s="5007">
        <v>0</v>
      </c>
      <c r="L86" s="4945"/>
      <c r="M86" s="4526">
        <f t="shared" ref="M86:M87" si="210">+E86+G86+K86</f>
        <v>10196</v>
      </c>
      <c r="N86" s="4944"/>
      <c r="O86" s="5007">
        <v>3764</v>
      </c>
      <c r="P86" s="4950">
        <f t="shared" ref="P86" si="211">L86+N86</f>
        <v>0</v>
      </c>
      <c r="Q86" s="4950">
        <f t="shared" ref="Q86:Q87" si="212">+E86+G86+K86+O86</f>
        <v>13960</v>
      </c>
      <c r="R86" s="4944"/>
      <c r="S86" s="5007">
        <v>0</v>
      </c>
      <c r="T86" s="4950">
        <f t="shared" si="163"/>
        <v>0</v>
      </c>
      <c r="U86" s="4950">
        <f t="shared" ref="U86:U87" si="213">+E86+S86+O86+K86+G86</f>
        <v>13960</v>
      </c>
      <c r="V86" s="4944"/>
      <c r="W86" s="5007">
        <v>0</v>
      </c>
      <c r="X86" s="4951"/>
      <c r="Y86" s="4527">
        <f t="shared" ref="Y86:Y87" si="214">+O86+S86+W86</f>
        <v>3764</v>
      </c>
      <c r="Z86" s="5064"/>
      <c r="AA86" s="4469">
        <f t="shared" ref="AA86:AA87" si="215">+W86+S86+O86+K86+G86+E86</f>
        <v>13960</v>
      </c>
      <c r="AB86" s="4944"/>
      <c r="AC86" s="5007">
        <v>0</v>
      </c>
      <c r="AD86" s="5087"/>
      <c r="AE86" s="5021">
        <f t="shared" ref="AE86:AE87" si="216">+AC86+W86+S86+O86+K86+G86+E86</f>
        <v>13960</v>
      </c>
      <c r="AF86" s="5058"/>
      <c r="AG86" s="5007"/>
      <c r="AH86" s="4473">
        <f t="shared" ref="AH86" si="217">AD86+AF86</f>
        <v>0</v>
      </c>
      <c r="AI86" s="4950">
        <f t="shared" si="190"/>
        <v>13960</v>
      </c>
      <c r="AJ86" s="4467"/>
      <c r="AK86" s="5007"/>
      <c r="AL86" s="4463">
        <f t="shared" ref="AL86:AM87" si="218">+AB86+AF86+AJ86</f>
        <v>0</v>
      </c>
      <c r="AM86" s="4526">
        <f t="shared" si="218"/>
        <v>0</v>
      </c>
      <c r="AN86" s="4462">
        <f t="shared" ref="AN86" si="219">AH86+AJ86</f>
        <v>0</v>
      </c>
      <c r="AO86" s="4950">
        <f t="shared" ref="AO86:AO94" si="220">+AK86+AG86+AC86+W86+S86+O86+K86+G86+E86</f>
        <v>13960</v>
      </c>
      <c r="AP86" s="4467">
        <v>0</v>
      </c>
      <c r="AQ86" s="5007">
        <v>0</v>
      </c>
      <c r="AR86" s="4470">
        <f t="shared" ref="AR86" si="221">AN86+AP86</f>
        <v>0</v>
      </c>
      <c r="AS86" s="4950">
        <f t="shared" ref="AS86:AS87" si="222">+AQ86+AK86+AG86+AC86+W86+S86+O86+K86+G86+E86</f>
        <v>13960</v>
      </c>
      <c r="AT86" s="4467"/>
      <c r="AU86" s="5007"/>
      <c r="AV86" s="4470">
        <f t="shared" ref="AV86" si="223">AR86+AT86</f>
        <v>0</v>
      </c>
      <c r="AW86" s="4950">
        <f t="shared" ref="AW86:AW87" si="224">+AU86+AQ86+AK86+AG86+AC86+W86+S86+O86+K86+G86+E86</f>
        <v>13960</v>
      </c>
      <c r="AX86" s="4467"/>
      <c r="AY86" s="5007"/>
      <c r="AZ86" s="4468">
        <f t="shared" ref="AZ86:BA87" si="225">+AP86+AT86+AX86</f>
        <v>0</v>
      </c>
      <c r="BA86" s="4527">
        <f t="shared" si="225"/>
        <v>0</v>
      </c>
      <c r="BB86" s="4472">
        <f t="shared" ref="BB86:BC87" si="226">AL86+AZ86</f>
        <v>0</v>
      </c>
      <c r="BC86" s="4469">
        <f t="shared" si="226"/>
        <v>0</v>
      </c>
      <c r="BD86" s="1463">
        <f t="shared" ref="BD86" si="227">AV86+AX86</f>
        <v>0</v>
      </c>
      <c r="BE86" s="4950">
        <f t="shared" ref="BE86:BE87" si="228">+BC86+AA86</f>
        <v>13960</v>
      </c>
      <c r="BF86" s="1202"/>
      <c r="BG86" s="1202"/>
      <c r="BI86" s="528"/>
      <c r="BJ86" s="528"/>
      <c r="BQ86" s="528"/>
      <c r="BR86" s="528"/>
      <c r="BS86" s="528"/>
      <c r="BT86" s="528"/>
      <c r="BU86" s="528"/>
      <c r="BV86" s="528"/>
      <c r="BW86" s="528"/>
      <c r="BX86" s="528"/>
      <c r="BY86" s="528"/>
      <c r="BZ86" s="528"/>
      <c r="CA86" s="528"/>
      <c r="CB86" s="528"/>
    </row>
    <row r="87" spans="2:80" ht="18" x14ac:dyDescent="0.3">
      <c r="B87" s="6170"/>
      <c r="C87" s="5060" t="s">
        <v>2149</v>
      </c>
      <c r="D87" s="4944"/>
      <c r="E87" s="5007">
        <v>0</v>
      </c>
      <c r="F87" s="4944"/>
      <c r="G87" s="5007">
        <v>0</v>
      </c>
      <c r="H87" s="5019"/>
      <c r="I87" s="4950">
        <f t="shared" si="209"/>
        <v>0</v>
      </c>
      <c r="J87" s="4944"/>
      <c r="K87" s="5007">
        <v>0</v>
      </c>
      <c r="L87" s="4945"/>
      <c r="M87" s="4526">
        <f t="shared" si="210"/>
        <v>0</v>
      </c>
      <c r="N87" s="4944"/>
      <c r="O87" s="5007">
        <v>0</v>
      </c>
      <c r="P87" s="4950"/>
      <c r="Q87" s="4950">
        <f t="shared" si="212"/>
        <v>0</v>
      </c>
      <c r="R87" s="4944"/>
      <c r="S87" s="5007">
        <v>0</v>
      </c>
      <c r="T87" s="4950"/>
      <c r="U87" s="4950">
        <f t="shared" si="213"/>
        <v>0</v>
      </c>
      <c r="V87" s="4944"/>
      <c r="W87" s="5007">
        <v>0</v>
      </c>
      <c r="X87" s="4951"/>
      <c r="Y87" s="4527">
        <f t="shared" si="214"/>
        <v>0</v>
      </c>
      <c r="Z87" s="5064"/>
      <c r="AA87" s="4469">
        <f t="shared" si="215"/>
        <v>0</v>
      </c>
      <c r="AB87" s="4944"/>
      <c r="AC87" s="5007">
        <v>3476.11</v>
      </c>
      <c r="AD87" s="5087"/>
      <c r="AE87" s="5021">
        <f t="shared" si="216"/>
        <v>3476.11</v>
      </c>
      <c r="AF87" s="5058">
        <v>1</v>
      </c>
      <c r="AG87" s="5007">
        <v>3090.62</v>
      </c>
      <c r="AH87" s="5019"/>
      <c r="AI87" s="4950">
        <f t="shared" si="190"/>
        <v>6566.73</v>
      </c>
      <c r="AJ87" s="5008"/>
      <c r="AK87" s="5007">
        <v>3105.11</v>
      </c>
      <c r="AL87" s="4945"/>
      <c r="AM87" s="4526">
        <f t="shared" si="218"/>
        <v>9671.84</v>
      </c>
      <c r="AN87" s="5020"/>
      <c r="AO87" s="4950">
        <f t="shared" si="220"/>
        <v>9671.84</v>
      </c>
      <c r="AP87" s="5008">
        <v>2</v>
      </c>
      <c r="AQ87" s="5007">
        <v>6210.87</v>
      </c>
      <c r="AR87" s="4950"/>
      <c r="AS87" s="4950">
        <f t="shared" si="222"/>
        <v>15882.71</v>
      </c>
      <c r="AT87" s="5008"/>
      <c r="AU87" s="5007"/>
      <c r="AV87" s="4950"/>
      <c r="AW87" s="4950">
        <f t="shared" si="224"/>
        <v>15882.71</v>
      </c>
      <c r="AX87" s="5008"/>
      <c r="AY87" s="5007">
        <v>3277.84</v>
      </c>
      <c r="AZ87" s="4951"/>
      <c r="BA87" s="4527">
        <f t="shared" si="225"/>
        <v>9488.7099999999991</v>
      </c>
      <c r="BB87" s="4946"/>
      <c r="BC87" s="4469">
        <f t="shared" si="226"/>
        <v>19160.55</v>
      </c>
      <c r="BD87" s="3806"/>
      <c r="BE87" s="4950">
        <f t="shared" si="228"/>
        <v>19160.55</v>
      </c>
      <c r="BF87" s="1202"/>
      <c r="BG87" s="1202"/>
      <c r="BI87" s="528"/>
      <c r="BJ87" s="528"/>
      <c r="BQ87" s="528"/>
      <c r="BR87" s="528"/>
      <c r="BS87" s="528"/>
      <c r="BT87" s="528"/>
      <c r="BU87" s="528"/>
      <c r="BV87" s="528"/>
      <c r="BW87" s="528"/>
      <c r="BX87" s="528"/>
      <c r="BY87" s="528"/>
      <c r="BZ87" s="528"/>
      <c r="CA87" s="528"/>
      <c r="CB87" s="528"/>
    </row>
    <row r="88" spans="2:80" ht="15.6" x14ac:dyDescent="0.3">
      <c r="B88" s="6170"/>
      <c r="C88" s="5066" t="s">
        <v>1904</v>
      </c>
      <c r="D88" s="5068"/>
      <c r="E88" s="5068">
        <f t="shared" ref="E88:AJ88" si="229">+E89+E90+E91</f>
        <v>0</v>
      </c>
      <c r="F88" s="5068">
        <f t="shared" si="229"/>
        <v>0</v>
      </c>
      <c r="G88" s="5068">
        <f t="shared" si="229"/>
        <v>0</v>
      </c>
      <c r="H88" s="5068">
        <f t="shared" si="229"/>
        <v>0</v>
      </c>
      <c r="I88" s="5068">
        <f t="shared" si="229"/>
        <v>0</v>
      </c>
      <c r="J88" s="5068">
        <f t="shared" si="229"/>
        <v>0</v>
      </c>
      <c r="K88" s="5068">
        <f t="shared" si="229"/>
        <v>0</v>
      </c>
      <c r="L88" s="5068">
        <f t="shared" si="229"/>
        <v>0</v>
      </c>
      <c r="M88" s="5068">
        <f t="shared" si="229"/>
        <v>0</v>
      </c>
      <c r="N88" s="5068">
        <f t="shared" si="229"/>
        <v>0</v>
      </c>
      <c r="O88" s="5068">
        <f t="shared" si="229"/>
        <v>2771.29</v>
      </c>
      <c r="P88" s="5068">
        <f t="shared" si="229"/>
        <v>0</v>
      </c>
      <c r="Q88" s="5068">
        <f t="shared" si="229"/>
        <v>2771.29</v>
      </c>
      <c r="R88" s="5068">
        <f t="shared" si="229"/>
        <v>0</v>
      </c>
      <c r="S88" s="5068">
        <f t="shared" si="229"/>
        <v>0</v>
      </c>
      <c r="T88" s="5068">
        <f t="shared" si="229"/>
        <v>0</v>
      </c>
      <c r="U88" s="5068">
        <f t="shared" si="229"/>
        <v>2771.29</v>
      </c>
      <c r="V88" s="5068">
        <f t="shared" si="229"/>
        <v>0</v>
      </c>
      <c r="W88" s="5068">
        <f t="shared" si="229"/>
        <v>3223</v>
      </c>
      <c r="X88" s="5068">
        <f t="shared" si="229"/>
        <v>0</v>
      </c>
      <c r="Y88" s="5068">
        <f t="shared" si="229"/>
        <v>5994.29</v>
      </c>
      <c r="Z88" s="5068">
        <f t="shared" si="229"/>
        <v>0</v>
      </c>
      <c r="AA88" s="5068">
        <f t="shared" si="229"/>
        <v>5994.29</v>
      </c>
      <c r="AB88" s="5068">
        <f t="shared" si="229"/>
        <v>0</v>
      </c>
      <c r="AC88" s="5068">
        <f t="shared" si="229"/>
        <v>0</v>
      </c>
      <c r="AD88" s="5095">
        <f t="shared" si="229"/>
        <v>0</v>
      </c>
      <c r="AE88" s="5068">
        <f t="shared" si="229"/>
        <v>5994.29</v>
      </c>
      <c r="AF88" s="5070">
        <f t="shared" si="229"/>
        <v>0</v>
      </c>
      <c r="AG88" s="5068">
        <f t="shared" si="229"/>
        <v>2863.49</v>
      </c>
      <c r="AH88" s="5068">
        <f t="shared" si="229"/>
        <v>0</v>
      </c>
      <c r="AI88" s="5068">
        <f t="shared" si="229"/>
        <v>8857.7799999999988</v>
      </c>
      <c r="AJ88" s="5068">
        <f t="shared" si="229"/>
        <v>0</v>
      </c>
      <c r="AK88" s="5068">
        <f>+AK89+AK90+AK91</f>
        <v>3698.75</v>
      </c>
      <c r="AL88" s="5068">
        <f t="shared" ref="AL88:BE88" si="230">+AL89+AL90+AL91</f>
        <v>0</v>
      </c>
      <c r="AM88" s="5068">
        <f t="shared" si="230"/>
        <v>6562.24</v>
      </c>
      <c r="AN88" s="5068">
        <f t="shared" si="230"/>
        <v>0</v>
      </c>
      <c r="AO88" s="5068">
        <f t="shared" si="230"/>
        <v>12556.53</v>
      </c>
      <c r="AP88" s="5068">
        <f t="shared" si="230"/>
        <v>1</v>
      </c>
      <c r="AQ88" s="5068">
        <f>+AQ89+AQ90+AQ91</f>
        <v>2673.7</v>
      </c>
      <c r="AR88" s="5068">
        <f t="shared" si="230"/>
        <v>0</v>
      </c>
      <c r="AS88" s="5068">
        <f t="shared" si="230"/>
        <v>15230.23</v>
      </c>
      <c r="AT88" s="5068">
        <f t="shared" ref="AT88" si="231">+AT89+AT90+AT91</f>
        <v>0</v>
      </c>
      <c r="AU88" s="5068">
        <f>+AU89+AU90+AU91</f>
        <v>0</v>
      </c>
      <c r="AV88" s="5068">
        <f t="shared" si="230"/>
        <v>0</v>
      </c>
      <c r="AW88" s="5068">
        <f t="shared" si="230"/>
        <v>15230.229999999998</v>
      </c>
      <c r="AX88" s="5068">
        <f t="shared" si="230"/>
        <v>0</v>
      </c>
      <c r="AY88" s="5068">
        <f>+AY89+AY90+AY91</f>
        <v>0</v>
      </c>
      <c r="AZ88" s="5068">
        <f t="shared" si="230"/>
        <v>0</v>
      </c>
      <c r="BA88" s="5068">
        <f t="shared" si="230"/>
        <v>2673.7</v>
      </c>
      <c r="BB88" s="5068">
        <f t="shared" si="230"/>
        <v>0</v>
      </c>
      <c r="BC88" s="5068">
        <f t="shared" si="230"/>
        <v>9235.9399999999987</v>
      </c>
      <c r="BD88" s="5068">
        <f t="shared" si="230"/>
        <v>0</v>
      </c>
      <c r="BE88" s="5068">
        <f t="shared" si="230"/>
        <v>15230.23</v>
      </c>
      <c r="BF88" s="1202"/>
      <c r="BG88" s="1202"/>
      <c r="BI88" s="528"/>
      <c r="BJ88" s="528"/>
      <c r="BQ88" s="528"/>
      <c r="BR88" s="528"/>
      <c r="BS88" s="528"/>
      <c r="BT88" s="528"/>
      <c r="BU88" s="528"/>
      <c r="BV88" s="528"/>
      <c r="BW88" s="528"/>
      <c r="BX88" s="528"/>
      <c r="BY88" s="528"/>
      <c r="BZ88" s="528"/>
      <c r="CA88" s="528"/>
      <c r="CB88" s="528"/>
    </row>
    <row r="89" spans="2:80" ht="15.6" hidden="1" x14ac:dyDescent="0.3">
      <c r="B89" s="6170"/>
      <c r="C89" s="5061" t="s">
        <v>1902</v>
      </c>
      <c r="D89" s="4944"/>
      <c r="E89" s="5008">
        <f>'Direct sales IPT details'!E204</f>
        <v>0</v>
      </c>
      <c r="F89" s="4944"/>
      <c r="G89" s="5008">
        <f>'Direct sales IPT details'!G204</f>
        <v>0</v>
      </c>
      <c r="H89" s="5019">
        <f t="shared" si="182"/>
        <v>0</v>
      </c>
      <c r="I89" s="4950">
        <f t="shared" ref="I89:I90" si="232">+G89+E89</f>
        <v>0</v>
      </c>
      <c r="J89" s="4944"/>
      <c r="K89" s="5008">
        <f>'Direct sales IPT details'!K204</f>
        <v>0</v>
      </c>
      <c r="L89" s="4945"/>
      <c r="M89" s="4526">
        <f t="shared" ref="M89:M90" si="233">+E89+G89+K89</f>
        <v>0</v>
      </c>
      <c r="N89" s="4944"/>
      <c r="O89" s="5008">
        <f>'Direct sales IPT details'!O204</f>
        <v>0</v>
      </c>
      <c r="P89" s="4950">
        <f>'Direct sales IPT details'!P204</f>
        <v>0</v>
      </c>
      <c r="Q89" s="4950">
        <f t="shared" ref="Q89:Q90" si="234">+E89+G89+K89+O89</f>
        <v>0</v>
      </c>
      <c r="R89" s="4944"/>
      <c r="S89" s="5008">
        <f>'Direct sales IPT details'!S204</f>
        <v>0</v>
      </c>
      <c r="T89" s="4950">
        <f t="shared" si="163"/>
        <v>0</v>
      </c>
      <c r="U89" s="4950">
        <f t="shared" ref="U89:U90" si="235">+E89+S89+O89+K89+G89</f>
        <v>0</v>
      </c>
      <c r="V89" s="4944"/>
      <c r="W89" s="5008">
        <f>'Direct sales IPT details'!W204</f>
        <v>0</v>
      </c>
      <c r="X89" s="4951"/>
      <c r="Y89" s="4527">
        <f t="shared" ref="Y89:Y90" si="236">+O89+S89+W89</f>
        <v>0</v>
      </c>
      <c r="Z89" s="5064"/>
      <c r="AA89" s="4469">
        <f t="shared" ref="AA89:AA90" si="237">+W89+S89+O89+K89+G89+E89</f>
        <v>0</v>
      </c>
      <c r="AB89" s="4944"/>
      <c r="AC89" s="5008">
        <f>'Direct sales IPT details'!AC204</f>
        <v>0</v>
      </c>
      <c r="AD89" s="5087"/>
      <c r="AE89" s="5021">
        <f t="shared" ref="AE89:AE90" si="238">+AC89+W89+S89+O89+K89+G89+E89</f>
        <v>0</v>
      </c>
      <c r="AF89" s="5058">
        <f>'Direct sales IPT details'!AF204</f>
        <v>0</v>
      </c>
      <c r="AG89" s="5008">
        <f>'Direct sales IPT details'!AG204</f>
        <v>0</v>
      </c>
      <c r="AH89" s="4473">
        <f>'Direct sales IPT details'!AH204</f>
        <v>0</v>
      </c>
      <c r="AI89" s="4950">
        <f t="shared" si="190"/>
        <v>0</v>
      </c>
      <c r="AJ89" s="4467">
        <f>'Direct sales IPT details'!AJ204</f>
        <v>0</v>
      </c>
      <c r="AK89" s="5008">
        <f>'Direct sales IPT details'!AK204</f>
        <v>0</v>
      </c>
      <c r="AL89" s="4463">
        <f>'Direct sales IPT details'!AL204</f>
        <v>0</v>
      </c>
      <c r="AM89" s="4526">
        <f t="shared" ref="AM89:AM90" si="239">+AC89+AG89+AK89</f>
        <v>0</v>
      </c>
      <c r="AN89" s="4462">
        <f>'Direct sales IPT details'!AN204</f>
        <v>0</v>
      </c>
      <c r="AO89" s="4950">
        <f t="shared" si="220"/>
        <v>0</v>
      </c>
      <c r="AP89" s="4467">
        <f>'Direct sales IPT details'!AP204</f>
        <v>0</v>
      </c>
      <c r="AQ89" s="5008">
        <f>'Direct sales IPT details'!AQ204</f>
        <v>0</v>
      </c>
      <c r="AR89" s="4470">
        <f>'Direct sales IPT details'!AR204</f>
        <v>0</v>
      </c>
      <c r="AS89" s="4950">
        <f t="shared" ref="AS89:AS90" si="240">+AQ89+AK89+AG89+AC89+W89+S89+O89+K89+G89+E89</f>
        <v>0</v>
      </c>
      <c r="AT89" s="4467">
        <f>'Direct sales IPT details'!AT204</f>
        <v>0</v>
      </c>
      <c r="AU89" s="5008">
        <f>'Direct sales IPT details'!AU204</f>
        <v>0</v>
      </c>
      <c r="AV89" s="4470">
        <f>'Direct sales IPT details'!AV204</f>
        <v>0</v>
      </c>
      <c r="AW89" s="4470">
        <f>'Direct sales IPT details'!AW204</f>
        <v>0</v>
      </c>
      <c r="AX89" s="4467">
        <f>'Direct sales IPT details'!AX204</f>
        <v>0</v>
      </c>
      <c r="AY89" s="5008">
        <f>'Direct sales IPT details'!AY204</f>
        <v>0</v>
      </c>
      <c r="AZ89" s="4468">
        <f>'Direct sales IPT details'!AZ204</f>
        <v>0</v>
      </c>
      <c r="BA89" s="4527">
        <f t="shared" ref="BA89:BA90" si="241">+AQ89+AU89+AY89</f>
        <v>0</v>
      </c>
      <c r="BB89" s="4472">
        <f>'Direct sales IPT details'!BB204</f>
        <v>0</v>
      </c>
      <c r="BC89" s="4469">
        <f t="shared" ref="BC89:BC90" si="242">AM89+BA89</f>
        <v>0</v>
      </c>
      <c r="BD89" s="4462">
        <f>'Direct sales IPT details'!BD204</f>
        <v>0</v>
      </c>
      <c r="BE89" s="4950">
        <f t="shared" ref="BE89:BE90" si="243">+BC89+AA89</f>
        <v>0</v>
      </c>
      <c r="BF89" s="1202"/>
      <c r="BG89" s="1202"/>
      <c r="BI89" s="528"/>
      <c r="BJ89" s="528"/>
      <c r="BQ89" s="528"/>
      <c r="BR89" s="528"/>
      <c r="BS89" s="528"/>
      <c r="BT89" s="528"/>
      <c r="BU89" s="528"/>
      <c r="BV89" s="528"/>
      <c r="BW89" s="528"/>
      <c r="BX89" s="528"/>
      <c r="BY89" s="528"/>
      <c r="BZ89" s="528"/>
      <c r="CA89" s="528"/>
      <c r="CB89" s="528"/>
    </row>
    <row r="90" spans="2:80" ht="15.6" x14ac:dyDescent="0.3">
      <c r="B90" s="6170"/>
      <c r="C90" s="5061" t="s">
        <v>1578</v>
      </c>
      <c r="D90" s="4944"/>
      <c r="E90" s="5008">
        <f>'Direct sales IPT details'!E205</f>
        <v>0</v>
      </c>
      <c r="F90" s="4944"/>
      <c r="G90" s="5008">
        <f>'Direct sales IPT details'!G205</f>
        <v>0</v>
      </c>
      <c r="H90" s="5019">
        <f t="shared" si="182"/>
        <v>0</v>
      </c>
      <c r="I90" s="4950">
        <f t="shared" si="232"/>
        <v>0</v>
      </c>
      <c r="J90" s="4944"/>
      <c r="K90" s="5008">
        <f>'Direct sales IPT details'!K205</f>
        <v>0</v>
      </c>
      <c r="L90" s="4945"/>
      <c r="M90" s="4526">
        <f t="shared" si="233"/>
        <v>0</v>
      </c>
      <c r="N90" s="4944"/>
      <c r="O90" s="5008">
        <f>'Direct sales IPT details'!O205</f>
        <v>2771.29</v>
      </c>
      <c r="P90" s="4950">
        <f>'Direct sales IPT details'!P205</f>
        <v>0</v>
      </c>
      <c r="Q90" s="4950">
        <f t="shared" si="234"/>
        <v>2771.29</v>
      </c>
      <c r="R90" s="4944"/>
      <c r="S90" s="5008">
        <f>'Direct sales IPT details'!S205</f>
        <v>0</v>
      </c>
      <c r="T90" s="4950">
        <f t="shared" si="163"/>
        <v>0</v>
      </c>
      <c r="U90" s="4950">
        <f t="shared" si="235"/>
        <v>2771.29</v>
      </c>
      <c r="V90" s="4944"/>
      <c r="W90" s="5008">
        <f>'Direct sales IPT details'!W205</f>
        <v>3223</v>
      </c>
      <c r="X90" s="4951"/>
      <c r="Y90" s="4527">
        <f t="shared" si="236"/>
        <v>5994.29</v>
      </c>
      <c r="Z90" s="5064"/>
      <c r="AA90" s="4469">
        <f t="shared" si="237"/>
        <v>5994.29</v>
      </c>
      <c r="AB90" s="4944"/>
      <c r="AC90" s="5008">
        <f>'Direct sales IPT details'!AC205</f>
        <v>0</v>
      </c>
      <c r="AD90" s="5087"/>
      <c r="AE90" s="5021">
        <f t="shared" si="238"/>
        <v>5994.29</v>
      </c>
      <c r="AF90" s="5058">
        <f>'Direct sales IPT details'!AF205</f>
        <v>0</v>
      </c>
      <c r="AG90" s="5008">
        <f>'Direct sales IPT details'!AG205</f>
        <v>2863.49</v>
      </c>
      <c r="AH90" s="4473">
        <f>'Direct sales IPT details'!AH205</f>
        <v>0</v>
      </c>
      <c r="AI90" s="4950">
        <f t="shared" si="190"/>
        <v>8857.7799999999988</v>
      </c>
      <c r="AJ90" s="4467">
        <f>'Direct sales IPT details'!AJ205</f>
        <v>0</v>
      </c>
      <c r="AK90" s="5008">
        <f>'Direct sales IPT details'!AK205</f>
        <v>262.06</v>
      </c>
      <c r="AL90" s="4463">
        <f>'Direct sales IPT details'!AL205</f>
        <v>0</v>
      </c>
      <c r="AM90" s="4526">
        <f t="shared" si="239"/>
        <v>3125.5499999999997</v>
      </c>
      <c r="AN90" s="4462">
        <f>'Direct sales IPT details'!AN205</f>
        <v>0</v>
      </c>
      <c r="AO90" s="4950">
        <f t="shared" si="220"/>
        <v>9119.84</v>
      </c>
      <c r="AP90" s="4467">
        <f>'Direct sales IPT details'!AP205</f>
        <v>0</v>
      </c>
      <c r="AQ90" s="5008">
        <f>'Direct sales IPT details'!AQ205</f>
        <v>0</v>
      </c>
      <c r="AR90" s="4470">
        <f>'Direct sales IPT details'!AR205</f>
        <v>0</v>
      </c>
      <c r="AS90" s="4950">
        <f t="shared" si="240"/>
        <v>9119.84</v>
      </c>
      <c r="AT90" s="4467">
        <f>'Direct sales IPT details'!AT205</f>
        <v>0</v>
      </c>
      <c r="AU90" s="5008">
        <f>'Direct sales IPT details'!AU205</f>
        <v>0</v>
      </c>
      <c r="AV90" s="4470">
        <f>'Direct sales IPT details'!AV205</f>
        <v>0</v>
      </c>
      <c r="AW90" s="4470">
        <f>'Direct sales IPT details'!AW205</f>
        <v>9119.8399999999983</v>
      </c>
      <c r="AX90" s="4467">
        <f>'Direct sales IPT details'!AX205</f>
        <v>0</v>
      </c>
      <c r="AY90" s="5008">
        <f>'Direct sales IPT details'!AY205</f>
        <v>0</v>
      </c>
      <c r="AZ90" s="4468">
        <f>'Direct sales IPT details'!AZ205</f>
        <v>0</v>
      </c>
      <c r="BA90" s="4527">
        <f t="shared" si="241"/>
        <v>0</v>
      </c>
      <c r="BB90" s="4472">
        <f>'Direct sales IPT details'!BB205</f>
        <v>0</v>
      </c>
      <c r="BC90" s="4469">
        <f t="shared" si="242"/>
        <v>3125.5499999999997</v>
      </c>
      <c r="BD90" s="4462">
        <f>'Direct sales IPT details'!BD205</f>
        <v>0</v>
      </c>
      <c r="BE90" s="4950">
        <f t="shared" si="243"/>
        <v>9119.84</v>
      </c>
      <c r="BF90" s="1202"/>
      <c r="BG90" s="1202"/>
      <c r="BI90" s="528"/>
      <c r="BJ90" s="528"/>
      <c r="BQ90" s="528"/>
      <c r="BR90" s="528"/>
      <c r="BS90" s="528"/>
      <c r="BT90" s="528"/>
      <c r="BU90" s="528"/>
      <c r="BV90" s="528"/>
      <c r="BW90" s="528"/>
      <c r="BX90" s="528"/>
      <c r="BY90" s="528"/>
      <c r="BZ90" s="528"/>
      <c r="CA90" s="528"/>
      <c r="CB90" s="528"/>
    </row>
    <row r="91" spans="2:80" s="146" customFormat="1" ht="15.6" x14ac:dyDescent="0.3">
      <c r="B91" s="6170"/>
      <c r="C91" s="5075" t="s">
        <v>1106</v>
      </c>
      <c r="D91" s="4948"/>
      <c r="E91" s="5008">
        <f>'Direct sales IPT details'!E206</f>
        <v>0</v>
      </c>
      <c r="F91" s="4944"/>
      <c r="G91" s="5008">
        <f>'Direct sales IPT details'!G206</f>
        <v>0</v>
      </c>
      <c r="H91" s="5019">
        <f t="shared" ref="H91" si="244">+D91+F91</f>
        <v>0</v>
      </c>
      <c r="I91" s="4950">
        <f t="shared" ref="I91" si="245">+G91+E91</f>
        <v>0</v>
      </c>
      <c r="J91" s="4944"/>
      <c r="K91" s="5008">
        <f>'Direct sales IPT details'!K206</f>
        <v>0</v>
      </c>
      <c r="L91" s="4945"/>
      <c r="M91" s="4526">
        <f t="shared" ref="M91" si="246">+E91+G91+K91</f>
        <v>0</v>
      </c>
      <c r="N91" s="4944"/>
      <c r="O91" s="5008">
        <f>'Direct sales IPT details'!O206</f>
        <v>0</v>
      </c>
      <c r="P91" s="4950">
        <f>'Direct sales IPT details'!P206</f>
        <v>0</v>
      </c>
      <c r="Q91" s="4950">
        <f t="shared" ref="Q91" si="247">+E91+G91+K91+O91</f>
        <v>0</v>
      </c>
      <c r="R91" s="4944"/>
      <c r="S91" s="5008">
        <f>'Direct sales IPT details'!S206</f>
        <v>0</v>
      </c>
      <c r="T91" s="4950">
        <f t="shared" ref="T91" si="248">P91+R91</f>
        <v>0</v>
      </c>
      <c r="U91" s="4950">
        <f t="shared" ref="U91" si="249">+E91+S91+O91+K91+G91</f>
        <v>0</v>
      </c>
      <c r="V91" s="4944"/>
      <c r="W91" s="5008">
        <f>'Direct sales IPT details'!W206</f>
        <v>0</v>
      </c>
      <c r="X91" s="4951"/>
      <c r="Y91" s="4527">
        <f t="shared" ref="Y91" si="250">+O91+S91+W91</f>
        <v>0</v>
      </c>
      <c r="Z91" s="5064"/>
      <c r="AA91" s="4469">
        <f t="shared" ref="AA91" si="251">+W91+S91+O91+K91+G91+E91</f>
        <v>0</v>
      </c>
      <c r="AB91" s="4944"/>
      <c r="AC91" s="5008">
        <f>'Direct sales IPT details'!AC206</f>
        <v>0</v>
      </c>
      <c r="AD91" s="5087"/>
      <c r="AE91" s="5021">
        <f t="shared" ref="AE91" si="252">+AC91+W91+S91+O91+K91+G91+E91</f>
        <v>0</v>
      </c>
      <c r="AF91" s="5058">
        <f>'Direct sales IPT details'!AF206</f>
        <v>0</v>
      </c>
      <c r="AG91" s="5008">
        <f>'Direct sales IPT details'!AG206</f>
        <v>0</v>
      </c>
      <c r="AH91" s="4473">
        <f>'Direct sales IPT details'!AH206</f>
        <v>0</v>
      </c>
      <c r="AI91" s="4950">
        <f t="shared" ref="AI91" si="253">+AG91+AC91+W91+S91+O91+K91+G91+E91</f>
        <v>0</v>
      </c>
      <c r="AJ91" s="4467">
        <f>'Direct sales IPT details'!AJ206</f>
        <v>0</v>
      </c>
      <c r="AK91" s="5008">
        <f>'Direct sales IPT details'!AK206</f>
        <v>3436.69</v>
      </c>
      <c r="AL91" s="4463">
        <f>'Direct sales IPT details'!AL206</f>
        <v>0</v>
      </c>
      <c r="AM91" s="4526">
        <f t="shared" ref="AM91" si="254">+AC91+AG91+AK91</f>
        <v>3436.69</v>
      </c>
      <c r="AN91" s="4462">
        <f>'Direct sales IPT details'!AN206</f>
        <v>0</v>
      </c>
      <c r="AO91" s="4950">
        <f t="shared" ref="AO91" si="255">+AK91+AG91+AC91+W91+S91+O91+K91+G91+E91</f>
        <v>3436.69</v>
      </c>
      <c r="AP91" s="4467">
        <v>1</v>
      </c>
      <c r="AQ91" s="5008">
        <f>'Direct sales IPT details'!AQ206</f>
        <v>2673.7</v>
      </c>
      <c r="AR91" s="4470">
        <f>'Direct sales IPT details'!AR206</f>
        <v>0</v>
      </c>
      <c r="AS91" s="4950">
        <f t="shared" ref="AS91" si="256">+AQ91+AK91+AG91+AC91+W91+S91+O91+K91+G91+E91</f>
        <v>6110.3899999999994</v>
      </c>
      <c r="AT91" s="4467"/>
      <c r="AU91" s="5008">
        <f>'Direct sales IPT details'!AU206</f>
        <v>0</v>
      </c>
      <c r="AV91" s="4470">
        <f>'Direct sales IPT details'!AV206</f>
        <v>0</v>
      </c>
      <c r="AW91" s="4470">
        <f>'Direct sales IPT details'!AW206</f>
        <v>6110.3899999999994</v>
      </c>
      <c r="AX91" s="4467"/>
      <c r="AY91" s="5008">
        <f>'Direct sales IPT details'!AY206</f>
        <v>0</v>
      </c>
      <c r="AZ91" s="4468">
        <f>'Direct sales IPT details'!AZ206</f>
        <v>0</v>
      </c>
      <c r="BA91" s="4527">
        <f t="shared" ref="BA91" si="257">+AQ91+AU91+AY91</f>
        <v>2673.7</v>
      </c>
      <c r="BB91" s="4472">
        <f>'Direct sales IPT details'!BB206</f>
        <v>0</v>
      </c>
      <c r="BC91" s="4469">
        <f t="shared" ref="BC91" si="258">AM91+BA91</f>
        <v>6110.3899999999994</v>
      </c>
      <c r="BD91" s="4462">
        <f>'Direct sales IPT details'!BD206</f>
        <v>0</v>
      </c>
      <c r="BE91" s="4950">
        <f t="shared" ref="BE91" si="259">+BC91+AA91</f>
        <v>6110.3899999999994</v>
      </c>
      <c r="BF91" s="1202"/>
      <c r="BG91" s="1202"/>
      <c r="BH91"/>
      <c r="BI91" s="528"/>
      <c r="BJ91" s="528"/>
      <c r="BK91"/>
      <c r="BL91"/>
      <c r="BQ91" s="5073"/>
      <c r="BR91" s="5073"/>
      <c r="BS91" s="5073"/>
      <c r="BT91" s="5073"/>
      <c r="BU91" s="5073"/>
      <c r="BV91" s="5073"/>
      <c r="BW91" s="5073"/>
      <c r="BX91" s="5073"/>
      <c r="BY91" s="5073"/>
      <c r="BZ91" s="5073"/>
      <c r="CA91" s="5073"/>
      <c r="CB91" s="5073"/>
    </row>
    <row r="92" spans="2:80" ht="15.6" x14ac:dyDescent="0.3">
      <c r="B92" s="6170"/>
      <c r="C92" s="5066" t="s">
        <v>2237</v>
      </c>
      <c r="D92" s="5068"/>
      <c r="E92" s="5068">
        <v>1080.2</v>
      </c>
      <c r="F92" s="5068"/>
      <c r="G92" s="5068">
        <v>1388.63</v>
      </c>
      <c r="H92" s="5068"/>
      <c r="I92" s="5069">
        <f t="shared" ref="I92" si="260">+G92+E92</f>
        <v>2468.83</v>
      </c>
      <c r="J92" s="5068"/>
      <c r="K92" s="5068">
        <v>0</v>
      </c>
      <c r="L92" s="5068"/>
      <c r="M92" s="5077">
        <f t="shared" ref="M92" si="261">+E92+G92+K92</f>
        <v>2468.83</v>
      </c>
      <c r="N92" s="5068"/>
      <c r="O92" s="5068">
        <v>1462.73</v>
      </c>
      <c r="P92" s="5068"/>
      <c r="Q92" s="5069">
        <f t="shared" ref="Q92" si="262">+E92+G92+K92+O92</f>
        <v>3931.56</v>
      </c>
      <c r="R92" s="5068"/>
      <c r="S92" s="5068">
        <v>0</v>
      </c>
      <c r="T92" s="5068"/>
      <c r="U92" s="5069">
        <f t="shared" ref="U92" si="263">+E92+S92+O92+K92+G92</f>
        <v>3931.5600000000004</v>
      </c>
      <c r="V92" s="5068"/>
      <c r="W92" s="5068">
        <v>0</v>
      </c>
      <c r="X92" s="5068"/>
      <c r="Y92" s="5078">
        <f t="shared" ref="Y92" si="264">+O92+S92+W92</f>
        <v>1462.73</v>
      </c>
      <c r="Z92" s="5068"/>
      <c r="AA92" s="5079">
        <f t="shared" ref="AA92" si="265">+W92+S92+O92+K92+G92+E92</f>
        <v>3931.5600000000004</v>
      </c>
      <c r="AB92" s="5068"/>
      <c r="AC92" s="5068">
        <v>0</v>
      </c>
      <c r="AD92" s="5095"/>
      <c r="AE92" s="5068">
        <f t="shared" ref="AE92" si="266">+AC92+W92+S92+O92+K92+G92+E92</f>
        <v>3931.5600000000004</v>
      </c>
      <c r="AF92" s="5070"/>
      <c r="AG92" s="5068">
        <v>0</v>
      </c>
      <c r="AH92" s="5068"/>
      <c r="AI92" s="5069">
        <f t="shared" si="190"/>
        <v>3931.5600000000004</v>
      </c>
      <c r="AJ92" s="5068"/>
      <c r="AK92" s="5068">
        <v>0</v>
      </c>
      <c r="AL92" s="5068"/>
      <c r="AM92" s="5077">
        <f t="shared" ref="AM92" si="267">+AC92+AG92+AK92</f>
        <v>0</v>
      </c>
      <c r="AN92" s="5068"/>
      <c r="AO92" s="5069">
        <f t="shared" si="220"/>
        <v>3931.5600000000004</v>
      </c>
      <c r="AP92" s="5068"/>
      <c r="AQ92" s="5068">
        <v>0</v>
      </c>
      <c r="AR92" s="5068"/>
      <c r="AS92" s="5069">
        <f t="shared" ref="AS92" si="268">+AQ92+AK92+AG92+AC92+W92+S92+O92+K92+G92+E92</f>
        <v>3931.5600000000004</v>
      </c>
      <c r="AT92" s="5068"/>
      <c r="AU92" s="5068">
        <v>0</v>
      </c>
      <c r="AV92" s="5068"/>
      <c r="AW92" s="5069">
        <f t="shared" ref="AW92" si="269">+AU92+AQ92+AK92+AG92+AC92+W92+S92+O92+K92+G92+E92</f>
        <v>3931.5600000000004</v>
      </c>
      <c r="AX92" s="5068"/>
      <c r="AY92" s="5068">
        <v>0</v>
      </c>
      <c r="AZ92" s="5068"/>
      <c r="BA92" s="5078">
        <f t="shared" ref="BA92" si="270">+AQ92+AU92+AY92</f>
        <v>0</v>
      </c>
      <c r="BB92" s="5068"/>
      <c r="BC92" s="5079">
        <f t="shared" ref="BC92" si="271">AM92+BA92</f>
        <v>0</v>
      </c>
      <c r="BD92" s="5068"/>
      <c r="BE92" s="5069">
        <f t="shared" ref="BE92" si="272">+BC92+AA92</f>
        <v>3931.5600000000004</v>
      </c>
      <c r="BF92" s="1202"/>
      <c r="BG92" s="1202"/>
      <c r="BI92" s="528"/>
      <c r="BJ92" s="528"/>
      <c r="BQ92" s="528"/>
      <c r="BR92" s="528"/>
      <c r="BS92" s="528"/>
      <c r="BT92" s="528"/>
      <c r="BU92" s="528"/>
      <c r="BV92" s="528"/>
      <c r="BW92" s="528"/>
      <c r="BX92" s="528"/>
      <c r="BY92" s="528"/>
      <c r="BZ92" s="528"/>
      <c r="CA92" s="528"/>
      <c r="CB92" s="528"/>
    </row>
    <row r="93" spans="2:80" s="146" customFormat="1" ht="15.6" x14ac:dyDescent="0.3">
      <c r="B93" s="6170"/>
      <c r="C93" s="5071"/>
      <c r="D93" s="4948"/>
      <c r="E93" s="4948"/>
      <c r="F93" s="4948"/>
      <c r="G93" s="4948"/>
      <c r="H93" s="4948"/>
      <c r="I93" s="4948"/>
      <c r="J93" s="4948"/>
      <c r="K93" s="4948"/>
      <c r="L93" s="4948"/>
      <c r="M93" s="4948"/>
      <c r="N93" s="4948"/>
      <c r="O93" s="4948"/>
      <c r="P93" s="4948"/>
      <c r="Q93" s="4948"/>
      <c r="R93" s="4948"/>
      <c r="S93" s="4948"/>
      <c r="T93" s="4948"/>
      <c r="U93" s="4948"/>
      <c r="V93" s="4948"/>
      <c r="W93" s="4948"/>
      <c r="X93" s="4948"/>
      <c r="Y93" s="4948"/>
      <c r="Z93" s="4948"/>
      <c r="AA93" s="4948"/>
      <c r="AB93" s="4948"/>
      <c r="AC93" s="4948"/>
      <c r="AD93" s="5092"/>
      <c r="AE93" s="4948"/>
      <c r="AF93" s="5072"/>
      <c r="AG93" s="4948"/>
      <c r="AH93" s="4948"/>
      <c r="AI93" s="4948"/>
      <c r="AJ93" s="4948"/>
      <c r="AK93" s="4948"/>
      <c r="AL93" s="4948"/>
      <c r="AM93" s="4948"/>
      <c r="AN93" s="4948"/>
      <c r="AO93" s="4948"/>
      <c r="AP93" s="4948"/>
      <c r="AQ93" s="4948"/>
      <c r="AR93" s="4948"/>
      <c r="AS93" s="4948"/>
      <c r="AT93" s="4948"/>
      <c r="AU93" s="4948"/>
      <c r="AV93" s="4948"/>
      <c r="AW93" s="4948"/>
      <c r="AX93" s="4948"/>
      <c r="AY93" s="4948"/>
      <c r="AZ93" s="4948"/>
      <c r="BA93" s="4948"/>
      <c r="BB93" s="4948"/>
      <c r="BC93" s="4948"/>
      <c r="BD93" s="4948"/>
      <c r="BE93" s="4948"/>
      <c r="BF93" s="1202"/>
      <c r="BG93" s="1202"/>
      <c r="BH93"/>
      <c r="BI93" s="528"/>
      <c r="BJ93" s="528"/>
      <c r="BK93"/>
      <c r="BL93"/>
      <c r="BQ93" s="5073"/>
      <c r="BR93" s="5073"/>
      <c r="BS93" s="5073"/>
      <c r="BT93" s="5073"/>
      <c r="BU93" s="5073"/>
      <c r="BV93" s="5073"/>
      <c r="BW93" s="5073"/>
      <c r="BX93" s="5073"/>
      <c r="BY93" s="5073"/>
      <c r="BZ93" s="5073"/>
      <c r="CA93" s="5073"/>
      <c r="CB93" s="5073"/>
    </row>
    <row r="94" spans="2:80" ht="17.399999999999999" x14ac:dyDescent="0.3">
      <c r="B94" s="6170"/>
      <c r="C94" s="5065" t="s">
        <v>143</v>
      </c>
      <c r="D94" s="5063"/>
      <c r="E94" s="5062">
        <f>+E85+E88+E92</f>
        <v>1080.2</v>
      </c>
      <c r="F94" s="5062">
        <f t="shared" ref="F94:BE94" si="273">+F85+F88+F92</f>
        <v>0</v>
      </c>
      <c r="G94" s="5062">
        <f t="shared" si="273"/>
        <v>11584.630000000001</v>
      </c>
      <c r="H94" s="5062">
        <f t="shared" si="273"/>
        <v>0</v>
      </c>
      <c r="I94" s="5062">
        <f t="shared" si="273"/>
        <v>12664.83</v>
      </c>
      <c r="J94" s="5062">
        <f t="shared" si="273"/>
        <v>0</v>
      </c>
      <c r="K94" s="5062">
        <f t="shared" si="273"/>
        <v>0</v>
      </c>
      <c r="L94" s="5062">
        <f t="shared" si="273"/>
        <v>0</v>
      </c>
      <c r="M94" s="5062">
        <f t="shared" si="273"/>
        <v>12664.83</v>
      </c>
      <c r="N94" s="5062">
        <f t="shared" si="273"/>
        <v>0</v>
      </c>
      <c r="O94" s="5062">
        <f t="shared" si="273"/>
        <v>7998.02</v>
      </c>
      <c r="P94" s="5062">
        <f t="shared" si="273"/>
        <v>0</v>
      </c>
      <c r="Q94" s="5062">
        <f t="shared" si="273"/>
        <v>20662.850000000002</v>
      </c>
      <c r="R94" s="5062">
        <f t="shared" si="273"/>
        <v>0</v>
      </c>
      <c r="S94" s="5062">
        <f t="shared" si="273"/>
        <v>0</v>
      </c>
      <c r="T94" s="5062">
        <f t="shared" si="273"/>
        <v>0</v>
      </c>
      <c r="U94" s="5062">
        <f t="shared" si="273"/>
        <v>20662.850000000002</v>
      </c>
      <c r="V94" s="5062">
        <f t="shared" si="273"/>
        <v>0</v>
      </c>
      <c r="W94" s="5062">
        <f t="shared" si="273"/>
        <v>3223</v>
      </c>
      <c r="X94" s="5062">
        <f t="shared" si="273"/>
        <v>0</v>
      </c>
      <c r="Y94" s="5062">
        <f t="shared" si="273"/>
        <v>11221.02</v>
      </c>
      <c r="Z94" s="5062">
        <f t="shared" si="273"/>
        <v>0</v>
      </c>
      <c r="AA94" s="5062">
        <f t="shared" si="273"/>
        <v>23885.850000000002</v>
      </c>
      <c r="AB94" s="5062">
        <f t="shared" si="273"/>
        <v>0</v>
      </c>
      <c r="AC94" s="5062">
        <f t="shared" si="273"/>
        <v>3476.11</v>
      </c>
      <c r="AD94" s="5093">
        <f t="shared" si="273"/>
        <v>0</v>
      </c>
      <c r="AE94" s="5062">
        <f t="shared" si="273"/>
        <v>27361.960000000003</v>
      </c>
      <c r="AF94" s="5103">
        <f t="shared" si="273"/>
        <v>1</v>
      </c>
      <c r="AG94" s="5062">
        <f t="shared" ref="AG94" si="274">+AG85+AG88+AG92</f>
        <v>5954.11</v>
      </c>
      <c r="AH94" s="5062">
        <f t="shared" si="273"/>
        <v>0</v>
      </c>
      <c r="AI94" s="5062">
        <f t="shared" si="190"/>
        <v>33316.07</v>
      </c>
      <c r="AJ94" s="5062">
        <f t="shared" si="273"/>
        <v>0</v>
      </c>
      <c r="AK94" s="5062">
        <f t="shared" si="273"/>
        <v>6803.8600000000006</v>
      </c>
      <c r="AL94" s="5062">
        <f t="shared" si="273"/>
        <v>0</v>
      </c>
      <c r="AM94" s="5062">
        <f t="shared" si="273"/>
        <v>16234.08</v>
      </c>
      <c r="AN94" s="5062">
        <f t="shared" si="273"/>
        <v>0</v>
      </c>
      <c r="AO94" s="5062">
        <f t="shared" si="220"/>
        <v>40119.93</v>
      </c>
      <c r="AP94" s="5062">
        <f t="shared" ref="AP94:AQ94" si="275">+AP85+AP88+AP92</f>
        <v>3</v>
      </c>
      <c r="AQ94" s="5062">
        <f t="shared" si="275"/>
        <v>8884.57</v>
      </c>
      <c r="AR94" s="5062">
        <f t="shared" si="273"/>
        <v>0</v>
      </c>
      <c r="AS94" s="5062">
        <f t="shared" si="273"/>
        <v>49004.5</v>
      </c>
      <c r="AT94" s="5062">
        <f t="shared" si="273"/>
        <v>0</v>
      </c>
      <c r="AU94" s="5062">
        <f t="shared" si="273"/>
        <v>0</v>
      </c>
      <c r="AV94" s="5062">
        <f t="shared" si="273"/>
        <v>0</v>
      </c>
      <c r="AW94" s="5062">
        <f>+AW85+AW88+AW92</f>
        <v>49004.499999999993</v>
      </c>
      <c r="AX94" s="5062">
        <f t="shared" ref="AX94:AY94" si="276">+AX85+AX88+AX92</f>
        <v>0</v>
      </c>
      <c r="AY94" s="5062">
        <f t="shared" si="276"/>
        <v>3277.84</v>
      </c>
      <c r="AZ94" s="5062">
        <f t="shared" si="273"/>
        <v>0</v>
      </c>
      <c r="BA94" s="5062">
        <f t="shared" si="273"/>
        <v>12162.41</v>
      </c>
      <c r="BB94" s="5062">
        <f t="shared" si="273"/>
        <v>0</v>
      </c>
      <c r="BC94" s="5062">
        <f t="shared" si="273"/>
        <v>28396.489999999998</v>
      </c>
      <c r="BD94" s="5062">
        <f t="shared" si="273"/>
        <v>0</v>
      </c>
      <c r="BE94" s="5062">
        <f t="shared" si="273"/>
        <v>52282.34</v>
      </c>
      <c r="BF94" s="1202"/>
      <c r="BG94" s="1202">
        <v>52356.32</v>
      </c>
      <c r="BH94" s="26">
        <f>+BG94-BE94</f>
        <v>73.980000000003201</v>
      </c>
      <c r="BI94" s="528"/>
      <c r="BJ94" s="528"/>
      <c r="BQ94" s="528"/>
      <c r="BR94" s="528"/>
      <c r="BS94" s="528"/>
      <c r="BT94" s="528"/>
      <c r="BU94" s="528"/>
      <c r="BV94" s="528"/>
      <c r="BW94" s="528"/>
      <c r="BX94" s="528"/>
      <c r="BY94" s="528"/>
      <c r="BZ94" s="528"/>
      <c r="CA94" s="528"/>
      <c r="CB94" s="528"/>
    </row>
    <row r="95" spans="2:80" x14ac:dyDescent="0.3">
      <c r="J95"/>
      <c r="K95"/>
      <c r="AE95"/>
      <c r="BF95" s="1202"/>
      <c r="BG95" s="1202"/>
    </row>
    <row r="96" spans="2:80" ht="23.4" x14ac:dyDescent="0.45">
      <c r="B96" s="4474" t="s">
        <v>1907</v>
      </c>
      <c r="J96"/>
      <c r="K96"/>
      <c r="AE96"/>
      <c r="BF96" s="1202"/>
      <c r="BG96" s="1202"/>
    </row>
    <row r="97" spans="10:59" x14ac:dyDescent="0.3">
      <c r="J97"/>
      <c r="K97"/>
      <c r="AE97"/>
      <c r="AQ97" s="26"/>
      <c r="BF97" s="1202"/>
      <c r="BG97" s="1202"/>
    </row>
    <row r="98" spans="10:59" x14ac:dyDescent="0.3">
      <c r="J98"/>
      <c r="K98"/>
      <c r="AE98"/>
      <c r="AQ98" s="26"/>
      <c r="AY98" s="26"/>
      <c r="BF98" s="1202"/>
      <c r="BG98" s="1202"/>
    </row>
    <row r="99" spans="10:59" x14ac:dyDescent="0.3">
      <c r="J99"/>
      <c r="K99"/>
      <c r="AE99"/>
      <c r="BF99" s="1202"/>
      <c r="BG99" s="1202"/>
    </row>
    <row r="100" spans="10:59" x14ac:dyDescent="0.3">
      <c r="J100"/>
      <c r="K100"/>
      <c r="AE100"/>
      <c r="AQ100" s="26"/>
      <c r="BF100" s="1202"/>
      <c r="BG100" s="1202"/>
    </row>
    <row r="101" spans="10:59" x14ac:dyDescent="0.3">
      <c r="J101"/>
      <c r="K101"/>
      <c r="AE101"/>
      <c r="BF101" s="1202"/>
      <c r="BG101" s="1202"/>
    </row>
    <row r="102" spans="10:59" x14ac:dyDescent="0.3">
      <c r="J102"/>
      <c r="K102"/>
      <c r="AE102"/>
      <c r="BF102" s="1202"/>
      <c r="BG102" s="1202"/>
    </row>
    <row r="103" spans="10:59" x14ac:dyDescent="0.3">
      <c r="J103"/>
      <c r="K103"/>
      <c r="AE103"/>
      <c r="BF103" s="1202"/>
      <c r="BG103" s="1202"/>
    </row>
    <row r="104" spans="10:59" x14ac:dyDescent="0.3">
      <c r="J104"/>
      <c r="K104"/>
      <c r="AE104"/>
      <c r="BF104" s="1202"/>
      <c r="BG104" s="1202"/>
    </row>
    <row r="105" spans="10:59" x14ac:dyDescent="0.3">
      <c r="J105"/>
      <c r="K105"/>
      <c r="AE105"/>
      <c r="BF105" s="1202"/>
      <c r="BG105" s="1202"/>
    </row>
    <row r="106" spans="10:59" x14ac:dyDescent="0.3">
      <c r="J106"/>
      <c r="K106"/>
      <c r="AE106"/>
      <c r="BF106" s="1202"/>
      <c r="BG106" s="1202"/>
    </row>
    <row r="107" spans="10:59" x14ac:dyDescent="0.3">
      <c r="J107"/>
      <c r="K107"/>
      <c r="AE107"/>
      <c r="BF107" s="1202"/>
      <c r="BG107" s="1202"/>
    </row>
    <row r="108" spans="10:59" x14ac:dyDescent="0.3">
      <c r="J108"/>
      <c r="K108"/>
      <c r="AE108"/>
      <c r="BF108" s="1202"/>
      <c r="BG108" s="1202"/>
    </row>
    <row r="109" spans="10:59" x14ac:dyDescent="0.3">
      <c r="J109"/>
      <c r="K109"/>
      <c r="AE109"/>
      <c r="BF109" s="1202"/>
      <c r="BG109" s="1202"/>
    </row>
    <row r="110" spans="10:59" x14ac:dyDescent="0.3">
      <c r="J110"/>
      <c r="K110"/>
      <c r="AE110"/>
      <c r="BF110" s="1202"/>
      <c r="BG110" s="1202"/>
    </row>
    <row r="111" spans="10:59" x14ac:dyDescent="0.3">
      <c r="J111"/>
      <c r="K111"/>
      <c r="AE111"/>
      <c r="BF111" s="1202"/>
      <c r="BG111" s="1202"/>
    </row>
    <row r="112" spans="10:59" x14ac:dyDescent="0.3">
      <c r="J112"/>
      <c r="K112"/>
      <c r="AE112"/>
      <c r="BF112" s="1202"/>
      <c r="BG112" s="1202"/>
    </row>
    <row r="113" spans="10:59" x14ac:dyDescent="0.3">
      <c r="J113"/>
      <c r="K113"/>
      <c r="AE113"/>
      <c r="BF113" s="1202"/>
      <c r="BG113" s="1202"/>
    </row>
    <row r="114" spans="10:59" x14ac:dyDescent="0.3">
      <c r="J114"/>
      <c r="K114"/>
      <c r="AE114"/>
      <c r="BF114" s="1202"/>
      <c r="BG114" s="1202"/>
    </row>
    <row r="115" spans="10:59" x14ac:dyDescent="0.3">
      <c r="J115"/>
      <c r="K115"/>
      <c r="AE115"/>
      <c r="BF115" s="1202"/>
      <c r="BG115" s="1202"/>
    </row>
    <row r="116" spans="10:59" x14ac:dyDescent="0.3">
      <c r="J116"/>
      <c r="K116"/>
      <c r="AE116"/>
      <c r="BF116" s="1202"/>
      <c r="BG116" s="1202"/>
    </row>
    <row r="117" spans="10:59" x14ac:dyDescent="0.3">
      <c r="J117"/>
      <c r="K117"/>
      <c r="AE117"/>
      <c r="BF117" s="1202"/>
      <c r="BG117" s="1202"/>
    </row>
    <row r="118" spans="10:59" x14ac:dyDescent="0.3">
      <c r="J118"/>
      <c r="K118"/>
      <c r="AE118"/>
      <c r="BF118" s="1202"/>
      <c r="BG118" s="1202"/>
    </row>
    <row r="119" spans="10:59" x14ac:dyDescent="0.3">
      <c r="J119"/>
      <c r="K119"/>
      <c r="AE119"/>
      <c r="BF119" s="1202"/>
      <c r="BG119" s="1202"/>
    </row>
    <row r="120" spans="10:59" x14ac:dyDescent="0.3">
      <c r="J120"/>
      <c r="K120"/>
      <c r="AE120"/>
      <c r="BF120" s="1202"/>
      <c r="BG120" s="1202"/>
    </row>
    <row r="121" spans="10:59" x14ac:dyDescent="0.3">
      <c r="AE121"/>
      <c r="BF121" s="1202"/>
      <c r="BG121" s="1202"/>
    </row>
    <row r="122" spans="10:59" x14ac:dyDescent="0.3">
      <c r="AE122"/>
      <c r="BF122" s="1202"/>
      <c r="BG122" s="1202"/>
    </row>
    <row r="123" spans="10:59" x14ac:dyDescent="0.3">
      <c r="AE123"/>
      <c r="BF123" s="1202"/>
      <c r="BG123" s="1202"/>
    </row>
    <row r="124" spans="10:59" x14ac:dyDescent="0.3">
      <c r="AE124"/>
      <c r="BF124" s="1202"/>
      <c r="BG124" s="1202"/>
    </row>
    <row r="125" spans="10:59" x14ac:dyDescent="0.3">
      <c r="AE125"/>
      <c r="BF125" s="1202"/>
      <c r="BG125" s="1202"/>
    </row>
    <row r="126" spans="10:59" x14ac:dyDescent="0.3">
      <c r="AE126"/>
      <c r="BF126" s="1202"/>
      <c r="BG126" s="1202"/>
    </row>
    <row r="127" spans="10:59" x14ac:dyDescent="0.3">
      <c r="AE127"/>
      <c r="BF127" s="1202"/>
      <c r="BG127" s="1202"/>
    </row>
    <row r="128" spans="10:59" x14ac:dyDescent="0.3">
      <c r="AE128"/>
      <c r="BF128" s="1202"/>
      <c r="BG128" s="1202"/>
    </row>
    <row r="129" spans="10:59" x14ac:dyDescent="0.3">
      <c r="AE129"/>
      <c r="BF129" s="1202"/>
      <c r="BG129" s="1202"/>
    </row>
    <row r="130" spans="10:59" x14ac:dyDescent="0.3">
      <c r="AE130"/>
      <c r="BF130" s="1202"/>
      <c r="BG130" s="1202"/>
    </row>
    <row r="131" spans="10:59" x14ac:dyDescent="0.3">
      <c r="AE131"/>
      <c r="BF131" s="1202"/>
      <c r="BG131" s="1202"/>
    </row>
    <row r="132" spans="10:59" x14ac:dyDescent="0.3">
      <c r="AE132"/>
      <c r="BF132" s="1202"/>
      <c r="BG132" s="1202"/>
    </row>
    <row r="133" spans="10:59" x14ac:dyDescent="0.3">
      <c r="AE133"/>
      <c r="BF133" s="1202"/>
      <c r="BG133" s="1202"/>
    </row>
    <row r="134" spans="10:59" x14ac:dyDescent="0.3">
      <c r="AE134"/>
      <c r="BF134" s="1202"/>
      <c r="BG134" s="1202"/>
    </row>
    <row r="135" spans="10:59" x14ac:dyDescent="0.3">
      <c r="J135"/>
      <c r="K135"/>
      <c r="AE135"/>
      <c r="BF135" s="1202"/>
      <c r="BG135" s="1202"/>
    </row>
    <row r="136" spans="10:59" x14ac:dyDescent="0.3">
      <c r="J136"/>
      <c r="K136"/>
      <c r="AE136"/>
      <c r="BF136" s="1202"/>
      <c r="BG136" s="1202"/>
    </row>
    <row r="137" spans="10:59" x14ac:dyDescent="0.3">
      <c r="J137"/>
      <c r="K137"/>
      <c r="AE137"/>
      <c r="BF137" s="1202"/>
      <c r="BG137" s="1202"/>
    </row>
    <row r="138" spans="10:59" x14ac:dyDescent="0.3">
      <c r="J138"/>
      <c r="K138"/>
      <c r="AE138"/>
      <c r="BF138" s="1202"/>
      <c r="BG138" s="1202"/>
    </row>
    <row r="139" spans="10:59" x14ac:dyDescent="0.3">
      <c r="J139"/>
      <c r="K139"/>
      <c r="AE139"/>
      <c r="BF139" s="1202"/>
      <c r="BG139" s="1202"/>
    </row>
    <row r="140" spans="10:59" x14ac:dyDescent="0.3">
      <c r="J140"/>
      <c r="K140"/>
      <c r="AE140"/>
      <c r="BF140" s="1202"/>
      <c r="BG140" s="1202"/>
    </row>
    <row r="141" spans="10:59" x14ac:dyDescent="0.3">
      <c r="J141"/>
      <c r="K141"/>
      <c r="AE141"/>
      <c r="BF141" s="1202"/>
      <c r="BG141" s="1202"/>
    </row>
    <row r="142" spans="10:59" x14ac:dyDescent="0.3">
      <c r="J142"/>
      <c r="K142"/>
      <c r="AE142"/>
      <c r="BF142" s="1202"/>
      <c r="BG142" s="1202"/>
    </row>
    <row r="143" spans="10:59" x14ac:dyDescent="0.3">
      <c r="J143"/>
      <c r="K143"/>
      <c r="AE143"/>
      <c r="BF143" s="1202"/>
      <c r="BG143" s="1202"/>
    </row>
    <row r="144" spans="10:59" x14ac:dyDescent="0.3">
      <c r="J144"/>
      <c r="K144"/>
      <c r="AE144"/>
      <c r="BF144" s="1202"/>
      <c r="BG144" s="1202"/>
    </row>
    <row r="145" spans="10:59" x14ac:dyDescent="0.3">
      <c r="J145"/>
      <c r="K145"/>
      <c r="AE145"/>
      <c r="BF145" s="1202"/>
      <c r="BG145" s="1202"/>
    </row>
    <row r="146" spans="10:59" x14ac:dyDescent="0.3">
      <c r="J146"/>
      <c r="K146"/>
      <c r="AE146"/>
      <c r="BF146" s="1202"/>
      <c r="BG146" s="1202"/>
    </row>
    <row r="147" spans="10:59" x14ac:dyDescent="0.3">
      <c r="J147"/>
      <c r="K147"/>
      <c r="AE147"/>
      <c r="BF147" s="1202"/>
      <c r="BG147" s="1202"/>
    </row>
    <row r="148" spans="10:59" x14ac:dyDescent="0.3">
      <c r="J148"/>
      <c r="K148"/>
      <c r="AE148"/>
      <c r="BF148" s="1202"/>
      <c r="BG148" s="1202"/>
    </row>
    <row r="149" spans="10:59" x14ac:dyDescent="0.3">
      <c r="J149"/>
      <c r="K149"/>
      <c r="AE149"/>
      <c r="BF149" s="1202"/>
      <c r="BG149" s="1202"/>
    </row>
    <row r="150" spans="10:59" x14ac:dyDescent="0.3">
      <c r="J150"/>
      <c r="K150"/>
      <c r="AE150"/>
    </row>
    <row r="151" spans="10:59" x14ac:dyDescent="0.3">
      <c r="J151"/>
      <c r="K151"/>
      <c r="AE151"/>
    </row>
    <row r="152" spans="10:59" x14ac:dyDescent="0.3">
      <c r="J152"/>
      <c r="K152"/>
      <c r="AE152"/>
    </row>
    <row r="153" spans="10:59" x14ac:dyDescent="0.3">
      <c r="J153"/>
      <c r="K153"/>
      <c r="AE153"/>
    </row>
    <row r="154" spans="10:59" x14ac:dyDescent="0.3">
      <c r="J154"/>
      <c r="K154"/>
      <c r="AE154"/>
    </row>
    <row r="155" spans="10:59" x14ac:dyDescent="0.3">
      <c r="J155"/>
      <c r="K155"/>
      <c r="AE155"/>
    </row>
    <row r="156" spans="10:59" x14ac:dyDescent="0.3">
      <c r="J156"/>
      <c r="K156"/>
      <c r="AE156"/>
    </row>
    <row r="157" spans="10:59" x14ac:dyDescent="0.3">
      <c r="J157"/>
      <c r="K157"/>
      <c r="AE157"/>
    </row>
    <row r="158" spans="10:59" x14ac:dyDescent="0.3">
      <c r="J158"/>
      <c r="K158"/>
      <c r="AE158"/>
    </row>
    <row r="159" spans="10:59" x14ac:dyDescent="0.3">
      <c r="J159"/>
      <c r="K159"/>
      <c r="AE159"/>
    </row>
    <row r="160" spans="10:59" x14ac:dyDescent="0.3">
      <c r="J160"/>
      <c r="K160"/>
      <c r="AE160"/>
    </row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</sheetData>
  <mergeCells count="39">
    <mergeCell ref="B75:B76"/>
    <mergeCell ref="B78:B94"/>
    <mergeCell ref="B58:B59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  <mergeCell ref="AV2:AW2"/>
    <mergeCell ref="B43:B56"/>
    <mergeCell ref="Z2:AA2"/>
    <mergeCell ref="D2:E2"/>
    <mergeCell ref="F2:G2"/>
    <mergeCell ref="H2:I2"/>
    <mergeCell ref="J2:K2"/>
    <mergeCell ref="L2:M2"/>
    <mergeCell ref="B22:B26"/>
    <mergeCell ref="B27:B32"/>
    <mergeCell ref="B16:B17"/>
    <mergeCell ref="AB2:AC2"/>
    <mergeCell ref="AD2:AE2"/>
    <mergeCell ref="N2:O2"/>
    <mergeCell ref="P2:Q2"/>
    <mergeCell ref="R2:S2"/>
    <mergeCell ref="B60:B73"/>
    <mergeCell ref="B4:B9"/>
    <mergeCell ref="B10:B15"/>
    <mergeCell ref="B19:B21"/>
    <mergeCell ref="AT2:AU2"/>
    <mergeCell ref="T2:U2"/>
    <mergeCell ref="V2:W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theme="6" tint="-0.249977111117893"/>
    <pageSetUpPr fitToPage="1"/>
  </sheetPr>
  <dimension ref="A1:BN245"/>
  <sheetViews>
    <sheetView tabSelected="1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B3" sqref="B3:B4"/>
    </sheetView>
  </sheetViews>
  <sheetFormatPr defaultRowHeight="14.4" x14ac:dyDescent="0.3"/>
  <cols>
    <col min="1" max="1" width="3" style="144" customWidth="1"/>
    <col min="2" max="2" width="78.33203125" bestFit="1" customWidth="1"/>
    <col min="3" max="3" width="12.33203125" bestFit="1" customWidth="1"/>
    <col min="4" max="4" width="13.6640625" style="92" hidden="1" customWidth="1"/>
    <col min="5" max="5" width="10.5546875" style="86" customWidth="1"/>
    <col min="6" max="6" width="13.6640625" style="92" customWidth="1"/>
    <col min="7" max="7" width="10.5546875" style="86" customWidth="1"/>
    <col min="8" max="8" width="10.5546875" style="92" customWidth="1"/>
    <col min="9" max="9" width="9.5546875" style="86" hidden="1" customWidth="1"/>
    <col min="10" max="10" width="9.6640625" style="92" hidden="1" customWidth="1"/>
    <col min="11" max="11" width="8.88671875" style="86" bestFit="1" customWidth="1"/>
    <col min="12" max="12" width="8.6640625" style="92" bestFit="1" customWidth="1"/>
    <col min="13" max="13" width="9" style="86" customWidth="1"/>
    <col min="14" max="14" width="9" style="92" customWidth="1"/>
    <col min="15" max="15" width="10.44140625" style="200" bestFit="1" customWidth="1"/>
    <col min="16" max="16" width="10.44140625" style="92" bestFit="1" customWidth="1"/>
    <col min="17" max="17" width="12.33203125" style="86" hidden="1" customWidth="1"/>
    <col min="18" max="18" width="10.6640625" style="92" hidden="1" customWidth="1"/>
    <col min="19" max="19" width="10.44140625" style="86" bestFit="1" customWidth="1"/>
    <col min="20" max="20" width="10.44140625" bestFit="1" customWidth="1"/>
    <col min="21" max="21" width="12.33203125" style="86" hidden="1" customWidth="1"/>
    <col min="22" max="22" width="10.6640625" hidden="1" customWidth="1"/>
    <col min="23" max="23" width="8.88671875" customWidth="1"/>
    <col min="24" max="24" width="8.6640625" bestFit="1" customWidth="1"/>
    <col min="25" max="28" width="9" customWidth="1"/>
    <col min="29" max="29" width="10.88671875" customWidth="1"/>
    <col min="30" max="30" width="10.44140625" bestFit="1" customWidth="1"/>
    <col min="31" max="32" width="9.109375" hidden="1" customWidth="1"/>
    <col min="33" max="33" width="9.109375" customWidth="1"/>
    <col min="34" max="34" width="10.44140625" customWidth="1"/>
    <col min="35" max="36" width="9.109375" hidden="1" customWidth="1"/>
    <col min="37" max="38" width="10.44140625" bestFit="1" customWidth="1"/>
    <col min="39" max="40" width="9.109375" customWidth="1"/>
    <col min="41" max="42" width="9.109375" hidden="1" customWidth="1"/>
    <col min="43" max="44" width="10.44140625" customWidth="1"/>
    <col min="45" max="46" width="9.109375" hidden="1" customWidth="1"/>
    <col min="47" max="48" width="10.6640625" customWidth="1"/>
    <col min="49" max="49" width="9.109375" hidden="1" customWidth="1"/>
    <col min="50" max="50" width="10.109375" hidden="1" customWidth="1"/>
    <col min="51" max="51" width="13.33203125" customWidth="1"/>
    <col min="52" max="52" width="14" customWidth="1"/>
    <col min="53" max="58" width="10.109375" bestFit="1" customWidth="1"/>
    <col min="59" max="60" width="11.5546875" hidden="1" customWidth="1"/>
    <col min="61" max="62" width="10.33203125" hidden="1" customWidth="1"/>
    <col min="63" max="64" width="10.6640625" hidden="1" customWidth="1"/>
    <col min="65" max="67" width="0" hidden="1" customWidth="1"/>
    <col min="16384" max="16384" width="9.109375" customWidth="1"/>
  </cols>
  <sheetData>
    <row r="1" spans="1:66" ht="22.8" x14ac:dyDescent="0.4">
      <c r="A1" s="92"/>
      <c r="B1" s="384" t="s">
        <v>4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522"/>
      <c r="P1" s="44"/>
      <c r="Q1" s="44"/>
      <c r="R1" s="44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</row>
    <row r="2" spans="1:66" ht="15" thickBot="1" x14ac:dyDescent="0.35">
      <c r="A2" s="92"/>
      <c r="B2" s="44"/>
      <c r="C2" s="44"/>
      <c r="D2" s="44">
        <v>365</v>
      </c>
      <c r="E2" s="31">
        <v>30</v>
      </c>
      <c r="F2" s="31">
        <v>30</v>
      </c>
      <c r="G2" s="31">
        <v>31</v>
      </c>
      <c r="H2" s="31">
        <v>31</v>
      </c>
      <c r="I2" s="31">
        <f>+E2+G2</f>
        <v>61</v>
      </c>
      <c r="J2" s="31">
        <f>+F2+H2</f>
        <v>61</v>
      </c>
      <c r="K2" s="31">
        <v>30</v>
      </c>
      <c r="L2" s="31">
        <v>30</v>
      </c>
      <c r="M2" s="31">
        <f>+I2+K2</f>
        <v>91</v>
      </c>
      <c r="N2" s="31">
        <f>+J2+L2</f>
        <v>91</v>
      </c>
      <c r="O2" s="1528">
        <v>31</v>
      </c>
      <c r="P2" s="31">
        <v>31</v>
      </c>
      <c r="Q2" s="31">
        <f>+M2+O2</f>
        <v>122</v>
      </c>
      <c r="R2" s="31">
        <f>+N2+P2</f>
        <v>122</v>
      </c>
      <c r="S2" s="31">
        <v>31</v>
      </c>
      <c r="T2" s="31">
        <v>31</v>
      </c>
      <c r="U2" s="31">
        <f>+Q2+S2</f>
        <v>153</v>
      </c>
      <c r="V2" s="31">
        <f>+R2+T2</f>
        <v>153</v>
      </c>
      <c r="W2" s="31">
        <v>30</v>
      </c>
      <c r="X2" s="31">
        <v>30</v>
      </c>
      <c r="Y2" s="31">
        <f>+O2+S2+W2</f>
        <v>92</v>
      </c>
      <c r="Z2" s="31">
        <f>+P2+T2+X2</f>
        <v>92</v>
      </c>
      <c r="AA2" s="95">
        <f>+U2+W2</f>
        <v>183</v>
      </c>
      <c r="AB2" s="31">
        <f>+V2+X2</f>
        <v>183</v>
      </c>
      <c r="AC2" s="31">
        <v>31</v>
      </c>
      <c r="AD2" s="31">
        <v>31</v>
      </c>
      <c r="AE2" s="31">
        <f>+AA2+AC2</f>
        <v>214</v>
      </c>
      <c r="AF2" s="31">
        <f>+AB2+AD2</f>
        <v>214</v>
      </c>
      <c r="AG2" s="31">
        <v>30</v>
      </c>
      <c r="AH2" s="31">
        <v>30</v>
      </c>
      <c r="AI2" s="31">
        <f>+AE2+AG2</f>
        <v>244</v>
      </c>
      <c r="AJ2" s="31">
        <f>+AF2+AH2</f>
        <v>244</v>
      </c>
      <c r="AK2" s="31">
        <v>31</v>
      </c>
      <c r="AL2" s="31">
        <v>31</v>
      </c>
      <c r="AM2" s="31">
        <f>+AC2+AG2+AK2</f>
        <v>92</v>
      </c>
      <c r="AN2" s="31">
        <f>+AD2+AH2+AL2</f>
        <v>92</v>
      </c>
      <c r="AO2" s="31">
        <f>AI2+AK2</f>
        <v>275</v>
      </c>
      <c r="AP2" s="31">
        <f>AJ2+AL2</f>
        <v>275</v>
      </c>
      <c r="AQ2" s="31">
        <v>31</v>
      </c>
      <c r="AR2" s="31">
        <v>31</v>
      </c>
      <c r="AS2" s="31">
        <f>+AO2+AQ2</f>
        <v>306</v>
      </c>
      <c r="AT2" s="31">
        <f>+AP2+AR2</f>
        <v>306</v>
      </c>
      <c r="AU2" s="31">
        <v>28</v>
      </c>
      <c r="AV2" s="31">
        <v>28</v>
      </c>
      <c r="AW2" s="31">
        <f>+AS2+AU2</f>
        <v>334</v>
      </c>
      <c r="AX2" s="31">
        <f>+AT2+AV2</f>
        <v>334</v>
      </c>
      <c r="AY2" s="31">
        <v>31</v>
      </c>
      <c r="AZ2" s="31">
        <v>31</v>
      </c>
      <c r="BA2" s="31">
        <f>+AQ2+AU2+AY2</f>
        <v>90</v>
      </c>
      <c r="BB2" s="31">
        <f>+AR2+AV2+AZ2</f>
        <v>90</v>
      </c>
      <c r="BC2" s="95">
        <f>+AM2+BA2</f>
        <v>182</v>
      </c>
      <c r="BD2" s="95">
        <f>+AN2+BB2</f>
        <v>182</v>
      </c>
      <c r="BE2" s="31">
        <f>+AW2+AY2</f>
        <v>365</v>
      </c>
      <c r="BF2" s="31">
        <f>+AX2+AZ2</f>
        <v>365</v>
      </c>
    </row>
    <row r="3" spans="1:66" ht="15" thickBot="1" x14ac:dyDescent="0.35">
      <c r="A3" s="92"/>
      <c r="B3" s="6204" t="s">
        <v>171</v>
      </c>
      <c r="C3" s="5910" t="s">
        <v>172</v>
      </c>
      <c r="D3" s="6210" t="s">
        <v>1963</v>
      </c>
      <c r="E3" s="6208" t="s">
        <v>1962</v>
      </c>
      <c r="F3" s="6209"/>
      <c r="G3" s="5866" t="s">
        <v>2013</v>
      </c>
      <c r="H3" s="5866"/>
      <c r="I3" s="5867" t="s">
        <v>14</v>
      </c>
      <c r="J3" s="5868"/>
      <c r="K3" s="5957" t="s">
        <v>2043</v>
      </c>
      <c r="L3" s="5954"/>
      <c r="M3" s="6206" t="s">
        <v>637</v>
      </c>
      <c r="N3" s="6207"/>
      <c r="O3" s="5866" t="s">
        <v>2065</v>
      </c>
      <c r="P3" s="5866"/>
      <c r="Q3" s="5867" t="s">
        <v>17</v>
      </c>
      <c r="R3" s="5868"/>
      <c r="S3" s="5866" t="s">
        <v>2068</v>
      </c>
      <c r="T3" s="5866"/>
      <c r="U3" s="5867" t="s">
        <v>18</v>
      </c>
      <c r="V3" s="5868"/>
      <c r="W3" s="5866" t="s">
        <v>2110</v>
      </c>
      <c r="X3" s="5866"/>
      <c r="Y3" s="5869" t="s">
        <v>660</v>
      </c>
      <c r="Z3" s="5870"/>
      <c r="AA3" s="5871" t="s">
        <v>657</v>
      </c>
      <c r="AB3" s="5872"/>
      <c r="AC3" s="5866" t="s">
        <v>2135</v>
      </c>
      <c r="AD3" s="5866"/>
      <c r="AE3" s="5867" t="s">
        <v>24</v>
      </c>
      <c r="AF3" s="5868"/>
      <c r="AG3" s="5866" t="s">
        <v>2238</v>
      </c>
      <c r="AH3" s="5866"/>
      <c r="AI3" s="5867" t="s">
        <v>27</v>
      </c>
      <c r="AJ3" s="5868"/>
      <c r="AK3" s="5866" t="s">
        <v>2262</v>
      </c>
      <c r="AL3" s="5866"/>
      <c r="AM3" s="5869" t="s">
        <v>662</v>
      </c>
      <c r="AN3" s="5870"/>
      <c r="AO3" s="5867" t="s">
        <v>1613</v>
      </c>
      <c r="AP3" s="5868"/>
      <c r="AQ3" s="5866" t="s">
        <v>2274</v>
      </c>
      <c r="AR3" s="5866"/>
      <c r="AS3" s="5867" t="s">
        <v>28</v>
      </c>
      <c r="AT3" s="5868"/>
      <c r="AU3" s="5866" t="s">
        <v>2311</v>
      </c>
      <c r="AV3" s="5866"/>
      <c r="AW3" s="5867" t="s">
        <v>30</v>
      </c>
      <c r="AX3" s="5868"/>
      <c r="AY3" s="5866" t="s">
        <v>2329</v>
      </c>
      <c r="AZ3" s="5866"/>
      <c r="BA3" s="5869" t="s">
        <v>663</v>
      </c>
      <c r="BB3" s="5870"/>
      <c r="BC3" s="5871" t="s">
        <v>670</v>
      </c>
      <c r="BD3" s="5872"/>
      <c r="BE3" s="5867" t="s">
        <v>2041</v>
      </c>
      <c r="BF3" s="5868"/>
    </row>
    <row r="4" spans="1:66" ht="15" thickBot="1" x14ac:dyDescent="0.35">
      <c r="A4" s="92"/>
      <c r="B4" s="6205"/>
      <c r="C4" s="5911"/>
      <c r="D4" s="6211"/>
      <c r="E4" s="3765" t="s">
        <v>173</v>
      </c>
      <c r="F4" s="3766" t="s">
        <v>174</v>
      </c>
      <c r="G4" s="3757" t="s">
        <v>173</v>
      </c>
      <c r="H4" s="3767" t="s">
        <v>174</v>
      </c>
      <c r="I4" s="3768" t="s">
        <v>173</v>
      </c>
      <c r="J4" s="3769" t="s">
        <v>174</v>
      </c>
      <c r="K4" s="3757" t="s">
        <v>173</v>
      </c>
      <c r="L4" s="3767" t="s">
        <v>174</v>
      </c>
      <c r="M4" s="3770" t="s">
        <v>173</v>
      </c>
      <c r="N4" s="3771" t="s">
        <v>174</v>
      </c>
      <c r="O4" s="227" t="s">
        <v>173</v>
      </c>
      <c r="P4" s="158" t="s">
        <v>174</v>
      </c>
      <c r="Q4" s="542" t="s">
        <v>173</v>
      </c>
      <c r="R4" s="160" t="s">
        <v>174</v>
      </c>
      <c r="S4" s="227" t="s">
        <v>173</v>
      </c>
      <c r="T4" s="158" t="s">
        <v>174</v>
      </c>
      <c r="U4" s="542" t="s">
        <v>173</v>
      </c>
      <c r="V4" s="160" t="s">
        <v>174</v>
      </c>
      <c r="W4" s="541" t="s">
        <v>173</v>
      </c>
      <c r="X4" s="158" t="s">
        <v>174</v>
      </c>
      <c r="Y4" s="698" t="s">
        <v>173</v>
      </c>
      <c r="Z4" s="167" t="s">
        <v>174</v>
      </c>
      <c r="AA4" s="2288" t="s">
        <v>173</v>
      </c>
      <c r="AB4" s="462" t="s">
        <v>174</v>
      </c>
      <c r="AC4" s="227" t="s">
        <v>173</v>
      </c>
      <c r="AD4" s="158" t="s">
        <v>174</v>
      </c>
      <c r="AE4" s="542" t="s">
        <v>173</v>
      </c>
      <c r="AF4" s="160" t="s">
        <v>174</v>
      </c>
      <c r="AG4" s="227" t="s">
        <v>173</v>
      </c>
      <c r="AH4" s="158" t="s">
        <v>174</v>
      </c>
      <c r="AI4" s="542" t="s">
        <v>173</v>
      </c>
      <c r="AJ4" s="160" t="s">
        <v>174</v>
      </c>
      <c r="AK4" s="541" t="s">
        <v>173</v>
      </c>
      <c r="AL4" s="158" t="s">
        <v>174</v>
      </c>
      <c r="AM4" s="698" t="s">
        <v>173</v>
      </c>
      <c r="AN4" s="167" t="s">
        <v>174</v>
      </c>
      <c r="AO4" s="542" t="s">
        <v>173</v>
      </c>
      <c r="AP4" s="160" t="s">
        <v>174</v>
      </c>
      <c r="AQ4" s="227" t="s">
        <v>173</v>
      </c>
      <c r="AR4" s="158" t="s">
        <v>174</v>
      </c>
      <c r="AS4" s="542" t="s">
        <v>173</v>
      </c>
      <c r="AT4" s="160" t="s">
        <v>174</v>
      </c>
      <c r="AU4" s="227" t="s">
        <v>173</v>
      </c>
      <c r="AV4" s="158" t="s">
        <v>174</v>
      </c>
      <c r="AW4" s="542" t="s">
        <v>173</v>
      </c>
      <c r="AX4" s="160" t="s">
        <v>174</v>
      </c>
      <c r="AY4" s="227" t="s">
        <v>173</v>
      </c>
      <c r="AZ4" s="158" t="s">
        <v>174</v>
      </c>
      <c r="BA4" s="698" t="s">
        <v>173</v>
      </c>
      <c r="BB4" s="167" t="s">
        <v>174</v>
      </c>
      <c r="BC4" s="2288" t="s">
        <v>173</v>
      </c>
      <c r="BD4" s="462" t="s">
        <v>174</v>
      </c>
      <c r="BE4" s="542" t="s">
        <v>173</v>
      </c>
      <c r="BF4" s="160" t="s">
        <v>174</v>
      </c>
    </row>
    <row r="5" spans="1:66" x14ac:dyDescent="0.3">
      <c r="B5" s="1740" t="s">
        <v>1791</v>
      </c>
      <c r="C5" s="811" t="s">
        <v>169</v>
      </c>
      <c r="D5" s="1429">
        <v>94.512328767123293</v>
      </c>
      <c r="E5" s="1429">
        <v>98</v>
      </c>
      <c r="F5" s="1429">
        <f>+'Maj Production Summ'!F6</f>
        <v>97.2</v>
      </c>
      <c r="G5" s="1429">
        <v>98</v>
      </c>
      <c r="H5" s="1429">
        <f>+'Maj Production Summ'!H6</f>
        <v>97.612903225806448</v>
      </c>
      <c r="I5" s="1430">
        <f>+'Maj Production Summ'!I6</f>
        <v>98</v>
      </c>
      <c r="J5" s="1430">
        <f>+'Maj Production Summ'!J6</f>
        <v>97.409836065573771</v>
      </c>
      <c r="K5" s="1429">
        <v>94</v>
      </c>
      <c r="L5" s="1429">
        <f>+'Maj Production Summ'!L6</f>
        <v>96.066666666666663</v>
      </c>
      <c r="M5" s="1508">
        <f>+'Maj Production Summ'!M6</f>
        <v>96.681318681318686</v>
      </c>
      <c r="N5" s="171">
        <f>+'Maj Production Summ'!N6</f>
        <v>96.967032967032964</v>
      </c>
      <c r="O5" s="1429">
        <v>94</v>
      </c>
      <c r="P5" s="1429">
        <f>+'Maj Production Summ'!P6</f>
        <v>95.41935483870968</v>
      </c>
      <c r="Q5" s="343">
        <f>+'Maj Production Summ'!Q6</f>
        <v>96</v>
      </c>
      <c r="R5" s="343">
        <f>+'Maj Production Summ'!R6</f>
        <v>96.573770491803273</v>
      </c>
      <c r="S5" s="1429">
        <v>94</v>
      </c>
      <c r="T5" s="1429">
        <f>+'Maj Production Summ'!T6</f>
        <v>98</v>
      </c>
      <c r="U5" s="343">
        <f>+'Maj Production Summ'!U6</f>
        <v>95.59477124183006</v>
      </c>
      <c r="V5" s="343">
        <f>+'Maj Production Summ'!V6</f>
        <v>96.862745098039213</v>
      </c>
      <c r="W5" s="1429">
        <v>92.1</v>
      </c>
      <c r="X5" s="1429">
        <f>+'Maj Production Summ'!X6</f>
        <v>98</v>
      </c>
      <c r="Y5" s="447">
        <f>+'Maj Production Summ'!Y6</f>
        <v>93.380434782608702</v>
      </c>
      <c r="Z5" s="447">
        <f>+'Maj Production Summ'!Z6</f>
        <v>97.130434782608702</v>
      </c>
      <c r="AA5" s="467">
        <f>+'Maj Production Summ'!AA6</f>
        <v>95.021857923497265</v>
      </c>
      <c r="AB5" s="467">
        <f>+'Maj Production Summ'!AB6</f>
        <v>97.049180327868854</v>
      </c>
      <c r="AC5" s="1429">
        <v>94</v>
      </c>
      <c r="AD5" s="1429">
        <f>+'Maj Production Summ'!AD6</f>
        <v>96.548387096774192</v>
      </c>
      <c r="AE5" s="343">
        <f>+'Maj Production Summ'!AE6</f>
        <v>94.873831775700936</v>
      </c>
      <c r="AF5" s="343">
        <f>+'Maj Production Summ'!AF6</f>
        <v>96.976635514018696</v>
      </c>
      <c r="AG5" s="1429">
        <v>94</v>
      </c>
      <c r="AH5" s="1429">
        <f>+'Maj Production Summ'!AH6</f>
        <v>94.233333333333334</v>
      </c>
      <c r="AI5" s="343">
        <f>+'Maj Production Summ'!AI6</f>
        <v>94.766393442622956</v>
      </c>
      <c r="AJ5" s="343">
        <f>+'Maj Production Summ'!AJ6</f>
        <v>96.639344262295083</v>
      </c>
      <c r="AK5" s="1429">
        <v>94</v>
      </c>
      <c r="AL5" s="1429">
        <f>+'Maj Production Summ'!AL6</f>
        <v>94.096774193548384</v>
      </c>
      <c r="AM5" s="447">
        <f>+'Maj Production Summ'!AM6</f>
        <v>94</v>
      </c>
      <c r="AN5" s="447">
        <f>+'Maj Production Summ'!AN6</f>
        <v>94.967391304347828</v>
      </c>
      <c r="AO5" s="343">
        <f>+'Maj Production Summ'!AO6</f>
        <v>94.68</v>
      </c>
      <c r="AP5" s="343">
        <f>+'Maj Production Summ'!AP6</f>
        <v>96.352727272727279</v>
      </c>
      <c r="AQ5" s="1429">
        <v>94</v>
      </c>
      <c r="AR5" s="1429">
        <f>+'Maj Production Summ'!AR6</f>
        <v>94.838709677419359</v>
      </c>
      <c r="AS5" s="343">
        <f>+'Maj Production Summ'!AS6</f>
        <v>94.611111111111128</v>
      </c>
      <c r="AT5" s="343">
        <f>+'Maj Production Summ'!AT6</f>
        <v>96.199346405228752</v>
      </c>
      <c r="AU5" s="1429">
        <v>94</v>
      </c>
      <c r="AV5" s="1429">
        <f>+'Maj Production Summ'!AV6</f>
        <v>94.428571428571431</v>
      </c>
      <c r="AW5" s="343">
        <f>+'Maj Production Summ'!AW6</f>
        <v>94.559880239520965</v>
      </c>
      <c r="AX5" s="343">
        <f>+'Maj Production Summ'!AX6</f>
        <v>96.050898203592808</v>
      </c>
      <c r="AY5" s="1429">
        <v>94</v>
      </c>
      <c r="AZ5" s="1429">
        <f>+'Maj Production Summ'!AZ6</f>
        <v>98</v>
      </c>
      <c r="BA5" s="447">
        <f>+'Maj Production Summ'!BA6</f>
        <v>94</v>
      </c>
      <c r="BB5" s="447">
        <f>+'Maj Production Summ'!BB6</f>
        <v>95.8</v>
      </c>
      <c r="BC5" s="467">
        <f>+'Maj Production Summ'!BC6</f>
        <v>94</v>
      </c>
      <c r="BD5" s="467">
        <f>+'Maj Production Summ'!BD6</f>
        <v>95.379120879120876</v>
      </c>
      <c r="BE5" s="343">
        <f>+'Maj Production Summ'!BE6</f>
        <v>94.512328767123293</v>
      </c>
      <c r="BF5" s="343">
        <f>+'Maj Production Summ'!BF6</f>
        <v>96.216438356164389</v>
      </c>
      <c r="BG5" s="1202"/>
      <c r="BH5" s="1202"/>
      <c r="BI5" s="1520"/>
      <c r="BJ5" s="528"/>
    </row>
    <row r="6" spans="1:66" ht="15" thickBot="1" x14ac:dyDescent="0.35">
      <c r="B6" s="1739" t="s">
        <v>1792</v>
      </c>
      <c r="C6" s="2546" t="s">
        <v>169</v>
      </c>
      <c r="D6" s="2794">
        <v>97.630136986301366</v>
      </c>
      <c r="E6" s="2794">
        <v>98</v>
      </c>
      <c r="F6" s="2794">
        <f>+'Maj Production Summ'!F7</f>
        <v>97.1</v>
      </c>
      <c r="G6" s="2794">
        <v>98</v>
      </c>
      <c r="H6" s="2794">
        <f>+'Maj Production Summ'!H7</f>
        <v>97.483870967741936</v>
      </c>
      <c r="I6" s="3058">
        <f>+'Maj Production Summ'!I7</f>
        <v>98</v>
      </c>
      <c r="J6" s="3058">
        <f>+'Maj Production Summ'!J7</f>
        <v>97.295081967213122</v>
      </c>
      <c r="K6" s="2794">
        <v>98</v>
      </c>
      <c r="L6" s="2794">
        <f>+'Maj Production Summ'!L7</f>
        <v>98.466666666666669</v>
      </c>
      <c r="M6" s="3304">
        <f>+'Maj Production Summ'!M7</f>
        <v>98</v>
      </c>
      <c r="N6" s="111">
        <f>+'Maj Production Summ'!N7</f>
        <v>97.681318681318686</v>
      </c>
      <c r="O6" s="2794">
        <v>98</v>
      </c>
      <c r="P6" s="2794">
        <f>+'Maj Production Summ'!P7</f>
        <v>99</v>
      </c>
      <c r="Q6" s="1386">
        <f>+'Maj Production Summ'!Q7</f>
        <v>98</v>
      </c>
      <c r="R6" s="1386">
        <f>+'Maj Production Summ'!R7</f>
        <v>98.016393442622956</v>
      </c>
      <c r="S6" s="2794">
        <v>98</v>
      </c>
      <c r="T6" s="2794">
        <f>+'Maj Production Summ'!T7</f>
        <v>98.516129032258064</v>
      </c>
      <c r="U6" s="1386">
        <f>+'Maj Production Summ'!U7</f>
        <v>98</v>
      </c>
      <c r="V6" s="1386">
        <f>+'Maj Production Summ'!V7</f>
        <v>98.117647058823536</v>
      </c>
      <c r="W6" s="2794">
        <v>93.5</v>
      </c>
      <c r="X6" s="2794">
        <f>+'Maj Production Summ'!X7</f>
        <v>98.766666666666666</v>
      </c>
      <c r="Y6" s="447">
        <f>+'Maj Production Summ'!Y7</f>
        <v>96.532608695652172</v>
      </c>
      <c r="Z6" s="447">
        <f>+'Maj Production Summ'!Z7</f>
        <v>98.760869565217391</v>
      </c>
      <c r="AA6" s="467">
        <f>+'Maj Production Summ'!AA7</f>
        <v>97.26229508196721</v>
      </c>
      <c r="AB6" s="467">
        <f>+'Maj Production Summ'!AB7</f>
        <v>98.224043715846989</v>
      </c>
      <c r="AC6" s="2794">
        <v>98</v>
      </c>
      <c r="AD6" s="2794">
        <f>+'Maj Production Summ'!AD7</f>
        <v>97.193548387096769</v>
      </c>
      <c r="AE6" s="1386">
        <f>+'Maj Production Summ'!AE7</f>
        <v>97.369158878504678</v>
      </c>
      <c r="AF6" s="1386">
        <f>+'Maj Production Summ'!AF7</f>
        <v>98.074766355140184</v>
      </c>
      <c r="AG6" s="2794">
        <v>98</v>
      </c>
      <c r="AH6" s="2794">
        <f>+'Maj Production Summ'!AH7</f>
        <v>98.666666666666671</v>
      </c>
      <c r="AI6" s="1386">
        <f>+'Maj Production Summ'!AI7</f>
        <v>97.446721311475414</v>
      </c>
      <c r="AJ6" s="1386">
        <f>+'Maj Production Summ'!AJ7</f>
        <v>98.147540983606561</v>
      </c>
      <c r="AK6" s="2794">
        <v>98</v>
      </c>
      <c r="AL6" s="2794">
        <f>+'Maj Production Summ'!AL7</f>
        <v>98.741935483870961</v>
      </c>
      <c r="AM6" s="447">
        <f>+'Maj Production Summ'!AM7</f>
        <v>98</v>
      </c>
      <c r="AN6" s="447">
        <f>+'Maj Production Summ'!AN7</f>
        <v>98.195652173913047</v>
      </c>
      <c r="AO6" s="1386">
        <f>+'Maj Production Summ'!AO7</f>
        <v>97.509090909090915</v>
      </c>
      <c r="AP6" s="1386">
        <f>+'Maj Production Summ'!AP7</f>
        <v>98.214545454545458</v>
      </c>
      <c r="AQ6" s="2794">
        <v>98</v>
      </c>
      <c r="AR6" s="2794">
        <f>+'Maj Production Summ'!AR7</f>
        <v>97.870967741935488</v>
      </c>
      <c r="AS6" s="1386">
        <f>+'Maj Production Summ'!AS7</f>
        <v>97.558823529411768</v>
      </c>
      <c r="AT6" s="1386">
        <f>+'Maj Production Summ'!AT7</f>
        <v>98.179738562091501</v>
      </c>
      <c r="AU6" s="2794">
        <v>98</v>
      </c>
      <c r="AV6" s="2794">
        <f>+'Maj Production Summ'!AV7</f>
        <v>98.035714285714292</v>
      </c>
      <c r="AW6" s="1386">
        <f>+'Maj Production Summ'!AW7</f>
        <v>97.595808383233532</v>
      </c>
      <c r="AX6" s="1386">
        <f>+'Maj Production Summ'!AX7</f>
        <v>98.167664670658681</v>
      </c>
      <c r="AY6" s="2794">
        <v>98</v>
      </c>
      <c r="AZ6" s="2794">
        <f>+'Maj Production Summ'!AZ7</f>
        <v>98.677419354838705</v>
      </c>
      <c r="BA6" s="447">
        <f>+'Maj Production Summ'!BA7</f>
        <v>98</v>
      </c>
      <c r="BB6" s="447">
        <f>+'Maj Production Summ'!BB7</f>
        <v>98.2</v>
      </c>
      <c r="BC6" s="467">
        <f>+'Maj Production Summ'!BC7</f>
        <v>98</v>
      </c>
      <c r="BD6" s="467">
        <f>+'Maj Production Summ'!BD7</f>
        <v>98.197802197802204</v>
      </c>
      <c r="BE6" s="343">
        <f>+'Maj Production Summ'!BE7</f>
        <v>97.630136986301366</v>
      </c>
      <c r="BF6" s="343">
        <f>+'Maj Production Summ'!BF7</f>
        <v>98.210958904109589</v>
      </c>
      <c r="BG6" s="1202"/>
      <c r="BH6" s="1202"/>
      <c r="BI6" s="1520"/>
      <c r="BJ6" s="528"/>
    </row>
    <row r="7" spans="1:66" ht="15" thickBot="1" x14ac:dyDescent="0.35">
      <c r="A7" s="144" t="s">
        <v>470</v>
      </c>
      <c r="B7" s="2871" t="s">
        <v>1793</v>
      </c>
      <c r="C7" s="2546" t="s">
        <v>170</v>
      </c>
      <c r="D7" s="3317">
        <f>D5+(D6*1.8343023255814)</f>
        <v>273.59551608792651</v>
      </c>
      <c r="E7" s="3317">
        <f>E5+(E6*1.8343023255814)</f>
        <v>277.7616279069772</v>
      </c>
      <c r="F7" s="3317">
        <f>F5+(F6*1.8343023255814)</f>
        <v>275.3107558139539</v>
      </c>
      <c r="G7" s="3317">
        <f>G5+(G6*1.8343023255814)</f>
        <v>277.7616279069772</v>
      </c>
      <c r="H7" s="3317">
        <f>H5+(H6*1.8343023255814)</f>
        <v>276.42779444861259</v>
      </c>
      <c r="I7" s="3319">
        <f t="shared" ref="I7:N7" si="0">I5+(I6*1.8343023255814)</f>
        <v>277.7616279069772</v>
      </c>
      <c r="J7" s="3319">
        <f t="shared" si="0"/>
        <v>275.8784311856657</v>
      </c>
      <c r="K7" s="3317">
        <f>K5+(K6*1.8343023255814)</f>
        <v>273.7616279069772</v>
      </c>
      <c r="L7" s="3317">
        <f>L5+(L6*1.8343023255814)</f>
        <v>276.68430232558183</v>
      </c>
      <c r="M7" s="3318">
        <f t="shared" si="0"/>
        <v>276.44294658829585</v>
      </c>
      <c r="N7" s="3774">
        <f t="shared" si="0"/>
        <v>276.14410299003367</v>
      </c>
      <c r="O7" s="3317">
        <f>O5+(O6*1.8343023255814)</f>
        <v>273.7616279069772</v>
      </c>
      <c r="P7" s="3317">
        <f>P5+(P6*1.8343023255814)</f>
        <v>277.01528507126829</v>
      </c>
      <c r="Q7" s="740">
        <f t="shared" ref="Q7:R7" si="1">Q5+(Q6*1.8343023255814)</f>
        <v>275.7616279069772</v>
      </c>
      <c r="R7" s="62">
        <f t="shared" si="1"/>
        <v>276.36546892870803</v>
      </c>
      <c r="S7" s="3317">
        <f>S5+(S6*1.8343023255814)</f>
        <v>273.7616279069772</v>
      </c>
      <c r="T7" s="3317">
        <f>T5+(T6*1.8343023255814)</f>
        <v>278.70836459114821</v>
      </c>
      <c r="U7" s="740">
        <f t="shared" ref="U7:V7" si="2">U5+(U6*1.8343023255814)</f>
        <v>275.35639914880727</v>
      </c>
      <c r="V7" s="62">
        <f t="shared" si="2"/>
        <v>276.84017327861426</v>
      </c>
      <c r="W7" s="3317">
        <f>W5+(W6*1.8343023255814)</f>
        <v>263.60726744186093</v>
      </c>
      <c r="X7" s="3317">
        <f>X5+(X6*1.8343023255814)</f>
        <v>279.16792635658959</v>
      </c>
      <c r="Y7" s="739">
        <f t="shared" ref="Y7:AB7" si="3">Y5+(Y6*1.8343023255814)</f>
        <v>270.45042340748273</v>
      </c>
      <c r="Z7" s="69">
        <f t="shared" si="3"/>
        <v>278.28772750252824</v>
      </c>
      <c r="AA7" s="2075">
        <f t="shared" si="3"/>
        <v>273.4303119837341</v>
      </c>
      <c r="AB7" s="1344">
        <f t="shared" si="3"/>
        <v>277.22177214385607</v>
      </c>
      <c r="AC7" s="3317">
        <f>AC5+(AC6*1.8343023255814)</f>
        <v>273.7616279069772</v>
      </c>
      <c r="AD7" s="3317">
        <f>AD5+(AD6*1.8343023255814)</f>
        <v>274.83073893473414</v>
      </c>
      <c r="AE7" s="740">
        <f t="shared" ref="AE7:AF7" si="4">+AE5+(AE6*(31.55/17.2))</f>
        <v>273.47830634644646</v>
      </c>
      <c r="AF7" s="62">
        <f t="shared" si="4"/>
        <v>276.87540752010432</v>
      </c>
      <c r="AG7" s="3317">
        <f>AG5+(AG6*1.8343023255814)</f>
        <v>273.7616279069772</v>
      </c>
      <c r="AH7" s="3317">
        <f>AH5+(AH6*1.8343023255814)</f>
        <v>275.21782945736481</v>
      </c>
      <c r="AI7" s="740">
        <f t="shared" ref="AI7:AJ7" si="5">+AI5+(AI6*(31.55/17.2))</f>
        <v>273.51314096454445</v>
      </c>
      <c r="AJ7" s="62">
        <f t="shared" si="5"/>
        <v>276.6716069386199</v>
      </c>
      <c r="AK7" s="3317">
        <f>AK5+(AK6*1.8343023255814)</f>
        <v>273.7616279069772</v>
      </c>
      <c r="AL7" s="3317">
        <f>AL5+(AL6*1.8343023255814)</f>
        <v>275.21933608402145</v>
      </c>
      <c r="AM7" s="739">
        <f t="shared" ref="AM7:AN7" si="6">AM5+(AM6*1.8343023255814)</f>
        <v>273.7616279069772</v>
      </c>
      <c r="AN7" s="69">
        <f t="shared" si="6"/>
        <v>275.08790444893879</v>
      </c>
      <c r="AO7" s="740">
        <f t="shared" ref="AO7:AT7" si="7">+AO5+(AO6*(31.55/17.2))</f>
        <v>273.5411522198732</v>
      </c>
      <c r="AP7" s="62">
        <f t="shared" si="7"/>
        <v>276.50789640591967</v>
      </c>
      <c r="AQ7" s="3317">
        <f>AQ5+(AQ6*1.8343023255814)</f>
        <v>273.7616279069772</v>
      </c>
      <c r="AR7" s="3317">
        <f>AR5+(AR6*1.8343023255814)</f>
        <v>274.3636534133538</v>
      </c>
      <c r="AS7" s="740">
        <f t="shared" si="7"/>
        <v>273.5634879920961</v>
      </c>
      <c r="AT7" s="62">
        <f t="shared" si="7"/>
        <v>276.29066917464661</v>
      </c>
      <c r="AU7" s="3317">
        <f>AU5+(AU6*1.8343023255814)</f>
        <v>273.7616279069772</v>
      </c>
      <c r="AV7" s="3317">
        <f>AV5+(AV6*1.8343023255814)</f>
        <v>274.25571013289084</v>
      </c>
      <c r="AW7" s="740">
        <f t="shared" ref="AW7:AX7" si="8">+AW5+(AW6*(31.55/17.2))</f>
        <v>273.5800985238825</v>
      </c>
      <c r="AX7" s="62">
        <f t="shared" si="8"/>
        <v>276.12007380587664</v>
      </c>
      <c r="AY7" s="3317">
        <f>AY5+(AY6*1.8343023255814)</f>
        <v>273.7616279069772</v>
      </c>
      <c r="AZ7" s="3317">
        <f>AZ5+(AZ6*1.8343023255814)</f>
        <v>279.00421980495167</v>
      </c>
      <c r="BA7" s="739">
        <f t="shared" ref="BA7:BD7" si="9">BA5+(BA6*1.8343023255814)</f>
        <v>273.7616279069772</v>
      </c>
      <c r="BB7" s="69">
        <f t="shared" si="9"/>
        <v>275.92848837209345</v>
      </c>
      <c r="BC7" s="2075">
        <f t="shared" si="9"/>
        <v>273.7616279069772</v>
      </c>
      <c r="BD7" s="1344">
        <f t="shared" si="9"/>
        <v>275.50357781753178</v>
      </c>
      <c r="BE7" s="740">
        <f t="shared" ref="BE7:BF7" si="10">+BE5+(BE6*(31.55/17.2))</f>
        <v>273.59551608792611</v>
      </c>
      <c r="BF7" s="62">
        <f t="shared" si="10"/>
        <v>276.3650286715515</v>
      </c>
      <c r="BG7" s="1202"/>
      <c r="BH7" s="1202"/>
      <c r="BI7" s="1520"/>
      <c r="BJ7" s="528"/>
    </row>
    <row r="8" spans="1:66" x14ac:dyDescent="0.3">
      <c r="B8" s="6637" t="s">
        <v>1794</v>
      </c>
      <c r="C8" s="2546" t="s">
        <v>679</v>
      </c>
      <c r="D8" s="2537">
        <f>+'Maj Production Summ'!D9</f>
        <v>34497</v>
      </c>
      <c r="E8" s="2537">
        <f>+'Maj Production Summ'!E9</f>
        <v>2940</v>
      </c>
      <c r="F8" s="2537">
        <f>+'Maj Production Summ'!F9</f>
        <v>2916</v>
      </c>
      <c r="G8" s="2537">
        <f>+'Maj Production Summ'!G9</f>
        <v>3038</v>
      </c>
      <c r="H8" s="2537">
        <f>+'Maj Production Summ'!H9</f>
        <v>3026</v>
      </c>
      <c r="I8" s="2538">
        <f>+'Maj Production Summ'!I9</f>
        <v>5978</v>
      </c>
      <c r="J8" s="2538">
        <f>+'Maj Production Summ'!J9</f>
        <v>5942</v>
      </c>
      <c r="K8" s="2537">
        <f>+'Maj Production Summ'!K9</f>
        <v>2820</v>
      </c>
      <c r="L8" s="2537">
        <f>+'Maj Production Summ'!L9</f>
        <v>2882</v>
      </c>
      <c r="M8" s="2539">
        <f>+'Maj Production Summ'!M9</f>
        <v>8798</v>
      </c>
      <c r="N8" s="68">
        <f>+'Maj Production Summ'!N9</f>
        <v>8824</v>
      </c>
      <c r="O8" s="2537">
        <f>+'Maj Production Summ'!O9</f>
        <v>2914</v>
      </c>
      <c r="P8" s="2537">
        <f>+'Maj Production Summ'!P9</f>
        <v>2958</v>
      </c>
      <c r="Q8" s="567">
        <f>+'Maj Production Summ'!Q9</f>
        <v>11712</v>
      </c>
      <c r="R8" s="567">
        <f>+'Maj Production Summ'!R9</f>
        <v>11782</v>
      </c>
      <c r="S8" s="2537">
        <f>+'Maj Production Summ'!S9</f>
        <v>2914</v>
      </c>
      <c r="T8" s="2537">
        <f>+'Maj Production Summ'!T9</f>
        <v>3038</v>
      </c>
      <c r="U8" s="567">
        <f>+'Maj Production Summ'!U9</f>
        <v>14626</v>
      </c>
      <c r="V8" s="567">
        <f>+'Maj Production Summ'!V9</f>
        <v>14820</v>
      </c>
      <c r="W8" s="2537">
        <f>+'Maj Production Summ'!W9</f>
        <v>2763</v>
      </c>
      <c r="X8" s="2537">
        <f>+'Maj Production Summ'!X9</f>
        <v>2940</v>
      </c>
      <c r="Y8" s="482">
        <f>+'Maj Production Summ'!Y9</f>
        <v>8591</v>
      </c>
      <c r="Z8" s="482">
        <f>+'Maj Production Summ'!Z9</f>
        <v>8936</v>
      </c>
      <c r="AA8" s="1584">
        <f>+'Maj Production Summ'!AA9</f>
        <v>17389</v>
      </c>
      <c r="AB8" s="1584">
        <f>+'Maj Production Summ'!AB9</f>
        <v>17760</v>
      </c>
      <c r="AC8" s="2537">
        <f>+'Maj Production Summ'!AC9</f>
        <v>2914</v>
      </c>
      <c r="AD8" s="2537">
        <f>+'Maj Production Summ'!AD9</f>
        <v>2993</v>
      </c>
      <c r="AE8" s="567">
        <f>+'Maj Production Summ'!AE9</f>
        <v>20303</v>
      </c>
      <c r="AF8" s="567">
        <f>+'Maj Production Summ'!AF9</f>
        <v>20753</v>
      </c>
      <c r="AG8" s="2537">
        <f>+'Maj Production Summ'!AG9</f>
        <v>2820</v>
      </c>
      <c r="AH8" s="2537">
        <f>+'Maj Production Summ'!AH9</f>
        <v>2827</v>
      </c>
      <c r="AI8" s="567">
        <f>+'Maj Production Summ'!AI9</f>
        <v>23123</v>
      </c>
      <c r="AJ8" s="567">
        <f>+'Maj Production Summ'!AJ9</f>
        <v>23580</v>
      </c>
      <c r="AK8" s="2537">
        <f>+'Maj Production Summ'!AK9</f>
        <v>2914</v>
      </c>
      <c r="AL8" s="2537">
        <f>+'Maj Production Summ'!AL9</f>
        <v>2917</v>
      </c>
      <c r="AM8" s="482">
        <f>+'Maj Production Summ'!AM9</f>
        <v>8648</v>
      </c>
      <c r="AN8" s="482">
        <f>+'Maj Production Summ'!AN9</f>
        <v>8737</v>
      </c>
      <c r="AO8" s="567">
        <f>+'Maj Production Summ'!AO9</f>
        <v>26037</v>
      </c>
      <c r="AP8" s="567">
        <f>+'Maj Production Summ'!AP9</f>
        <v>26497</v>
      </c>
      <c r="AQ8" s="2537">
        <f>+'Maj Production Summ'!AQ9</f>
        <v>2914</v>
      </c>
      <c r="AR8" s="2537">
        <f>+'Maj Production Summ'!AR9</f>
        <v>2940</v>
      </c>
      <c r="AS8" s="567">
        <f>+'Maj Production Summ'!AS9</f>
        <v>28951.000000000004</v>
      </c>
      <c r="AT8" s="567">
        <f>+'Maj Production Summ'!AT9</f>
        <v>29437</v>
      </c>
      <c r="AU8" s="2537">
        <f>+'Maj Production Summ'!AU9</f>
        <v>2632</v>
      </c>
      <c r="AV8" s="2537">
        <f>+'Maj Production Summ'!AV9</f>
        <v>2644</v>
      </c>
      <c r="AW8" s="567">
        <f>+'Maj Production Summ'!AW9</f>
        <v>31583.000000000004</v>
      </c>
      <c r="AX8" s="567">
        <f>+'Maj Production Summ'!AX9</f>
        <v>32081</v>
      </c>
      <c r="AY8" s="2537">
        <f>+'Maj Production Summ'!AY9</f>
        <v>2914</v>
      </c>
      <c r="AZ8" s="2537">
        <f>+'Maj Production Summ'!AZ9</f>
        <v>3038</v>
      </c>
      <c r="BA8" s="482">
        <f>+'Maj Production Summ'!BA9</f>
        <v>8460</v>
      </c>
      <c r="BB8" s="482">
        <f>+'Maj Production Summ'!BB9</f>
        <v>8622</v>
      </c>
      <c r="BC8" s="1584">
        <f>+'Maj Production Summ'!BC9</f>
        <v>17108</v>
      </c>
      <c r="BD8" s="1584">
        <f>+'Maj Production Summ'!BD9</f>
        <v>17359</v>
      </c>
      <c r="BE8" s="567">
        <f>+'Maj Production Summ'!BE9</f>
        <v>34497</v>
      </c>
      <c r="BF8" s="567">
        <f>+'Maj Production Summ'!BF9</f>
        <v>35119</v>
      </c>
      <c r="BG8" s="1202">
        <f t="shared" ref="BG8:BG69" si="11">AY8+AU8+AQ8+AK8+AG8+AC8+W8+S8+O8+K8+G8+E8-BE8</f>
        <v>0</v>
      </c>
      <c r="BH8" s="1202">
        <f t="shared" ref="BH8:BH69" si="12">AZ8+AV8+AR8+AL8+AH8+AD8+X8+T8+P8+L8+H8+F8-BF8</f>
        <v>0</v>
      </c>
      <c r="BI8" s="1202"/>
      <c r="BJ8" s="1202">
        <f>AC8+AG8+AK8+AQ8+AU8+AY8-BC8</f>
        <v>0</v>
      </c>
      <c r="BK8" s="1202">
        <f>AD8+AH8+AL8+AR8+AV8+AZ8-BD8</f>
        <v>0</v>
      </c>
      <c r="BL8" s="26"/>
      <c r="BM8" s="26"/>
      <c r="BN8" s="26"/>
    </row>
    <row r="9" spans="1:66" ht="15" thickBot="1" x14ac:dyDescent="0.35">
      <c r="B9" s="6637" t="s">
        <v>1795</v>
      </c>
      <c r="C9" s="2546" t="s">
        <v>679</v>
      </c>
      <c r="D9" s="2537">
        <f>+'Maj Production Summ'!D10</f>
        <v>35635</v>
      </c>
      <c r="E9" s="2537">
        <f>+'Maj Production Summ'!E10</f>
        <v>2940</v>
      </c>
      <c r="F9" s="2537">
        <f>+'Maj Production Summ'!F10</f>
        <v>2913</v>
      </c>
      <c r="G9" s="2537">
        <f>+'Maj Production Summ'!G10</f>
        <v>3038</v>
      </c>
      <c r="H9" s="2537">
        <f>+'Maj Production Summ'!H10</f>
        <v>3022</v>
      </c>
      <c r="I9" s="2538">
        <f>+'Maj Production Summ'!I10</f>
        <v>5978</v>
      </c>
      <c r="J9" s="2538">
        <f>+'Maj Production Summ'!J10</f>
        <v>5935</v>
      </c>
      <c r="K9" s="2537">
        <f>+'Maj Production Summ'!K10</f>
        <v>2940</v>
      </c>
      <c r="L9" s="2537">
        <f>+'Maj Production Summ'!L10</f>
        <v>2954</v>
      </c>
      <c r="M9" s="2539">
        <f>+'Maj Production Summ'!M10</f>
        <v>8918</v>
      </c>
      <c r="N9" s="68">
        <f>+'Maj Production Summ'!N10</f>
        <v>8889</v>
      </c>
      <c r="O9" s="2537">
        <f>+'Maj Production Summ'!O10</f>
        <v>3038</v>
      </c>
      <c r="P9" s="2537">
        <f>+'Maj Production Summ'!P10</f>
        <v>3069</v>
      </c>
      <c r="Q9" s="3440">
        <f>+'Maj Production Summ'!Q10</f>
        <v>11956</v>
      </c>
      <c r="R9" s="3440">
        <f>+'Maj Production Summ'!R10</f>
        <v>11958</v>
      </c>
      <c r="S9" s="2537">
        <f>+'Maj Production Summ'!S10</f>
        <v>3038</v>
      </c>
      <c r="T9" s="2537">
        <f>+'Maj Production Summ'!T10</f>
        <v>3054</v>
      </c>
      <c r="U9" s="3440">
        <f>+'Maj Production Summ'!U10</f>
        <v>14994</v>
      </c>
      <c r="V9" s="3440">
        <f>+'Maj Production Summ'!V10</f>
        <v>15012</v>
      </c>
      <c r="W9" s="2537">
        <f>+'Maj Production Summ'!W10</f>
        <v>2805</v>
      </c>
      <c r="X9" s="2537">
        <f>+'Maj Production Summ'!X10</f>
        <v>2963</v>
      </c>
      <c r="Y9" s="482">
        <f>+'Maj Production Summ'!Y10</f>
        <v>8881</v>
      </c>
      <c r="Z9" s="482">
        <f>+'Maj Production Summ'!Z10</f>
        <v>9086</v>
      </c>
      <c r="AA9" s="1584">
        <f>+'Maj Production Summ'!AA10</f>
        <v>17799</v>
      </c>
      <c r="AB9" s="1584">
        <f>+'Maj Production Summ'!AB10</f>
        <v>17975</v>
      </c>
      <c r="AC9" s="2537">
        <f>+'Maj Production Summ'!AC10</f>
        <v>3038</v>
      </c>
      <c r="AD9" s="2537">
        <f>+'Maj Production Summ'!AD10</f>
        <v>3013</v>
      </c>
      <c r="AE9" s="3440">
        <f>+'Maj Production Summ'!AE10</f>
        <v>20837</v>
      </c>
      <c r="AF9" s="3440">
        <f>+'Maj Production Summ'!AF10</f>
        <v>20988</v>
      </c>
      <c r="AG9" s="2537">
        <f>+'Maj Production Summ'!AG10</f>
        <v>2940</v>
      </c>
      <c r="AH9" s="2537">
        <f>+'Maj Production Summ'!AH10</f>
        <v>2960</v>
      </c>
      <c r="AI9" s="3440">
        <f>+'Maj Production Summ'!AI10</f>
        <v>23777</v>
      </c>
      <c r="AJ9" s="3440">
        <f>+'Maj Production Summ'!AJ10</f>
        <v>23948</v>
      </c>
      <c r="AK9" s="2537">
        <f>+'Maj Production Summ'!AK10</f>
        <v>3038</v>
      </c>
      <c r="AL9" s="2537">
        <f>+'Maj Production Summ'!AL10</f>
        <v>3061</v>
      </c>
      <c r="AM9" s="482">
        <f>+'Maj Production Summ'!AM10</f>
        <v>9016</v>
      </c>
      <c r="AN9" s="482">
        <f>+'Maj Production Summ'!AN10</f>
        <v>9034</v>
      </c>
      <c r="AO9" s="3440">
        <f>+'Maj Production Summ'!AO10</f>
        <v>26815</v>
      </c>
      <c r="AP9" s="3440">
        <f>+'Maj Production Summ'!AP10</f>
        <v>27009</v>
      </c>
      <c r="AQ9" s="2537">
        <f>+'Maj Production Summ'!AQ10</f>
        <v>3038</v>
      </c>
      <c r="AR9" s="2537">
        <f>+'Maj Production Summ'!AR10</f>
        <v>3034</v>
      </c>
      <c r="AS9" s="3440">
        <f>+'Maj Production Summ'!AS10</f>
        <v>29853</v>
      </c>
      <c r="AT9" s="3440">
        <f>+'Maj Production Summ'!AT10</f>
        <v>30043</v>
      </c>
      <c r="AU9" s="2537">
        <f>+'Maj Production Summ'!AU10</f>
        <v>2744</v>
      </c>
      <c r="AV9" s="2537">
        <f>+'Maj Production Summ'!AV10</f>
        <v>2745</v>
      </c>
      <c r="AW9" s="3440">
        <f>+'Maj Production Summ'!AW10</f>
        <v>32597</v>
      </c>
      <c r="AX9" s="3440">
        <f>+'Maj Production Summ'!AX10</f>
        <v>32788</v>
      </c>
      <c r="AY9" s="2537">
        <f>+'Maj Production Summ'!AY10</f>
        <v>3038</v>
      </c>
      <c r="AZ9" s="2537">
        <f>+'Maj Production Summ'!AZ10</f>
        <v>3059</v>
      </c>
      <c r="BA9" s="482">
        <f>+'Maj Production Summ'!BA10</f>
        <v>8820</v>
      </c>
      <c r="BB9" s="482">
        <f>+'Maj Production Summ'!BB10</f>
        <v>8838</v>
      </c>
      <c r="BC9" s="1584">
        <f>+'Maj Production Summ'!BC10</f>
        <v>17836</v>
      </c>
      <c r="BD9" s="1584">
        <f>+'Maj Production Summ'!BD10</f>
        <v>17872</v>
      </c>
      <c r="BE9" s="567">
        <f>+'Maj Production Summ'!BE10</f>
        <v>35635</v>
      </c>
      <c r="BF9" s="567">
        <f>+'Maj Production Summ'!BF10</f>
        <v>35847</v>
      </c>
      <c r="BG9" s="1202">
        <f t="shared" si="11"/>
        <v>0</v>
      </c>
      <c r="BH9" s="1202">
        <f t="shared" si="12"/>
        <v>0</v>
      </c>
      <c r="BI9" s="1202"/>
      <c r="BJ9" s="1202">
        <f t="shared" ref="BJ9:BJ72" si="13">AC9+AG9+AK9+AQ9+AU9+AY9-BC9</f>
        <v>0</v>
      </c>
      <c r="BK9" s="1202">
        <f t="shared" ref="BK9:BK72" si="14">AD9+AH9+AL9+AR9+AV9+AZ9-BD9</f>
        <v>0</v>
      </c>
      <c r="BL9" s="26"/>
      <c r="BM9" s="26"/>
      <c r="BN9" s="26"/>
    </row>
    <row r="10" spans="1:66" ht="15" thickBot="1" x14ac:dyDescent="0.35">
      <c r="B10" s="2871" t="str">
        <f>+'Maj Production Summ'!B11</f>
        <v>Overall Equiv. Ovens Pushed</v>
      </c>
      <c r="C10" s="2546" t="s">
        <v>679</v>
      </c>
      <c r="D10" s="2537">
        <f>+'Maj Production Summ'!D11</f>
        <v>99862.363372093037</v>
      </c>
      <c r="E10" s="3272">
        <f>+'Maj Production Summ'!E11</f>
        <v>8332.8488372093016</v>
      </c>
      <c r="F10" s="3272">
        <f>+'Maj Production Summ'!F11</f>
        <v>8259.3226744186049</v>
      </c>
      <c r="G10" s="3272">
        <f>+'Maj Production Summ'!G11</f>
        <v>8610.6104651162786</v>
      </c>
      <c r="H10" s="3272">
        <f>+'Maj Production Summ'!H11</f>
        <v>8569.2616279069771</v>
      </c>
      <c r="I10" s="3273">
        <f>+'Maj Production Summ'!I11</f>
        <v>16943.45930232558</v>
      </c>
      <c r="J10" s="3273">
        <f>+'Maj Production Summ'!J11</f>
        <v>16828.58430232558</v>
      </c>
      <c r="K10" s="3272">
        <f>+'Maj Production Summ'!K11</f>
        <v>8212.8488372093016</v>
      </c>
      <c r="L10" s="3272">
        <f>+'Maj Production Summ'!L11</f>
        <v>8300.5290697674427</v>
      </c>
      <c r="M10" s="3274">
        <f>+'Maj Production Summ'!M11</f>
        <v>25156.308139534885</v>
      </c>
      <c r="N10" s="1978">
        <f>+'Maj Production Summ'!N11</f>
        <v>25129.113372093023</v>
      </c>
      <c r="O10" s="3272">
        <f>+'Maj Production Summ'!O11</f>
        <v>8486.6104651162786</v>
      </c>
      <c r="P10" s="3272">
        <f>+'Maj Production Summ'!P11</f>
        <v>8587.4738372093016</v>
      </c>
      <c r="Q10" s="738">
        <f>+'Maj Production Summ'!Q11</f>
        <v>33642.91860465116</v>
      </c>
      <c r="R10" s="1113">
        <f>+'Maj Production Summ'!R11</f>
        <v>33716.587209302328</v>
      </c>
      <c r="S10" s="3272">
        <f>+'Maj Production Summ'!S11</f>
        <v>8486.6104651162786</v>
      </c>
      <c r="T10" s="3272">
        <f>+'Maj Production Summ'!T11</f>
        <v>8639.959302325582</v>
      </c>
      <c r="U10" s="738">
        <f>+'Maj Production Summ'!U11</f>
        <v>42129.529069767443</v>
      </c>
      <c r="V10" s="1113">
        <f>+'Maj Production Summ'!V11</f>
        <v>42356.546511627908</v>
      </c>
      <c r="W10" s="3272">
        <f>+'Maj Production Summ'!W11</f>
        <v>7908.2180232558139</v>
      </c>
      <c r="X10" s="3272">
        <f>+'Maj Production Summ'!X11</f>
        <v>8375.0377906976755</v>
      </c>
      <c r="Y10" s="741">
        <f>+'Maj Production Summ'!Y11</f>
        <v>24881.438953488374</v>
      </c>
      <c r="Z10" s="169">
        <f>+'Maj Production Summ'!Z11</f>
        <v>25602.470930232557</v>
      </c>
      <c r="AA10" s="2306">
        <f>+'Maj Production Summ'!AA11</f>
        <v>50037.747093023267</v>
      </c>
      <c r="AB10" s="468">
        <f>+'Maj Production Summ'!AB11</f>
        <v>50731.58430232558</v>
      </c>
      <c r="AC10" s="3272">
        <f>+'Maj Production Summ'!AC11</f>
        <v>8486.6104651162786</v>
      </c>
      <c r="AD10" s="3272">
        <f>+'Maj Production Summ'!AD11</f>
        <v>8519.7529069767443</v>
      </c>
      <c r="AE10" s="738">
        <f>+'Maj Production Summ'!AE11</f>
        <v>58524.357558139534</v>
      </c>
      <c r="AF10" s="1113">
        <f>+'Maj Production Summ'!AF11</f>
        <v>59251.337209302328</v>
      </c>
      <c r="AG10" s="3272">
        <f>+'Maj Production Summ'!AG11</f>
        <v>8212.8488372093016</v>
      </c>
      <c r="AH10" s="3272">
        <f>+'Maj Production Summ'!AH11</f>
        <v>8256.5348837209312</v>
      </c>
      <c r="AI10" s="738">
        <f>+'Maj Production Summ'!AI11</f>
        <v>66737.20639534884</v>
      </c>
      <c r="AJ10" s="1113">
        <f>+'Maj Production Summ'!AJ11</f>
        <v>67507.872093023267</v>
      </c>
      <c r="AK10" s="3272">
        <f>+'Maj Production Summ'!AK11</f>
        <v>8486.6104651162786</v>
      </c>
      <c r="AL10" s="3272">
        <f>+'Maj Production Summ'!AL11</f>
        <v>8531.7994186046526</v>
      </c>
      <c r="AM10" s="741">
        <f>+'Maj Production Summ'!AM11</f>
        <v>25186.069767441859</v>
      </c>
      <c r="AN10" s="169">
        <f>+'Maj Production Summ'!AN11</f>
        <v>25308.087209302328</v>
      </c>
      <c r="AO10" s="738">
        <f>+'Maj Production Summ'!AO11</f>
        <v>75223.816860465129</v>
      </c>
      <c r="AP10" s="1113">
        <f>+'Maj Production Summ'!AP11</f>
        <v>76039.671511627908</v>
      </c>
      <c r="AQ10" s="3272">
        <f>+'Maj Production Summ'!AQ11</f>
        <v>8486.6104651162786</v>
      </c>
      <c r="AR10" s="3272">
        <f>+'Maj Production Summ'!AR11</f>
        <v>8505.2732558139542</v>
      </c>
      <c r="AS10" s="738">
        <f>+'Maj Production Summ'!AS11</f>
        <v>83710.427325581404</v>
      </c>
      <c r="AT10" s="1113">
        <f>+'Maj Production Summ'!AT11</f>
        <v>84544.944767441862</v>
      </c>
      <c r="AU10" s="3272">
        <f>+'Maj Production Summ'!AU11</f>
        <v>7665.3255813953492</v>
      </c>
      <c r="AV10" s="3272">
        <f>+'Maj Production Summ'!AV11</f>
        <v>7679.1598837209303</v>
      </c>
      <c r="AW10" s="738">
        <f>+'Maj Production Summ'!AW11</f>
        <v>91375.752906976748</v>
      </c>
      <c r="AX10" s="1113">
        <f>+'Maj Production Summ'!AX11</f>
        <v>92224.104651162794</v>
      </c>
      <c r="AY10" s="3272">
        <f>+'Maj Production Summ'!AY11</f>
        <v>8486.6104651162786</v>
      </c>
      <c r="AZ10" s="3272">
        <f>+'Maj Production Summ'!AZ11</f>
        <v>8649.1308139534885</v>
      </c>
      <c r="BA10" s="741">
        <f>+'Maj Production Summ'!BA11</f>
        <v>24638.546511627908</v>
      </c>
      <c r="BB10" s="169">
        <f>+'Maj Production Summ'!BB11</f>
        <v>24833.563953488374</v>
      </c>
      <c r="BC10" s="2306">
        <f>+'Maj Production Summ'!BC11</f>
        <v>49824.616279069771</v>
      </c>
      <c r="BD10" s="468">
        <f>+'Maj Production Summ'!BD11</f>
        <v>50141.651162790695</v>
      </c>
      <c r="BE10" s="738">
        <f>+'Maj Production Summ'!BE11</f>
        <v>99862.363372093037</v>
      </c>
      <c r="BF10" s="1113">
        <f>+'Maj Production Summ'!BF11</f>
        <v>100873.23546511629</v>
      </c>
      <c r="BG10" s="1202">
        <f t="shared" si="11"/>
        <v>0</v>
      </c>
      <c r="BH10" s="1202">
        <f t="shared" si="12"/>
        <v>0</v>
      </c>
      <c r="BI10" s="1202"/>
      <c r="BJ10" s="1202">
        <f t="shared" si="13"/>
        <v>0</v>
      </c>
      <c r="BK10" s="1202">
        <f t="shared" si="14"/>
        <v>0</v>
      </c>
      <c r="BL10" s="26"/>
      <c r="BM10" s="26"/>
      <c r="BN10" s="26"/>
    </row>
    <row r="11" spans="1:66" x14ac:dyDescent="0.3">
      <c r="B11" s="3775"/>
      <c r="C11" s="3108"/>
      <c r="D11" s="3317"/>
      <c r="E11" s="3317"/>
      <c r="F11" s="3317"/>
      <c r="G11" s="3317"/>
      <c r="H11" s="3317"/>
      <c r="I11" s="3319"/>
      <c r="J11" s="3319"/>
      <c r="K11" s="3317"/>
      <c r="L11" s="3317"/>
      <c r="M11" s="3318"/>
      <c r="N11" s="3774"/>
      <c r="O11" s="3317"/>
      <c r="P11" s="3317"/>
      <c r="Q11" s="3758"/>
      <c r="R11" s="3759"/>
      <c r="S11" s="3317"/>
      <c r="T11" s="3317"/>
      <c r="U11" s="3758"/>
      <c r="V11" s="3759"/>
      <c r="W11" s="3317"/>
      <c r="X11" s="3317"/>
      <c r="Y11" s="3760"/>
      <c r="Z11" s="3761"/>
      <c r="AA11" s="3762"/>
      <c r="AB11" s="3763"/>
      <c r="AC11" s="3317"/>
      <c r="AD11" s="3317"/>
      <c r="AE11" s="3758"/>
      <c r="AF11" s="3759"/>
      <c r="AG11" s="3317"/>
      <c r="AH11" s="3317"/>
      <c r="AI11" s="3758"/>
      <c r="AJ11" s="3759"/>
      <c r="AK11" s="3317"/>
      <c r="AL11" s="3317"/>
      <c r="AM11" s="3760"/>
      <c r="AN11" s="3761"/>
      <c r="AO11" s="3758"/>
      <c r="AP11" s="3759"/>
      <c r="AQ11" s="3317"/>
      <c r="AR11" s="3317"/>
      <c r="AS11" s="3758"/>
      <c r="AT11" s="3759"/>
      <c r="AU11" s="3317"/>
      <c r="AV11" s="3317"/>
      <c r="AW11" s="3758"/>
      <c r="AX11" s="3759"/>
      <c r="AY11" s="3317"/>
      <c r="AZ11" s="3317"/>
      <c r="BA11" s="3760"/>
      <c r="BB11" s="3761"/>
      <c r="BC11" s="3762"/>
      <c r="BD11" s="3763"/>
      <c r="BE11" s="3758"/>
      <c r="BF11" s="3759"/>
      <c r="BG11" s="1202">
        <f t="shared" si="11"/>
        <v>0</v>
      </c>
      <c r="BH11" s="1202">
        <f t="shared" si="12"/>
        <v>0</v>
      </c>
      <c r="BI11" s="1202"/>
      <c r="BJ11" s="1202">
        <f t="shared" si="13"/>
        <v>0</v>
      </c>
      <c r="BK11" s="1202">
        <f t="shared" si="14"/>
        <v>0</v>
      </c>
      <c r="BL11" s="26"/>
      <c r="BM11" s="26"/>
      <c r="BN11" s="26"/>
    </row>
    <row r="12" spans="1:66" x14ac:dyDescent="0.3">
      <c r="A12" s="144" t="s">
        <v>470</v>
      </c>
      <c r="B12" s="1739" t="s">
        <v>132</v>
      </c>
      <c r="C12" s="2546" t="s">
        <v>175</v>
      </c>
      <c r="D12" s="2794">
        <v>74.668493150684938</v>
      </c>
      <c r="E12" s="2794">
        <v>78</v>
      </c>
      <c r="F12" s="2797">
        <v>77.83</v>
      </c>
      <c r="G12" s="2794">
        <v>78</v>
      </c>
      <c r="H12" s="2797">
        <v>77.83</v>
      </c>
      <c r="I12" s="3058">
        <f>+((E12*E$2)+(G12*G$2))/I$2</f>
        <v>78</v>
      </c>
      <c r="J12" s="3058">
        <f>+((F12*F$2)+(H12*H$2))/J$2</f>
        <v>77.83</v>
      </c>
      <c r="K12" s="2794">
        <v>74</v>
      </c>
      <c r="L12" s="2797">
        <v>76</v>
      </c>
      <c r="M12" s="111">
        <f>+((E12*E$2)+(G12*G$2)+(K12*K$2))/M$2</f>
        <v>76.681318681318686</v>
      </c>
      <c r="N12" s="111">
        <f>+((F12*F$2)+(H12*H$2)+(L12*L$2))/N$2</f>
        <v>77.226703296703292</v>
      </c>
      <c r="O12" s="2794">
        <v>74</v>
      </c>
      <c r="P12" s="2797">
        <v>74.930000000000007</v>
      </c>
      <c r="Q12" s="3058">
        <f>+((M12*M$2)+(O12*O$2))/Q$2</f>
        <v>76</v>
      </c>
      <c r="R12" s="3058">
        <f>+((N12*N$2)+(P12*P$2))/R$2</f>
        <v>76.643114754098349</v>
      </c>
      <c r="S12" s="2794">
        <v>74</v>
      </c>
      <c r="T12" s="2797">
        <v>77.7</v>
      </c>
      <c r="U12" s="3058">
        <f>+((Q12*Q$2)+(S12*S$2))/U$2</f>
        <v>75.59477124183006</v>
      </c>
      <c r="V12" s="3058">
        <f>+((R12*R$2)+(T12*T$2))/V$2</f>
        <v>76.857254901960786</v>
      </c>
      <c r="W12" s="2794">
        <v>74</v>
      </c>
      <c r="X12" s="2797">
        <v>77.8</v>
      </c>
      <c r="Y12" s="111">
        <f>+((O12*O$2)+(S12*S$2)+(W12*W$2))/Y$2</f>
        <v>74</v>
      </c>
      <c r="Z12" s="111">
        <f>+((P12*P$2)+(T12*T$2)+(X12*X$2))/Z$2</f>
        <v>76.799239130434785</v>
      </c>
      <c r="AA12" s="469">
        <f>+((M12*M$2)+(Y12*Y$2))/AA$2</f>
        <v>75.333333333333329</v>
      </c>
      <c r="AB12" s="469">
        <f>+((N12*N$2)+(Z12*Z$2))/AB$2</f>
        <v>77.011803278688518</v>
      </c>
      <c r="AC12" s="2794">
        <v>74</v>
      </c>
      <c r="AD12" s="2797">
        <v>77.58</v>
      </c>
      <c r="AE12" s="124">
        <f>+((AA12*AA$2)+(AC12*AC$2))/AE$2</f>
        <v>75.140186915887853</v>
      </c>
      <c r="AF12" s="124">
        <f>+((AB12*AB$2)+(AD12*AD$2))/AF$2</f>
        <v>77.094112149532705</v>
      </c>
      <c r="AG12" s="2794">
        <v>74</v>
      </c>
      <c r="AH12" s="2797">
        <v>73.66</v>
      </c>
      <c r="AI12" s="124">
        <f>+((AE12*AE$2)+(AG12*AG$2))/AI$2</f>
        <v>75</v>
      </c>
      <c r="AJ12" s="124">
        <f>+((AF12*AF$2)+(AH12*AH$2))/AJ$2</f>
        <v>76.671885245901635</v>
      </c>
      <c r="AK12" s="2794">
        <v>74</v>
      </c>
      <c r="AL12" s="2797">
        <v>75.09</v>
      </c>
      <c r="AM12" s="111">
        <f>+((AC12*AC$2)+(AG12*AG$2)+(AK12*AK$2))/AM$2</f>
        <v>74</v>
      </c>
      <c r="AN12" s="111">
        <f>+((AD12*AD$2)+(AH12*AH$2)+(AL12*AL$2))/AN$2</f>
        <v>75.462717391304338</v>
      </c>
      <c r="AO12" s="124">
        <f>+((AK12*AK$2)+(AI12*AI$2))/AO$2</f>
        <v>74.88727272727273</v>
      </c>
      <c r="AP12" s="124">
        <f>+((AL12*AL$2)+(AJ12*AJ$2))/AP$2</f>
        <v>76.493563636363632</v>
      </c>
      <c r="AQ12" s="2794">
        <v>74</v>
      </c>
      <c r="AR12" s="2797">
        <v>75.58</v>
      </c>
      <c r="AS12" s="124">
        <f>+((AO12*AO$2)+(AQ12*AQ$2))/AS$2</f>
        <v>74.797385620915037</v>
      </c>
      <c r="AT12" s="124">
        <f>+((AP12*AP$2)+(AR12*AR$2))/AT$2</f>
        <v>76.40101307189542</v>
      </c>
      <c r="AU12" s="2794">
        <v>74</v>
      </c>
      <c r="AV12" s="2797">
        <v>74.709999999999994</v>
      </c>
      <c r="AW12" s="124">
        <f>+((AS12*AS$2)+(AU12*AU$2))/AW$2</f>
        <v>74.730538922155688</v>
      </c>
      <c r="AX12" s="124">
        <f>+((AT12*AT$2)+(AV12*AV$2))/AX$2</f>
        <v>76.259251497005991</v>
      </c>
      <c r="AY12" s="2794">
        <v>74</v>
      </c>
      <c r="AZ12" s="2797">
        <v>77.739999999999995</v>
      </c>
      <c r="BA12" s="111">
        <f>+((AQ12*AQ$2)+(AU12*AU$2)+(AY12*AY$2))/BA$2</f>
        <v>74</v>
      </c>
      <c r="BB12" s="111">
        <f>+((AR12*AR$2)+(AV12*AV$2)+(AZ12*AZ$2))/BB$2</f>
        <v>76.053333333333327</v>
      </c>
      <c r="BC12" s="469">
        <f>+((AM12*AM$2)+(BA12*BA$2))/BC$2</f>
        <v>74</v>
      </c>
      <c r="BD12" s="4711">
        <f>+((AN12*AN$2)+(BB12*BB$2))/BD$2</f>
        <v>75.754780219780216</v>
      </c>
      <c r="BE12" s="4683">
        <f>+((AW12*AW$2)+(AY12*AY$2))/BE$2</f>
        <v>74.668493150684938</v>
      </c>
      <c r="BF12" s="4683">
        <f>+((AX12*AX$2)+(AZ12*AZ$2))/BF$2</f>
        <v>76.385013698630132</v>
      </c>
      <c r="BG12" s="1202"/>
      <c r="BH12" s="1202"/>
      <c r="BI12" s="1202"/>
      <c r="BJ12" s="1202"/>
      <c r="BK12" s="1202"/>
      <c r="BL12" s="26"/>
      <c r="BM12" s="26"/>
      <c r="BN12" s="26"/>
    </row>
    <row r="13" spans="1:66" ht="15.9" customHeight="1" thickBot="1" x14ac:dyDescent="0.35">
      <c r="A13" s="144" t="s">
        <v>470</v>
      </c>
      <c r="B13" s="3776" t="s">
        <v>133</v>
      </c>
      <c r="C13" s="885" t="s">
        <v>175</v>
      </c>
      <c r="D13" s="1431">
        <v>73.299999999999983</v>
      </c>
      <c r="E13" s="1431">
        <v>73.3</v>
      </c>
      <c r="F13" s="189">
        <v>74</v>
      </c>
      <c r="G13" s="1431">
        <v>73.3</v>
      </c>
      <c r="H13" s="189">
        <v>74</v>
      </c>
      <c r="I13" s="588">
        <f>+((E13*E$2)+(G13*G$2))/I$2</f>
        <v>73.299999999999983</v>
      </c>
      <c r="J13" s="588">
        <f>+((F13*F$2)+(H13*H$2))/J$2</f>
        <v>74</v>
      </c>
      <c r="K13" s="1431">
        <v>73.3</v>
      </c>
      <c r="L13" s="189">
        <v>74</v>
      </c>
      <c r="M13" s="174">
        <f>+((E13*E$2)+(G13*G$2)+(K13*K$2))/M$2</f>
        <v>73.3</v>
      </c>
      <c r="N13" s="174">
        <f>+((F13*F$2)+(H13*H$2)+(L13*L$2))/N$2</f>
        <v>74</v>
      </c>
      <c r="O13" s="1431">
        <v>73.3</v>
      </c>
      <c r="P13" s="189">
        <v>74</v>
      </c>
      <c r="Q13" s="588">
        <f>+((M13*M$2)+(O13*O$2))/Q$2</f>
        <v>73.3</v>
      </c>
      <c r="R13" s="588">
        <f>+((N13*N$2)+(P13*P$2))/R$2</f>
        <v>74</v>
      </c>
      <c r="S13" s="1431">
        <v>73.3</v>
      </c>
      <c r="T13" s="189">
        <v>74</v>
      </c>
      <c r="U13" s="588">
        <f>+((Q13*Q$2)+(S13*S$2))/U$2</f>
        <v>73.3</v>
      </c>
      <c r="V13" s="588">
        <f>+((R13*R$2)+(T13*T$2))/V$2</f>
        <v>74</v>
      </c>
      <c r="W13" s="1431">
        <v>73.3</v>
      </c>
      <c r="X13" s="189">
        <v>74</v>
      </c>
      <c r="Y13" s="111">
        <f>+((O13*O$2)+(S13*S$2)+(W13*W$2))/Y$2</f>
        <v>73.3</v>
      </c>
      <c r="Z13" s="111">
        <f>+((P13*P$2)+(T13*T$2)+(X13*X$2))/Z$2</f>
        <v>74</v>
      </c>
      <c r="AA13" s="469">
        <f>+((M13*M$2)+(Y13*Y$2))/AA$2</f>
        <v>73.3</v>
      </c>
      <c r="AB13" s="469">
        <f>+((N13*N$2)+(Z13*Z$2))/AB$2</f>
        <v>74</v>
      </c>
      <c r="AC13" s="1431">
        <v>73.3</v>
      </c>
      <c r="AD13" s="189">
        <v>74</v>
      </c>
      <c r="AE13" s="106">
        <f>+((AA13*AA$2)+(AC13*AC$2))/AE$2</f>
        <v>73.3</v>
      </c>
      <c r="AF13" s="106">
        <f>+((AB13*AB$2)+(AD13*AD$2))/AF$2</f>
        <v>74</v>
      </c>
      <c r="AG13" s="1431">
        <v>73.3</v>
      </c>
      <c r="AH13" s="189">
        <v>74</v>
      </c>
      <c r="AI13" s="106">
        <f>+((AE13*AE$2)+(AG13*AG$2))/AI$2</f>
        <v>73.299999999999983</v>
      </c>
      <c r="AJ13" s="106">
        <f>+((AF13*AF$2)+(AH13*AH$2))/AJ$2</f>
        <v>74</v>
      </c>
      <c r="AK13" s="1431">
        <v>73.3</v>
      </c>
      <c r="AL13" s="189">
        <v>74</v>
      </c>
      <c r="AM13" s="111">
        <f>+((AC13*AC$2)+(AG13*AG$2)+(AK13*AK$2))/AM$2</f>
        <v>73.299999999999983</v>
      </c>
      <c r="AN13" s="111">
        <f>+((AD13*AD$2)+(AH13*AH$2)+(AL13*AL$2))/AN$2</f>
        <v>74</v>
      </c>
      <c r="AO13" s="106">
        <f>+((AK13*AK$2)+(AI13*AI$2))/AO$2</f>
        <v>73.299999999999983</v>
      </c>
      <c r="AP13" s="106">
        <f>+((AL13*AL$2)+(AJ13*AJ$2))/AP$2</f>
        <v>74</v>
      </c>
      <c r="AQ13" s="1431">
        <v>73.3</v>
      </c>
      <c r="AR13" s="189">
        <v>74</v>
      </c>
      <c r="AS13" s="106">
        <f>+((AO13*AO$2)+(AQ13*AQ$2))/AS$2</f>
        <v>73.299999999999983</v>
      </c>
      <c r="AT13" s="106">
        <f>+((AP13*AP$2)+(AR13*AR$2))/AT$2</f>
        <v>74</v>
      </c>
      <c r="AU13" s="1431">
        <v>73.3</v>
      </c>
      <c r="AV13" s="189">
        <v>74</v>
      </c>
      <c r="AW13" s="106">
        <f>+((AS13*AS$2)+(AU13*AU$2))/AW$2</f>
        <v>73.3</v>
      </c>
      <c r="AX13" s="106">
        <f>+((AT13*AT$2)+(AV13*AV$2))/AX$2</f>
        <v>74</v>
      </c>
      <c r="AY13" s="1431">
        <v>73.3</v>
      </c>
      <c r="AZ13" s="189">
        <v>74</v>
      </c>
      <c r="BA13" s="111">
        <f>+((AQ13*AQ$2)+(AU13*AU$2)+(AY13*AY$2))/BA$2</f>
        <v>73.3</v>
      </c>
      <c r="BB13" s="111">
        <f>+((AR13*AR$2)+(AV13*AV$2)+(AZ13*AZ$2))/BB$2</f>
        <v>74</v>
      </c>
      <c r="BC13" s="469">
        <f>+((AM13*AM$2)+(BA13*BA$2))/BC$2</f>
        <v>73.3</v>
      </c>
      <c r="BD13" s="469">
        <f>+((AN13*AN$2)+(BB13*BB$2))/BD$2</f>
        <v>74</v>
      </c>
      <c r="BE13" s="106">
        <f>+((AW13*AW$2)+(AY13*AY$2))/BE$2</f>
        <v>73.3</v>
      </c>
      <c r="BF13" s="106">
        <f>+((AX13*AX$2)+(AZ13*AZ$2))/BF$2</f>
        <v>74</v>
      </c>
      <c r="BG13" s="1202"/>
      <c r="BH13" s="1202"/>
      <c r="BI13" s="1202"/>
      <c r="BJ13" s="1202"/>
      <c r="BK13" s="1202"/>
      <c r="BL13" s="26"/>
      <c r="BM13" s="26"/>
      <c r="BN13" s="26"/>
    </row>
    <row r="14" spans="1:66" ht="15.6" x14ac:dyDescent="0.3">
      <c r="A14" s="145" t="s">
        <v>470</v>
      </c>
      <c r="B14" s="3772" t="s">
        <v>148</v>
      </c>
      <c r="C14" s="3773"/>
      <c r="D14" s="260"/>
      <c r="E14" s="1656"/>
      <c r="F14" s="1657"/>
      <c r="G14" s="1656"/>
      <c r="H14" s="1657"/>
      <c r="I14" s="260"/>
      <c r="J14" s="1657"/>
      <c r="K14" s="1656"/>
      <c r="L14" s="1657"/>
      <c r="M14" s="1656"/>
      <c r="N14" s="1657"/>
      <c r="O14" s="1656"/>
      <c r="P14" s="1657"/>
      <c r="Q14" s="234"/>
      <c r="R14" s="605"/>
      <c r="S14" s="1656"/>
      <c r="T14" s="1657"/>
      <c r="U14" s="234"/>
      <c r="V14" s="605"/>
      <c r="W14" s="1656"/>
      <c r="X14" s="1657"/>
      <c r="Y14" s="234"/>
      <c r="Z14" s="234"/>
      <c r="AA14" s="2305"/>
      <c r="AB14" s="234"/>
      <c r="AC14" s="1656"/>
      <c r="AD14" s="1657"/>
      <c r="AE14" s="234"/>
      <c r="AF14" s="605"/>
      <c r="AG14" s="1656"/>
      <c r="AH14" s="1657"/>
      <c r="AI14" s="234"/>
      <c r="AJ14" s="605"/>
      <c r="AK14" s="1656"/>
      <c r="AL14" s="1657"/>
      <c r="AM14" s="234"/>
      <c r="AN14" s="234"/>
      <c r="AO14" s="234"/>
      <c r="AP14" s="605"/>
      <c r="AQ14" s="1656"/>
      <c r="AR14" s="1657"/>
      <c r="AS14" s="234"/>
      <c r="AT14" s="605"/>
      <c r="AU14" s="1656"/>
      <c r="AV14" s="1657"/>
      <c r="AW14" s="234"/>
      <c r="AX14" s="605"/>
      <c r="AY14" s="1656"/>
      <c r="AZ14" s="1657"/>
      <c r="BA14" s="234"/>
      <c r="BB14" s="234"/>
      <c r="BC14" s="2305"/>
      <c r="BD14" s="234"/>
      <c r="BE14" s="234"/>
      <c r="BF14" s="605"/>
      <c r="BG14" s="1202">
        <f t="shared" si="11"/>
        <v>0</v>
      </c>
      <c r="BH14" s="1202">
        <f t="shared" si="12"/>
        <v>0</v>
      </c>
      <c r="BI14" s="1202"/>
      <c r="BJ14" s="1202">
        <f t="shared" si="13"/>
        <v>0</v>
      </c>
      <c r="BK14" s="1202">
        <f t="shared" si="14"/>
        <v>0</v>
      </c>
      <c r="BL14" s="26"/>
      <c r="BM14" s="26"/>
      <c r="BN14" s="26"/>
    </row>
    <row r="15" spans="1:66" x14ac:dyDescent="0.3">
      <c r="A15" s="92"/>
      <c r="B15" s="1371" t="s">
        <v>146</v>
      </c>
      <c r="C15" s="1372" t="s">
        <v>176</v>
      </c>
      <c r="D15" s="1413">
        <f t="shared" ref="D15:AI15" si="15">+D5/D12</f>
        <v>1.2657591546195053</v>
      </c>
      <c r="E15" s="744">
        <f t="shared" si="15"/>
        <v>1.2564102564102564</v>
      </c>
      <c r="F15" s="545">
        <f t="shared" si="15"/>
        <v>1.2488757548503149</v>
      </c>
      <c r="G15" s="744">
        <f t="shared" ref="G15:H15" si="16">+G5/G12</f>
        <v>1.2564102564102564</v>
      </c>
      <c r="H15" s="545">
        <f t="shared" si="16"/>
        <v>1.2541809485520552</v>
      </c>
      <c r="I15" s="745">
        <f t="shared" si="15"/>
        <v>1.2564102564102564</v>
      </c>
      <c r="J15" s="96">
        <f t="shared" si="15"/>
        <v>1.2515718368954616</v>
      </c>
      <c r="K15" s="744">
        <f t="shared" si="15"/>
        <v>1.2702702702702702</v>
      </c>
      <c r="L15" s="545">
        <f t="shared" si="15"/>
        <v>1.2640350877192983</v>
      </c>
      <c r="M15" s="484">
        <f t="shared" si="15"/>
        <v>1.2608197191172255</v>
      </c>
      <c r="N15" s="89">
        <f t="shared" si="15"/>
        <v>1.2556153354687143</v>
      </c>
      <c r="O15" s="744">
        <f t="shared" ref="O15:P15" si="17">+O5/O12</f>
        <v>1.2702702702702702</v>
      </c>
      <c r="P15" s="545">
        <f t="shared" si="17"/>
        <v>1.2734466146898396</v>
      </c>
      <c r="Q15" s="745">
        <f t="shared" si="15"/>
        <v>1.263157894736842</v>
      </c>
      <c r="R15" s="96">
        <f t="shared" si="15"/>
        <v>1.2600449603548918</v>
      </c>
      <c r="S15" s="744">
        <f t="shared" si="15"/>
        <v>1.2702702702702702</v>
      </c>
      <c r="T15" s="545">
        <f t="shared" si="15"/>
        <v>1.2612612612612613</v>
      </c>
      <c r="U15" s="745">
        <f t="shared" ref="U15:X15" si="18">+U5/U12</f>
        <v>1.2645685630295695</v>
      </c>
      <c r="V15" s="96">
        <f t="shared" si="18"/>
        <v>1.2602941026399843</v>
      </c>
      <c r="W15" s="744">
        <f t="shared" si="18"/>
        <v>1.2445945945945944</v>
      </c>
      <c r="X15" s="545">
        <f t="shared" si="18"/>
        <v>1.2596401028277635</v>
      </c>
      <c r="Y15" s="484">
        <f t="shared" si="15"/>
        <v>1.26189776733255</v>
      </c>
      <c r="Z15" s="89">
        <f t="shared" si="15"/>
        <v>1.2647317327928691</v>
      </c>
      <c r="AA15" s="746">
        <f t="shared" si="15"/>
        <v>1.2613520963296099</v>
      </c>
      <c r="AB15" s="470">
        <f t="shared" si="15"/>
        <v>1.2601857922566693</v>
      </c>
      <c r="AC15" s="744">
        <f t="shared" si="15"/>
        <v>1.2702702702702702</v>
      </c>
      <c r="AD15" s="545">
        <f t="shared" si="15"/>
        <v>1.2445009937712579</v>
      </c>
      <c r="AE15" s="745">
        <f t="shared" si="15"/>
        <v>1.2626243781094526</v>
      </c>
      <c r="AF15" s="96">
        <f t="shared" si="15"/>
        <v>1.2578993753235215</v>
      </c>
      <c r="AG15" s="744">
        <f t="shared" ref="AG15:AH15" si="19">+AG5/AG12</f>
        <v>1.2702702702702702</v>
      </c>
      <c r="AH15" s="545">
        <f t="shared" si="19"/>
        <v>1.2793012942347723</v>
      </c>
      <c r="AI15" s="745">
        <f t="shared" si="15"/>
        <v>1.2635519125683061</v>
      </c>
      <c r="AJ15" s="96">
        <f t="shared" ref="AJ15:BF15" si="20">+AJ5/AJ12</f>
        <v>1.2604273907228696</v>
      </c>
      <c r="AK15" s="744">
        <f t="shared" si="20"/>
        <v>1.2702702702702702</v>
      </c>
      <c r="AL15" s="545">
        <f t="shared" si="20"/>
        <v>1.2531199120195549</v>
      </c>
      <c r="AM15" s="484">
        <f t="shared" si="20"/>
        <v>1.2702702702702702</v>
      </c>
      <c r="AN15" s="89">
        <f t="shared" si="20"/>
        <v>1.2584676855976966</v>
      </c>
      <c r="AO15" s="745">
        <f t="shared" si="20"/>
        <v>1.2643002816354278</v>
      </c>
      <c r="AP15" s="96">
        <f t="shared" si="20"/>
        <v>1.2596187534257191</v>
      </c>
      <c r="AQ15" s="744">
        <f t="shared" ref="AQ15:AR15" si="21">+AQ5/AQ12</f>
        <v>1.2702702702702702</v>
      </c>
      <c r="AR15" s="545">
        <f t="shared" si="21"/>
        <v>1.2548122476504282</v>
      </c>
      <c r="AS15" s="745">
        <f t="shared" si="20"/>
        <v>1.2648986368402657</v>
      </c>
      <c r="AT15" s="96">
        <f t="shared" si="20"/>
        <v>1.2591370524720995</v>
      </c>
      <c r="AU15" s="744">
        <f t="shared" si="20"/>
        <v>1.2702702702702702</v>
      </c>
      <c r="AV15" s="545">
        <f t="shared" si="20"/>
        <v>1.2639348337380731</v>
      </c>
      <c r="AW15" s="745">
        <f t="shared" ref="AW15:AZ15" si="22">+AW5/AW12</f>
        <v>1.2653445512820514</v>
      </c>
      <c r="AX15" s="96">
        <f t="shared" si="22"/>
        <v>1.2595310905636656</v>
      </c>
      <c r="AY15" s="744">
        <f t="shared" si="22"/>
        <v>1.2702702702702702</v>
      </c>
      <c r="AZ15" s="545">
        <f t="shared" si="22"/>
        <v>1.2606122974015952</v>
      </c>
      <c r="BA15" s="484">
        <f t="shared" si="20"/>
        <v>1.2702702702702702</v>
      </c>
      <c r="BB15" s="89">
        <f t="shared" si="20"/>
        <v>1.2596423562412342</v>
      </c>
      <c r="BC15" s="746">
        <f t="shared" si="20"/>
        <v>1.2702702702702702</v>
      </c>
      <c r="BD15" s="470">
        <f t="shared" si="20"/>
        <v>1.259050855964553</v>
      </c>
      <c r="BE15" s="745">
        <f t="shared" si="20"/>
        <v>1.2657591546195053</v>
      </c>
      <c r="BF15" s="96">
        <f t="shared" si="20"/>
        <v>1.2596245480268848</v>
      </c>
      <c r="BG15" s="1202"/>
      <c r="BH15" s="1202"/>
      <c r="BI15" s="1202"/>
      <c r="BJ15" s="1202"/>
      <c r="BK15" s="1202"/>
      <c r="BL15" s="26"/>
      <c r="BM15" s="26"/>
      <c r="BN15" s="26"/>
    </row>
    <row r="16" spans="1:66" ht="15" thickBot="1" x14ac:dyDescent="0.35">
      <c r="A16" s="92"/>
      <c r="B16" s="1391" t="s">
        <v>147</v>
      </c>
      <c r="C16" s="1392" t="s">
        <v>176</v>
      </c>
      <c r="D16" s="1414">
        <f t="shared" ref="D16:AI16" si="23">+D6/D13</f>
        <v>1.3319254704816015</v>
      </c>
      <c r="E16" s="747">
        <f t="shared" si="23"/>
        <v>1.3369713506139154</v>
      </c>
      <c r="F16" s="132">
        <f t="shared" si="23"/>
        <v>1.3121621621621622</v>
      </c>
      <c r="G16" s="747">
        <f t="shared" ref="G16:H16" si="24">+G6/G13</f>
        <v>1.3369713506139154</v>
      </c>
      <c r="H16" s="132">
        <f t="shared" si="24"/>
        <v>1.3173496076721882</v>
      </c>
      <c r="I16" s="748">
        <f t="shared" si="23"/>
        <v>1.3369713506139158</v>
      </c>
      <c r="J16" s="161">
        <f t="shared" si="23"/>
        <v>1.3147984049623396</v>
      </c>
      <c r="K16" s="747">
        <f t="shared" si="23"/>
        <v>1.3369713506139154</v>
      </c>
      <c r="L16" s="132">
        <f t="shared" si="23"/>
        <v>1.3306306306306306</v>
      </c>
      <c r="M16" s="749">
        <f t="shared" si="23"/>
        <v>1.3369713506139154</v>
      </c>
      <c r="N16" s="168">
        <f t="shared" si="23"/>
        <v>1.3200178200178201</v>
      </c>
      <c r="O16" s="747">
        <f t="shared" ref="O16:P16" si="25">+O6/O13</f>
        <v>1.3369713506139154</v>
      </c>
      <c r="P16" s="132">
        <f t="shared" si="25"/>
        <v>1.3378378378378379</v>
      </c>
      <c r="Q16" s="748">
        <f t="shared" si="23"/>
        <v>1.3369713506139154</v>
      </c>
      <c r="R16" s="161">
        <f t="shared" si="23"/>
        <v>1.3245458573327427</v>
      </c>
      <c r="S16" s="747">
        <f t="shared" si="23"/>
        <v>1.3369713506139154</v>
      </c>
      <c r="T16" s="132">
        <f t="shared" si="23"/>
        <v>1.3312990409764602</v>
      </c>
      <c r="U16" s="748">
        <f t="shared" ref="U16:X16" si="26">+U6/U13</f>
        <v>1.3369713506139154</v>
      </c>
      <c r="V16" s="161">
        <f t="shared" si="26"/>
        <v>1.3259141494435613</v>
      </c>
      <c r="W16" s="747">
        <f t="shared" si="26"/>
        <v>1.2755798090040928</v>
      </c>
      <c r="X16" s="132">
        <f t="shared" si="26"/>
        <v>1.3346846846846847</v>
      </c>
      <c r="Y16" s="749">
        <f t="shared" si="23"/>
        <v>1.3169523696541907</v>
      </c>
      <c r="Z16" s="168">
        <f t="shared" si="23"/>
        <v>1.3346063454759107</v>
      </c>
      <c r="AA16" s="750">
        <f t="shared" si="23"/>
        <v>1.3269071634647642</v>
      </c>
      <c r="AB16" s="471">
        <f t="shared" si="23"/>
        <v>1.3273519421060405</v>
      </c>
      <c r="AC16" s="747">
        <f t="shared" si="23"/>
        <v>1.3369713506139154</v>
      </c>
      <c r="AD16" s="132">
        <f t="shared" si="23"/>
        <v>1.3134263295553616</v>
      </c>
      <c r="AE16" s="748">
        <f t="shared" si="23"/>
        <v>1.328365059734034</v>
      </c>
      <c r="AF16" s="161">
        <f t="shared" si="23"/>
        <v>1.3253346804748674</v>
      </c>
      <c r="AG16" s="747">
        <f t="shared" ref="AG16:AH16" si="27">+AG6/AG13</f>
        <v>1.3369713506139154</v>
      </c>
      <c r="AH16" s="132">
        <f t="shared" si="27"/>
        <v>1.3333333333333335</v>
      </c>
      <c r="AI16" s="748">
        <f t="shared" si="23"/>
        <v>1.3294232102520525</v>
      </c>
      <c r="AJ16" s="161">
        <f t="shared" ref="AJ16:BF16" si="28">+AJ6/AJ13</f>
        <v>1.3263181214000888</v>
      </c>
      <c r="AK16" s="747">
        <f t="shared" si="28"/>
        <v>1.3369713506139154</v>
      </c>
      <c r="AL16" s="132">
        <f t="shared" si="28"/>
        <v>1.3343504795117698</v>
      </c>
      <c r="AM16" s="749">
        <f t="shared" si="28"/>
        <v>1.3369713506139158</v>
      </c>
      <c r="AN16" s="168">
        <f t="shared" si="28"/>
        <v>1.3269682726204466</v>
      </c>
      <c r="AO16" s="748">
        <f t="shared" si="28"/>
        <v>1.3302740915292079</v>
      </c>
      <c r="AP16" s="161">
        <f t="shared" si="28"/>
        <v>1.3272235872235874</v>
      </c>
      <c r="AQ16" s="747">
        <f t="shared" ref="AQ16:AR16" si="29">+AQ6/AQ13</f>
        <v>1.3369713506139154</v>
      </c>
      <c r="AR16" s="132">
        <f t="shared" si="29"/>
        <v>1.3225806451612905</v>
      </c>
      <c r="AS16" s="748">
        <f t="shared" si="28"/>
        <v>1.3309525720247175</v>
      </c>
      <c r="AT16" s="161">
        <f t="shared" si="28"/>
        <v>1.3267532238120474</v>
      </c>
      <c r="AU16" s="747">
        <f t="shared" si="28"/>
        <v>1.3369713506139154</v>
      </c>
      <c r="AV16" s="132">
        <f t="shared" si="28"/>
        <v>1.3248069498069499</v>
      </c>
      <c r="AW16" s="748">
        <f t="shared" ref="AW16:AZ16" si="30">+AW6/AW13</f>
        <v>1.33145714028968</v>
      </c>
      <c r="AX16" s="161">
        <f t="shared" si="30"/>
        <v>1.3265900631170091</v>
      </c>
      <c r="AY16" s="747">
        <f t="shared" si="30"/>
        <v>1.3369713506139154</v>
      </c>
      <c r="AZ16" s="132">
        <f t="shared" si="30"/>
        <v>1.3334786399302527</v>
      </c>
      <c r="BA16" s="749">
        <f t="shared" si="28"/>
        <v>1.3369713506139154</v>
      </c>
      <c r="BB16" s="168">
        <f t="shared" si="28"/>
        <v>1.327027027027027</v>
      </c>
      <c r="BC16" s="750">
        <f t="shared" si="28"/>
        <v>1.3369713506139154</v>
      </c>
      <c r="BD16" s="471">
        <f t="shared" si="28"/>
        <v>1.326997326997327</v>
      </c>
      <c r="BE16" s="748">
        <f t="shared" si="28"/>
        <v>1.3319254704816013</v>
      </c>
      <c r="BF16" s="161">
        <f t="shared" si="28"/>
        <v>1.3271751203258053</v>
      </c>
      <c r="BG16" s="1202"/>
      <c r="BH16" s="1202"/>
      <c r="BI16" s="1202"/>
      <c r="BJ16" s="1202"/>
      <c r="BK16" s="1202"/>
      <c r="BL16" s="26"/>
      <c r="BM16" s="26"/>
      <c r="BN16" s="26"/>
    </row>
    <row r="17" spans="1:66" ht="15" thickBot="1" x14ac:dyDescent="0.35">
      <c r="A17" s="144" t="s">
        <v>470</v>
      </c>
      <c r="B17" s="6638" t="s">
        <v>166</v>
      </c>
      <c r="C17" s="1387" t="s">
        <v>50</v>
      </c>
      <c r="D17" s="1294">
        <f>(D5)*17.2*D2</f>
        <v>593348.4</v>
      </c>
      <c r="E17" s="1106">
        <f>(E5)*17.2*E2</f>
        <v>50568</v>
      </c>
      <c r="F17" s="28">
        <f>F5*17.2*F2</f>
        <v>50155.199999999997</v>
      </c>
      <c r="G17" s="1106">
        <f>(G5)*17.2*G2</f>
        <v>52253.599999999999</v>
      </c>
      <c r="H17" s="28">
        <f>H5*17.2*H2</f>
        <v>52047.199999999997</v>
      </c>
      <c r="I17" s="753">
        <f>+E17+G17</f>
        <v>102821.6</v>
      </c>
      <c r="J17" s="61">
        <f>+F17+H17</f>
        <v>102202.4</v>
      </c>
      <c r="K17" s="1106">
        <f>(K5)*17.2*K2</f>
        <v>48504</v>
      </c>
      <c r="L17" s="28">
        <f>L5*17.2*L2</f>
        <v>49570.399999999994</v>
      </c>
      <c r="M17" s="1107">
        <f>+E17+G17+K17</f>
        <v>151325.6</v>
      </c>
      <c r="N17" s="83">
        <f>+F17+H17+L17</f>
        <v>151772.79999999999</v>
      </c>
      <c r="O17" s="1106">
        <f>(O5)*17.2*O2</f>
        <v>50120.799999999996</v>
      </c>
      <c r="P17" s="28">
        <f>P5*17.2*P2</f>
        <v>50877.599999999999</v>
      </c>
      <c r="Q17" s="753">
        <f>+M17+O17</f>
        <v>201446.39999999999</v>
      </c>
      <c r="R17" s="61">
        <f>+N17+P17</f>
        <v>202650.4</v>
      </c>
      <c r="S17" s="1106">
        <f>(S5)*17.2*S2</f>
        <v>50120.799999999996</v>
      </c>
      <c r="T17" s="28">
        <f>T5*17.2*T2</f>
        <v>52253.599999999999</v>
      </c>
      <c r="U17" s="753">
        <f>+Q17+S17</f>
        <v>251567.19999999998</v>
      </c>
      <c r="V17" s="61">
        <f>+R17+T17</f>
        <v>254904</v>
      </c>
      <c r="W17" s="1106">
        <f>(W5)*17.2*W2</f>
        <v>47523.6</v>
      </c>
      <c r="X17" s="28">
        <f>X5*17.2*X2</f>
        <v>50568</v>
      </c>
      <c r="Y17" s="482">
        <f>+O17+S17+W17</f>
        <v>147765.19999999998</v>
      </c>
      <c r="Z17" s="482">
        <f>+P17+T17+X17</f>
        <v>153699.20000000001</v>
      </c>
      <c r="AA17" s="752">
        <f>+M17+Y17</f>
        <v>299090.8</v>
      </c>
      <c r="AB17" s="752">
        <f>+N17+Z17</f>
        <v>305472</v>
      </c>
      <c r="AC17" s="1106">
        <f>(AC5)*17.2*AC2</f>
        <v>50120.799999999996</v>
      </c>
      <c r="AD17" s="28">
        <f>AD5*17.2*AD2</f>
        <v>51479.6</v>
      </c>
      <c r="AE17" s="753">
        <f>+AA17+AC17</f>
        <v>349211.6</v>
      </c>
      <c r="AF17" s="61">
        <f>+AB17+AD17</f>
        <v>356951.6</v>
      </c>
      <c r="AG17" s="1106">
        <f>(AG5)*17.2*AG2</f>
        <v>48504</v>
      </c>
      <c r="AH17" s="28">
        <f>AH5*17.2*AH2</f>
        <v>48624.4</v>
      </c>
      <c r="AI17" s="753">
        <f>+AE17+AG17</f>
        <v>397715.6</v>
      </c>
      <c r="AJ17" s="61">
        <f>+AF17+AH17</f>
        <v>405576</v>
      </c>
      <c r="AK17" s="1106">
        <f>(AK5)*17.2*AK2</f>
        <v>50120.799999999996</v>
      </c>
      <c r="AL17" s="28">
        <f>AL5*17.2*AL2</f>
        <v>50172.399999999994</v>
      </c>
      <c r="AM17" s="482">
        <f>+AC17+AG17+AK17</f>
        <v>148745.59999999998</v>
      </c>
      <c r="AN17" s="482">
        <f>+AD17+AH17+AL17</f>
        <v>150276.4</v>
      </c>
      <c r="AO17" s="753">
        <f>AI17+AK17</f>
        <v>447836.39999999997</v>
      </c>
      <c r="AP17" s="753">
        <f>AJ17+AL17</f>
        <v>455748.4</v>
      </c>
      <c r="AQ17" s="1106">
        <f>(AQ5)*17.2*AQ2</f>
        <v>50120.799999999996</v>
      </c>
      <c r="AR17" s="28">
        <f>AR5*17.2*AR2</f>
        <v>50568</v>
      </c>
      <c r="AS17" s="753">
        <f>+AO17+AQ17</f>
        <v>497957.19999999995</v>
      </c>
      <c r="AT17" s="61">
        <f>+AP17+AR17</f>
        <v>506316.4</v>
      </c>
      <c r="AU17" s="1106">
        <f>(AU5)*17.2*AU2</f>
        <v>45270.400000000001</v>
      </c>
      <c r="AV17" s="28">
        <f>AV5*17.2*AV2</f>
        <v>45476.800000000003</v>
      </c>
      <c r="AW17" s="753">
        <f>+AS17+AU17</f>
        <v>543227.6</v>
      </c>
      <c r="AX17" s="61">
        <f>+AT17+AV17</f>
        <v>551793.20000000007</v>
      </c>
      <c r="AY17" s="1106">
        <f>(AY5)*17.2*AY2</f>
        <v>50120.799999999996</v>
      </c>
      <c r="AZ17" s="28">
        <f>AZ5*17.2*AZ2</f>
        <v>52253.599999999999</v>
      </c>
      <c r="BA17" s="482">
        <f>+AQ17+AU17+AY17</f>
        <v>145512</v>
      </c>
      <c r="BB17" s="482">
        <f>+AR17+AV17+AZ17</f>
        <v>148298.4</v>
      </c>
      <c r="BC17" s="752">
        <f>+AM17+BA17</f>
        <v>294257.59999999998</v>
      </c>
      <c r="BD17" s="752">
        <f>+AN17+BB17</f>
        <v>298574.8</v>
      </c>
      <c r="BE17" s="753">
        <f>+AW17+AY17</f>
        <v>593348.4</v>
      </c>
      <c r="BF17" s="61">
        <f>+AX17+AZ17</f>
        <v>604046.80000000005</v>
      </c>
      <c r="BG17" s="1202">
        <f t="shared" si="11"/>
        <v>0</v>
      </c>
      <c r="BH17" s="1202">
        <f t="shared" si="12"/>
        <v>0</v>
      </c>
      <c r="BI17" s="1202"/>
      <c r="BJ17" s="1202">
        <f t="shared" si="13"/>
        <v>0</v>
      </c>
      <c r="BK17" s="1202">
        <f t="shared" si="14"/>
        <v>0</v>
      </c>
      <c r="BL17" s="26"/>
      <c r="BM17" s="26"/>
      <c r="BN17" s="26"/>
    </row>
    <row r="18" spans="1:66" ht="15" thickBot="1" x14ac:dyDescent="0.35">
      <c r="A18" s="144" t="s">
        <v>470</v>
      </c>
      <c r="B18" s="6639" t="s">
        <v>167</v>
      </c>
      <c r="C18" s="1384" t="s">
        <v>50</v>
      </c>
      <c r="D18" s="1415">
        <f>+D6*31.55*D2</f>
        <v>1124284.25</v>
      </c>
      <c r="E18" s="720">
        <f>+E6*31.55*E2</f>
        <v>92757</v>
      </c>
      <c r="F18" s="123">
        <f>+F6*31.55*F2</f>
        <v>91905.150000000009</v>
      </c>
      <c r="G18" s="720">
        <f>+G6*31.55*G2</f>
        <v>95848.900000000009</v>
      </c>
      <c r="H18" s="123">
        <f>+H6*31.55*H2</f>
        <v>95344.099999999991</v>
      </c>
      <c r="I18" s="1393">
        <f>+E18+G18</f>
        <v>188605.90000000002</v>
      </c>
      <c r="J18" s="530">
        <f>+F18+H18</f>
        <v>187249.25</v>
      </c>
      <c r="K18" s="720">
        <f>+K6*31.55*K2</f>
        <v>92757</v>
      </c>
      <c r="L18" s="123">
        <f>+L6*31.55*L2</f>
        <v>93198.7</v>
      </c>
      <c r="M18" s="1538">
        <f>+E18+G18+K18</f>
        <v>281362.90000000002</v>
      </c>
      <c r="N18" s="170">
        <f>+F18+H18+L18</f>
        <v>280447.95</v>
      </c>
      <c r="O18" s="720">
        <f>+O6*31.55*O2</f>
        <v>95848.900000000009</v>
      </c>
      <c r="P18" s="123">
        <f>+P6*31.55*P2</f>
        <v>96826.950000000012</v>
      </c>
      <c r="Q18" s="1393">
        <f>+M18+O18</f>
        <v>377211.80000000005</v>
      </c>
      <c r="R18" s="530">
        <f>+N18+P18</f>
        <v>377274.9</v>
      </c>
      <c r="S18" s="720">
        <f>+S6*31.55*S2</f>
        <v>95848.900000000009</v>
      </c>
      <c r="T18" s="123">
        <f>+T6*31.55*T2</f>
        <v>96353.7</v>
      </c>
      <c r="U18" s="1393">
        <f>+Q18+S18</f>
        <v>473060.70000000007</v>
      </c>
      <c r="V18" s="530">
        <f>+R18+T18</f>
        <v>473628.60000000003</v>
      </c>
      <c r="W18" s="720">
        <f>+W6*31.55*W2</f>
        <v>88497.75</v>
      </c>
      <c r="X18" s="123">
        <f>+X6*31.55*X2</f>
        <v>93482.650000000009</v>
      </c>
      <c r="Y18" s="483">
        <f>+O18+S18+W18</f>
        <v>280195.55000000005</v>
      </c>
      <c r="Z18" s="483">
        <f>+P18+T18+X18</f>
        <v>286663.30000000005</v>
      </c>
      <c r="AA18" s="752">
        <f>+M18+Y18</f>
        <v>561558.45000000007</v>
      </c>
      <c r="AB18" s="752">
        <f>+N18+Z18</f>
        <v>567111.25</v>
      </c>
      <c r="AC18" s="720">
        <f>+AC6*31.55*AC2</f>
        <v>95848.900000000009</v>
      </c>
      <c r="AD18" s="123">
        <f>+AD6*31.55*AD2</f>
        <v>95060.15</v>
      </c>
      <c r="AE18" s="1393">
        <f>+AA18+AC18</f>
        <v>657407.35000000009</v>
      </c>
      <c r="AF18" s="530">
        <f>+AB18+AD18</f>
        <v>662171.4</v>
      </c>
      <c r="AG18" s="720">
        <f>+AG6*31.55*AG2</f>
        <v>92757</v>
      </c>
      <c r="AH18" s="123">
        <f>+AH6*31.55*AH2</f>
        <v>93388</v>
      </c>
      <c r="AI18" s="1393">
        <f>+AE18+AG18</f>
        <v>750164.35000000009</v>
      </c>
      <c r="AJ18" s="530">
        <f>+AF18+AH18</f>
        <v>755559.4</v>
      </c>
      <c r="AK18" s="720">
        <f>+AK6*31.55*AK2</f>
        <v>95848.900000000009</v>
      </c>
      <c r="AL18" s="123">
        <f>+AL6*31.55*AL2</f>
        <v>96574.55</v>
      </c>
      <c r="AM18" s="483">
        <f>+AC18+AG18+AK18</f>
        <v>284454.80000000005</v>
      </c>
      <c r="AN18" s="483">
        <f>+AD18+AH18+AL18</f>
        <v>285022.7</v>
      </c>
      <c r="AO18" s="753">
        <f>AI18+AK18</f>
        <v>846013.25000000012</v>
      </c>
      <c r="AP18" s="753">
        <f>AJ18+AL18</f>
        <v>852133.95000000007</v>
      </c>
      <c r="AQ18" s="720">
        <f>+AQ6*31.55*AQ2</f>
        <v>95848.900000000009</v>
      </c>
      <c r="AR18" s="123">
        <f>+AR6*31.55*AR2</f>
        <v>95722.700000000012</v>
      </c>
      <c r="AS18" s="1393">
        <f>+AO18+AQ18</f>
        <v>941862.15000000014</v>
      </c>
      <c r="AT18" s="530">
        <f>+AP18+AR18</f>
        <v>947856.65000000014</v>
      </c>
      <c r="AU18" s="720">
        <f>+AU6*31.55*AU2</f>
        <v>86573.2</v>
      </c>
      <c r="AV18" s="123">
        <f>+AV6*31.55*AV2</f>
        <v>86604.75</v>
      </c>
      <c r="AW18" s="1393">
        <f>+AS18+AU18</f>
        <v>1028435.3500000001</v>
      </c>
      <c r="AX18" s="530">
        <f>+AT18+AV18</f>
        <v>1034461.4000000001</v>
      </c>
      <c r="AY18" s="720">
        <f>+AY6*31.55*AY2</f>
        <v>95848.900000000009</v>
      </c>
      <c r="AZ18" s="123">
        <f>+AZ6*31.55*AZ2</f>
        <v>96511.45</v>
      </c>
      <c r="BA18" s="483">
        <f>+AQ18+AU18+AY18</f>
        <v>278271</v>
      </c>
      <c r="BB18" s="483">
        <f>+AR18+AV18+AZ18</f>
        <v>278838.90000000002</v>
      </c>
      <c r="BC18" s="752">
        <f t="shared" ref="BC18:BD18" si="31">+AM18+BA18</f>
        <v>562725.80000000005</v>
      </c>
      <c r="BD18" s="752">
        <f t="shared" si="31"/>
        <v>563861.60000000009</v>
      </c>
      <c r="BE18" s="1393">
        <f>+AW18+AY18</f>
        <v>1124284.25</v>
      </c>
      <c r="BF18" s="530">
        <f>+AX18+AZ18</f>
        <v>1130972.8500000001</v>
      </c>
      <c r="BG18" s="1202">
        <f t="shared" si="11"/>
        <v>0</v>
      </c>
      <c r="BH18" s="1202">
        <f t="shared" si="12"/>
        <v>0</v>
      </c>
      <c r="BI18" s="1202"/>
      <c r="BJ18" s="1202">
        <f t="shared" si="13"/>
        <v>0</v>
      </c>
      <c r="BK18" s="1202">
        <f t="shared" si="14"/>
        <v>0</v>
      </c>
      <c r="BL18" s="26"/>
      <c r="BM18" s="26"/>
      <c r="BN18" s="26"/>
    </row>
    <row r="19" spans="1:66" ht="15" thickBot="1" x14ac:dyDescent="0.35">
      <c r="A19" s="144" t="s">
        <v>470</v>
      </c>
      <c r="B19" s="1370" t="s">
        <v>168</v>
      </c>
      <c r="C19" s="1389" t="s">
        <v>50</v>
      </c>
      <c r="D19" s="1416">
        <f t="shared" ref="D19:J19" si="32">SUM(D17:D18)</f>
        <v>1717632.65</v>
      </c>
      <c r="E19" s="195">
        <f t="shared" si="32"/>
        <v>143325</v>
      </c>
      <c r="F19" s="138">
        <f t="shared" si="32"/>
        <v>142060.35</v>
      </c>
      <c r="G19" s="195">
        <f t="shared" ref="G19:H19" si="33">SUM(G17:G18)</f>
        <v>148102.5</v>
      </c>
      <c r="H19" s="138">
        <f t="shared" si="33"/>
        <v>147391.29999999999</v>
      </c>
      <c r="I19" s="1540">
        <f t="shared" si="32"/>
        <v>291427.5</v>
      </c>
      <c r="J19" s="1541">
        <f t="shared" si="32"/>
        <v>289451.65000000002</v>
      </c>
      <c r="K19" s="195">
        <f t="shared" ref="K19:L19" si="34">SUM(K17:K18)</f>
        <v>141261</v>
      </c>
      <c r="L19" s="138">
        <f t="shared" si="34"/>
        <v>142769.09999999998</v>
      </c>
      <c r="M19" s="1543">
        <f t="shared" ref="M19:R19" si="35">SUM(M17:M18)</f>
        <v>432688.5</v>
      </c>
      <c r="N19" s="1544">
        <f t="shared" si="35"/>
        <v>432220.75</v>
      </c>
      <c r="O19" s="195">
        <f t="shared" si="35"/>
        <v>145969.70000000001</v>
      </c>
      <c r="P19" s="138">
        <f t="shared" si="35"/>
        <v>147704.55000000002</v>
      </c>
      <c r="Q19" s="1540">
        <f t="shared" si="35"/>
        <v>578658.20000000007</v>
      </c>
      <c r="R19" s="1541">
        <f t="shared" si="35"/>
        <v>579925.30000000005</v>
      </c>
      <c r="S19" s="195">
        <f t="shared" ref="S19:T19" si="36">SUM(S17:S18)</f>
        <v>145969.70000000001</v>
      </c>
      <c r="T19" s="138">
        <f t="shared" si="36"/>
        <v>148607.29999999999</v>
      </c>
      <c r="U19" s="1540">
        <f t="shared" ref="U19:X19" si="37">SUM(U17:U18)</f>
        <v>724627.9</v>
      </c>
      <c r="V19" s="1541">
        <f t="shared" si="37"/>
        <v>728532.60000000009</v>
      </c>
      <c r="W19" s="195">
        <f t="shared" si="37"/>
        <v>136021.35</v>
      </c>
      <c r="X19" s="138">
        <f t="shared" si="37"/>
        <v>144050.65000000002</v>
      </c>
      <c r="Y19" s="755">
        <f t="shared" ref="Y19:Z19" si="38">SUM(Y17:Y18)</f>
        <v>427960.75</v>
      </c>
      <c r="Z19" s="481">
        <f t="shared" si="38"/>
        <v>440362.50000000006</v>
      </c>
      <c r="AA19" s="2306">
        <f t="shared" ref="AA19:AF19" si="39">SUM(AA17:AA18)</f>
        <v>860649.25</v>
      </c>
      <c r="AB19" s="468">
        <f t="shared" si="39"/>
        <v>872583.25</v>
      </c>
      <c r="AC19" s="195">
        <f t="shared" si="39"/>
        <v>145969.70000000001</v>
      </c>
      <c r="AD19" s="138">
        <f t="shared" si="39"/>
        <v>146539.75</v>
      </c>
      <c r="AE19" s="1540">
        <f t="shared" si="39"/>
        <v>1006618.9500000001</v>
      </c>
      <c r="AF19" s="1541">
        <f t="shared" si="39"/>
        <v>1019123</v>
      </c>
      <c r="AG19" s="195">
        <f t="shared" ref="AG19:AH19" si="40">SUM(AG17:AG18)</f>
        <v>141261</v>
      </c>
      <c r="AH19" s="138">
        <f t="shared" si="40"/>
        <v>142012.4</v>
      </c>
      <c r="AI19" s="1540">
        <f t="shared" ref="AI19:AN19" si="41">SUM(AI17:AI18)</f>
        <v>1147879.9500000002</v>
      </c>
      <c r="AJ19" s="1541">
        <f t="shared" si="41"/>
        <v>1161135.3999999999</v>
      </c>
      <c r="AK19" s="195">
        <f t="shared" si="41"/>
        <v>145969.70000000001</v>
      </c>
      <c r="AL19" s="138">
        <f t="shared" si="41"/>
        <v>146746.95000000001</v>
      </c>
      <c r="AM19" s="755">
        <f t="shared" si="41"/>
        <v>433200.4</v>
      </c>
      <c r="AN19" s="481">
        <f t="shared" si="41"/>
        <v>435299.1</v>
      </c>
      <c r="AO19" s="1540">
        <f t="shared" ref="AO19:AT19" si="42">SUM(AO17:AO18)</f>
        <v>1293849.6500000001</v>
      </c>
      <c r="AP19" s="1541">
        <f t="shared" si="42"/>
        <v>1307882.3500000001</v>
      </c>
      <c r="AQ19" s="195">
        <f t="shared" si="42"/>
        <v>145969.70000000001</v>
      </c>
      <c r="AR19" s="138">
        <f t="shared" si="42"/>
        <v>146290.70000000001</v>
      </c>
      <c r="AS19" s="1540">
        <f t="shared" si="42"/>
        <v>1439819.35</v>
      </c>
      <c r="AT19" s="1541">
        <f t="shared" si="42"/>
        <v>1454173.0500000003</v>
      </c>
      <c r="AU19" s="195">
        <f t="shared" ref="AU19:AV19" si="43">SUM(AU17:AU18)</f>
        <v>131843.6</v>
      </c>
      <c r="AV19" s="138">
        <f t="shared" si="43"/>
        <v>132081.54999999999</v>
      </c>
      <c r="AW19" s="1540">
        <f t="shared" ref="AW19:AZ19" si="44">SUM(AW17:AW18)</f>
        <v>1571662.9500000002</v>
      </c>
      <c r="AX19" s="1541">
        <f t="shared" si="44"/>
        <v>1586254.6</v>
      </c>
      <c r="AY19" s="195">
        <f t="shared" si="44"/>
        <v>145969.70000000001</v>
      </c>
      <c r="AZ19" s="138">
        <f t="shared" si="44"/>
        <v>148765.04999999999</v>
      </c>
      <c r="BA19" s="755">
        <f t="shared" ref="BA19:BF19" si="45">SUM(BA17:BA18)</f>
        <v>423783</v>
      </c>
      <c r="BB19" s="481">
        <f t="shared" si="45"/>
        <v>427137.30000000005</v>
      </c>
      <c r="BC19" s="2306">
        <f t="shared" si="45"/>
        <v>856983.4</v>
      </c>
      <c r="BD19" s="468">
        <f t="shared" si="45"/>
        <v>862436.40000000014</v>
      </c>
      <c r="BE19" s="1540">
        <f t="shared" si="45"/>
        <v>1717632.65</v>
      </c>
      <c r="BF19" s="1541">
        <f t="shared" si="45"/>
        <v>1735019.6500000001</v>
      </c>
      <c r="BG19" s="1202">
        <f t="shared" si="11"/>
        <v>0</v>
      </c>
      <c r="BH19" s="1202">
        <f t="shared" si="12"/>
        <v>0</v>
      </c>
      <c r="BI19" s="1202"/>
      <c r="BJ19" s="1202">
        <f t="shared" si="13"/>
        <v>0</v>
      </c>
      <c r="BK19" s="1202">
        <f t="shared" si="14"/>
        <v>0</v>
      </c>
      <c r="BL19" s="26"/>
      <c r="BM19" s="26"/>
      <c r="BN19" s="26"/>
    </row>
    <row r="20" spans="1:66" ht="16.2" thickBot="1" x14ac:dyDescent="0.35">
      <c r="A20" s="145" t="s">
        <v>470</v>
      </c>
      <c r="B20" s="1394" t="s">
        <v>503</v>
      </c>
      <c r="C20" s="1743"/>
      <c r="D20" s="1395"/>
      <c r="E20" s="1395"/>
      <c r="F20" s="1395"/>
      <c r="G20" s="1395"/>
      <c r="H20" s="1395"/>
      <c r="I20" s="1744"/>
      <c r="J20" s="1744"/>
      <c r="K20" s="1395"/>
      <c r="L20" s="1395"/>
      <c r="M20" s="1744"/>
      <c r="N20" s="1744"/>
      <c r="O20" s="1395"/>
      <c r="P20" s="1395"/>
      <c r="Q20" s="1744"/>
      <c r="R20" s="1744"/>
      <c r="S20" s="1395"/>
      <c r="T20" s="1395"/>
      <c r="U20" s="1744"/>
      <c r="V20" s="1744"/>
      <c r="W20" s="1395"/>
      <c r="X20" s="1395"/>
      <c r="Y20" s="485"/>
      <c r="Z20" s="485"/>
      <c r="AA20" s="2307"/>
      <c r="AB20" s="485"/>
      <c r="AC20" s="1395"/>
      <c r="AD20" s="1395"/>
      <c r="AE20" s="1744"/>
      <c r="AF20" s="1744"/>
      <c r="AG20" s="1395"/>
      <c r="AH20" s="1395"/>
      <c r="AI20" s="1744"/>
      <c r="AJ20" s="1744"/>
      <c r="AK20" s="1395"/>
      <c r="AL20" s="1395"/>
      <c r="AM20" s="485"/>
      <c r="AN20" s="485"/>
      <c r="AO20" s="1744"/>
      <c r="AP20" s="1744"/>
      <c r="AQ20" s="1395"/>
      <c r="AR20" s="1395"/>
      <c r="AS20" s="1744"/>
      <c r="AT20" s="1744"/>
      <c r="AU20" s="1395"/>
      <c r="AV20" s="1395"/>
      <c r="AW20" s="1744"/>
      <c r="AX20" s="1744"/>
      <c r="AY20" s="1395"/>
      <c r="AZ20" s="1395"/>
      <c r="BA20" s="485"/>
      <c r="BB20" s="485"/>
      <c r="BC20" s="2307"/>
      <c r="BD20" s="485"/>
      <c r="BE20" s="1744"/>
      <c r="BF20" s="1744"/>
      <c r="BG20" s="1202">
        <f t="shared" si="11"/>
        <v>0</v>
      </c>
      <c r="BH20" s="1202">
        <f t="shared" si="12"/>
        <v>0</v>
      </c>
      <c r="BI20" s="1202"/>
      <c r="BJ20" s="1202">
        <f t="shared" si="13"/>
        <v>0</v>
      </c>
      <c r="BK20" s="1202">
        <f t="shared" si="14"/>
        <v>0</v>
      </c>
      <c r="BL20" s="26"/>
      <c r="BM20" s="26"/>
      <c r="BN20" s="26"/>
    </row>
    <row r="21" spans="1:66" ht="15" thickBot="1" x14ac:dyDescent="0.35">
      <c r="A21" s="144" t="s">
        <v>470</v>
      </c>
      <c r="B21" s="1731" t="s">
        <v>149</v>
      </c>
      <c r="C21" s="1309" t="s">
        <v>50</v>
      </c>
      <c r="D21" s="1417">
        <f>+D17*D37/100</f>
        <v>415343.88</v>
      </c>
      <c r="E21" s="1109">
        <f>+E17*E37/100</f>
        <v>35397.599999999999</v>
      </c>
      <c r="F21" s="1109">
        <v>35108.639999999992</v>
      </c>
      <c r="G21" s="1109">
        <f>+G17*G37/100</f>
        <v>36577.519999999997</v>
      </c>
      <c r="H21" s="1109">
        <v>36433.039999999994</v>
      </c>
      <c r="I21" s="667">
        <f>+E21+G21</f>
        <v>71975.12</v>
      </c>
      <c r="J21" s="42">
        <f>+F21+H21</f>
        <v>71541.679999999993</v>
      </c>
      <c r="K21" s="1109">
        <f>+K17*K37/100</f>
        <v>33952.800000000003</v>
      </c>
      <c r="L21" s="1109">
        <v>34699.279999999999</v>
      </c>
      <c r="M21" s="708">
        <f>+E21+G21+K21</f>
        <v>105927.92</v>
      </c>
      <c r="N21" s="72">
        <f>+F21+H21+L21</f>
        <v>106240.95999999999</v>
      </c>
      <c r="O21" s="1109">
        <f>+O17*O37/100</f>
        <v>35084.559999999998</v>
      </c>
      <c r="P21" s="1109">
        <v>35614.32</v>
      </c>
      <c r="Q21" s="667">
        <f>+M21+O21</f>
        <v>141012.47999999998</v>
      </c>
      <c r="R21" s="42">
        <f>+N21+P21</f>
        <v>141855.28</v>
      </c>
      <c r="S21" s="1109">
        <f>+S17*S37/100</f>
        <v>35084.559999999998</v>
      </c>
      <c r="T21" s="1109">
        <v>36577.519999999997</v>
      </c>
      <c r="U21" s="667">
        <f>+Q21+S21</f>
        <v>176097.03999999998</v>
      </c>
      <c r="V21" s="42">
        <f>+R21+T21</f>
        <v>178432.8</v>
      </c>
      <c r="W21" s="1109">
        <f>+W17*W37/100</f>
        <v>33266.519999999997</v>
      </c>
      <c r="X21" s="1109">
        <v>35397.599999999999</v>
      </c>
      <c r="Y21" s="754">
        <f>+O21+S21+W21</f>
        <v>103435.63999999998</v>
      </c>
      <c r="Z21" s="83">
        <f>+P21+T21+X21</f>
        <v>107589.44</v>
      </c>
      <c r="AA21" s="752">
        <f>+M21+Y21</f>
        <v>209363.56</v>
      </c>
      <c r="AB21" s="752">
        <f>+N21+Z21</f>
        <v>213830.39999999999</v>
      </c>
      <c r="AC21" s="1109">
        <f>+AC17*AC37/100</f>
        <v>35084.559999999998</v>
      </c>
      <c r="AD21" s="1109">
        <v>35881.281200000005</v>
      </c>
      <c r="AE21" s="667">
        <f>+AA21+AC21</f>
        <v>244448.12</v>
      </c>
      <c r="AF21" s="42">
        <f>+AB21+AD21</f>
        <v>249711.68119999999</v>
      </c>
      <c r="AG21" s="1109">
        <f>+AG17*AG37/100</f>
        <v>33952.800000000003</v>
      </c>
      <c r="AH21" s="1109">
        <v>33793.957999999999</v>
      </c>
      <c r="AI21" s="667">
        <f>+AE21+AG21</f>
        <v>278400.92</v>
      </c>
      <c r="AJ21" s="42">
        <f>+AF21+AH21</f>
        <v>283505.63919999998</v>
      </c>
      <c r="AK21" s="1109">
        <f>+AK17*AK37/100</f>
        <v>35084.559999999998</v>
      </c>
      <c r="AL21" s="1109">
        <v>34869.817999999999</v>
      </c>
      <c r="AM21" s="754">
        <f>+AC21+AG21+AK21</f>
        <v>104121.92</v>
      </c>
      <c r="AN21" s="83">
        <f>+AD21+AH21+AL21</f>
        <v>104545.05720000001</v>
      </c>
      <c r="AO21" s="753">
        <f>AI21+AK21</f>
        <v>313485.48</v>
      </c>
      <c r="AP21" s="753">
        <f>AJ21+AL21</f>
        <v>318375.45719999995</v>
      </c>
      <c r="AQ21" s="1109">
        <f>+AQ17*AQ37/100</f>
        <v>35084.559999999998</v>
      </c>
      <c r="AR21" s="1109">
        <v>35144.759999999995</v>
      </c>
      <c r="AS21" s="667">
        <f>+AO21+AQ21</f>
        <v>348570.04</v>
      </c>
      <c r="AT21" s="42">
        <f>+AP21+AR21</f>
        <v>353520.21719999996</v>
      </c>
      <c r="AU21" s="1109">
        <f>+AU17*AU37/100</f>
        <v>31689.279999999999</v>
      </c>
      <c r="AV21" s="1109">
        <v>31606.375999999993</v>
      </c>
      <c r="AW21" s="667">
        <f>+AS21+AU21</f>
        <v>380259.31999999995</v>
      </c>
      <c r="AX21" s="42">
        <f>+AT21+AV21</f>
        <v>385126.59319999994</v>
      </c>
      <c r="AY21" s="1109">
        <f>+AY17*AY37/100</f>
        <v>35084.559999999998</v>
      </c>
      <c r="AZ21" s="1109">
        <v>36316.251999999993</v>
      </c>
      <c r="BA21" s="754">
        <f>+AQ21+AU21+AY21</f>
        <v>101858.4</v>
      </c>
      <c r="BB21" s="83">
        <f>+AR21+AV21+AZ21</f>
        <v>103067.38799999998</v>
      </c>
      <c r="BC21" s="752">
        <f t="shared" ref="BC21:BC22" si="46">+AM21+BA21</f>
        <v>205980.32</v>
      </c>
      <c r="BD21" s="752">
        <f t="shared" ref="BD21:BD22" si="47">+AN21+BB21</f>
        <v>207612.44519999999</v>
      </c>
      <c r="BE21" s="667">
        <f>+AW21+AY21</f>
        <v>415343.87999999995</v>
      </c>
      <c r="BF21" s="42">
        <f>+AX21+AZ21</f>
        <v>421442.84519999992</v>
      </c>
      <c r="BG21" s="1202">
        <f t="shared" si="11"/>
        <v>0</v>
      </c>
      <c r="BH21" s="1202">
        <f t="shared" si="12"/>
        <v>0</v>
      </c>
      <c r="BI21" s="1202"/>
      <c r="BJ21" s="1202">
        <f t="shared" si="13"/>
        <v>0</v>
      </c>
      <c r="BK21" s="1202">
        <f t="shared" si="14"/>
        <v>0</v>
      </c>
      <c r="BL21" s="26"/>
      <c r="BM21" s="26"/>
      <c r="BN21" s="26"/>
    </row>
    <row r="22" spans="1:66" ht="15" thickBot="1" x14ac:dyDescent="0.35">
      <c r="A22" s="144" t="s">
        <v>470</v>
      </c>
      <c r="B22" s="1732" t="s">
        <v>150</v>
      </c>
      <c r="C22" s="1372" t="s">
        <v>50</v>
      </c>
      <c r="D22" s="1734">
        <f>+D18*D37/100</f>
        <v>786998.97499999998</v>
      </c>
      <c r="E22" s="1287">
        <f>+E18*E37/100</f>
        <v>64929.9</v>
      </c>
      <c r="F22" s="1287">
        <v>64333.605000000003</v>
      </c>
      <c r="G22" s="1287">
        <f>+G18*G37/100</f>
        <v>67094.23000000001</v>
      </c>
      <c r="H22" s="1287">
        <v>66740.87</v>
      </c>
      <c r="I22" s="757">
        <f>+E22+G22</f>
        <v>132024.13</v>
      </c>
      <c r="J22" s="43">
        <f>+F22+H22</f>
        <v>131074.47500000001</v>
      </c>
      <c r="K22" s="1287">
        <f>+K18*K37/100</f>
        <v>64929.9</v>
      </c>
      <c r="L22" s="1287">
        <v>65239.09</v>
      </c>
      <c r="M22" s="1733">
        <f>+E22+G22+K22</f>
        <v>196954.03</v>
      </c>
      <c r="N22" s="1545">
        <f>+F22+H22+L22</f>
        <v>196313.565</v>
      </c>
      <c r="O22" s="1287">
        <f>+O18*O37/100</f>
        <v>67094.23000000001</v>
      </c>
      <c r="P22" s="1287">
        <v>67778.864999999991</v>
      </c>
      <c r="Q22" s="757">
        <f>+M22+O22</f>
        <v>264048.26</v>
      </c>
      <c r="R22" s="43">
        <f>+N22+P22</f>
        <v>264092.43</v>
      </c>
      <c r="S22" s="1287">
        <f>+S18*S37/100</f>
        <v>67094.23000000001</v>
      </c>
      <c r="T22" s="1287">
        <v>67447.59</v>
      </c>
      <c r="U22" s="757">
        <f>+Q22+S22</f>
        <v>331142.49</v>
      </c>
      <c r="V22" s="43">
        <f>+R22+T22</f>
        <v>331540.02</v>
      </c>
      <c r="W22" s="1287">
        <f>+W18*W37/100</f>
        <v>61948.425000000003</v>
      </c>
      <c r="X22" s="1287">
        <v>64963.855000000003</v>
      </c>
      <c r="Y22" s="754">
        <f>+O22+S22+W22</f>
        <v>196136.88500000001</v>
      </c>
      <c r="Z22" s="83">
        <f>+P22+T22+X22</f>
        <v>200190.31</v>
      </c>
      <c r="AA22" s="752">
        <f>+M22+Y22</f>
        <v>393090.91500000004</v>
      </c>
      <c r="AB22" s="752">
        <f>+N22+Z22</f>
        <v>396503.875</v>
      </c>
      <c r="AC22" s="1287">
        <f>+AC18*AC37/100</f>
        <v>67094.23000000001</v>
      </c>
      <c r="AD22" s="1287">
        <v>66256.924550000011</v>
      </c>
      <c r="AE22" s="757">
        <f>+AA22+AC22</f>
        <v>460185.14500000002</v>
      </c>
      <c r="AF22" s="43">
        <f>+AB22+AD22</f>
        <v>462760.79955</v>
      </c>
      <c r="AG22" s="1287">
        <f>+AG18*AG37/100</f>
        <v>64929.9</v>
      </c>
      <c r="AH22" s="1287">
        <v>64904.659999999996</v>
      </c>
      <c r="AI22" s="757">
        <f>+AE22+AG22</f>
        <v>525115.04500000004</v>
      </c>
      <c r="AJ22" s="43">
        <f>+AF22+AH22</f>
        <v>527665.45955000003</v>
      </c>
      <c r="AK22" s="1287">
        <f>+AK18*AK37/100</f>
        <v>67094.23000000001</v>
      </c>
      <c r="AL22" s="1287">
        <v>67119.312250000003</v>
      </c>
      <c r="AM22" s="754">
        <f>+AC22+AG22+AK22</f>
        <v>199118.36000000002</v>
      </c>
      <c r="AN22" s="83">
        <f>+AD22+AH22+AL22</f>
        <v>198280.89679999999</v>
      </c>
      <c r="AO22" s="753">
        <f>AI22+AK22</f>
        <v>592209.27500000002</v>
      </c>
      <c r="AP22" s="753">
        <f>AJ22+AL22</f>
        <v>594784.77179999999</v>
      </c>
      <c r="AQ22" s="1287">
        <f>+AQ18*AQ37/100</f>
        <v>67094.23000000001</v>
      </c>
      <c r="AR22" s="1287">
        <v>66527.276499999993</v>
      </c>
      <c r="AS22" s="757">
        <f>+AO22+AQ22</f>
        <v>659303.505</v>
      </c>
      <c r="AT22" s="43">
        <f>+AP22+AR22</f>
        <v>661312.04830000002</v>
      </c>
      <c r="AU22" s="1287">
        <f>+AU18*AU37/100</f>
        <v>60601.24</v>
      </c>
      <c r="AV22" s="1287">
        <v>60190.301249999997</v>
      </c>
      <c r="AW22" s="757">
        <f>+AS22+AU22</f>
        <v>719904.745</v>
      </c>
      <c r="AX22" s="43">
        <f>+AT22+AV22</f>
        <v>721502.34955000004</v>
      </c>
      <c r="AY22" s="1287">
        <f>+AY18*AY37/100</f>
        <v>67094.23000000001</v>
      </c>
      <c r="AZ22" s="1287">
        <v>67075.457749999987</v>
      </c>
      <c r="BA22" s="754">
        <f>+AQ22+AU22+AY22</f>
        <v>194789.7</v>
      </c>
      <c r="BB22" s="83">
        <f>+AR22+AV22+AZ22</f>
        <v>193793.0355</v>
      </c>
      <c r="BC22" s="752">
        <f t="shared" si="46"/>
        <v>393908.06000000006</v>
      </c>
      <c r="BD22" s="752">
        <f t="shared" si="47"/>
        <v>392073.93229999999</v>
      </c>
      <c r="BE22" s="757">
        <f>+AW22+AY22</f>
        <v>786998.97499999998</v>
      </c>
      <c r="BF22" s="43">
        <f>+AX22+AZ22</f>
        <v>788577.80729999999</v>
      </c>
      <c r="BG22" s="1202">
        <f t="shared" si="11"/>
        <v>0</v>
      </c>
      <c r="BH22" s="1202">
        <f t="shared" si="12"/>
        <v>0</v>
      </c>
      <c r="BI22" s="1202"/>
      <c r="BJ22" s="1202">
        <f t="shared" si="13"/>
        <v>0</v>
      </c>
      <c r="BK22" s="1202">
        <f t="shared" si="14"/>
        <v>0</v>
      </c>
      <c r="BL22" s="26"/>
      <c r="BM22" s="26"/>
      <c r="BN22" s="26"/>
    </row>
    <row r="23" spans="1:66" ht="15" thickBot="1" x14ac:dyDescent="0.35">
      <c r="A23" s="144" t="s">
        <v>470</v>
      </c>
      <c r="B23" s="1370" t="s">
        <v>78</v>
      </c>
      <c r="C23" s="1373" t="s">
        <v>50</v>
      </c>
      <c r="D23" s="1416">
        <f t="shared" ref="D23:J23" si="48">SUM(D21:D22)</f>
        <v>1202342.855</v>
      </c>
      <c r="E23" s="195">
        <f t="shared" si="48"/>
        <v>100327.5</v>
      </c>
      <c r="F23" s="195">
        <f t="shared" si="48"/>
        <v>99442.244999999995</v>
      </c>
      <c r="G23" s="195">
        <f t="shared" ref="G23:H23" si="49">SUM(G21:G22)</f>
        <v>103671.75</v>
      </c>
      <c r="H23" s="195">
        <f t="shared" si="49"/>
        <v>103173.90999999999</v>
      </c>
      <c r="I23" s="738">
        <f t="shared" si="48"/>
        <v>203999.25</v>
      </c>
      <c r="J23" s="1113">
        <f t="shared" si="48"/>
        <v>202616.155</v>
      </c>
      <c r="K23" s="195">
        <f t="shared" ref="K23:L23" si="50">SUM(K21:K22)</f>
        <v>98882.700000000012</v>
      </c>
      <c r="L23" s="195">
        <f t="shared" si="50"/>
        <v>99938.37</v>
      </c>
      <c r="M23" s="759">
        <f t="shared" ref="M23:R23" si="51">SUM(M21:M22)</f>
        <v>302881.95</v>
      </c>
      <c r="N23" s="169">
        <f t="shared" si="51"/>
        <v>302554.52500000002</v>
      </c>
      <c r="O23" s="195">
        <f t="shared" si="51"/>
        <v>102178.79000000001</v>
      </c>
      <c r="P23" s="195">
        <f t="shared" si="51"/>
        <v>103393.185</v>
      </c>
      <c r="Q23" s="738">
        <f t="shared" si="51"/>
        <v>405060.74</v>
      </c>
      <c r="R23" s="1113">
        <f t="shared" si="51"/>
        <v>405947.70999999996</v>
      </c>
      <c r="S23" s="195">
        <f t="shared" ref="S23:T23" si="52">SUM(S21:S22)</f>
        <v>102178.79000000001</v>
      </c>
      <c r="T23" s="195">
        <f t="shared" si="52"/>
        <v>104025.10999999999</v>
      </c>
      <c r="U23" s="738">
        <f t="shared" ref="U23:X23" si="53">SUM(U21:U22)</f>
        <v>507239.52999999997</v>
      </c>
      <c r="V23" s="1113">
        <f t="shared" si="53"/>
        <v>509972.82</v>
      </c>
      <c r="W23" s="195">
        <f t="shared" si="53"/>
        <v>95214.945000000007</v>
      </c>
      <c r="X23" s="195">
        <f t="shared" si="53"/>
        <v>100361.455</v>
      </c>
      <c r="Y23" s="741">
        <f t="shared" ref="Y23:Z23" si="54">SUM(Y21:Y22)</f>
        <v>299572.52500000002</v>
      </c>
      <c r="Z23" s="169">
        <f t="shared" si="54"/>
        <v>307779.75</v>
      </c>
      <c r="AA23" s="2306">
        <f t="shared" ref="AA23:AF23" si="55">SUM(AA21:AA22)</f>
        <v>602454.47500000009</v>
      </c>
      <c r="AB23" s="468">
        <f t="shared" si="55"/>
        <v>610334.27500000002</v>
      </c>
      <c r="AC23" s="195">
        <f t="shared" si="55"/>
        <v>102178.79000000001</v>
      </c>
      <c r="AD23" s="195">
        <f t="shared" si="55"/>
        <v>102138.20575000002</v>
      </c>
      <c r="AE23" s="738">
        <f t="shared" si="55"/>
        <v>704633.26500000001</v>
      </c>
      <c r="AF23" s="1113">
        <f t="shared" si="55"/>
        <v>712472.48074999999</v>
      </c>
      <c r="AG23" s="195">
        <f t="shared" ref="AG23:AH23" si="56">SUM(AG21:AG22)</f>
        <v>98882.700000000012</v>
      </c>
      <c r="AH23" s="195">
        <f t="shared" si="56"/>
        <v>98698.617999999988</v>
      </c>
      <c r="AI23" s="738">
        <f t="shared" ref="AI23:AN23" si="57">SUM(AI21:AI22)</f>
        <v>803515.96500000008</v>
      </c>
      <c r="AJ23" s="1113">
        <f t="shared" si="57"/>
        <v>811171.09875</v>
      </c>
      <c r="AK23" s="195">
        <f t="shared" si="57"/>
        <v>102178.79000000001</v>
      </c>
      <c r="AL23" s="195">
        <f t="shared" si="57"/>
        <v>101989.13025</v>
      </c>
      <c r="AM23" s="741">
        <f t="shared" si="57"/>
        <v>303240.28000000003</v>
      </c>
      <c r="AN23" s="169">
        <f t="shared" si="57"/>
        <v>302825.95400000003</v>
      </c>
      <c r="AO23" s="738">
        <f t="shared" ref="AO23:AT23" si="58">SUM(AO21:AO22)</f>
        <v>905694.755</v>
      </c>
      <c r="AP23" s="1113">
        <f t="shared" si="58"/>
        <v>913160.22899999993</v>
      </c>
      <c r="AQ23" s="195">
        <f t="shared" si="58"/>
        <v>102178.79000000001</v>
      </c>
      <c r="AR23" s="195">
        <f t="shared" si="58"/>
        <v>101672.03649999999</v>
      </c>
      <c r="AS23" s="738">
        <f t="shared" si="58"/>
        <v>1007873.5449999999</v>
      </c>
      <c r="AT23" s="1113">
        <f t="shared" si="58"/>
        <v>1014832.2655</v>
      </c>
      <c r="AU23" s="195">
        <f t="shared" ref="AU23:AV23" si="59">SUM(AU21:AU22)</f>
        <v>92290.51999999999</v>
      </c>
      <c r="AV23" s="195">
        <f t="shared" si="59"/>
        <v>91796.677249999993</v>
      </c>
      <c r="AW23" s="738">
        <f t="shared" ref="AW23:AZ23" si="60">SUM(AW21:AW22)</f>
        <v>1100164.0649999999</v>
      </c>
      <c r="AX23" s="1113">
        <f t="shared" si="60"/>
        <v>1106628.9427499999</v>
      </c>
      <c r="AY23" s="195">
        <f t="shared" si="60"/>
        <v>102178.79000000001</v>
      </c>
      <c r="AZ23" s="195">
        <f t="shared" si="60"/>
        <v>103391.70974999998</v>
      </c>
      <c r="BA23" s="741">
        <f t="shared" ref="BA23:BF23" si="61">SUM(BA21:BA22)</f>
        <v>296648.09999999998</v>
      </c>
      <c r="BB23" s="169">
        <f t="shared" si="61"/>
        <v>296860.42349999998</v>
      </c>
      <c r="BC23" s="2306">
        <f t="shared" si="61"/>
        <v>599888.38000000012</v>
      </c>
      <c r="BD23" s="468">
        <f t="shared" si="61"/>
        <v>599686.37749999994</v>
      </c>
      <c r="BE23" s="738">
        <f t="shared" si="61"/>
        <v>1202342.855</v>
      </c>
      <c r="BF23" s="1113">
        <f t="shared" si="61"/>
        <v>1210020.6524999999</v>
      </c>
      <c r="BG23" s="1202">
        <f t="shared" si="11"/>
        <v>0</v>
      </c>
      <c r="BH23" s="1202">
        <f t="shared" si="12"/>
        <v>0</v>
      </c>
      <c r="BI23" s="1202"/>
      <c r="BJ23" s="1202">
        <f t="shared" si="13"/>
        <v>0</v>
      </c>
      <c r="BK23" s="1202">
        <f t="shared" si="14"/>
        <v>0</v>
      </c>
      <c r="BL23" s="26"/>
      <c r="BM23" s="26"/>
      <c r="BN23" s="26"/>
    </row>
    <row r="24" spans="1:66" ht="15" thickBot="1" x14ac:dyDescent="0.35">
      <c r="A24" s="144" t="s">
        <v>470</v>
      </c>
      <c r="B24" s="1729" t="s">
        <v>152</v>
      </c>
      <c r="C24" s="1372" t="s">
        <v>50</v>
      </c>
      <c r="D24" s="1294">
        <f>+D17*D38/100</f>
        <v>8900.2260000000006</v>
      </c>
      <c r="E24" s="1106">
        <f>+E17*E38/100</f>
        <v>758.52</v>
      </c>
      <c r="F24" s="1106">
        <v>752.32799999999997</v>
      </c>
      <c r="G24" s="1106">
        <f>+G17*G38/100</f>
        <v>783.80399999999997</v>
      </c>
      <c r="H24" s="1106">
        <v>780.70799999999997</v>
      </c>
      <c r="I24" s="753">
        <f>+E24+G24</f>
        <v>1542.3240000000001</v>
      </c>
      <c r="J24" s="61">
        <f>+F24+H24</f>
        <v>1533.0360000000001</v>
      </c>
      <c r="K24" s="1106">
        <f>+K17*K38/100</f>
        <v>727.56</v>
      </c>
      <c r="L24" s="1106">
        <v>743.55600000000004</v>
      </c>
      <c r="M24" s="1107">
        <f>+E24+G24+K24</f>
        <v>2269.884</v>
      </c>
      <c r="N24" s="83">
        <f>+F24+H24+L24</f>
        <v>2276.5920000000001</v>
      </c>
      <c r="O24" s="1106">
        <f>+O17*O38/100</f>
        <v>751.81200000000001</v>
      </c>
      <c r="P24" s="1106">
        <v>763.16399999999999</v>
      </c>
      <c r="Q24" s="753">
        <f>+M24+O24</f>
        <v>3021.6959999999999</v>
      </c>
      <c r="R24" s="61">
        <f>+N24+P24</f>
        <v>3039.7560000000003</v>
      </c>
      <c r="S24" s="1106">
        <f>+S17*S38/100</f>
        <v>751.81200000000001</v>
      </c>
      <c r="T24" s="1106">
        <v>783.80399999999997</v>
      </c>
      <c r="U24" s="753">
        <f>+Q24+S24</f>
        <v>3773.5079999999998</v>
      </c>
      <c r="V24" s="61">
        <f>+R24+T24</f>
        <v>3823.5600000000004</v>
      </c>
      <c r="W24" s="1106">
        <f>+W17*W38/100</f>
        <v>712.85399999999993</v>
      </c>
      <c r="X24" s="1106">
        <v>758.52</v>
      </c>
      <c r="Y24" s="754">
        <f>+O24+S24+W24</f>
        <v>2216.4780000000001</v>
      </c>
      <c r="Z24" s="83">
        <f>+P24+T24+X24</f>
        <v>2305.4879999999998</v>
      </c>
      <c r="AA24" s="752">
        <f>+M24+Y24</f>
        <v>4486.3620000000001</v>
      </c>
      <c r="AB24" s="752">
        <f>+N24+Z24</f>
        <v>4582.08</v>
      </c>
      <c r="AC24" s="1106">
        <f>+AC17*AC38/100</f>
        <v>751.81200000000001</v>
      </c>
      <c r="AD24" s="1106">
        <v>772.19399999999996</v>
      </c>
      <c r="AE24" s="753">
        <f>+AA24+AC24</f>
        <v>5238.174</v>
      </c>
      <c r="AF24" s="61">
        <f>+AB24+AD24</f>
        <v>5354.2739999999994</v>
      </c>
      <c r="AG24" s="1106">
        <f>+AG17*AG38/100</f>
        <v>727.56</v>
      </c>
      <c r="AH24" s="1106">
        <v>486.24400000000003</v>
      </c>
      <c r="AI24" s="753">
        <f>+AE24+AG24</f>
        <v>5965.7340000000004</v>
      </c>
      <c r="AJ24" s="61">
        <f>+AF24+AH24</f>
        <v>5840.5179999999991</v>
      </c>
      <c r="AK24" s="1106">
        <f>+AK17*AK38/100</f>
        <v>751.81200000000001</v>
      </c>
      <c r="AL24" s="1106">
        <v>501.72400000000005</v>
      </c>
      <c r="AM24" s="754">
        <f>+AC24+AG24+AK24</f>
        <v>2231.1839999999997</v>
      </c>
      <c r="AN24" s="83">
        <f>+AD24+AH24+AL24</f>
        <v>1760.1620000000003</v>
      </c>
      <c r="AO24" s="753">
        <f>AI24+AK24</f>
        <v>6717.5460000000003</v>
      </c>
      <c r="AP24" s="753">
        <f>AJ24+AL24</f>
        <v>6342.2419999999993</v>
      </c>
      <c r="AQ24" s="1106">
        <f>+AQ17*AQ38/100</f>
        <v>751.81200000000001</v>
      </c>
      <c r="AR24" s="1106">
        <v>505.68</v>
      </c>
      <c r="AS24" s="753">
        <f>+AO24+AQ24</f>
        <v>7469.3580000000002</v>
      </c>
      <c r="AT24" s="61">
        <f>+AP24+AR24</f>
        <v>6847.9219999999996</v>
      </c>
      <c r="AU24" s="1106">
        <f>+AU17*AU38/100</f>
        <v>679.05600000000004</v>
      </c>
      <c r="AV24" s="1106">
        <v>454.76799999999997</v>
      </c>
      <c r="AW24" s="753">
        <f>+AS24+AU24</f>
        <v>8148.4140000000007</v>
      </c>
      <c r="AX24" s="61">
        <f>+AT24+AV24</f>
        <v>7302.69</v>
      </c>
      <c r="AY24" s="1106">
        <f>+AY17*AY38/100</f>
        <v>751.81200000000001</v>
      </c>
      <c r="AZ24" s="1106">
        <v>522.53599999999994</v>
      </c>
      <c r="BA24" s="754">
        <f>+AQ24+AU24+AY24</f>
        <v>2182.6799999999998</v>
      </c>
      <c r="BB24" s="83">
        <f>+AR24+AV24+AZ24</f>
        <v>1482.9839999999999</v>
      </c>
      <c r="BC24" s="752">
        <f t="shared" ref="BC24:BC25" si="62">+AM24+BA24</f>
        <v>4413.8639999999996</v>
      </c>
      <c r="BD24" s="752">
        <f t="shared" ref="BD24:BD25" si="63">+AN24+BB24</f>
        <v>3243.1460000000002</v>
      </c>
      <c r="BE24" s="753">
        <f>+AW24+AY24</f>
        <v>8900.2260000000006</v>
      </c>
      <c r="BF24" s="61">
        <f>+AX24+AZ24</f>
        <v>7825.2259999999997</v>
      </c>
      <c r="BG24" s="1202">
        <f t="shared" si="11"/>
        <v>0</v>
      </c>
      <c r="BH24" s="1202">
        <f t="shared" si="12"/>
        <v>0</v>
      </c>
      <c r="BI24" s="1202"/>
      <c r="BJ24" s="1202">
        <f t="shared" si="13"/>
        <v>0</v>
      </c>
      <c r="BK24" s="1202">
        <f t="shared" si="14"/>
        <v>0</v>
      </c>
      <c r="BL24" s="26"/>
      <c r="BM24" s="26"/>
      <c r="BN24" s="26"/>
    </row>
    <row r="25" spans="1:66" ht="15" thickBot="1" x14ac:dyDescent="0.35">
      <c r="A25" s="144" t="s">
        <v>470</v>
      </c>
      <c r="B25" s="1730" t="s">
        <v>153</v>
      </c>
      <c r="C25" s="1372" t="s">
        <v>50</v>
      </c>
      <c r="D25" s="1415">
        <f>+D18*D38/100</f>
        <v>16864.263749999998</v>
      </c>
      <c r="E25" s="720">
        <f>+E18*E38/100</f>
        <v>1391.355</v>
      </c>
      <c r="F25" s="720">
        <v>1378.57725</v>
      </c>
      <c r="G25" s="720">
        <f>+G18*G38/100</f>
        <v>1437.7335</v>
      </c>
      <c r="H25" s="720">
        <v>1430.1614999999999</v>
      </c>
      <c r="I25" s="758">
        <f>+E25+G25</f>
        <v>2829.0884999999998</v>
      </c>
      <c r="J25" s="61">
        <f>+F25+H25</f>
        <v>2808.73875</v>
      </c>
      <c r="K25" s="720">
        <f>+K18*K38/100</f>
        <v>1391.355</v>
      </c>
      <c r="L25" s="720">
        <v>1397.9804999999999</v>
      </c>
      <c r="M25" s="1538">
        <f>+E25+G25+K25</f>
        <v>4220.4434999999994</v>
      </c>
      <c r="N25" s="83">
        <f>+F25+H25+L25</f>
        <v>4206.7192500000001</v>
      </c>
      <c r="O25" s="720">
        <f>+O18*O38/100</f>
        <v>1437.7335</v>
      </c>
      <c r="P25" s="720">
        <v>1452.4042499999998</v>
      </c>
      <c r="Q25" s="758">
        <f>+M25+O25</f>
        <v>5658.1769999999997</v>
      </c>
      <c r="R25" s="61">
        <f>+N25+P25</f>
        <v>5659.1234999999997</v>
      </c>
      <c r="S25" s="720">
        <f>+S18*S38/100</f>
        <v>1437.7335</v>
      </c>
      <c r="T25" s="720">
        <v>1445.3054999999999</v>
      </c>
      <c r="U25" s="758">
        <f>+Q25+S25</f>
        <v>7095.9105</v>
      </c>
      <c r="V25" s="61">
        <f>+R25+T25</f>
        <v>7104.4290000000001</v>
      </c>
      <c r="W25" s="720">
        <f>+W18*W38/100</f>
        <v>1327.4662499999999</v>
      </c>
      <c r="X25" s="720">
        <v>1402.2397500000002</v>
      </c>
      <c r="Y25" s="754">
        <f>+O25+S25+W25</f>
        <v>4202.93325</v>
      </c>
      <c r="Z25" s="83">
        <f>+P25+T25+X25</f>
        <v>4299.9495000000006</v>
      </c>
      <c r="AA25" s="752">
        <f>+M25+Y25</f>
        <v>8423.3767499999994</v>
      </c>
      <c r="AB25" s="752">
        <f>+N25+Z25</f>
        <v>8506.6687500000007</v>
      </c>
      <c r="AC25" s="720">
        <f>+AC18*AC38/100</f>
        <v>1437.7335</v>
      </c>
      <c r="AD25" s="720">
        <v>1425.9022500000001</v>
      </c>
      <c r="AE25" s="758">
        <f>+AA25+AC25</f>
        <v>9861.1102499999997</v>
      </c>
      <c r="AF25" s="61">
        <f>+AB25+AD25</f>
        <v>9932.5709999999999</v>
      </c>
      <c r="AG25" s="720">
        <f>+AG18*AG38/100</f>
        <v>1391.355</v>
      </c>
      <c r="AH25" s="720">
        <v>933.88</v>
      </c>
      <c r="AI25" s="758">
        <f>+AE25+AG25</f>
        <v>11252.465249999999</v>
      </c>
      <c r="AJ25" s="61">
        <f>+AF25+AH25</f>
        <v>10866.450999999999</v>
      </c>
      <c r="AK25" s="720">
        <f>+AK18*AK38/100</f>
        <v>1437.7335</v>
      </c>
      <c r="AL25" s="720">
        <v>965.74549999999999</v>
      </c>
      <c r="AM25" s="754">
        <f>+AC25+AG25+AK25</f>
        <v>4266.8220000000001</v>
      </c>
      <c r="AN25" s="83">
        <f>+AD25+AH25+AL25</f>
        <v>3325.5277500000002</v>
      </c>
      <c r="AO25" s="753">
        <f>AI25+AK25</f>
        <v>12690.19875</v>
      </c>
      <c r="AP25" s="753">
        <f>AJ25+AL25</f>
        <v>11832.196499999998</v>
      </c>
      <c r="AQ25" s="720">
        <f>+AQ18*AQ38/100</f>
        <v>1437.7335</v>
      </c>
      <c r="AR25" s="720">
        <v>957.22699999999998</v>
      </c>
      <c r="AS25" s="758">
        <f>+AO25+AQ25</f>
        <v>14127.93225</v>
      </c>
      <c r="AT25" s="61">
        <f>+AP25+AR25</f>
        <v>12789.423499999999</v>
      </c>
      <c r="AU25" s="720">
        <f>+AU18*AU38/100</f>
        <v>1298.598</v>
      </c>
      <c r="AV25" s="720">
        <v>866.04750000000001</v>
      </c>
      <c r="AW25" s="758">
        <f>+AS25+AU25</f>
        <v>15426.53025</v>
      </c>
      <c r="AX25" s="61">
        <f>+AT25+AV25</f>
        <v>13655.471</v>
      </c>
      <c r="AY25" s="720">
        <f>+AY18*AY38/100</f>
        <v>1437.7335</v>
      </c>
      <c r="AZ25" s="720">
        <v>965.11450000000002</v>
      </c>
      <c r="BA25" s="754">
        <f>+AQ25+AU25+AY25</f>
        <v>4174.0650000000005</v>
      </c>
      <c r="BB25" s="83">
        <f>+AR25+AV25+AZ25</f>
        <v>2788.3890000000001</v>
      </c>
      <c r="BC25" s="752">
        <f t="shared" si="62"/>
        <v>8440.8870000000006</v>
      </c>
      <c r="BD25" s="752">
        <f t="shared" si="63"/>
        <v>6113.9167500000003</v>
      </c>
      <c r="BE25" s="758">
        <f>+AW25+AY25</f>
        <v>16864.263749999998</v>
      </c>
      <c r="BF25" s="61">
        <f>+AX25+AZ25</f>
        <v>14620.585499999999</v>
      </c>
      <c r="BG25" s="1202">
        <f t="shared" si="11"/>
        <v>0</v>
      </c>
      <c r="BH25" s="1202">
        <f t="shared" si="12"/>
        <v>0</v>
      </c>
      <c r="BI25" s="1202"/>
      <c r="BJ25" s="1202">
        <f t="shared" si="13"/>
        <v>0</v>
      </c>
      <c r="BK25" s="1202">
        <f t="shared" si="14"/>
        <v>0</v>
      </c>
      <c r="BL25" s="26"/>
      <c r="BM25" s="26"/>
      <c r="BN25" s="26"/>
    </row>
    <row r="26" spans="1:66" ht="15" thickBot="1" x14ac:dyDescent="0.35">
      <c r="A26" s="144" t="s">
        <v>470</v>
      </c>
      <c r="B26" s="1370" t="s">
        <v>142</v>
      </c>
      <c r="C26" s="1373" t="s">
        <v>50</v>
      </c>
      <c r="D26" s="1416">
        <f t="shared" ref="D26:J26" si="64">SUM(D24:D25)</f>
        <v>25764.489750000001</v>
      </c>
      <c r="E26" s="195">
        <f t="shared" si="64"/>
        <v>2149.875</v>
      </c>
      <c r="F26" s="195">
        <f t="shared" si="64"/>
        <v>2130.9052499999998</v>
      </c>
      <c r="G26" s="195">
        <f t="shared" ref="G26:H26" si="65">SUM(G24:G25)</f>
        <v>2221.5374999999999</v>
      </c>
      <c r="H26" s="195">
        <f t="shared" si="65"/>
        <v>2210.8694999999998</v>
      </c>
      <c r="I26" s="738">
        <f t="shared" si="64"/>
        <v>4371.4125000000004</v>
      </c>
      <c r="J26" s="1113">
        <f t="shared" si="64"/>
        <v>4341.7747500000005</v>
      </c>
      <c r="K26" s="195">
        <f t="shared" ref="K26:L26" si="66">SUM(K24:K25)</f>
        <v>2118.915</v>
      </c>
      <c r="L26" s="195">
        <f t="shared" si="66"/>
        <v>2141.5365000000002</v>
      </c>
      <c r="M26" s="759">
        <f t="shared" ref="M26:R26" si="67">SUM(M24:M25)</f>
        <v>6490.3274999999994</v>
      </c>
      <c r="N26" s="169">
        <f t="shared" si="67"/>
        <v>6483.3112500000007</v>
      </c>
      <c r="O26" s="195">
        <f t="shared" si="67"/>
        <v>2189.5455000000002</v>
      </c>
      <c r="P26" s="195">
        <f t="shared" si="67"/>
        <v>2215.5682499999998</v>
      </c>
      <c r="Q26" s="738">
        <f>SUM(Q24:Q25)</f>
        <v>8679.8729999999996</v>
      </c>
      <c r="R26" s="1113">
        <f t="shared" si="67"/>
        <v>8698.8794999999991</v>
      </c>
      <c r="S26" s="195">
        <f t="shared" ref="S26:T26" si="68">SUM(S24:S25)</f>
        <v>2189.5455000000002</v>
      </c>
      <c r="T26" s="195">
        <f t="shared" si="68"/>
        <v>2229.1095</v>
      </c>
      <c r="U26" s="738">
        <f>SUM(U24:U25)</f>
        <v>10869.4185</v>
      </c>
      <c r="V26" s="1113">
        <f t="shared" ref="V26:X26" si="69">SUM(V24:V25)</f>
        <v>10927.989000000001</v>
      </c>
      <c r="W26" s="195">
        <f t="shared" si="69"/>
        <v>2040.3202499999998</v>
      </c>
      <c r="X26" s="195">
        <f t="shared" si="69"/>
        <v>2160.7597500000002</v>
      </c>
      <c r="Y26" s="741">
        <f t="shared" ref="Y26:Z26" si="70">SUM(Y24:Y25)</f>
        <v>6419.4112500000001</v>
      </c>
      <c r="Z26" s="169">
        <f t="shared" si="70"/>
        <v>6605.4375</v>
      </c>
      <c r="AA26" s="2306">
        <f t="shared" ref="AA26:AF26" si="71">SUM(AA24:AA25)</f>
        <v>12909.73875</v>
      </c>
      <c r="AB26" s="468">
        <f t="shared" si="71"/>
        <v>13088.748750000001</v>
      </c>
      <c r="AC26" s="195">
        <f t="shared" si="71"/>
        <v>2189.5455000000002</v>
      </c>
      <c r="AD26" s="195">
        <f t="shared" si="71"/>
        <v>2198.0962500000001</v>
      </c>
      <c r="AE26" s="738">
        <f t="shared" si="71"/>
        <v>15099.284250000001</v>
      </c>
      <c r="AF26" s="1113">
        <f t="shared" si="71"/>
        <v>15286.844999999999</v>
      </c>
      <c r="AG26" s="195">
        <f t="shared" ref="AG26:AH26" si="72">SUM(AG24:AG25)</f>
        <v>2118.915</v>
      </c>
      <c r="AH26" s="195">
        <f t="shared" si="72"/>
        <v>1420.124</v>
      </c>
      <c r="AI26" s="738">
        <f t="shared" ref="AI26:AN26" si="73">SUM(AI24:AI25)</f>
        <v>17218.199249999998</v>
      </c>
      <c r="AJ26" s="1113">
        <f t="shared" si="73"/>
        <v>16706.968999999997</v>
      </c>
      <c r="AK26" s="195">
        <f t="shared" si="73"/>
        <v>2189.5455000000002</v>
      </c>
      <c r="AL26" s="195">
        <f t="shared" si="73"/>
        <v>1467.4695000000002</v>
      </c>
      <c r="AM26" s="741">
        <f t="shared" si="73"/>
        <v>6498.0059999999994</v>
      </c>
      <c r="AN26" s="169">
        <f t="shared" si="73"/>
        <v>5085.6897500000005</v>
      </c>
      <c r="AO26" s="738">
        <f t="shared" ref="AO26:AT26" si="74">SUM(AO24:AO25)</f>
        <v>19407.744749999998</v>
      </c>
      <c r="AP26" s="1113">
        <f t="shared" si="74"/>
        <v>18174.438499999997</v>
      </c>
      <c r="AQ26" s="195">
        <f t="shared" si="74"/>
        <v>2189.5455000000002</v>
      </c>
      <c r="AR26" s="195">
        <f t="shared" si="74"/>
        <v>1462.9069999999999</v>
      </c>
      <c r="AS26" s="738">
        <f t="shared" si="74"/>
        <v>21597.290249999998</v>
      </c>
      <c r="AT26" s="1113">
        <f t="shared" si="74"/>
        <v>19637.345499999999</v>
      </c>
      <c r="AU26" s="195">
        <f t="shared" ref="AU26:AV26" si="75">SUM(AU24:AU25)</f>
        <v>1977.654</v>
      </c>
      <c r="AV26" s="195">
        <f t="shared" si="75"/>
        <v>1320.8154999999999</v>
      </c>
      <c r="AW26" s="738">
        <f t="shared" ref="AW26:AZ26" si="76">SUM(AW24:AW25)</f>
        <v>23574.94425</v>
      </c>
      <c r="AX26" s="1113">
        <f t="shared" si="76"/>
        <v>20958.161</v>
      </c>
      <c r="AY26" s="195">
        <f t="shared" si="76"/>
        <v>2189.5455000000002</v>
      </c>
      <c r="AZ26" s="195">
        <f t="shared" si="76"/>
        <v>1487.6505</v>
      </c>
      <c r="BA26" s="741">
        <f t="shared" ref="BA26:BF26" si="77">SUM(BA24:BA25)</f>
        <v>6356.7450000000008</v>
      </c>
      <c r="BB26" s="169">
        <f t="shared" si="77"/>
        <v>4271.3729999999996</v>
      </c>
      <c r="BC26" s="2306">
        <f t="shared" si="77"/>
        <v>12854.751</v>
      </c>
      <c r="BD26" s="468">
        <f t="shared" si="77"/>
        <v>9357.062750000001</v>
      </c>
      <c r="BE26" s="738">
        <f t="shared" si="77"/>
        <v>25764.489750000001</v>
      </c>
      <c r="BF26" s="1113">
        <f t="shared" si="77"/>
        <v>22445.8115</v>
      </c>
      <c r="BG26" s="1202">
        <f t="shared" si="11"/>
        <v>0</v>
      </c>
      <c r="BH26" s="1202">
        <f t="shared" si="12"/>
        <v>0</v>
      </c>
      <c r="BI26" s="1202"/>
      <c r="BJ26" s="1202">
        <f t="shared" si="13"/>
        <v>0</v>
      </c>
      <c r="BK26" s="1202">
        <f t="shared" si="14"/>
        <v>0</v>
      </c>
      <c r="BL26" s="26"/>
      <c r="BM26" s="26"/>
      <c r="BN26" s="26"/>
    </row>
    <row r="27" spans="1:66" ht="15" thickBot="1" x14ac:dyDescent="0.35">
      <c r="A27" s="144" t="s">
        <v>470</v>
      </c>
      <c r="B27" s="1729" t="s">
        <v>154</v>
      </c>
      <c r="C27" s="1372" t="s">
        <v>50</v>
      </c>
      <c r="D27" s="1294">
        <f>+D17*D39/100</f>
        <v>20767.194000000003</v>
      </c>
      <c r="E27" s="1106">
        <f>+E17*E39/100</f>
        <v>1769.88</v>
      </c>
      <c r="F27" s="1106">
        <v>1504.6559999999999</v>
      </c>
      <c r="G27" s="1106">
        <f>+G17*G39/100</f>
        <v>1828.876</v>
      </c>
      <c r="H27" s="1106">
        <v>1561.4159999999999</v>
      </c>
      <c r="I27" s="713">
        <f>+E27+G27</f>
        <v>3598.7560000000003</v>
      </c>
      <c r="J27" s="61">
        <f>+F27+H27</f>
        <v>3066.0720000000001</v>
      </c>
      <c r="K27" s="1106">
        <f>+K17*K39/100</f>
        <v>1697.64</v>
      </c>
      <c r="L27" s="1106">
        <v>1487.1120000000001</v>
      </c>
      <c r="M27" s="1107">
        <f>+E27+G27+K27</f>
        <v>5296.3960000000006</v>
      </c>
      <c r="N27" s="83">
        <f>+F27+H27+L27</f>
        <v>4553.1840000000002</v>
      </c>
      <c r="O27" s="1106">
        <f>+O17*O39/100</f>
        <v>1754.2279999999998</v>
      </c>
      <c r="P27" s="1106">
        <v>1526.328</v>
      </c>
      <c r="Q27" s="713">
        <f>+M27+O27</f>
        <v>7050.6240000000007</v>
      </c>
      <c r="R27" s="61">
        <f>+N27+P27</f>
        <v>6079.5120000000006</v>
      </c>
      <c r="S27" s="1106">
        <f>+S17*S39/100</f>
        <v>1754.2279999999998</v>
      </c>
      <c r="T27" s="1106">
        <v>1567.6079999999999</v>
      </c>
      <c r="U27" s="713">
        <f>+Q27+S27</f>
        <v>8804.8520000000008</v>
      </c>
      <c r="V27" s="61">
        <f>+R27+T27</f>
        <v>7647.1200000000008</v>
      </c>
      <c r="W27" s="1106">
        <f>+W17*W39/100</f>
        <v>1663.326</v>
      </c>
      <c r="X27" s="1106">
        <v>1517.04</v>
      </c>
      <c r="Y27" s="754">
        <f>+O27+S27+W27</f>
        <v>5171.7819999999992</v>
      </c>
      <c r="Z27" s="83">
        <f>+P27+T27+X27</f>
        <v>4610.9759999999997</v>
      </c>
      <c r="AA27" s="752">
        <f>+M27+Y27</f>
        <v>10468.178</v>
      </c>
      <c r="AB27" s="752">
        <f>+N27+Z27</f>
        <v>9164.16</v>
      </c>
      <c r="AC27" s="1106">
        <f>+AC17*AC39/100</f>
        <v>1754.2279999999998</v>
      </c>
      <c r="AD27" s="1106">
        <v>1698.8268</v>
      </c>
      <c r="AE27" s="713">
        <f>+AA27+AC27</f>
        <v>12222.405999999999</v>
      </c>
      <c r="AF27" s="61">
        <f>+AB27+AD27</f>
        <v>10862.986800000001</v>
      </c>
      <c r="AG27" s="1106">
        <f>+AG17*AG39/100</f>
        <v>1697.64</v>
      </c>
      <c r="AH27" s="1106">
        <v>1458.732</v>
      </c>
      <c r="AI27" s="713">
        <f>+AE27+AG27</f>
        <v>13920.045999999998</v>
      </c>
      <c r="AJ27" s="61">
        <f>+AF27+AH27</f>
        <v>12321.718800000001</v>
      </c>
      <c r="AK27" s="1106">
        <f>+AK17*AK39/100</f>
        <v>1754.2279999999998</v>
      </c>
      <c r="AL27" s="1106">
        <v>1505.172</v>
      </c>
      <c r="AM27" s="754">
        <f>+AC27+AG27+AK27</f>
        <v>5206.0959999999995</v>
      </c>
      <c r="AN27" s="83">
        <f>+AD27+AH27+AL27</f>
        <v>4662.7307999999994</v>
      </c>
      <c r="AO27" s="753">
        <f>AI27+AK27</f>
        <v>15674.273999999998</v>
      </c>
      <c r="AP27" s="753">
        <f>AJ27+AL27</f>
        <v>13826.890800000001</v>
      </c>
      <c r="AQ27" s="1106">
        <f>+AQ17*AQ39/100</f>
        <v>1754.2279999999998</v>
      </c>
      <c r="AR27" s="1106">
        <v>1517.04</v>
      </c>
      <c r="AS27" s="713">
        <f>+AO27+AQ27</f>
        <v>17428.501999999997</v>
      </c>
      <c r="AT27" s="61">
        <f>+AP27+AR27</f>
        <v>15343.930800000002</v>
      </c>
      <c r="AU27" s="1106">
        <f>+AU17*AU39/100</f>
        <v>1584.4639999999999</v>
      </c>
      <c r="AV27" s="1106">
        <v>1364.3039999999999</v>
      </c>
      <c r="AW27" s="713">
        <f>+AS27+AU27</f>
        <v>19012.965999999997</v>
      </c>
      <c r="AX27" s="61">
        <f>+AT27+AV27</f>
        <v>16708.234800000002</v>
      </c>
      <c r="AY27" s="1106">
        <f>+AY17*AY39/100</f>
        <v>1754.2279999999998</v>
      </c>
      <c r="AZ27" s="1106">
        <v>1567.6079999999999</v>
      </c>
      <c r="BA27" s="754">
        <f>+AQ27+AU27+AY27</f>
        <v>5092.92</v>
      </c>
      <c r="BB27" s="83">
        <f>+AR27+AV27+AZ27</f>
        <v>4448.9520000000002</v>
      </c>
      <c r="BC27" s="752">
        <f t="shared" ref="BC27:BC28" si="78">+AM27+BA27</f>
        <v>10299.016</v>
      </c>
      <c r="BD27" s="752">
        <f t="shared" ref="BD27:BD28" si="79">+AN27+BB27</f>
        <v>9111.6827999999987</v>
      </c>
      <c r="BE27" s="713">
        <f>+AW27+AY27</f>
        <v>20767.193999999996</v>
      </c>
      <c r="BF27" s="61">
        <f>+AX27+AZ27</f>
        <v>18275.842800000002</v>
      </c>
      <c r="BG27" s="1202">
        <f t="shared" si="11"/>
        <v>0</v>
      </c>
      <c r="BH27" s="1202">
        <f t="shared" si="12"/>
        <v>0</v>
      </c>
      <c r="BI27" s="1202"/>
      <c r="BJ27" s="1202">
        <f t="shared" si="13"/>
        <v>0</v>
      </c>
      <c r="BK27" s="1202">
        <f t="shared" si="14"/>
        <v>0</v>
      </c>
      <c r="BL27" s="26"/>
      <c r="BM27" s="26"/>
      <c r="BN27" s="26"/>
    </row>
    <row r="28" spans="1:66" ht="15" thickBot="1" x14ac:dyDescent="0.35">
      <c r="A28" s="144" t="s">
        <v>470</v>
      </c>
      <c r="B28" s="1730" t="s">
        <v>155</v>
      </c>
      <c r="C28" s="1372" t="s">
        <v>50</v>
      </c>
      <c r="D28" s="1415">
        <f>+D18*D39/100</f>
        <v>39349.948750000003</v>
      </c>
      <c r="E28" s="720">
        <f>+E18*E39/100</f>
        <v>3246.4949999999999</v>
      </c>
      <c r="F28" s="720">
        <v>2757.1545000000001</v>
      </c>
      <c r="G28" s="720">
        <f>+G18*G39/100</f>
        <v>3354.7115000000003</v>
      </c>
      <c r="H28" s="720">
        <v>2860.3229999999999</v>
      </c>
      <c r="I28" s="1108">
        <f>+E28+G28</f>
        <v>6601.2065000000002</v>
      </c>
      <c r="J28" s="162">
        <f>+F28+H28</f>
        <v>5617.4775</v>
      </c>
      <c r="K28" s="720">
        <f>+K18*K39/100</f>
        <v>3246.4949999999999</v>
      </c>
      <c r="L28" s="720">
        <v>2795.9609999999998</v>
      </c>
      <c r="M28" s="1538">
        <f>+E28+G28+K28</f>
        <v>9847.7014999999992</v>
      </c>
      <c r="N28" s="83">
        <f>+F28+H28+L28</f>
        <v>8413.4385000000002</v>
      </c>
      <c r="O28" s="720">
        <f>+O18*O39/100</f>
        <v>3354.7115000000003</v>
      </c>
      <c r="P28" s="720">
        <v>2904.8084999999996</v>
      </c>
      <c r="Q28" s="1108">
        <f>+M28+O28</f>
        <v>13202.413</v>
      </c>
      <c r="R28" s="162">
        <f>+N28+P28</f>
        <v>11318.246999999999</v>
      </c>
      <c r="S28" s="720">
        <f>+S18*S39/100</f>
        <v>3354.7115000000003</v>
      </c>
      <c r="T28" s="720">
        <v>2890.6109999999999</v>
      </c>
      <c r="U28" s="1108">
        <f>+Q28+S28</f>
        <v>16557.124500000002</v>
      </c>
      <c r="V28" s="162">
        <f>+R28+T28</f>
        <v>14208.858</v>
      </c>
      <c r="W28" s="720">
        <f>+W18*W39/100</f>
        <v>3097.4212499999999</v>
      </c>
      <c r="X28" s="720">
        <v>3278.4795000000004</v>
      </c>
      <c r="Y28" s="754">
        <f>+O28+S28+W28</f>
        <v>9806.8442500000001</v>
      </c>
      <c r="Z28" s="83">
        <f>+P28+T28+X28</f>
        <v>9073.8990000000013</v>
      </c>
      <c r="AA28" s="752">
        <f>+M28+Y28</f>
        <v>19654.545749999997</v>
      </c>
      <c r="AB28" s="752">
        <f>+N28+Z28</f>
        <v>17487.337500000001</v>
      </c>
      <c r="AC28" s="720">
        <f>+AC18*AC39/100</f>
        <v>3354.7115000000003</v>
      </c>
      <c r="AD28" s="720">
        <v>3136.9849500000005</v>
      </c>
      <c r="AE28" s="1108">
        <f>+AA28+AC28</f>
        <v>23009.257249999999</v>
      </c>
      <c r="AF28" s="162">
        <f>+AB28+AD28</f>
        <v>20624.322450000003</v>
      </c>
      <c r="AG28" s="720">
        <f>+AG18*AG39/100</f>
        <v>3246.4949999999999</v>
      </c>
      <c r="AH28" s="720">
        <v>2801.64</v>
      </c>
      <c r="AI28" s="1108">
        <f>+AE28+AG28</f>
        <v>26255.752249999998</v>
      </c>
      <c r="AJ28" s="162">
        <f>+AF28+AH28</f>
        <v>23425.962450000003</v>
      </c>
      <c r="AK28" s="720">
        <f>+AK18*AK39/100</f>
        <v>3354.7115000000003</v>
      </c>
      <c r="AL28" s="720">
        <v>2897.2365</v>
      </c>
      <c r="AM28" s="754">
        <f>+AC28+AG28+AK28</f>
        <v>9955.9180000000015</v>
      </c>
      <c r="AN28" s="83">
        <f>+AD28+AH28+AL28</f>
        <v>8835.8614500000003</v>
      </c>
      <c r="AO28" s="753">
        <f>AI28+AK28</f>
        <v>29610.463749999999</v>
      </c>
      <c r="AP28" s="753">
        <f>AJ28+AL28</f>
        <v>26323.198950000002</v>
      </c>
      <c r="AQ28" s="720">
        <f>+AQ18*AQ39/100</f>
        <v>3354.7115000000003</v>
      </c>
      <c r="AR28" s="720">
        <v>2871.6809999999996</v>
      </c>
      <c r="AS28" s="1108">
        <f>+AO28+AQ28</f>
        <v>32965.17525</v>
      </c>
      <c r="AT28" s="162">
        <f>+AP28+AR28</f>
        <v>29194.879950000002</v>
      </c>
      <c r="AU28" s="720">
        <f>+AU18*AU39/100</f>
        <v>3030.0619999999999</v>
      </c>
      <c r="AV28" s="720">
        <v>2598.1424999999999</v>
      </c>
      <c r="AW28" s="1108">
        <f>+AS28+AU28</f>
        <v>35995.237249999998</v>
      </c>
      <c r="AX28" s="162">
        <f>+AT28+AV28</f>
        <v>31793.022450000004</v>
      </c>
      <c r="AY28" s="720">
        <f>+AY18*AY39/100</f>
        <v>3354.7115000000003</v>
      </c>
      <c r="AZ28" s="720">
        <v>2895.3434999999999</v>
      </c>
      <c r="BA28" s="754">
        <f>+AQ28+AU28+AY28</f>
        <v>9739.4850000000006</v>
      </c>
      <c r="BB28" s="83">
        <f>+AR28+AV28+AZ28</f>
        <v>8365.1669999999995</v>
      </c>
      <c r="BC28" s="752">
        <f t="shared" si="78"/>
        <v>19695.403000000002</v>
      </c>
      <c r="BD28" s="752">
        <f t="shared" si="79"/>
        <v>17201.028449999998</v>
      </c>
      <c r="BE28" s="1108">
        <f>+AW28+AY28</f>
        <v>39349.948749999996</v>
      </c>
      <c r="BF28" s="162">
        <f>+AX28+AZ28</f>
        <v>34688.365950000007</v>
      </c>
      <c r="BG28" s="1202">
        <f t="shared" si="11"/>
        <v>0</v>
      </c>
      <c r="BH28" s="1202">
        <f t="shared" si="12"/>
        <v>0</v>
      </c>
      <c r="BI28" s="1202"/>
      <c r="BJ28" s="1202">
        <f t="shared" si="13"/>
        <v>0</v>
      </c>
      <c r="BK28" s="1202">
        <f t="shared" si="14"/>
        <v>0</v>
      </c>
      <c r="BL28" s="26"/>
      <c r="BM28" s="26"/>
      <c r="BN28" s="26"/>
    </row>
    <row r="29" spans="1:66" ht="15" thickBot="1" x14ac:dyDescent="0.35">
      <c r="A29" s="144" t="s">
        <v>470</v>
      </c>
      <c r="B29" s="1370" t="s">
        <v>143</v>
      </c>
      <c r="C29" s="1373" t="s">
        <v>50</v>
      </c>
      <c r="D29" s="1416">
        <f t="shared" ref="D29:J29" si="80">SUM(D27:D28)</f>
        <v>60117.142750000006</v>
      </c>
      <c r="E29" s="195">
        <f t="shared" si="80"/>
        <v>5016.375</v>
      </c>
      <c r="F29" s="195">
        <f t="shared" si="80"/>
        <v>4261.8104999999996</v>
      </c>
      <c r="G29" s="195">
        <f t="shared" ref="G29:H29" si="81">SUM(G27:G28)</f>
        <v>5183.5875000000005</v>
      </c>
      <c r="H29" s="195">
        <f t="shared" si="81"/>
        <v>4421.7389999999996</v>
      </c>
      <c r="I29" s="1112">
        <f t="shared" si="80"/>
        <v>10199.962500000001</v>
      </c>
      <c r="J29" s="1113">
        <f t="shared" si="80"/>
        <v>8683.549500000001</v>
      </c>
      <c r="K29" s="195">
        <f t="shared" ref="K29:L29" si="82">SUM(K27:K28)</f>
        <v>4944.1350000000002</v>
      </c>
      <c r="L29" s="195">
        <f t="shared" si="82"/>
        <v>4283.0730000000003</v>
      </c>
      <c r="M29" s="759">
        <f t="shared" ref="M29:R29" si="83">SUM(M27:M28)</f>
        <v>15144.0975</v>
      </c>
      <c r="N29" s="169">
        <f t="shared" si="83"/>
        <v>12966.622500000001</v>
      </c>
      <c r="O29" s="195">
        <f t="shared" si="83"/>
        <v>5108.9395000000004</v>
      </c>
      <c r="P29" s="195">
        <f t="shared" si="83"/>
        <v>4431.1364999999996</v>
      </c>
      <c r="Q29" s="1112">
        <f t="shared" si="83"/>
        <v>20253.037</v>
      </c>
      <c r="R29" s="1113">
        <f t="shared" si="83"/>
        <v>17397.758999999998</v>
      </c>
      <c r="S29" s="195">
        <f t="shared" ref="S29:T29" si="84">SUM(S27:S28)</f>
        <v>5108.9395000000004</v>
      </c>
      <c r="T29" s="195">
        <f t="shared" si="84"/>
        <v>4458.2190000000001</v>
      </c>
      <c r="U29" s="1112">
        <f t="shared" ref="U29:X29" si="85">SUM(U27:U28)</f>
        <v>25361.976500000004</v>
      </c>
      <c r="V29" s="1113">
        <f t="shared" si="85"/>
        <v>21855.978000000003</v>
      </c>
      <c r="W29" s="195">
        <f t="shared" si="85"/>
        <v>4760.7472500000003</v>
      </c>
      <c r="X29" s="195">
        <f t="shared" si="85"/>
        <v>4795.5195000000003</v>
      </c>
      <c r="Y29" s="759">
        <f t="shared" ref="Y29:Z29" si="86">SUM(Y27:Y28)</f>
        <v>14978.626249999999</v>
      </c>
      <c r="Z29" s="169">
        <f t="shared" si="86"/>
        <v>13684.875</v>
      </c>
      <c r="AA29" s="2308">
        <f t="shared" ref="AA29:AF29" si="87">SUM(AA27:AA28)</f>
        <v>30122.723749999997</v>
      </c>
      <c r="AB29" s="468">
        <f t="shared" si="87"/>
        <v>26651.497500000001</v>
      </c>
      <c r="AC29" s="195">
        <f t="shared" si="87"/>
        <v>5108.9395000000004</v>
      </c>
      <c r="AD29" s="195">
        <f t="shared" si="87"/>
        <v>4835.8117500000008</v>
      </c>
      <c r="AE29" s="1112">
        <f t="shared" si="87"/>
        <v>35231.663249999998</v>
      </c>
      <c r="AF29" s="1113">
        <f t="shared" si="87"/>
        <v>31487.309250000006</v>
      </c>
      <c r="AG29" s="195">
        <f t="shared" ref="AG29:AH29" si="88">SUM(AG27:AG28)</f>
        <v>4944.1350000000002</v>
      </c>
      <c r="AH29" s="195">
        <f t="shared" si="88"/>
        <v>4260.3719999999994</v>
      </c>
      <c r="AI29" s="1112">
        <f t="shared" ref="AI29:AN29" si="89">SUM(AI27:AI28)</f>
        <v>40175.798249999993</v>
      </c>
      <c r="AJ29" s="1113">
        <f t="shared" si="89"/>
        <v>35747.681250000001</v>
      </c>
      <c r="AK29" s="195">
        <f t="shared" si="89"/>
        <v>5108.9395000000004</v>
      </c>
      <c r="AL29" s="195">
        <f t="shared" si="89"/>
        <v>4402.4084999999995</v>
      </c>
      <c r="AM29" s="759">
        <f t="shared" si="89"/>
        <v>15162.014000000001</v>
      </c>
      <c r="AN29" s="169">
        <f t="shared" si="89"/>
        <v>13498.59225</v>
      </c>
      <c r="AO29" s="1112">
        <f t="shared" ref="AO29:AT29" si="90">SUM(AO27:AO28)</f>
        <v>45284.73775</v>
      </c>
      <c r="AP29" s="1113">
        <f t="shared" si="90"/>
        <v>40150.089749999999</v>
      </c>
      <c r="AQ29" s="195">
        <f t="shared" si="90"/>
        <v>5108.9395000000004</v>
      </c>
      <c r="AR29" s="195">
        <f t="shared" si="90"/>
        <v>4388.7209999999995</v>
      </c>
      <c r="AS29" s="1112">
        <f t="shared" si="90"/>
        <v>50393.677249999993</v>
      </c>
      <c r="AT29" s="1113">
        <f t="shared" si="90"/>
        <v>44538.810750000004</v>
      </c>
      <c r="AU29" s="195">
        <f t="shared" ref="AU29:AV29" si="91">SUM(AU27:AU28)</f>
        <v>4614.5259999999998</v>
      </c>
      <c r="AV29" s="195">
        <f t="shared" si="91"/>
        <v>3962.4465</v>
      </c>
      <c r="AW29" s="1112">
        <f t="shared" ref="AW29:AZ29" si="92">SUM(AW27:AW28)</f>
        <v>55008.203249999991</v>
      </c>
      <c r="AX29" s="1113">
        <f t="shared" si="92"/>
        <v>48501.25725000001</v>
      </c>
      <c r="AY29" s="195">
        <f t="shared" si="92"/>
        <v>5108.9395000000004</v>
      </c>
      <c r="AZ29" s="195">
        <f t="shared" si="92"/>
        <v>4462.9515000000001</v>
      </c>
      <c r="BA29" s="759">
        <f t="shared" ref="BA29:BF29" si="93">SUM(BA27:BA28)</f>
        <v>14832.405000000001</v>
      </c>
      <c r="BB29" s="169">
        <f t="shared" si="93"/>
        <v>12814.118999999999</v>
      </c>
      <c r="BC29" s="2308">
        <f t="shared" si="93"/>
        <v>29994.419000000002</v>
      </c>
      <c r="BD29" s="468">
        <f t="shared" si="93"/>
        <v>26312.711249999997</v>
      </c>
      <c r="BE29" s="1112">
        <f t="shared" si="93"/>
        <v>60117.142749999992</v>
      </c>
      <c r="BF29" s="1113">
        <f t="shared" si="93"/>
        <v>52964.208750000005</v>
      </c>
      <c r="BG29" s="1202">
        <f t="shared" si="11"/>
        <v>0</v>
      </c>
      <c r="BH29" s="1202">
        <f t="shared" si="12"/>
        <v>0</v>
      </c>
      <c r="BI29" s="1202"/>
      <c r="BJ29" s="1202">
        <f t="shared" si="13"/>
        <v>0</v>
      </c>
      <c r="BK29" s="1202">
        <f t="shared" si="14"/>
        <v>0</v>
      </c>
      <c r="BL29" s="26"/>
      <c r="BM29" s="26"/>
      <c r="BN29" s="26"/>
    </row>
    <row r="30" spans="1:66" ht="15" thickBot="1" x14ac:dyDescent="0.35">
      <c r="A30" s="144" t="s">
        <v>470</v>
      </c>
      <c r="B30" s="1729" t="s">
        <v>156</v>
      </c>
      <c r="C30" s="1372" t="s">
        <v>50</v>
      </c>
      <c r="D30" s="1294">
        <f>+D17*D40/100</f>
        <v>5933.4840000000004</v>
      </c>
      <c r="E30" s="1106">
        <f>+E17*E40/100</f>
        <v>505.68</v>
      </c>
      <c r="F30" s="1106">
        <v>501.55199999999996</v>
      </c>
      <c r="G30" s="1106">
        <f>+G17*G40/100</f>
        <v>522.53599999999994</v>
      </c>
      <c r="H30" s="1106">
        <v>520.47199999999998</v>
      </c>
      <c r="I30" s="713">
        <f>+E30+G30</f>
        <v>1028.2159999999999</v>
      </c>
      <c r="J30" s="61">
        <f>+F30+H30</f>
        <v>1022.0239999999999</v>
      </c>
      <c r="K30" s="1106">
        <f>+K17*K40/100</f>
        <v>485.04</v>
      </c>
      <c r="L30" s="1106">
        <v>495.70400000000001</v>
      </c>
      <c r="M30" s="1107">
        <f>+E30+G30+K30</f>
        <v>1513.2559999999999</v>
      </c>
      <c r="N30" s="83">
        <f>+F30+H30+L30</f>
        <v>1517.7279999999998</v>
      </c>
      <c r="O30" s="1106">
        <f>+O17*O40/100</f>
        <v>501.20799999999997</v>
      </c>
      <c r="P30" s="1106">
        <v>508.77600000000001</v>
      </c>
      <c r="Q30" s="713">
        <f>+M30+O30</f>
        <v>2014.4639999999999</v>
      </c>
      <c r="R30" s="61">
        <f>+N30+P30</f>
        <v>2026.5039999999999</v>
      </c>
      <c r="S30" s="1106">
        <f>+S17*S40/100</f>
        <v>501.20799999999997</v>
      </c>
      <c r="T30" s="1106">
        <v>522.53599999999994</v>
      </c>
      <c r="U30" s="713">
        <f>+Q30+S30</f>
        <v>2515.672</v>
      </c>
      <c r="V30" s="61">
        <f>+R30+T30</f>
        <v>2549.04</v>
      </c>
      <c r="W30" s="1106">
        <f>+W17*W40/100</f>
        <v>475.23599999999999</v>
      </c>
      <c r="X30" s="1106">
        <v>505.68</v>
      </c>
      <c r="Y30" s="754">
        <f>+O30+S30+W30</f>
        <v>1477.652</v>
      </c>
      <c r="Z30" s="83">
        <f>+P30+T30+X30</f>
        <v>1536.992</v>
      </c>
      <c r="AA30" s="752">
        <f>+M30+Y30</f>
        <v>2990.9079999999999</v>
      </c>
      <c r="AB30" s="752">
        <f>+N30+Z30</f>
        <v>3054.72</v>
      </c>
      <c r="AC30" s="1106">
        <f>+AC17*AC40/100</f>
        <v>501.20799999999997</v>
      </c>
      <c r="AD30" s="1106">
        <v>514.79600000000005</v>
      </c>
      <c r="AE30" s="713">
        <f>+AA30+AC30</f>
        <v>3492.116</v>
      </c>
      <c r="AF30" s="61">
        <f>+AB30+AD30</f>
        <v>3569.5159999999996</v>
      </c>
      <c r="AG30" s="1106">
        <f>+AG17*AG40/100</f>
        <v>485.04</v>
      </c>
      <c r="AH30" s="1106">
        <v>486.24400000000003</v>
      </c>
      <c r="AI30" s="713">
        <f>+AE30+AG30</f>
        <v>3977.1559999999999</v>
      </c>
      <c r="AJ30" s="61">
        <f>+AF30+AH30</f>
        <v>4055.7599999999998</v>
      </c>
      <c r="AK30" s="1106">
        <f>+AK17*AK40/100</f>
        <v>501.20799999999997</v>
      </c>
      <c r="AL30" s="1106">
        <v>501.72400000000005</v>
      </c>
      <c r="AM30" s="754">
        <f>+AC30+AG30+AK30</f>
        <v>1487.4560000000001</v>
      </c>
      <c r="AN30" s="83">
        <f>+AD30+AH30+AL30</f>
        <v>1502.7640000000001</v>
      </c>
      <c r="AO30" s="753">
        <f>AI30+AK30</f>
        <v>4478.3639999999996</v>
      </c>
      <c r="AP30" s="753">
        <f>AJ30+AL30</f>
        <v>4557.4839999999995</v>
      </c>
      <c r="AQ30" s="1106">
        <f>+AQ17*AQ40/100</f>
        <v>501.20799999999997</v>
      </c>
      <c r="AR30" s="1106">
        <v>505.68</v>
      </c>
      <c r="AS30" s="713">
        <f>+AO30+AQ30</f>
        <v>4979.5719999999992</v>
      </c>
      <c r="AT30" s="61">
        <f>+AP30+AR30</f>
        <v>5063.1639999999998</v>
      </c>
      <c r="AU30" s="1106">
        <f>+AU17*AU40/100</f>
        <v>452.70400000000001</v>
      </c>
      <c r="AV30" s="1106">
        <v>454.76799999999997</v>
      </c>
      <c r="AW30" s="713">
        <f>+AS30+AU30</f>
        <v>5432.2759999999989</v>
      </c>
      <c r="AX30" s="61">
        <f>+AT30+AV30</f>
        <v>5517.9319999999998</v>
      </c>
      <c r="AY30" s="1106">
        <f>+AY17*AY40/100</f>
        <v>501.20799999999997</v>
      </c>
      <c r="AZ30" s="1106">
        <v>522.53599999999994</v>
      </c>
      <c r="BA30" s="754">
        <f>+AQ30+AU30+AY30</f>
        <v>1455.12</v>
      </c>
      <c r="BB30" s="83">
        <f>+AR30+AV30+AZ30</f>
        <v>1482.9839999999999</v>
      </c>
      <c r="BC30" s="752">
        <f t="shared" ref="BC30:BC31" si="94">+AM30+BA30</f>
        <v>2942.576</v>
      </c>
      <c r="BD30" s="752">
        <f t="shared" ref="BD30:BD31" si="95">+AN30+BB30</f>
        <v>2985.748</v>
      </c>
      <c r="BE30" s="713">
        <f>+AW30+AY30</f>
        <v>5933.4839999999986</v>
      </c>
      <c r="BF30" s="61">
        <f>+AX30+AZ30</f>
        <v>6040.4679999999998</v>
      </c>
      <c r="BG30" s="1202">
        <f t="shared" si="11"/>
        <v>0</v>
      </c>
      <c r="BH30" s="1202">
        <f t="shared" si="12"/>
        <v>0</v>
      </c>
      <c r="BI30" s="1202"/>
      <c r="BJ30" s="1202">
        <f t="shared" si="13"/>
        <v>0</v>
      </c>
      <c r="BK30" s="1202">
        <f t="shared" si="14"/>
        <v>0</v>
      </c>
      <c r="BL30" s="26"/>
      <c r="BM30" s="26"/>
      <c r="BN30" s="26"/>
    </row>
    <row r="31" spans="1:66" ht="15" thickBot="1" x14ac:dyDescent="0.35">
      <c r="A31" s="144" t="s">
        <v>470</v>
      </c>
      <c r="B31" s="1730" t="s">
        <v>157</v>
      </c>
      <c r="C31" s="1372" t="s">
        <v>50</v>
      </c>
      <c r="D31" s="1415">
        <f>+D18*D40/100</f>
        <v>11242.842500000001</v>
      </c>
      <c r="E31" s="720">
        <f>+E18*E40/100</f>
        <v>927.57</v>
      </c>
      <c r="F31" s="720">
        <v>919.05150000000015</v>
      </c>
      <c r="G31" s="720">
        <f>+G18*G40/100</f>
        <v>958.48900000000003</v>
      </c>
      <c r="H31" s="720">
        <v>953.44100000000003</v>
      </c>
      <c r="I31" s="713">
        <f>+E31+G31</f>
        <v>1886.0590000000002</v>
      </c>
      <c r="J31" s="162">
        <f>+F31+H31</f>
        <v>1872.4925000000003</v>
      </c>
      <c r="K31" s="720">
        <f>+K18*K40/100</f>
        <v>927.57</v>
      </c>
      <c r="L31" s="720">
        <v>931.98699999999997</v>
      </c>
      <c r="M31" s="1538">
        <f>+E31+G31+K31</f>
        <v>2813.6290000000004</v>
      </c>
      <c r="N31" s="83">
        <f>+F31+H31+L31</f>
        <v>2804.4795000000004</v>
      </c>
      <c r="O31" s="720">
        <f>+O18*O40/100</f>
        <v>958.48900000000003</v>
      </c>
      <c r="P31" s="720">
        <v>968.26949999999999</v>
      </c>
      <c r="Q31" s="713">
        <f>+M31+O31</f>
        <v>3772.1180000000004</v>
      </c>
      <c r="R31" s="162">
        <f>+N31+P31</f>
        <v>3772.7490000000003</v>
      </c>
      <c r="S31" s="720">
        <f>+S18*S40/100</f>
        <v>958.48900000000003</v>
      </c>
      <c r="T31" s="720">
        <v>963.53700000000003</v>
      </c>
      <c r="U31" s="713">
        <f>+Q31+S31</f>
        <v>4730.607</v>
      </c>
      <c r="V31" s="162">
        <f>+R31+T31</f>
        <v>4736.2860000000001</v>
      </c>
      <c r="W31" s="720">
        <f>+W18*W40/100</f>
        <v>884.97749999999996</v>
      </c>
      <c r="X31" s="720">
        <v>934.82650000000012</v>
      </c>
      <c r="Y31" s="754">
        <f>+O31+S31+W31</f>
        <v>2801.9555</v>
      </c>
      <c r="Z31" s="83">
        <f>+P31+T31+X31</f>
        <v>2866.6330000000003</v>
      </c>
      <c r="AA31" s="752">
        <f>+M31+Y31</f>
        <v>5615.5845000000008</v>
      </c>
      <c r="AB31" s="752">
        <f>+N31+Z31</f>
        <v>5671.1125000000011</v>
      </c>
      <c r="AC31" s="720">
        <f>+AC18*AC40/100</f>
        <v>958.48900000000003</v>
      </c>
      <c r="AD31" s="720">
        <v>950.6015000000001</v>
      </c>
      <c r="AE31" s="713">
        <f>+AA31+AC31</f>
        <v>6574.0735000000004</v>
      </c>
      <c r="AF31" s="162">
        <f>+AB31+AD31</f>
        <v>6621.7140000000009</v>
      </c>
      <c r="AG31" s="720">
        <f>+AG18*AG40/100</f>
        <v>927.57</v>
      </c>
      <c r="AH31" s="720">
        <v>933.88</v>
      </c>
      <c r="AI31" s="713">
        <f>+AE31+AG31</f>
        <v>7501.6435000000001</v>
      </c>
      <c r="AJ31" s="162">
        <f>+AF31+AH31</f>
        <v>7555.594000000001</v>
      </c>
      <c r="AK31" s="720">
        <f>+AK18*AK40/100</f>
        <v>958.48900000000003</v>
      </c>
      <c r="AL31" s="720">
        <v>965.74549999999999</v>
      </c>
      <c r="AM31" s="754">
        <f>+AC31+AG31+AK31</f>
        <v>2844.5480000000002</v>
      </c>
      <c r="AN31" s="83">
        <f>+AD31+AH31+AL31</f>
        <v>2850.2269999999999</v>
      </c>
      <c r="AO31" s="753">
        <f>AI31+AK31</f>
        <v>8460.1324999999997</v>
      </c>
      <c r="AP31" s="753">
        <f>AJ31+AL31</f>
        <v>8521.3395000000019</v>
      </c>
      <c r="AQ31" s="720">
        <f>+AQ18*AQ40/100</f>
        <v>958.48900000000003</v>
      </c>
      <c r="AR31" s="720">
        <v>957.22699999999998</v>
      </c>
      <c r="AS31" s="713">
        <f>+AO31+AQ31</f>
        <v>9418.6214999999993</v>
      </c>
      <c r="AT31" s="162">
        <f>+AP31+AR31</f>
        <v>9478.5665000000026</v>
      </c>
      <c r="AU31" s="720">
        <f>+AU18*AU40/100</f>
        <v>865.73199999999997</v>
      </c>
      <c r="AV31" s="720">
        <v>866.04750000000001</v>
      </c>
      <c r="AW31" s="713">
        <f>+AS31+AU31</f>
        <v>10284.353499999999</v>
      </c>
      <c r="AX31" s="162">
        <f>+AT31+AV31</f>
        <v>10344.614000000003</v>
      </c>
      <c r="AY31" s="720">
        <f>+AY18*AY40/100</f>
        <v>958.48900000000003</v>
      </c>
      <c r="AZ31" s="720">
        <v>965.11450000000002</v>
      </c>
      <c r="BA31" s="754">
        <f>+AQ31+AU31+AY31</f>
        <v>2782.71</v>
      </c>
      <c r="BB31" s="83">
        <f>+AR31+AV31+AZ31</f>
        <v>2788.3890000000001</v>
      </c>
      <c r="BC31" s="752">
        <f t="shared" si="94"/>
        <v>5627.2579999999998</v>
      </c>
      <c r="BD31" s="752">
        <f t="shared" si="95"/>
        <v>5638.616</v>
      </c>
      <c r="BE31" s="713">
        <f>+AW31+AY31</f>
        <v>11242.842499999999</v>
      </c>
      <c r="BF31" s="162">
        <f>+AX31+AZ31</f>
        <v>11309.728500000003</v>
      </c>
      <c r="BG31" s="1202">
        <f t="shared" si="11"/>
        <v>0</v>
      </c>
      <c r="BH31" s="1202">
        <f t="shared" si="12"/>
        <v>0</v>
      </c>
      <c r="BI31" s="1202"/>
      <c r="BJ31" s="1202">
        <f t="shared" si="13"/>
        <v>0</v>
      </c>
      <c r="BK31" s="1202">
        <f t="shared" si="14"/>
        <v>0</v>
      </c>
      <c r="BL31" s="26"/>
      <c r="BM31" s="26"/>
      <c r="BN31" s="26"/>
    </row>
    <row r="32" spans="1:66" ht="15" thickBot="1" x14ac:dyDescent="0.35">
      <c r="A32" s="144" t="s">
        <v>470</v>
      </c>
      <c r="B32" s="1370" t="s">
        <v>144</v>
      </c>
      <c r="C32" s="1373" t="s">
        <v>50</v>
      </c>
      <c r="D32" s="1416">
        <f t="shared" ref="D32:J32" si="96">SUM(D30:D31)</f>
        <v>17176.326500000003</v>
      </c>
      <c r="E32" s="195">
        <f t="shared" si="96"/>
        <v>1433.25</v>
      </c>
      <c r="F32" s="195">
        <f t="shared" si="96"/>
        <v>1420.6035000000002</v>
      </c>
      <c r="G32" s="195">
        <f t="shared" ref="G32:H32" si="97">SUM(G30:G31)</f>
        <v>1481.0250000000001</v>
      </c>
      <c r="H32" s="195">
        <f t="shared" si="97"/>
        <v>1473.913</v>
      </c>
      <c r="I32" s="1112">
        <f t="shared" si="96"/>
        <v>2914.2750000000001</v>
      </c>
      <c r="J32" s="1113">
        <f t="shared" si="96"/>
        <v>2894.5165000000002</v>
      </c>
      <c r="K32" s="195">
        <f t="shared" ref="K32:L32" si="98">SUM(K30:K31)</f>
        <v>1412.6100000000001</v>
      </c>
      <c r="L32" s="195">
        <f t="shared" si="98"/>
        <v>1427.691</v>
      </c>
      <c r="M32" s="759">
        <f t="shared" ref="M32:R32" si="99">SUM(M30:M31)</f>
        <v>4326.8850000000002</v>
      </c>
      <c r="N32" s="169">
        <f t="shared" si="99"/>
        <v>4322.2075000000004</v>
      </c>
      <c r="O32" s="195">
        <f t="shared" si="99"/>
        <v>1459.6970000000001</v>
      </c>
      <c r="P32" s="195">
        <f t="shared" si="99"/>
        <v>1477.0454999999999</v>
      </c>
      <c r="Q32" s="1112">
        <f t="shared" si="99"/>
        <v>5786.5820000000003</v>
      </c>
      <c r="R32" s="1113">
        <f t="shared" si="99"/>
        <v>5799.2530000000006</v>
      </c>
      <c r="S32" s="195">
        <f t="shared" ref="S32:T32" si="100">SUM(S30:S31)</f>
        <v>1459.6970000000001</v>
      </c>
      <c r="T32" s="195">
        <f t="shared" si="100"/>
        <v>1486.0729999999999</v>
      </c>
      <c r="U32" s="1112">
        <f t="shared" ref="U32:X32" si="101">SUM(U30:U31)</f>
        <v>7246.2790000000005</v>
      </c>
      <c r="V32" s="1113">
        <f t="shared" si="101"/>
        <v>7285.326</v>
      </c>
      <c r="W32" s="195">
        <f t="shared" si="101"/>
        <v>1360.2134999999998</v>
      </c>
      <c r="X32" s="195">
        <f t="shared" si="101"/>
        <v>1440.5065000000002</v>
      </c>
      <c r="Y32" s="759">
        <f t="shared" ref="Y32:Z32" si="102">SUM(Y30:Y31)</f>
        <v>4279.6075000000001</v>
      </c>
      <c r="Z32" s="169">
        <f t="shared" si="102"/>
        <v>4403.625</v>
      </c>
      <c r="AA32" s="2308">
        <f t="shared" ref="AA32:AF32" si="103">SUM(AA30:AA31)</f>
        <v>8606.4925000000003</v>
      </c>
      <c r="AB32" s="468">
        <f t="shared" si="103"/>
        <v>8725.8325000000004</v>
      </c>
      <c r="AC32" s="195">
        <f t="shared" si="103"/>
        <v>1459.6970000000001</v>
      </c>
      <c r="AD32" s="195">
        <f t="shared" si="103"/>
        <v>1465.3975</v>
      </c>
      <c r="AE32" s="1112">
        <f t="shared" si="103"/>
        <v>10066.1895</v>
      </c>
      <c r="AF32" s="1113">
        <f t="shared" si="103"/>
        <v>10191.23</v>
      </c>
      <c r="AG32" s="195">
        <f t="shared" ref="AG32:AH32" si="104">SUM(AG30:AG31)</f>
        <v>1412.6100000000001</v>
      </c>
      <c r="AH32" s="195">
        <f t="shared" si="104"/>
        <v>1420.124</v>
      </c>
      <c r="AI32" s="1112">
        <f t="shared" ref="AI32:AN32" si="105">SUM(AI30:AI31)</f>
        <v>11478.799500000001</v>
      </c>
      <c r="AJ32" s="1113">
        <f t="shared" si="105"/>
        <v>11611.354000000001</v>
      </c>
      <c r="AK32" s="195">
        <f t="shared" si="105"/>
        <v>1459.6970000000001</v>
      </c>
      <c r="AL32" s="195">
        <f t="shared" si="105"/>
        <v>1467.4695000000002</v>
      </c>
      <c r="AM32" s="759">
        <f t="shared" si="105"/>
        <v>4332.0040000000008</v>
      </c>
      <c r="AN32" s="169">
        <f t="shared" si="105"/>
        <v>4352.991</v>
      </c>
      <c r="AO32" s="1112">
        <f t="shared" ref="AO32:AT32" si="106">SUM(AO30:AO31)</f>
        <v>12938.496499999999</v>
      </c>
      <c r="AP32" s="1113">
        <f t="shared" si="106"/>
        <v>13078.823500000002</v>
      </c>
      <c r="AQ32" s="195">
        <f t="shared" si="106"/>
        <v>1459.6970000000001</v>
      </c>
      <c r="AR32" s="195">
        <f t="shared" si="106"/>
        <v>1462.9069999999999</v>
      </c>
      <c r="AS32" s="1112">
        <f t="shared" si="106"/>
        <v>14398.193499999998</v>
      </c>
      <c r="AT32" s="1113">
        <f t="shared" si="106"/>
        <v>14541.730500000001</v>
      </c>
      <c r="AU32" s="195">
        <f t="shared" ref="AU32:AV32" si="107">SUM(AU30:AU31)</f>
        <v>1318.4359999999999</v>
      </c>
      <c r="AV32" s="195">
        <f t="shared" si="107"/>
        <v>1320.8154999999999</v>
      </c>
      <c r="AW32" s="1112">
        <f t="shared" ref="AW32:AZ32" si="108">SUM(AW30:AW31)</f>
        <v>15716.629499999999</v>
      </c>
      <c r="AX32" s="1113">
        <f t="shared" si="108"/>
        <v>15862.546000000002</v>
      </c>
      <c r="AY32" s="195">
        <f t="shared" si="108"/>
        <v>1459.6970000000001</v>
      </c>
      <c r="AZ32" s="195">
        <f t="shared" si="108"/>
        <v>1487.6505</v>
      </c>
      <c r="BA32" s="759">
        <f t="shared" ref="BA32:BF32" si="109">SUM(BA30:BA31)</f>
        <v>4237.83</v>
      </c>
      <c r="BB32" s="169">
        <f t="shared" si="109"/>
        <v>4271.3729999999996</v>
      </c>
      <c r="BC32" s="2308">
        <f t="shared" si="109"/>
        <v>8569.8339999999989</v>
      </c>
      <c r="BD32" s="468">
        <f t="shared" si="109"/>
        <v>8624.3639999999996</v>
      </c>
      <c r="BE32" s="1112">
        <f t="shared" si="109"/>
        <v>17176.326499999996</v>
      </c>
      <c r="BF32" s="1113">
        <f t="shared" si="109"/>
        <v>17350.196500000002</v>
      </c>
      <c r="BG32" s="1202">
        <f t="shared" si="11"/>
        <v>0</v>
      </c>
      <c r="BH32" s="1202">
        <f t="shared" si="12"/>
        <v>0</v>
      </c>
      <c r="BI32" s="1202"/>
      <c r="BJ32" s="1202">
        <f t="shared" si="13"/>
        <v>0</v>
      </c>
      <c r="BK32" s="1202">
        <f t="shared" si="14"/>
        <v>0</v>
      </c>
      <c r="BL32" s="26"/>
      <c r="BM32" s="26"/>
      <c r="BN32" s="26"/>
    </row>
    <row r="33" spans="1:66" ht="15" thickBot="1" x14ac:dyDescent="0.35">
      <c r="A33" s="177" t="s">
        <v>470</v>
      </c>
      <c r="B33" s="1729" t="s">
        <v>158</v>
      </c>
      <c r="C33" s="1372" t="s">
        <v>50</v>
      </c>
      <c r="D33" s="1417">
        <f t="shared" ref="D33:F34" si="110">+D21+D24+D27+D30</f>
        <v>450944.78400000004</v>
      </c>
      <c r="E33" s="1109">
        <f t="shared" si="110"/>
        <v>38431.679999999993</v>
      </c>
      <c r="F33" s="1109">
        <f t="shared" si="110"/>
        <v>37867.175999999999</v>
      </c>
      <c r="G33" s="1109">
        <f t="shared" ref="G33:H33" si="111">+G21+G24+G27+G30</f>
        <v>39712.73599999999</v>
      </c>
      <c r="H33" s="1109">
        <f t="shared" si="111"/>
        <v>39295.635999999991</v>
      </c>
      <c r="I33" s="753">
        <f>+E33+G33</f>
        <v>78144.415999999983</v>
      </c>
      <c r="J33" s="61">
        <f>+F33+H33</f>
        <v>77162.811999999991</v>
      </c>
      <c r="K33" s="1109">
        <f t="shared" ref="K33:L33" si="112">+K21+K24+K27+K30</f>
        <v>36863.040000000001</v>
      </c>
      <c r="L33" s="1109">
        <f t="shared" si="112"/>
        <v>37425.651999999995</v>
      </c>
      <c r="M33" s="708">
        <f>+E33+G33+K33</f>
        <v>115007.45599999998</v>
      </c>
      <c r="N33" s="72">
        <f>+F33+H33+L33</f>
        <v>114588.46399999998</v>
      </c>
      <c r="O33" s="1109">
        <f t="shared" ref="O33:P33" si="113">+O21+O24+O27+O30</f>
        <v>38091.807999999997</v>
      </c>
      <c r="P33" s="1109">
        <f t="shared" si="113"/>
        <v>38412.587999999996</v>
      </c>
      <c r="Q33" s="753">
        <f>+M33+O33</f>
        <v>153099.26399999997</v>
      </c>
      <c r="R33" s="61">
        <f>+N33+P33</f>
        <v>153001.05199999997</v>
      </c>
      <c r="S33" s="1109">
        <f t="shared" ref="S33:T33" si="114">+S21+S24+S27+S30</f>
        <v>38091.807999999997</v>
      </c>
      <c r="T33" s="1109">
        <f t="shared" si="114"/>
        <v>39451.467999999993</v>
      </c>
      <c r="U33" s="753">
        <f>+Q33+S33</f>
        <v>191191.07199999996</v>
      </c>
      <c r="V33" s="61">
        <f>+R33+T33</f>
        <v>192452.51999999996</v>
      </c>
      <c r="W33" s="1109">
        <f t="shared" ref="W33:X33" si="115">+W21+W24+W27+W30</f>
        <v>36117.935999999994</v>
      </c>
      <c r="X33" s="1109">
        <f t="shared" si="115"/>
        <v>38178.839999999997</v>
      </c>
      <c r="Y33" s="754">
        <f>+O33+S33+W33</f>
        <v>112301.552</v>
      </c>
      <c r="Z33" s="83">
        <f>+P33+T33+X33</f>
        <v>116042.89599999998</v>
      </c>
      <c r="AA33" s="752">
        <f>+M33+Y33</f>
        <v>227309.00799999997</v>
      </c>
      <c r="AB33" s="752">
        <f>+N33+Z33</f>
        <v>230631.35999999996</v>
      </c>
      <c r="AC33" s="1109">
        <f t="shared" ref="AC33:AD33" si="116">+AC21+AC24+AC27+AC30</f>
        <v>38091.807999999997</v>
      </c>
      <c r="AD33" s="1109">
        <f t="shared" si="116"/>
        <v>38867.098000000013</v>
      </c>
      <c r="AE33" s="753">
        <f>+AA33+AC33</f>
        <v>265400.81599999999</v>
      </c>
      <c r="AF33" s="61">
        <f>+AB33+AD33</f>
        <v>269498.45799999998</v>
      </c>
      <c r="AG33" s="1109">
        <f t="shared" ref="AG33:AH33" si="117">+AG21+AG24+AG27+AG30</f>
        <v>36863.040000000001</v>
      </c>
      <c r="AH33" s="1109">
        <f t="shared" si="117"/>
        <v>36225.177999999993</v>
      </c>
      <c r="AI33" s="753">
        <f>+AE33+AG33</f>
        <v>302263.85599999997</v>
      </c>
      <c r="AJ33" s="61">
        <f>+AF33+AH33</f>
        <v>305723.636</v>
      </c>
      <c r="AK33" s="1109">
        <f t="shared" ref="AK33:AL33" si="118">+AK21+AK24+AK27+AK30</f>
        <v>38091.807999999997</v>
      </c>
      <c r="AL33" s="1109">
        <f t="shared" si="118"/>
        <v>37378.438000000002</v>
      </c>
      <c r="AM33" s="754">
        <f>+AC33+AG33+AK33</f>
        <v>113046.65599999999</v>
      </c>
      <c r="AN33" s="83">
        <f>+AD33+AH33+AL33</f>
        <v>112470.71400000001</v>
      </c>
      <c r="AO33" s="753">
        <f>AI33+AK33</f>
        <v>340355.66399999999</v>
      </c>
      <c r="AP33" s="753">
        <f>AJ33+AL33</f>
        <v>343102.07400000002</v>
      </c>
      <c r="AQ33" s="1109">
        <f t="shared" ref="AQ33:AR33" si="119">+AQ21+AQ24+AQ27+AQ30</f>
        <v>38091.807999999997</v>
      </c>
      <c r="AR33" s="1109">
        <f t="shared" si="119"/>
        <v>37673.159999999996</v>
      </c>
      <c r="AS33" s="753">
        <f>+AO33+AQ33</f>
        <v>378447.47200000001</v>
      </c>
      <c r="AT33" s="61">
        <f>+AP33+AR33</f>
        <v>380775.234</v>
      </c>
      <c r="AU33" s="1109">
        <f t="shared" ref="AU33:AV33" si="120">+AU21+AU24+AU27+AU30</f>
        <v>34405.504000000001</v>
      </c>
      <c r="AV33" s="1109">
        <f t="shared" si="120"/>
        <v>33880.215999999986</v>
      </c>
      <c r="AW33" s="753">
        <f>+AS33+AU33</f>
        <v>412852.97600000002</v>
      </c>
      <c r="AX33" s="61">
        <f>+AT33+AV33</f>
        <v>414655.44999999995</v>
      </c>
      <c r="AY33" s="1109">
        <f t="shared" ref="AY33:AZ33" si="121">+AY21+AY24+AY27+AY30</f>
        <v>38091.807999999997</v>
      </c>
      <c r="AZ33" s="1109">
        <f t="shared" si="121"/>
        <v>38928.931999999993</v>
      </c>
      <c r="BA33" s="754">
        <f>+AQ33+AU33+AY33</f>
        <v>110589.12</v>
      </c>
      <c r="BB33" s="83">
        <f>+AR33+AV33+AZ33</f>
        <v>110482.30799999999</v>
      </c>
      <c r="BC33" s="752">
        <f t="shared" ref="BC33:BC34" si="122">+AM33+BA33</f>
        <v>223635.77599999998</v>
      </c>
      <c r="BD33" s="752">
        <f t="shared" ref="BD33:BD34" si="123">+AN33+BB33</f>
        <v>222953.022</v>
      </c>
      <c r="BE33" s="753">
        <f>+AW33+AY33</f>
        <v>450944.78400000004</v>
      </c>
      <c r="BF33" s="61">
        <f>+AX33+AZ33</f>
        <v>453584.38199999993</v>
      </c>
      <c r="BG33" s="1202">
        <f t="shared" si="11"/>
        <v>0</v>
      </c>
      <c r="BH33" s="1202">
        <f t="shared" si="12"/>
        <v>0</v>
      </c>
      <c r="BI33" s="1202"/>
      <c r="BJ33" s="1202">
        <f t="shared" si="13"/>
        <v>0</v>
      </c>
      <c r="BK33" s="1202">
        <f t="shared" si="14"/>
        <v>0</v>
      </c>
      <c r="BL33" s="26"/>
      <c r="BM33" s="26"/>
      <c r="BN33" s="26"/>
    </row>
    <row r="34" spans="1:66" ht="15" thickBot="1" x14ac:dyDescent="0.35">
      <c r="A34" s="177" t="s">
        <v>470</v>
      </c>
      <c r="B34" s="1730" t="s">
        <v>159</v>
      </c>
      <c r="C34" s="1372" t="s">
        <v>50</v>
      </c>
      <c r="D34" s="1294">
        <f t="shared" si="110"/>
        <v>854456.03</v>
      </c>
      <c r="E34" s="1106">
        <f t="shared" si="110"/>
        <v>70495.320000000007</v>
      </c>
      <c r="F34" s="1106">
        <f t="shared" si="110"/>
        <v>69388.388250000004</v>
      </c>
      <c r="G34" s="1106">
        <f t="shared" ref="G34:H34" si="124">+G22+G25+G28+G31</f>
        <v>72845.164000000019</v>
      </c>
      <c r="H34" s="1106">
        <f t="shared" si="124"/>
        <v>71984.795500000007</v>
      </c>
      <c r="I34" s="758">
        <f>+E34+G34</f>
        <v>143340.48400000003</v>
      </c>
      <c r="J34" s="162">
        <f>+F34+H34</f>
        <v>141373.18375000003</v>
      </c>
      <c r="K34" s="1106">
        <f t="shared" ref="K34:L34" si="125">+K22+K25+K28+K31</f>
        <v>70495.320000000007</v>
      </c>
      <c r="L34" s="1106">
        <f t="shared" si="125"/>
        <v>70365.018499999991</v>
      </c>
      <c r="M34" s="1107">
        <f>+E34+G34+K34</f>
        <v>213835.80400000003</v>
      </c>
      <c r="N34" s="83">
        <f>+F34+H34+L34</f>
        <v>211738.20225000003</v>
      </c>
      <c r="O34" s="1106">
        <f t="shared" ref="O34:P34" si="126">+O22+O25+O28+O31</f>
        <v>72845.164000000019</v>
      </c>
      <c r="P34" s="1106">
        <f t="shared" si="126"/>
        <v>73104.347249999992</v>
      </c>
      <c r="Q34" s="758">
        <f>+M34+O34</f>
        <v>286680.96800000005</v>
      </c>
      <c r="R34" s="162">
        <f>+N34+P34</f>
        <v>284842.54950000002</v>
      </c>
      <c r="S34" s="1106">
        <f t="shared" ref="S34:T34" si="127">+S22+S25+S28+S31</f>
        <v>72845.164000000019</v>
      </c>
      <c r="T34" s="1106">
        <f t="shared" si="127"/>
        <v>72747.0435</v>
      </c>
      <c r="U34" s="758">
        <f>+Q34+S34</f>
        <v>359526.1320000001</v>
      </c>
      <c r="V34" s="162">
        <f>+R34+T34</f>
        <v>357589.59299999999</v>
      </c>
      <c r="W34" s="1106">
        <f t="shared" ref="W34:X34" si="128">+W22+W25+W28+W31</f>
        <v>67258.289999999994</v>
      </c>
      <c r="X34" s="1106">
        <f t="shared" si="128"/>
        <v>70579.400750000001</v>
      </c>
      <c r="Y34" s="754">
        <f>+O34+S34+W34</f>
        <v>212948.61800000002</v>
      </c>
      <c r="Z34" s="83">
        <f>+P34+T34+X34</f>
        <v>216430.79149999999</v>
      </c>
      <c r="AA34" s="752">
        <f>+M34+Y34</f>
        <v>426784.42200000002</v>
      </c>
      <c r="AB34" s="752">
        <f>+N34+Z34</f>
        <v>428168.99375000002</v>
      </c>
      <c r="AC34" s="1106">
        <f t="shared" ref="AC34:AD34" si="129">+AC22+AC25+AC28+AC31</f>
        <v>72845.164000000019</v>
      </c>
      <c r="AD34" s="1106">
        <f t="shared" si="129"/>
        <v>71770.413250000012</v>
      </c>
      <c r="AE34" s="758">
        <f>+AA34+AC34</f>
        <v>499629.58600000001</v>
      </c>
      <c r="AF34" s="162">
        <f>+AB34+AD34</f>
        <v>499939.40700000001</v>
      </c>
      <c r="AG34" s="1106">
        <f t="shared" ref="AG34:AH34" si="130">+AG22+AG25+AG28+AG31</f>
        <v>70495.320000000007</v>
      </c>
      <c r="AH34" s="1106">
        <f t="shared" si="130"/>
        <v>69574.06</v>
      </c>
      <c r="AI34" s="758">
        <f>+AE34+AG34</f>
        <v>570124.90599999996</v>
      </c>
      <c r="AJ34" s="162">
        <f>+AF34+AH34</f>
        <v>569513.46699999995</v>
      </c>
      <c r="AK34" s="1106">
        <f t="shared" ref="AK34:AL34" si="131">+AK22+AK25+AK28+AK31</f>
        <v>72845.164000000019</v>
      </c>
      <c r="AL34" s="1106">
        <f t="shared" si="131"/>
        <v>71948.039750000011</v>
      </c>
      <c r="AM34" s="754">
        <f>+AC34+AG34+AK34</f>
        <v>216185.64800000004</v>
      </c>
      <c r="AN34" s="83">
        <f>+AD34+AH34+AL34</f>
        <v>213292.51300000004</v>
      </c>
      <c r="AO34" s="753">
        <f>AI34+AK34</f>
        <v>642970.06999999995</v>
      </c>
      <c r="AP34" s="753">
        <f>AJ34+AL34</f>
        <v>641461.50674999994</v>
      </c>
      <c r="AQ34" s="1106">
        <f t="shared" ref="AQ34:AR34" si="132">+AQ22+AQ25+AQ28+AQ31</f>
        <v>72845.164000000019</v>
      </c>
      <c r="AR34" s="1106">
        <f t="shared" si="132"/>
        <v>71313.411499999987</v>
      </c>
      <c r="AS34" s="758">
        <f>+AO34+AQ34</f>
        <v>715815.23399999994</v>
      </c>
      <c r="AT34" s="162">
        <f>+AP34+AR34</f>
        <v>712774.91824999987</v>
      </c>
      <c r="AU34" s="1106">
        <f t="shared" ref="AU34:AV34" si="133">+AU22+AU25+AU28+AU31</f>
        <v>65795.631999999998</v>
      </c>
      <c r="AV34" s="1106">
        <f t="shared" si="133"/>
        <v>64520.53875</v>
      </c>
      <c r="AW34" s="758">
        <f>+AS34+AU34</f>
        <v>781610.86599999992</v>
      </c>
      <c r="AX34" s="162">
        <f>+AT34+AV34</f>
        <v>777295.45699999982</v>
      </c>
      <c r="AY34" s="1106">
        <f t="shared" ref="AY34:AZ34" si="134">+AY22+AY25+AY28+AY31</f>
        <v>72845.164000000019</v>
      </c>
      <c r="AZ34" s="1106">
        <f t="shared" si="134"/>
        <v>71901.030249999982</v>
      </c>
      <c r="BA34" s="754">
        <f>+AQ34+AU34+AY34</f>
        <v>211485.96000000005</v>
      </c>
      <c r="BB34" s="83">
        <f>+AR34+AV34+AZ34</f>
        <v>207734.98049999998</v>
      </c>
      <c r="BC34" s="752">
        <f t="shared" si="122"/>
        <v>427671.60800000012</v>
      </c>
      <c r="BD34" s="752">
        <f t="shared" si="123"/>
        <v>421027.49349999998</v>
      </c>
      <c r="BE34" s="758">
        <f>+AW34+AY34</f>
        <v>854456.02999999991</v>
      </c>
      <c r="BF34" s="162">
        <f>+AX34+AZ34</f>
        <v>849196.48724999977</v>
      </c>
      <c r="BG34" s="1202">
        <f t="shared" si="11"/>
        <v>0</v>
      </c>
      <c r="BH34" s="1202">
        <f t="shared" si="12"/>
        <v>0</v>
      </c>
      <c r="BI34" s="1202"/>
      <c r="BJ34" s="1202">
        <f t="shared" si="13"/>
        <v>0</v>
      </c>
      <c r="BK34" s="1202">
        <f t="shared" si="14"/>
        <v>0</v>
      </c>
      <c r="BL34" s="26"/>
      <c r="BM34" s="26"/>
      <c r="BN34" s="26"/>
    </row>
    <row r="35" spans="1:66" ht="15" thickBot="1" x14ac:dyDescent="0.35">
      <c r="A35" s="177" t="s">
        <v>470</v>
      </c>
      <c r="B35" s="1370" t="s">
        <v>145</v>
      </c>
      <c r="C35" s="1735" t="s">
        <v>50</v>
      </c>
      <c r="D35" s="1416">
        <f t="shared" ref="D35:J35" si="135">SUM(D33:D34)</f>
        <v>1305400.814</v>
      </c>
      <c r="E35" s="195">
        <f t="shared" si="135"/>
        <v>108927</v>
      </c>
      <c r="F35" s="195">
        <f t="shared" si="135"/>
        <v>107255.56425</v>
      </c>
      <c r="G35" s="195">
        <f t="shared" ref="G35:H35" si="136">SUM(G33:G34)</f>
        <v>112557.90000000001</v>
      </c>
      <c r="H35" s="195">
        <f t="shared" si="136"/>
        <v>111280.43150000001</v>
      </c>
      <c r="I35" s="738">
        <f t="shared" si="135"/>
        <v>221484.90000000002</v>
      </c>
      <c r="J35" s="1113">
        <f t="shared" si="135"/>
        <v>218535.99575</v>
      </c>
      <c r="K35" s="195">
        <f t="shared" ref="K35:L35" si="137">SUM(K33:K34)</f>
        <v>107358.36000000002</v>
      </c>
      <c r="L35" s="195">
        <f t="shared" si="137"/>
        <v>107790.67049999998</v>
      </c>
      <c r="M35" s="759">
        <f t="shared" ref="M35:R35" si="138">SUM(M33:M34)</f>
        <v>328843.26</v>
      </c>
      <c r="N35" s="169">
        <f t="shared" si="138"/>
        <v>326326.66625000001</v>
      </c>
      <c r="O35" s="195">
        <f t="shared" si="138"/>
        <v>110936.97200000001</v>
      </c>
      <c r="P35" s="195">
        <f t="shared" si="138"/>
        <v>111516.93524999998</v>
      </c>
      <c r="Q35" s="738">
        <f t="shared" si="138"/>
        <v>439780.23200000002</v>
      </c>
      <c r="R35" s="1113">
        <f t="shared" si="138"/>
        <v>437843.60149999999</v>
      </c>
      <c r="S35" s="195">
        <f t="shared" ref="S35:T35" si="139">SUM(S33:S34)</f>
        <v>110936.97200000001</v>
      </c>
      <c r="T35" s="195">
        <f t="shared" si="139"/>
        <v>112198.51149999999</v>
      </c>
      <c r="U35" s="738">
        <f t="shared" ref="U35:X35" si="140">SUM(U33:U34)</f>
        <v>550717.20400000003</v>
      </c>
      <c r="V35" s="1113">
        <f t="shared" si="140"/>
        <v>550042.1129999999</v>
      </c>
      <c r="W35" s="195">
        <f t="shared" si="140"/>
        <v>103376.226</v>
      </c>
      <c r="X35" s="195">
        <f t="shared" si="140"/>
        <v>108758.24075</v>
      </c>
      <c r="Y35" s="741">
        <f t="shared" ref="Y35:Z35" si="141">SUM(Y33:Y34)</f>
        <v>325250.17000000004</v>
      </c>
      <c r="Z35" s="169">
        <f t="shared" si="141"/>
        <v>332473.6875</v>
      </c>
      <c r="AA35" s="2306">
        <f t="shared" ref="AA35:AF35" si="142">SUM(AA33:AA34)</f>
        <v>654093.42999999993</v>
      </c>
      <c r="AB35" s="468">
        <f t="shared" si="142"/>
        <v>658800.35375000001</v>
      </c>
      <c r="AC35" s="195">
        <f t="shared" si="142"/>
        <v>110936.97200000001</v>
      </c>
      <c r="AD35" s="195">
        <f t="shared" si="142"/>
        <v>110637.51125000003</v>
      </c>
      <c r="AE35" s="738">
        <f t="shared" si="142"/>
        <v>765030.402</v>
      </c>
      <c r="AF35" s="1113">
        <f t="shared" si="142"/>
        <v>769437.86499999999</v>
      </c>
      <c r="AG35" s="195">
        <f t="shared" ref="AG35:AH35" si="143">SUM(AG33:AG34)</f>
        <v>107358.36000000002</v>
      </c>
      <c r="AH35" s="195">
        <f t="shared" si="143"/>
        <v>105799.23799999998</v>
      </c>
      <c r="AI35" s="738">
        <f t="shared" ref="AI35:AN35" si="144">SUM(AI33:AI34)</f>
        <v>872388.76199999987</v>
      </c>
      <c r="AJ35" s="1113">
        <f t="shared" si="144"/>
        <v>875237.10299999989</v>
      </c>
      <c r="AK35" s="195">
        <f t="shared" si="144"/>
        <v>110936.97200000001</v>
      </c>
      <c r="AL35" s="195">
        <f t="shared" si="144"/>
        <v>109326.47775000002</v>
      </c>
      <c r="AM35" s="741">
        <f t="shared" si="144"/>
        <v>329232.304</v>
      </c>
      <c r="AN35" s="169">
        <f t="shared" si="144"/>
        <v>325763.22700000007</v>
      </c>
      <c r="AO35" s="738">
        <f t="shared" ref="AO35:AT35" si="145">SUM(AO33:AO34)</f>
        <v>983325.73399999994</v>
      </c>
      <c r="AP35" s="1113">
        <f t="shared" si="145"/>
        <v>984563.58074999996</v>
      </c>
      <c r="AQ35" s="195">
        <f t="shared" si="145"/>
        <v>110936.97200000001</v>
      </c>
      <c r="AR35" s="195">
        <f t="shared" si="145"/>
        <v>108986.57149999999</v>
      </c>
      <c r="AS35" s="738">
        <f t="shared" si="145"/>
        <v>1094262.706</v>
      </c>
      <c r="AT35" s="1113">
        <f t="shared" si="145"/>
        <v>1093550.1522499998</v>
      </c>
      <c r="AU35" s="195">
        <f t="shared" ref="AU35:AV35" si="146">SUM(AU33:AU34)</f>
        <v>100201.136</v>
      </c>
      <c r="AV35" s="195">
        <f t="shared" si="146"/>
        <v>98400.754749999993</v>
      </c>
      <c r="AW35" s="738">
        <f t="shared" ref="AW35:AZ35" si="147">SUM(AW33:AW34)</f>
        <v>1194463.8419999999</v>
      </c>
      <c r="AX35" s="1113">
        <f t="shared" si="147"/>
        <v>1191950.9069999997</v>
      </c>
      <c r="AY35" s="195">
        <f t="shared" si="147"/>
        <v>110936.97200000001</v>
      </c>
      <c r="AZ35" s="195">
        <f t="shared" si="147"/>
        <v>110829.96224999998</v>
      </c>
      <c r="BA35" s="741">
        <f t="shared" ref="BA35:BF35" si="148">SUM(BA33:BA34)</f>
        <v>322075.08000000007</v>
      </c>
      <c r="BB35" s="169">
        <f t="shared" si="148"/>
        <v>318217.28849999997</v>
      </c>
      <c r="BC35" s="2306">
        <f t="shared" si="148"/>
        <v>651307.38400000008</v>
      </c>
      <c r="BD35" s="468">
        <f t="shared" si="148"/>
        <v>643980.51549999998</v>
      </c>
      <c r="BE35" s="738">
        <f t="shared" si="148"/>
        <v>1305400.814</v>
      </c>
      <c r="BF35" s="1113">
        <f t="shared" si="148"/>
        <v>1302780.8692499998</v>
      </c>
      <c r="BG35" s="1202">
        <f t="shared" si="11"/>
        <v>0</v>
      </c>
      <c r="BH35" s="1202">
        <f t="shared" si="12"/>
        <v>0</v>
      </c>
      <c r="BI35" s="1202"/>
      <c r="BJ35" s="1202">
        <f t="shared" si="13"/>
        <v>0</v>
      </c>
      <c r="BK35" s="1202">
        <f t="shared" si="14"/>
        <v>0</v>
      </c>
      <c r="BL35" s="26"/>
      <c r="BM35" s="26"/>
      <c r="BN35" s="26"/>
    </row>
    <row r="36" spans="1:66" ht="16.2" thickBot="1" x14ac:dyDescent="0.35">
      <c r="A36" s="145" t="s">
        <v>470</v>
      </c>
      <c r="B36" s="1394" t="s">
        <v>426</v>
      </c>
      <c r="C36" s="1743"/>
      <c r="D36" s="1395"/>
      <c r="E36" s="1745"/>
      <c r="F36" s="1746"/>
      <c r="G36" s="1745"/>
      <c r="H36" s="1746"/>
      <c r="I36" s="1395"/>
      <c r="J36" s="1395"/>
      <c r="K36" s="1745"/>
      <c r="L36" s="1746"/>
      <c r="M36" s="1745"/>
      <c r="N36" s="1746"/>
      <c r="O36" s="1745"/>
      <c r="P36" s="1746"/>
      <c r="Q36" s="1395"/>
      <c r="R36" s="1395"/>
      <c r="S36" s="1745"/>
      <c r="T36" s="1746"/>
      <c r="U36" s="1395"/>
      <c r="V36" s="1395"/>
      <c r="W36" s="1745"/>
      <c r="X36" s="1746"/>
      <c r="Y36" s="485"/>
      <c r="Z36" s="485"/>
      <c r="AA36" s="2307"/>
      <c r="AB36" s="485"/>
      <c r="AC36" s="1745"/>
      <c r="AD36" s="1746"/>
      <c r="AE36" s="1395"/>
      <c r="AF36" s="1395"/>
      <c r="AG36" s="1745"/>
      <c r="AH36" s="1746"/>
      <c r="AI36" s="1395"/>
      <c r="AJ36" s="1395"/>
      <c r="AK36" s="1745"/>
      <c r="AL36" s="1746"/>
      <c r="AM36" s="485"/>
      <c r="AN36" s="485"/>
      <c r="AO36" s="1395"/>
      <c r="AP36" s="1395"/>
      <c r="AQ36" s="1745"/>
      <c r="AR36" s="1746"/>
      <c r="AS36" s="1395"/>
      <c r="AT36" s="1395"/>
      <c r="AU36" s="1745"/>
      <c r="AV36" s="1746"/>
      <c r="AW36" s="1395"/>
      <c r="AX36" s="1395"/>
      <c r="AY36" s="1745"/>
      <c r="AZ36" s="1746"/>
      <c r="BA36" s="485"/>
      <c r="BB36" s="485"/>
      <c r="BC36" s="2307"/>
      <c r="BD36" s="485"/>
      <c r="BE36" s="1395"/>
      <c r="BF36" s="1395"/>
      <c r="BG36" s="1202">
        <f t="shared" si="11"/>
        <v>0</v>
      </c>
      <c r="BH36" s="1202">
        <f t="shared" si="12"/>
        <v>0</v>
      </c>
      <c r="BI36" s="1202"/>
      <c r="BJ36" s="1202">
        <f t="shared" si="13"/>
        <v>0</v>
      </c>
      <c r="BK36" s="1202">
        <f t="shared" si="14"/>
        <v>0</v>
      </c>
      <c r="BL36" s="26"/>
      <c r="BM36" s="26"/>
      <c r="BN36" s="26"/>
    </row>
    <row r="37" spans="1:66" x14ac:dyDescent="0.3">
      <c r="A37" s="144" t="s">
        <v>470</v>
      </c>
      <c r="B37" s="6640" t="s">
        <v>25</v>
      </c>
      <c r="C37" s="811" t="s">
        <v>49</v>
      </c>
      <c r="D37" s="1429">
        <v>70</v>
      </c>
      <c r="E37" s="1429">
        <v>70</v>
      </c>
      <c r="F37" s="1429">
        <f>+F23/F19*100</f>
        <v>70</v>
      </c>
      <c r="G37" s="1429">
        <v>70</v>
      </c>
      <c r="H37" s="1429">
        <f>+H23/H19*100</f>
        <v>70</v>
      </c>
      <c r="I37" s="1430">
        <f>+$D$37</f>
        <v>70</v>
      </c>
      <c r="J37" s="163">
        <f>+J23/J19*100</f>
        <v>70</v>
      </c>
      <c r="K37" s="1429">
        <v>70</v>
      </c>
      <c r="L37" s="1429">
        <f>+L23/L19*100</f>
        <v>70</v>
      </c>
      <c r="M37" s="1508">
        <f>+$D$37</f>
        <v>70</v>
      </c>
      <c r="N37" s="1508">
        <f>+N23/N19*100</f>
        <v>70</v>
      </c>
      <c r="O37" s="1429">
        <v>70</v>
      </c>
      <c r="P37" s="1429">
        <f>+P23/P19*100</f>
        <v>70</v>
      </c>
      <c r="Q37" s="1430">
        <f>+$D$37</f>
        <v>70</v>
      </c>
      <c r="R37" s="1430">
        <f>+R23/R19*100</f>
        <v>69.999999999999986</v>
      </c>
      <c r="S37" s="1429">
        <v>70</v>
      </c>
      <c r="T37" s="1429">
        <f>+T23/T19*100</f>
        <v>70</v>
      </c>
      <c r="U37" s="1430">
        <f>+$D$37</f>
        <v>70</v>
      </c>
      <c r="V37" s="1430">
        <f>+V23/V19*100</f>
        <v>70</v>
      </c>
      <c r="W37" s="1429">
        <v>70</v>
      </c>
      <c r="X37" s="1429">
        <f>+X23/X19*100</f>
        <v>69.67094907242695</v>
      </c>
      <c r="Y37" s="1546">
        <f>+$D$37</f>
        <v>70</v>
      </c>
      <c r="Z37" s="171">
        <f>+Z23/Z19*100</f>
        <v>69.89236140679553</v>
      </c>
      <c r="AA37" s="1587">
        <f>+$D$37</f>
        <v>70</v>
      </c>
      <c r="AB37" s="473">
        <f>+AB23/AB19*100</f>
        <v>69.945678535543749</v>
      </c>
      <c r="AC37" s="1429">
        <v>70</v>
      </c>
      <c r="AD37" s="1429">
        <f>+AD23/AD19*100</f>
        <v>69.700000000000017</v>
      </c>
      <c r="AE37" s="761">
        <f>+$D$37</f>
        <v>70</v>
      </c>
      <c r="AF37" s="163">
        <f>+AF23/AF19*100</f>
        <v>69.910352405941182</v>
      </c>
      <c r="AG37" s="1429">
        <v>70</v>
      </c>
      <c r="AH37" s="1429">
        <f>+AH23/AH19*100</f>
        <v>69.5</v>
      </c>
      <c r="AI37" s="761">
        <f>+$D$37</f>
        <v>70</v>
      </c>
      <c r="AJ37" s="163">
        <f>+AJ23/AJ19*100</f>
        <v>69.860164348619463</v>
      </c>
      <c r="AK37" s="1429">
        <v>70</v>
      </c>
      <c r="AL37" s="1429">
        <f>+AL23/AL19*100</f>
        <v>69.5</v>
      </c>
      <c r="AM37" s="1546">
        <f>+$D$37</f>
        <v>70</v>
      </c>
      <c r="AN37" s="171">
        <f>+AN23/AN19*100</f>
        <v>69.567328303688214</v>
      </c>
      <c r="AO37" s="761">
        <f>+$D$37</f>
        <v>70</v>
      </c>
      <c r="AP37" s="5316">
        <f>+AP23/AP19*100</f>
        <v>69.819753206395035</v>
      </c>
      <c r="AQ37" s="1429">
        <v>70</v>
      </c>
      <c r="AR37" s="1429">
        <f>+AR23/AR19*100</f>
        <v>69.499999999999986</v>
      </c>
      <c r="AS37" s="761">
        <f>+$D$37</f>
        <v>70</v>
      </c>
      <c r="AT37" s="5316">
        <f>+AT23/AT19*100</f>
        <v>69.787585837875326</v>
      </c>
      <c r="AU37" s="1429">
        <v>70</v>
      </c>
      <c r="AV37" s="1429">
        <f>+AV23/AV19*100</f>
        <v>69.5</v>
      </c>
      <c r="AW37" s="761">
        <f>+$D$37</f>
        <v>70</v>
      </c>
      <c r="AX37" s="163">
        <f>+AX23/AX19*100</f>
        <v>69.76363962947687</v>
      </c>
      <c r="AY37" s="1429">
        <v>70</v>
      </c>
      <c r="AZ37" s="1429">
        <f>+AZ23/AZ19*100</f>
        <v>69.5</v>
      </c>
      <c r="BA37" s="1546">
        <f>+$D$37</f>
        <v>70</v>
      </c>
      <c r="BB37" s="171">
        <f>+BB23/BB19*100</f>
        <v>69.499999999999986</v>
      </c>
      <c r="BC37" s="1587">
        <f>+$D$37</f>
        <v>70</v>
      </c>
      <c r="BD37" s="473">
        <f>+BD23/BD19*100</f>
        <v>69.533982737741567</v>
      </c>
      <c r="BE37" s="761">
        <f>+$D$37</f>
        <v>70</v>
      </c>
      <c r="BF37" s="163">
        <f>+BF23/BF19*100</f>
        <v>69.741034489148277</v>
      </c>
      <c r="BG37" s="1202"/>
      <c r="BH37" s="1202"/>
      <c r="BI37" s="1202"/>
      <c r="BJ37" s="1202"/>
      <c r="BK37" s="1202"/>
      <c r="BL37" s="26"/>
      <c r="BM37" s="26"/>
      <c r="BN37" s="26"/>
    </row>
    <row r="38" spans="1:66" x14ac:dyDescent="0.3">
      <c r="A38" s="144" t="s">
        <v>470</v>
      </c>
      <c r="B38" s="1739" t="s">
        <v>1</v>
      </c>
      <c r="C38" s="2546" t="s">
        <v>49</v>
      </c>
      <c r="D38" s="2794">
        <v>1.5</v>
      </c>
      <c r="E38" s="2794">
        <v>1.5</v>
      </c>
      <c r="F38" s="2794">
        <f>+F26/F19*100</f>
        <v>1.4999999999999998</v>
      </c>
      <c r="G38" s="2794">
        <v>1.5</v>
      </c>
      <c r="H38" s="2794">
        <f>+H26/H19*100</f>
        <v>1.5</v>
      </c>
      <c r="I38" s="3058">
        <f>+$D$38</f>
        <v>1.5</v>
      </c>
      <c r="J38" s="105">
        <f>+J26/J19*100</f>
        <v>1.5000000000000002</v>
      </c>
      <c r="K38" s="2794">
        <v>1.5</v>
      </c>
      <c r="L38" s="2794">
        <f>+L26/L19*100</f>
        <v>1.5000000000000002</v>
      </c>
      <c r="M38" s="348">
        <f>+$D$38</f>
        <v>1.5</v>
      </c>
      <c r="N38" s="348">
        <f>+N26/N19*100</f>
        <v>1.5000000000000002</v>
      </c>
      <c r="O38" s="2794">
        <v>1.5</v>
      </c>
      <c r="P38" s="2794">
        <f>+P26/P19*100</f>
        <v>1.4999999999999998</v>
      </c>
      <c r="Q38" s="261">
        <f>+$D$38</f>
        <v>1.5</v>
      </c>
      <c r="R38" s="261">
        <f>+R26/R19*100</f>
        <v>1.4999999999999998</v>
      </c>
      <c r="S38" s="2794">
        <v>1.5</v>
      </c>
      <c r="T38" s="2794">
        <f>+T26/T19*100</f>
        <v>1.5000000000000002</v>
      </c>
      <c r="U38" s="261">
        <f>+$D$38</f>
        <v>1.5</v>
      </c>
      <c r="V38" s="261">
        <f>+V26/V19*100</f>
        <v>1.5</v>
      </c>
      <c r="W38" s="2794">
        <v>1.5</v>
      </c>
      <c r="X38" s="2794">
        <f>+X26/X19*100</f>
        <v>1.5</v>
      </c>
      <c r="Y38" s="76">
        <f>+$D$38</f>
        <v>1.5</v>
      </c>
      <c r="Z38" s="111">
        <f>+Z26/Z19*100</f>
        <v>1.4999999999999998</v>
      </c>
      <c r="AA38" s="662">
        <f>+$D$38</f>
        <v>1.5</v>
      </c>
      <c r="AB38" s="469">
        <f>+AB26/AB19*100</f>
        <v>1.5000000000000002</v>
      </c>
      <c r="AC38" s="2794">
        <v>1.5</v>
      </c>
      <c r="AD38" s="2794">
        <f>+AD26/AD19*100</f>
        <v>1.5000000000000002</v>
      </c>
      <c r="AE38" s="52">
        <f>+$D$38</f>
        <v>1.5</v>
      </c>
      <c r="AF38" s="105">
        <f>+AF26/AF19*100</f>
        <v>1.5</v>
      </c>
      <c r="AG38" s="2794">
        <v>1.5</v>
      </c>
      <c r="AH38" s="2794">
        <f>+AH26/AH19*100</f>
        <v>1</v>
      </c>
      <c r="AI38" s="52">
        <f>+$D$38</f>
        <v>1.5</v>
      </c>
      <c r="AJ38" s="105">
        <f>+AJ26/AJ19*100</f>
        <v>1.4388476141542148</v>
      </c>
      <c r="AK38" s="2794">
        <v>1.5</v>
      </c>
      <c r="AL38" s="2794">
        <f>+AL26/AL19*100</f>
        <v>1</v>
      </c>
      <c r="AM38" s="76">
        <f>+$D$38</f>
        <v>1.5</v>
      </c>
      <c r="AN38" s="111">
        <f>+AN26/AN19*100</f>
        <v>1.1683207592204994</v>
      </c>
      <c r="AO38" s="52">
        <f>+$D$38</f>
        <v>1.5</v>
      </c>
      <c r="AP38" s="105">
        <f>+AP26/AP19*100</f>
        <v>1.3896080561068811</v>
      </c>
      <c r="AQ38" s="2794">
        <v>1.5</v>
      </c>
      <c r="AR38" s="2794">
        <f>+AR26/AR19*100</f>
        <v>0.99999999999999989</v>
      </c>
      <c r="AS38" s="52">
        <f>+$D$38</f>
        <v>1.5</v>
      </c>
      <c r="AT38" s="105">
        <f>+AT26/AT19*100</f>
        <v>1.3504132468965777</v>
      </c>
      <c r="AU38" s="2794">
        <v>1.5</v>
      </c>
      <c r="AV38" s="2794">
        <f>+AV26/AV19*100</f>
        <v>1</v>
      </c>
      <c r="AW38" s="52">
        <f>+$D$38</f>
        <v>1.5</v>
      </c>
      <c r="AX38" s="105">
        <f>+AX26/AX19*100</f>
        <v>1.3212356326657775</v>
      </c>
      <c r="AY38" s="2794">
        <v>1.5</v>
      </c>
      <c r="AZ38" s="2794">
        <f>+AZ26/AZ19*100</f>
        <v>1</v>
      </c>
      <c r="BA38" s="76">
        <f>+$D$38</f>
        <v>1.5</v>
      </c>
      <c r="BB38" s="111">
        <f>+BB26/BB19*100</f>
        <v>0.99999999999999989</v>
      </c>
      <c r="BC38" s="662">
        <f>+$D$38</f>
        <v>1.5</v>
      </c>
      <c r="BD38" s="469">
        <f>+BD26/BD19*100</f>
        <v>1.0849568443539719</v>
      </c>
      <c r="BE38" s="52">
        <f>+$D$38</f>
        <v>1.5</v>
      </c>
      <c r="BF38" s="105">
        <f>+BF26/BF19*100</f>
        <v>1.2936920627959458</v>
      </c>
      <c r="BG38" s="1202"/>
      <c r="BH38" s="1202"/>
      <c r="BI38" s="1202"/>
      <c r="BJ38" s="1202"/>
      <c r="BK38" s="1202"/>
      <c r="BL38" s="26"/>
      <c r="BM38" s="26"/>
      <c r="BN38" s="26"/>
    </row>
    <row r="39" spans="1:66" x14ac:dyDescent="0.3">
      <c r="A39" s="144" t="s">
        <v>470</v>
      </c>
      <c r="B39" s="1739" t="s">
        <v>26</v>
      </c>
      <c r="C39" s="2546" t="s">
        <v>49</v>
      </c>
      <c r="D39" s="2794">
        <v>3.5</v>
      </c>
      <c r="E39" s="2794">
        <v>3.5</v>
      </c>
      <c r="F39" s="2794">
        <f>+F29/F19*100</f>
        <v>2.9999999999999996</v>
      </c>
      <c r="G39" s="2794">
        <v>3.5</v>
      </c>
      <c r="H39" s="2794">
        <f>+H29/H19*100</f>
        <v>3</v>
      </c>
      <c r="I39" s="3058">
        <f>+$D$39</f>
        <v>3.5</v>
      </c>
      <c r="J39" s="105">
        <f>+J29/J19*100</f>
        <v>3.0000000000000004</v>
      </c>
      <c r="K39" s="2794">
        <v>3.5</v>
      </c>
      <c r="L39" s="2794">
        <f>+L29/L19*100</f>
        <v>3.0000000000000004</v>
      </c>
      <c r="M39" s="348">
        <f>+$D$39</f>
        <v>3.5</v>
      </c>
      <c r="N39" s="348">
        <f>+N29/N19*100</f>
        <v>3.0000000000000004</v>
      </c>
      <c r="O39" s="2794">
        <v>3.5</v>
      </c>
      <c r="P39" s="2794">
        <f>+P29/P19*100</f>
        <v>2.9999999999999996</v>
      </c>
      <c r="Q39" s="261">
        <f>+$D$39</f>
        <v>3.5</v>
      </c>
      <c r="R39" s="261">
        <f>+R29/R19*100</f>
        <v>2.9999999999999996</v>
      </c>
      <c r="S39" s="2794">
        <v>3.5</v>
      </c>
      <c r="T39" s="2794">
        <f>+T29/T19*100</f>
        <v>3.0000000000000004</v>
      </c>
      <c r="U39" s="261">
        <f>+$D$39</f>
        <v>3.5</v>
      </c>
      <c r="V39" s="261">
        <f>+V29/V19*100</f>
        <v>3</v>
      </c>
      <c r="W39" s="2794">
        <v>3.5</v>
      </c>
      <c r="X39" s="2794">
        <f>+X29/X19*100</f>
        <v>3.3290509275730442</v>
      </c>
      <c r="Y39" s="76">
        <f>+$D$39</f>
        <v>3.5</v>
      </c>
      <c r="Z39" s="111">
        <f>+Z29/Z19*100</f>
        <v>3.1076385932044617</v>
      </c>
      <c r="AA39" s="662">
        <f>+$D$39</f>
        <v>3.5</v>
      </c>
      <c r="AB39" s="469">
        <f>+AB29/AB19*100</f>
        <v>3.0543214644562569</v>
      </c>
      <c r="AC39" s="2794">
        <v>3.5</v>
      </c>
      <c r="AD39" s="2794">
        <f>+AD29/AD19*100</f>
        <v>3.3000000000000007</v>
      </c>
      <c r="AE39" s="52">
        <f>+$D$39</f>
        <v>3.5</v>
      </c>
      <c r="AF39" s="105">
        <f>+AF29/AF19*100</f>
        <v>3.089647594058814</v>
      </c>
      <c r="AG39" s="2794">
        <v>3.5</v>
      </c>
      <c r="AH39" s="2794">
        <f>+AH29/AH19*100</f>
        <v>2.9999999999999996</v>
      </c>
      <c r="AI39" s="52">
        <f>+$D$39</f>
        <v>3.5</v>
      </c>
      <c r="AJ39" s="105">
        <f>+AJ29/AJ19*100</f>
        <v>3.0786832655347518</v>
      </c>
      <c r="AK39" s="2794">
        <v>3.5</v>
      </c>
      <c r="AL39" s="2794">
        <f>+AL29/AL19*100</f>
        <v>2.9999999999999996</v>
      </c>
      <c r="AM39" s="76">
        <f>+$D$39</f>
        <v>3.5</v>
      </c>
      <c r="AN39" s="111">
        <f>+AN29/AN19*100</f>
        <v>3.1009924555322996</v>
      </c>
      <c r="AO39" s="52">
        <f>+$D$39</f>
        <v>3.5</v>
      </c>
      <c r="AP39" s="105">
        <f>+AP29/AP19*100</f>
        <v>3.0698548497118261</v>
      </c>
      <c r="AQ39" s="2794">
        <v>3.5</v>
      </c>
      <c r="AR39" s="2794">
        <f>+AR29/AR19*100</f>
        <v>2.9999999999999996</v>
      </c>
      <c r="AS39" s="52">
        <f>+$D$39</f>
        <v>3.5</v>
      </c>
      <c r="AT39" s="105">
        <f>+AT29/AT19*100</f>
        <v>3.0628274090212302</v>
      </c>
      <c r="AU39" s="2794">
        <v>3.5</v>
      </c>
      <c r="AV39" s="2794">
        <f>+AV29/AV19*100</f>
        <v>3.0000000000000004</v>
      </c>
      <c r="AW39" s="52">
        <f>+$D$39</f>
        <v>3.5</v>
      </c>
      <c r="AX39" s="105">
        <f>+AX29/AX19*100</f>
        <v>3.057596003188896</v>
      </c>
      <c r="AY39" s="2794">
        <v>3.5</v>
      </c>
      <c r="AZ39" s="2794">
        <f>+AZ29/AZ19*100</f>
        <v>3.0000000000000004</v>
      </c>
      <c r="BA39" s="76">
        <f>+$D$39</f>
        <v>3.5</v>
      </c>
      <c r="BB39" s="111">
        <f>+BB29/BB19*100</f>
        <v>2.9999999999999996</v>
      </c>
      <c r="BC39" s="662">
        <f>+$D$39</f>
        <v>3.5</v>
      </c>
      <c r="BD39" s="469">
        <f>+BD29/BD19*100</f>
        <v>3.0509741066123826</v>
      </c>
      <c r="BE39" s="52">
        <f>+$D$39</f>
        <v>3.5</v>
      </c>
      <c r="BF39" s="105">
        <f>+BF29/BF19*100</f>
        <v>3.0526575736476529</v>
      </c>
      <c r="BG39" s="1202"/>
      <c r="BH39" s="1202"/>
      <c r="BI39" s="1202"/>
      <c r="BJ39" s="1202"/>
      <c r="BK39" s="1202"/>
      <c r="BL39" s="26"/>
      <c r="BM39" s="26"/>
      <c r="BN39" s="26"/>
    </row>
    <row r="40" spans="1:66" ht="15.9" customHeight="1" thickBot="1" x14ac:dyDescent="0.35">
      <c r="A40" s="144" t="s">
        <v>470</v>
      </c>
      <c r="B40" s="1741" t="s">
        <v>177</v>
      </c>
      <c r="C40" s="2839" t="s">
        <v>49</v>
      </c>
      <c r="D40" s="3124">
        <v>1</v>
      </c>
      <c r="E40" s="3124">
        <v>1</v>
      </c>
      <c r="F40" s="3124">
        <f>+F32/F19*100</f>
        <v>1</v>
      </c>
      <c r="G40" s="3124">
        <v>1</v>
      </c>
      <c r="H40" s="3124">
        <f>+H32/H19*100</f>
        <v>1</v>
      </c>
      <c r="I40" s="3067">
        <f>+$D$40</f>
        <v>1</v>
      </c>
      <c r="J40" s="106">
        <f>+J32/J19*100</f>
        <v>1</v>
      </c>
      <c r="K40" s="3124">
        <v>1</v>
      </c>
      <c r="L40" s="3124">
        <f>+L32/L19*100</f>
        <v>1.0000000000000002</v>
      </c>
      <c r="M40" s="989">
        <f>+$D$40</f>
        <v>1</v>
      </c>
      <c r="N40" s="989">
        <f>+N32/N19*100</f>
        <v>1</v>
      </c>
      <c r="O40" s="3124">
        <v>1</v>
      </c>
      <c r="P40" s="3124">
        <f>+P32/P19*100</f>
        <v>0.99999999999999989</v>
      </c>
      <c r="Q40" s="598">
        <f>+$D$40</f>
        <v>1</v>
      </c>
      <c r="R40" s="598">
        <f>+R32/R19*100</f>
        <v>1</v>
      </c>
      <c r="S40" s="3124">
        <v>1</v>
      </c>
      <c r="T40" s="3124">
        <f>+T32/T19*100</f>
        <v>1</v>
      </c>
      <c r="U40" s="598">
        <f>+$D$40</f>
        <v>1</v>
      </c>
      <c r="V40" s="598">
        <f>+V32/V19*100</f>
        <v>0.99999999999999989</v>
      </c>
      <c r="W40" s="3124">
        <v>1</v>
      </c>
      <c r="X40" s="3124">
        <f>+X32/X19*100</f>
        <v>1</v>
      </c>
      <c r="Y40" s="1547">
        <f>+$D$40</f>
        <v>1</v>
      </c>
      <c r="Z40" s="112">
        <f>+Z32/Z19*100</f>
        <v>0.99999999999999989</v>
      </c>
      <c r="AA40" s="1588">
        <f>+$D$40</f>
        <v>1</v>
      </c>
      <c r="AB40" s="474">
        <f>+AB32/AB19*100</f>
        <v>1</v>
      </c>
      <c r="AC40" s="3124">
        <v>1</v>
      </c>
      <c r="AD40" s="3124">
        <f>+AD32/AD19*100</f>
        <v>1</v>
      </c>
      <c r="AE40" s="763">
        <f>+$D$40</f>
        <v>1</v>
      </c>
      <c r="AF40" s="106">
        <f>+AF32/AF19*100</f>
        <v>1</v>
      </c>
      <c r="AG40" s="3124">
        <v>1</v>
      </c>
      <c r="AH40" s="3124">
        <f>+AH32/AH19*100</f>
        <v>1</v>
      </c>
      <c r="AI40" s="763">
        <f>+$D$40</f>
        <v>1</v>
      </c>
      <c r="AJ40" s="106">
        <f>+AJ32/AJ19*100</f>
        <v>1.0000000000000002</v>
      </c>
      <c r="AK40" s="3124">
        <v>1</v>
      </c>
      <c r="AL40" s="3124">
        <f>+AL32/AL19*100</f>
        <v>1</v>
      </c>
      <c r="AM40" s="1547">
        <f>+$D$40</f>
        <v>1</v>
      </c>
      <c r="AN40" s="112">
        <f>+AN32/AN19*100</f>
        <v>1</v>
      </c>
      <c r="AO40" s="763">
        <f>+$D$40</f>
        <v>1</v>
      </c>
      <c r="AP40" s="106">
        <f>+AP32/AP19*100</f>
        <v>1</v>
      </c>
      <c r="AQ40" s="3124">
        <v>1</v>
      </c>
      <c r="AR40" s="3124">
        <f>+AR32/AR19*100</f>
        <v>0.99999999999999989</v>
      </c>
      <c r="AS40" s="763">
        <f>+$D$40</f>
        <v>1</v>
      </c>
      <c r="AT40" s="106">
        <f>+AT32/AT19*100</f>
        <v>0.99999999999999989</v>
      </c>
      <c r="AU40" s="3124">
        <v>1</v>
      </c>
      <c r="AV40" s="3124">
        <f>+AV32/AV19*100</f>
        <v>1</v>
      </c>
      <c r="AW40" s="763">
        <f>+$D$40</f>
        <v>1</v>
      </c>
      <c r="AX40" s="106">
        <f>+AX32/AX19*100</f>
        <v>1</v>
      </c>
      <c r="AY40" s="3124">
        <v>1</v>
      </c>
      <c r="AZ40" s="3124">
        <f>+AZ32/AZ19*100</f>
        <v>1</v>
      </c>
      <c r="BA40" s="1547">
        <f>+$D$40</f>
        <v>1</v>
      </c>
      <c r="BB40" s="112">
        <f>+BB32/BB19*100</f>
        <v>0.99999999999999989</v>
      </c>
      <c r="BC40" s="1588">
        <f>+$D$40</f>
        <v>1</v>
      </c>
      <c r="BD40" s="474">
        <f>+BD32/BD19*100</f>
        <v>0.99999999999999989</v>
      </c>
      <c r="BE40" s="763">
        <f>+$D$40</f>
        <v>1</v>
      </c>
      <c r="BF40" s="106">
        <f>+BF32/BF19*100</f>
        <v>1</v>
      </c>
      <c r="BG40" s="1202"/>
      <c r="BH40" s="1202"/>
      <c r="BI40" s="1202"/>
      <c r="BJ40" s="1202"/>
      <c r="BK40" s="1202"/>
      <c r="BL40" s="26"/>
      <c r="BM40" s="26"/>
      <c r="BN40" s="26"/>
    </row>
    <row r="41" spans="1:66" ht="16.2" thickBot="1" x14ac:dyDescent="0.35">
      <c r="A41" s="144" t="s">
        <v>470</v>
      </c>
      <c r="B41" s="1742" t="s">
        <v>178</v>
      </c>
      <c r="C41" s="1169" t="s">
        <v>49</v>
      </c>
      <c r="D41" s="108">
        <f t="shared" ref="D41:J41" si="149">SUM(D37:D40)</f>
        <v>76</v>
      </c>
      <c r="E41" s="108">
        <f t="shared" si="149"/>
        <v>76</v>
      </c>
      <c r="F41" s="108">
        <f t="shared" si="149"/>
        <v>75.5</v>
      </c>
      <c r="G41" s="108">
        <f t="shared" ref="G41:H41" si="150">SUM(G37:G40)</f>
        <v>76</v>
      </c>
      <c r="H41" s="108">
        <f t="shared" si="150"/>
        <v>75.5</v>
      </c>
      <c r="I41" s="1170">
        <f t="shared" si="149"/>
        <v>76</v>
      </c>
      <c r="J41" s="41">
        <f t="shared" si="149"/>
        <v>75.5</v>
      </c>
      <c r="K41" s="108">
        <f t="shared" ref="K41:L41" si="151">SUM(K37:K40)</f>
        <v>76</v>
      </c>
      <c r="L41" s="108">
        <f t="shared" si="151"/>
        <v>75.5</v>
      </c>
      <c r="M41" s="1539">
        <f t="shared" ref="M41:R41" si="152">SUM(M37:M40)</f>
        <v>76</v>
      </c>
      <c r="N41" s="1539">
        <f t="shared" si="152"/>
        <v>75.5</v>
      </c>
      <c r="O41" s="108">
        <f t="shared" si="152"/>
        <v>76</v>
      </c>
      <c r="P41" s="108">
        <f t="shared" si="152"/>
        <v>75.5</v>
      </c>
      <c r="Q41" s="1170">
        <f t="shared" si="152"/>
        <v>76</v>
      </c>
      <c r="R41" s="1170">
        <f t="shared" si="152"/>
        <v>75.499999999999986</v>
      </c>
      <c r="S41" s="108">
        <f t="shared" ref="S41:T41" si="153">SUM(S37:S40)</f>
        <v>76</v>
      </c>
      <c r="T41" s="108">
        <f t="shared" si="153"/>
        <v>75.5</v>
      </c>
      <c r="U41" s="1170">
        <f t="shared" ref="U41:X41" si="154">SUM(U37:U40)</f>
        <v>76</v>
      </c>
      <c r="V41" s="1170">
        <f t="shared" si="154"/>
        <v>75.5</v>
      </c>
      <c r="W41" s="108">
        <f t="shared" si="154"/>
        <v>76</v>
      </c>
      <c r="X41" s="108">
        <f t="shared" si="154"/>
        <v>75.5</v>
      </c>
      <c r="Y41" s="765">
        <f t="shared" ref="Y41:Z41" si="155">SUM(Y37:Y40)</f>
        <v>76</v>
      </c>
      <c r="Z41" s="70">
        <f t="shared" si="155"/>
        <v>75.499999999999986</v>
      </c>
      <c r="AA41" s="2309">
        <f t="shared" ref="AA41:AF41" si="156">SUM(AA37:AA40)</f>
        <v>76</v>
      </c>
      <c r="AB41" s="456">
        <f t="shared" si="156"/>
        <v>75.5</v>
      </c>
      <c r="AC41" s="108">
        <f t="shared" si="156"/>
        <v>76</v>
      </c>
      <c r="AD41" s="108">
        <f t="shared" si="156"/>
        <v>75.500000000000014</v>
      </c>
      <c r="AE41" s="764">
        <f t="shared" si="156"/>
        <v>76</v>
      </c>
      <c r="AF41" s="41">
        <f t="shared" si="156"/>
        <v>75.5</v>
      </c>
      <c r="AG41" s="108">
        <f t="shared" ref="AG41:AH41" si="157">SUM(AG37:AG40)</f>
        <v>76</v>
      </c>
      <c r="AH41" s="108">
        <f t="shared" si="157"/>
        <v>74.5</v>
      </c>
      <c r="AI41" s="764">
        <f t="shared" ref="AI41:AN41" si="158">SUM(AI37:AI40)</f>
        <v>76</v>
      </c>
      <c r="AJ41" s="41">
        <f t="shared" si="158"/>
        <v>75.377695228308426</v>
      </c>
      <c r="AK41" s="108">
        <f t="shared" si="158"/>
        <v>76</v>
      </c>
      <c r="AL41" s="108">
        <f t="shared" si="158"/>
        <v>74.5</v>
      </c>
      <c r="AM41" s="765">
        <f t="shared" si="158"/>
        <v>76</v>
      </c>
      <c r="AN41" s="70">
        <f t="shared" si="158"/>
        <v>74.836641518441013</v>
      </c>
      <c r="AO41" s="764">
        <f t="shared" ref="AO41:AT41" si="159">SUM(AO37:AO40)</f>
        <v>76</v>
      </c>
      <c r="AP41" s="41">
        <f t="shared" si="159"/>
        <v>75.279216112213746</v>
      </c>
      <c r="AQ41" s="108">
        <f t="shared" si="159"/>
        <v>76</v>
      </c>
      <c r="AR41" s="108">
        <f t="shared" si="159"/>
        <v>74.499999999999986</v>
      </c>
      <c r="AS41" s="764">
        <f t="shared" si="159"/>
        <v>76</v>
      </c>
      <c r="AT41" s="41">
        <f t="shared" si="159"/>
        <v>75.20082649379313</v>
      </c>
      <c r="AU41" s="108">
        <f t="shared" ref="AU41:AV41" si="160">SUM(AU37:AU40)</f>
        <v>76</v>
      </c>
      <c r="AV41" s="108">
        <f t="shared" si="160"/>
        <v>74.5</v>
      </c>
      <c r="AW41" s="764">
        <f t="shared" ref="AW41:AZ41" si="161">SUM(AW37:AW40)</f>
        <v>76</v>
      </c>
      <c r="AX41" s="41">
        <f t="shared" si="161"/>
        <v>75.142471265331537</v>
      </c>
      <c r="AY41" s="108">
        <f t="shared" si="161"/>
        <v>76</v>
      </c>
      <c r="AZ41" s="108">
        <f t="shared" si="161"/>
        <v>74.5</v>
      </c>
      <c r="BA41" s="765">
        <f t="shared" ref="BA41:BF41" si="162">SUM(BA37:BA40)</f>
        <v>76</v>
      </c>
      <c r="BB41" s="70">
        <f t="shared" si="162"/>
        <v>74.499999999999986</v>
      </c>
      <c r="BC41" s="2309">
        <f t="shared" si="162"/>
        <v>76</v>
      </c>
      <c r="BD41" s="456">
        <f t="shared" si="162"/>
        <v>74.669913688707922</v>
      </c>
      <c r="BE41" s="764">
        <f t="shared" si="162"/>
        <v>76</v>
      </c>
      <c r="BF41" s="41">
        <f t="shared" si="162"/>
        <v>75.087384125591868</v>
      </c>
      <c r="BG41" s="1202"/>
      <c r="BH41" s="1202"/>
      <c r="BI41" s="1202"/>
      <c r="BJ41" s="1202"/>
      <c r="BK41" s="1202"/>
      <c r="BL41" s="26"/>
      <c r="BM41" s="26"/>
      <c r="BN41" s="26"/>
    </row>
    <row r="42" spans="1:66" ht="16.5" customHeight="1" thickBot="1" x14ac:dyDescent="0.35">
      <c r="B42" s="1774" t="s">
        <v>1498</v>
      </c>
      <c r="C42" s="528"/>
      <c r="D42" s="528"/>
      <c r="E42" s="528"/>
      <c r="F42" s="528"/>
      <c r="G42" s="528"/>
      <c r="H42" s="528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8"/>
      <c r="AZ42" s="528"/>
      <c r="BA42" s="528"/>
      <c r="BB42" s="528"/>
      <c r="BC42" s="528"/>
      <c r="BD42" s="528"/>
      <c r="BE42" s="528"/>
      <c r="BF42" s="528"/>
      <c r="BG42" s="1202">
        <f t="shared" si="11"/>
        <v>0</v>
      </c>
      <c r="BH42" s="1202">
        <f t="shared" si="12"/>
        <v>0</v>
      </c>
      <c r="BI42" s="1202"/>
      <c r="BJ42" s="1202">
        <f t="shared" si="13"/>
        <v>0</v>
      </c>
      <c r="BK42" s="1202">
        <f t="shared" si="14"/>
        <v>0</v>
      </c>
      <c r="BL42" s="26"/>
      <c r="BM42" s="26"/>
      <c r="BN42" s="26"/>
    </row>
    <row r="43" spans="1:66" ht="15.75" customHeight="1" x14ac:dyDescent="0.3">
      <c r="B43" s="1772" t="s">
        <v>149</v>
      </c>
      <c r="C43" s="811" t="s">
        <v>50</v>
      </c>
      <c r="D43" s="1736"/>
      <c r="E43" s="1736"/>
      <c r="F43" s="155">
        <v>36246.789180260159</v>
      </c>
      <c r="G43" s="1736"/>
      <c r="H43" s="155">
        <v>37813.222625843278</v>
      </c>
      <c r="I43" s="1737"/>
      <c r="J43" s="3231">
        <f>F43+H43</f>
        <v>74060.01180610343</v>
      </c>
      <c r="K43" s="1736"/>
      <c r="L43" s="155">
        <v>35835.257668078077</v>
      </c>
      <c r="M43" s="1738"/>
      <c r="N43" s="613">
        <f>SUM(F43,H43,L43)</f>
        <v>109895.26947418151</v>
      </c>
      <c r="O43" s="1736"/>
      <c r="P43" s="155">
        <v>36734.729241877256</v>
      </c>
      <c r="Q43" s="1737"/>
      <c r="R43" s="368">
        <f>+N43+P43</f>
        <v>146629.99871605876</v>
      </c>
      <c r="S43" s="1736"/>
      <c r="T43" s="155">
        <v>37732.122962657311</v>
      </c>
      <c r="U43" s="1737"/>
      <c r="V43" s="368">
        <f>+R43+T43</f>
        <v>184362.12167871607</v>
      </c>
      <c r="W43" s="1736"/>
      <c r="X43" s="155">
        <v>36769.086942972885</v>
      </c>
      <c r="Y43" s="1738"/>
      <c r="Z43" s="613">
        <f>SUM(P43,T43,X43)</f>
        <v>111235.93914750745</v>
      </c>
      <c r="AA43" s="2310"/>
      <c r="AB43" s="2045">
        <f>SUM(N43,Z43)</f>
        <v>221131.20862168894</v>
      </c>
      <c r="AC43" s="1736"/>
      <c r="AD43" s="155">
        <v>37345.21357202332</v>
      </c>
      <c r="AE43" s="1737"/>
      <c r="AF43" s="368">
        <f>+AB43+AD43</f>
        <v>258476.42219371226</v>
      </c>
      <c r="AG43" s="1736"/>
      <c r="AH43" s="155">
        <v>34853.504537953799</v>
      </c>
      <c r="AI43" s="1737"/>
      <c r="AJ43" s="368">
        <f>+AF43+AH43</f>
        <v>293329.92673166608</v>
      </c>
      <c r="AK43" s="1736"/>
      <c r="AL43" s="155">
        <v>35966.805569881377</v>
      </c>
      <c r="AM43" s="1738"/>
      <c r="AN43" s="613">
        <f>SUM(AD43,AH43,AL43)</f>
        <v>108165.52367985848</v>
      </c>
      <c r="AO43" s="1737"/>
      <c r="AP43" s="753">
        <f>AJ43+AL43</f>
        <v>329296.73230154748</v>
      </c>
      <c r="AQ43" s="1736"/>
      <c r="AR43" s="155">
        <v>36272.845494891109</v>
      </c>
      <c r="AS43" s="1737"/>
      <c r="AT43" s="368">
        <f>+AP43+AR43</f>
        <v>365569.57779643859</v>
      </c>
      <c r="AU43" s="1736"/>
      <c r="AV43" s="155">
        <v>32607.42391416485</v>
      </c>
      <c r="AW43" s="1737"/>
      <c r="AX43" s="368">
        <f>+AT43+AV43</f>
        <v>398177.00171060342</v>
      </c>
      <c r="AY43" s="1736"/>
      <c r="AZ43" s="155">
        <v>37408.582612278529</v>
      </c>
      <c r="BA43" s="1738"/>
      <c r="BB43" s="613">
        <f>SUM(AR43,AV43,AZ43)</f>
        <v>106288.85202133449</v>
      </c>
      <c r="BC43" s="2310"/>
      <c r="BD43" s="2045">
        <f>SUM(AN43,BB43)</f>
        <v>214454.37570119297</v>
      </c>
      <c r="BE43" s="1737"/>
      <c r="BF43" s="368">
        <f>+AX43+AZ43</f>
        <v>435585.58432288194</v>
      </c>
      <c r="BG43" s="1202">
        <f t="shared" si="11"/>
        <v>0</v>
      </c>
      <c r="BH43" s="1202">
        <f t="shared" si="12"/>
        <v>0</v>
      </c>
      <c r="BI43" s="1202"/>
      <c r="BJ43" s="1202">
        <f t="shared" si="13"/>
        <v>0</v>
      </c>
      <c r="BK43" s="1202">
        <f t="shared" si="14"/>
        <v>0</v>
      </c>
      <c r="BL43" s="26"/>
      <c r="BM43" s="26"/>
      <c r="BN43" s="26"/>
    </row>
    <row r="44" spans="1:66" ht="16.5" customHeight="1" thickBot="1" x14ac:dyDescent="0.35">
      <c r="B44" s="2291" t="s">
        <v>150</v>
      </c>
      <c r="C44" s="157" t="s">
        <v>50</v>
      </c>
      <c r="D44" s="2292"/>
      <c r="E44" s="2292"/>
      <c r="F44" s="1199">
        <v>64526.653329476969</v>
      </c>
      <c r="G44" s="2292"/>
      <c r="H44" s="1199">
        <v>66961.84408548208</v>
      </c>
      <c r="I44" s="2293"/>
      <c r="J44" s="881">
        <f t="shared" ref="J44:J57" si="163">F44+H44</f>
        <v>131488.49741495904</v>
      </c>
      <c r="K44" s="2292"/>
      <c r="L44" s="1199">
        <v>65487.944187914065</v>
      </c>
      <c r="M44" s="2294"/>
      <c r="N44" s="1187">
        <f t="shared" ref="N44:N57" si="164">SUM(F44,H44,L44)</f>
        <v>196976.44160287309</v>
      </c>
      <c r="O44" s="2292"/>
      <c r="P44" s="1199">
        <v>68140.007037297662</v>
      </c>
      <c r="Q44" s="2293"/>
      <c r="R44" s="271">
        <f>+N44+P44</f>
        <v>265116.44864017074</v>
      </c>
      <c r="S44" s="2292"/>
      <c r="T44" s="1199">
        <v>67861.545427105346</v>
      </c>
      <c r="U44" s="2293"/>
      <c r="V44" s="271">
        <f>+R44+T44</f>
        <v>332977.99406727607</v>
      </c>
      <c r="W44" s="2292"/>
      <c r="X44" s="1199">
        <v>65325.023230020102</v>
      </c>
      <c r="Y44" s="2294"/>
      <c r="Z44" s="1187">
        <f>SUM(P44,T44,X44)</f>
        <v>201326.57569442311</v>
      </c>
      <c r="AA44" s="2311"/>
      <c r="AB44" s="2295">
        <f>SUM(N44,Z44)</f>
        <v>398303.0172972962</v>
      </c>
      <c r="AC44" s="2292"/>
      <c r="AD44" s="1199">
        <v>66682.357994001752</v>
      </c>
      <c r="AE44" s="2293"/>
      <c r="AF44" s="271">
        <f>+AB44+AD44</f>
        <v>464985.37529129797</v>
      </c>
      <c r="AG44" s="2292"/>
      <c r="AH44" s="1199">
        <v>65282.917161849997</v>
      </c>
      <c r="AI44" s="2293"/>
      <c r="AJ44" s="271">
        <f>+AF44+AH44</f>
        <v>530268.29245314794</v>
      </c>
      <c r="AK44" s="2292"/>
      <c r="AL44" s="1199">
        <v>67503.832693644625</v>
      </c>
      <c r="AM44" s="2294"/>
      <c r="AN44" s="1187">
        <f>SUM(AD44,AH44,AL44)</f>
        <v>199469.10784949636</v>
      </c>
      <c r="AO44" s="2293"/>
      <c r="AP44" s="753">
        <f>AJ44+AL44</f>
        <v>597772.1251467925</v>
      </c>
      <c r="AQ44" s="2292"/>
      <c r="AR44" s="1199">
        <v>66935.583559714243</v>
      </c>
      <c r="AS44" s="2293"/>
      <c r="AT44" s="271">
        <f>+AP44+AR44</f>
        <v>664707.70870650676</v>
      </c>
      <c r="AU44" s="2292"/>
      <c r="AV44" s="1199">
        <v>60559.715514639298</v>
      </c>
      <c r="AW44" s="2293"/>
      <c r="AX44" s="271">
        <f>+AT44+AV44</f>
        <v>725267.42422114604</v>
      </c>
      <c r="AY44" s="2292"/>
      <c r="AZ44" s="1199">
        <v>67453.195645615429</v>
      </c>
      <c r="BA44" s="2294"/>
      <c r="BB44" s="1187">
        <f>SUM(AR44,AV44,AZ44)</f>
        <v>194948.49471996896</v>
      </c>
      <c r="BC44" s="2311"/>
      <c r="BD44" s="2295">
        <f>SUM(AN44,BB44)</f>
        <v>394417.60256946529</v>
      </c>
      <c r="BE44" s="2293"/>
      <c r="BF44" s="271">
        <f>+AX44+AZ44</f>
        <v>792720.6198667615</v>
      </c>
      <c r="BG44" s="1202">
        <f t="shared" si="11"/>
        <v>0</v>
      </c>
      <c r="BH44" s="1202">
        <f t="shared" si="12"/>
        <v>0</v>
      </c>
      <c r="BI44" s="1202"/>
      <c r="BJ44" s="1202">
        <f t="shared" si="13"/>
        <v>0</v>
      </c>
      <c r="BK44" s="1202">
        <f t="shared" si="14"/>
        <v>0</v>
      </c>
      <c r="BL44" s="26"/>
      <c r="BM44" s="26"/>
      <c r="BN44" s="26"/>
    </row>
    <row r="45" spans="1:66" ht="16.5" customHeight="1" thickBot="1" x14ac:dyDescent="0.35">
      <c r="B45" s="2300" t="s">
        <v>78</v>
      </c>
      <c r="C45" s="2301" t="s">
        <v>50</v>
      </c>
      <c r="D45" s="108"/>
      <c r="E45" s="108"/>
      <c r="F45" s="2302">
        <f>SUM(F43:F44)</f>
        <v>100773.44250973713</v>
      </c>
      <c r="G45" s="108"/>
      <c r="H45" s="2302">
        <f>SUM(H43:H44)</f>
        <v>104775.06671132536</v>
      </c>
      <c r="I45" s="1170"/>
      <c r="J45" s="1171">
        <f t="shared" si="163"/>
        <v>205548.50922106247</v>
      </c>
      <c r="K45" s="108"/>
      <c r="L45" s="2302">
        <f>SUM(L43:L44)</f>
        <v>101323.20185599214</v>
      </c>
      <c r="M45" s="1539"/>
      <c r="N45" s="2303">
        <f t="shared" si="164"/>
        <v>306871.71107705461</v>
      </c>
      <c r="O45" s="108"/>
      <c r="P45" s="2302">
        <f>SUM(P43:P44)</f>
        <v>104874.73627917492</v>
      </c>
      <c r="Q45" s="1170"/>
      <c r="R45" s="2304">
        <f t="shared" ref="R45" si="165">SUM(R43:R44)</f>
        <v>411746.44735622953</v>
      </c>
      <c r="S45" s="108"/>
      <c r="T45" s="2302">
        <f>SUM(T43:T44)</f>
        <v>105593.66838976266</v>
      </c>
      <c r="U45" s="1170"/>
      <c r="V45" s="2304">
        <f t="shared" ref="V45" si="166">SUM(V43:V44)</f>
        <v>517340.11574599217</v>
      </c>
      <c r="W45" s="108"/>
      <c r="X45" s="2302">
        <f>SUM(X43:X44)</f>
        <v>102094.11017299298</v>
      </c>
      <c r="Y45" s="1539"/>
      <c r="Z45" s="2303">
        <f>SUM(Z43:Z44)</f>
        <v>312562.51484193059</v>
      </c>
      <c r="AA45" s="2312"/>
      <c r="AB45" s="2046">
        <f>SUM(AB43:AB44)</f>
        <v>619434.2259189852</v>
      </c>
      <c r="AC45" s="108"/>
      <c r="AD45" s="2302">
        <f>SUM(AD43:AD44)</f>
        <v>104027.57156602507</v>
      </c>
      <c r="AE45" s="1170"/>
      <c r="AF45" s="2304">
        <f t="shared" ref="AF45" si="167">SUM(AF43:AF44)</f>
        <v>723461.79748501023</v>
      </c>
      <c r="AG45" s="108"/>
      <c r="AH45" s="2302">
        <f>SUM(AH43:AH44)</f>
        <v>100136.42169980379</v>
      </c>
      <c r="AI45" s="1170"/>
      <c r="AJ45" s="2304">
        <f t="shared" ref="AJ45" si="168">SUM(AJ43:AJ44)</f>
        <v>823598.21918481402</v>
      </c>
      <c r="AK45" s="108"/>
      <c r="AL45" s="2302">
        <f>SUM(AL43:AL44)</f>
        <v>103470.63826352599</v>
      </c>
      <c r="AM45" s="1539"/>
      <c r="AN45" s="2303">
        <f>SUM(AN43:AN44)</f>
        <v>307634.63152935484</v>
      </c>
      <c r="AO45" s="1170"/>
      <c r="AP45" s="2304">
        <f t="shared" ref="AP45" si="169">SUM(AP43:AP44)</f>
        <v>927068.85744833993</v>
      </c>
      <c r="AQ45" s="108"/>
      <c r="AR45" s="2302">
        <f>SUM(AR43:AR44)</f>
        <v>103208.42905460535</v>
      </c>
      <c r="AS45" s="1170"/>
      <c r="AT45" s="2304">
        <f t="shared" ref="AT45" si="170">SUM(AT43:AT44)</f>
        <v>1030277.2865029454</v>
      </c>
      <c r="AU45" s="108"/>
      <c r="AV45" s="2302">
        <f>SUM(AV43:AV44)</f>
        <v>93167.139428804148</v>
      </c>
      <c r="AW45" s="1170"/>
      <c r="AX45" s="2304">
        <f t="shared" ref="AX45" si="171">SUM(AX43:AX44)</f>
        <v>1123444.4259317494</v>
      </c>
      <c r="AY45" s="108"/>
      <c r="AZ45" s="2302">
        <f>SUM(AZ43:AZ44)</f>
        <v>104861.77825789395</v>
      </c>
      <c r="BA45" s="1539"/>
      <c r="BB45" s="2303">
        <f>SUM(BB43:BB44)</f>
        <v>301237.34674130345</v>
      </c>
      <c r="BC45" s="2312"/>
      <c r="BD45" s="2046">
        <f>SUM(BD43:BD44)</f>
        <v>608871.97827065829</v>
      </c>
      <c r="BE45" s="1170"/>
      <c r="BF45" s="2304">
        <f t="shared" ref="BF45" si="172">SUM(BF43:BF44)</f>
        <v>1228306.2041896435</v>
      </c>
      <c r="BG45" s="1202">
        <f t="shared" si="11"/>
        <v>0</v>
      </c>
      <c r="BH45" s="1202">
        <f t="shared" si="12"/>
        <v>0</v>
      </c>
      <c r="BI45" s="1202"/>
      <c r="BJ45" s="1202">
        <f t="shared" si="13"/>
        <v>0</v>
      </c>
      <c r="BK45" s="1202">
        <f t="shared" si="14"/>
        <v>0</v>
      </c>
      <c r="BL45" s="26"/>
      <c r="BM45" s="26"/>
      <c r="BN45" s="26"/>
    </row>
    <row r="46" spans="1:66" ht="15.75" customHeight="1" x14ac:dyDescent="0.3">
      <c r="B46" s="2296" t="s">
        <v>152</v>
      </c>
      <c r="C46" s="784" t="s">
        <v>50</v>
      </c>
      <c r="D46" s="2297"/>
      <c r="E46" s="2297"/>
      <c r="F46" s="1288">
        <v>776.71691100557507</v>
      </c>
      <c r="G46" s="2297"/>
      <c r="H46" s="1288">
        <v>810.28334198235609</v>
      </c>
      <c r="I46" s="2298"/>
      <c r="J46" s="3232">
        <f t="shared" si="163"/>
        <v>1587.0002529879312</v>
      </c>
      <c r="K46" s="2297"/>
      <c r="L46" s="1288">
        <v>767.89837860167313</v>
      </c>
      <c r="M46" s="2299"/>
      <c r="N46" s="482">
        <f t="shared" si="164"/>
        <v>2354.8986315896045</v>
      </c>
      <c r="O46" s="2297"/>
      <c r="P46" s="1288">
        <v>787.17276946879826</v>
      </c>
      <c r="Q46" s="2298"/>
      <c r="R46" s="567">
        <f>+N46+P46</f>
        <v>3142.0714010584029</v>
      </c>
      <c r="S46" s="2297"/>
      <c r="T46" s="1288">
        <v>808.54549205694252</v>
      </c>
      <c r="U46" s="2298"/>
      <c r="V46" s="567">
        <f>+R46+T46</f>
        <v>3950.6168931153452</v>
      </c>
      <c r="W46" s="2297"/>
      <c r="X46" s="1288">
        <v>787.90900592084756</v>
      </c>
      <c r="Y46" s="2299"/>
      <c r="Z46" s="482">
        <f>SUM(P46,T46,X46)</f>
        <v>2383.6272674465881</v>
      </c>
      <c r="AA46" s="2313"/>
      <c r="AB46" s="2047">
        <f>SUM(N46,Z46)</f>
        <v>4738.5258990361926</v>
      </c>
      <c r="AC46" s="2297"/>
      <c r="AD46" s="1288">
        <v>803.6990008326394</v>
      </c>
      <c r="AE46" s="2298"/>
      <c r="AF46" s="567">
        <f>+AB46+AD46</f>
        <v>5542.2248998688319</v>
      </c>
      <c r="AG46" s="2297"/>
      <c r="AH46" s="1288">
        <v>501.48927392739284</v>
      </c>
      <c r="AI46" s="2298"/>
      <c r="AJ46" s="567">
        <f>+AF46+AH46</f>
        <v>6043.7141737962247</v>
      </c>
      <c r="AK46" s="2297"/>
      <c r="AL46" s="1288">
        <v>517.50799381124295</v>
      </c>
      <c r="AM46" s="2299"/>
      <c r="AN46" s="482">
        <f>SUM(AD46,AH46,AL46)</f>
        <v>1822.6962685712751</v>
      </c>
      <c r="AO46" s="2298"/>
      <c r="AP46" s="753">
        <f>AJ46+AL46</f>
        <v>6561.2221676074678</v>
      </c>
      <c r="AQ46" s="2297"/>
      <c r="AR46" s="1288">
        <v>521.91144596965637</v>
      </c>
      <c r="AS46" s="2298"/>
      <c r="AT46" s="567">
        <f>+AP46+AR46</f>
        <v>7083.1336135771244</v>
      </c>
      <c r="AU46" s="2297"/>
      <c r="AV46" s="1288">
        <v>469.17156711028571</v>
      </c>
      <c r="AW46" s="2298"/>
      <c r="AX46" s="567">
        <f>+AT46+AV46</f>
        <v>7552.30518068741</v>
      </c>
      <c r="AY46" s="2297"/>
      <c r="AZ46" s="1288">
        <v>538.25298722702917</v>
      </c>
      <c r="BA46" s="2299"/>
      <c r="BB46" s="482">
        <f>SUM(AR46,AV46,AZ46)</f>
        <v>1529.3360003069711</v>
      </c>
      <c r="BC46" s="2313"/>
      <c r="BD46" s="2047">
        <f>SUM(AN46,BB46)</f>
        <v>3352.0322688782462</v>
      </c>
      <c r="BE46" s="2298"/>
      <c r="BF46" s="567">
        <f>+AX46+AZ46</f>
        <v>8090.5581679144389</v>
      </c>
      <c r="BG46" s="1202">
        <f t="shared" si="11"/>
        <v>0</v>
      </c>
      <c r="BH46" s="1202">
        <f t="shared" si="12"/>
        <v>0</v>
      </c>
      <c r="BI46" s="1202"/>
      <c r="BJ46" s="1202">
        <f t="shared" si="13"/>
        <v>0</v>
      </c>
      <c r="BK46" s="1202">
        <f t="shared" si="14"/>
        <v>0</v>
      </c>
      <c r="BL46" s="26"/>
      <c r="BM46" s="26"/>
      <c r="BN46" s="26"/>
    </row>
    <row r="47" spans="1:66" ht="16.5" customHeight="1" thickBot="1" x14ac:dyDescent="0.35">
      <c r="B47" s="1773" t="s">
        <v>153</v>
      </c>
      <c r="C47" s="156" t="s">
        <v>50</v>
      </c>
      <c r="D47" s="810"/>
      <c r="E47" s="810"/>
      <c r="F47" s="1118">
        <v>1382.7139999173635</v>
      </c>
      <c r="G47" s="810"/>
      <c r="H47" s="1118">
        <v>1434.8966589746162</v>
      </c>
      <c r="I47" s="807"/>
      <c r="J47" s="251">
        <f t="shared" si="163"/>
        <v>2817.6106588919797</v>
      </c>
      <c r="K47" s="810"/>
      <c r="L47" s="1118">
        <v>1403.3130897410156</v>
      </c>
      <c r="M47" s="808"/>
      <c r="N47" s="774">
        <f t="shared" si="164"/>
        <v>4220.9237486329948</v>
      </c>
      <c r="O47" s="810"/>
      <c r="P47" s="1118">
        <v>1460.1430079420929</v>
      </c>
      <c r="Q47" s="807"/>
      <c r="R47" s="775">
        <f>+N47+P47</f>
        <v>5681.0667565750882</v>
      </c>
      <c r="S47" s="810"/>
      <c r="T47" s="1118">
        <v>1454.1759734379716</v>
      </c>
      <c r="U47" s="807"/>
      <c r="V47" s="775">
        <f>+R47+T47</f>
        <v>7135.2427300130603</v>
      </c>
      <c r="W47" s="810"/>
      <c r="X47" s="1118">
        <v>1410.0355381128104</v>
      </c>
      <c r="Y47" s="808"/>
      <c r="Z47" s="774">
        <f>SUM(P47,T47,X47)</f>
        <v>4324.3545194928747</v>
      </c>
      <c r="AA47" s="800"/>
      <c r="AB47" s="2290">
        <f>SUM(N47,Z47)</f>
        <v>8545.2782681258686</v>
      </c>
      <c r="AC47" s="810"/>
      <c r="AD47" s="1118">
        <v>1435.0579195265798</v>
      </c>
      <c r="AE47" s="807"/>
      <c r="AF47" s="775">
        <f>+AB47+AD47</f>
        <v>9980.3361876524486</v>
      </c>
      <c r="AG47" s="810"/>
      <c r="AH47" s="1118">
        <v>939.32254909136691</v>
      </c>
      <c r="AI47" s="807"/>
      <c r="AJ47" s="775">
        <f>+AF47+AH47</f>
        <v>10919.658736743815</v>
      </c>
      <c r="AK47" s="810"/>
      <c r="AL47" s="1118">
        <v>971.27816825387947</v>
      </c>
      <c r="AM47" s="808"/>
      <c r="AN47" s="774">
        <f>SUM(AD47,AH47,AL47)</f>
        <v>3345.6586368718258</v>
      </c>
      <c r="AO47" s="807"/>
      <c r="AP47" s="753">
        <f>AJ47+AL47</f>
        <v>11890.936904997694</v>
      </c>
      <c r="AQ47" s="810"/>
      <c r="AR47" s="1118">
        <v>963.10192172250731</v>
      </c>
      <c r="AS47" s="807"/>
      <c r="AT47" s="775">
        <f>+AP47+AR47</f>
        <v>12854.038826720202</v>
      </c>
      <c r="AU47" s="810"/>
      <c r="AV47" s="1118">
        <v>871.36281316027771</v>
      </c>
      <c r="AW47" s="807"/>
      <c r="AX47" s="775">
        <f>+AT47+AV47</f>
        <v>13725.40163988048</v>
      </c>
      <c r="AY47" s="810"/>
      <c r="AZ47" s="1118">
        <v>970.54957763475466</v>
      </c>
      <c r="BA47" s="808"/>
      <c r="BB47" s="774">
        <f>SUM(AR47,AV47,AZ47)</f>
        <v>2805.0143125175396</v>
      </c>
      <c r="BC47" s="800"/>
      <c r="BD47" s="2290">
        <f>SUM(AN47,BB47)</f>
        <v>6150.6729493893654</v>
      </c>
      <c r="BE47" s="807"/>
      <c r="BF47" s="775">
        <f>+AX47+AZ47</f>
        <v>14695.951217515234</v>
      </c>
      <c r="BG47" s="1202">
        <f t="shared" si="11"/>
        <v>0</v>
      </c>
      <c r="BH47" s="1202">
        <f t="shared" si="12"/>
        <v>0</v>
      </c>
      <c r="BI47" s="1202"/>
      <c r="BJ47" s="1202">
        <f t="shared" si="13"/>
        <v>0</v>
      </c>
      <c r="BK47" s="1202">
        <f t="shared" si="14"/>
        <v>0</v>
      </c>
      <c r="BL47" s="26"/>
      <c r="BM47" s="26"/>
      <c r="BN47" s="26"/>
    </row>
    <row r="48" spans="1:66" ht="16.5" customHeight="1" thickBot="1" x14ac:dyDescent="0.35">
      <c r="B48" s="2300" t="s">
        <v>142</v>
      </c>
      <c r="C48" s="2301" t="s">
        <v>50</v>
      </c>
      <c r="D48" s="108"/>
      <c r="E48" s="108"/>
      <c r="F48" s="2302">
        <f>SUM(F46:F47)</f>
        <v>2159.4309109229384</v>
      </c>
      <c r="G48" s="108"/>
      <c r="H48" s="2302">
        <f>SUM(H46:H47)</f>
        <v>2245.1800009569724</v>
      </c>
      <c r="I48" s="1170"/>
      <c r="J48" s="1171">
        <f t="shared" si="163"/>
        <v>4404.6109118799104</v>
      </c>
      <c r="K48" s="108"/>
      <c r="L48" s="2302">
        <f>SUM(L46:L47)</f>
        <v>2171.2114683426889</v>
      </c>
      <c r="M48" s="1539"/>
      <c r="N48" s="2303">
        <f t="shared" si="164"/>
        <v>6575.8223802225993</v>
      </c>
      <c r="O48" s="108"/>
      <c r="P48" s="2302">
        <f>SUM(P46:P47)</f>
        <v>2247.3157774108913</v>
      </c>
      <c r="Q48" s="1170"/>
      <c r="R48" s="2304">
        <f t="shared" ref="R48" si="173">SUM(R46:R47)</f>
        <v>8823.1381576334916</v>
      </c>
      <c r="S48" s="108"/>
      <c r="T48" s="2302">
        <f>SUM(T46:T47)</f>
        <v>2262.7214654949139</v>
      </c>
      <c r="U48" s="1170"/>
      <c r="V48" s="2304">
        <f t="shared" ref="V48" si="174">SUM(V46:V47)</f>
        <v>11085.859623128406</v>
      </c>
      <c r="W48" s="108"/>
      <c r="X48" s="2302">
        <f>SUM(X46:X47)</f>
        <v>2197.9445440336581</v>
      </c>
      <c r="Y48" s="1539"/>
      <c r="Z48" s="2303">
        <f>SUM(Z46:Z47)</f>
        <v>6707.9817869394628</v>
      </c>
      <c r="AA48" s="2312"/>
      <c r="AB48" s="2046">
        <f>SUM(AB46:AB47)</f>
        <v>13283.804167162061</v>
      </c>
      <c r="AC48" s="108"/>
      <c r="AD48" s="2302">
        <f>SUM(AD46:AD47)</f>
        <v>2238.7569203592193</v>
      </c>
      <c r="AE48" s="1170"/>
      <c r="AF48" s="2304">
        <f t="shared" ref="AF48" si="175">SUM(AF46:AF47)</f>
        <v>15522.561087521281</v>
      </c>
      <c r="AG48" s="108"/>
      <c r="AH48" s="2302">
        <f>SUM(AH46:AH47)</f>
        <v>1440.8118230187597</v>
      </c>
      <c r="AI48" s="1170"/>
      <c r="AJ48" s="2304">
        <f t="shared" ref="AJ48" si="176">SUM(AJ46:AJ47)</f>
        <v>16963.372910540042</v>
      </c>
      <c r="AK48" s="108"/>
      <c r="AL48" s="2302">
        <f>SUM(AL46:AL47)</f>
        <v>1488.7861620651224</v>
      </c>
      <c r="AM48" s="1539"/>
      <c r="AN48" s="2303">
        <f>SUM(AN46:AN47)</f>
        <v>5168.3549054431005</v>
      </c>
      <c r="AO48" s="1170"/>
      <c r="AP48" s="2304">
        <f t="shared" ref="AP48" si="177">SUM(AP46:AP47)</f>
        <v>18452.159072605162</v>
      </c>
      <c r="AQ48" s="108"/>
      <c r="AR48" s="2302">
        <f>SUM(AR46:AR47)</f>
        <v>1485.0133676921637</v>
      </c>
      <c r="AS48" s="1170"/>
      <c r="AT48" s="2304">
        <f t="shared" ref="AT48" si="178">SUM(AT46:AT47)</f>
        <v>19937.172440297327</v>
      </c>
      <c r="AU48" s="108"/>
      <c r="AV48" s="2302">
        <f>SUM(AV46:AV47)</f>
        <v>1340.5343802705634</v>
      </c>
      <c r="AW48" s="1170"/>
      <c r="AX48" s="2304">
        <f t="shared" ref="AX48" si="179">SUM(AX46:AX47)</f>
        <v>21277.706820567888</v>
      </c>
      <c r="AY48" s="108"/>
      <c r="AZ48" s="2302">
        <f>SUM(AZ46:AZ47)</f>
        <v>1508.8025648617838</v>
      </c>
      <c r="BA48" s="1539"/>
      <c r="BB48" s="2303">
        <f>SUM(BB46:BB47)</f>
        <v>4334.3503128245102</v>
      </c>
      <c r="BC48" s="2312"/>
      <c r="BD48" s="2046">
        <f>SUM(BD46:BD47)</f>
        <v>9502.7052182676125</v>
      </c>
      <c r="BE48" s="1170"/>
      <c r="BF48" s="2304">
        <f t="shared" ref="BF48" si="180">SUM(BF46:BF47)</f>
        <v>22786.509385429672</v>
      </c>
      <c r="BG48" s="1202">
        <f t="shared" si="11"/>
        <v>0</v>
      </c>
      <c r="BH48" s="1202">
        <f t="shared" si="12"/>
        <v>0</v>
      </c>
      <c r="BI48" s="1202"/>
      <c r="BJ48" s="1202">
        <f t="shared" si="13"/>
        <v>0</v>
      </c>
      <c r="BK48" s="1202">
        <f t="shared" si="14"/>
        <v>0</v>
      </c>
      <c r="BL48" s="26"/>
      <c r="BM48" s="26"/>
      <c r="BN48" s="26"/>
    </row>
    <row r="49" spans="1:66" ht="15.75" customHeight="1" x14ac:dyDescent="0.3">
      <c r="B49" s="1773" t="s">
        <v>154</v>
      </c>
      <c r="C49" s="156" t="s">
        <v>50</v>
      </c>
      <c r="D49" s="810"/>
      <c r="E49" s="810"/>
      <c r="F49" s="1118">
        <v>1553.4338220111501</v>
      </c>
      <c r="G49" s="810"/>
      <c r="H49" s="1118">
        <v>1620.5666839647122</v>
      </c>
      <c r="I49" s="807"/>
      <c r="J49" s="251">
        <f t="shared" si="163"/>
        <v>3174.0005059758623</v>
      </c>
      <c r="K49" s="810"/>
      <c r="L49" s="1118">
        <v>1535.7967572033463</v>
      </c>
      <c r="M49" s="808"/>
      <c r="N49" s="774">
        <f t="shared" si="164"/>
        <v>4709.797263179209</v>
      </c>
      <c r="O49" s="810"/>
      <c r="P49" s="1118">
        <v>1574.3455389375965</v>
      </c>
      <c r="Q49" s="807"/>
      <c r="R49" s="775">
        <f>+N49+P49</f>
        <v>6284.1428021168058</v>
      </c>
      <c r="S49" s="810"/>
      <c r="T49" s="1118">
        <v>1617.090984113885</v>
      </c>
      <c r="U49" s="807"/>
      <c r="V49" s="775">
        <f>+R49+T49</f>
        <v>7901.2337862306904</v>
      </c>
      <c r="W49" s="810"/>
      <c r="X49" s="1118">
        <v>1575.8180118416951</v>
      </c>
      <c r="Y49" s="808"/>
      <c r="Z49" s="774">
        <f>SUM(P49,T49,X49)</f>
        <v>4767.2545348931762</v>
      </c>
      <c r="AA49" s="800"/>
      <c r="AB49" s="2290">
        <f>SUM(N49,Z49)</f>
        <v>9477.0517980723853</v>
      </c>
      <c r="AC49" s="810"/>
      <c r="AD49" s="1118">
        <v>1768.1378018318069</v>
      </c>
      <c r="AE49" s="807"/>
      <c r="AF49" s="775">
        <f>+AB49+AD49</f>
        <v>11245.189599904192</v>
      </c>
      <c r="AG49" s="810"/>
      <c r="AH49" s="1118">
        <v>1504.4678217821784</v>
      </c>
      <c r="AI49" s="807"/>
      <c r="AJ49" s="775">
        <f>+AF49+AH49</f>
        <v>12749.65742168637</v>
      </c>
      <c r="AK49" s="810"/>
      <c r="AL49" s="1118">
        <v>1552.5239814337287</v>
      </c>
      <c r="AM49" s="808"/>
      <c r="AN49" s="774">
        <f>SUM(AD49,AH49,AL49)</f>
        <v>4825.129605047714</v>
      </c>
      <c r="AO49" s="807"/>
      <c r="AP49" s="753">
        <f>AJ49+AL49</f>
        <v>14302.181403120099</v>
      </c>
      <c r="AQ49" s="810"/>
      <c r="AR49" s="1118">
        <v>1565.7343379089689</v>
      </c>
      <c r="AS49" s="807"/>
      <c r="AT49" s="775">
        <f>+AP49+AR49</f>
        <v>15867.915741029068</v>
      </c>
      <c r="AU49" s="810"/>
      <c r="AV49" s="1118">
        <v>1407.5147013308572</v>
      </c>
      <c r="AW49" s="807"/>
      <c r="AX49" s="775">
        <f>+AT49+AV49</f>
        <v>17275.430442359924</v>
      </c>
      <c r="AY49" s="810"/>
      <c r="AZ49" s="1118">
        <v>1614.7589616810876</v>
      </c>
      <c r="BA49" s="808"/>
      <c r="BB49" s="774">
        <f>SUM(AR49,AV49,AZ49)</f>
        <v>4588.0080009209132</v>
      </c>
      <c r="BC49" s="800"/>
      <c r="BD49" s="2290">
        <f>SUM(AN49,BB49)</f>
        <v>9413.1376059686263</v>
      </c>
      <c r="BE49" s="807"/>
      <c r="BF49" s="775">
        <f>+AX49+AZ49</f>
        <v>18890.189404041012</v>
      </c>
      <c r="BG49" s="1202">
        <f t="shared" si="11"/>
        <v>0</v>
      </c>
      <c r="BH49" s="1202">
        <f t="shared" si="12"/>
        <v>0</v>
      </c>
      <c r="BI49" s="1202"/>
      <c r="BJ49" s="1202">
        <f t="shared" si="13"/>
        <v>0</v>
      </c>
      <c r="BK49" s="1202">
        <f t="shared" si="14"/>
        <v>0</v>
      </c>
      <c r="BL49" s="26"/>
      <c r="BM49" s="26"/>
      <c r="BN49" s="26"/>
    </row>
    <row r="50" spans="1:66" ht="16.5" customHeight="1" thickBot="1" x14ac:dyDescent="0.35">
      <c r="B50" s="1773" t="s">
        <v>155</v>
      </c>
      <c r="C50" s="156" t="s">
        <v>50</v>
      </c>
      <c r="D50" s="810"/>
      <c r="E50" s="810"/>
      <c r="F50" s="1118">
        <v>2765.427999834727</v>
      </c>
      <c r="G50" s="810"/>
      <c r="H50" s="1118">
        <v>2869.7933179492325</v>
      </c>
      <c r="I50" s="807"/>
      <c r="J50" s="251">
        <f t="shared" si="163"/>
        <v>5635.2213177839594</v>
      </c>
      <c r="K50" s="810"/>
      <c r="L50" s="1118">
        <v>2806.6261794820311</v>
      </c>
      <c r="M50" s="808"/>
      <c r="N50" s="774">
        <f t="shared" si="164"/>
        <v>8441.8474972659897</v>
      </c>
      <c r="O50" s="810"/>
      <c r="P50" s="1118">
        <v>2920.2860158841859</v>
      </c>
      <c r="Q50" s="807"/>
      <c r="R50" s="775">
        <f>+N50+P50</f>
        <v>11362.133513150176</v>
      </c>
      <c r="S50" s="810"/>
      <c r="T50" s="1118">
        <v>2908.3519468759432</v>
      </c>
      <c r="U50" s="807"/>
      <c r="V50" s="775">
        <f>+R50+T50</f>
        <v>14270.485460026121</v>
      </c>
      <c r="W50" s="810"/>
      <c r="X50" s="1118">
        <v>3296.7062914699982</v>
      </c>
      <c r="Y50" s="808"/>
      <c r="Z50" s="774">
        <f>SUM(P50,T50,X50)</f>
        <v>9125.3442542301273</v>
      </c>
      <c r="AA50" s="800"/>
      <c r="AB50" s="2290">
        <f>SUM(N50,Z50)</f>
        <v>17567.191751496117</v>
      </c>
      <c r="AC50" s="810"/>
      <c r="AD50" s="1118">
        <v>3157.1274229584756</v>
      </c>
      <c r="AE50" s="807"/>
      <c r="AF50" s="775">
        <f>+AB50+AD50</f>
        <v>20724.319174454591</v>
      </c>
      <c r="AG50" s="810"/>
      <c r="AH50" s="1118">
        <v>2817.9676472741007</v>
      </c>
      <c r="AI50" s="807"/>
      <c r="AJ50" s="775">
        <f>+AF50+AH50</f>
        <v>23542.286821728692</v>
      </c>
      <c r="AK50" s="810"/>
      <c r="AL50" s="1118">
        <v>2913.8345047616381</v>
      </c>
      <c r="AM50" s="808"/>
      <c r="AN50" s="774">
        <f>SUM(AD50,AH50,AL50)</f>
        <v>8888.9295749942139</v>
      </c>
      <c r="AO50" s="807"/>
      <c r="AP50" s="753">
        <f>AJ50+AL50</f>
        <v>26456.121326490331</v>
      </c>
      <c r="AQ50" s="810"/>
      <c r="AR50" s="1118">
        <v>2889.3057651675213</v>
      </c>
      <c r="AS50" s="807"/>
      <c r="AT50" s="775">
        <f>+AP50+AR50</f>
        <v>29345.427091657853</v>
      </c>
      <c r="AU50" s="810"/>
      <c r="AV50" s="1118">
        <v>2614.0884394808331</v>
      </c>
      <c r="AW50" s="807"/>
      <c r="AX50" s="775">
        <f>+AT50+AV50</f>
        <v>31959.515531138688</v>
      </c>
      <c r="AY50" s="810"/>
      <c r="AZ50" s="1118">
        <v>2911.6487329042639</v>
      </c>
      <c r="BA50" s="808"/>
      <c r="BB50" s="774">
        <f>SUM(AR50,AV50,AZ50)</f>
        <v>8415.0429375526182</v>
      </c>
      <c r="BC50" s="800"/>
      <c r="BD50" s="2290">
        <f>SUM(AN50,BB50)</f>
        <v>17303.972512546832</v>
      </c>
      <c r="BE50" s="807"/>
      <c r="BF50" s="775">
        <f>+AX50+AZ50</f>
        <v>34871.164264042949</v>
      </c>
      <c r="BG50" s="1202">
        <f t="shared" si="11"/>
        <v>0</v>
      </c>
      <c r="BH50" s="1202">
        <f t="shared" si="12"/>
        <v>0</v>
      </c>
      <c r="BI50" s="1202"/>
      <c r="BJ50" s="1202">
        <f t="shared" si="13"/>
        <v>0</v>
      </c>
      <c r="BK50" s="1202">
        <f t="shared" si="14"/>
        <v>0</v>
      </c>
      <c r="BL50" s="26"/>
      <c r="BM50" s="26"/>
      <c r="BN50" s="26"/>
    </row>
    <row r="51" spans="1:66" ht="16.5" customHeight="1" thickBot="1" x14ac:dyDescent="0.35">
      <c r="B51" s="2300" t="s">
        <v>143</v>
      </c>
      <c r="C51" s="2301" t="s">
        <v>50</v>
      </c>
      <c r="D51" s="108"/>
      <c r="E51" s="108"/>
      <c r="F51" s="2302">
        <f>SUM(F49:F50)</f>
        <v>4318.8618218458769</v>
      </c>
      <c r="G51" s="108"/>
      <c r="H51" s="2302">
        <f>SUM(H49:H50)</f>
        <v>4490.3600019139449</v>
      </c>
      <c r="I51" s="1170"/>
      <c r="J51" s="1171">
        <f t="shared" si="163"/>
        <v>8809.2218237598208</v>
      </c>
      <c r="K51" s="108"/>
      <c r="L51" s="2302">
        <f>SUM(L49:L50)</f>
        <v>4342.4229366853779</v>
      </c>
      <c r="M51" s="1539"/>
      <c r="N51" s="2303">
        <f t="shared" si="164"/>
        <v>13151.644760445199</v>
      </c>
      <c r="O51" s="108"/>
      <c r="P51" s="2302">
        <f>SUM(P49:P50)</f>
        <v>4494.6315548217826</v>
      </c>
      <c r="Q51" s="1170"/>
      <c r="R51" s="2304">
        <f t="shared" ref="R51" si="181">SUM(R49:R50)</f>
        <v>17646.276315266983</v>
      </c>
      <c r="S51" s="108"/>
      <c r="T51" s="2302">
        <f>SUM(T49:T50)</f>
        <v>4525.4429309898278</v>
      </c>
      <c r="U51" s="1170"/>
      <c r="V51" s="2304">
        <f t="shared" ref="V51" si="182">SUM(V49:V50)</f>
        <v>22171.719246256813</v>
      </c>
      <c r="W51" s="108"/>
      <c r="X51" s="2302">
        <f>SUM(X49:X50)</f>
        <v>4872.5243033116931</v>
      </c>
      <c r="Y51" s="1539"/>
      <c r="Z51" s="2303">
        <f>SUM(Z49:Z50)</f>
        <v>13892.598789123304</v>
      </c>
      <c r="AA51" s="2312"/>
      <c r="AB51" s="2046">
        <f>SUM(AB49:AB50)</f>
        <v>27044.243549568502</v>
      </c>
      <c r="AC51" s="108"/>
      <c r="AD51" s="2302">
        <f>SUM(AD49:AD50)</f>
        <v>4925.2652247902824</v>
      </c>
      <c r="AE51" s="1170"/>
      <c r="AF51" s="2304">
        <f t="shared" ref="AF51" si="183">SUM(AF49:AF50)</f>
        <v>31969.508774358783</v>
      </c>
      <c r="AG51" s="108"/>
      <c r="AH51" s="2302">
        <f>SUM(AH49:AH50)</f>
        <v>4322.4354690562795</v>
      </c>
      <c r="AI51" s="1170"/>
      <c r="AJ51" s="2304">
        <f t="shared" ref="AJ51" si="184">SUM(AJ49:AJ50)</f>
        <v>36291.944243415062</v>
      </c>
      <c r="AK51" s="108"/>
      <c r="AL51" s="2302">
        <f>SUM(AL49:AL50)</f>
        <v>4466.3584861953668</v>
      </c>
      <c r="AM51" s="1539"/>
      <c r="AN51" s="2303">
        <f>SUM(AN49:AN50)</f>
        <v>13714.059180041928</v>
      </c>
      <c r="AO51" s="1170"/>
      <c r="AP51" s="2304">
        <f t="shared" ref="AP51" si="185">SUM(AP49:AP50)</f>
        <v>40758.302729610426</v>
      </c>
      <c r="AQ51" s="108"/>
      <c r="AR51" s="2302">
        <f>SUM(AR49:AR50)</f>
        <v>4455.0401030764897</v>
      </c>
      <c r="AS51" s="1170"/>
      <c r="AT51" s="2304">
        <f t="shared" ref="AT51" si="186">SUM(AT49:AT50)</f>
        <v>45213.342832686918</v>
      </c>
      <c r="AU51" s="108"/>
      <c r="AV51" s="2302">
        <f>SUM(AV49:AV50)</f>
        <v>4021.6031408116905</v>
      </c>
      <c r="AW51" s="1170"/>
      <c r="AX51" s="2304">
        <f t="shared" ref="AX51" si="187">SUM(AX49:AX50)</f>
        <v>49234.945973498616</v>
      </c>
      <c r="AY51" s="108"/>
      <c r="AZ51" s="2302">
        <f>SUM(AZ49:AZ50)</f>
        <v>4526.4076945853512</v>
      </c>
      <c r="BA51" s="1539"/>
      <c r="BB51" s="2303">
        <f>SUM(BB49:BB50)</f>
        <v>13003.050938473531</v>
      </c>
      <c r="BC51" s="2312"/>
      <c r="BD51" s="2046">
        <f>SUM(BD49:BD50)</f>
        <v>26717.110118515458</v>
      </c>
      <c r="BE51" s="1170"/>
      <c r="BF51" s="2304">
        <f t="shared" ref="BF51" si="188">SUM(BF49:BF50)</f>
        <v>53761.353668083961</v>
      </c>
      <c r="BG51" s="1202">
        <f t="shared" si="11"/>
        <v>0</v>
      </c>
      <c r="BH51" s="1202">
        <f t="shared" si="12"/>
        <v>0</v>
      </c>
      <c r="BI51" s="1202"/>
      <c r="BJ51" s="1202">
        <f t="shared" si="13"/>
        <v>0</v>
      </c>
      <c r="BK51" s="1202">
        <f t="shared" si="14"/>
        <v>0</v>
      </c>
      <c r="BL51" s="26"/>
      <c r="BM51" s="26"/>
      <c r="BN51" s="26"/>
    </row>
    <row r="52" spans="1:66" ht="15.75" customHeight="1" x14ac:dyDescent="0.3">
      <c r="B52" s="1773" t="s">
        <v>156</v>
      </c>
      <c r="C52" s="156" t="s">
        <v>50</v>
      </c>
      <c r="D52" s="810"/>
      <c r="E52" s="810"/>
      <c r="F52" s="1118">
        <v>517.81127400371668</v>
      </c>
      <c r="G52" s="810"/>
      <c r="H52" s="1118">
        <v>540.18889465490406</v>
      </c>
      <c r="I52" s="807"/>
      <c r="J52" s="251">
        <f t="shared" si="163"/>
        <v>1058.0001686586206</v>
      </c>
      <c r="K52" s="810"/>
      <c r="L52" s="1118">
        <v>511.93225240111542</v>
      </c>
      <c r="M52" s="808"/>
      <c r="N52" s="774">
        <f t="shared" si="164"/>
        <v>1569.932421059736</v>
      </c>
      <c r="O52" s="810"/>
      <c r="P52" s="1118">
        <v>524.78184631253225</v>
      </c>
      <c r="Q52" s="807"/>
      <c r="R52" s="775">
        <f>+N52+P52</f>
        <v>2094.7142673722683</v>
      </c>
      <c r="S52" s="810"/>
      <c r="T52" s="1118">
        <v>539.03032803796157</v>
      </c>
      <c r="U52" s="807"/>
      <c r="V52" s="775">
        <f>+R52+T52</f>
        <v>2633.74459541023</v>
      </c>
      <c r="W52" s="810"/>
      <c r="X52" s="1118">
        <v>525.27267061389841</v>
      </c>
      <c r="Y52" s="808"/>
      <c r="Z52" s="774">
        <f>SUM(P52,T52,X52)</f>
        <v>1589.0848449643922</v>
      </c>
      <c r="AA52" s="800"/>
      <c r="AB52" s="2290">
        <f>SUM(N52,Z52)</f>
        <v>3159.0172660241283</v>
      </c>
      <c r="AC52" s="810"/>
      <c r="AD52" s="1118">
        <v>535.79933388842642</v>
      </c>
      <c r="AE52" s="807"/>
      <c r="AF52" s="775">
        <f>+AB52+AD52</f>
        <v>3694.8165999125549</v>
      </c>
      <c r="AG52" s="810"/>
      <c r="AH52" s="1118">
        <v>501.48927392739284</v>
      </c>
      <c r="AI52" s="807"/>
      <c r="AJ52" s="775">
        <f>+AF52+AH52</f>
        <v>4196.3058738399477</v>
      </c>
      <c r="AK52" s="810"/>
      <c r="AL52" s="1118">
        <v>517.50799381124295</v>
      </c>
      <c r="AM52" s="808"/>
      <c r="AN52" s="774">
        <f>SUM(AD52,AH52,AL52)</f>
        <v>1554.796601627062</v>
      </c>
      <c r="AO52" s="807"/>
      <c r="AP52" s="753">
        <f>AJ52+AL52</f>
        <v>4713.8138676511908</v>
      </c>
      <c r="AQ52" s="810"/>
      <c r="AR52" s="1118">
        <v>521.91144596965637</v>
      </c>
      <c r="AS52" s="807"/>
      <c r="AT52" s="775">
        <f>+AP52+AR52</f>
        <v>5235.7253136208474</v>
      </c>
      <c r="AU52" s="810"/>
      <c r="AV52" s="1118">
        <v>469.17156711028571</v>
      </c>
      <c r="AW52" s="807"/>
      <c r="AX52" s="775">
        <f>+AT52+AV52</f>
        <v>5704.896880731133</v>
      </c>
      <c r="AY52" s="810"/>
      <c r="AZ52" s="1118">
        <v>538.25298722702917</v>
      </c>
      <c r="BA52" s="808"/>
      <c r="BB52" s="774">
        <f>SUM(AR52,AV52,AZ52)</f>
        <v>1529.3360003069711</v>
      </c>
      <c r="BC52" s="800"/>
      <c r="BD52" s="2290">
        <f>SUM(AN52,BB52)</f>
        <v>3084.1326019340331</v>
      </c>
      <c r="BE52" s="807"/>
      <c r="BF52" s="775">
        <f>+AX52+AZ52</f>
        <v>6243.1498679581618</v>
      </c>
      <c r="BG52" s="1202">
        <f t="shared" si="11"/>
        <v>0</v>
      </c>
      <c r="BH52" s="1202">
        <f t="shared" si="12"/>
        <v>0</v>
      </c>
      <c r="BI52" s="1202"/>
      <c r="BJ52" s="1202">
        <f t="shared" si="13"/>
        <v>0</v>
      </c>
      <c r="BK52" s="1202">
        <f t="shared" si="14"/>
        <v>0</v>
      </c>
      <c r="BL52" s="26"/>
      <c r="BM52" s="26"/>
      <c r="BN52" s="26"/>
    </row>
    <row r="53" spans="1:66" ht="16.5" customHeight="1" thickBot="1" x14ac:dyDescent="0.35">
      <c r="B53" s="1773" t="s">
        <v>157</v>
      </c>
      <c r="C53" s="156" t="s">
        <v>50</v>
      </c>
      <c r="D53" s="810"/>
      <c r="E53" s="810"/>
      <c r="F53" s="1118">
        <v>921.80933327824255</v>
      </c>
      <c r="G53" s="810"/>
      <c r="H53" s="1118">
        <v>956.59777264974412</v>
      </c>
      <c r="I53" s="807"/>
      <c r="J53" s="251">
        <f t="shared" si="163"/>
        <v>1878.4071059279868</v>
      </c>
      <c r="K53" s="810"/>
      <c r="L53" s="1118">
        <v>935.54205982734379</v>
      </c>
      <c r="M53" s="808"/>
      <c r="N53" s="774">
        <f t="shared" si="164"/>
        <v>2813.9491657553308</v>
      </c>
      <c r="O53" s="810"/>
      <c r="P53" s="1118">
        <v>973.42867196139537</v>
      </c>
      <c r="Q53" s="807"/>
      <c r="R53" s="775">
        <f>+N53+P53</f>
        <v>3787.3778377167264</v>
      </c>
      <c r="S53" s="810"/>
      <c r="T53" s="1118">
        <v>969.45064895864778</v>
      </c>
      <c r="U53" s="807"/>
      <c r="V53" s="775">
        <f>+R53+T53</f>
        <v>4756.8284866753738</v>
      </c>
      <c r="W53" s="810"/>
      <c r="X53" s="1118">
        <v>940.0236920752069</v>
      </c>
      <c r="Y53" s="808"/>
      <c r="Z53" s="774">
        <f>SUM(P53,T53,X53)</f>
        <v>2882.9030129952498</v>
      </c>
      <c r="AA53" s="800"/>
      <c r="AB53" s="2290">
        <f>SUM(N53,Z53)</f>
        <v>5696.8521787505806</v>
      </c>
      <c r="AC53" s="810"/>
      <c r="AD53" s="1118">
        <v>956.70527968438648</v>
      </c>
      <c r="AE53" s="807"/>
      <c r="AF53" s="775">
        <f>+AB53+AD53</f>
        <v>6653.557458434967</v>
      </c>
      <c r="AG53" s="810"/>
      <c r="AH53" s="1118">
        <v>939.32254909136691</v>
      </c>
      <c r="AI53" s="807"/>
      <c r="AJ53" s="775">
        <f>+AF53+AH53</f>
        <v>7592.8800075263334</v>
      </c>
      <c r="AK53" s="810"/>
      <c r="AL53" s="1118">
        <v>971.27816825387947</v>
      </c>
      <c r="AM53" s="808"/>
      <c r="AN53" s="774">
        <f>SUM(AD53,AH53,AL53)</f>
        <v>2867.3059970296326</v>
      </c>
      <c r="AO53" s="807"/>
      <c r="AP53" s="753">
        <f>AJ53+AL53</f>
        <v>8564.1581757802123</v>
      </c>
      <c r="AQ53" s="810"/>
      <c r="AR53" s="1118">
        <v>963.10192172250731</v>
      </c>
      <c r="AS53" s="807"/>
      <c r="AT53" s="775">
        <f>+AP53+AR53</f>
        <v>9527.2600975027199</v>
      </c>
      <c r="AU53" s="810"/>
      <c r="AV53" s="1118">
        <v>871.36281316027771</v>
      </c>
      <c r="AW53" s="807"/>
      <c r="AX53" s="775">
        <f>+AT53+AV53</f>
        <v>10398.622910662998</v>
      </c>
      <c r="AY53" s="810"/>
      <c r="AZ53" s="1118">
        <v>970.54957763475466</v>
      </c>
      <c r="BA53" s="808"/>
      <c r="BB53" s="774">
        <f>SUM(AR53,AV53,AZ53)</f>
        <v>2805.0143125175396</v>
      </c>
      <c r="BC53" s="800"/>
      <c r="BD53" s="2290">
        <f>SUM(AN53,BB53)</f>
        <v>5672.3203095471727</v>
      </c>
      <c r="BE53" s="807"/>
      <c r="BF53" s="775">
        <f>+AX53+AZ53</f>
        <v>11369.172488297752</v>
      </c>
      <c r="BG53" s="1202">
        <f t="shared" si="11"/>
        <v>0</v>
      </c>
      <c r="BH53" s="1202">
        <f t="shared" si="12"/>
        <v>0</v>
      </c>
      <c r="BI53" s="1202"/>
      <c r="BJ53" s="1202">
        <f t="shared" si="13"/>
        <v>0</v>
      </c>
      <c r="BK53" s="1202">
        <f t="shared" si="14"/>
        <v>0</v>
      </c>
      <c r="BL53" s="26"/>
      <c r="BM53" s="26"/>
      <c r="BN53" s="26"/>
    </row>
    <row r="54" spans="1:66" ht="16.5" customHeight="1" thickBot="1" x14ac:dyDescent="0.35">
      <c r="B54" s="2300" t="s">
        <v>144</v>
      </c>
      <c r="C54" s="2301" t="s">
        <v>50</v>
      </c>
      <c r="D54" s="108"/>
      <c r="E54" s="108"/>
      <c r="F54" s="2302">
        <f>SUM(F52:F53)</f>
        <v>1439.6206072819591</v>
      </c>
      <c r="G54" s="108"/>
      <c r="H54" s="2302">
        <f>SUM(H52:H53)</f>
        <v>1496.7866673046483</v>
      </c>
      <c r="I54" s="1170"/>
      <c r="J54" s="1171">
        <f t="shared" si="163"/>
        <v>2936.4072745866074</v>
      </c>
      <c r="K54" s="108"/>
      <c r="L54" s="2302">
        <f>SUM(L52:L53)</f>
        <v>1447.4743122284592</v>
      </c>
      <c r="M54" s="1539"/>
      <c r="N54" s="2303">
        <f t="shared" si="164"/>
        <v>4383.8815868150668</v>
      </c>
      <c r="O54" s="108"/>
      <c r="P54" s="2302">
        <f>SUM(P52:P53)</f>
        <v>1498.2105182739276</v>
      </c>
      <c r="Q54" s="1170"/>
      <c r="R54" s="2304">
        <f t="shared" ref="R54" si="189">SUM(R52:R53)</f>
        <v>5882.0921050889947</v>
      </c>
      <c r="S54" s="108"/>
      <c r="T54" s="2302">
        <f>SUM(T52:T53)</f>
        <v>1508.4809769966093</v>
      </c>
      <c r="U54" s="1170"/>
      <c r="V54" s="2304">
        <f t="shared" ref="V54" si="190">SUM(V52:V53)</f>
        <v>7390.5730820856043</v>
      </c>
      <c r="W54" s="108"/>
      <c r="X54" s="2302">
        <f>SUM(X52:X53)</f>
        <v>1465.2963626891053</v>
      </c>
      <c r="Y54" s="1539"/>
      <c r="Z54" s="2303">
        <f>SUM(Z52:Z53)</f>
        <v>4471.9878579596425</v>
      </c>
      <c r="AA54" s="2312"/>
      <c r="AB54" s="2046">
        <f>SUM(AB52:AB53)</f>
        <v>8855.8694447747093</v>
      </c>
      <c r="AC54" s="108"/>
      <c r="AD54" s="2302">
        <f>SUM(AD52:AD53)</f>
        <v>1492.504613572813</v>
      </c>
      <c r="AE54" s="1170"/>
      <c r="AF54" s="2304">
        <f t="shared" ref="AF54" si="191">SUM(AF52:AF53)</f>
        <v>10348.374058347523</v>
      </c>
      <c r="AG54" s="108"/>
      <c r="AH54" s="2302">
        <f>SUM(AH52:AH53)</f>
        <v>1440.8118230187597</v>
      </c>
      <c r="AI54" s="1170"/>
      <c r="AJ54" s="2304">
        <f t="shared" ref="AJ54" si="192">SUM(AJ52:AJ53)</f>
        <v>11789.18588136628</v>
      </c>
      <c r="AK54" s="108"/>
      <c r="AL54" s="2302">
        <f>SUM(AL52:AL53)</f>
        <v>1488.7861620651224</v>
      </c>
      <c r="AM54" s="1539"/>
      <c r="AN54" s="2303">
        <f>SUM(AN52:AN53)</f>
        <v>4422.1025986566947</v>
      </c>
      <c r="AO54" s="1170"/>
      <c r="AP54" s="2304">
        <f t="shared" ref="AP54" si="193">SUM(AP52:AP53)</f>
        <v>13277.972043431404</v>
      </c>
      <c r="AQ54" s="108"/>
      <c r="AR54" s="2302">
        <f>SUM(AR52:AR53)</f>
        <v>1485.0133676921637</v>
      </c>
      <c r="AS54" s="1170"/>
      <c r="AT54" s="2304">
        <f t="shared" ref="AT54" si="194">SUM(AT52:AT53)</f>
        <v>14762.985411123567</v>
      </c>
      <c r="AU54" s="108"/>
      <c r="AV54" s="2302">
        <f>SUM(AV52:AV53)</f>
        <v>1340.5343802705634</v>
      </c>
      <c r="AW54" s="1170"/>
      <c r="AX54" s="2304">
        <f t="shared" ref="AX54" si="195">SUM(AX52:AX53)</f>
        <v>16103.51979139413</v>
      </c>
      <c r="AY54" s="108"/>
      <c r="AZ54" s="2302">
        <f>SUM(AZ52:AZ53)</f>
        <v>1508.8025648617838</v>
      </c>
      <c r="BA54" s="1539"/>
      <c r="BB54" s="2303">
        <f>SUM(BB52:BB53)</f>
        <v>4334.3503128245102</v>
      </c>
      <c r="BC54" s="2312"/>
      <c r="BD54" s="2046">
        <f>SUM(BD52:BD53)</f>
        <v>8756.4529114812067</v>
      </c>
      <c r="BE54" s="1170"/>
      <c r="BF54" s="2304">
        <f t="shared" ref="BF54" si="196">SUM(BF52:BF53)</f>
        <v>17612.322356255914</v>
      </c>
      <c r="BG54" s="1202">
        <f t="shared" si="11"/>
        <v>0</v>
      </c>
      <c r="BH54" s="1202">
        <f t="shared" si="12"/>
        <v>0</v>
      </c>
      <c r="BI54" s="1202"/>
      <c r="BJ54" s="1202">
        <f t="shared" si="13"/>
        <v>0</v>
      </c>
      <c r="BK54" s="1202">
        <f t="shared" si="14"/>
        <v>0</v>
      </c>
      <c r="BL54" s="26"/>
      <c r="BM54" s="26"/>
      <c r="BN54" s="26"/>
    </row>
    <row r="55" spans="1:66" ht="15.75" customHeight="1" x14ac:dyDescent="0.3">
      <c r="B55" s="1773" t="s">
        <v>158</v>
      </c>
      <c r="C55" s="156" t="s">
        <v>50</v>
      </c>
      <c r="D55" s="810"/>
      <c r="E55" s="810"/>
      <c r="F55" s="1185">
        <f t="shared" ref="F55" si="197">+F43+F46+F49+F52</f>
        <v>39094.751187280606</v>
      </c>
      <c r="G55" s="810"/>
      <c r="H55" s="1185">
        <f t="shared" ref="H55:H56" si="198">+H43+H46+H49+H52</f>
        <v>40784.261546445246</v>
      </c>
      <c r="I55" s="807"/>
      <c r="J55" s="251">
        <f t="shared" si="163"/>
        <v>79879.01273372586</v>
      </c>
      <c r="K55" s="810"/>
      <c r="L55" s="1185">
        <f t="shared" ref="L55" si="199">+L43+L46+L49+L52</f>
        <v>38650.885056284213</v>
      </c>
      <c r="M55" s="808"/>
      <c r="N55" s="774">
        <f t="shared" si="164"/>
        <v>118529.89779001007</v>
      </c>
      <c r="O55" s="810"/>
      <c r="P55" s="1185">
        <f t="shared" ref="P55:P56" si="200">+P43+P46+P49+P52</f>
        <v>39621.029396596183</v>
      </c>
      <c r="Q55" s="807"/>
      <c r="R55" s="775">
        <f>+N55+P55</f>
        <v>158150.92718660625</v>
      </c>
      <c r="S55" s="810"/>
      <c r="T55" s="1185">
        <f t="shared" ref="T55:T56" si="201">+T43+T46+T49+T52</f>
        <v>40696.789766866095</v>
      </c>
      <c r="U55" s="807"/>
      <c r="V55" s="775">
        <f>+R55+T55</f>
        <v>198847.71695347235</v>
      </c>
      <c r="W55" s="810"/>
      <c r="X55" s="1185">
        <f t="shared" ref="X55:X56" si="202">+X43+X46+X49+X52</f>
        <v>39658.086631349324</v>
      </c>
      <c r="Y55" s="808"/>
      <c r="Z55" s="774">
        <f>SUM(P55,T55,X55)</f>
        <v>119975.90579481161</v>
      </c>
      <c r="AA55" s="800"/>
      <c r="AB55" s="2290">
        <f>SUM(N55,Z55)</f>
        <v>238505.8035848217</v>
      </c>
      <c r="AC55" s="810"/>
      <c r="AD55" s="1185">
        <f t="shared" ref="AD55:AD56" si="203">+AD43+AD46+AD49+AD52</f>
        <v>40452.849708576192</v>
      </c>
      <c r="AE55" s="807"/>
      <c r="AF55" s="775">
        <f>+AB55+AD55</f>
        <v>278958.65329339786</v>
      </c>
      <c r="AG55" s="810"/>
      <c r="AH55" s="1185">
        <f t="shared" ref="AH55:AH56" si="204">+AH43+AH46+AH49+AH52</f>
        <v>37360.950907590763</v>
      </c>
      <c r="AI55" s="807"/>
      <c r="AJ55" s="775">
        <f>+AF55+AH55</f>
        <v>316319.6042009886</v>
      </c>
      <c r="AK55" s="810"/>
      <c r="AL55" s="1185">
        <f t="shared" ref="AL55:AL56" si="205">+AL43+AL46+AL49+AL52</f>
        <v>38554.345538937581</v>
      </c>
      <c r="AM55" s="808"/>
      <c r="AN55" s="774">
        <f>SUM(AD55,AH55,AL55)</f>
        <v>116368.14615510454</v>
      </c>
      <c r="AO55" s="807"/>
      <c r="AP55" s="753">
        <f>AJ55+AL55</f>
        <v>354873.9497399262</v>
      </c>
      <c r="AQ55" s="810"/>
      <c r="AR55" s="1185">
        <f t="shared" ref="AR55:AR56" si="206">+AR43+AR46+AR49+AR52</f>
        <v>38882.402724739397</v>
      </c>
      <c r="AS55" s="807"/>
      <c r="AT55" s="775">
        <f>+AP55+AR55</f>
        <v>393756.3524646656</v>
      </c>
      <c r="AU55" s="810"/>
      <c r="AV55" s="1185">
        <f t="shared" ref="AV55:AV56" si="207">+AV43+AV46+AV49+AV52</f>
        <v>34953.281749716283</v>
      </c>
      <c r="AW55" s="807"/>
      <c r="AX55" s="775">
        <f>+AT55+AV55</f>
        <v>428709.63421438186</v>
      </c>
      <c r="AY55" s="810"/>
      <c r="AZ55" s="1185">
        <f t="shared" ref="AZ55:AZ56" si="208">+AZ43+AZ46+AZ49+AZ52</f>
        <v>40099.84754841368</v>
      </c>
      <c r="BA55" s="808"/>
      <c r="BB55" s="774">
        <f>SUM(AR55,AV55,AZ55)</f>
        <v>113935.53202286936</v>
      </c>
      <c r="BC55" s="800"/>
      <c r="BD55" s="2290">
        <f>SUM(AN55,BB55)</f>
        <v>230303.6781779739</v>
      </c>
      <c r="BE55" s="807"/>
      <c r="BF55" s="775">
        <f>+AX55+AZ55</f>
        <v>468809.48176279553</v>
      </c>
      <c r="BG55" s="1202">
        <f t="shared" si="11"/>
        <v>0</v>
      </c>
      <c r="BH55" s="1202">
        <f t="shared" si="12"/>
        <v>0</v>
      </c>
      <c r="BI55" s="1202"/>
      <c r="BJ55" s="1202">
        <f t="shared" si="13"/>
        <v>0</v>
      </c>
      <c r="BK55" s="1202">
        <f t="shared" si="14"/>
        <v>0</v>
      </c>
      <c r="BL55" s="26"/>
      <c r="BM55" s="26"/>
      <c r="BN55" s="26"/>
    </row>
    <row r="56" spans="1:66" ht="16.5" customHeight="1" thickBot="1" x14ac:dyDescent="0.35">
      <c r="B56" s="1773" t="s">
        <v>159</v>
      </c>
      <c r="C56" s="156" t="s">
        <v>50</v>
      </c>
      <c r="D56" s="810"/>
      <c r="E56" s="810"/>
      <c r="F56" s="1185">
        <f t="shared" ref="F56" si="209">+F44+F47+F50+F53</f>
        <v>69596.604662507307</v>
      </c>
      <c r="G56" s="810"/>
      <c r="H56" s="1185">
        <f t="shared" si="198"/>
        <v>72223.131835055683</v>
      </c>
      <c r="I56" s="807"/>
      <c r="J56" s="251">
        <f t="shared" si="163"/>
        <v>141819.73649756299</v>
      </c>
      <c r="K56" s="810"/>
      <c r="L56" s="1185">
        <f t="shared" ref="L56" si="210">+L44+L47+L50+L53</f>
        <v>70633.42551696446</v>
      </c>
      <c r="M56" s="808"/>
      <c r="N56" s="774">
        <f t="shared" si="164"/>
        <v>212453.16201452745</v>
      </c>
      <c r="O56" s="810"/>
      <c r="P56" s="1185">
        <f t="shared" si="200"/>
        <v>73493.864733085327</v>
      </c>
      <c r="Q56" s="807"/>
      <c r="R56" s="775">
        <f>+N56+P56</f>
        <v>285947.02674761275</v>
      </c>
      <c r="S56" s="810"/>
      <c r="T56" s="1185">
        <f t="shared" si="201"/>
        <v>73193.523996377917</v>
      </c>
      <c r="U56" s="807"/>
      <c r="V56" s="775">
        <f>+R56+T56</f>
        <v>359140.55074399069</v>
      </c>
      <c r="W56" s="810"/>
      <c r="X56" s="1185">
        <f t="shared" si="202"/>
        <v>70971.788751678119</v>
      </c>
      <c r="Y56" s="808"/>
      <c r="Z56" s="774">
        <f>SUM(P56,T56,X56)</f>
        <v>217659.17748114135</v>
      </c>
      <c r="AA56" s="800"/>
      <c r="AB56" s="2290">
        <f>SUM(N56,Z56)</f>
        <v>430112.33949566877</v>
      </c>
      <c r="AC56" s="810"/>
      <c r="AD56" s="1185">
        <f t="shared" si="203"/>
        <v>72231.2486161712</v>
      </c>
      <c r="AE56" s="807"/>
      <c r="AF56" s="775">
        <f>+AB56+AD56</f>
        <v>502343.58811183996</v>
      </c>
      <c r="AG56" s="810"/>
      <c r="AH56" s="1185">
        <f t="shared" si="204"/>
        <v>69979.529907306816</v>
      </c>
      <c r="AI56" s="807"/>
      <c r="AJ56" s="775">
        <f>+AF56+AH56</f>
        <v>572323.11801914673</v>
      </c>
      <c r="AK56" s="810"/>
      <c r="AL56" s="1185">
        <f t="shared" si="205"/>
        <v>72360.22353491401</v>
      </c>
      <c r="AM56" s="808"/>
      <c r="AN56" s="774">
        <f>SUM(AD56,AH56,AL56)</f>
        <v>214571.00205839204</v>
      </c>
      <c r="AO56" s="807"/>
      <c r="AP56" s="753">
        <f>AJ56+AL56</f>
        <v>644683.34155406069</v>
      </c>
      <c r="AQ56" s="810"/>
      <c r="AR56" s="1185">
        <f t="shared" si="206"/>
        <v>71751.093168326785</v>
      </c>
      <c r="AS56" s="807"/>
      <c r="AT56" s="775">
        <f>+AP56+AR56</f>
        <v>716434.43472238746</v>
      </c>
      <c r="AU56" s="810"/>
      <c r="AV56" s="1185">
        <f t="shared" si="207"/>
        <v>64916.529580440678</v>
      </c>
      <c r="AW56" s="807"/>
      <c r="AX56" s="775">
        <f>+AT56+AV56</f>
        <v>781350.96430282819</v>
      </c>
      <c r="AY56" s="810"/>
      <c r="AZ56" s="1185">
        <f t="shared" si="208"/>
        <v>72305.943533789192</v>
      </c>
      <c r="BA56" s="808"/>
      <c r="BB56" s="774">
        <f>SUM(AR56,AV56,AZ56)</f>
        <v>208973.56628255665</v>
      </c>
      <c r="BC56" s="800"/>
      <c r="BD56" s="2290">
        <f>SUM(AN56,BB56)</f>
        <v>423544.56834094867</v>
      </c>
      <c r="BE56" s="807"/>
      <c r="BF56" s="775">
        <f>+AX56+AZ56</f>
        <v>853656.90783661744</v>
      </c>
      <c r="BG56" s="1202">
        <f t="shared" si="11"/>
        <v>0</v>
      </c>
      <c r="BH56" s="1202">
        <f t="shared" si="12"/>
        <v>0</v>
      </c>
      <c r="BI56" s="1202"/>
      <c r="BJ56" s="1202">
        <f t="shared" si="13"/>
        <v>0</v>
      </c>
      <c r="BK56" s="1202">
        <f t="shared" si="14"/>
        <v>0</v>
      </c>
      <c r="BL56" s="26"/>
      <c r="BM56" s="26"/>
      <c r="BN56" s="26"/>
    </row>
    <row r="57" spans="1:66" ht="16.5" customHeight="1" thickBot="1" x14ac:dyDescent="0.35">
      <c r="B57" s="2300" t="s">
        <v>145</v>
      </c>
      <c r="C57" s="2301" t="s">
        <v>50</v>
      </c>
      <c r="D57" s="108"/>
      <c r="E57" s="108"/>
      <c r="F57" s="2302">
        <f t="shared" ref="F57:H57" si="211">SUM(F55:F56)</f>
        <v>108691.35584978791</v>
      </c>
      <c r="G57" s="108"/>
      <c r="H57" s="2302">
        <f t="shared" si="211"/>
        <v>113007.39338150094</v>
      </c>
      <c r="I57" s="1170"/>
      <c r="J57" s="1171">
        <f t="shared" si="163"/>
        <v>221698.74923128885</v>
      </c>
      <c r="K57" s="108"/>
      <c r="L57" s="2302">
        <f t="shared" ref="L57" si="212">SUM(L55:L56)</f>
        <v>109284.31057324867</v>
      </c>
      <c r="M57" s="1539"/>
      <c r="N57" s="2303">
        <f t="shared" si="164"/>
        <v>330983.05980453751</v>
      </c>
      <c r="O57" s="108"/>
      <c r="P57" s="2302">
        <f t="shared" ref="P57" si="213">SUM(P55:P56)</f>
        <v>113114.89412968152</v>
      </c>
      <c r="Q57" s="1170"/>
      <c r="R57" s="2304">
        <f t="shared" ref="R57" si="214">SUM(R55:R56)</f>
        <v>444097.95393421897</v>
      </c>
      <c r="S57" s="108"/>
      <c r="T57" s="2302">
        <f t="shared" ref="T57" si="215">SUM(T55:T56)</f>
        <v>113890.31376324402</v>
      </c>
      <c r="U57" s="1170"/>
      <c r="V57" s="2304">
        <f t="shared" ref="V57" si="216">SUM(V55:V56)</f>
        <v>557988.26769746304</v>
      </c>
      <c r="W57" s="108"/>
      <c r="X57" s="2302">
        <f t="shared" ref="X57" si="217">SUM(X55:X56)</f>
        <v>110629.87538302745</v>
      </c>
      <c r="Y57" s="1539"/>
      <c r="Z57" s="2303">
        <f>SUM(Z55:Z56)</f>
        <v>337635.08327595296</v>
      </c>
      <c r="AA57" s="2312"/>
      <c r="AB57" s="2046">
        <f>SUM(AB55:AB56)</f>
        <v>668618.14308049041</v>
      </c>
      <c r="AC57" s="108"/>
      <c r="AD57" s="2302">
        <f t="shared" ref="AD57" si="218">SUM(AD55:AD56)</f>
        <v>112684.09832474739</v>
      </c>
      <c r="AE57" s="1170"/>
      <c r="AF57" s="2304">
        <f t="shared" ref="AF57" si="219">SUM(AF55:AF56)</f>
        <v>781302.24140523782</v>
      </c>
      <c r="AG57" s="108"/>
      <c r="AH57" s="2302">
        <f t="shared" ref="AH57" si="220">SUM(AH55:AH56)</f>
        <v>107340.48081489757</v>
      </c>
      <c r="AI57" s="1170"/>
      <c r="AJ57" s="2304">
        <f t="shared" ref="AJ57" si="221">SUM(AJ55:AJ56)</f>
        <v>888642.72222013539</v>
      </c>
      <c r="AK57" s="108"/>
      <c r="AL57" s="2302">
        <f t="shared" ref="AL57" si="222">SUM(AL55:AL56)</f>
        <v>110914.5690738516</v>
      </c>
      <c r="AM57" s="1539"/>
      <c r="AN57" s="2303">
        <f>SUM(AN55:AN56)</f>
        <v>330939.14821349655</v>
      </c>
      <c r="AO57" s="1170"/>
      <c r="AP57" s="2304">
        <f t="shared" ref="AP57" si="223">SUM(AP55:AP56)</f>
        <v>999557.29129398684</v>
      </c>
      <c r="AQ57" s="108"/>
      <c r="AR57" s="2302">
        <f t="shared" ref="AR57" si="224">SUM(AR55:AR56)</f>
        <v>110633.49589306618</v>
      </c>
      <c r="AS57" s="1170"/>
      <c r="AT57" s="2304">
        <f t="shared" ref="AT57" si="225">SUM(AT55:AT56)</f>
        <v>1110190.7871870531</v>
      </c>
      <c r="AU57" s="108"/>
      <c r="AV57" s="2302">
        <f t="shared" ref="AV57" si="226">SUM(AV55:AV56)</f>
        <v>99869.811330156954</v>
      </c>
      <c r="AW57" s="1170"/>
      <c r="AX57" s="2304">
        <f t="shared" ref="AX57" si="227">SUM(AX55:AX56)</f>
        <v>1210060.59851721</v>
      </c>
      <c r="AY57" s="108"/>
      <c r="AZ57" s="2302">
        <f t="shared" ref="AZ57" si="228">SUM(AZ55:AZ56)</f>
        <v>112405.79108220286</v>
      </c>
      <c r="BA57" s="1539"/>
      <c r="BB57" s="2303">
        <f>SUM(BB55:BB56)</f>
        <v>322909.09830542601</v>
      </c>
      <c r="BC57" s="2312"/>
      <c r="BD57" s="2046">
        <f>SUM(BD55:BD56)</f>
        <v>653848.2465189225</v>
      </c>
      <c r="BE57" s="1170"/>
      <c r="BF57" s="2304">
        <f t="shared" ref="BF57" si="229">SUM(BF55:BF56)</f>
        <v>1322466.3895994129</v>
      </c>
      <c r="BG57" s="1202">
        <f t="shared" si="11"/>
        <v>0</v>
      </c>
      <c r="BH57" s="1202">
        <f t="shared" si="12"/>
        <v>0</v>
      </c>
      <c r="BI57" s="1202"/>
      <c r="BJ57" s="1202">
        <f t="shared" si="13"/>
        <v>0</v>
      </c>
      <c r="BK57" s="1202">
        <f t="shared" si="14"/>
        <v>0</v>
      </c>
      <c r="BL57" s="26"/>
      <c r="BM57" s="26"/>
      <c r="BN57" s="26"/>
    </row>
    <row r="58" spans="1:66" ht="15" thickBot="1" x14ac:dyDescent="0.35">
      <c r="A58" s="528"/>
      <c r="B58" s="528"/>
      <c r="C58" s="528"/>
      <c r="D58" s="528"/>
      <c r="E58" s="528"/>
      <c r="F58" s="528"/>
      <c r="G58" s="528"/>
      <c r="H58" s="528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Y58" s="528"/>
      <c r="Z58" s="528"/>
      <c r="AA58" s="528"/>
      <c r="AB58" s="528"/>
      <c r="AC58" s="528"/>
      <c r="AD58" s="528"/>
      <c r="AE58" s="528"/>
      <c r="AF58" s="528"/>
      <c r="AG58" s="528"/>
      <c r="AH58" s="528"/>
      <c r="AI58" s="528"/>
      <c r="AJ58" s="528"/>
      <c r="AK58" s="528"/>
      <c r="AL58" s="528"/>
      <c r="AM58" s="528"/>
      <c r="AN58" s="528"/>
      <c r="AO58" s="528"/>
      <c r="AP58" s="528"/>
      <c r="AQ58" s="528"/>
      <c r="AR58" s="528"/>
      <c r="AS58" s="528"/>
      <c r="AT58" s="528"/>
      <c r="AU58" s="528"/>
      <c r="AV58" s="528"/>
      <c r="AW58" s="528"/>
      <c r="AX58" s="528"/>
      <c r="AY58" s="528"/>
      <c r="AZ58" s="528"/>
      <c r="BA58" s="528"/>
      <c r="BB58" s="528"/>
      <c r="BC58" s="528"/>
      <c r="BD58" s="528"/>
      <c r="BE58" s="528"/>
      <c r="BF58" s="528"/>
      <c r="BG58" s="1202">
        <f t="shared" si="11"/>
        <v>0</v>
      </c>
      <c r="BH58" s="1202">
        <f t="shared" si="12"/>
        <v>0</v>
      </c>
      <c r="BI58" s="1202"/>
      <c r="BJ58" s="1202">
        <f t="shared" si="13"/>
        <v>0</v>
      </c>
      <c r="BK58" s="1202">
        <f t="shared" si="14"/>
        <v>0</v>
      </c>
      <c r="BL58" s="26"/>
      <c r="BM58" s="26"/>
      <c r="BN58" s="26"/>
    </row>
    <row r="59" spans="1:66" ht="16.2" thickBot="1" x14ac:dyDescent="0.35">
      <c r="A59"/>
      <c r="B59" s="1777" t="s">
        <v>1530</v>
      </c>
      <c r="D59"/>
      <c r="E59"/>
      <c r="F59" s="1621"/>
      <c r="G59"/>
      <c r="H59" s="1621"/>
      <c r="I59"/>
      <c r="J59"/>
      <c r="K59"/>
      <c r="L59" s="1621"/>
      <c r="M59"/>
      <c r="N59"/>
      <c r="O59"/>
      <c r="P59" s="1621"/>
      <c r="Q59"/>
      <c r="R59"/>
      <c r="S59"/>
      <c r="T59" s="1621"/>
      <c r="U59"/>
      <c r="X59" s="1621"/>
      <c r="AD59" s="1621"/>
      <c r="AH59" s="1621"/>
      <c r="AL59" s="1621"/>
      <c r="AR59" s="1621"/>
      <c r="AV59" s="1621"/>
      <c r="AZ59" s="1621"/>
      <c r="BG59" s="1202">
        <f t="shared" si="11"/>
        <v>0</v>
      </c>
      <c r="BH59" s="1202">
        <f t="shared" si="12"/>
        <v>0</v>
      </c>
      <c r="BI59" s="1202"/>
      <c r="BJ59" s="1202">
        <f t="shared" si="13"/>
        <v>0</v>
      </c>
      <c r="BK59" s="1202">
        <f t="shared" si="14"/>
        <v>0</v>
      </c>
      <c r="BL59" s="26"/>
      <c r="BM59" s="26"/>
      <c r="BN59" s="26"/>
    </row>
    <row r="60" spans="1:66" ht="16.2" thickBot="1" x14ac:dyDescent="0.35">
      <c r="A60" s="92"/>
      <c r="B60" s="1769" t="s">
        <v>146</v>
      </c>
      <c r="C60" s="1747" t="s">
        <v>221</v>
      </c>
      <c r="D60" s="1755">
        <v>18.960953126358817</v>
      </c>
      <c r="E60" s="1748">
        <v>19.102040816326529</v>
      </c>
      <c r="F60" s="1748">
        <v>19.066666666666666</v>
      </c>
      <c r="G60" s="1748">
        <v>19.102040816326529</v>
      </c>
      <c r="H60" s="1748">
        <v>19.016666666666666</v>
      </c>
      <c r="I60" s="1749">
        <f>+((E60*E$5*E$2)+(G60*G$2*G$5))/((E$5*E$2)+(G$5*G$2))</f>
        <v>19.102040816326532</v>
      </c>
      <c r="J60" s="1751">
        <f>+((F60*F$5*F$2)+(H60*H$2*H$5))/((F$5*F$2)+(H$5*H$2))</f>
        <v>19.04120385953102</v>
      </c>
      <c r="K60" s="1748">
        <v>18.893617021276597</v>
      </c>
      <c r="L60" s="1748">
        <v>18.866666666666667</v>
      </c>
      <c r="M60" s="1750">
        <f t="shared" ref="M60:N61" si="230">+((E60*E$5*E$2)+(G60*G$5*G$2)+(K60*K$5*K$2))/((E$5*E$2)+(G$5*G$2)+(K$5*K$2))</f>
        <v>19.035235280745624</v>
      </c>
      <c r="N60" s="2373">
        <f t="shared" si="230"/>
        <v>18.984198398307644</v>
      </c>
      <c r="O60" s="1748">
        <v>18.893617021276597</v>
      </c>
      <c r="P60" s="1748">
        <v>18.616666666666667</v>
      </c>
      <c r="Q60" s="1749">
        <f>+((M60*M$5*M$2)+(O60*O$2*O$5))/((M$5*M$2)+(O$5*O$2))</f>
        <v>19</v>
      </c>
      <c r="R60" s="1749">
        <f>+((N60*N$5*N$2)+(P60*P$5*P$2))/((N$5*N$2)+(P$5*P$2))</f>
        <v>18.891925536128557</v>
      </c>
      <c r="S60" s="1748">
        <v>18.893617021276597</v>
      </c>
      <c r="T60" s="1748">
        <v>18.883333333333333</v>
      </c>
      <c r="U60" s="1749">
        <f>+((Q60*Q$5*Q$2)+(S60*S$2*S$5))/((Q$5*Q$2)+(S$5*S$2))</f>
        <v>18.978804868043209</v>
      </c>
      <c r="V60" s="1749">
        <f>+((R60*R$5*R$2)+(T60*T$5*T$2))/((R$5*R$2)+(T$5*T$2))</f>
        <v>18.890164192532609</v>
      </c>
      <c r="W60" s="1748">
        <v>19.283387622149839</v>
      </c>
      <c r="X60" s="1748">
        <v>19</v>
      </c>
      <c r="Y60" s="1750">
        <f>+((O60*O$5*O$2)+(S60*S$5*S$2)+(W60*W$5*W$2))/((O$5*O$2)+(S$5*S$2)+(W$5*W$2))</f>
        <v>19.018973344197416</v>
      </c>
      <c r="Z60" s="2348">
        <f>(P60*P$5*P$2+T60*T$5*T$2+X60*X$5*X$2)/(P$5*P$2+T$5*T$2+X$5*X$2)</f>
        <v>18.833445240226801</v>
      </c>
      <c r="AA60" s="2350">
        <f t="shared" ref="AA60:AB61" si="231">(M60*M$5*M$2+Y60*Y$5*Y$2)/(M$5*M$2+Y$5*Y$2)</f>
        <v>19.0272011041463</v>
      </c>
      <c r="AB60" s="2349">
        <f t="shared" si="231"/>
        <v>18.908346471471475</v>
      </c>
      <c r="AC60" s="1748">
        <v>18.893617021276597</v>
      </c>
      <c r="AD60" s="1748">
        <v>19.3</v>
      </c>
      <c r="AE60" s="1749">
        <f t="shared" ref="AE60:AE61" si="232">+((AA60*AA$5*AA$2)+(AC60*AC$5*AC$2))/((AA$5*AA$2)+(AC$5*AC$2))</f>
        <v>19.008028370191596</v>
      </c>
      <c r="AF60" s="1751">
        <f t="shared" ref="AF60:AF61" si="233">+((AB60*AB$5*AB$2)+(AD60*AD$5*AD$2))/((AB$5*AB$2)+(AD$5*AD$2))</f>
        <v>18.964830787516668</v>
      </c>
      <c r="AG60" s="1748">
        <v>18.893617021276597</v>
      </c>
      <c r="AH60" s="1748">
        <v>18.7</v>
      </c>
      <c r="AI60" s="1749">
        <f t="shared" ref="AI60:AI61" si="234">+((AE60*AE$5*AE$2)+(AG60*AG$5*AG$2))/((AE$5*AE$2)+(AG$5*AG$2))</f>
        <v>18.99407516325736</v>
      </c>
      <c r="AJ60" s="1751">
        <f t="shared" ref="AJ60:AJ61" si="235">+((AF60*AF$5*AF$2)+(AH60*AH$5*AH$2))/((AF$5*AF$2)+(AH$5*AH$2))</f>
        <v>18.933080294034497</v>
      </c>
      <c r="AK60" s="1748">
        <v>18.893617021276597</v>
      </c>
      <c r="AL60" s="1748">
        <v>19.05</v>
      </c>
      <c r="AM60" s="1750">
        <f>+((AC60*AC$5*AC$2)+(AG60*AG$5*AG$2)+(AK60*AK$5*AK$2))/((AC$5*AC$2)+(AG$5*AG$2)+(AK$5*AK$2))</f>
        <v>18.893617021276601</v>
      </c>
      <c r="AN60" s="2348">
        <f>(AD60*AD$5*AD$2+AH60*AH$5*AH$2+AL60*AL$5*AL$2)/(AD$5*AD$2+AH$5*AH$2+AL$5*AL$2)</f>
        <v>19.022393270001142</v>
      </c>
      <c r="AO60" s="1749">
        <f t="shared" ref="AO60:AP61" si="236">+((AK60*AK$5*AK$2)+(AI60*AI$5*AI$2))/((AK$5*AK$2)+(AI$5*AI$2))</f>
        <v>18.98283212351653</v>
      </c>
      <c r="AP60" s="1751">
        <f t="shared" si="236"/>
        <v>18.945951742964617</v>
      </c>
      <c r="AQ60" s="1748">
        <v>18.893617021276597</v>
      </c>
      <c r="AR60" s="1748">
        <v>19.05</v>
      </c>
      <c r="AS60" s="1749">
        <f t="shared" ref="AS60:AS61" si="237">+((AO60*AO$5*AO$2)+(AQ60*AQ$5*AQ$2))/((AO$5*AO$2)+(AQ$5*AQ$2))</f>
        <v>18.973852371247968</v>
      </c>
      <c r="AT60" s="1751">
        <f t="shared" ref="AT60:AT61" si="238">+((AP60*AP$5*AP$2)+(AR60*AR$5*AR$2))/((AP$5*AP$2)+(AR$5*AR$2))</f>
        <v>18.956343490618391</v>
      </c>
      <c r="AU60" s="1748">
        <v>18.893617021276597</v>
      </c>
      <c r="AV60" s="1748">
        <v>18.916666666666668</v>
      </c>
      <c r="AW60" s="1749">
        <f t="shared" ref="AW60:AW61" si="239">+((AS60*AS$5*AS$2)+(AU60*AU$5*AU$2))/((AS$5*AS$2)+(AU$5*AU$2))</f>
        <v>18.967165880378683</v>
      </c>
      <c r="AX60" s="1751">
        <f t="shared" ref="AX60:AX61" si="240">+((AT60*AT$5*AT$2)+(AV60*AV$5*AV$2))/((AT$5*AT$2)+(AV$5*AV$2))</f>
        <v>18.953073470278365</v>
      </c>
      <c r="AY60" s="1748">
        <v>18.893617021276597</v>
      </c>
      <c r="AZ60" s="1748">
        <v>19.05</v>
      </c>
      <c r="BA60" s="1750">
        <f>+((AQ60*AQ$5*AQ$2)+(AU60*AU$5*AU$2)+(AY60*AY$5*AY$2))/((AQ$5*AQ$2)+(AU$5*AU$2)+(AY$5*AY$2))</f>
        <v>18.893617021276601</v>
      </c>
      <c r="BB60" s="2348">
        <f>(AR60*AR$5*AR$2+AV60*AV$5*AV$2+AZ60*AZ$5*AZ$2)/(AR$5*AR$2+AV$5*AV$2+AZ$5*AZ$2)</f>
        <v>19.009112348256402</v>
      </c>
      <c r="BC60" s="2350">
        <f>(AM60*AM$5*AM$2+BA60*BA$5*BA$2)/(AM$5*AM$2+BA$5*BA$2)</f>
        <v>18.893617021276601</v>
      </c>
      <c r="BD60" s="2349">
        <f>(AN60*AN$5*AN$2+BB60*BB$5*BB$2)/(AN$5*AN$2+BB$5*BB$2)</f>
        <v>19.015796800890989</v>
      </c>
      <c r="BE60" s="1749">
        <f t="shared" ref="BE60:BE61" si="241">+((AW60*AW$5*AW$2)+(AY60*AY$5*AY$2))/((AW$5*AW$2)+(AY$5*AY$2))</f>
        <v>18.960953126358813</v>
      </c>
      <c r="BF60" s="1751">
        <f t="shared" ref="BF60:BF61" si="242">+((AX60*AX$5*AX$2)+(AZ60*AZ$5*AZ$2))/((AX$5*AX$2)+(AZ$5*AZ$2))</f>
        <v>18.961458185028054</v>
      </c>
      <c r="BG60" s="1202"/>
      <c r="BH60" s="1202"/>
      <c r="BI60" s="1202"/>
      <c r="BJ60" s="1202"/>
      <c r="BK60" s="1202"/>
      <c r="BL60" s="26"/>
      <c r="BM60" s="26"/>
      <c r="BN60" s="26"/>
    </row>
    <row r="61" spans="1:66" ht="16.2" thickBot="1" x14ac:dyDescent="0.35">
      <c r="A61" s="92"/>
      <c r="B61" s="1770" t="s">
        <v>147</v>
      </c>
      <c r="C61" s="1658" t="s">
        <v>221</v>
      </c>
      <c r="D61" s="1756">
        <v>18.019026238248909</v>
      </c>
      <c r="E61" s="1659">
        <v>17.951020408163266</v>
      </c>
      <c r="F61" s="1659">
        <v>17.95</v>
      </c>
      <c r="G61" s="1659">
        <v>17.951020408163266</v>
      </c>
      <c r="H61" s="1659">
        <v>17.916666666666668</v>
      </c>
      <c r="I61" s="1752">
        <f t="shared" ref="I61" si="243">+((E61*E$5*E$2)+(G61*G$2*G$5))/((E$5*E$2)+(G$5*G$2))</f>
        <v>17.951020408163266</v>
      </c>
      <c r="J61" s="1754">
        <f t="shared" ref="J61" si="244">+((F61*F$5*F$2)+(H61*H$2*H$5))/((F$5*F$2)+(H$5*H$2))</f>
        <v>17.933024795242904</v>
      </c>
      <c r="K61" s="1659">
        <v>17.951020408163266</v>
      </c>
      <c r="L61" s="1659">
        <v>17.7</v>
      </c>
      <c r="M61" s="1753">
        <f t="shared" si="230"/>
        <v>17.951020408163266</v>
      </c>
      <c r="N61" s="2374">
        <f t="shared" si="230"/>
        <v>17.856916742218193</v>
      </c>
      <c r="O61" s="1659">
        <v>17.951020408163266</v>
      </c>
      <c r="P61" s="1659">
        <v>17.566666666666666</v>
      </c>
      <c r="Q61" s="1752">
        <f t="shared" ref="Q61" si="245">+((M61*M$5*M$2)+(O61*O$2*O$5))/((M$5*M$2)+(O$5*O$2))</f>
        <v>17.951020408163266</v>
      </c>
      <c r="R61" s="1752">
        <f>+((N61*N$5*N$2)+(P61*P$5*P$2))/((N$5*N$2)+(P$5*P$2))</f>
        <v>17.78404628529395</v>
      </c>
      <c r="S61" s="1659">
        <v>17.951020408163266</v>
      </c>
      <c r="T61" s="1659">
        <v>17.683333333333334</v>
      </c>
      <c r="U61" s="1752">
        <f t="shared" ref="U61" si="246">+((Q61*Q$5*Q$2)+(S61*S$2*S$5))/((Q$5*Q$2)+(S$5*S$2))</f>
        <v>17.951020408163266</v>
      </c>
      <c r="V61" s="1752">
        <f>+((R61*R$5*R$2)+(T61*T$5*T$2))/((R$5*R$2)+(T$5*T$2))</f>
        <v>17.763400809716597</v>
      </c>
      <c r="W61" s="1659">
        <v>18.814973262032083</v>
      </c>
      <c r="X61" s="1659">
        <v>17.633333333333333</v>
      </c>
      <c r="Y61" s="1750">
        <f t="shared" ref="Y61" si="247">+((O61*O$5*O$2)+(S61*S$5*S$2)+(W61*W$5*W$2))/((O$5*O$2)+(S$5*S$2)+(W$5*W$2))</f>
        <v>18.228881161886878</v>
      </c>
      <c r="Z61" s="2348">
        <f>(P61*P$5*P$2+T61*T$5*T$2+X61*X$5*X$2)/(P$5*P$2+T$5*T$2+X$5*X$2)</f>
        <v>17.628263951059388</v>
      </c>
      <c r="AA61" s="2350">
        <f t="shared" si="231"/>
        <v>18.088296947080948</v>
      </c>
      <c r="AB61" s="2349">
        <f t="shared" si="231"/>
        <v>17.741869369369372</v>
      </c>
      <c r="AC61" s="1659">
        <v>17.951020408163266</v>
      </c>
      <c r="AD61" s="1659">
        <v>17.933333333333334</v>
      </c>
      <c r="AE61" s="1752">
        <f t="shared" si="232"/>
        <v>18.068594251203191</v>
      </c>
      <c r="AF61" s="1754">
        <f t="shared" si="233"/>
        <v>17.76948232384073</v>
      </c>
      <c r="AG61" s="1659">
        <v>17.951020408163266</v>
      </c>
      <c r="AH61" s="1659">
        <v>17.649999999999999</v>
      </c>
      <c r="AI61" s="1752">
        <f t="shared" si="234"/>
        <v>18.054255357574657</v>
      </c>
      <c r="AJ61" s="1754">
        <f t="shared" si="235"/>
        <v>17.755157619451513</v>
      </c>
      <c r="AK61" s="1659">
        <v>17.951020408163266</v>
      </c>
      <c r="AL61" s="1659">
        <v>17.583333333333332</v>
      </c>
      <c r="AM61" s="1750">
        <f t="shared" ref="AM61" si="248">+((AC61*AC$5*AC$2)+(AG61*AG$5*AG$2)+(AK61*AK$5*AK$2))/((AC$5*AC$2)+(AG$5*AG$2)+(AK$5*AK$2))</f>
        <v>17.951020408163266</v>
      </c>
      <c r="AN61" s="2348">
        <f>(AD61*AD$5*AD$2+AH61*AH$5*AH$2+AL61*AL$5*AL$2)/(AD$5*AD$2+AH$5*AH$2+AL$5*AL$2)</f>
        <v>17.724802563809085</v>
      </c>
      <c r="AO61" s="1752">
        <f t="shared" si="236"/>
        <v>18.042701544056019</v>
      </c>
      <c r="AP61" s="1754">
        <f t="shared" si="236"/>
        <v>17.736241838698721</v>
      </c>
      <c r="AQ61" s="1659">
        <v>17.951020408163266</v>
      </c>
      <c r="AR61" s="1659">
        <v>17.82</v>
      </c>
      <c r="AS61" s="1752">
        <f t="shared" si="237"/>
        <v>18.033473578528351</v>
      </c>
      <c r="AT61" s="1754">
        <f t="shared" si="238"/>
        <v>17.744607127084961</v>
      </c>
      <c r="AU61" s="1659">
        <v>17.951020408163266</v>
      </c>
      <c r="AV61" s="1659">
        <v>17.8</v>
      </c>
      <c r="AW61" s="1752">
        <f t="shared" si="239"/>
        <v>18.026602263441092</v>
      </c>
      <c r="AX61" s="1754">
        <f t="shared" si="240"/>
        <v>17.749172407343913</v>
      </c>
      <c r="AY61" s="1659">
        <v>17.951020408163266</v>
      </c>
      <c r="AZ61" s="1659">
        <v>17.670000000000002</v>
      </c>
      <c r="BA61" s="1750">
        <f t="shared" ref="BA61" si="249">+((AQ61*AQ$5*AQ$2)+(AU61*AU$5*AU$2)+(AY61*AY$5*AY$2))/((AQ$5*AQ$2)+(AU$5*AU$2)+(AY$5*AY$2))</f>
        <v>17.951020408163266</v>
      </c>
      <c r="BB61" s="2348">
        <f>(AR61*AR$5*AR$2+AV61*AV$5*AV$2+AZ61*AZ$5*AZ$2)/(AR$5*AR$2+AV$5*AV$2+AZ$5*AZ$2)</f>
        <v>17.761013685919739</v>
      </c>
      <c r="BC61" s="2350">
        <f>(AM61*AM$5*AM$2+BA61*BA$5*BA$2)/(AM$5*AM$2+BA$5*BA$2)</f>
        <v>17.951020408163266</v>
      </c>
      <c r="BD61" s="2349">
        <f>(AN61*AN$5*AN$2+BB61*BB$5*BB$2)/(AN$5*AN$2+BB$5*BB$2)</f>
        <v>17.742788179042567</v>
      </c>
      <c r="BE61" s="1752">
        <f t="shared" si="241"/>
        <v>18.020217779970658</v>
      </c>
      <c r="BF61" s="1754">
        <f t="shared" si="242"/>
        <v>17.742323528574275</v>
      </c>
      <c r="BG61" s="1202"/>
      <c r="BH61" s="1202"/>
      <c r="BI61" s="1202"/>
      <c r="BJ61" s="1202"/>
      <c r="BK61" s="1202"/>
      <c r="BL61" s="26"/>
      <c r="BM61" s="26"/>
      <c r="BN61" s="26"/>
    </row>
    <row r="62" spans="1:66" ht="16.5" customHeight="1" thickBot="1" x14ac:dyDescent="0.35">
      <c r="A62" s="528"/>
      <c r="B62" s="528"/>
      <c r="C62" s="528"/>
      <c r="D62" s="528"/>
      <c r="E62" s="528"/>
      <c r="F62" s="528"/>
      <c r="G62" s="528"/>
      <c r="H62" s="528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Y62" s="528"/>
      <c r="Z62" s="528"/>
      <c r="AA62" s="528"/>
      <c r="AB62" s="528"/>
      <c r="AC62" s="528"/>
      <c r="AD62" s="528"/>
      <c r="AE62" s="528"/>
      <c r="AF62" s="528"/>
      <c r="AG62" s="528"/>
      <c r="AH62" s="528"/>
      <c r="AI62" s="528"/>
      <c r="AJ62" s="528"/>
      <c r="AK62" s="528"/>
      <c r="AL62" s="528"/>
      <c r="AM62" s="528"/>
      <c r="AN62" s="528"/>
      <c r="AO62" s="528"/>
      <c r="AP62" s="528"/>
      <c r="AQ62" s="528"/>
      <c r="AR62" s="528"/>
      <c r="AS62" s="528"/>
      <c r="AT62" s="528"/>
      <c r="AU62" s="528"/>
      <c r="AV62" s="528"/>
      <c r="AW62" s="528"/>
      <c r="AX62" s="528"/>
      <c r="AY62" s="528"/>
      <c r="AZ62" s="528"/>
      <c r="BA62" s="528"/>
      <c r="BB62" s="528"/>
      <c r="BC62" s="528"/>
      <c r="BD62" s="528"/>
      <c r="BE62" s="528"/>
      <c r="BF62" s="528"/>
      <c r="BG62" s="1202">
        <f t="shared" si="11"/>
        <v>0</v>
      </c>
      <c r="BH62" s="1202">
        <f t="shared" si="12"/>
        <v>0</v>
      </c>
      <c r="BI62" s="1202"/>
      <c r="BJ62" s="1202">
        <f t="shared" si="13"/>
        <v>0</v>
      </c>
      <c r="BK62" s="1202">
        <f t="shared" si="14"/>
        <v>0</v>
      </c>
      <c r="BL62" s="26"/>
      <c r="BM62" s="26"/>
      <c r="BN62" s="26"/>
    </row>
    <row r="63" spans="1:66" ht="16.2" thickBot="1" x14ac:dyDescent="0.35">
      <c r="A63" s="145" t="s">
        <v>470</v>
      </c>
      <c r="B63" s="3120" t="s">
        <v>179</v>
      </c>
      <c r="C63" s="1390"/>
      <c r="D63" s="528"/>
      <c r="E63" s="528"/>
      <c r="F63" s="528"/>
      <c r="G63" s="528"/>
      <c r="H63" s="528"/>
      <c r="I63" s="528"/>
      <c r="J63" s="528"/>
      <c r="K63" s="528"/>
      <c r="L63" s="528"/>
      <c r="M63" s="528"/>
      <c r="N63" s="528"/>
      <c r="O63" s="528"/>
      <c r="P63" s="528"/>
      <c r="Q63" s="528"/>
      <c r="R63" s="528"/>
      <c r="S63" s="528"/>
      <c r="T63" s="528"/>
      <c r="U63" s="528"/>
      <c r="V63" s="528"/>
      <c r="W63" s="528"/>
      <c r="X63" s="528"/>
      <c r="Y63" s="234"/>
      <c r="Z63" s="234"/>
      <c r="AA63" s="2305"/>
      <c r="AB63" s="234"/>
      <c r="AC63" s="528"/>
      <c r="AD63" s="528"/>
      <c r="AE63" s="260"/>
      <c r="AF63" s="260"/>
      <c r="AG63" s="528"/>
      <c r="AH63" s="528"/>
      <c r="AI63" s="260"/>
      <c r="AJ63" s="260"/>
      <c r="AK63" s="528"/>
      <c r="AL63" s="528"/>
      <c r="AM63" s="234"/>
      <c r="AN63" s="234"/>
      <c r="AO63" s="260"/>
      <c r="AP63" s="260"/>
      <c r="AQ63" s="528"/>
      <c r="AR63" s="528"/>
      <c r="AS63" s="260"/>
      <c r="AT63" s="260"/>
      <c r="AU63" s="528"/>
      <c r="AV63" s="528"/>
      <c r="AW63" s="260"/>
      <c r="AX63" s="260"/>
      <c r="AY63" s="528"/>
      <c r="AZ63" s="528"/>
      <c r="BA63" s="234"/>
      <c r="BB63" s="234"/>
      <c r="BC63" s="2577"/>
      <c r="BD63" s="2578"/>
      <c r="BE63" s="260"/>
      <c r="BF63" s="260"/>
      <c r="BG63" s="1202">
        <f t="shared" si="11"/>
        <v>0</v>
      </c>
      <c r="BH63" s="1202">
        <f t="shared" si="12"/>
        <v>0</v>
      </c>
      <c r="BI63" s="1202"/>
      <c r="BJ63" s="1202">
        <f t="shared" si="13"/>
        <v>0</v>
      </c>
      <c r="BK63" s="1202">
        <f t="shared" si="14"/>
        <v>0</v>
      </c>
      <c r="BL63" s="26"/>
      <c r="BM63" s="26"/>
      <c r="BN63" s="26"/>
    </row>
    <row r="64" spans="1:66" ht="15" thickBot="1" x14ac:dyDescent="0.35">
      <c r="B64" s="1764" t="s">
        <v>180</v>
      </c>
      <c r="C64" s="1372" t="s">
        <v>50</v>
      </c>
      <c r="D64" s="443">
        <v>14833.710000000003</v>
      </c>
      <c r="E64" s="152">
        <v>1264.2</v>
      </c>
      <c r="F64" s="491">
        <v>1152</v>
      </c>
      <c r="G64" s="152">
        <v>1306.3399999999999</v>
      </c>
      <c r="H64" s="491">
        <v>1195</v>
      </c>
      <c r="I64" s="60">
        <f>+E64+G64</f>
        <v>2570.54</v>
      </c>
      <c r="J64" s="38">
        <f>+F64+H64</f>
        <v>2347</v>
      </c>
      <c r="K64" s="152">
        <v>1212.5999999999999</v>
      </c>
      <c r="L64" s="491">
        <v>1140.2</v>
      </c>
      <c r="M64" s="71">
        <f>+E64+G64+K64</f>
        <v>3783.14</v>
      </c>
      <c r="N64" s="122">
        <f>+F64+H64+L64</f>
        <v>3487.2</v>
      </c>
      <c r="O64" s="152">
        <v>1253.02</v>
      </c>
      <c r="P64" s="491">
        <v>1166.7</v>
      </c>
      <c r="Q64" s="60">
        <f>+M64+O64</f>
        <v>5036.16</v>
      </c>
      <c r="R64" s="38">
        <f>+N64+P64</f>
        <v>4653.8999999999996</v>
      </c>
      <c r="S64" s="152">
        <v>1253.02</v>
      </c>
      <c r="T64" s="491">
        <v>1199.7</v>
      </c>
      <c r="U64" s="60">
        <f>+Q64+S64</f>
        <v>6289.18</v>
      </c>
      <c r="V64" s="38">
        <f>+R64+T64</f>
        <v>5853.5999999999995</v>
      </c>
      <c r="W64" s="152">
        <v>1188.0899999999999</v>
      </c>
      <c r="X64" s="491">
        <v>1161</v>
      </c>
      <c r="Y64" s="754">
        <f>+O64+S64+W64</f>
        <v>3694.13</v>
      </c>
      <c r="Z64" s="83">
        <f>+P64+T64+X64</f>
        <v>3527.4</v>
      </c>
      <c r="AA64" s="752">
        <f>+M64+Y64</f>
        <v>7477.27</v>
      </c>
      <c r="AB64" s="752">
        <f>+N64+Z64</f>
        <v>7014.6</v>
      </c>
      <c r="AC64" s="152">
        <v>1253.02</v>
      </c>
      <c r="AD64" s="491">
        <v>1128.9000000000001</v>
      </c>
      <c r="AE64" s="60">
        <f>+AA64+AC64</f>
        <v>8730.2900000000009</v>
      </c>
      <c r="AF64" s="38">
        <f>+AB64+AD64</f>
        <v>8143.5</v>
      </c>
      <c r="AG64" s="152">
        <v>1212.5999999999999</v>
      </c>
      <c r="AH64" s="491">
        <v>1067.8</v>
      </c>
      <c r="AI64" s="60">
        <f>+AE64+AG64</f>
        <v>9942.8900000000012</v>
      </c>
      <c r="AJ64" s="38">
        <f>+AF64+AH64</f>
        <v>9211.2999999999993</v>
      </c>
      <c r="AK64" s="152">
        <v>1253.02</v>
      </c>
      <c r="AL64" s="491">
        <v>1101.3800000000001</v>
      </c>
      <c r="AM64" s="754">
        <f>+AC64+AG64+AK64</f>
        <v>3718.64</v>
      </c>
      <c r="AN64" s="83">
        <f>+AD64+AH64+AL64</f>
        <v>3298.08</v>
      </c>
      <c r="AO64" s="753">
        <f>AI64+AK64</f>
        <v>11195.910000000002</v>
      </c>
      <c r="AP64" s="753">
        <f>AJ64+AL64</f>
        <v>10312.68</v>
      </c>
      <c r="AQ64" s="152">
        <v>1253.02</v>
      </c>
      <c r="AR64" s="491">
        <v>1111.4000000000001</v>
      </c>
      <c r="AS64" s="60">
        <f>+AO64+AQ64</f>
        <v>12448.930000000002</v>
      </c>
      <c r="AT64" s="38">
        <f>+AP64+AR64</f>
        <v>11424.08</v>
      </c>
      <c r="AU64" s="152">
        <v>1131.76</v>
      </c>
      <c r="AV64" s="491">
        <v>1005.72</v>
      </c>
      <c r="AW64" s="60">
        <f>+AS64+AU64</f>
        <v>13580.690000000002</v>
      </c>
      <c r="AX64" s="38">
        <f>+AT64+AV64</f>
        <v>12429.8</v>
      </c>
      <c r="AY64" s="152">
        <v>1253.02</v>
      </c>
      <c r="AZ64" s="491">
        <v>1149.48</v>
      </c>
      <c r="BA64" s="754">
        <f>+AQ64+AU64+AY64</f>
        <v>3637.7999999999997</v>
      </c>
      <c r="BB64" s="2570">
        <f>+AR64+AV64+AZ64</f>
        <v>3266.6</v>
      </c>
      <c r="BC64" s="2579">
        <f t="shared" ref="BC64:BC65" si="250">+AM64+BA64</f>
        <v>7356.44</v>
      </c>
      <c r="BD64" s="2579">
        <f t="shared" ref="BD64:BD65" si="251">+AN64+BB64</f>
        <v>6564.68</v>
      </c>
      <c r="BE64" s="432">
        <f>+AW64+AY64</f>
        <v>14833.710000000003</v>
      </c>
      <c r="BF64" s="38">
        <f>+AX64+AZ64</f>
        <v>13579.279999999999</v>
      </c>
      <c r="BG64" s="1202">
        <f t="shared" si="11"/>
        <v>0</v>
      </c>
      <c r="BH64" s="1202">
        <f t="shared" si="12"/>
        <v>0</v>
      </c>
      <c r="BI64" s="1202"/>
      <c r="BJ64" s="1202">
        <f t="shared" si="13"/>
        <v>0</v>
      </c>
      <c r="BK64" s="1202">
        <f t="shared" si="14"/>
        <v>0</v>
      </c>
      <c r="BL64" s="26"/>
      <c r="BM64" s="26"/>
      <c r="BN64" s="26"/>
    </row>
    <row r="65" spans="1:66" ht="15.9" customHeight="1" thickBot="1" x14ac:dyDescent="0.35">
      <c r="B65" s="1765" t="s">
        <v>181</v>
      </c>
      <c r="C65" s="1384" t="s">
        <v>50</v>
      </c>
      <c r="D65" s="3121">
        <v>28107.106250000001</v>
      </c>
      <c r="E65" s="1293">
        <v>2318.9250000000002</v>
      </c>
      <c r="F65" s="3122">
        <v>2295.44</v>
      </c>
      <c r="G65" s="1293">
        <v>2396.2224999999999</v>
      </c>
      <c r="H65" s="3122">
        <v>2383.13</v>
      </c>
      <c r="I65" s="1108">
        <f>+E65+G65</f>
        <v>4715.1475</v>
      </c>
      <c r="J65" s="162">
        <f>+F65+H65</f>
        <v>4678.57</v>
      </c>
      <c r="K65" s="1293">
        <v>2318.9250000000002</v>
      </c>
      <c r="L65" s="3122">
        <v>2322.87</v>
      </c>
      <c r="M65" s="1538">
        <f>+E65+G65+K65</f>
        <v>7034.0725000000002</v>
      </c>
      <c r="N65" s="1548">
        <f>+F65+H65+L65</f>
        <v>7001.44</v>
      </c>
      <c r="O65" s="1293">
        <v>2396.2224999999999</v>
      </c>
      <c r="P65" s="3122">
        <v>2419.42</v>
      </c>
      <c r="Q65" s="1108">
        <f>+M65+O65</f>
        <v>9430.2950000000001</v>
      </c>
      <c r="R65" s="162">
        <f>+N65+P65</f>
        <v>9420.86</v>
      </c>
      <c r="S65" s="1293">
        <v>2396.2224999999999</v>
      </c>
      <c r="T65" s="3122">
        <v>2408.9899999999998</v>
      </c>
      <c r="U65" s="1108">
        <f>+Q65+S65</f>
        <v>11826.5175</v>
      </c>
      <c r="V65" s="162">
        <f>+R65+T65</f>
        <v>11829.85</v>
      </c>
      <c r="W65" s="1293">
        <v>2212.4437499999999</v>
      </c>
      <c r="X65" s="3122">
        <v>2336.87</v>
      </c>
      <c r="Y65" s="773">
        <f>+O65+S65+W65</f>
        <v>7004.8887500000001</v>
      </c>
      <c r="Z65" s="529">
        <f>+P65+T65+X65</f>
        <v>7165.28</v>
      </c>
      <c r="AA65" s="752">
        <f>+M65+Y65</f>
        <v>14038.96125</v>
      </c>
      <c r="AB65" s="752">
        <f>+N65+Z65</f>
        <v>14166.72</v>
      </c>
      <c r="AC65" s="1293">
        <v>2396.2224999999999</v>
      </c>
      <c r="AD65" s="3122">
        <v>2276.92</v>
      </c>
      <c r="AE65" s="1108">
        <f>+AA65+AC65</f>
        <v>16435.18375</v>
      </c>
      <c r="AF65" s="162">
        <f>+AB65+AD65</f>
        <v>16443.64</v>
      </c>
      <c r="AG65" s="1293">
        <v>2318.9250000000002</v>
      </c>
      <c r="AH65" s="3122">
        <v>2147.19</v>
      </c>
      <c r="AI65" s="1108">
        <f>+AE65+AG65</f>
        <v>18754.108749999999</v>
      </c>
      <c r="AJ65" s="162">
        <f>+AF65+AH65</f>
        <v>18590.829999999998</v>
      </c>
      <c r="AK65" s="1293">
        <v>2396.2224999999999</v>
      </c>
      <c r="AL65" s="3122">
        <v>2150.37</v>
      </c>
      <c r="AM65" s="773">
        <f>+AC65+AG65+AK65</f>
        <v>7111.37</v>
      </c>
      <c r="AN65" s="529">
        <f>+AD65+AH65+AL65</f>
        <v>6574.4800000000005</v>
      </c>
      <c r="AO65" s="753">
        <f>AI65+AK65</f>
        <v>21150.331249999999</v>
      </c>
      <c r="AP65" s="753">
        <f>AJ65+AL65</f>
        <v>20741.199999999997</v>
      </c>
      <c r="AQ65" s="1293">
        <v>2396.2224999999999</v>
      </c>
      <c r="AR65" s="3122">
        <v>2323.2800000000002</v>
      </c>
      <c r="AS65" s="1108">
        <f>+AO65+AQ65</f>
        <v>23546.553749999999</v>
      </c>
      <c r="AT65" s="162">
        <f>+AP65+AR65</f>
        <v>23064.479999999996</v>
      </c>
      <c r="AU65" s="1293">
        <v>2164.33</v>
      </c>
      <c r="AV65" s="3122">
        <v>2164.9499999999998</v>
      </c>
      <c r="AW65" s="1108">
        <f>+AS65+AU65</f>
        <v>25710.883750000001</v>
      </c>
      <c r="AX65" s="162">
        <f>+AT65+AV65</f>
        <v>25229.429999999997</v>
      </c>
      <c r="AY65" s="1293">
        <v>2396.2224999999999</v>
      </c>
      <c r="AZ65" s="3122">
        <v>2412.6</v>
      </c>
      <c r="BA65" s="773">
        <f>+AQ65+AU65+AY65</f>
        <v>6956.7749999999996</v>
      </c>
      <c r="BB65" s="2571">
        <f>+AR65+AV65+AZ65</f>
        <v>6900.83</v>
      </c>
      <c r="BC65" s="2579">
        <f t="shared" si="250"/>
        <v>14068.145</v>
      </c>
      <c r="BD65" s="2579">
        <f t="shared" si="251"/>
        <v>13475.310000000001</v>
      </c>
      <c r="BE65" s="2574">
        <f>+AW65+AY65</f>
        <v>28107.106250000001</v>
      </c>
      <c r="BF65" s="162">
        <f>+AX65+AZ65</f>
        <v>27642.029999999995</v>
      </c>
      <c r="BG65" s="1202">
        <f t="shared" si="11"/>
        <v>0</v>
      </c>
      <c r="BH65" s="1202">
        <f t="shared" si="12"/>
        <v>0</v>
      </c>
      <c r="BI65" s="1202"/>
      <c r="BJ65" s="1202">
        <f t="shared" si="13"/>
        <v>0</v>
      </c>
      <c r="BK65" s="1202">
        <f t="shared" si="14"/>
        <v>0</v>
      </c>
      <c r="BL65" s="26"/>
      <c r="BM65" s="26"/>
      <c r="BN65" s="26"/>
    </row>
    <row r="66" spans="1:66" ht="16.2" thickBot="1" x14ac:dyDescent="0.35">
      <c r="B66" s="1766" t="s">
        <v>35</v>
      </c>
      <c r="C66" s="1695" t="s">
        <v>50</v>
      </c>
      <c r="D66" s="367">
        <f t="shared" ref="D66:J66" si="252">SUM(D64:D65)</f>
        <v>42940.816250000003</v>
      </c>
      <c r="E66" s="450">
        <f t="shared" si="252"/>
        <v>3583.125</v>
      </c>
      <c r="F66" s="29">
        <f>SUM(F64:F65)</f>
        <v>3447.44</v>
      </c>
      <c r="G66" s="450">
        <f t="shared" ref="G66" si="253">SUM(G64:G65)</f>
        <v>3702.5625</v>
      </c>
      <c r="H66" s="29">
        <f>SUM(H64:H65)</f>
        <v>3578.13</v>
      </c>
      <c r="I66" s="1171">
        <f t="shared" si="252"/>
        <v>7285.6875</v>
      </c>
      <c r="J66" s="40">
        <f t="shared" si="252"/>
        <v>7025.57</v>
      </c>
      <c r="K66" s="450">
        <f t="shared" ref="K66" si="254">SUM(K64:K65)</f>
        <v>3531.5250000000001</v>
      </c>
      <c r="L66" s="29">
        <f>SUM(L64:L65)</f>
        <v>3463.0699999999997</v>
      </c>
      <c r="M66" s="349">
        <f t="shared" ref="M66:R66" si="255">SUM(M64:M65)</f>
        <v>10817.2125</v>
      </c>
      <c r="N66" s="66">
        <f t="shared" si="255"/>
        <v>10488.64</v>
      </c>
      <c r="O66" s="450">
        <f t="shared" si="255"/>
        <v>3649.2424999999998</v>
      </c>
      <c r="P66" s="29">
        <f>SUM(P64:P65)</f>
        <v>3586.12</v>
      </c>
      <c r="Q66" s="1171">
        <f t="shared" si="255"/>
        <v>14466.455</v>
      </c>
      <c r="R66" s="1171">
        <f t="shared" si="255"/>
        <v>14074.76</v>
      </c>
      <c r="S66" s="450">
        <f t="shared" ref="S66" si="256">SUM(S64:S65)</f>
        <v>3649.2424999999998</v>
      </c>
      <c r="T66" s="29">
        <f>SUM(T64:T65)</f>
        <v>3608.6899999999996</v>
      </c>
      <c r="U66" s="1171">
        <f t="shared" ref="U66:W66" si="257">SUM(U64:U65)</f>
        <v>18115.697500000002</v>
      </c>
      <c r="V66" s="1171">
        <f t="shared" si="257"/>
        <v>17683.45</v>
      </c>
      <c r="W66" s="450">
        <f t="shared" si="257"/>
        <v>3400.5337499999996</v>
      </c>
      <c r="X66" s="29">
        <f>SUM(X64:X65)</f>
        <v>3497.87</v>
      </c>
      <c r="Y66" s="1172">
        <f t="shared" ref="Y66:Z66" si="258">SUM(Y64:Y65)</f>
        <v>10699.018749999999</v>
      </c>
      <c r="Z66" s="1172">
        <f t="shared" si="258"/>
        <v>10692.68</v>
      </c>
      <c r="AA66" s="2314">
        <f t="shared" ref="AA66:AF66" si="259">SUM(AA64:AA65)</f>
        <v>21516.231250000001</v>
      </c>
      <c r="AB66" s="1173">
        <f t="shared" si="259"/>
        <v>21181.32</v>
      </c>
      <c r="AC66" s="450">
        <f t="shared" si="259"/>
        <v>3649.2424999999998</v>
      </c>
      <c r="AD66" s="29">
        <f>SUM(AD64:AD65)</f>
        <v>3405.82</v>
      </c>
      <c r="AE66" s="1171">
        <f t="shared" si="259"/>
        <v>25165.473750000001</v>
      </c>
      <c r="AF66" s="1171">
        <f t="shared" si="259"/>
        <v>24587.14</v>
      </c>
      <c r="AG66" s="450">
        <f t="shared" ref="AG66" si="260">SUM(AG64:AG65)</f>
        <v>3531.5250000000001</v>
      </c>
      <c r="AH66" s="29">
        <f>SUM(AH64:AH65)</f>
        <v>3214.99</v>
      </c>
      <c r="AI66" s="1171">
        <f t="shared" ref="AI66:AN66" si="261">SUM(AI64:AI65)</f>
        <v>28696.998749999999</v>
      </c>
      <c r="AJ66" s="1171">
        <f t="shared" si="261"/>
        <v>27802.129999999997</v>
      </c>
      <c r="AK66" s="450">
        <f t="shared" si="261"/>
        <v>3649.2424999999998</v>
      </c>
      <c r="AL66" s="29">
        <f>SUM(AL64:AL65)</f>
        <v>3251.75</v>
      </c>
      <c r="AM66" s="1172">
        <f t="shared" si="261"/>
        <v>10830.01</v>
      </c>
      <c r="AN66" s="1172">
        <f t="shared" si="261"/>
        <v>9872.5600000000013</v>
      </c>
      <c r="AO66" s="1171">
        <f t="shared" ref="AO66:AT66" si="262">SUM(AO64:AO65)</f>
        <v>32346.241249999999</v>
      </c>
      <c r="AP66" s="1171">
        <f t="shared" si="262"/>
        <v>31053.879999999997</v>
      </c>
      <c r="AQ66" s="450">
        <f t="shared" si="262"/>
        <v>3649.2424999999998</v>
      </c>
      <c r="AR66" s="29">
        <f>SUM(AR64:AR65)</f>
        <v>3434.6800000000003</v>
      </c>
      <c r="AS66" s="1171">
        <f t="shared" si="262"/>
        <v>35995.483749999999</v>
      </c>
      <c r="AT66" s="1171">
        <f t="shared" si="262"/>
        <v>34488.559999999998</v>
      </c>
      <c r="AU66" s="450">
        <f t="shared" ref="AU66" si="263">SUM(AU64:AU65)</f>
        <v>3296.09</v>
      </c>
      <c r="AV66" s="29">
        <f>SUM(AV64:AV65)</f>
        <v>3170.67</v>
      </c>
      <c r="AW66" s="1171">
        <f t="shared" ref="AW66:AY66" si="264">SUM(AW64:AW65)</f>
        <v>39291.573750000003</v>
      </c>
      <c r="AX66" s="1171">
        <f t="shared" si="264"/>
        <v>37659.229999999996</v>
      </c>
      <c r="AY66" s="450">
        <f t="shared" si="264"/>
        <v>3649.2424999999998</v>
      </c>
      <c r="AZ66" s="29">
        <f>SUM(AZ64:AZ65)</f>
        <v>3562.08</v>
      </c>
      <c r="BA66" s="1172">
        <f t="shared" ref="BA66:BF66" si="265">SUM(BA64:BA65)</f>
        <v>10594.574999999999</v>
      </c>
      <c r="BB66" s="1579">
        <f t="shared" si="265"/>
        <v>10167.43</v>
      </c>
      <c r="BC66" s="2541">
        <f t="shared" si="265"/>
        <v>21424.584999999999</v>
      </c>
      <c r="BD66" s="2550">
        <f t="shared" si="265"/>
        <v>20039.990000000002</v>
      </c>
      <c r="BE66" s="721">
        <f t="shared" si="265"/>
        <v>42940.816250000003</v>
      </c>
      <c r="BF66" s="1171">
        <f t="shared" si="265"/>
        <v>41221.31</v>
      </c>
      <c r="BG66" s="1202">
        <f t="shared" si="11"/>
        <v>0</v>
      </c>
      <c r="BH66" s="1202">
        <f t="shared" si="12"/>
        <v>0</v>
      </c>
      <c r="BI66" s="1202"/>
      <c r="BJ66" s="1202">
        <f t="shared" si="13"/>
        <v>0</v>
      </c>
      <c r="BK66" s="1202">
        <f t="shared" si="14"/>
        <v>0</v>
      </c>
      <c r="BL66" s="26"/>
      <c r="BM66" s="26"/>
      <c r="BN66" s="26"/>
    </row>
    <row r="67" spans="1:66" ht="15" thickBot="1" x14ac:dyDescent="0.35">
      <c r="B67" s="1767" t="s">
        <v>182</v>
      </c>
      <c r="C67" s="1387" t="s">
        <v>50</v>
      </c>
      <c r="D67" s="1031">
        <v>5074.481600000001</v>
      </c>
      <c r="E67" s="2767">
        <v>471.96800000000002</v>
      </c>
      <c r="F67" s="516">
        <v>525</v>
      </c>
      <c r="G67" s="2767">
        <v>488.82400000000001</v>
      </c>
      <c r="H67" s="516">
        <v>429.5</v>
      </c>
      <c r="I67" s="713">
        <f>+E67+G67</f>
        <v>960.79200000000003</v>
      </c>
      <c r="J67" s="61">
        <f>+F67+H67</f>
        <v>954.5</v>
      </c>
      <c r="K67" s="2767">
        <v>452.70400000000001</v>
      </c>
      <c r="L67" s="516">
        <v>422</v>
      </c>
      <c r="M67" s="1107">
        <f>+E67+G67+K67</f>
        <v>1413.4960000000001</v>
      </c>
      <c r="N67" s="1549">
        <f>+F67+H67+L67</f>
        <v>1376.5</v>
      </c>
      <c r="O67" s="2767">
        <v>468.87200000000001</v>
      </c>
      <c r="P67" s="516">
        <v>412</v>
      </c>
      <c r="Q67" s="713">
        <f>+M67+O67</f>
        <v>1882.3680000000002</v>
      </c>
      <c r="R67" s="61">
        <f>+N67+P67</f>
        <v>1788.5</v>
      </c>
      <c r="S67" s="2767">
        <v>468.87200000000001</v>
      </c>
      <c r="T67" s="516">
        <v>390</v>
      </c>
      <c r="U67" s="713">
        <f>+Q67+S67</f>
        <v>2351.2400000000002</v>
      </c>
      <c r="V67" s="61">
        <f>+R67+T67</f>
        <v>2178.5</v>
      </c>
      <c r="W67" s="2767">
        <v>443.55359999999996</v>
      </c>
      <c r="X67" s="516">
        <v>355</v>
      </c>
      <c r="Y67" s="754">
        <f>+O67+S67+W67</f>
        <v>1381.2975999999999</v>
      </c>
      <c r="Z67" s="83">
        <f>+P67+T67+X67</f>
        <v>1157</v>
      </c>
      <c r="AA67" s="752">
        <f>+M67+Y67</f>
        <v>2794.7936</v>
      </c>
      <c r="AB67" s="752">
        <f>+N67+Z67</f>
        <v>2533.5</v>
      </c>
      <c r="AC67" s="2767">
        <v>0</v>
      </c>
      <c r="AD67" s="516">
        <v>341</v>
      </c>
      <c r="AE67" s="713">
        <f>+AA67+AC67</f>
        <v>2794.7936</v>
      </c>
      <c r="AF67" s="61">
        <f>+AB67+AD67</f>
        <v>2874.5</v>
      </c>
      <c r="AG67" s="2767">
        <v>452.70400000000001</v>
      </c>
      <c r="AH67" s="516">
        <v>363</v>
      </c>
      <c r="AI67" s="713">
        <f>+AE67+AG67</f>
        <v>3247.4976000000001</v>
      </c>
      <c r="AJ67" s="61">
        <f>+AF67+AH67</f>
        <v>3237.5</v>
      </c>
      <c r="AK67" s="2767">
        <v>468.87200000000001</v>
      </c>
      <c r="AL67" s="516">
        <v>385</v>
      </c>
      <c r="AM67" s="754">
        <f>+AC67+AG67+AK67</f>
        <v>921.57600000000002</v>
      </c>
      <c r="AN67" s="83">
        <f>+AD67+AH67+AL67</f>
        <v>1089</v>
      </c>
      <c r="AO67" s="753">
        <f>AI67+AK67</f>
        <v>3716.3696</v>
      </c>
      <c r="AP67" s="753">
        <f>AJ67+AL67</f>
        <v>3622.5</v>
      </c>
      <c r="AQ67" s="2767">
        <v>468.87200000000001</v>
      </c>
      <c r="AR67" s="516">
        <v>412</v>
      </c>
      <c r="AS67" s="713">
        <f>+AO67+AQ67</f>
        <v>4185.2416000000003</v>
      </c>
      <c r="AT67" s="61">
        <f>+AP67+AR67</f>
        <v>4034.5</v>
      </c>
      <c r="AU67" s="2767">
        <v>420.36799999999999</v>
      </c>
      <c r="AV67" s="516">
        <v>283</v>
      </c>
      <c r="AW67" s="713">
        <f>+AS67+AU67</f>
        <v>4605.6096000000007</v>
      </c>
      <c r="AX67" s="61">
        <f>+AT67+AV67</f>
        <v>4317.5</v>
      </c>
      <c r="AY67" s="2767">
        <v>468.87200000000001</v>
      </c>
      <c r="AZ67" s="516">
        <v>140</v>
      </c>
      <c r="BA67" s="754">
        <f>+AQ67+AU67+AY67</f>
        <v>1358.1120000000001</v>
      </c>
      <c r="BB67" s="2570">
        <f>+AR67+AV67+AZ67</f>
        <v>835</v>
      </c>
      <c r="BC67" s="2579">
        <f t="shared" ref="BC67:BC68" si="266">+AM67+BA67</f>
        <v>2279.6880000000001</v>
      </c>
      <c r="BD67" s="2579">
        <f t="shared" ref="BD67:BD68" si="267">+AN67+BB67</f>
        <v>1924</v>
      </c>
      <c r="BE67" s="1111">
        <f>+AW67+AY67</f>
        <v>5074.481600000001</v>
      </c>
      <c r="BF67" s="61">
        <f>+AX67+AZ67</f>
        <v>4457.5</v>
      </c>
      <c r="BG67" s="1202">
        <f t="shared" si="11"/>
        <v>0</v>
      </c>
      <c r="BH67" s="1202">
        <f t="shared" si="12"/>
        <v>0</v>
      </c>
      <c r="BI67" s="1202"/>
      <c r="BJ67" s="1202">
        <f t="shared" si="13"/>
        <v>0</v>
      </c>
      <c r="BK67" s="1202">
        <f t="shared" si="14"/>
        <v>0</v>
      </c>
      <c r="BL67" s="26"/>
      <c r="BM67" s="26"/>
      <c r="BN67" s="26"/>
    </row>
    <row r="68" spans="1:66" ht="15" thickBot="1" x14ac:dyDescent="0.35">
      <c r="B68" s="1765" t="s">
        <v>183</v>
      </c>
      <c r="C68" s="1372" t="s">
        <v>50</v>
      </c>
      <c r="D68" s="3121">
        <v>4047.915480000001</v>
      </c>
      <c r="E68" s="1293">
        <v>363.60744000000005</v>
      </c>
      <c r="F68" s="1295">
        <v>149</v>
      </c>
      <c r="G68" s="1293">
        <v>376.59342000000004</v>
      </c>
      <c r="H68" s="1295">
        <v>59</v>
      </c>
      <c r="I68" s="1108">
        <f>+E68+G68</f>
        <v>740.20086000000015</v>
      </c>
      <c r="J68" s="530">
        <f>+F68+H68</f>
        <v>208</v>
      </c>
      <c r="K68" s="1293">
        <v>363.60744000000005</v>
      </c>
      <c r="L68" s="1295">
        <v>72.649999999999991</v>
      </c>
      <c r="M68" s="1538">
        <f>+E68+G68+K68</f>
        <v>1103.8083000000001</v>
      </c>
      <c r="N68" s="1550">
        <f>+F68+H68+L68</f>
        <v>280.64999999999998</v>
      </c>
      <c r="O68" s="1293">
        <v>376.59342000000004</v>
      </c>
      <c r="P68" s="1295">
        <v>305.5</v>
      </c>
      <c r="Q68" s="1108">
        <f>+M68+O68</f>
        <v>1480.4017200000003</v>
      </c>
      <c r="R68" s="530">
        <f>+N68+P68</f>
        <v>586.15</v>
      </c>
      <c r="S68" s="1293">
        <v>376.59342000000004</v>
      </c>
      <c r="T68" s="1295">
        <v>196.55</v>
      </c>
      <c r="U68" s="1108">
        <f>+Q68+S68</f>
        <v>1856.9951400000004</v>
      </c>
      <c r="V68" s="530">
        <f>+R68+T68</f>
        <v>782.7</v>
      </c>
      <c r="W68" s="1293">
        <v>346.91118</v>
      </c>
      <c r="X68" s="1295">
        <v>164.6</v>
      </c>
      <c r="Y68" s="773">
        <f>+O68+S68+W68</f>
        <v>1100.0980200000001</v>
      </c>
      <c r="Z68" s="529">
        <f>+P68+T68+X68</f>
        <v>666.65</v>
      </c>
      <c r="AA68" s="752">
        <f>+M68+Y68</f>
        <v>2203.9063200000001</v>
      </c>
      <c r="AB68" s="752">
        <f>+N68+Z68</f>
        <v>947.3</v>
      </c>
      <c r="AC68" s="1293">
        <v>376.59342000000004</v>
      </c>
      <c r="AD68" s="1295">
        <v>161.5</v>
      </c>
      <c r="AE68" s="1108">
        <f>+AA68+AC68</f>
        <v>2580.4997400000002</v>
      </c>
      <c r="AF68" s="530">
        <f>+AB68+AD68</f>
        <v>1108.8</v>
      </c>
      <c r="AG68" s="1293">
        <v>0</v>
      </c>
      <c r="AH68" s="1295">
        <v>21</v>
      </c>
      <c r="AI68" s="1108">
        <f>+AE68+AG68</f>
        <v>2580.4997400000002</v>
      </c>
      <c r="AJ68" s="530">
        <f>+AF68+AH68</f>
        <v>1129.8</v>
      </c>
      <c r="AK68" s="1293">
        <v>376.59342000000004</v>
      </c>
      <c r="AL68" s="1295">
        <v>188.8</v>
      </c>
      <c r="AM68" s="773">
        <f>+AC68+AG68+AK68</f>
        <v>753.18684000000007</v>
      </c>
      <c r="AN68" s="529">
        <f>+AD68+AH68+AL68</f>
        <v>371.3</v>
      </c>
      <c r="AO68" s="753">
        <f>AI68+AK68</f>
        <v>2957.0931600000004</v>
      </c>
      <c r="AP68" s="753">
        <f>AJ68+AL68</f>
        <v>1318.6</v>
      </c>
      <c r="AQ68" s="1293">
        <v>376.59342000000004</v>
      </c>
      <c r="AR68" s="1295">
        <v>270.35000000000002</v>
      </c>
      <c r="AS68" s="1108">
        <f>+AO68+AQ68</f>
        <v>3333.6865800000005</v>
      </c>
      <c r="AT68" s="530">
        <f>+AP68+AR68</f>
        <v>1588.9499999999998</v>
      </c>
      <c r="AU68" s="1293">
        <v>337.63548000000003</v>
      </c>
      <c r="AV68" s="1295">
        <v>195.4</v>
      </c>
      <c r="AW68" s="1108">
        <f>+AS68+AU68</f>
        <v>3671.3220600000004</v>
      </c>
      <c r="AX68" s="530">
        <f>+AT68+AV68</f>
        <v>1784.35</v>
      </c>
      <c r="AY68" s="1293">
        <v>376.59342000000004</v>
      </c>
      <c r="AZ68" s="1295">
        <v>272.2</v>
      </c>
      <c r="BA68" s="773">
        <f>+AQ68+AU68+AY68</f>
        <v>1090.8223200000002</v>
      </c>
      <c r="BB68" s="2571">
        <f>+AR68+AV68+AZ68</f>
        <v>737.95</v>
      </c>
      <c r="BC68" s="2579">
        <f t="shared" si="266"/>
        <v>1844.0091600000003</v>
      </c>
      <c r="BD68" s="2579">
        <f t="shared" si="267"/>
        <v>1109.25</v>
      </c>
      <c r="BE68" s="2574">
        <f>+AW68+AY68</f>
        <v>4047.9154800000006</v>
      </c>
      <c r="BF68" s="530">
        <f>+AX68+AZ68</f>
        <v>2056.5499999999997</v>
      </c>
      <c r="BG68" s="1202">
        <f t="shared" si="11"/>
        <v>0</v>
      </c>
      <c r="BH68" s="1202">
        <f t="shared" si="12"/>
        <v>0</v>
      </c>
      <c r="BI68" s="1202"/>
      <c r="BJ68" s="1202">
        <f t="shared" si="13"/>
        <v>0</v>
      </c>
      <c r="BK68" s="1202">
        <f t="shared" si="14"/>
        <v>0</v>
      </c>
      <c r="BL68" s="26"/>
      <c r="BM68" s="26"/>
      <c r="BN68" s="26"/>
    </row>
    <row r="69" spans="1:66" ht="16.2" thickBot="1" x14ac:dyDescent="0.35">
      <c r="B69" s="1768" t="s">
        <v>36</v>
      </c>
      <c r="C69" s="1396" t="s">
        <v>50</v>
      </c>
      <c r="D69" s="210">
        <f t="shared" ref="D69:J69" si="268">SUM(D67:D68)</f>
        <v>9122.3970800000025</v>
      </c>
      <c r="E69" s="1300">
        <f t="shared" si="268"/>
        <v>835.57544000000007</v>
      </c>
      <c r="F69" s="1397">
        <f t="shared" si="268"/>
        <v>674</v>
      </c>
      <c r="G69" s="1300">
        <f t="shared" ref="G69:H69" si="269">SUM(G67:G68)</f>
        <v>865.41741999999999</v>
      </c>
      <c r="H69" s="1397">
        <f t="shared" si="269"/>
        <v>488.5</v>
      </c>
      <c r="I69" s="1398">
        <f t="shared" si="268"/>
        <v>1700.9928600000003</v>
      </c>
      <c r="J69" s="3123">
        <f t="shared" si="268"/>
        <v>1162.5</v>
      </c>
      <c r="K69" s="1300">
        <f t="shared" ref="K69:L69" si="270">SUM(K67:K68)</f>
        <v>816.31144000000006</v>
      </c>
      <c r="L69" s="1397">
        <f t="shared" si="270"/>
        <v>494.65</v>
      </c>
      <c r="M69" s="1551">
        <f t="shared" ref="M69:R69" si="271">SUM(M67:M68)</f>
        <v>2517.3043000000002</v>
      </c>
      <c r="N69" s="1552">
        <f t="shared" si="271"/>
        <v>1657.15</v>
      </c>
      <c r="O69" s="1300">
        <f t="shared" si="271"/>
        <v>845.46541999999999</v>
      </c>
      <c r="P69" s="1397">
        <f t="shared" si="271"/>
        <v>717.5</v>
      </c>
      <c r="Q69" s="1398">
        <f t="shared" si="271"/>
        <v>3362.7697200000002</v>
      </c>
      <c r="R69" s="1398">
        <f t="shared" si="271"/>
        <v>2374.65</v>
      </c>
      <c r="S69" s="1300">
        <f t="shared" ref="S69:T69" si="272">SUM(S67:S68)</f>
        <v>845.46541999999999</v>
      </c>
      <c r="T69" s="1397">
        <f t="shared" si="272"/>
        <v>586.54999999999995</v>
      </c>
      <c r="U69" s="1398">
        <f t="shared" ref="U69:X69" si="273">SUM(U67:U68)</f>
        <v>4208.2351400000007</v>
      </c>
      <c r="V69" s="1398">
        <f t="shared" si="273"/>
        <v>2961.2</v>
      </c>
      <c r="W69" s="1300">
        <f t="shared" si="273"/>
        <v>790.46478000000002</v>
      </c>
      <c r="X69" s="1397">
        <f t="shared" si="273"/>
        <v>519.6</v>
      </c>
      <c r="Y69" s="1172">
        <f t="shared" ref="Y69:Z69" si="274">SUM(Y67:Y68)</f>
        <v>2481.3956200000002</v>
      </c>
      <c r="Z69" s="1172">
        <f t="shared" si="274"/>
        <v>1823.65</v>
      </c>
      <c r="AA69" s="2314">
        <f t="shared" ref="AA69:AF69" si="275">SUM(AA67:AA68)</f>
        <v>4998.69992</v>
      </c>
      <c r="AB69" s="1173">
        <f t="shared" si="275"/>
        <v>3480.8</v>
      </c>
      <c r="AC69" s="1300">
        <f t="shared" si="275"/>
        <v>376.59342000000004</v>
      </c>
      <c r="AD69" s="1397">
        <f t="shared" si="275"/>
        <v>502.5</v>
      </c>
      <c r="AE69" s="1398">
        <f t="shared" si="275"/>
        <v>5375.2933400000002</v>
      </c>
      <c r="AF69" s="1398">
        <f t="shared" si="275"/>
        <v>3983.3</v>
      </c>
      <c r="AG69" s="1300">
        <f t="shared" ref="AG69:AH69" si="276">SUM(AG67:AG68)</f>
        <v>452.70400000000001</v>
      </c>
      <c r="AH69" s="1397">
        <f t="shared" si="276"/>
        <v>384</v>
      </c>
      <c r="AI69" s="1398">
        <f t="shared" ref="AI69:AN69" si="277">SUM(AI67:AI68)</f>
        <v>5827.9973399999999</v>
      </c>
      <c r="AJ69" s="1398">
        <f t="shared" si="277"/>
        <v>4367.3</v>
      </c>
      <c r="AK69" s="1300">
        <f t="shared" si="277"/>
        <v>845.46541999999999</v>
      </c>
      <c r="AL69" s="1397">
        <f t="shared" si="277"/>
        <v>573.79999999999995</v>
      </c>
      <c r="AM69" s="1172">
        <f t="shared" si="277"/>
        <v>1674.7628400000001</v>
      </c>
      <c r="AN69" s="1172">
        <f t="shared" si="277"/>
        <v>1460.3</v>
      </c>
      <c r="AO69" s="1398">
        <f t="shared" ref="AO69:AT69" si="278">SUM(AO67:AO68)</f>
        <v>6673.4627600000003</v>
      </c>
      <c r="AP69" s="1398">
        <f t="shared" si="278"/>
        <v>4941.1000000000004</v>
      </c>
      <c r="AQ69" s="1300">
        <f t="shared" si="278"/>
        <v>845.46541999999999</v>
      </c>
      <c r="AR69" s="1397">
        <f t="shared" si="278"/>
        <v>682.35</v>
      </c>
      <c r="AS69" s="1398">
        <f t="shared" si="278"/>
        <v>7518.9281800000008</v>
      </c>
      <c r="AT69" s="1398">
        <f t="shared" si="278"/>
        <v>5623.45</v>
      </c>
      <c r="AU69" s="1300">
        <f t="shared" ref="AU69:AV69" si="279">SUM(AU67:AU68)</f>
        <v>758.00348000000008</v>
      </c>
      <c r="AV69" s="1397">
        <f t="shared" si="279"/>
        <v>478.4</v>
      </c>
      <c r="AW69" s="1398">
        <f t="shared" ref="AW69:AZ69" si="280">SUM(AW67:AW68)</f>
        <v>8276.931660000002</v>
      </c>
      <c r="AX69" s="1398">
        <f t="shared" si="280"/>
        <v>6101.85</v>
      </c>
      <c r="AY69" s="1300">
        <f t="shared" si="280"/>
        <v>845.46541999999999</v>
      </c>
      <c r="AZ69" s="1397">
        <f t="shared" si="280"/>
        <v>412.2</v>
      </c>
      <c r="BA69" s="1172">
        <f t="shared" ref="BA69:BF69" si="281">SUM(BA67:BA68)</f>
        <v>2448.9343200000003</v>
      </c>
      <c r="BB69" s="1579">
        <f t="shared" si="281"/>
        <v>1572.95</v>
      </c>
      <c r="BC69" s="2541">
        <f t="shared" si="281"/>
        <v>4123.6971600000006</v>
      </c>
      <c r="BD69" s="2550">
        <f t="shared" si="281"/>
        <v>3033.25</v>
      </c>
      <c r="BE69" s="2575">
        <f t="shared" si="281"/>
        <v>9122.3970800000025</v>
      </c>
      <c r="BF69" s="1398">
        <f t="shared" si="281"/>
        <v>6514.0499999999993</v>
      </c>
      <c r="BG69" s="1202">
        <f t="shared" si="11"/>
        <v>0</v>
      </c>
      <c r="BH69" s="1202">
        <f t="shared" si="12"/>
        <v>0</v>
      </c>
      <c r="BI69" s="1202"/>
      <c r="BJ69" s="1202">
        <f t="shared" si="13"/>
        <v>0</v>
      </c>
      <c r="BK69" s="1202">
        <f t="shared" si="14"/>
        <v>0</v>
      </c>
      <c r="BL69" s="26"/>
      <c r="BM69" s="26"/>
      <c r="BN69" s="26"/>
    </row>
    <row r="70" spans="1:66" ht="15" thickBot="1" x14ac:dyDescent="0.35">
      <c r="B70" s="1771" t="s">
        <v>1531</v>
      </c>
      <c r="C70" s="1389" t="s">
        <v>50</v>
      </c>
      <c r="D70" s="1757">
        <v>1736.1078000000002</v>
      </c>
      <c r="E70" s="1758">
        <v>176.988</v>
      </c>
      <c r="F70" s="1759">
        <v>0</v>
      </c>
      <c r="G70" s="1758">
        <v>184.06752</v>
      </c>
      <c r="H70" s="1759">
        <v>0</v>
      </c>
      <c r="I70" s="1760">
        <f>+E70+G70</f>
        <v>361.05552</v>
      </c>
      <c r="J70" s="1761">
        <f>+F70+H70</f>
        <v>0</v>
      </c>
      <c r="K70" s="1758">
        <v>169.76400000000001</v>
      </c>
      <c r="L70" s="1759">
        <v>0</v>
      </c>
      <c r="M70" s="1762">
        <f>+E70+G70+K70</f>
        <v>530.81952000000001</v>
      </c>
      <c r="N70" s="1763">
        <f>+F70+H70+L70</f>
        <v>0</v>
      </c>
      <c r="O70" s="1758">
        <v>176.55456000000001</v>
      </c>
      <c r="P70" s="1759">
        <v>0</v>
      </c>
      <c r="Q70" s="1760">
        <f>+M70+O70</f>
        <v>707.37408000000005</v>
      </c>
      <c r="R70" s="1761">
        <f>+N70+P70</f>
        <v>0</v>
      </c>
      <c r="S70" s="1758">
        <v>176.55456000000001</v>
      </c>
      <c r="T70" s="1759">
        <v>0</v>
      </c>
      <c r="U70" s="1760">
        <f>+Q70+S70</f>
        <v>883.92864000000009</v>
      </c>
      <c r="V70" s="1761">
        <f>+R70+T70</f>
        <v>0</v>
      </c>
      <c r="W70" s="1758">
        <v>166.33260000000001</v>
      </c>
      <c r="X70" s="1759">
        <v>0</v>
      </c>
      <c r="Y70" s="754">
        <f>+O70+S70+W70</f>
        <v>519.44172000000003</v>
      </c>
      <c r="Z70" s="83">
        <f>+P70+T70+X70</f>
        <v>0</v>
      </c>
      <c r="AA70" s="752">
        <f>+M70+Y70</f>
        <v>1050.26124</v>
      </c>
      <c r="AB70" s="752">
        <f>+N70+Z70</f>
        <v>0</v>
      </c>
      <c r="AC70" s="1758">
        <v>0</v>
      </c>
      <c r="AD70" s="1759">
        <v>0</v>
      </c>
      <c r="AE70" s="1760">
        <f>+AA70+AC70</f>
        <v>1050.26124</v>
      </c>
      <c r="AF70" s="1761">
        <f>+AB70+AD70</f>
        <v>0</v>
      </c>
      <c r="AG70" s="1758">
        <v>0</v>
      </c>
      <c r="AH70" s="1759">
        <v>0</v>
      </c>
      <c r="AI70" s="1760">
        <f>+AE70+AG70</f>
        <v>1050.26124</v>
      </c>
      <c r="AJ70" s="1761">
        <f>+AF70+AH70</f>
        <v>0</v>
      </c>
      <c r="AK70" s="1758">
        <v>176.55456000000001</v>
      </c>
      <c r="AL70" s="1759"/>
      <c r="AM70" s="754">
        <f>+AC70+AG70+AK70</f>
        <v>176.55456000000001</v>
      </c>
      <c r="AN70" s="83">
        <f>+AD70+AH70+AL70</f>
        <v>0</v>
      </c>
      <c r="AO70" s="753">
        <f>AI70+AK70</f>
        <v>1226.8158000000001</v>
      </c>
      <c r="AP70" s="753">
        <f>AJ70+AL70</f>
        <v>0</v>
      </c>
      <c r="AQ70" s="1758">
        <v>176.55456000000001</v>
      </c>
      <c r="AR70" s="1759">
        <v>0</v>
      </c>
      <c r="AS70" s="1760">
        <f>+AO70+AQ70</f>
        <v>1403.3703600000001</v>
      </c>
      <c r="AT70" s="1761">
        <f>+AP70+AR70</f>
        <v>0</v>
      </c>
      <c r="AU70" s="1758">
        <v>156.18288000000001</v>
      </c>
      <c r="AV70" s="1759">
        <v>0</v>
      </c>
      <c r="AW70" s="1760">
        <f>+AS70+AU70</f>
        <v>1559.5532400000002</v>
      </c>
      <c r="AX70" s="1761">
        <f>+AT70+AV70</f>
        <v>0</v>
      </c>
      <c r="AY70" s="1758">
        <v>176.55456000000001</v>
      </c>
      <c r="AZ70" s="1759"/>
      <c r="BA70" s="754">
        <f>+AQ70+AU70+AY70</f>
        <v>509.29200000000003</v>
      </c>
      <c r="BB70" s="2570">
        <f>+AR70+AV70+AZ70</f>
        <v>0</v>
      </c>
      <c r="BC70" s="2579">
        <f t="shared" ref="BC70" si="282">+AM70+BA70</f>
        <v>685.84656000000007</v>
      </c>
      <c r="BD70" s="2579">
        <f t="shared" ref="BD70" si="283">+AN70+BB70</f>
        <v>0</v>
      </c>
      <c r="BE70" s="2576">
        <f>+AW70+AY70</f>
        <v>1736.1078000000002</v>
      </c>
      <c r="BF70" s="1761">
        <f>+AX70+AZ70</f>
        <v>0</v>
      </c>
      <c r="BG70" s="1202">
        <f t="shared" ref="BG70:BG133" si="284">AY70+AU70+AQ70+AK70+AG70+AC70+W70+S70+O70+K70+G70+E70-BE70</f>
        <v>0</v>
      </c>
      <c r="BH70" s="1202">
        <f t="shared" ref="BH70:BH133" si="285">AZ70+AV70+AR70+AL70+AH70+AD70+X70+T70+P70+L70+H70+F70-BF70</f>
        <v>0</v>
      </c>
      <c r="BI70" s="1202"/>
      <c r="BJ70" s="1202">
        <f t="shared" si="13"/>
        <v>0</v>
      </c>
      <c r="BK70" s="1202">
        <f t="shared" si="14"/>
        <v>0</v>
      </c>
      <c r="BL70" s="26"/>
      <c r="BM70" s="26"/>
      <c r="BN70" s="26"/>
    </row>
    <row r="71" spans="1:66" ht="16.5" hidden="1" customHeight="1" thickBot="1" x14ac:dyDescent="0.35">
      <c r="A71" s="145"/>
      <c r="B71" s="2341" t="s">
        <v>184</v>
      </c>
      <c r="C71" s="1999"/>
      <c r="D71" s="712"/>
      <c r="E71" s="1034"/>
      <c r="F71" s="2342"/>
      <c r="G71" s="1034"/>
      <c r="H71" s="2342"/>
      <c r="I71" s="712"/>
      <c r="J71" s="2342"/>
      <c r="K71" s="1034"/>
      <c r="L71" s="2342"/>
      <c r="M71" s="1034"/>
      <c r="N71" s="2342"/>
      <c r="O71" s="1034"/>
      <c r="P71" s="2342"/>
      <c r="Q71" s="712"/>
      <c r="R71" s="2342"/>
      <c r="S71" s="1034"/>
      <c r="T71" s="2342"/>
      <c r="U71" s="712"/>
      <c r="V71" s="2342"/>
      <c r="W71" s="1034"/>
      <c r="X71" s="2342"/>
      <c r="Y71" s="2343"/>
      <c r="Z71" s="2343"/>
      <c r="AA71" s="2344"/>
      <c r="AB71" s="2343"/>
      <c r="AC71" s="1034"/>
      <c r="AD71" s="2342"/>
      <c r="AE71" s="712"/>
      <c r="AF71" s="2342"/>
      <c r="AG71" s="1034"/>
      <c r="AH71" s="2342"/>
      <c r="AI71" s="712"/>
      <c r="AJ71" s="2342"/>
      <c r="AK71" s="1034"/>
      <c r="AL71" s="2342"/>
      <c r="AM71" s="2343"/>
      <c r="AN71" s="2343"/>
      <c r="AO71" s="712"/>
      <c r="AP71" s="2342"/>
      <c r="AQ71" s="1034"/>
      <c r="AR71" s="2342"/>
      <c r="AS71" s="712"/>
      <c r="AT71" s="2342"/>
      <c r="AU71" s="1034"/>
      <c r="AV71" s="2342"/>
      <c r="AW71" s="712"/>
      <c r="AX71" s="2342"/>
      <c r="AY71" s="1034"/>
      <c r="AZ71" s="2342"/>
      <c r="BA71" s="2343"/>
      <c r="BB71" s="2343"/>
      <c r="BC71" s="2580"/>
      <c r="BD71" s="2536"/>
      <c r="BE71" s="712"/>
      <c r="BF71" s="2342"/>
      <c r="BG71" s="1202">
        <f t="shared" si="284"/>
        <v>0</v>
      </c>
      <c r="BH71" s="1202">
        <f t="shared" si="285"/>
        <v>0</v>
      </c>
      <c r="BI71" s="1202"/>
      <c r="BJ71" s="1202">
        <f t="shared" si="13"/>
        <v>0</v>
      </c>
      <c r="BK71" s="1202">
        <f t="shared" si="14"/>
        <v>0</v>
      </c>
      <c r="BL71" s="26"/>
      <c r="BM71" s="26"/>
      <c r="BN71" s="26"/>
    </row>
    <row r="72" spans="1:66" ht="15" hidden="1" customHeight="1" x14ac:dyDescent="0.3">
      <c r="B72" s="2345" t="s">
        <v>1514</v>
      </c>
      <c r="C72" s="811" t="s">
        <v>50</v>
      </c>
      <c r="D72" s="270"/>
      <c r="E72" s="270"/>
      <c r="F72" s="270"/>
      <c r="G72" s="270"/>
      <c r="H72" s="270"/>
      <c r="I72" s="368">
        <f t="shared" ref="I72:J76" si="286">+E72+G72</f>
        <v>0</v>
      </c>
      <c r="J72" s="368">
        <f t="shared" si="286"/>
        <v>0</v>
      </c>
      <c r="K72" s="270"/>
      <c r="L72" s="270"/>
      <c r="M72" s="613">
        <f t="shared" ref="M72:N76" si="287">+E72+G72+K72</f>
        <v>0</v>
      </c>
      <c r="N72" s="613">
        <f t="shared" si="287"/>
        <v>0</v>
      </c>
      <c r="O72" s="270"/>
      <c r="P72" s="270"/>
      <c r="Q72" s="368">
        <f t="shared" ref="Q72:R76" si="288">+M72+O72</f>
        <v>0</v>
      </c>
      <c r="R72" s="368">
        <f t="shared" si="288"/>
        <v>0</v>
      </c>
      <c r="S72" s="270"/>
      <c r="T72" s="270"/>
      <c r="U72" s="368">
        <f t="shared" ref="U72:U76" si="289">+Q72+S72</f>
        <v>0</v>
      </c>
      <c r="V72" s="368">
        <f t="shared" ref="V72:V76" si="290">+R72+T72</f>
        <v>0</v>
      </c>
      <c r="W72" s="270"/>
      <c r="X72" s="270"/>
      <c r="Y72" s="613">
        <f t="shared" ref="Y72:Z76" si="291">+O72+S72+W72</f>
        <v>0</v>
      </c>
      <c r="Z72" s="613">
        <f t="shared" si="291"/>
        <v>0</v>
      </c>
      <c r="AA72" s="1039">
        <f t="shared" ref="AA72:AB76" si="292">+M72+Y72</f>
        <v>0</v>
      </c>
      <c r="AB72" s="453">
        <f t="shared" si="292"/>
        <v>0</v>
      </c>
      <c r="AC72" s="270"/>
      <c r="AD72" s="270"/>
      <c r="AE72" s="368">
        <f t="shared" ref="AE72:AE76" si="293">+AA72+AC72</f>
        <v>0</v>
      </c>
      <c r="AF72" s="368">
        <f t="shared" ref="AF72:AF76" si="294">+AB72+AD72</f>
        <v>0</v>
      </c>
      <c r="AG72" s="270"/>
      <c r="AH72" s="270"/>
      <c r="AI72" s="368">
        <f t="shared" ref="AI72:AI76" si="295">+AE72+AG72</f>
        <v>0</v>
      </c>
      <c r="AJ72" s="368">
        <f t="shared" ref="AJ72:AJ76" si="296">+AF72+AH72</f>
        <v>0</v>
      </c>
      <c r="AK72" s="270"/>
      <c r="AL72" s="270"/>
      <c r="AM72" s="613">
        <f t="shared" ref="AM72:AM76" si="297">+AC72+AG72+AK72</f>
        <v>0</v>
      </c>
      <c r="AN72" s="613">
        <f t="shared" ref="AN72:AN76" si="298">+AD72+AH72+AL72</f>
        <v>0</v>
      </c>
      <c r="AO72" s="753">
        <f>AI72+AK72</f>
        <v>0</v>
      </c>
      <c r="AP72" s="753">
        <f>AJ72+AL72</f>
        <v>0</v>
      </c>
      <c r="AQ72" s="270"/>
      <c r="AR72" s="270"/>
      <c r="AS72" s="368">
        <f t="shared" ref="AS72:AS76" si="299">+AO72+AQ72</f>
        <v>0</v>
      </c>
      <c r="AT72" s="368">
        <f t="shared" ref="AT72:AT76" si="300">+AP72+AR72</f>
        <v>0</v>
      </c>
      <c r="AU72" s="270"/>
      <c r="AV72" s="270"/>
      <c r="AW72" s="368">
        <f t="shared" ref="AW72:AW76" si="301">+AS72+AU72</f>
        <v>0</v>
      </c>
      <c r="AX72" s="368">
        <f t="shared" ref="AX72:AX76" si="302">+AT72+AV72</f>
        <v>0</v>
      </c>
      <c r="AY72" s="270"/>
      <c r="AZ72" s="270"/>
      <c r="BA72" s="613">
        <f t="shared" ref="BA72:BA76" si="303">+AQ72+AU72+AY72</f>
        <v>0</v>
      </c>
      <c r="BB72" s="1578">
        <f t="shared" ref="BB72:BB76" si="304">+AR72+AV72+AZ72</f>
        <v>0</v>
      </c>
      <c r="BC72" s="2579">
        <f t="shared" ref="BC72:BC76" si="305">+AM72+BA72</f>
        <v>0</v>
      </c>
      <c r="BD72" s="2579">
        <f t="shared" ref="BD72:BD76" si="306">+AN72+BB72</f>
        <v>0</v>
      </c>
      <c r="BE72" s="710">
        <f t="shared" ref="BE72:BE76" si="307">+AW72+AY72</f>
        <v>0</v>
      </c>
      <c r="BF72" s="368">
        <f t="shared" ref="BF72:BF76" si="308">+AX72+AZ72</f>
        <v>0</v>
      </c>
      <c r="BG72" s="1202">
        <f t="shared" si="284"/>
        <v>0</v>
      </c>
      <c r="BH72" s="1202">
        <f t="shared" si="285"/>
        <v>0</v>
      </c>
      <c r="BI72" s="1202"/>
      <c r="BJ72" s="1202">
        <f t="shared" si="13"/>
        <v>0</v>
      </c>
      <c r="BK72" s="1202">
        <f t="shared" si="14"/>
        <v>0</v>
      </c>
      <c r="BL72" s="26"/>
      <c r="BM72" s="26"/>
      <c r="BN72" s="26"/>
    </row>
    <row r="73" spans="1:66" ht="15" hidden="1" customHeight="1" x14ac:dyDescent="0.3">
      <c r="B73" s="2334" t="s">
        <v>185</v>
      </c>
      <c r="C73" s="156" t="s">
        <v>50</v>
      </c>
      <c r="D73" s="1118"/>
      <c r="E73" s="1118"/>
      <c r="F73" s="1118"/>
      <c r="G73" s="1118"/>
      <c r="H73" s="1118"/>
      <c r="I73" s="775">
        <f t="shared" si="286"/>
        <v>0</v>
      </c>
      <c r="J73" s="775">
        <f t="shared" si="286"/>
        <v>0</v>
      </c>
      <c r="K73" s="1118"/>
      <c r="L73" s="1118"/>
      <c r="M73" s="774">
        <f t="shared" si="287"/>
        <v>0</v>
      </c>
      <c r="N73" s="774">
        <f t="shared" si="287"/>
        <v>0</v>
      </c>
      <c r="O73" s="1118"/>
      <c r="P73" s="1118"/>
      <c r="Q73" s="775">
        <f t="shared" si="288"/>
        <v>0</v>
      </c>
      <c r="R73" s="775">
        <f t="shared" si="288"/>
        <v>0</v>
      </c>
      <c r="S73" s="1118"/>
      <c r="T73" s="1118"/>
      <c r="U73" s="775">
        <f t="shared" si="289"/>
        <v>0</v>
      </c>
      <c r="V73" s="775">
        <f t="shared" si="290"/>
        <v>0</v>
      </c>
      <c r="W73" s="1118"/>
      <c r="X73" s="1118"/>
      <c r="Y73" s="774">
        <f t="shared" si="291"/>
        <v>0</v>
      </c>
      <c r="Z73" s="774">
        <f t="shared" si="291"/>
        <v>0</v>
      </c>
      <c r="AA73" s="460">
        <f t="shared" si="292"/>
        <v>0</v>
      </c>
      <c r="AB73" s="449">
        <f t="shared" si="292"/>
        <v>0</v>
      </c>
      <c r="AC73" s="1118"/>
      <c r="AD73" s="1118"/>
      <c r="AE73" s="775">
        <f t="shared" si="293"/>
        <v>0</v>
      </c>
      <c r="AF73" s="775">
        <f t="shared" si="294"/>
        <v>0</v>
      </c>
      <c r="AG73" s="1118"/>
      <c r="AH73" s="1118"/>
      <c r="AI73" s="775">
        <f t="shared" si="295"/>
        <v>0</v>
      </c>
      <c r="AJ73" s="775">
        <f t="shared" si="296"/>
        <v>0</v>
      </c>
      <c r="AK73" s="1118"/>
      <c r="AL73" s="1118"/>
      <c r="AM73" s="774">
        <f t="shared" si="297"/>
        <v>0</v>
      </c>
      <c r="AN73" s="774">
        <f t="shared" si="298"/>
        <v>0</v>
      </c>
      <c r="AO73" s="753">
        <f t="shared" ref="AO73:AO76" si="309">AI73+AK73</f>
        <v>0</v>
      </c>
      <c r="AP73" s="753">
        <f t="shared" ref="AP73:AP76" si="310">AJ73+AL73</f>
        <v>0</v>
      </c>
      <c r="AQ73" s="1118"/>
      <c r="AR73" s="1118"/>
      <c r="AS73" s="775">
        <f t="shared" si="299"/>
        <v>0</v>
      </c>
      <c r="AT73" s="775">
        <f t="shared" si="300"/>
        <v>0</v>
      </c>
      <c r="AU73" s="1118"/>
      <c r="AV73" s="1118"/>
      <c r="AW73" s="775">
        <f t="shared" si="301"/>
        <v>0</v>
      </c>
      <c r="AX73" s="775">
        <f t="shared" si="302"/>
        <v>0</v>
      </c>
      <c r="AY73" s="1118"/>
      <c r="AZ73" s="1118"/>
      <c r="BA73" s="774">
        <f t="shared" si="303"/>
        <v>0</v>
      </c>
      <c r="BB73" s="2572">
        <f t="shared" si="304"/>
        <v>0</v>
      </c>
      <c r="BC73" s="2579">
        <f t="shared" si="305"/>
        <v>0</v>
      </c>
      <c r="BD73" s="2579">
        <f t="shared" si="306"/>
        <v>0</v>
      </c>
      <c r="BE73" s="432">
        <f t="shared" si="307"/>
        <v>0</v>
      </c>
      <c r="BF73" s="775">
        <f t="shared" si="308"/>
        <v>0</v>
      </c>
      <c r="BG73" s="1202">
        <f t="shared" si="284"/>
        <v>0</v>
      </c>
      <c r="BH73" s="1202">
        <f t="shared" si="285"/>
        <v>0</v>
      </c>
      <c r="BI73" s="1202"/>
      <c r="BJ73" s="1202">
        <f t="shared" ref="BJ73:BJ136" si="311">AC73+AG73+AK73+AQ73+AU73+AY73-BC73</f>
        <v>0</v>
      </c>
      <c r="BK73" s="1202">
        <f t="shared" ref="BK73:BK136" si="312">AD73+AH73+AL73+AR73+AV73+AZ73-BD73</f>
        <v>0</v>
      </c>
      <c r="BL73" s="26"/>
      <c r="BM73" s="26"/>
      <c r="BN73" s="26"/>
    </row>
    <row r="74" spans="1:66" ht="15" hidden="1" customHeight="1" x14ac:dyDescent="0.3">
      <c r="B74" s="2334" t="s">
        <v>186</v>
      </c>
      <c r="C74" s="156" t="s">
        <v>50</v>
      </c>
      <c r="D74" s="1118"/>
      <c r="E74" s="1118"/>
      <c r="F74" s="1118"/>
      <c r="G74" s="1118"/>
      <c r="H74" s="1118"/>
      <c r="I74" s="775">
        <f t="shared" si="286"/>
        <v>0</v>
      </c>
      <c r="J74" s="775">
        <f t="shared" si="286"/>
        <v>0</v>
      </c>
      <c r="K74" s="1118"/>
      <c r="L74" s="1118"/>
      <c r="M74" s="774">
        <f t="shared" si="287"/>
        <v>0</v>
      </c>
      <c r="N74" s="774">
        <f t="shared" si="287"/>
        <v>0</v>
      </c>
      <c r="O74" s="1118"/>
      <c r="P74" s="1118"/>
      <c r="Q74" s="775">
        <f t="shared" si="288"/>
        <v>0</v>
      </c>
      <c r="R74" s="775">
        <f t="shared" si="288"/>
        <v>0</v>
      </c>
      <c r="S74" s="1118"/>
      <c r="T74" s="1118"/>
      <c r="U74" s="775">
        <f t="shared" si="289"/>
        <v>0</v>
      </c>
      <c r="V74" s="775">
        <f t="shared" si="290"/>
        <v>0</v>
      </c>
      <c r="W74" s="1118"/>
      <c r="X74" s="1118"/>
      <c r="Y74" s="774">
        <f t="shared" si="291"/>
        <v>0</v>
      </c>
      <c r="Z74" s="774">
        <f t="shared" si="291"/>
        <v>0</v>
      </c>
      <c r="AA74" s="460">
        <f t="shared" si="292"/>
        <v>0</v>
      </c>
      <c r="AB74" s="449">
        <f t="shared" si="292"/>
        <v>0</v>
      </c>
      <c r="AC74" s="1118"/>
      <c r="AD74" s="1118"/>
      <c r="AE74" s="775">
        <f t="shared" si="293"/>
        <v>0</v>
      </c>
      <c r="AF74" s="775">
        <f t="shared" si="294"/>
        <v>0</v>
      </c>
      <c r="AG74" s="1118"/>
      <c r="AH74" s="1118"/>
      <c r="AI74" s="775">
        <f t="shared" si="295"/>
        <v>0</v>
      </c>
      <c r="AJ74" s="775">
        <f t="shared" si="296"/>
        <v>0</v>
      </c>
      <c r="AK74" s="1118"/>
      <c r="AL74" s="1118"/>
      <c r="AM74" s="774">
        <f t="shared" si="297"/>
        <v>0</v>
      </c>
      <c r="AN74" s="774">
        <f t="shared" si="298"/>
        <v>0</v>
      </c>
      <c r="AO74" s="753">
        <f t="shared" si="309"/>
        <v>0</v>
      </c>
      <c r="AP74" s="753">
        <f t="shared" si="310"/>
        <v>0</v>
      </c>
      <c r="AQ74" s="1118"/>
      <c r="AR74" s="1118"/>
      <c r="AS74" s="775">
        <f t="shared" si="299"/>
        <v>0</v>
      </c>
      <c r="AT74" s="775">
        <f t="shared" si="300"/>
        <v>0</v>
      </c>
      <c r="AU74" s="1118"/>
      <c r="AV74" s="1118"/>
      <c r="AW74" s="775">
        <f t="shared" si="301"/>
        <v>0</v>
      </c>
      <c r="AX74" s="775">
        <f t="shared" si="302"/>
        <v>0</v>
      </c>
      <c r="AY74" s="1118"/>
      <c r="AZ74" s="1118"/>
      <c r="BA74" s="774">
        <f t="shared" si="303"/>
        <v>0</v>
      </c>
      <c r="BB74" s="2572">
        <f t="shared" si="304"/>
        <v>0</v>
      </c>
      <c r="BC74" s="2579">
        <f t="shared" si="305"/>
        <v>0</v>
      </c>
      <c r="BD74" s="2579">
        <f t="shared" si="306"/>
        <v>0</v>
      </c>
      <c r="BE74" s="432">
        <f t="shared" si="307"/>
        <v>0</v>
      </c>
      <c r="BF74" s="775">
        <f t="shared" si="308"/>
        <v>0</v>
      </c>
      <c r="BG74" s="1202">
        <f t="shared" si="284"/>
        <v>0</v>
      </c>
      <c r="BH74" s="1202">
        <f t="shared" si="285"/>
        <v>0</v>
      </c>
      <c r="BI74" s="1202"/>
      <c r="BJ74" s="1202">
        <f t="shared" si="311"/>
        <v>0</v>
      </c>
      <c r="BK74" s="1202">
        <f t="shared" si="312"/>
        <v>0</v>
      </c>
      <c r="BL74" s="26"/>
      <c r="BM74" s="26"/>
      <c r="BN74" s="26"/>
    </row>
    <row r="75" spans="1:66" ht="15" hidden="1" customHeight="1" x14ac:dyDescent="0.3">
      <c r="B75" s="2334" t="s">
        <v>187</v>
      </c>
      <c r="C75" s="156" t="s">
        <v>50</v>
      </c>
      <c r="D75" s="1118"/>
      <c r="E75" s="1118"/>
      <c r="F75" s="1118"/>
      <c r="G75" s="1118"/>
      <c r="H75" s="1118"/>
      <c r="I75" s="775">
        <f t="shared" si="286"/>
        <v>0</v>
      </c>
      <c r="J75" s="775">
        <f t="shared" si="286"/>
        <v>0</v>
      </c>
      <c r="K75" s="1118"/>
      <c r="L75" s="1118"/>
      <c r="M75" s="774">
        <f t="shared" si="287"/>
        <v>0</v>
      </c>
      <c r="N75" s="348">
        <f t="shared" si="287"/>
        <v>0</v>
      </c>
      <c r="O75" s="1118"/>
      <c r="P75" s="1118"/>
      <c r="Q75" s="775">
        <f t="shared" si="288"/>
        <v>0</v>
      </c>
      <c r="R75" s="775">
        <f t="shared" si="288"/>
        <v>0</v>
      </c>
      <c r="S75" s="1118"/>
      <c r="T75" s="1118"/>
      <c r="U75" s="775">
        <f t="shared" si="289"/>
        <v>0</v>
      </c>
      <c r="V75" s="775">
        <f t="shared" si="290"/>
        <v>0</v>
      </c>
      <c r="W75" s="1118"/>
      <c r="X75" s="1118"/>
      <c r="Y75" s="774">
        <f t="shared" si="291"/>
        <v>0</v>
      </c>
      <c r="Z75" s="774">
        <f t="shared" si="291"/>
        <v>0</v>
      </c>
      <c r="AA75" s="460">
        <f t="shared" si="292"/>
        <v>0</v>
      </c>
      <c r="AB75" s="449">
        <f t="shared" si="292"/>
        <v>0</v>
      </c>
      <c r="AC75" s="1118"/>
      <c r="AD75" s="1118"/>
      <c r="AE75" s="775">
        <f t="shared" si="293"/>
        <v>0</v>
      </c>
      <c r="AF75" s="775">
        <f t="shared" si="294"/>
        <v>0</v>
      </c>
      <c r="AG75" s="1118"/>
      <c r="AH75" s="1118"/>
      <c r="AI75" s="775">
        <f t="shared" si="295"/>
        <v>0</v>
      </c>
      <c r="AJ75" s="775">
        <f t="shared" si="296"/>
        <v>0</v>
      </c>
      <c r="AK75" s="1118"/>
      <c r="AL75" s="1118"/>
      <c r="AM75" s="774">
        <f t="shared" si="297"/>
        <v>0</v>
      </c>
      <c r="AN75" s="774">
        <f t="shared" si="298"/>
        <v>0</v>
      </c>
      <c r="AO75" s="753">
        <f t="shared" si="309"/>
        <v>0</v>
      </c>
      <c r="AP75" s="753">
        <f t="shared" si="310"/>
        <v>0</v>
      </c>
      <c r="AQ75" s="1118"/>
      <c r="AR75" s="1118"/>
      <c r="AS75" s="775">
        <f t="shared" si="299"/>
        <v>0</v>
      </c>
      <c r="AT75" s="775">
        <f t="shared" si="300"/>
        <v>0</v>
      </c>
      <c r="AU75" s="1118"/>
      <c r="AV75" s="1118"/>
      <c r="AW75" s="775">
        <f t="shared" si="301"/>
        <v>0</v>
      </c>
      <c r="AX75" s="775">
        <f t="shared" si="302"/>
        <v>0</v>
      </c>
      <c r="AY75" s="1118"/>
      <c r="AZ75" s="1118"/>
      <c r="BA75" s="774">
        <f t="shared" si="303"/>
        <v>0</v>
      </c>
      <c r="BB75" s="2572">
        <f t="shared" si="304"/>
        <v>0</v>
      </c>
      <c r="BC75" s="2579">
        <f t="shared" si="305"/>
        <v>0</v>
      </c>
      <c r="BD75" s="2579">
        <f t="shared" si="306"/>
        <v>0</v>
      </c>
      <c r="BE75" s="432">
        <f t="shared" si="307"/>
        <v>0</v>
      </c>
      <c r="BF75" s="775">
        <f t="shared" si="308"/>
        <v>0</v>
      </c>
      <c r="BG75" s="1202">
        <f t="shared" si="284"/>
        <v>0</v>
      </c>
      <c r="BH75" s="1202">
        <f t="shared" si="285"/>
        <v>0</v>
      </c>
      <c r="BI75" s="1202"/>
      <c r="BJ75" s="1202">
        <f t="shared" si="311"/>
        <v>0</v>
      </c>
      <c r="BK75" s="1202">
        <f t="shared" si="312"/>
        <v>0</v>
      </c>
      <c r="BL75" s="26"/>
      <c r="BM75" s="26"/>
      <c r="BN75" s="26"/>
    </row>
    <row r="76" spans="1:66" ht="15.9" hidden="1" customHeight="1" thickBot="1" x14ac:dyDescent="0.35">
      <c r="B76" s="2346" t="s">
        <v>188</v>
      </c>
      <c r="C76" s="157" t="s">
        <v>50</v>
      </c>
      <c r="D76" s="226"/>
      <c r="E76" s="226"/>
      <c r="F76" s="226"/>
      <c r="G76" s="226"/>
      <c r="H76" s="226"/>
      <c r="I76" s="271">
        <f t="shared" si="286"/>
        <v>0</v>
      </c>
      <c r="J76" s="271">
        <f t="shared" si="286"/>
        <v>0</v>
      </c>
      <c r="K76" s="226"/>
      <c r="L76" s="226"/>
      <c r="M76" s="1187">
        <f t="shared" si="287"/>
        <v>0</v>
      </c>
      <c r="N76" s="1187">
        <f t="shared" si="287"/>
        <v>0</v>
      </c>
      <c r="O76" s="226"/>
      <c r="P76" s="226"/>
      <c r="Q76" s="271">
        <f t="shared" si="288"/>
        <v>0</v>
      </c>
      <c r="R76" s="271">
        <f t="shared" si="288"/>
        <v>0</v>
      </c>
      <c r="S76" s="226"/>
      <c r="T76" s="226"/>
      <c r="U76" s="271">
        <f t="shared" si="289"/>
        <v>0</v>
      </c>
      <c r="V76" s="271">
        <f t="shared" si="290"/>
        <v>0</v>
      </c>
      <c r="W76" s="226"/>
      <c r="X76" s="226"/>
      <c r="Y76" s="1187">
        <f t="shared" si="291"/>
        <v>0</v>
      </c>
      <c r="Z76" s="1187">
        <f t="shared" si="291"/>
        <v>0</v>
      </c>
      <c r="AA76" s="460">
        <f t="shared" si="292"/>
        <v>0</v>
      </c>
      <c r="AB76" s="2223">
        <f t="shared" si="292"/>
        <v>0</v>
      </c>
      <c r="AC76" s="226"/>
      <c r="AD76" s="226"/>
      <c r="AE76" s="271">
        <f t="shared" si="293"/>
        <v>0</v>
      </c>
      <c r="AF76" s="271">
        <f t="shared" si="294"/>
        <v>0</v>
      </c>
      <c r="AG76" s="226"/>
      <c r="AH76" s="226"/>
      <c r="AI76" s="271">
        <f t="shared" si="295"/>
        <v>0</v>
      </c>
      <c r="AJ76" s="271">
        <f t="shared" si="296"/>
        <v>0</v>
      </c>
      <c r="AK76" s="226"/>
      <c r="AL76" s="226"/>
      <c r="AM76" s="1187">
        <f t="shared" si="297"/>
        <v>0</v>
      </c>
      <c r="AN76" s="1187">
        <f t="shared" si="298"/>
        <v>0</v>
      </c>
      <c r="AO76" s="753">
        <f t="shared" si="309"/>
        <v>0</v>
      </c>
      <c r="AP76" s="753">
        <f t="shared" si="310"/>
        <v>0</v>
      </c>
      <c r="AQ76" s="226"/>
      <c r="AR76" s="226"/>
      <c r="AS76" s="271">
        <f t="shared" si="299"/>
        <v>0</v>
      </c>
      <c r="AT76" s="271">
        <f t="shared" si="300"/>
        <v>0</v>
      </c>
      <c r="AU76" s="226"/>
      <c r="AV76" s="226"/>
      <c r="AW76" s="271">
        <f t="shared" si="301"/>
        <v>0</v>
      </c>
      <c r="AX76" s="271">
        <f t="shared" si="302"/>
        <v>0</v>
      </c>
      <c r="AY76" s="226"/>
      <c r="AZ76" s="226"/>
      <c r="BA76" s="1187">
        <f t="shared" si="303"/>
        <v>0</v>
      </c>
      <c r="BB76" s="2573">
        <f t="shared" si="304"/>
        <v>0</v>
      </c>
      <c r="BC76" s="2579">
        <f t="shared" si="305"/>
        <v>0</v>
      </c>
      <c r="BD76" s="2579">
        <f t="shared" si="306"/>
        <v>0</v>
      </c>
      <c r="BE76" s="2574">
        <f t="shared" si="307"/>
        <v>0</v>
      </c>
      <c r="BF76" s="271">
        <f t="shared" si="308"/>
        <v>0</v>
      </c>
      <c r="BG76" s="1202">
        <f t="shared" si="284"/>
        <v>0</v>
      </c>
      <c r="BH76" s="1202">
        <f t="shared" si="285"/>
        <v>0</v>
      </c>
      <c r="BI76" s="1202"/>
      <c r="BJ76" s="1202">
        <f t="shared" si="311"/>
        <v>0</v>
      </c>
      <c r="BK76" s="1202">
        <f t="shared" si="312"/>
        <v>0</v>
      </c>
      <c r="BL76" s="26"/>
      <c r="BM76" s="26"/>
      <c r="BN76" s="26"/>
    </row>
    <row r="77" spans="1:66" ht="16.5" hidden="1" customHeight="1" thickBot="1" x14ac:dyDescent="0.35">
      <c r="B77" s="2347" t="s">
        <v>509</v>
      </c>
      <c r="C77" s="1169" t="s">
        <v>50</v>
      </c>
      <c r="D77" s="2224">
        <f t="shared" ref="D77:J77" si="313">SUM(D72:D76)</f>
        <v>0</v>
      </c>
      <c r="E77" s="2224">
        <f t="shared" si="313"/>
        <v>0</v>
      </c>
      <c r="F77" s="2224">
        <f t="shared" si="313"/>
        <v>0</v>
      </c>
      <c r="G77" s="2224">
        <f t="shared" ref="G77:H77" si="314">SUM(G72:G76)</f>
        <v>0</v>
      </c>
      <c r="H77" s="2224">
        <f t="shared" si="314"/>
        <v>0</v>
      </c>
      <c r="I77" s="1171">
        <f t="shared" si="313"/>
        <v>0</v>
      </c>
      <c r="J77" s="1171">
        <f t="shared" si="313"/>
        <v>0</v>
      </c>
      <c r="K77" s="2224">
        <f t="shared" ref="K77:L77" si="315">SUM(K72:K76)</f>
        <v>0</v>
      </c>
      <c r="L77" s="2224">
        <f t="shared" si="315"/>
        <v>0</v>
      </c>
      <c r="M77" s="1172">
        <f t="shared" ref="M77:R77" si="316">SUM(M72:M76)</f>
        <v>0</v>
      </c>
      <c r="N77" s="1172">
        <f t="shared" si="316"/>
        <v>0</v>
      </c>
      <c r="O77" s="2224">
        <f t="shared" si="316"/>
        <v>0</v>
      </c>
      <c r="P77" s="2224">
        <f t="shared" si="316"/>
        <v>0</v>
      </c>
      <c r="Q77" s="1171">
        <f t="shared" si="316"/>
        <v>0</v>
      </c>
      <c r="R77" s="1171">
        <f t="shared" si="316"/>
        <v>0</v>
      </c>
      <c r="S77" s="2224">
        <f t="shared" ref="S77:T77" si="317">SUM(S72:S76)</f>
        <v>0</v>
      </c>
      <c r="T77" s="2224">
        <f t="shared" si="317"/>
        <v>0</v>
      </c>
      <c r="U77" s="1171">
        <f t="shared" ref="U77:X77" si="318">SUM(U72:U76)</f>
        <v>0</v>
      </c>
      <c r="V77" s="1171">
        <f t="shared" si="318"/>
        <v>0</v>
      </c>
      <c r="W77" s="2224">
        <f t="shared" si="318"/>
        <v>0</v>
      </c>
      <c r="X77" s="2224">
        <f t="shared" si="318"/>
        <v>0</v>
      </c>
      <c r="Y77" s="1172">
        <f t="shared" ref="Y77:Z77" si="319">SUM(Y72:Y76)</f>
        <v>0</v>
      </c>
      <c r="Z77" s="1172">
        <f t="shared" si="319"/>
        <v>0</v>
      </c>
      <c r="AA77" s="1173">
        <f t="shared" ref="AA77:AF77" si="320">SUM(AA72:AA76)</f>
        <v>0</v>
      </c>
      <c r="AB77" s="455">
        <f t="shared" si="320"/>
        <v>0</v>
      </c>
      <c r="AC77" s="2224">
        <f t="shared" si="320"/>
        <v>0</v>
      </c>
      <c r="AD77" s="2224">
        <f t="shared" si="320"/>
        <v>0</v>
      </c>
      <c r="AE77" s="1171">
        <f t="shared" si="320"/>
        <v>0</v>
      </c>
      <c r="AF77" s="1171">
        <f t="shared" si="320"/>
        <v>0</v>
      </c>
      <c r="AG77" s="2224">
        <f t="shared" ref="AG77:AH77" si="321">SUM(AG72:AG76)</f>
        <v>0</v>
      </c>
      <c r="AH77" s="2224">
        <f t="shared" si="321"/>
        <v>0</v>
      </c>
      <c r="AI77" s="1171">
        <f t="shared" ref="AI77:AN77" si="322">SUM(AI72:AI76)</f>
        <v>0</v>
      </c>
      <c r="AJ77" s="1171">
        <f t="shared" si="322"/>
        <v>0</v>
      </c>
      <c r="AK77" s="2224">
        <f t="shared" si="322"/>
        <v>0</v>
      </c>
      <c r="AL77" s="2224">
        <f t="shared" si="322"/>
        <v>0</v>
      </c>
      <c r="AM77" s="1172">
        <f t="shared" si="322"/>
        <v>0</v>
      </c>
      <c r="AN77" s="1172">
        <f t="shared" si="322"/>
        <v>0</v>
      </c>
      <c r="AO77" s="1171">
        <f t="shared" ref="AO77:AT77" si="323">SUM(AO72:AO76)</f>
        <v>0</v>
      </c>
      <c r="AP77" s="1171">
        <f t="shared" si="323"/>
        <v>0</v>
      </c>
      <c r="AQ77" s="2224">
        <f t="shared" si="323"/>
        <v>0</v>
      </c>
      <c r="AR77" s="2224">
        <f t="shared" si="323"/>
        <v>0</v>
      </c>
      <c r="AS77" s="1171">
        <f t="shared" si="323"/>
        <v>0</v>
      </c>
      <c r="AT77" s="1171">
        <f t="shared" si="323"/>
        <v>0</v>
      </c>
      <c r="AU77" s="2224">
        <f t="shared" ref="AU77:AV77" si="324">SUM(AU72:AU76)</f>
        <v>0</v>
      </c>
      <c r="AV77" s="2224">
        <f t="shared" si="324"/>
        <v>0</v>
      </c>
      <c r="AW77" s="1171">
        <f t="shared" ref="AW77:AZ77" si="325">SUM(AW72:AW76)</f>
        <v>0</v>
      </c>
      <c r="AX77" s="1171">
        <f t="shared" si="325"/>
        <v>0</v>
      </c>
      <c r="AY77" s="2224">
        <f t="shared" si="325"/>
        <v>0</v>
      </c>
      <c r="AZ77" s="2224">
        <f t="shared" si="325"/>
        <v>0</v>
      </c>
      <c r="BA77" s="1172">
        <f t="shared" ref="BA77:BF77" si="326">SUM(BA72:BA76)</f>
        <v>0</v>
      </c>
      <c r="BB77" s="1579">
        <f t="shared" si="326"/>
        <v>0</v>
      </c>
      <c r="BC77" s="2550">
        <f t="shared" si="326"/>
        <v>0</v>
      </c>
      <c r="BD77" s="2550">
        <f t="shared" si="326"/>
        <v>0</v>
      </c>
      <c r="BE77" s="721">
        <f t="shared" si="326"/>
        <v>0</v>
      </c>
      <c r="BF77" s="1171">
        <f t="shared" si="326"/>
        <v>0</v>
      </c>
      <c r="BG77" s="1202">
        <f t="shared" si="284"/>
        <v>0</v>
      </c>
      <c r="BH77" s="1202">
        <f t="shared" si="285"/>
        <v>0</v>
      </c>
      <c r="BI77" s="1202"/>
      <c r="BJ77" s="1202">
        <f t="shared" si="311"/>
        <v>0</v>
      </c>
      <c r="BK77" s="1202">
        <f t="shared" si="312"/>
        <v>0</v>
      </c>
      <c r="BL77" s="26"/>
      <c r="BM77" s="26"/>
      <c r="BN77" s="26"/>
    </row>
    <row r="78" spans="1:66" ht="21.75" customHeight="1" thickBot="1" x14ac:dyDescent="0.35">
      <c r="A78" s="145"/>
      <c r="B78" s="1778" t="s">
        <v>507</v>
      </c>
      <c r="C78" s="1174"/>
      <c r="D78" s="1174"/>
      <c r="E78" s="1174"/>
      <c r="F78" s="1174"/>
      <c r="G78" s="1174"/>
      <c r="H78" s="1174"/>
      <c r="I78" s="1174"/>
      <c r="J78" s="1174"/>
      <c r="K78" s="1174"/>
      <c r="L78" s="1174"/>
      <c r="M78" s="1174"/>
      <c r="N78" s="1174"/>
      <c r="O78" s="1174"/>
      <c r="P78" s="1174"/>
      <c r="Q78" s="1174"/>
      <c r="R78" s="1174"/>
      <c r="S78" s="1174"/>
      <c r="T78" s="1174"/>
      <c r="U78" s="1174"/>
      <c r="V78" s="1174"/>
      <c r="W78" s="1174"/>
      <c r="X78" s="1174"/>
      <c r="Y78" s="1174"/>
      <c r="Z78" s="1174"/>
      <c r="AA78" s="1174"/>
      <c r="AB78" s="1174"/>
      <c r="AC78" s="1174"/>
      <c r="AD78" s="1174"/>
      <c r="AE78" s="1174"/>
      <c r="AF78" s="1174"/>
      <c r="AG78" s="1174"/>
      <c r="AH78" s="1174"/>
      <c r="AI78" s="1174"/>
      <c r="AJ78" s="1174"/>
      <c r="AK78" s="1174"/>
      <c r="AL78" s="1174"/>
      <c r="AM78" s="1174"/>
      <c r="AN78" s="1174"/>
      <c r="AO78" s="1174"/>
      <c r="AP78" s="1174"/>
      <c r="AQ78" s="1174"/>
      <c r="AR78" s="1174"/>
      <c r="AS78" s="1174"/>
      <c r="AT78" s="1174"/>
      <c r="AU78" s="1174"/>
      <c r="AV78" s="1174"/>
      <c r="AW78" s="1174"/>
      <c r="AX78" s="1174"/>
      <c r="AY78" s="1174"/>
      <c r="AZ78" s="1174"/>
      <c r="BA78" s="1174"/>
      <c r="BB78" s="1174"/>
      <c r="BC78" s="1174"/>
      <c r="BD78" s="1174"/>
      <c r="BE78" s="1174"/>
      <c r="BF78" s="1174"/>
      <c r="BG78" s="1202">
        <f t="shared" si="284"/>
        <v>0</v>
      </c>
      <c r="BH78" s="1202">
        <f t="shared" si="285"/>
        <v>0</v>
      </c>
      <c r="BI78" s="1202"/>
      <c r="BJ78" s="1202">
        <f t="shared" si="311"/>
        <v>0</v>
      </c>
      <c r="BK78" s="1202">
        <f t="shared" si="312"/>
        <v>0</v>
      </c>
      <c r="BL78" s="26"/>
      <c r="BM78" s="26"/>
      <c r="BN78" s="26"/>
    </row>
    <row r="79" spans="1:66" ht="15.75" customHeight="1" thickBot="1" x14ac:dyDescent="0.35">
      <c r="B79" s="2328" t="s">
        <v>180</v>
      </c>
      <c r="C79" s="1747" t="s">
        <v>506</v>
      </c>
      <c r="D79" s="2329">
        <v>25</v>
      </c>
      <c r="E79" s="2329">
        <f>+$D$79</f>
        <v>25</v>
      </c>
      <c r="F79" s="2330">
        <v>25</v>
      </c>
      <c r="G79" s="2329">
        <f>+$D$79</f>
        <v>25</v>
      </c>
      <c r="H79" s="2330">
        <v>25</v>
      </c>
      <c r="I79" s="2331">
        <f>+$D$79</f>
        <v>25</v>
      </c>
      <c r="J79" s="163">
        <f>((F79*$F$17)+(H79*$H$17))/$J$17</f>
        <v>25</v>
      </c>
      <c r="K79" s="2329">
        <f>+$D$79</f>
        <v>25</v>
      </c>
      <c r="L79" s="2330">
        <v>23</v>
      </c>
      <c r="M79" s="2326">
        <f>+$D$79</f>
        <v>25</v>
      </c>
      <c r="N79" s="2326">
        <f>((F79*$F$17)+(H79*$H$17)+(L79*$L$17))/$N$17</f>
        <v>24.346781504986403</v>
      </c>
      <c r="O79" s="2329">
        <f>+$D$79</f>
        <v>25</v>
      </c>
      <c r="P79" s="2330">
        <v>23</v>
      </c>
      <c r="Q79" s="2331">
        <f>+$D$79</f>
        <v>25</v>
      </c>
      <c r="R79" s="1430">
        <f>((N79*$N$17)+(P79*$P$17))/$R$17</f>
        <v>24.008657273807504</v>
      </c>
      <c r="S79" s="2329">
        <f>+$D$79</f>
        <v>25</v>
      </c>
      <c r="T79" s="2330">
        <v>23</v>
      </c>
      <c r="U79" s="2331">
        <f>+$D$79</f>
        <v>25</v>
      </c>
      <c r="V79" s="1430">
        <f>((R79*$R$17)+(T79*$T$17))/$V$17</f>
        <v>23.801889338731442</v>
      </c>
      <c r="W79" s="2329">
        <f>+$D$79</f>
        <v>25</v>
      </c>
      <c r="X79" s="2330">
        <v>23</v>
      </c>
      <c r="Y79" s="2326">
        <f>+$D$79</f>
        <v>25</v>
      </c>
      <c r="Z79" s="2326">
        <f>((P79*$P$17)+(T79*$T$17)+(X79*$X$17))/$Z$17</f>
        <v>23</v>
      </c>
      <c r="AA79" s="2310">
        <f>+$D$79</f>
        <v>25</v>
      </c>
      <c r="AB79" s="2327">
        <f>((N79*$N$17)+(Z79*$Z$17))/$AB$17</f>
        <v>23.669144144144148</v>
      </c>
      <c r="AC79" s="2329">
        <f>+$D$79</f>
        <v>25</v>
      </c>
      <c r="AD79" s="2330">
        <v>23</v>
      </c>
      <c r="AE79" s="2331">
        <f>+$D$79</f>
        <v>25</v>
      </c>
      <c r="AF79" s="1430">
        <f>((AB79*$AB$17)+(AD79*$AD$17))/$AF$17</f>
        <v>23.572640100226479</v>
      </c>
      <c r="AG79" s="2329">
        <f>+$D$79</f>
        <v>25</v>
      </c>
      <c r="AH79" s="2330">
        <v>23</v>
      </c>
      <c r="AI79" s="2331">
        <f>+$D$79</f>
        <v>25</v>
      </c>
      <c r="AJ79" s="1430">
        <f>((AF79*$AF$17)+(AH79*$AH$17))/$AJ$17</f>
        <v>23.503986429177271</v>
      </c>
      <c r="AK79" s="2329">
        <f>+$D$79</f>
        <v>25</v>
      </c>
      <c r="AL79" s="2330">
        <v>25</v>
      </c>
      <c r="AM79" s="2326">
        <f>+$D$79</f>
        <v>25</v>
      </c>
      <c r="AN79" s="2326">
        <f>((AD79*$AD$17)+(AH79*$AH$17)+(AL79*$AL$17))/$AN$17</f>
        <v>23.667734920453245</v>
      </c>
      <c r="AO79" s="2331">
        <f>+$D$79</f>
        <v>25</v>
      </c>
      <c r="AP79" s="1430">
        <f>((AJ79*$AJ$17)+(AL79*$AL$17))/$AP$17</f>
        <v>23.668679473147904</v>
      </c>
      <c r="AQ79" s="2329">
        <f>+$D$79</f>
        <v>25</v>
      </c>
      <c r="AR79" s="2330">
        <v>25</v>
      </c>
      <c r="AS79" s="2331">
        <f>+$D$79</f>
        <v>25</v>
      </c>
      <c r="AT79" s="1430">
        <f>((AP79*$AP$17)+(AR79*$AR$17))/$AT$17</f>
        <v>23.801644189285593</v>
      </c>
      <c r="AU79" s="2329">
        <f>+$D$79</f>
        <v>25</v>
      </c>
      <c r="AV79" s="2330">
        <v>25</v>
      </c>
      <c r="AW79" s="2331">
        <f>+$D$79</f>
        <v>25</v>
      </c>
      <c r="AX79" s="1430">
        <f>((AT79*$AT$17)+(AV79*$AV$17))/$AX$17</f>
        <v>23.900408341385866</v>
      </c>
      <c r="AY79" s="2329">
        <f>+$D$79</f>
        <v>25</v>
      </c>
      <c r="AZ79" s="2330">
        <v>25</v>
      </c>
      <c r="BA79" s="2326">
        <f>+$D$79</f>
        <v>25</v>
      </c>
      <c r="BB79" s="2326">
        <f>((AR79*$AR$17)+(AV79*$AV$17)+(AZ79*$AZ$17))/$BB$17</f>
        <v>25</v>
      </c>
      <c r="BC79" s="2310">
        <f>+$D$79</f>
        <v>25</v>
      </c>
      <c r="BD79" s="2327">
        <f>((AN79*$AN$17)+(BB79*$BB$17))/$BD$17</f>
        <v>24.329454461662539</v>
      </c>
      <c r="BE79" s="2331">
        <f>+$D$79</f>
        <v>25</v>
      </c>
      <c r="BF79" s="2331">
        <f>((AX79*$AX$17)+(AZ79*$AZ$17))/$BF$17</f>
        <v>23.99552948546371</v>
      </c>
      <c r="BG79" s="1202"/>
      <c r="BH79" s="1202"/>
      <c r="BI79" s="1202"/>
      <c r="BJ79" s="1202"/>
      <c r="BK79" s="1202"/>
      <c r="BL79" s="26"/>
      <c r="BM79" s="26"/>
      <c r="BN79" s="26"/>
    </row>
    <row r="80" spans="1:66" ht="15.75" customHeight="1" thickBot="1" x14ac:dyDescent="0.35">
      <c r="B80" s="2332" t="s">
        <v>181</v>
      </c>
      <c r="C80" s="2633" t="s">
        <v>506</v>
      </c>
      <c r="D80" s="3115">
        <v>25</v>
      </c>
      <c r="E80" s="3115">
        <f>+$D$80</f>
        <v>25</v>
      </c>
      <c r="F80" s="3116">
        <v>25</v>
      </c>
      <c r="G80" s="3115">
        <f>+$D$80</f>
        <v>25</v>
      </c>
      <c r="H80" s="3116">
        <v>25</v>
      </c>
      <c r="I80" s="3117">
        <f>+$D$80</f>
        <v>25</v>
      </c>
      <c r="J80" s="163">
        <f>((F80*$F$18)+(H80*$H$18))/$J$18</f>
        <v>25</v>
      </c>
      <c r="K80" s="3115">
        <f>+$D$80</f>
        <v>25</v>
      </c>
      <c r="L80" s="3116">
        <v>25</v>
      </c>
      <c r="M80" s="798">
        <f>+$D$80</f>
        <v>25</v>
      </c>
      <c r="N80" s="2326">
        <f>((F80*$F$18)+(H80*$H$18)+(L80*$L$18))/($N$18)</f>
        <v>25</v>
      </c>
      <c r="O80" s="3115">
        <f>+$D$80</f>
        <v>25</v>
      </c>
      <c r="P80" s="3116">
        <v>24.987051642130627</v>
      </c>
      <c r="Q80" s="799">
        <f>+$D$80</f>
        <v>25</v>
      </c>
      <c r="R80" s="1430">
        <f>((N80*$N$18)+(P80*$P$18))/$R$18</f>
        <v>24.996676826367192</v>
      </c>
      <c r="S80" s="3115">
        <f>+$D$80</f>
        <v>25</v>
      </c>
      <c r="T80" s="3116">
        <v>25.001530818224932</v>
      </c>
      <c r="U80" s="799">
        <f>+$D$80</f>
        <v>25</v>
      </c>
      <c r="V80" s="1430">
        <f>((R80*$R$18)+(T80*$T$18))/$V$18</f>
        <v>24.997664309123223</v>
      </c>
      <c r="W80" s="3115">
        <f>+$D$80</f>
        <v>25</v>
      </c>
      <c r="X80" s="3116">
        <v>24.997900679965742</v>
      </c>
      <c r="Y80" s="798">
        <f>+$D$80</f>
        <v>25</v>
      </c>
      <c r="Z80" s="2326">
        <f>((P80*$P$18)+(T80*$T$18)+(X80*$X$18))/$Z$18</f>
        <v>24.995456341987268</v>
      </c>
      <c r="AA80" s="800">
        <f>+$D$80</f>
        <v>25</v>
      </c>
      <c r="AB80" s="2327">
        <f>((N80*$N$18)+(Z80*$Z$18))/$AB$18</f>
        <v>24.997703272506055</v>
      </c>
      <c r="AC80" s="3115">
        <f>+$D$80</f>
        <v>25</v>
      </c>
      <c r="AD80" s="3116">
        <v>23.952413287797249</v>
      </c>
      <c r="AE80" s="799">
        <f>+$D$80</f>
        <v>25</v>
      </c>
      <c r="AF80" s="1430">
        <f>((AB80*$AB$18)+(AD80*$AD$18))/$AF$18</f>
        <v>24.847643299000833</v>
      </c>
      <c r="AG80" s="3115">
        <f>+$D$80</f>
        <v>25</v>
      </c>
      <c r="AH80" s="3116">
        <v>23</v>
      </c>
      <c r="AI80" s="799">
        <f>+$D$80</f>
        <v>25</v>
      </c>
      <c r="AJ80" s="1430">
        <f>((AF80*$AF$18)+(AH80*$AH$18))/$AJ$18</f>
        <v>24.619272488701746</v>
      </c>
      <c r="AK80" s="3115">
        <f>+$D$80</f>
        <v>25</v>
      </c>
      <c r="AL80" s="3116">
        <v>22.26642526421298</v>
      </c>
      <c r="AM80" s="798">
        <f>+$D$80</f>
        <v>25</v>
      </c>
      <c r="AN80" s="2326">
        <f>((AD80*$AD$18)+(AH80*$AH$18)+(AL80*$AL$18))/$AN$18</f>
        <v>23.069088883095976</v>
      </c>
      <c r="AO80" s="799">
        <f>+$D$80</f>
        <v>25</v>
      </c>
      <c r="AP80" s="1430">
        <f>((AJ80*$AJ$18)+(AL80*$AL$18))/$AP$18</f>
        <v>24.352618212195392</v>
      </c>
      <c r="AQ80" s="3115">
        <f>+$D$80</f>
        <v>25</v>
      </c>
      <c r="AR80" s="3116">
        <v>24.270940957578507</v>
      </c>
      <c r="AS80" s="799">
        <f>+$D$80</f>
        <v>25</v>
      </c>
      <c r="AT80" s="1430">
        <f>((AP80*$AP$18)+(AR80*$AR$18))/$AT$18</f>
        <v>24.344369741985769</v>
      </c>
      <c r="AU80" s="3115">
        <f>+$D$80</f>
        <v>25</v>
      </c>
      <c r="AV80" s="3116">
        <v>24.998051492556701</v>
      </c>
      <c r="AW80" s="799">
        <f>+$D$80</f>
        <v>25</v>
      </c>
      <c r="AX80" s="1430">
        <f>((AT80*$AT$18)+(AV80*$AV$18))/$AX$18</f>
        <v>24.399095751663616</v>
      </c>
      <c r="AY80" s="3115">
        <f>+$D$80</f>
        <v>25</v>
      </c>
      <c r="AZ80" s="3116">
        <v>24.998070177165509</v>
      </c>
      <c r="BA80" s="798">
        <f>+$D$80</f>
        <v>25</v>
      </c>
      <c r="BB80" s="2326">
        <f>((AR80*$AR$18)+(AV80*$AV$18)+(AZ80*$AZ$18))/$BB$18</f>
        <v>24.748447938935346</v>
      </c>
      <c r="BC80" s="800">
        <f>+$D$80</f>
        <v>25</v>
      </c>
      <c r="BD80" s="2327">
        <f>((AN80*$AN$17)+(BB80*$BB$17))/$BD$17</f>
        <v>23.903205697396743</v>
      </c>
      <c r="BE80" s="799">
        <f>+$D$80</f>
        <v>25</v>
      </c>
      <c r="BF80" s="799">
        <f>((AX80*$AX$18)+(AZ80*$AZ$18))/$BF$18</f>
        <v>24.450209171687895</v>
      </c>
      <c r="BG80" s="1202"/>
      <c r="BH80" s="1202"/>
      <c r="BI80" s="1202"/>
      <c r="BJ80" s="1202"/>
      <c r="BK80" s="1202"/>
      <c r="BL80" s="26"/>
      <c r="BM80" s="26"/>
      <c r="BN80" s="26"/>
    </row>
    <row r="81" spans="1:66" ht="15.75" customHeight="1" thickBot="1" x14ac:dyDescent="0.35">
      <c r="A81" s="145"/>
      <c r="B81" s="6641" t="s">
        <v>35</v>
      </c>
      <c r="C81" s="2867" t="s">
        <v>506</v>
      </c>
      <c r="D81" s="2868">
        <f t="shared" ref="D81:Y81" si="327">+((D79*D17)+(D80*D18))/D19</f>
        <v>25</v>
      </c>
      <c r="E81" s="2868">
        <f t="shared" si="327"/>
        <v>25</v>
      </c>
      <c r="F81" s="2868">
        <f t="shared" si="327"/>
        <v>25</v>
      </c>
      <c r="G81" s="2868">
        <f t="shared" ref="G81:H81" si="328">+((G79*G17)+(G80*G18))/G19</f>
        <v>25</v>
      </c>
      <c r="H81" s="2868">
        <f t="shared" si="328"/>
        <v>25.000000000000004</v>
      </c>
      <c r="I81" s="2870">
        <f t="shared" si="327"/>
        <v>25.000000000000004</v>
      </c>
      <c r="J81" s="3118">
        <f>((F81*$F$19)+(H81*$H$19))/$J$19</f>
        <v>24.999999999999996</v>
      </c>
      <c r="K81" s="2868">
        <f t="shared" ref="K81:L81" si="329">+((K79*K17)+(K80*K18))/K19</f>
        <v>25</v>
      </c>
      <c r="L81" s="2868">
        <f t="shared" si="329"/>
        <v>24.305586432918613</v>
      </c>
      <c r="M81" s="808">
        <f t="shared" si="327"/>
        <v>25</v>
      </c>
      <c r="N81" s="2326">
        <f>((F81*$F$19)+(H81*$H$19)+(L81*$L$19))/($N$19)</f>
        <v>24.77062461716611</v>
      </c>
      <c r="O81" s="2868">
        <f t="shared" ref="O81:P81" si="330">+((O79*O17)+(O80*O18))/O19</f>
        <v>24.999999999999996</v>
      </c>
      <c r="P81" s="2868">
        <f t="shared" si="330"/>
        <v>24.302601375516193</v>
      </c>
      <c r="Q81" s="807">
        <f t="shared" si="327"/>
        <v>25</v>
      </c>
      <c r="R81" s="2414">
        <f>((N81*$N$19)+(P81*$P$19))/$R$19</f>
        <v>24.651421053711569</v>
      </c>
      <c r="S81" s="2868">
        <f t="shared" ref="S81:T81" si="331">+((S79*S17)+(S80*S18))/S19</f>
        <v>24.999999999999996</v>
      </c>
      <c r="T81" s="2868">
        <f t="shared" si="331"/>
        <v>24.297748495531511</v>
      </c>
      <c r="U81" s="807">
        <f t="shared" ref="U81" si="332">+((U79*U17)+(U80*U18))/U19</f>
        <v>25</v>
      </c>
      <c r="V81" s="2414">
        <f>((R81*$R$19)+(T81*$T$19))/$V$19</f>
        <v>24.579278332911937</v>
      </c>
      <c r="W81" s="2868">
        <f t="shared" ref="W81:X81" si="333">+((W79*W17)+(W80*W18))/W19</f>
        <v>25</v>
      </c>
      <c r="X81" s="2868">
        <f t="shared" si="333"/>
        <v>24.296551247772911</v>
      </c>
      <c r="Y81" s="808">
        <f t="shared" si="327"/>
        <v>25</v>
      </c>
      <c r="Z81" s="2326">
        <f>((P81*$P$19)+(T81*$T$19)+(X81*$X$19))/$Z$19</f>
        <v>24.298984586562202</v>
      </c>
      <c r="AA81" s="800">
        <f t="shared" ref="AA81:AE81" si="334">+((AA79*AA17)+(AA80*AA18))/AA19</f>
        <v>25</v>
      </c>
      <c r="AB81" s="2327">
        <f>((N81*$N$19)+(Z81*$Z$19))/$AB$19</f>
        <v>24.532604252946633</v>
      </c>
      <c r="AC81" s="2868">
        <f t="shared" ref="AC81:AD81" si="335">+((AC79*AC17)+(AC80*AC18))/AC19</f>
        <v>24.999999999999996</v>
      </c>
      <c r="AD81" s="2868">
        <f t="shared" si="335"/>
        <v>23.617829292052154</v>
      </c>
      <c r="AE81" s="807">
        <f t="shared" si="334"/>
        <v>25</v>
      </c>
      <c r="AF81" s="2414">
        <f>((AB81*$AB$19)+(AD81*$AD$19))/$AF$19</f>
        <v>24.401068713001273</v>
      </c>
      <c r="AG81" s="2868">
        <f t="shared" ref="AG81:AH81" si="336">+((AG79*AG17)+(AG80*AG18))/AG19</f>
        <v>25</v>
      </c>
      <c r="AH81" s="2868">
        <f t="shared" si="336"/>
        <v>23.000000000000004</v>
      </c>
      <c r="AI81" s="807">
        <f t="shared" ref="AI81:AM81" si="337">+((AI79*AI17)+(AI80*AI18))/AI19</f>
        <v>25</v>
      </c>
      <c r="AJ81" s="2414">
        <f>((AF81*$AF$19)+(AH81*$AH$19))/$AJ$19</f>
        <v>24.229711323933454</v>
      </c>
      <c r="AK81" s="2868">
        <f t="shared" ref="AK81:AL81" si="338">+((AK79*AK17)+(AK80*AK18))/AK19</f>
        <v>24.999999999999996</v>
      </c>
      <c r="AL81" s="2868">
        <f t="shared" si="338"/>
        <v>23.201027346735309</v>
      </c>
      <c r="AM81" s="808">
        <f t="shared" si="337"/>
        <v>25</v>
      </c>
      <c r="AN81" s="2326">
        <f>((AD81*$AD$19)+(AH81*$AH$19)+(AL81*$AL$19))/$AN$19</f>
        <v>23.275756830188715</v>
      </c>
      <c r="AO81" s="807">
        <f t="shared" ref="AO81:AS81" si="339">+((AO79*AO17)+(AO80*AO18))/AO19</f>
        <v>25</v>
      </c>
      <c r="AP81" s="1430">
        <f>((AJ81*$AJ$19)+(AL81*$AL$19))/$AP$19</f>
        <v>24.114290975789981</v>
      </c>
      <c r="AQ81" s="2868">
        <f t="shared" ref="AQ81:AR81" si="340">+((AQ79*AQ17)+(AQ80*AQ18))/AQ19</f>
        <v>24.999999999999996</v>
      </c>
      <c r="AR81" s="2868">
        <f t="shared" si="340"/>
        <v>24.522953270440297</v>
      </c>
      <c r="AS81" s="807">
        <f t="shared" si="339"/>
        <v>25</v>
      </c>
      <c r="AT81" s="2414">
        <f>((AP81*$AP$19)+(AR81*$AR$19))/$AT$19</f>
        <v>24.15540265307488</v>
      </c>
      <c r="AU81" s="2868">
        <f t="shared" ref="AU81:AV81" si="341">+((AU79*AU17)+(AU80*AU18))/AU19</f>
        <v>25</v>
      </c>
      <c r="AV81" s="2868">
        <f t="shared" si="341"/>
        <v>24.998722380226461</v>
      </c>
      <c r="AW81" s="807">
        <f t="shared" ref="AW81" si="342">+((AW79*AW17)+(AW80*AW18))/AW19</f>
        <v>24.999999999999996</v>
      </c>
      <c r="AX81" s="2414">
        <f>((AT81*$AT$19)+(AV81*$AV$19))/$AX$19</f>
        <v>24.225622765727515</v>
      </c>
      <c r="AY81" s="2868">
        <f t="shared" ref="AY81:AZ81" si="343">+((AY79*AY17)+(AY80*AY18))/AY19</f>
        <v>24.999999999999996</v>
      </c>
      <c r="AZ81" s="2868">
        <f t="shared" si="343"/>
        <v>24.998748025829993</v>
      </c>
      <c r="BA81" s="808">
        <f t="shared" ref="BA81:BE81" si="344">+((BA79*BA17)+(BA80*BA18))/BA19</f>
        <v>25</v>
      </c>
      <c r="BB81" s="2326">
        <f>((AR81*$P$19)+(AV81*$T$19)+(AZ81*$X$19))/$Z$19</f>
        <v>24.839150282241263</v>
      </c>
      <c r="BC81" s="800">
        <f t="shared" ref="BC81" si="345">+((BC79*BC17)+(BC80*BC18))/BC19</f>
        <v>25</v>
      </c>
      <c r="BD81" s="2327">
        <f>((AN81*$AN$19)+(BB81*$BB$19))/$BD$19</f>
        <v>24.050055848582886</v>
      </c>
      <c r="BE81" s="807">
        <f t="shared" si="344"/>
        <v>25</v>
      </c>
      <c r="BF81" s="807">
        <f>((AX81*$AX$19)+(AZ81*$AZ$19))/$BF$19</f>
        <v>24.291912515227128</v>
      </c>
      <c r="BG81" s="1202"/>
      <c r="BH81" s="1202"/>
      <c r="BI81" s="1202"/>
      <c r="BJ81" s="1202"/>
      <c r="BK81" s="1202"/>
      <c r="BL81" s="26"/>
      <c r="BM81" s="26"/>
      <c r="BN81" s="26"/>
    </row>
    <row r="82" spans="1:66" ht="15.75" customHeight="1" thickBot="1" x14ac:dyDescent="0.35">
      <c r="A82" s="145"/>
      <c r="B82" s="2333" t="s">
        <v>1080</v>
      </c>
      <c r="C82" s="3119" t="s">
        <v>506</v>
      </c>
      <c r="D82" s="3115">
        <v>10</v>
      </c>
      <c r="E82" s="3115">
        <f>+$D$82</f>
        <v>10</v>
      </c>
      <c r="F82" s="3115">
        <v>10</v>
      </c>
      <c r="G82" s="3115">
        <f>+$D$82</f>
        <v>10</v>
      </c>
      <c r="H82" s="3115">
        <v>10</v>
      </c>
      <c r="I82" s="3117">
        <f>+$D$82</f>
        <v>10</v>
      </c>
      <c r="J82" s="163">
        <f>((F82*$F$17)+(H82*$H$17))/$J$17</f>
        <v>10</v>
      </c>
      <c r="K82" s="3115">
        <f>+$D$82</f>
        <v>10</v>
      </c>
      <c r="L82" s="3115">
        <v>10</v>
      </c>
      <c r="M82" s="798">
        <f>+$D$82</f>
        <v>10</v>
      </c>
      <c r="N82" s="2326">
        <f>((F82*$F$17)+(H82*$H$17)+(L82*$L$17))/$N$17</f>
        <v>10</v>
      </c>
      <c r="O82" s="3115">
        <f>+$D$82</f>
        <v>10</v>
      </c>
      <c r="P82" s="3115">
        <v>10</v>
      </c>
      <c r="Q82" s="799">
        <f>+$D$82</f>
        <v>10</v>
      </c>
      <c r="R82" s="1430">
        <f>((N82*$N$17)+(P82*$P$17))/$R$17</f>
        <v>10</v>
      </c>
      <c r="S82" s="3115">
        <f>+$D$82</f>
        <v>10</v>
      </c>
      <c r="T82" s="3115">
        <v>10</v>
      </c>
      <c r="U82" s="799">
        <f>+$D$82</f>
        <v>10</v>
      </c>
      <c r="V82" s="1430">
        <f>((R82*$R$17)+(T82*$T$17))/$V$17</f>
        <v>10</v>
      </c>
      <c r="W82" s="3115">
        <f>+$D$82</f>
        <v>10</v>
      </c>
      <c r="X82" s="3115">
        <v>10</v>
      </c>
      <c r="Y82" s="798">
        <f>+$D$82</f>
        <v>10</v>
      </c>
      <c r="Z82" s="2326">
        <f>((P82*$P$17)+(T82*$T$17)+(X82*$X$17))/$Z$17</f>
        <v>10</v>
      </c>
      <c r="AA82" s="800">
        <f>+$D$82</f>
        <v>10</v>
      </c>
      <c r="AB82" s="2327">
        <f>((N82*$N$17)+(Z82*$Z$17))/$AB$17</f>
        <v>10</v>
      </c>
      <c r="AC82" s="3115">
        <f>+$D$82</f>
        <v>10</v>
      </c>
      <c r="AD82" s="3115">
        <v>10</v>
      </c>
      <c r="AE82" s="799">
        <f>+$D$82</f>
        <v>10</v>
      </c>
      <c r="AF82" s="1430">
        <f>((AB82*$AB$17)+(AD82*$AD$17))/$AF$17</f>
        <v>10</v>
      </c>
      <c r="AG82" s="3115">
        <f>+$D$82</f>
        <v>10</v>
      </c>
      <c r="AH82" s="3115">
        <v>10</v>
      </c>
      <c r="AI82" s="799">
        <f>+$D$82</f>
        <v>10</v>
      </c>
      <c r="AJ82" s="1430">
        <f>((AF82*$AF$17)+(AH82*$AH$17))/$AJ$17</f>
        <v>10</v>
      </c>
      <c r="AK82" s="3115">
        <f>+$D$82</f>
        <v>10</v>
      </c>
      <c r="AL82" s="3115">
        <v>10</v>
      </c>
      <c r="AM82" s="798">
        <f>+$D$82</f>
        <v>10</v>
      </c>
      <c r="AN82" s="2326">
        <f>((AD82*$AD$17)+(AH82*$AH$17)+(AL82*$AL$17))/$AN$17</f>
        <v>10</v>
      </c>
      <c r="AO82" s="799">
        <f>+$D$82</f>
        <v>10</v>
      </c>
      <c r="AP82" s="1430">
        <f>((AJ82*$AJ$17)+(AL82*$AL$17))/$AP$17</f>
        <v>10</v>
      </c>
      <c r="AQ82" s="3115">
        <f>+$D$82</f>
        <v>10</v>
      </c>
      <c r="AR82" s="3115">
        <v>10</v>
      </c>
      <c r="AS82" s="799">
        <f>+$D$82</f>
        <v>10</v>
      </c>
      <c r="AT82" s="1430">
        <f>((AP82*$AP$17)+(AR82*$AR$17))/$AT$17</f>
        <v>10</v>
      </c>
      <c r="AU82" s="3115">
        <f>+$D$82</f>
        <v>10</v>
      </c>
      <c r="AV82" s="3115">
        <v>10</v>
      </c>
      <c r="AW82" s="799">
        <f>+$D$82</f>
        <v>10</v>
      </c>
      <c r="AX82" s="1430">
        <f>((AT82*$AT$17)+(AV82*$AV$17))/$AX$17</f>
        <v>9.9999999999999982</v>
      </c>
      <c r="AY82" s="3115">
        <v>10</v>
      </c>
      <c r="AZ82" s="3115">
        <v>10</v>
      </c>
      <c r="BA82" s="798">
        <f>+$D$82</f>
        <v>10</v>
      </c>
      <c r="BB82" s="2326">
        <f>((AR82*$AR$17)+(AV82*$AV$17)+(AZ82*$AZ$17))/$BB$17</f>
        <v>10</v>
      </c>
      <c r="BC82" s="800">
        <f>+$D$82</f>
        <v>10</v>
      </c>
      <c r="BD82" s="2327">
        <f>((AN82*$AN$17)+(BB82*$BB$17))/$BD$17</f>
        <v>10</v>
      </c>
      <c r="BE82" s="799">
        <f>+$D$82</f>
        <v>10</v>
      </c>
      <c r="BF82" s="799">
        <f t="shared" ref="BF82:BF85" si="346">((AX82*$AX$17)+(AZ82*$AZ$17))/$BF$17</f>
        <v>10</v>
      </c>
      <c r="BG82" s="1202"/>
      <c r="BH82" s="1202"/>
      <c r="BI82" s="1202"/>
      <c r="BJ82" s="1202"/>
      <c r="BK82" s="1202"/>
      <c r="BL82" s="26"/>
      <c r="BM82" s="26"/>
      <c r="BN82" s="26"/>
    </row>
    <row r="83" spans="1:66" ht="15.75" customHeight="1" thickBot="1" x14ac:dyDescent="0.35">
      <c r="A83" s="145"/>
      <c r="B83" s="2333" t="s">
        <v>508</v>
      </c>
      <c r="C83" s="3119" t="s">
        <v>506</v>
      </c>
      <c r="D83" s="3115">
        <v>4.2000000000000011</v>
      </c>
      <c r="E83" s="3115">
        <f>+$D$83</f>
        <v>4.2000000000000011</v>
      </c>
      <c r="F83" s="3115"/>
      <c r="G83" s="3115">
        <f>+$D$83</f>
        <v>4.2000000000000011</v>
      </c>
      <c r="H83" s="3115"/>
      <c r="I83" s="3117">
        <f>+$D$83</f>
        <v>4.2000000000000011</v>
      </c>
      <c r="J83" s="163">
        <f>((F83*$F$18)+(H83*$H$18))/$J$18</f>
        <v>0</v>
      </c>
      <c r="K83" s="3115">
        <f>+$D$83</f>
        <v>4.2000000000000011</v>
      </c>
      <c r="L83" s="3115">
        <v>0</v>
      </c>
      <c r="M83" s="798">
        <f>+$D$83</f>
        <v>4.2000000000000011</v>
      </c>
      <c r="N83" s="2326">
        <f>((F83*$F$18)+(H83*$H$18)+(L83*$L$18))/($N$18)</f>
        <v>0</v>
      </c>
      <c r="O83" s="3115">
        <f>+$D$83</f>
        <v>4.2000000000000011</v>
      </c>
      <c r="P83" s="3115">
        <v>0</v>
      </c>
      <c r="Q83" s="799">
        <f>+$D$83</f>
        <v>4.2000000000000011</v>
      </c>
      <c r="R83" s="1430">
        <f>((N83*$N$18)+(P83*$P$18))/$R$18</f>
        <v>0</v>
      </c>
      <c r="S83" s="3115">
        <f>+$D$83</f>
        <v>4.2000000000000011</v>
      </c>
      <c r="T83" s="3115">
        <v>0</v>
      </c>
      <c r="U83" s="799">
        <f>+$D$83</f>
        <v>4.2000000000000011</v>
      </c>
      <c r="V83" s="1430">
        <f>((R83*$R$18)+(T83*$T$18))/$V$18</f>
        <v>0</v>
      </c>
      <c r="W83" s="3115">
        <f>+$D$83</f>
        <v>4.2000000000000011</v>
      </c>
      <c r="X83" s="3115"/>
      <c r="Y83" s="798">
        <f>+$D$83</f>
        <v>4.2000000000000011</v>
      </c>
      <c r="Z83" s="2326">
        <f>((P83*$P$18)+(T83*$T$18)+(X83*$X$18))/$Z$18</f>
        <v>0</v>
      </c>
      <c r="AA83" s="800">
        <f>+$D$83</f>
        <v>4.2000000000000011</v>
      </c>
      <c r="AB83" s="2327">
        <f>((N83*$N$18)+(Z83*$Z$18))/$AB$18</f>
        <v>0</v>
      </c>
      <c r="AC83" s="3115">
        <f>+$D$83</f>
        <v>4.2000000000000011</v>
      </c>
      <c r="AD83" s="3115"/>
      <c r="AE83" s="799">
        <f>+$D$83</f>
        <v>4.2000000000000011</v>
      </c>
      <c r="AF83" s="1430">
        <f>((AB83*$AB$18)+(AD83*$AD$18))/$AF$18</f>
        <v>0</v>
      </c>
      <c r="AG83" s="3115">
        <f>+$D$83</f>
        <v>4.2000000000000011</v>
      </c>
      <c r="AH83" s="3115"/>
      <c r="AI83" s="799">
        <f>+$D$83</f>
        <v>4.2000000000000011</v>
      </c>
      <c r="AJ83" s="1430">
        <f>((AF83*$AF$18)+(AH83*$AH$18))/$AJ$18</f>
        <v>0</v>
      </c>
      <c r="AK83" s="3115">
        <f>+$D$83</f>
        <v>4.2000000000000011</v>
      </c>
      <c r="AL83" s="3115"/>
      <c r="AM83" s="798">
        <f>+$D$83</f>
        <v>4.2000000000000011</v>
      </c>
      <c r="AN83" s="2326">
        <f>((AD83*$AD$18)+(AH83*$AH$18)+(AL83*$AL$18))/$AN$18</f>
        <v>0</v>
      </c>
      <c r="AO83" s="799">
        <f>+$D$83</f>
        <v>4.2000000000000011</v>
      </c>
      <c r="AP83" s="1430">
        <f>((AJ83*$AJ$18)+(AL83*$AL$18))/$AP$18</f>
        <v>0</v>
      </c>
      <c r="AQ83" s="3115">
        <f>+$D$83</f>
        <v>4.2000000000000011</v>
      </c>
      <c r="AR83" s="3115"/>
      <c r="AS83" s="799">
        <f>+$D$83</f>
        <v>4.2000000000000011</v>
      </c>
      <c r="AT83" s="1430">
        <f>((AP83*$AP$18)+(AR83*$AR$18))/$AT$18</f>
        <v>0</v>
      </c>
      <c r="AU83" s="3115">
        <f>+$D$83</f>
        <v>4.2000000000000011</v>
      </c>
      <c r="AV83" s="3115"/>
      <c r="AW83" s="799">
        <f>+$D$83</f>
        <v>4.2000000000000011</v>
      </c>
      <c r="AX83" s="1430">
        <f>((AT83*$AT$18)+(AV83*$AV$18))/$AX$18</f>
        <v>0</v>
      </c>
      <c r="AY83" s="3115">
        <f>+$D$83</f>
        <v>4.2000000000000011</v>
      </c>
      <c r="AZ83" s="3115"/>
      <c r="BA83" s="798">
        <f>+$D$83</f>
        <v>4.2000000000000011</v>
      </c>
      <c r="BB83" s="2326">
        <f>((AR83*$AR$18)+(AV83*$AV$18)+(AZ83*$AZ$18))/$BB$18</f>
        <v>0</v>
      </c>
      <c r="BC83" s="800">
        <f>+$D$83</f>
        <v>4.2000000000000011</v>
      </c>
      <c r="BD83" s="2327">
        <f>((AN83*$AN$18)+(BB83*$BB$18))/$BD$18</f>
        <v>0</v>
      </c>
      <c r="BE83" s="799">
        <f>+$D$83</f>
        <v>4.2000000000000011</v>
      </c>
      <c r="BF83" s="799">
        <f>((AX83*$AX$18)+(AZ83*$AZ$18))/$BF$18</f>
        <v>0</v>
      </c>
      <c r="BG83" s="1202"/>
      <c r="BH83" s="1202"/>
      <c r="BI83" s="1202"/>
      <c r="BJ83" s="1202"/>
      <c r="BK83" s="1202"/>
      <c r="BL83" s="26"/>
      <c r="BM83" s="26"/>
      <c r="BN83" s="26"/>
    </row>
    <row r="84" spans="1:66" ht="15.75" customHeight="1" thickBot="1" x14ac:dyDescent="0.35">
      <c r="A84" s="145"/>
      <c r="B84" s="6642" t="s">
        <v>1081</v>
      </c>
      <c r="C84" s="2867" t="s">
        <v>506</v>
      </c>
      <c r="D84" s="2868">
        <f t="shared" ref="D84:AA84" si="347">+((D82*D17)+(D83*D18))/D19</f>
        <v>6.2035836649937934</v>
      </c>
      <c r="E84" s="2868">
        <f t="shared" si="347"/>
        <v>6.2463589743589756</v>
      </c>
      <c r="F84" s="2868">
        <f t="shared" si="347"/>
        <v>3.5305558517911577</v>
      </c>
      <c r="G84" s="2868">
        <f t="shared" ref="G84:H84" si="348">+((G82*G17)+(G83*G18))/G19</f>
        <v>6.2463589743589756</v>
      </c>
      <c r="H84" s="2868">
        <f t="shared" si="348"/>
        <v>3.5312260628680257</v>
      </c>
      <c r="I84" s="2870">
        <f t="shared" si="347"/>
        <v>6.2463589743589756</v>
      </c>
      <c r="J84" s="3118">
        <f>((F84*$F$19)+(H84*$H$19))/$J$19</f>
        <v>3.5308971291060178</v>
      </c>
      <c r="K84" s="2868">
        <f t="shared" ref="K84:L84" si="349">+((K82*K17)+(K83*K18))/K19</f>
        <v>6.1915135812432318</v>
      </c>
      <c r="L84" s="2868">
        <f t="shared" si="349"/>
        <v>3.4720678354069614</v>
      </c>
      <c r="M84" s="808">
        <f t="shared" si="347"/>
        <v>6.2284534486125711</v>
      </c>
      <c r="N84" s="2326">
        <f>((F84*$F$19)+(H84*$H$19)+(L84*$L$19))/($N$19)</f>
        <v>3.5114649169434831</v>
      </c>
      <c r="O84" s="2868">
        <f t="shared" ref="O84:P84" si="350">+((O82*O17)+(O83*O18))/O19</f>
        <v>6.1915135812432309</v>
      </c>
      <c r="P84" s="2868">
        <f t="shared" si="350"/>
        <v>3.444551978933621</v>
      </c>
      <c r="Q84" s="807">
        <f t="shared" si="347"/>
        <v>6.2191351647656594</v>
      </c>
      <c r="R84" s="2414">
        <f>((N84*$N$19)+(P84*$P$19))/$R$19</f>
        <v>3.4944224713079421</v>
      </c>
      <c r="S84" s="2868">
        <f t="shared" ref="S84:T84" si="351">+((S82*S17)+(S83*S18))/S19</f>
        <v>6.1915135812432309</v>
      </c>
      <c r="T84" s="2868">
        <f t="shared" si="351"/>
        <v>3.516220266433749</v>
      </c>
      <c r="U84" s="807">
        <f t="shared" ref="U84" si="352">+((U82*U17)+(U83*U18))/U19</f>
        <v>6.2135710479820077</v>
      </c>
      <c r="V84" s="2414">
        <f>((R84*$R$19)+(T84*$T$19))/$V$19</f>
        <v>3.498868822067811</v>
      </c>
      <c r="W84" s="2868">
        <f t="shared" ref="W84:X84" si="353">+((W82*W17)+(W83*W18))/W19</f>
        <v>6.2264236459938092</v>
      </c>
      <c r="X84" s="2868">
        <f t="shared" si="353"/>
        <v>3.510431920994455</v>
      </c>
      <c r="Y84" s="808">
        <f t="shared" si="347"/>
        <v>6.2026092579751779</v>
      </c>
      <c r="Z84" s="2326">
        <f>((P84*$P$19)+(T84*$T$19)+(X84*$X$19))/$Z$19</f>
        <v>3.4902881149053333</v>
      </c>
      <c r="AA84" s="800">
        <f t="shared" si="347"/>
        <v>6.2156023374214291</v>
      </c>
      <c r="AB84" s="2327">
        <f>((N84*$N$19)+(Z84*$Z$19))/$AB$19</f>
        <v>3.5007777194898022</v>
      </c>
      <c r="AC84" s="2868">
        <f t="shared" ref="AC84:AD84" si="354">+((AC82*AC17)+(AC83*AC18))/AC19</f>
        <v>6.1915135812432309</v>
      </c>
      <c r="AD84" s="2868">
        <f t="shared" si="354"/>
        <v>3.5130126808596303</v>
      </c>
      <c r="AE84" s="807">
        <f t="shared" ref="AE84" si="355">+((AE82*AE17)+(AE83*AE18))/AE19</f>
        <v>6.2121092296146427</v>
      </c>
      <c r="AF84" s="2414">
        <f>((AB84*$AB$19)+(AD84*$AD$19))/$AF$19</f>
        <v>3.5025369852314197</v>
      </c>
      <c r="AG84" s="2868">
        <f t="shared" ref="AG84:AH84" si="356">+((AG82*AG17)+(AG83*AG18))/AG19</f>
        <v>6.1915135812432318</v>
      </c>
      <c r="AH84" s="2868">
        <f t="shared" si="356"/>
        <v>3.4239545279144639</v>
      </c>
      <c r="AI84" s="807">
        <f t="shared" ref="AI84" si="357">+((AI82*AI17)+(AI83*AI18))/AI19</f>
        <v>6.2095746772125429</v>
      </c>
      <c r="AJ84" s="2414">
        <f>((AF84*$AF$19)+(AH84*$AH$19))/$AJ$19</f>
        <v>3.4929259757303068</v>
      </c>
      <c r="AK84" s="2868">
        <f t="shared" ref="AK84:AL84" si="358">+((AK82*AK17)+(AK83*AK18))/AK19</f>
        <v>6.1915135812432309</v>
      </c>
      <c r="AL84" s="2868">
        <f t="shared" si="358"/>
        <v>3.4189739548249549</v>
      </c>
      <c r="AM84" s="808">
        <f t="shared" ref="AM84" si="359">+((AM82*AM17)+(AM83*AM18))/AM19</f>
        <v>6.1915135812432309</v>
      </c>
      <c r="AN84" s="2326">
        <f>((AD84*$AD$19)+(AH84*$AH$19)+(AL84*$AL$19))/$AN$19</f>
        <v>3.4522561613382616</v>
      </c>
      <c r="AO84" s="807">
        <f t="shared" ref="AO84" si="360">+((AO82*AO17)+(AO83*AO18))/AO19</f>
        <v>6.2075370581118143</v>
      </c>
      <c r="AP84" s="1430">
        <f>((AJ84*$AJ$19)+(AL84*$AL$19))/$AP$19</f>
        <v>3.4846284147805799</v>
      </c>
      <c r="AQ84" s="2868">
        <f t="shared" ref="AQ84:AR84" si="361">+((AQ82*AQ17)+(AQ83*AQ18))/AQ19</f>
        <v>6.1915135812432309</v>
      </c>
      <c r="AR84" s="2868">
        <f t="shared" si="361"/>
        <v>3.4566790643561069</v>
      </c>
      <c r="AS84" s="807">
        <f t="shared" ref="AS84" si="362">+((AS82*AS17)+(AS83*AS18))/AS19</f>
        <v>6.2059125889647202</v>
      </c>
      <c r="AT84" s="2414">
        <f>((AP84*$AP$19)+(AR84*$AR$19))/$AT$19</f>
        <v>3.4818166929995016</v>
      </c>
      <c r="AU84" s="2868">
        <f t="shared" ref="AU84:AV84" si="363">+((AU82*AU17)+(AU83*AU18))/AU19</f>
        <v>6.1915135812432309</v>
      </c>
      <c r="AV84" s="2868">
        <f t="shared" si="363"/>
        <v>3.4430849728822839</v>
      </c>
      <c r="AW84" s="807">
        <f t="shared" ref="AW84" si="364">+((AW82*AW17)+(AW83*AW18))/AW19</f>
        <v>6.2047046855688759</v>
      </c>
      <c r="AX84" s="2414">
        <f>((AT84*$AT$19)+(AV84*$AV$19))/$AX$19</f>
        <v>3.4785916460068891</v>
      </c>
      <c r="AY84" s="2868">
        <f t="shared" ref="AY84:AZ84" si="365">+((AY82*AY17)+(AY83*AY18))/AY19</f>
        <v>6.1915135812432309</v>
      </c>
      <c r="AZ84" s="2868">
        <f t="shared" si="365"/>
        <v>3.5124916773126484</v>
      </c>
      <c r="BA84" s="808">
        <f t="shared" ref="BA84:BE84" si="366">+((BA82*BA17)+(BA83*BA18))/BA19</f>
        <v>6.1915135812432309</v>
      </c>
      <c r="BB84" s="2326">
        <f>((AR84*$AR$19)+(AV84*$AV$19)+(AZ84*$AZ$19))/$BB$19</f>
        <v>3.4719140660391865</v>
      </c>
      <c r="BC84" s="800">
        <f t="shared" ref="BC84" si="367">+((BC82*BC17)+(BC83*BC18))/BC19</f>
        <v>6.1915135812432318</v>
      </c>
      <c r="BD84" s="2327">
        <f>((AN84*$AN$19)+(BB84*$BB$19))/$BD$19</f>
        <v>3.4619920958809245</v>
      </c>
      <c r="BE84" s="807">
        <f t="shared" si="366"/>
        <v>6.2035836649937934</v>
      </c>
      <c r="BF84" s="807">
        <f>((AX84*$AX$19)+(AZ84*$AZ$19))/$BF$19</f>
        <v>3.4814983219354314</v>
      </c>
      <c r="BG84" s="1202"/>
      <c r="BH84" s="1202"/>
      <c r="BI84" s="1202"/>
      <c r="BJ84" s="1202"/>
      <c r="BK84" s="1202"/>
      <c r="BL84" s="26"/>
      <c r="BM84" s="26"/>
      <c r="BN84" s="26"/>
    </row>
    <row r="85" spans="1:66" ht="15.75" customHeight="1" x14ac:dyDescent="0.3">
      <c r="A85" s="145"/>
      <c r="B85" s="6643" t="s">
        <v>505</v>
      </c>
      <c r="C85" s="2867" t="s">
        <v>506</v>
      </c>
      <c r="D85" s="2868">
        <v>4.2000000000000011</v>
      </c>
      <c r="E85" s="2868">
        <f>+$D$85</f>
        <v>4.2000000000000011</v>
      </c>
      <c r="F85" s="2868">
        <v>0</v>
      </c>
      <c r="G85" s="2868">
        <f>+$D$85</f>
        <v>4.2000000000000011</v>
      </c>
      <c r="H85" s="2868">
        <v>0</v>
      </c>
      <c r="I85" s="2870">
        <f>+$D$85</f>
        <v>4.2000000000000011</v>
      </c>
      <c r="J85" s="3118">
        <f>((F85*$F$17)+(H85*$H$17))/$J$17</f>
        <v>0</v>
      </c>
      <c r="K85" s="2868">
        <f>+$D$85</f>
        <v>4.2000000000000011</v>
      </c>
      <c r="L85" s="2868">
        <v>0</v>
      </c>
      <c r="M85" s="808">
        <f>+$D$85</f>
        <v>4.2000000000000011</v>
      </c>
      <c r="N85" s="2326">
        <f>((F85*$F$17)+(H85*$H$17)+(L85*$L$17))/$N$17</f>
        <v>0</v>
      </c>
      <c r="O85" s="2868">
        <f>+$D$85</f>
        <v>4.2000000000000011</v>
      </c>
      <c r="P85" s="2868">
        <v>0</v>
      </c>
      <c r="Q85" s="807">
        <f>+$D$85</f>
        <v>4.2000000000000011</v>
      </c>
      <c r="R85" s="2414">
        <f>((N85*$N$17)+(P85*$P$17))/$R$17</f>
        <v>0</v>
      </c>
      <c r="S85" s="2868">
        <f>+$D$85</f>
        <v>4.2000000000000011</v>
      </c>
      <c r="T85" s="2868">
        <v>0</v>
      </c>
      <c r="U85" s="807">
        <f>+$D$85</f>
        <v>4.2000000000000011</v>
      </c>
      <c r="V85" s="2414">
        <f>((R85*$R$17)+(T85*$T$17))/$V$17</f>
        <v>0</v>
      </c>
      <c r="W85" s="2868">
        <f>+$D$85</f>
        <v>4.2000000000000011</v>
      </c>
      <c r="X85" s="2868">
        <v>0</v>
      </c>
      <c r="Y85" s="808">
        <f>+$D$85</f>
        <v>4.2000000000000011</v>
      </c>
      <c r="Z85" s="2326">
        <f>((P85*$P$17)+(T85*$T$17)+(X85*$X$17))/$Z$17</f>
        <v>0</v>
      </c>
      <c r="AA85" s="800">
        <f>+$D$85</f>
        <v>4.2000000000000011</v>
      </c>
      <c r="AB85" s="2327">
        <f>((N85*$N$17)+(Z85*$Z$17))/$AB$17</f>
        <v>0</v>
      </c>
      <c r="AC85" s="2868">
        <f>+$D$85</f>
        <v>4.2000000000000011</v>
      </c>
      <c r="AD85" s="2868">
        <v>0</v>
      </c>
      <c r="AE85" s="807">
        <f>+$D$85</f>
        <v>4.2000000000000011</v>
      </c>
      <c r="AF85" s="2414">
        <f>((AB85*$F$17)+(AD85*$H$17))/$J$17</f>
        <v>0</v>
      </c>
      <c r="AG85" s="2868">
        <f>+$D$85</f>
        <v>4.2000000000000011</v>
      </c>
      <c r="AH85" s="2868">
        <v>0</v>
      </c>
      <c r="AI85" s="807">
        <f>+$D$85</f>
        <v>4.2000000000000011</v>
      </c>
      <c r="AJ85" s="2414">
        <f>((AF85*$AF$17)+(AH85*$AH$17))/$AJ$17</f>
        <v>0</v>
      </c>
      <c r="AK85" s="2868">
        <f>+$D$85</f>
        <v>4.2000000000000011</v>
      </c>
      <c r="AL85" s="2868">
        <v>0</v>
      </c>
      <c r="AM85" s="808">
        <f>+$D$85</f>
        <v>4.2000000000000011</v>
      </c>
      <c r="AN85" s="2326">
        <f>((AD85*$AD$17)+(AH85*$AH$17)+(AL85*$AL$17))/$AN$17</f>
        <v>0</v>
      </c>
      <c r="AO85" s="807">
        <f>+$D$85</f>
        <v>4.2000000000000011</v>
      </c>
      <c r="AP85" s="1430">
        <f>((AJ85*$AJ$17)+(AL85*$AL$17))/$AP$17</f>
        <v>0</v>
      </c>
      <c r="AQ85" s="2868">
        <f>+$D$85</f>
        <v>4.2000000000000011</v>
      </c>
      <c r="AR85" s="2868">
        <v>0</v>
      </c>
      <c r="AS85" s="807">
        <f>+$D$85</f>
        <v>4.2000000000000011</v>
      </c>
      <c r="AT85" s="2414">
        <f>((AP85*$AP$17)+(AR85*$AR$17))/$AT$17</f>
        <v>0</v>
      </c>
      <c r="AU85" s="2868">
        <f>+$D$85</f>
        <v>4.2000000000000011</v>
      </c>
      <c r="AV85" s="2868">
        <v>0</v>
      </c>
      <c r="AW85" s="807">
        <f>+$D$85</f>
        <v>4.2000000000000011</v>
      </c>
      <c r="AX85" s="2414">
        <f>((AT85*$AT$17)+(AV85*$AV$17))/$AX$17</f>
        <v>0</v>
      </c>
      <c r="AY85" s="2868">
        <f>+$D$85</f>
        <v>4.2000000000000011</v>
      </c>
      <c r="AZ85" s="2868"/>
      <c r="BA85" s="808">
        <f>+$D$85</f>
        <v>4.2000000000000011</v>
      </c>
      <c r="BB85" s="2326">
        <f>((AR85*$AR$17)+(AV85*$AV$17)+(AZ85*$AZ$17))/$BB$17</f>
        <v>0</v>
      </c>
      <c r="BC85" s="2311">
        <f>+$D$85</f>
        <v>4.2000000000000011</v>
      </c>
      <c r="BD85" s="2519">
        <f>((AN85*$AN$17)+(BB85*$BB$17))/$BD$17</f>
        <v>0</v>
      </c>
      <c r="BE85" s="807">
        <f>+$D$85</f>
        <v>4.2000000000000011</v>
      </c>
      <c r="BF85" s="807">
        <f t="shared" si="346"/>
        <v>0</v>
      </c>
      <c r="BG85" s="1202"/>
      <c r="BH85" s="1202"/>
      <c r="BI85" s="1202"/>
      <c r="BJ85" s="1202"/>
      <c r="BK85" s="1202"/>
      <c r="BL85" s="26"/>
      <c r="BM85" s="26"/>
      <c r="BN85" s="26"/>
    </row>
    <row r="86" spans="1:66" x14ac:dyDescent="0.3">
      <c r="B86" s="2334" t="s">
        <v>189</v>
      </c>
      <c r="C86" s="2546" t="s">
        <v>50</v>
      </c>
      <c r="D86" s="2794">
        <v>120</v>
      </c>
      <c r="E86" s="2794">
        <v>10</v>
      </c>
      <c r="F86" s="2794">
        <v>3</v>
      </c>
      <c r="G86" s="2794">
        <v>10</v>
      </c>
      <c r="H86" s="2794">
        <v>5</v>
      </c>
      <c r="I86" s="3058">
        <f t="shared" ref="I86:J88" si="368">+E86+G86</f>
        <v>20</v>
      </c>
      <c r="J86" s="105">
        <f t="shared" si="368"/>
        <v>8</v>
      </c>
      <c r="K86" s="2794">
        <v>10</v>
      </c>
      <c r="L86" s="2794">
        <v>10</v>
      </c>
      <c r="M86" s="348">
        <f t="shared" ref="M86:N88" si="369">+E86+G86+K86</f>
        <v>30</v>
      </c>
      <c r="N86" s="348">
        <f t="shared" si="369"/>
        <v>18</v>
      </c>
      <c r="O86" s="2794">
        <v>10</v>
      </c>
      <c r="P86" s="2794">
        <v>5</v>
      </c>
      <c r="Q86" s="261">
        <f t="shared" ref="Q86:R88" si="370">+M86+O86</f>
        <v>40</v>
      </c>
      <c r="R86" s="261">
        <f t="shared" si="370"/>
        <v>23</v>
      </c>
      <c r="S86" s="2794">
        <v>10</v>
      </c>
      <c r="T86" s="2794">
        <v>6</v>
      </c>
      <c r="U86" s="261">
        <f t="shared" ref="U86:U88" si="371">+Q86+S86</f>
        <v>50</v>
      </c>
      <c r="V86" s="261">
        <f t="shared" ref="V86:V88" si="372">+R86+T86</f>
        <v>29</v>
      </c>
      <c r="W86" s="2794">
        <v>10</v>
      </c>
      <c r="X86" s="2794">
        <v>10</v>
      </c>
      <c r="Y86" s="348">
        <f t="shared" ref="Y86:Z88" si="373">+O86+S86+W86</f>
        <v>30</v>
      </c>
      <c r="Z86" s="348">
        <f t="shared" si="373"/>
        <v>21</v>
      </c>
      <c r="AA86" s="461">
        <f t="shared" ref="AA86:AB88" si="374">+M86+Y86</f>
        <v>60</v>
      </c>
      <c r="AB86" s="469">
        <f t="shared" si="374"/>
        <v>39</v>
      </c>
      <c r="AC86" s="2794">
        <v>10</v>
      </c>
      <c r="AD86" s="2794">
        <v>5</v>
      </c>
      <c r="AE86" s="261">
        <f t="shared" ref="AE86:AE88" si="375">+AA86+AC86</f>
        <v>70</v>
      </c>
      <c r="AF86" s="261">
        <f t="shared" ref="AF86:AF88" si="376">+AB86+AD86</f>
        <v>44</v>
      </c>
      <c r="AG86" s="2794">
        <v>10</v>
      </c>
      <c r="AH86" s="2794">
        <v>4</v>
      </c>
      <c r="AI86" s="261">
        <f t="shared" ref="AI86:AI88" si="377">+AE86+AG86</f>
        <v>80</v>
      </c>
      <c r="AJ86" s="261">
        <f t="shared" ref="AJ86:AJ88" si="378">+AF86+AH86</f>
        <v>48</v>
      </c>
      <c r="AK86" s="2794">
        <v>10</v>
      </c>
      <c r="AL86" s="2794">
        <v>7</v>
      </c>
      <c r="AM86" s="348">
        <f t="shared" ref="AM86:AM88" si="379">+AC86+AG86+AK86</f>
        <v>30</v>
      </c>
      <c r="AN86" s="348">
        <f t="shared" ref="AN86:AN88" si="380">+AD86+AH86+AL86</f>
        <v>16</v>
      </c>
      <c r="AO86" s="753">
        <f t="shared" ref="AO86" si="381">AI86+AK86</f>
        <v>90</v>
      </c>
      <c r="AP86" s="753">
        <f t="shared" ref="AP86" si="382">AJ86+AL86</f>
        <v>55</v>
      </c>
      <c r="AQ86" s="2794">
        <v>10</v>
      </c>
      <c r="AR86" s="2794">
        <v>4</v>
      </c>
      <c r="AS86" s="261">
        <f t="shared" ref="AS86:AS88" si="383">+AO86+AQ86</f>
        <v>100</v>
      </c>
      <c r="AT86" s="261">
        <f t="shared" ref="AT86:AT88" si="384">+AP86+AR86</f>
        <v>59</v>
      </c>
      <c r="AU86" s="2794">
        <v>10</v>
      </c>
      <c r="AV86" s="2794">
        <v>8</v>
      </c>
      <c r="AW86" s="261">
        <f t="shared" ref="AW86:AW88" si="385">+AS86+AU86</f>
        <v>110</v>
      </c>
      <c r="AX86" s="261">
        <f t="shared" ref="AX86:AX88" si="386">+AT86+AV86</f>
        <v>67</v>
      </c>
      <c r="AY86" s="2794">
        <v>10</v>
      </c>
      <c r="AZ86" s="2794">
        <v>6</v>
      </c>
      <c r="BA86" s="348">
        <f t="shared" ref="BA86:BA88" si="387">+AQ86+AU86+AY86</f>
        <v>30</v>
      </c>
      <c r="BB86" s="348">
        <f t="shared" ref="BB86:BB88" si="388">+AR86+AV86+AZ86</f>
        <v>18</v>
      </c>
      <c r="BC86" s="2437">
        <f t="shared" ref="BC86:BC88" si="389">+AM86+BA86</f>
        <v>60</v>
      </c>
      <c r="BD86" s="2437">
        <f t="shared" ref="BD86:BD88" si="390">+AN86+BB86</f>
        <v>34</v>
      </c>
      <c r="BE86" s="261">
        <f t="shared" ref="BE86:BE88" si="391">+AW86+AY86</f>
        <v>120</v>
      </c>
      <c r="BF86" s="261">
        <f t="shared" ref="BF86:BF88" si="392">+AX86+AZ86</f>
        <v>73</v>
      </c>
      <c r="BG86" s="1202">
        <f t="shared" si="284"/>
        <v>0</v>
      </c>
      <c r="BH86" s="1202">
        <f t="shared" si="285"/>
        <v>0</v>
      </c>
      <c r="BI86" s="1202"/>
      <c r="BJ86" s="1202">
        <f t="shared" si="311"/>
        <v>0</v>
      </c>
      <c r="BK86" s="1202">
        <f t="shared" si="312"/>
        <v>0</v>
      </c>
      <c r="BL86" s="26"/>
      <c r="BM86" s="26"/>
      <c r="BN86" s="26"/>
    </row>
    <row r="87" spans="1:66" x14ac:dyDescent="0.3">
      <c r="B87" s="2334" t="s">
        <v>190</v>
      </c>
      <c r="C87" s="2546" t="s">
        <v>50</v>
      </c>
      <c r="D87" s="2794">
        <v>24</v>
      </c>
      <c r="E87" s="2794">
        <v>2</v>
      </c>
      <c r="F87" s="2797">
        <v>4</v>
      </c>
      <c r="G87" s="2794">
        <v>2</v>
      </c>
      <c r="H87" s="2797">
        <v>2</v>
      </c>
      <c r="I87" s="3058">
        <f t="shared" si="368"/>
        <v>4</v>
      </c>
      <c r="J87" s="105">
        <f t="shared" si="368"/>
        <v>6</v>
      </c>
      <c r="K87" s="2794">
        <v>2</v>
      </c>
      <c r="L87" s="2797">
        <v>2</v>
      </c>
      <c r="M87" s="348">
        <f t="shared" si="369"/>
        <v>6</v>
      </c>
      <c r="N87" s="348">
        <f t="shared" si="369"/>
        <v>8</v>
      </c>
      <c r="O87" s="2794">
        <v>2</v>
      </c>
      <c r="P87" s="2797">
        <v>2</v>
      </c>
      <c r="Q87" s="261">
        <f t="shared" si="370"/>
        <v>8</v>
      </c>
      <c r="R87" s="261">
        <f t="shared" si="370"/>
        <v>10</v>
      </c>
      <c r="S87" s="2794">
        <v>2</v>
      </c>
      <c r="T87" s="2797">
        <v>2</v>
      </c>
      <c r="U87" s="261">
        <f t="shared" si="371"/>
        <v>10</v>
      </c>
      <c r="V87" s="261">
        <f t="shared" si="372"/>
        <v>12</v>
      </c>
      <c r="W87" s="2794">
        <v>2</v>
      </c>
      <c r="X87" s="2797">
        <v>2.5</v>
      </c>
      <c r="Y87" s="348">
        <f t="shared" si="373"/>
        <v>6</v>
      </c>
      <c r="Z87" s="348">
        <f t="shared" si="373"/>
        <v>6.5</v>
      </c>
      <c r="AA87" s="461">
        <f t="shared" si="374"/>
        <v>12</v>
      </c>
      <c r="AB87" s="469">
        <f t="shared" si="374"/>
        <v>14.5</v>
      </c>
      <c r="AC87" s="2794">
        <v>2</v>
      </c>
      <c r="AD87" s="2797">
        <v>1.5</v>
      </c>
      <c r="AE87" s="261">
        <f t="shared" si="375"/>
        <v>14</v>
      </c>
      <c r="AF87" s="261">
        <f t="shared" si="376"/>
        <v>16</v>
      </c>
      <c r="AG87" s="2794">
        <v>2</v>
      </c>
      <c r="AH87" s="2797">
        <v>1</v>
      </c>
      <c r="AI87" s="261">
        <f t="shared" si="377"/>
        <v>16</v>
      </c>
      <c r="AJ87" s="261">
        <f t="shared" si="378"/>
        <v>17</v>
      </c>
      <c r="AK87" s="2794">
        <v>2</v>
      </c>
      <c r="AL87" s="2797">
        <v>2</v>
      </c>
      <c r="AM87" s="348">
        <f t="shared" si="379"/>
        <v>6</v>
      </c>
      <c r="AN87" s="348">
        <f t="shared" si="380"/>
        <v>4.5</v>
      </c>
      <c r="AO87" s="753">
        <f t="shared" ref="AO87:AO88" si="393">AI87+AK87</f>
        <v>18</v>
      </c>
      <c r="AP87" s="753">
        <f t="shared" ref="AP87:AP88" si="394">AJ87+AL87</f>
        <v>19</v>
      </c>
      <c r="AQ87" s="2794">
        <v>2</v>
      </c>
      <c r="AR87" s="2797">
        <v>0.5</v>
      </c>
      <c r="AS87" s="261">
        <f t="shared" si="383"/>
        <v>20</v>
      </c>
      <c r="AT87" s="261">
        <f t="shared" si="384"/>
        <v>19.5</v>
      </c>
      <c r="AU87" s="2794">
        <v>2</v>
      </c>
      <c r="AV87" s="2797">
        <v>0</v>
      </c>
      <c r="AW87" s="261">
        <f t="shared" si="385"/>
        <v>22</v>
      </c>
      <c r="AX87" s="261">
        <f t="shared" si="386"/>
        <v>19.5</v>
      </c>
      <c r="AY87" s="2794">
        <v>2</v>
      </c>
      <c r="AZ87" s="2797">
        <v>0</v>
      </c>
      <c r="BA87" s="348">
        <f t="shared" si="387"/>
        <v>6</v>
      </c>
      <c r="BB87" s="348">
        <f t="shared" si="388"/>
        <v>0.5</v>
      </c>
      <c r="BC87" s="2437">
        <f t="shared" si="389"/>
        <v>12</v>
      </c>
      <c r="BD87" s="2437">
        <f t="shared" si="390"/>
        <v>5</v>
      </c>
      <c r="BE87" s="261">
        <f t="shared" si="391"/>
        <v>24</v>
      </c>
      <c r="BF87" s="261">
        <f t="shared" si="392"/>
        <v>19.5</v>
      </c>
      <c r="BG87" s="1202">
        <f t="shared" si="284"/>
        <v>0</v>
      </c>
      <c r="BH87" s="1202">
        <f t="shared" si="285"/>
        <v>0</v>
      </c>
      <c r="BI87" s="1202"/>
      <c r="BJ87" s="1202">
        <f t="shared" si="311"/>
        <v>0</v>
      </c>
      <c r="BK87" s="1202">
        <f t="shared" si="312"/>
        <v>0</v>
      </c>
      <c r="BL87" s="26"/>
      <c r="BM87" s="26"/>
      <c r="BN87" s="26"/>
    </row>
    <row r="88" spans="1:66" ht="15" thickBot="1" x14ac:dyDescent="0.35">
      <c r="B88" s="2335" t="s">
        <v>191</v>
      </c>
      <c r="C88" s="885" t="s">
        <v>50</v>
      </c>
      <c r="D88" s="1431">
        <v>15</v>
      </c>
      <c r="E88" s="1431">
        <v>1</v>
      </c>
      <c r="F88" s="1431">
        <v>0</v>
      </c>
      <c r="G88" s="1431">
        <v>1</v>
      </c>
      <c r="H88" s="1431">
        <v>0</v>
      </c>
      <c r="I88" s="588">
        <f t="shared" si="368"/>
        <v>2</v>
      </c>
      <c r="J88" s="128">
        <f t="shared" si="368"/>
        <v>0</v>
      </c>
      <c r="K88" s="1431">
        <v>1</v>
      </c>
      <c r="L88" s="1431">
        <v>0</v>
      </c>
      <c r="M88" s="589">
        <f t="shared" si="369"/>
        <v>3</v>
      </c>
      <c r="N88" s="589">
        <f t="shared" si="369"/>
        <v>0</v>
      </c>
      <c r="O88" s="1431">
        <v>1</v>
      </c>
      <c r="P88" s="1431">
        <v>0</v>
      </c>
      <c r="Q88" s="588">
        <f t="shared" si="370"/>
        <v>4</v>
      </c>
      <c r="R88" s="588">
        <f t="shared" si="370"/>
        <v>0</v>
      </c>
      <c r="S88" s="1431">
        <v>1</v>
      </c>
      <c r="T88" s="1431">
        <v>0</v>
      </c>
      <c r="U88" s="588">
        <f t="shared" si="371"/>
        <v>5</v>
      </c>
      <c r="V88" s="588">
        <f t="shared" si="372"/>
        <v>0</v>
      </c>
      <c r="W88" s="1431">
        <v>1</v>
      </c>
      <c r="X88" s="1431">
        <v>0</v>
      </c>
      <c r="Y88" s="589">
        <f t="shared" si="373"/>
        <v>3</v>
      </c>
      <c r="Z88" s="589">
        <f t="shared" si="373"/>
        <v>0</v>
      </c>
      <c r="AA88" s="614">
        <f t="shared" si="374"/>
        <v>6</v>
      </c>
      <c r="AB88" s="487">
        <f t="shared" si="374"/>
        <v>0</v>
      </c>
      <c r="AC88" s="1431">
        <v>1.5</v>
      </c>
      <c r="AD88" s="1431">
        <v>0</v>
      </c>
      <c r="AE88" s="588">
        <f t="shared" si="375"/>
        <v>7.5</v>
      </c>
      <c r="AF88" s="588">
        <f t="shared" si="376"/>
        <v>0</v>
      </c>
      <c r="AG88" s="1431">
        <v>1.5</v>
      </c>
      <c r="AH88" s="1431">
        <v>0</v>
      </c>
      <c r="AI88" s="588">
        <f t="shared" si="377"/>
        <v>9</v>
      </c>
      <c r="AJ88" s="588">
        <f t="shared" si="378"/>
        <v>0</v>
      </c>
      <c r="AK88" s="1431">
        <v>1.5</v>
      </c>
      <c r="AL88" s="1431">
        <v>0</v>
      </c>
      <c r="AM88" s="589">
        <f t="shared" si="379"/>
        <v>4.5</v>
      </c>
      <c r="AN88" s="589">
        <f t="shared" si="380"/>
        <v>0</v>
      </c>
      <c r="AO88" s="753">
        <f t="shared" si="393"/>
        <v>10.5</v>
      </c>
      <c r="AP88" s="753">
        <f t="shared" si="394"/>
        <v>0</v>
      </c>
      <c r="AQ88" s="1431">
        <v>1.5</v>
      </c>
      <c r="AR88" s="1431">
        <v>0</v>
      </c>
      <c r="AS88" s="588">
        <f t="shared" si="383"/>
        <v>12</v>
      </c>
      <c r="AT88" s="588">
        <f t="shared" si="384"/>
        <v>0</v>
      </c>
      <c r="AU88" s="1431">
        <v>1.5</v>
      </c>
      <c r="AV88" s="1431">
        <v>0</v>
      </c>
      <c r="AW88" s="588">
        <f t="shared" si="385"/>
        <v>13.5</v>
      </c>
      <c r="AX88" s="588">
        <f t="shared" si="386"/>
        <v>0</v>
      </c>
      <c r="AY88" s="1431">
        <v>1.5</v>
      </c>
      <c r="AZ88" s="1431">
        <v>0</v>
      </c>
      <c r="BA88" s="589">
        <f t="shared" si="387"/>
        <v>4.5</v>
      </c>
      <c r="BB88" s="589">
        <f t="shared" si="388"/>
        <v>0</v>
      </c>
      <c r="BC88" s="2437">
        <f t="shared" si="389"/>
        <v>9</v>
      </c>
      <c r="BD88" s="2437">
        <f t="shared" si="390"/>
        <v>0</v>
      </c>
      <c r="BE88" s="588">
        <f t="shared" si="391"/>
        <v>15</v>
      </c>
      <c r="BF88" s="588">
        <f t="shared" si="392"/>
        <v>0</v>
      </c>
      <c r="BG88" s="1202">
        <f t="shared" si="284"/>
        <v>0</v>
      </c>
      <c r="BH88" s="1202">
        <f t="shared" si="285"/>
        <v>0</v>
      </c>
      <c r="BI88" s="1202"/>
      <c r="BJ88" s="1202">
        <f t="shared" si="311"/>
        <v>0</v>
      </c>
      <c r="BK88" s="1202">
        <f t="shared" si="312"/>
        <v>0</v>
      </c>
      <c r="BL88" s="26"/>
      <c r="BM88" s="26"/>
      <c r="BN88" s="26"/>
    </row>
    <row r="89" spans="1:66" ht="18" thickBot="1" x14ac:dyDescent="0.35">
      <c r="A89" s="145"/>
      <c r="B89" s="854" t="s">
        <v>783</v>
      </c>
      <c r="C89" s="1779"/>
      <c r="D89" s="528"/>
      <c r="E89" s="528"/>
      <c r="F89" s="528"/>
      <c r="G89" s="528"/>
      <c r="H89" s="528"/>
      <c r="I89" s="528"/>
      <c r="J89" s="528"/>
      <c r="K89" s="528"/>
      <c r="L89" s="528"/>
      <c r="M89" s="528"/>
      <c r="N89" s="528"/>
      <c r="O89" s="528"/>
      <c r="P89" s="528"/>
      <c r="Q89" s="528"/>
      <c r="R89" s="528"/>
      <c r="S89" s="528"/>
      <c r="T89" s="528"/>
      <c r="U89" s="528"/>
      <c r="V89" s="528"/>
      <c r="W89" s="528"/>
      <c r="X89" s="528"/>
      <c r="Y89" s="528"/>
      <c r="Z89" s="528"/>
      <c r="AA89" s="528"/>
      <c r="AB89" s="528"/>
      <c r="AC89" s="528"/>
      <c r="AD89" s="528"/>
      <c r="AE89" s="528"/>
      <c r="AF89" s="528"/>
      <c r="AG89" s="528"/>
      <c r="AH89" s="528"/>
      <c r="AI89" s="528"/>
      <c r="AJ89" s="528"/>
      <c r="AK89" s="528"/>
      <c r="AL89" s="528"/>
      <c r="AM89" s="528"/>
      <c r="AN89" s="528"/>
      <c r="AO89" s="528"/>
      <c r="AP89" s="528"/>
      <c r="AQ89" s="528"/>
      <c r="AR89" s="528"/>
      <c r="AS89" s="528"/>
      <c r="AT89" s="528"/>
      <c r="AU89" s="528"/>
      <c r="AV89" s="528"/>
      <c r="AW89" s="528"/>
      <c r="AX89" s="528"/>
      <c r="AY89" s="528"/>
      <c r="AZ89" s="528"/>
      <c r="BA89" s="528"/>
      <c r="BB89" s="528"/>
      <c r="BC89" s="528"/>
      <c r="BD89" s="528"/>
      <c r="BE89" s="528"/>
      <c r="BF89" s="528"/>
      <c r="BG89" s="1202">
        <f t="shared" si="284"/>
        <v>0</v>
      </c>
      <c r="BH89" s="1202">
        <f t="shared" si="285"/>
        <v>0</v>
      </c>
      <c r="BI89" s="1202"/>
      <c r="BJ89" s="1202">
        <f t="shared" si="311"/>
        <v>0</v>
      </c>
      <c r="BK89" s="1202">
        <f t="shared" si="312"/>
        <v>0</v>
      </c>
      <c r="BL89" s="26"/>
      <c r="BM89" s="26"/>
      <c r="BN89" s="26"/>
    </row>
    <row r="90" spans="1:66" ht="17.399999999999999" x14ac:dyDescent="0.3">
      <c r="A90" s="145"/>
      <c r="B90" s="1788" t="s">
        <v>646</v>
      </c>
      <c r="C90" s="1786"/>
      <c r="D90" s="1786"/>
      <c r="E90" s="1786"/>
      <c r="F90" s="1786"/>
      <c r="G90" s="1786"/>
      <c r="H90" s="1786"/>
      <c r="I90" s="1786"/>
      <c r="J90" s="1786"/>
      <c r="K90" s="1786"/>
      <c r="L90" s="1786"/>
      <c r="M90" s="1786"/>
      <c r="N90" s="1786"/>
      <c r="O90" s="1786"/>
      <c r="P90" s="1786"/>
      <c r="Q90" s="1786"/>
      <c r="R90" s="1786"/>
      <c r="S90" s="1786"/>
      <c r="T90" s="1786"/>
      <c r="U90" s="1786"/>
      <c r="V90" s="1786"/>
      <c r="W90" s="1786"/>
      <c r="X90" s="1786"/>
      <c r="Y90" s="1786"/>
      <c r="Z90" s="1786"/>
      <c r="AA90" s="1786"/>
      <c r="AB90" s="1787"/>
      <c r="AC90" s="1786"/>
      <c r="AD90" s="1786"/>
      <c r="AE90" s="1786"/>
      <c r="AF90" s="1787"/>
      <c r="AG90" s="1786"/>
      <c r="AH90" s="1786"/>
      <c r="AI90" s="1786"/>
      <c r="AJ90" s="1787"/>
      <c r="AK90" s="1786"/>
      <c r="AL90" s="1786"/>
      <c r="AM90" s="1786"/>
      <c r="AN90" s="1786"/>
      <c r="AO90" s="1786"/>
      <c r="AP90" s="1787"/>
      <c r="AQ90" s="1786"/>
      <c r="AR90" s="1786"/>
      <c r="AS90" s="1786"/>
      <c r="AT90" s="1787"/>
      <c r="AU90" s="1786"/>
      <c r="AV90" s="1786"/>
      <c r="AW90" s="1786"/>
      <c r="AX90" s="1787"/>
      <c r="AY90" s="1786"/>
      <c r="AZ90" s="1786"/>
      <c r="BA90" s="1786"/>
      <c r="BB90" s="1786"/>
      <c r="BC90" s="1786"/>
      <c r="BD90" s="1787"/>
      <c r="BE90" s="1786"/>
      <c r="BF90" s="1787"/>
      <c r="BG90" s="1202">
        <f t="shared" si="284"/>
        <v>0</v>
      </c>
      <c r="BH90" s="1202">
        <f t="shared" si="285"/>
        <v>0</v>
      </c>
      <c r="BI90" s="1202"/>
      <c r="BJ90" s="1202">
        <f t="shared" si="311"/>
        <v>0</v>
      </c>
      <c r="BK90" s="1202">
        <f t="shared" si="312"/>
        <v>0</v>
      </c>
      <c r="BL90" s="26"/>
      <c r="BM90" s="26"/>
      <c r="BN90" s="26"/>
    </row>
    <row r="91" spans="1:66" x14ac:dyDescent="0.3">
      <c r="B91" s="1791" t="s">
        <v>1970</v>
      </c>
      <c r="C91" s="1374" t="s">
        <v>50</v>
      </c>
      <c r="D91" s="2198">
        <v>290757.62051282049</v>
      </c>
      <c r="E91" s="1118">
        <v>24779.760683760684</v>
      </c>
      <c r="F91" s="1185">
        <v>22926.799999999999</v>
      </c>
      <c r="G91" s="1118">
        <v>25605.752706552707</v>
      </c>
      <c r="H91" s="1185">
        <v>23577.599999999999</v>
      </c>
      <c r="I91" s="775">
        <f t="shared" ref="I91:J93" si="395">+E91+G91</f>
        <v>50385.51339031339</v>
      </c>
      <c r="J91" s="38">
        <f t="shared" si="395"/>
        <v>46504.399999999994</v>
      </c>
      <c r="K91" s="1118">
        <v>23768.341880341883</v>
      </c>
      <c r="L91" s="1185">
        <v>22768.376399999997</v>
      </c>
      <c r="M91" s="774">
        <f t="shared" ref="M91:N93" si="396">+E91+G91+K91</f>
        <v>74153.855270655273</v>
      </c>
      <c r="N91" s="774">
        <f t="shared" si="396"/>
        <v>69272.776399999988</v>
      </c>
      <c r="O91" s="1118">
        <v>24560.619943019945</v>
      </c>
      <c r="P91" s="1185">
        <v>24598.727999999999</v>
      </c>
      <c r="Q91" s="775">
        <f t="shared" ref="Q91:R93" si="397">+M91+O91</f>
        <v>98714.475213675221</v>
      </c>
      <c r="R91" s="38">
        <f t="shared" si="397"/>
        <v>93871.504399999991</v>
      </c>
      <c r="S91" s="1118">
        <v>24560.619943019945</v>
      </c>
      <c r="T91" s="1185">
        <v>25264.007999999998</v>
      </c>
      <c r="U91" s="775">
        <f t="shared" ref="U91:U96" si="398">+Q91+S91</f>
        <v>123275.09515669517</v>
      </c>
      <c r="V91" s="38">
        <f t="shared" ref="V91:V96" si="399">+R91+T91</f>
        <v>119135.51239999999</v>
      </c>
      <c r="W91" s="1118">
        <v>23287.91794871795</v>
      </c>
      <c r="X91" s="1185">
        <v>24449.039999999997</v>
      </c>
      <c r="Y91" s="774">
        <f t="shared" ref="Y91:Z96" si="400">+O91+S91+W91</f>
        <v>72409.157834757847</v>
      </c>
      <c r="Z91" s="774">
        <f t="shared" si="400"/>
        <v>74311.775999999998</v>
      </c>
      <c r="AA91" s="460">
        <f>+M91+Y91</f>
        <v>146563.01310541312</v>
      </c>
      <c r="AB91" s="449">
        <f>+N91+Z91</f>
        <v>143584.55239999999</v>
      </c>
      <c r="AC91" s="1118">
        <v>24560.619943019945</v>
      </c>
      <c r="AD91" s="1185">
        <v>24889.788</v>
      </c>
      <c r="AE91" s="775">
        <f t="shared" ref="AE91:AE96" si="401">+AA91+AC91</f>
        <v>171123.63304843305</v>
      </c>
      <c r="AF91" s="38">
        <f t="shared" ref="AF91:AF96" si="402">+AB91+AD91</f>
        <v>168474.34039999999</v>
      </c>
      <c r="AG91" s="1118">
        <v>23768.341880341883</v>
      </c>
      <c r="AH91" s="1185">
        <v>23509.331999999999</v>
      </c>
      <c r="AI91" s="775">
        <f t="shared" ref="AI91:AI96" si="403">+AE91+AG91</f>
        <v>194891.97492877493</v>
      </c>
      <c r="AJ91" s="38">
        <f t="shared" ref="AJ91:AJ96" si="404">+AF91+AH91</f>
        <v>191983.67239999998</v>
      </c>
      <c r="AK91" s="1118">
        <v>24560.619943019945</v>
      </c>
      <c r="AL91" s="1185">
        <v>23261.851741935487</v>
      </c>
      <c r="AM91" s="774">
        <f t="shared" ref="AM91:AM96" si="405">+AC91+AG91+AK91</f>
        <v>72889.581766381772</v>
      </c>
      <c r="AN91" s="774">
        <f t="shared" ref="AN91:AN96" si="406">+AD91+AH91+AL91</f>
        <v>71660.971741935486</v>
      </c>
      <c r="AO91" s="753">
        <f t="shared" ref="AO91:AP91" si="407">AI91+AK91</f>
        <v>219452.59487179486</v>
      </c>
      <c r="AP91" s="753">
        <f t="shared" si="407"/>
        <v>215245.52414193546</v>
      </c>
      <c r="AQ91" s="1118">
        <v>24560.619943019945</v>
      </c>
      <c r="AR91" s="1185">
        <v>23337.719999999998</v>
      </c>
      <c r="AS91" s="775">
        <f t="shared" ref="AS91:AS96" si="408">+AO91+AQ91</f>
        <v>244013.2148148148</v>
      </c>
      <c r="AT91" s="38">
        <f t="shared" ref="AT91:AT96" si="409">+AP91+AR91</f>
        <v>238583.24414193546</v>
      </c>
      <c r="AU91" s="1118">
        <v>22183.785754985754</v>
      </c>
      <c r="AV91" s="1185">
        <v>19888.696799999998</v>
      </c>
      <c r="AW91" s="775">
        <f t="shared" ref="AW91:AW96" si="410">+AS91+AU91</f>
        <v>266197.00056980056</v>
      </c>
      <c r="AX91" s="38">
        <f t="shared" ref="AX91:AX96" si="411">+AT91+AV91</f>
        <v>258471.94094193546</v>
      </c>
      <c r="AY91" s="1118">
        <v>24560.619943019945</v>
      </c>
      <c r="AZ91" s="1185">
        <v>20188.2</v>
      </c>
      <c r="BA91" s="774">
        <f t="shared" ref="BA91:BA93" si="412">+AQ91+AU91+AY91</f>
        <v>71305.025641025641</v>
      </c>
      <c r="BB91" s="774">
        <f t="shared" ref="BB91:BB93" si="413">+AR91+AV91+AZ91</f>
        <v>63414.616799999989</v>
      </c>
      <c r="BC91" s="2437">
        <f t="shared" ref="BC91" si="414">+AM91+BA91</f>
        <v>144194.60740740743</v>
      </c>
      <c r="BD91" s="2437">
        <f t="shared" ref="BD91" si="415">+AN91+BB91</f>
        <v>135075.58854193549</v>
      </c>
      <c r="BE91" s="775">
        <f>AW91+AY91</f>
        <v>290757.62051282049</v>
      </c>
      <c r="BF91" s="775">
        <f>AX91+AZ91</f>
        <v>278660.14094193547</v>
      </c>
      <c r="BG91" s="1202">
        <f t="shared" si="284"/>
        <v>0</v>
      </c>
      <c r="BH91" s="1202">
        <f t="shared" si="285"/>
        <v>0</v>
      </c>
      <c r="BI91" s="1202"/>
      <c r="BJ91" s="1202">
        <f t="shared" si="311"/>
        <v>0</v>
      </c>
      <c r="BK91" s="1202">
        <f t="shared" si="312"/>
        <v>0</v>
      </c>
      <c r="BL91" s="26"/>
      <c r="BM91" s="26"/>
      <c r="BN91" s="26"/>
    </row>
    <row r="92" spans="1:66" x14ac:dyDescent="0.3">
      <c r="B92" s="1792" t="s">
        <v>10</v>
      </c>
      <c r="C92" s="1374" t="s">
        <v>50</v>
      </c>
      <c r="D92" s="2198">
        <v>67618.051282051267</v>
      </c>
      <c r="E92" s="1118">
        <v>5762.735042735043</v>
      </c>
      <c r="F92" s="1185">
        <v>6025.6</v>
      </c>
      <c r="G92" s="1118">
        <v>5954.8262108262106</v>
      </c>
      <c r="H92" s="1185">
        <v>6863</v>
      </c>
      <c r="I92" s="775">
        <f t="shared" si="395"/>
        <v>11717.561253561253</v>
      </c>
      <c r="J92" s="38">
        <f t="shared" si="395"/>
        <v>12888.6</v>
      </c>
      <c r="K92" s="1118">
        <v>5527.5213675213672</v>
      </c>
      <c r="L92" s="1185">
        <v>4902.2819999999992</v>
      </c>
      <c r="M92" s="774">
        <f t="shared" si="396"/>
        <v>17245.08262108262</v>
      </c>
      <c r="N92" s="774">
        <f t="shared" si="396"/>
        <v>17790.881999999998</v>
      </c>
      <c r="O92" s="1118">
        <v>5711.7720797720785</v>
      </c>
      <c r="P92" s="1185"/>
      <c r="Q92" s="775">
        <f t="shared" si="397"/>
        <v>22956.854700854699</v>
      </c>
      <c r="R92" s="38">
        <f t="shared" si="397"/>
        <v>17790.881999999998</v>
      </c>
      <c r="S92" s="1118">
        <v>5711.7720797720785</v>
      </c>
      <c r="T92" s="1185">
        <v>4167.45</v>
      </c>
      <c r="U92" s="775">
        <f t="shared" si="398"/>
        <v>28668.626780626779</v>
      </c>
      <c r="V92" s="38">
        <f t="shared" si="399"/>
        <v>21958.331999999999</v>
      </c>
      <c r="W92" s="1118">
        <v>5415.7948717948711</v>
      </c>
      <c r="X92" s="1185">
        <v>5000.9399999999996</v>
      </c>
      <c r="Y92" s="774">
        <f t="shared" si="400"/>
        <v>16839.339031339026</v>
      </c>
      <c r="Z92" s="774">
        <f t="shared" si="400"/>
        <v>9168.39</v>
      </c>
      <c r="AA92" s="460">
        <f t="shared" ref="AA92:AB101" si="416">+M92+Y92</f>
        <v>34084.421652421646</v>
      </c>
      <c r="AB92" s="449">
        <f>+N92+Z92</f>
        <v>26959.271999999997</v>
      </c>
      <c r="AC92" s="1118">
        <v>5711.7720797720785</v>
      </c>
      <c r="AD92" s="1185">
        <v>164.04632999999998</v>
      </c>
      <c r="AE92" s="775">
        <f t="shared" si="401"/>
        <v>39796.193732193722</v>
      </c>
      <c r="AF92" s="38">
        <f t="shared" si="402"/>
        <v>27123.318329999998</v>
      </c>
      <c r="AG92" s="1118">
        <v>5527.5213675213672</v>
      </c>
      <c r="AH92" s="1185"/>
      <c r="AI92" s="775">
        <f t="shared" si="403"/>
        <v>45323.715099715089</v>
      </c>
      <c r="AJ92" s="38">
        <f t="shared" si="404"/>
        <v>27123.318329999998</v>
      </c>
      <c r="AK92" s="1118">
        <v>5711.7720797720785</v>
      </c>
      <c r="AL92" s="1185"/>
      <c r="AM92" s="774">
        <f t="shared" si="405"/>
        <v>16951.065527065526</v>
      </c>
      <c r="AN92" s="774">
        <f t="shared" si="406"/>
        <v>164.04632999999998</v>
      </c>
      <c r="AO92" s="753">
        <f t="shared" ref="AO92:AP98" si="417">AI92+AK92</f>
        <v>51035.487179487165</v>
      </c>
      <c r="AP92" s="753">
        <f t="shared" ref="AP92:AP96" si="418">AJ92+AL92</f>
        <v>27123.318329999998</v>
      </c>
      <c r="AQ92" s="1118">
        <v>5711.7720797720785</v>
      </c>
      <c r="AR92" s="1185"/>
      <c r="AS92" s="775">
        <f t="shared" si="408"/>
        <v>56747.259259259241</v>
      </c>
      <c r="AT92" s="38">
        <f t="shared" si="409"/>
        <v>27123.318329999998</v>
      </c>
      <c r="AU92" s="1118">
        <v>5159.0199430199436</v>
      </c>
      <c r="AV92" s="1185">
        <v>2948.3244</v>
      </c>
      <c r="AW92" s="775">
        <f t="shared" si="410"/>
        <v>61906.279202279184</v>
      </c>
      <c r="AX92" s="38">
        <f t="shared" si="411"/>
        <v>30071.64273</v>
      </c>
      <c r="AY92" s="1118">
        <v>5711.7720797720785</v>
      </c>
      <c r="AZ92" s="1185">
        <v>2555.1</v>
      </c>
      <c r="BA92" s="774">
        <f t="shared" si="412"/>
        <v>16582.564102564102</v>
      </c>
      <c r="BB92" s="774">
        <f t="shared" si="413"/>
        <v>5503.4243999999999</v>
      </c>
      <c r="BC92" s="2437">
        <f t="shared" ref="BC92:BC96" si="419">+AM92+BA92</f>
        <v>33533.629629629628</v>
      </c>
      <c r="BD92" s="2437">
        <f t="shared" ref="BD92:BD96" si="420">+AN92+BB92</f>
        <v>5667.47073</v>
      </c>
      <c r="BE92" s="775">
        <f t="shared" ref="BE92:BE96" si="421">AW92+AY92</f>
        <v>67618.051282051267</v>
      </c>
      <c r="BF92" s="775">
        <f t="shared" ref="BF92:BF96" si="422">AX92+AZ92</f>
        <v>32626.742729999998</v>
      </c>
      <c r="BG92" s="1202">
        <f t="shared" si="284"/>
        <v>0</v>
      </c>
      <c r="BH92" s="1202">
        <f t="shared" si="285"/>
        <v>0</v>
      </c>
      <c r="BI92" s="1202"/>
      <c r="BJ92" s="1202">
        <f t="shared" si="311"/>
        <v>0</v>
      </c>
      <c r="BK92" s="1202">
        <f t="shared" si="312"/>
        <v>0</v>
      </c>
      <c r="BL92" s="26"/>
      <c r="BM92" s="26"/>
      <c r="BN92" s="26"/>
    </row>
    <row r="93" spans="1:66" x14ac:dyDescent="0.3">
      <c r="B93" s="1791" t="s">
        <v>1972</v>
      </c>
      <c r="C93" s="1374" t="s">
        <v>50</v>
      </c>
      <c r="D93" s="2198">
        <v>16904.512820512817</v>
      </c>
      <c r="E93" s="1118">
        <v>1440.6837606837607</v>
      </c>
      <c r="F93" s="1185"/>
      <c r="G93" s="1118">
        <v>1488.7065527065527</v>
      </c>
      <c r="H93" s="1185"/>
      <c r="I93" s="775">
        <f t="shared" si="395"/>
        <v>2929.3903133903132</v>
      </c>
      <c r="J93" s="38">
        <f t="shared" si="395"/>
        <v>0</v>
      </c>
      <c r="K93" s="1118">
        <v>1381.8803418803418</v>
      </c>
      <c r="L93" s="1185"/>
      <c r="M93" s="774">
        <f t="shared" si="396"/>
        <v>4311.270655270655</v>
      </c>
      <c r="N93" s="774">
        <f t="shared" si="396"/>
        <v>0</v>
      </c>
      <c r="O93" s="1118">
        <v>1427.9430199430196</v>
      </c>
      <c r="P93" s="1185">
        <v>2813.3442219959998</v>
      </c>
      <c r="Q93" s="775">
        <f t="shared" si="397"/>
        <v>5739.2136752136748</v>
      </c>
      <c r="R93" s="38">
        <f t="shared" si="397"/>
        <v>2813.3442219959998</v>
      </c>
      <c r="S93" s="1118">
        <v>1427.9430199430196</v>
      </c>
      <c r="T93" s="1185">
        <v>3556.2239999999997</v>
      </c>
      <c r="U93" s="775">
        <f t="shared" si="398"/>
        <v>7167.1566951566947</v>
      </c>
      <c r="V93" s="38">
        <f t="shared" si="399"/>
        <v>6369.5682219959999</v>
      </c>
      <c r="W93" s="1118">
        <v>1353.9487179487178</v>
      </c>
      <c r="X93" s="1185">
        <v>4667.5439999999999</v>
      </c>
      <c r="Y93" s="774">
        <f t="shared" si="400"/>
        <v>4209.8347578347566</v>
      </c>
      <c r="Z93" s="774">
        <f t="shared" si="400"/>
        <v>11037.112221996</v>
      </c>
      <c r="AA93" s="460">
        <f t="shared" si="416"/>
        <v>8521.1054131054116</v>
      </c>
      <c r="AB93" s="449">
        <f>+N93+Z93</f>
        <v>11037.112221996</v>
      </c>
      <c r="AC93" s="1118">
        <v>1427.9430199430196</v>
      </c>
      <c r="AD93" s="1185"/>
      <c r="AE93" s="775">
        <f t="shared" si="401"/>
        <v>9949.0484330484305</v>
      </c>
      <c r="AF93" s="38">
        <f t="shared" si="402"/>
        <v>11037.112221996</v>
      </c>
      <c r="AG93" s="1118">
        <v>1381.8803418803418</v>
      </c>
      <c r="AH93" s="1185"/>
      <c r="AI93" s="775">
        <f t="shared" si="403"/>
        <v>11330.928774928772</v>
      </c>
      <c r="AJ93" s="38">
        <f t="shared" si="404"/>
        <v>11037.112221996</v>
      </c>
      <c r="AK93" s="1118">
        <v>1427.9430199430196</v>
      </c>
      <c r="AL93" s="1185"/>
      <c r="AM93" s="774">
        <f t="shared" si="405"/>
        <v>4237.7663817663815</v>
      </c>
      <c r="AN93" s="774">
        <f t="shared" si="406"/>
        <v>0</v>
      </c>
      <c r="AO93" s="753">
        <f t="shared" si="417"/>
        <v>12758.871794871791</v>
      </c>
      <c r="AP93" s="753">
        <f t="shared" si="418"/>
        <v>11037.112221996</v>
      </c>
      <c r="AQ93" s="1118">
        <v>1427.9430199430196</v>
      </c>
      <c r="AR93" s="1185"/>
      <c r="AS93" s="775">
        <f t="shared" si="408"/>
        <v>14186.81481481481</v>
      </c>
      <c r="AT93" s="38">
        <f t="shared" si="409"/>
        <v>11037.112221996</v>
      </c>
      <c r="AU93" s="1118">
        <v>1289.7549857549859</v>
      </c>
      <c r="AV93" s="1185"/>
      <c r="AW93" s="775">
        <f t="shared" si="410"/>
        <v>15476.569800569796</v>
      </c>
      <c r="AX93" s="38">
        <f t="shared" si="411"/>
        <v>11037.112221996</v>
      </c>
      <c r="AY93" s="1118">
        <v>1427.9430199430196</v>
      </c>
      <c r="AZ93" s="1185"/>
      <c r="BA93" s="774">
        <f t="shared" si="412"/>
        <v>4145.6410256410254</v>
      </c>
      <c r="BB93" s="774">
        <f t="shared" si="413"/>
        <v>0</v>
      </c>
      <c r="BC93" s="2437">
        <f t="shared" si="419"/>
        <v>8383.4074074074069</v>
      </c>
      <c r="BD93" s="2437">
        <f t="shared" si="420"/>
        <v>0</v>
      </c>
      <c r="BE93" s="775">
        <f t="shared" si="421"/>
        <v>16904.512820512817</v>
      </c>
      <c r="BF93" s="775">
        <f t="shared" si="422"/>
        <v>11037.112221996</v>
      </c>
      <c r="BG93" s="1202">
        <f t="shared" si="284"/>
        <v>0</v>
      </c>
      <c r="BH93" s="1202">
        <f t="shared" si="285"/>
        <v>0</v>
      </c>
      <c r="BI93" s="1202"/>
      <c r="BJ93" s="1202">
        <f t="shared" si="311"/>
        <v>0</v>
      </c>
      <c r="BK93" s="1202">
        <f t="shared" si="312"/>
        <v>0</v>
      </c>
      <c r="BL93" s="26"/>
      <c r="BM93" s="26"/>
      <c r="BN93" s="26"/>
    </row>
    <row r="94" spans="1:66" x14ac:dyDescent="0.3">
      <c r="B94" s="1792" t="s">
        <v>1971</v>
      </c>
      <c r="C94" s="1374" t="s">
        <v>50</v>
      </c>
      <c r="D94" s="4379">
        <v>16904.512820512817</v>
      </c>
      <c r="E94" s="4380">
        <v>1440.6837606837607</v>
      </c>
      <c r="F94" s="4022"/>
      <c r="G94" s="4380">
        <v>1488.7065527065527</v>
      </c>
      <c r="H94" s="4022"/>
      <c r="I94" s="775">
        <f t="shared" ref="I94:I95" si="423">+E94+G94</f>
        <v>2929.3903133903132</v>
      </c>
      <c r="J94" s="38">
        <f t="shared" ref="J94:J95" si="424">+F94+H94</f>
        <v>0</v>
      </c>
      <c r="K94" s="4380">
        <v>1381.8803418803418</v>
      </c>
      <c r="L94" s="4022">
        <v>925.98659999999995</v>
      </c>
      <c r="M94" s="774">
        <f t="shared" ref="M94" si="425">+E94+G94+K94</f>
        <v>4311.270655270655</v>
      </c>
      <c r="N94" s="774">
        <f t="shared" ref="N94" si="426">+F94+H94+L94</f>
        <v>925.98659999999995</v>
      </c>
      <c r="O94" s="4380">
        <v>1427.9430199430196</v>
      </c>
      <c r="P94" s="4022">
        <v>5590.62</v>
      </c>
      <c r="Q94" s="775">
        <f t="shared" ref="Q94" si="427">+M94+O94</f>
        <v>5739.2136752136748</v>
      </c>
      <c r="R94" s="38">
        <f t="shared" ref="R94" si="428">+N94+P94</f>
        <v>6516.6066000000001</v>
      </c>
      <c r="S94" s="4380">
        <v>1427.9430199430196</v>
      </c>
      <c r="T94" s="4022">
        <v>1000.1879999999999</v>
      </c>
      <c r="U94" s="775">
        <f t="shared" ref="U94" si="429">+Q94+S94</f>
        <v>7167.1566951566947</v>
      </c>
      <c r="V94" s="38">
        <f t="shared" ref="V94" si="430">+R94+T94</f>
        <v>7516.7946000000002</v>
      </c>
      <c r="W94" s="4380">
        <v>1353.9487179487178</v>
      </c>
      <c r="X94" s="4022"/>
      <c r="Y94" s="774">
        <f t="shared" ref="Y94" si="431">+O94+S94+W94</f>
        <v>4209.8347578347566</v>
      </c>
      <c r="Z94" s="774">
        <f t="shared" ref="Z94" si="432">+P94+T94+X94</f>
        <v>6590.808</v>
      </c>
      <c r="AA94" s="460">
        <f t="shared" ref="AA94" si="433">+M94+Y94</f>
        <v>8521.1054131054116</v>
      </c>
      <c r="AB94" s="449">
        <f>+N94+Z94</f>
        <v>7516.7946000000002</v>
      </c>
      <c r="AC94" s="4380">
        <v>1427.9430199430196</v>
      </c>
      <c r="AD94" s="4022">
        <v>6569.1522580645169</v>
      </c>
      <c r="AE94" s="775">
        <f t="shared" ref="AE94" si="434">+AA94+AC94</f>
        <v>9949.0484330484305</v>
      </c>
      <c r="AF94" s="38">
        <f t="shared" ref="AF94" si="435">+AB94+AD94</f>
        <v>14085.946858064517</v>
      </c>
      <c r="AG94" s="4380">
        <v>1381.8803418803418</v>
      </c>
      <c r="AH94" s="4022">
        <v>6411.6359999999995</v>
      </c>
      <c r="AI94" s="775">
        <f t="shared" ref="AI94" si="436">+AE94+AG94</f>
        <v>11330.928774928772</v>
      </c>
      <c r="AJ94" s="38">
        <f t="shared" ref="AJ94" si="437">+AF94+AH94</f>
        <v>20497.582858064517</v>
      </c>
      <c r="AK94" s="4380">
        <v>1427.9430199430196</v>
      </c>
      <c r="AL94" s="4022">
        <v>6117.7958709677414</v>
      </c>
      <c r="AM94" s="774">
        <f t="shared" ref="AM94" si="438">+AC94+AG94+AK94</f>
        <v>4237.7663817663815</v>
      </c>
      <c r="AN94" s="774">
        <f t="shared" ref="AN94" si="439">+AD94+AH94+AL94</f>
        <v>19098.584129032257</v>
      </c>
      <c r="AO94" s="753">
        <f t="shared" ref="AO94" si="440">AI94+AK94</f>
        <v>12758.871794871791</v>
      </c>
      <c r="AP94" s="753">
        <f t="shared" ref="AP94" si="441">AJ94+AL94</f>
        <v>26615.378729032258</v>
      </c>
      <c r="AQ94" s="4380">
        <v>1427.9430199430196</v>
      </c>
      <c r="AR94" s="4022">
        <v>6112.2599999999993</v>
      </c>
      <c r="AS94" s="775">
        <f t="shared" ref="AS94" si="442">+AO94+AQ94</f>
        <v>14186.81481481481</v>
      </c>
      <c r="AT94" s="38">
        <f t="shared" ref="AT94" si="443">+AP94+AR94</f>
        <v>32727.638729032256</v>
      </c>
      <c r="AU94" s="4380">
        <v>1289.7549857549859</v>
      </c>
      <c r="AV94" s="4022">
        <v>5097.1031999999996</v>
      </c>
      <c r="AW94" s="775">
        <f t="shared" ref="AW94" si="444">+AS94+AU94</f>
        <v>15476.569800569796</v>
      </c>
      <c r="AX94" s="38">
        <f t="shared" ref="AX94" si="445">+AT94+AV94</f>
        <v>37824.741929032258</v>
      </c>
      <c r="AY94" s="4380">
        <v>1427.9430199430196</v>
      </c>
      <c r="AZ94" s="4022">
        <v>7596.4</v>
      </c>
      <c r="BA94" s="774">
        <f t="shared" ref="BA94" si="446">+AQ94+AU94+AY94</f>
        <v>4145.6410256410254</v>
      </c>
      <c r="BB94" s="774">
        <f t="shared" ref="BB94" si="447">+AR94+AV94+AZ94</f>
        <v>18805.763200000001</v>
      </c>
      <c r="BC94" s="2437">
        <f t="shared" ref="BC94" si="448">+AM94+BA94</f>
        <v>8383.4074074074069</v>
      </c>
      <c r="BD94" s="2437">
        <f t="shared" ref="BD94" si="449">+AN94+BB94</f>
        <v>37904.347329032258</v>
      </c>
      <c r="BE94" s="775">
        <f t="shared" ref="BE94" si="450">AW94+AY94</f>
        <v>16904.512820512817</v>
      </c>
      <c r="BF94" s="775">
        <f t="shared" ref="BF94" si="451">AX94+AZ94</f>
        <v>45421.141929032259</v>
      </c>
      <c r="BG94" s="1202">
        <f t="shared" si="284"/>
        <v>0</v>
      </c>
      <c r="BH94" s="1202">
        <f t="shared" si="285"/>
        <v>0</v>
      </c>
      <c r="BI94" s="1202"/>
      <c r="BJ94" s="1202">
        <f t="shared" si="311"/>
        <v>0</v>
      </c>
      <c r="BK94" s="1202">
        <f t="shared" si="312"/>
        <v>0</v>
      </c>
      <c r="BL94" s="26"/>
      <c r="BM94" s="26"/>
      <c r="BN94" s="26"/>
    </row>
    <row r="95" spans="1:66" ht="15.75" customHeight="1" x14ac:dyDescent="0.3">
      <c r="B95" s="1792" t="s">
        <v>1266</v>
      </c>
      <c r="C95" s="1374" t="s">
        <v>50</v>
      </c>
      <c r="D95" s="705"/>
      <c r="E95" s="226"/>
      <c r="F95" s="1199"/>
      <c r="G95" s="226"/>
      <c r="H95" s="1199"/>
      <c r="I95" s="775">
        <f t="shared" si="423"/>
        <v>0</v>
      </c>
      <c r="J95" s="38">
        <f t="shared" si="424"/>
        <v>0</v>
      </c>
      <c r="K95" s="226"/>
      <c r="L95" s="1199"/>
      <c r="M95" s="774">
        <f t="shared" ref="M95" si="452">+E95+G95+K95</f>
        <v>0</v>
      </c>
      <c r="N95" s="774">
        <f t="shared" ref="N95" si="453">+F95+H95+L95</f>
        <v>0</v>
      </c>
      <c r="O95" s="226"/>
      <c r="P95" s="1199"/>
      <c r="Q95" s="775">
        <f t="shared" ref="Q95:Q96" si="454">+M95+O95</f>
        <v>0</v>
      </c>
      <c r="R95" s="38">
        <f t="shared" ref="R95:R96" si="455">+N95+P95</f>
        <v>0</v>
      </c>
      <c r="S95" s="226">
        <v>0</v>
      </c>
      <c r="T95" s="1199"/>
      <c r="U95" s="775">
        <f t="shared" si="398"/>
        <v>0</v>
      </c>
      <c r="V95" s="38">
        <f t="shared" si="399"/>
        <v>0</v>
      </c>
      <c r="W95" s="226"/>
      <c r="X95" s="1199"/>
      <c r="Y95" s="774">
        <f t="shared" si="400"/>
        <v>0</v>
      </c>
      <c r="Z95" s="774">
        <f t="shared" si="400"/>
        <v>0</v>
      </c>
      <c r="AA95" s="460">
        <f t="shared" si="416"/>
        <v>0</v>
      </c>
      <c r="AB95" s="449">
        <f>+N95+Z95</f>
        <v>0</v>
      </c>
      <c r="AC95" s="226"/>
      <c r="AD95" s="1199"/>
      <c r="AE95" s="775">
        <f t="shared" si="401"/>
        <v>0</v>
      </c>
      <c r="AF95" s="38">
        <f t="shared" si="402"/>
        <v>0</v>
      </c>
      <c r="AG95" s="226"/>
      <c r="AH95" s="1199"/>
      <c r="AI95" s="775">
        <f t="shared" si="403"/>
        <v>0</v>
      </c>
      <c r="AJ95" s="38">
        <f t="shared" si="404"/>
        <v>0</v>
      </c>
      <c r="AK95" s="226"/>
      <c r="AL95" s="1199"/>
      <c r="AM95" s="774">
        <f t="shared" si="405"/>
        <v>0</v>
      </c>
      <c r="AN95" s="774">
        <f t="shared" si="406"/>
        <v>0</v>
      </c>
      <c r="AO95" s="753">
        <f t="shared" si="417"/>
        <v>0</v>
      </c>
      <c r="AP95" s="753">
        <f t="shared" si="418"/>
        <v>0</v>
      </c>
      <c r="AQ95" s="226"/>
      <c r="AR95" s="1199"/>
      <c r="AS95" s="775">
        <f t="shared" si="408"/>
        <v>0</v>
      </c>
      <c r="AT95" s="38">
        <f t="shared" si="409"/>
        <v>0</v>
      </c>
      <c r="AU95" s="226"/>
      <c r="AV95" s="1199"/>
      <c r="AW95" s="775">
        <f t="shared" si="410"/>
        <v>0</v>
      </c>
      <c r="AX95" s="38">
        <f t="shared" si="411"/>
        <v>0</v>
      </c>
      <c r="AY95" s="226"/>
      <c r="AZ95" s="1199"/>
      <c r="BA95" s="774">
        <f t="shared" ref="BA95:BA96" si="456">+AQ95+AU95+AY95</f>
        <v>0</v>
      </c>
      <c r="BB95" s="774">
        <f t="shared" ref="BB95:BB96" si="457">+AR95+AV95+AZ95</f>
        <v>0</v>
      </c>
      <c r="BC95" s="2437">
        <f t="shared" si="419"/>
        <v>0</v>
      </c>
      <c r="BD95" s="2437">
        <f t="shared" si="420"/>
        <v>0</v>
      </c>
      <c r="BE95" s="775">
        <f t="shared" si="421"/>
        <v>0</v>
      </c>
      <c r="BF95" s="775">
        <f t="shared" si="422"/>
        <v>0</v>
      </c>
      <c r="BG95" s="1202">
        <f t="shared" si="284"/>
        <v>0</v>
      </c>
      <c r="BH95" s="1202">
        <f t="shared" si="285"/>
        <v>0</v>
      </c>
      <c r="BI95" s="1202"/>
      <c r="BJ95" s="1202">
        <f t="shared" si="311"/>
        <v>0</v>
      </c>
      <c r="BK95" s="1202">
        <f t="shared" si="312"/>
        <v>0</v>
      </c>
      <c r="BL95" s="26"/>
      <c r="BM95" s="26"/>
      <c r="BN95" s="26"/>
    </row>
    <row r="96" spans="1:66" ht="15" thickBot="1" x14ac:dyDescent="0.35">
      <c r="A96" s="145"/>
      <c r="B96" s="1792" t="s">
        <v>612</v>
      </c>
      <c r="C96" s="2339" t="s">
        <v>50</v>
      </c>
      <c r="D96" s="705">
        <v>60856.246153846143</v>
      </c>
      <c r="E96" s="226">
        <v>5186.461538461539</v>
      </c>
      <c r="F96" s="1199">
        <v>6025.6</v>
      </c>
      <c r="G96" s="226">
        <v>5359.3435897435893</v>
      </c>
      <c r="H96" s="1199">
        <v>6863</v>
      </c>
      <c r="I96" s="271">
        <f>+E96+G96</f>
        <v>10545.805128205127</v>
      </c>
      <c r="J96" s="162">
        <f>+F96+H96</f>
        <v>12888.6</v>
      </c>
      <c r="K96" s="226">
        <v>4974.7692307692305</v>
      </c>
      <c r="L96" s="1199">
        <v>6536.3760000000002</v>
      </c>
      <c r="M96" s="1187">
        <f>+E96+G96+K96</f>
        <v>15520.574358974358</v>
      </c>
      <c r="N96" s="1187">
        <f>+F96+H96+L96</f>
        <v>19424.976000000002</v>
      </c>
      <c r="O96" s="226">
        <v>5140.5948717948713</v>
      </c>
      <c r="P96" s="1199">
        <v>3895.3997780039999</v>
      </c>
      <c r="Q96" s="271">
        <f t="shared" si="454"/>
        <v>20661.169230769228</v>
      </c>
      <c r="R96" s="162">
        <f t="shared" si="455"/>
        <v>23320.375778004003</v>
      </c>
      <c r="S96" s="226">
        <v>5140.5948717948713</v>
      </c>
      <c r="T96" s="1199">
        <v>3333.96</v>
      </c>
      <c r="U96" s="271">
        <f t="shared" si="398"/>
        <v>25801.764102564099</v>
      </c>
      <c r="V96" s="162">
        <f t="shared" si="399"/>
        <v>26654.335778004002</v>
      </c>
      <c r="W96" s="226">
        <v>4874.2153846153842</v>
      </c>
      <c r="X96" s="1199">
        <v>2000.3759999999997</v>
      </c>
      <c r="Y96" s="1187">
        <f t="shared" si="400"/>
        <v>15155.405128205126</v>
      </c>
      <c r="Z96" s="1187">
        <f t="shared" si="400"/>
        <v>9229.7357780040002</v>
      </c>
      <c r="AA96" s="2199">
        <f t="shared" si="416"/>
        <v>30675.979487179484</v>
      </c>
      <c r="AB96" s="2223">
        <f>+N96+Z96</f>
        <v>28654.711778004003</v>
      </c>
      <c r="AC96" s="226">
        <v>5140.5948717948713</v>
      </c>
      <c r="AD96" s="1199">
        <v>4598.4065806451608</v>
      </c>
      <c r="AE96" s="271">
        <f t="shared" si="401"/>
        <v>35816.574358974358</v>
      </c>
      <c r="AF96" s="162">
        <f t="shared" si="402"/>
        <v>33253.118358649161</v>
      </c>
      <c r="AG96" s="226">
        <v>4974.7692307692305</v>
      </c>
      <c r="AH96" s="1199">
        <v>4274.424</v>
      </c>
      <c r="AI96" s="271">
        <f t="shared" si="403"/>
        <v>40791.343589743585</v>
      </c>
      <c r="AJ96" s="162">
        <f t="shared" si="404"/>
        <v>37527.54235864916</v>
      </c>
      <c r="AK96" s="226">
        <v>5140.5948717948713</v>
      </c>
      <c r="AL96" s="1199">
        <v>4410.5039999999999</v>
      </c>
      <c r="AM96" s="1187">
        <f t="shared" si="405"/>
        <v>15255.958974358971</v>
      </c>
      <c r="AN96" s="1187">
        <f t="shared" si="406"/>
        <v>13283.334580645162</v>
      </c>
      <c r="AO96" s="753">
        <f t="shared" si="417"/>
        <v>45931.938461538455</v>
      </c>
      <c r="AP96" s="753">
        <f t="shared" si="418"/>
        <v>41938.046358649161</v>
      </c>
      <c r="AQ96" s="226">
        <v>5140.5948717948713</v>
      </c>
      <c r="AR96" s="1199">
        <v>4445.28</v>
      </c>
      <c r="AS96" s="271">
        <f t="shared" si="408"/>
        <v>51072.533333333326</v>
      </c>
      <c r="AT96" s="162">
        <f t="shared" si="409"/>
        <v>46383.326358649159</v>
      </c>
      <c r="AU96" s="226">
        <v>4643.1179487179488</v>
      </c>
      <c r="AV96" s="1199">
        <v>3997.7280000000001</v>
      </c>
      <c r="AW96" s="271">
        <f t="shared" si="410"/>
        <v>55715.651282051273</v>
      </c>
      <c r="AX96" s="162">
        <f t="shared" si="411"/>
        <v>50381.054358649162</v>
      </c>
      <c r="AY96" s="226">
        <v>5140.5948717948713</v>
      </c>
      <c r="AZ96" s="1199">
        <v>6407.9</v>
      </c>
      <c r="BA96" s="1187">
        <f t="shared" si="456"/>
        <v>14924.307692307691</v>
      </c>
      <c r="BB96" s="1187">
        <f t="shared" si="457"/>
        <v>14850.907999999999</v>
      </c>
      <c r="BC96" s="2437">
        <f t="shared" si="419"/>
        <v>30180.266666666663</v>
      </c>
      <c r="BD96" s="2437">
        <f t="shared" si="420"/>
        <v>28134.242580645161</v>
      </c>
      <c r="BE96" s="775">
        <f t="shared" si="421"/>
        <v>60856.246153846143</v>
      </c>
      <c r="BF96" s="775">
        <f t="shared" si="422"/>
        <v>56788.954358649164</v>
      </c>
      <c r="BG96" s="1202">
        <f t="shared" si="284"/>
        <v>0</v>
      </c>
      <c r="BH96" s="1202">
        <f t="shared" si="285"/>
        <v>0</v>
      </c>
      <c r="BI96" s="1202"/>
      <c r="BJ96" s="1202">
        <f t="shared" si="311"/>
        <v>0</v>
      </c>
      <c r="BK96" s="1202">
        <f t="shared" si="312"/>
        <v>0</v>
      </c>
      <c r="BL96" s="26"/>
      <c r="BM96" s="26"/>
      <c r="BN96" s="26"/>
    </row>
    <row r="97" spans="1:66" ht="16.2" thickBot="1" x14ac:dyDescent="0.35">
      <c r="B97" s="2337" t="s">
        <v>13</v>
      </c>
      <c r="C97" s="1379" t="s">
        <v>50</v>
      </c>
      <c r="D97" s="1369">
        <f t="shared" ref="D97:AX97" si="458">SUM(D91:D96)</f>
        <v>453040.94358974352</v>
      </c>
      <c r="E97" s="1368">
        <f t="shared" si="458"/>
        <v>38610.324786324789</v>
      </c>
      <c r="F97" s="1368">
        <f t="shared" si="458"/>
        <v>34978</v>
      </c>
      <c r="G97" s="1368">
        <f t="shared" ref="G97:H97" si="459">SUM(G91:G96)</f>
        <v>39897.335612535608</v>
      </c>
      <c r="H97" s="1368">
        <f t="shared" si="459"/>
        <v>37303.599999999999</v>
      </c>
      <c r="I97" s="1368">
        <f t="shared" si="458"/>
        <v>78507.660398860404</v>
      </c>
      <c r="J97" s="1368">
        <f t="shared" si="458"/>
        <v>72281.599999999991</v>
      </c>
      <c r="K97" s="1368">
        <f t="shared" ref="K97:L97" si="460">SUM(K91:K96)</f>
        <v>37034.393162393171</v>
      </c>
      <c r="L97" s="1368">
        <f t="shared" si="460"/>
        <v>35133.020999999993</v>
      </c>
      <c r="M97" s="1555">
        <f t="shared" si="458"/>
        <v>115542.05356125356</v>
      </c>
      <c r="N97" s="1555">
        <f t="shared" si="458"/>
        <v>107414.62099999998</v>
      </c>
      <c r="O97" s="1368">
        <f t="shared" ref="O97:P97" si="461">SUM(O91:O96)</f>
        <v>38268.872934472936</v>
      </c>
      <c r="P97" s="1368">
        <f t="shared" si="461"/>
        <v>36898.092000000004</v>
      </c>
      <c r="Q97" s="1368">
        <f t="shared" si="458"/>
        <v>153810.92649572651</v>
      </c>
      <c r="R97" s="1368">
        <f t="shared" si="458"/>
        <v>144312.71299999999</v>
      </c>
      <c r="S97" s="1368">
        <f t="shared" ref="S97:T97" si="462">SUM(S91:S96)</f>
        <v>38268.872934472936</v>
      </c>
      <c r="T97" s="1368">
        <f t="shared" si="462"/>
        <v>37321.83</v>
      </c>
      <c r="U97" s="1368">
        <f t="shared" si="458"/>
        <v>192079.79943019946</v>
      </c>
      <c r="V97" s="1368">
        <f t="shared" si="458"/>
        <v>181634.54300000001</v>
      </c>
      <c r="W97" s="1368">
        <f t="shared" ref="W97:X97" si="463">SUM(W91:W96)</f>
        <v>36285.825641025644</v>
      </c>
      <c r="X97" s="1368">
        <f t="shared" si="463"/>
        <v>36117.899999999994</v>
      </c>
      <c r="Y97" s="1555">
        <f t="shared" si="458"/>
        <v>112823.57150997152</v>
      </c>
      <c r="Z97" s="1555">
        <f t="shared" si="458"/>
        <v>110337.822</v>
      </c>
      <c r="AA97" s="2360">
        <f t="shared" si="458"/>
        <v>228365.62507122505</v>
      </c>
      <c r="AB97" s="2360">
        <f t="shared" si="458"/>
        <v>217752.443</v>
      </c>
      <c r="AC97" s="1368">
        <f t="shared" ref="AC97:AD97" si="464">SUM(AC91:AC96)</f>
        <v>38268.872934472936</v>
      </c>
      <c r="AD97" s="1368">
        <f t="shared" si="464"/>
        <v>36221.393168709677</v>
      </c>
      <c r="AE97" s="1368">
        <f t="shared" si="458"/>
        <v>266634.49800569797</v>
      </c>
      <c r="AF97" s="1368">
        <f t="shared" si="458"/>
        <v>253973.83616870968</v>
      </c>
      <c r="AG97" s="1368">
        <f t="shared" ref="AG97:AH97" si="465">SUM(AG91:AG96)</f>
        <v>37034.393162393171</v>
      </c>
      <c r="AH97" s="1368">
        <f t="shared" si="465"/>
        <v>34195.392</v>
      </c>
      <c r="AI97" s="1368">
        <f t="shared" si="458"/>
        <v>303668.89116809116</v>
      </c>
      <c r="AJ97" s="1368">
        <f t="shared" si="458"/>
        <v>288169.22816870967</v>
      </c>
      <c r="AK97" s="1368">
        <f t="shared" ref="AK97:AL97" si="466">SUM(AK91:AK96)</f>
        <v>38268.872934472936</v>
      </c>
      <c r="AL97" s="1368">
        <f t="shared" si="466"/>
        <v>33790.151612903224</v>
      </c>
      <c r="AM97" s="1555">
        <f t="shared" si="458"/>
        <v>113572.13903133904</v>
      </c>
      <c r="AN97" s="1555">
        <f t="shared" si="458"/>
        <v>104206.93678161289</v>
      </c>
      <c r="AO97" s="1368">
        <f t="shared" si="458"/>
        <v>341937.76410256414</v>
      </c>
      <c r="AP97" s="1368">
        <f t="shared" si="458"/>
        <v>321959.37978161289</v>
      </c>
      <c r="AQ97" s="1368">
        <f t="shared" ref="AQ97:AR97" si="467">SUM(AQ91:AQ96)</f>
        <v>38268.872934472936</v>
      </c>
      <c r="AR97" s="1368">
        <f t="shared" si="467"/>
        <v>33895.259999999995</v>
      </c>
      <c r="AS97" s="1368">
        <f t="shared" si="458"/>
        <v>380206.63703703706</v>
      </c>
      <c r="AT97" s="1368">
        <f t="shared" si="458"/>
        <v>355854.6397816129</v>
      </c>
      <c r="AU97" s="1368">
        <f t="shared" ref="AU97:AV97" si="468">SUM(AU91:AU96)</f>
        <v>34565.433618233619</v>
      </c>
      <c r="AV97" s="1368">
        <f t="shared" si="468"/>
        <v>31931.8524</v>
      </c>
      <c r="AW97" s="1368">
        <f t="shared" si="458"/>
        <v>414772.0706552706</v>
      </c>
      <c r="AX97" s="1368">
        <f t="shared" si="458"/>
        <v>387786.49218161294</v>
      </c>
      <c r="AY97" s="1368">
        <f t="shared" ref="AY97:AZ97" si="469">SUM(AY91:AY96)</f>
        <v>38268.872934472936</v>
      </c>
      <c r="AZ97" s="1368">
        <f t="shared" si="469"/>
        <v>36747.599999999999</v>
      </c>
      <c r="BA97" s="1555">
        <f t="shared" ref="BA97:BB97" si="470">SUM(BA91:BA96)</f>
        <v>111103.1794871795</v>
      </c>
      <c r="BB97" s="1555">
        <f t="shared" si="470"/>
        <v>102574.71239999999</v>
      </c>
      <c r="BC97" s="2360">
        <f>SUM(BC91:BC96)</f>
        <v>224675.31851851856</v>
      </c>
      <c r="BD97" s="2360">
        <f>SUM(BD91:BD96)</f>
        <v>206781.64918161291</v>
      </c>
      <c r="BE97" s="1368">
        <f t="shared" ref="BE97:BF97" si="471">SUM(BE91:BE96)</f>
        <v>453040.94358974352</v>
      </c>
      <c r="BF97" s="1368">
        <f t="shared" si="471"/>
        <v>424534.09218161291</v>
      </c>
      <c r="BG97" s="1202">
        <f t="shared" si="284"/>
        <v>0</v>
      </c>
      <c r="BH97" s="1202">
        <f t="shared" si="285"/>
        <v>0</v>
      </c>
      <c r="BI97" s="1202"/>
      <c r="BJ97" s="1202">
        <f t="shared" si="311"/>
        <v>0</v>
      </c>
      <c r="BK97" s="1202">
        <f t="shared" si="312"/>
        <v>0</v>
      </c>
      <c r="BL97" s="26"/>
      <c r="BM97" s="26"/>
      <c r="BN97" s="26"/>
    </row>
    <row r="98" spans="1:66" x14ac:dyDescent="0.3">
      <c r="B98" s="2336" t="s">
        <v>1358</v>
      </c>
      <c r="C98" s="1383" t="s">
        <v>50</v>
      </c>
      <c r="D98" s="2234">
        <v>114950.68717948717</v>
      </c>
      <c r="E98" s="2234">
        <v>9796.6495726495705</v>
      </c>
      <c r="F98" s="1186">
        <v>14329.2</v>
      </c>
      <c r="G98" s="2234">
        <v>10123.204558404557</v>
      </c>
      <c r="H98" s="1186">
        <v>14869.8</v>
      </c>
      <c r="I98" s="567">
        <f t="shared" ref="I98:J101" si="472">+E98+G98</f>
        <v>19919.854131054126</v>
      </c>
      <c r="J98" s="567">
        <f t="shared" si="472"/>
        <v>29199</v>
      </c>
      <c r="K98" s="2234">
        <v>9396.7863247863243</v>
      </c>
      <c r="L98" s="1186">
        <v>14162.147999999999</v>
      </c>
      <c r="M98" s="482">
        <f t="shared" ref="M98:N101" si="473">+E98+G98+K98</f>
        <v>29316.64045584045</v>
      </c>
      <c r="N98" s="482">
        <f t="shared" si="473"/>
        <v>43361.148000000001</v>
      </c>
      <c r="O98" s="2234">
        <v>9710.0125356125354</v>
      </c>
      <c r="P98" s="1186">
        <v>10297.5586497</v>
      </c>
      <c r="Q98" s="567">
        <f t="shared" ref="Q98:R101" si="474">+M98+O98</f>
        <v>39026.652991452982</v>
      </c>
      <c r="R98" s="567">
        <f t="shared" si="474"/>
        <v>53658.706649700005</v>
      </c>
      <c r="S98" s="2234">
        <v>9710.0125356125354</v>
      </c>
      <c r="T98" s="1186">
        <v>11483.64</v>
      </c>
      <c r="U98" s="567">
        <f t="shared" ref="U98:U101" si="475">+Q98+S98</f>
        <v>48736.665527065517</v>
      </c>
      <c r="V98" s="567">
        <f t="shared" ref="V98:V101" si="476">+R98+T98</f>
        <v>65142.346649700004</v>
      </c>
      <c r="W98" s="2234">
        <v>9206.8512820512824</v>
      </c>
      <c r="X98" s="1186">
        <v>9909.2681477999995</v>
      </c>
      <c r="Y98" s="482">
        <f t="shared" ref="Y98:Z101" si="477">+O98+S98+W98</f>
        <v>28626.876353276355</v>
      </c>
      <c r="Z98" s="482">
        <f t="shared" si="477"/>
        <v>31690.466797499997</v>
      </c>
      <c r="AA98" s="1584">
        <f t="shared" si="416"/>
        <v>57943.516809116802</v>
      </c>
      <c r="AB98" s="472">
        <f t="shared" si="416"/>
        <v>75051.614797499991</v>
      </c>
      <c r="AC98" s="2234">
        <v>9710.0125356125354</v>
      </c>
      <c r="AD98" s="1186">
        <v>9251.5560967741931</v>
      </c>
      <c r="AE98" s="567">
        <f t="shared" ref="AE98:AE101" si="478">+AA98+AC98</f>
        <v>67653.529344729337</v>
      </c>
      <c r="AF98" s="61">
        <f t="shared" ref="AF98:AF101" si="479">+AB98+AD98</f>
        <v>84303.170894274183</v>
      </c>
      <c r="AG98" s="2234">
        <v>9396.7863247863243</v>
      </c>
      <c r="AH98" s="1186">
        <v>10151.757</v>
      </c>
      <c r="AI98" s="567">
        <f t="shared" ref="AI98:AI101" si="480">+AE98+AG98</f>
        <v>77050.315669515665</v>
      </c>
      <c r="AJ98" s="61">
        <f t="shared" ref="AJ98:AJ101" si="481">+AF98+AH98</f>
        <v>94454.92789427418</v>
      </c>
      <c r="AK98" s="2234">
        <v>9710.0125356125354</v>
      </c>
      <c r="AL98" s="1186">
        <v>10474.947</v>
      </c>
      <c r="AM98" s="482">
        <f t="shared" ref="AM98:AM101" si="482">+AC98+AG98+AK98</f>
        <v>28816.811396011395</v>
      </c>
      <c r="AN98" s="482">
        <f t="shared" ref="AN98:AN101" si="483">+AD98+AH98+AL98</f>
        <v>29878.260096774193</v>
      </c>
      <c r="AO98" s="753">
        <f t="shared" si="417"/>
        <v>86760.3282051282</v>
      </c>
      <c r="AP98" s="753">
        <f t="shared" si="417"/>
        <v>104929.87489427418</v>
      </c>
      <c r="AQ98" s="2234">
        <v>9710.0125356125354</v>
      </c>
      <c r="AR98" s="1186">
        <v>10557.539999999997</v>
      </c>
      <c r="AS98" s="567">
        <f t="shared" ref="AS98:AS101" si="484">+AO98+AQ98</f>
        <v>96470.340740740736</v>
      </c>
      <c r="AT98" s="61">
        <f t="shared" ref="AT98:AT101" si="485">+AP98+AR98</f>
        <v>115487.41489427417</v>
      </c>
      <c r="AU98" s="2234">
        <v>8770.3339031339056</v>
      </c>
      <c r="AV98" s="1186">
        <v>9494.6040000000012</v>
      </c>
      <c r="AW98" s="567">
        <f t="shared" ref="AW98:AW101" si="486">+AS98+AU98</f>
        <v>105240.67464387463</v>
      </c>
      <c r="AX98" s="61">
        <f t="shared" ref="AX98:AX101" si="487">+AT98+AV98</f>
        <v>124982.01889427418</v>
      </c>
      <c r="AY98" s="2234">
        <v>9710.0125356125354</v>
      </c>
      <c r="AZ98" s="1186">
        <v>10909.5</v>
      </c>
      <c r="BA98" s="482">
        <f t="shared" ref="BA98:BA101" si="488">+AQ98+AU98+AY98</f>
        <v>28190.358974358976</v>
      </c>
      <c r="BB98" s="482">
        <f t="shared" ref="BB98:BB101" si="489">+AR98+AV98+AZ98</f>
        <v>30961.644</v>
      </c>
      <c r="BC98" s="2437">
        <f t="shared" ref="BC98:BC101" si="490">+AM98+BA98</f>
        <v>57007.170370370368</v>
      </c>
      <c r="BD98" s="2437">
        <f t="shared" ref="BD98:BD101" si="491">+AN98+BB98</f>
        <v>60839.904096774189</v>
      </c>
      <c r="BE98" s="775">
        <f t="shared" ref="BE98:BE101" si="492">AW98+AY98</f>
        <v>114950.68717948717</v>
      </c>
      <c r="BF98" s="775">
        <f t="shared" ref="BF98:BF101" si="493">AX98+AZ98</f>
        <v>135891.5188942742</v>
      </c>
      <c r="BG98" s="1202">
        <f t="shared" si="284"/>
        <v>0</v>
      </c>
      <c r="BH98" s="1202">
        <f t="shared" si="285"/>
        <v>0</v>
      </c>
      <c r="BI98" s="1202"/>
      <c r="BJ98" s="1202">
        <f t="shared" si="311"/>
        <v>0</v>
      </c>
      <c r="BK98" s="1202">
        <f t="shared" si="312"/>
        <v>0</v>
      </c>
      <c r="BL98" s="26"/>
      <c r="BM98" s="26"/>
      <c r="BN98" s="26"/>
    </row>
    <row r="99" spans="1:66" x14ac:dyDescent="0.3">
      <c r="B99" s="1794" t="s">
        <v>627</v>
      </c>
      <c r="C99" s="770" t="s">
        <v>50</v>
      </c>
      <c r="D99" s="1118">
        <v>33809.025641025633</v>
      </c>
      <c r="E99" s="1118">
        <v>2881.3675213675215</v>
      </c>
      <c r="F99" s="1185"/>
      <c r="G99" s="1118">
        <v>2977.4131054131053</v>
      </c>
      <c r="H99" s="1185"/>
      <c r="I99" s="775">
        <f t="shared" si="472"/>
        <v>5858.7806267806263</v>
      </c>
      <c r="J99" s="775">
        <f t="shared" si="472"/>
        <v>0</v>
      </c>
      <c r="K99" s="1118">
        <v>2763.7606837606836</v>
      </c>
      <c r="L99" s="1185"/>
      <c r="M99" s="774">
        <f t="shared" si="473"/>
        <v>8622.5413105413099</v>
      </c>
      <c r="N99" s="774">
        <f t="shared" si="473"/>
        <v>0</v>
      </c>
      <c r="O99" s="1118">
        <v>2855.8860398860393</v>
      </c>
      <c r="P99" s="1185"/>
      <c r="Q99" s="775">
        <f t="shared" si="474"/>
        <v>11478.42735042735</v>
      </c>
      <c r="R99" s="775">
        <f t="shared" si="474"/>
        <v>0</v>
      </c>
      <c r="S99" s="1118">
        <v>2855.8860398860393</v>
      </c>
      <c r="T99" s="1185"/>
      <c r="U99" s="775">
        <f t="shared" si="475"/>
        <v>14334.313390313389</v>
      </c>
      <c r="V99" s="775">
        <f t="shared" si="476"/>
        <v>0</v>
      </c>
      <c r="W99" s="1118">
        <v>2707.8974358974356</v>
      </c>
      <c r="X99" s="1185"/>
      <c r="Y99" s="774">
        <f t="shared" si="477"/>
        <v>8419.6695156695132</v>
      </c>
      <c r="Z99" s="774">
        <f t="shared" si="477"/>
        <v>0</v>
      </c>
      <c r="AA99" s="460">
        <f t="shared" si="416"/>
        <v>17042.210826210823</v>
      </c>
      <c r="AB99" s="449">
        <f t="shared" si="416"/>
        <v>0</v>
      </c>
      <c r="AC99" s="1118">
        <v>2855.8860398860393</v>
      </c>
      <c r="AD99" s="1185"/>
      <c r="AE99" s="775">
        <f t="shared" si="478"/>
        <v>19898.096866096861</v>
      </c>
      <c r="AF99" s="38">
        <f t="shared" si="479"/>
        <v>0</v>
      </c>
      <c r="AG99" s="1118">
        <v>2763.7606837606836</v>
      </c>
      <c r="AH99" s="1185"/>
      <c r="AI99" s="775">
        <f t="shared" si="480"/>
        <v>22661.857549857545</v>
      </c>
      <c r="AJ99" s="38">
        <f t="shared" si="481"/>
        <v>0</v>
      </c>
      <c r="AK99" s="1118">
        <v>2855.8860398860393</v>
      </c>
      <c r="AL99" s="1185"/>
      <c r="AM99" s="774">
        <f t="shared" si="482"/>
        <v>8475.5327635327631</v>
      </c>
      <c r="AN99" s="774">
        <f t="shared" si="483"/>
        <v>0</v>
      </c>
      <c r="AO99" s="753">
        <f t="shared" ref="AO99:AO101" si="494">AI99+AK99</f>
        <v>25517.743589743583</v>
      </c>
      <c r="AP99" s="753">
        <f t="shared" ref="AP99:AP101" si="495">AJ99+AL99</f>
        <v>0</v>
      </c>
      <c r="AQ99" s="1118">
        <v>2855.8860398860393</v>
      </c>
      <c r="AR99" s="1185"/>
      <c r="AS99" s="775">
        <f t="shared" si="484"/>
        <v>28373.62962962962</v>
      </c>
      <c r="AT99" s="38">
        <f t="shared" si="485"/>
        <v>0</v>
      </c>
      <c r="AU99" s="2234">
        <v>2579.5099715099718</v>
      </c>
      <c r="AV99" s="1185"/>
      <c r="AW99" s="775">
        <f t="shared" si="486"/>
        <v>30953.139601139592</v>
      </c>
      <c r="AX99" s="38">
        <f t="shared" si="487"/>
        <v>0</v>
      </c>
      <c r="AY99" s="2234">
        <v>2855.8860398860393</v>
      </c>
      <c r="AZ99" s="1185"/>
      <c r="BA99" s="774">
        <f t="shared" si="488"/>
        <v>8291.2820512820508</v>
      </c>
      <c r="BB99" s="774">
        <f t="shared" si="489"/>
        <v>0</v>
      </c>
      <c r="BC99" s="2437">
        <f t="shared" si="490"/>
        <v>16766.814814814814</v>
      </c>
      <c r="BD99" s="2437">
        <f t="shared" si="491"/>
        <v>0</v>
      </c>
      <c r="BE99" s="775">
        <f t="shared" si="492"/>
        <v>33809.025641025633</v>
      </c>
      <c r="BF99" s="775">
        <f t="shared" si="493"/>
        <v>0</v>
      </c>
      <c r="BG99" s="1202">
        <f t="shared" si="284"/>
        <v>0</v>
      </c>
      <c r="BH99" s="1202">
        <f t="shared" si="285"/>
        <v>0</v>
      </c>
      <c r="BI99" s="1202"/>
      <c r="BJ99" s="1202">
        <f t="shared" si="311"/>
        <v>0</v>
      </c>
      <c r="BK99" s="1202">
        <f t="shared" si="312"/>
        <v>0</v>
      </c>
      <c r="BL99" s="26"/>
      <c r="BM99" s="26"/>
      <c r="BN99" s="26"/>
    </row>
    <row r="100" spans="1:66" x14ac:dyDescent="0.3">
      <c r="B100" s="1795" t="s">
        <v>1344</v>
      </c>
      <c r="C100" s="1382" t="s">
        <v>50</v>
      </c>
      <c r="D100" s="226"/>
      <c r="E100" s="226"/>
      <c r="F100" s="1199"/>
      <c r="G100" s="226"/>
      <c r="H100" s="1199"/>
      <c r="I100" s="775">
        <f t="shared" si="472"/>
        <v>0</v>
      </c>
      <c r="J100" s="775">
        <f t="shared" si="472"/>
        <v>0</v>
      </c>
      <c r="K100" s="226"/>
      <c r="L100" s="1199"/>
      <c r="M100" s="774">
        <f t="shared" ref="M100" si="496">+E100+G100+K100</f>
        <v>0</v>
      </c>
      <c r="N100" s="774">
        <f t="shared" ref="N100" si="497">+F100+H100+L100</f>
        <v>0</v>
      </c>
      <c r="O100" s="226"/>
      <c r="P100" s="1199">
        <v>3516.6805570259999</v>
      </c>
      <c r="Q100" s="775">
        <f t="shared" si="474"/>
        <v>0</v>
      </c>
      <c r="R100" s="775">
        <f t="shared" si="474"/>
        <v>3516.6805570259999</v>
      </c>
      <c r="S100" s="226">
        <v>0</v>
      </c>
      <c r="T100" s="1199"/>
      <c r="U100" s="775">
        <f t="shared" si="475"/>
        <v>0</v>
      </c>
      <c r="V100" s="775">
        <f t="shared" si="476"/>
        <v>3516.6805570259999</v>
      </c>
      <c r="W100" s="226"/>
      <c r="X100" s="1199">
        <v>2407.6747799999998</v>
      </c>
      <c r="Y100" s="774">
        <f t="shared" ref="Y100" si="498">+O100+S100+W100</f>
        <v>0</v>
      </c>
      <c r="Z100" s="774">
        <f t="shared" ref="Z100" si="499">+P100+T100+X100</f>
        <v>5924.3553370259997</v>
      </c>
      <c r="AA100" s="460">
        <f t="shared" ref="AA100" si="500">+M100+Y100</f>
        <v>0</v>
      </c>
      <c r="AB100" s="449">
        <f t="shared" ref="AB100" si="501">+N100+Z100</f>
        <v>5924.3553370259997</v>
      </c>
      <c r="AC100" s="226"/>
      <c r="AD100" s="1199">
        <v>5437.7982580645166</v>
      </c>
      <c r="AE100" s="775">
        <f t="shared" si="478"/>
        <v>0</v>
      </c>
      <c r="AF100" s="38">
        <f t="shared" si="479"/>
        <v>11362.153595090516</v>
      </c>
      <c r="AG100" s="226"/>
      <c r="AH100" s="1199">
        <v>3740.1209999999996</v>
      </c>
      <c r="AI100" s="775">
        <f t="shared" si="480"/>
        <v>0</v>
      </c>
      <c r="AJ100" s="38">
        <f t="shared" si="481"/>
        <v>15102.274595090516</v>
      </c>
      <c r="AK100" s="226"/>
      <c r="AL100" s="1199">
        <v>3859.1909999999998</v>
      </c>
      <c r="AM100" s="774">
        <f t="shared" si="482"/>
        <v>0</v>
      </c>
      <c r="AN100" s="774">
        <f t="shared" si="483"/>
        <v>13037.110258064517</v>
      </c>
      <c r="AO100" s="753">
        <f t="shared" si="494"/>
        <v>0</v>
      </c>
      <c r="AP100" s="753">
        <f t="shared" si="495"/>
        <v>18961.465595090514</v>
      </c>
      <c r="AQ100" s="226"/>
      <c r="AR100" s="1199">
        <v>3889.6199999999994</v>
      </c>
      <c r="AS100" s="775">
        <f t="shared" si="484"/>
        <v>0</v>
      </c>
      <c r="AT100" s="38">
        <f t="shared" si="485"/>
        <v>22851.085595090513</v>
      </c>
      <c r="AU100" s="226"/>
      <c r="AV100" s="1199">
        <v>3498.0120000000002</v>
      </c>
      <c r="AW100" s="775">
        <f t="shared" si="486"/>
        <v>0</v>
      </c>
      <c r="AX100" s="38">
        <f t="shared" si="487"/>
        <v>26349.097595090512</v>
      </c>
      <c r="AY100" s="226"/>
      <c r="AZ100" s="1199">
        <v>4019.3</v>
      </c>
      <c r="BA100" s="774">
        <f t="shared" si="488"/>
        <v>0</v>
      </c>
      <c r="BB100" s="774">
        <f t="shared" si="489"/>
        <v>11406.932000000001</v>
      </c>
      <c r="BC100" s="2437">
        <f t="shared" si="490"/>
        <v>0</v>
      </c>
      <c r="BD100" s="2437">
        <f t="shared" si="491"/>
        <v>24444.042258064517</v>
      </c>
      <c r="BE100" s="775">
        <f t="shared" si="492"/>
        <v>0</v>
      </c>
      <c r="BF100" s="775">
        <f t="shared" si="493"/>
        <v>30368.397595090511</v>
      </c>
      <c r="BG100" s="1202">
        <f t="shared" si="284"/>
        <v>0</v>
      </c>
      <c r="BH100" s="1202">
        <f t="shared" si="285"/>
        <v>0</v>
      </c>
      <c r="BI100" s="1202"/>
      <c r="BJ100" s="1202">
        <f t="shared" si="311"/>
        <v>0</v>
      </c>
      <c r="BK100" s="1202">
        <f t="shared" si="312"/>
        <v>0</v>
      </c>
      <c r="BL100" s="26"/>
      <c r="BM100" s="26"/>
      <c r="BN100" s="26"/>
    </row>
    <row r="101" spans="1:66" ht="15" thickBot="1" x14ac:dyDescent="0.35">
      <c r="A101" s="145"/>
      <c r="B101" s="1795" t="s">
        <v>1357</v>
      </c>
      <c r="C101" s="1382" t="s">
        <v>50</v>
      </c>
      <c r="D101" s="226">
        <v>20285.415384615382</v>
      </c>
      <c r="E101" s="226">
        <v>1728.8205128205127</v>
      </c>
      <c r="F101" s="1199"/>
      <c r="G101" s="226">
        <v>1786.4478632478633</v>
      </c>
      <c r="H101" s="1199"/>
      <c r="I101" s="271">
        <f t="shared" si="472"/>
        <v>3515.2683760683758</v>
      </c>
      <c r="J101" s="271">
        <f t="shared" si="472"/>
        <v>0</v>
      </c>
      <c r="K101" s="226">
        <v>1658.2564102564099</v>
      </c>
      <c r="L101" s="1199"/>
      <c r="M101" s="1187">
        <f t="shared" si="473"/>
        <v>5173.524786324786</v>
      </c>
      <c r="N101" s="1187">
        <f t="shared" si="473"/>
        <v>0</v>
      </c>
      <c r="O101" s="226">
        <v>1713.5316239316239</v>
      </c>
      <c r="P101" s="1199">
        <v>721.37055702600003</v>
      </c>
      <c r="Q101" s="271">
        <f t="shared" si="474"/>
        <v>6887.0564102564094</v>
      </c>
      <c r="R101" s="271">
        <f t="shared" si="474"/>
        <v>721.37055702600003</v>
      </c>
      <c r="S101" s="226">
        <v>1713.5316239316239</v>
      </c>
      <c r="T101" s="1199">
        <v>2870.91</v>
      </c>
      <c r="U101" s="271">
        <f t="shared" si="475"/>
        <v>8600.5880341880329</v>
      </c>
      <c r="V101" s="271">
        <f t="shared" si="476"/>
        <v>3592.2805570259998</v>
      </c>
      <c r="W101" s="226">
        <v>1624.7384615384615</v>
      </c>
      <c r="X101" s="1199">
        <v>1574.3514779999998</v>
      </c>
      <c r="Y101" s="1187">
        <f t="shared" si="477"/>
        <v>5051.8017094017096</v>
      </c>
      <c r="Z101" s="1187">
        <f t="shared" si="477"/>
        <v>5166.6320350259994</v>
      </c>
      <c r="AA101" s="460">
        <f t="shared" si="416"/>
        <v>10225.326495726495</v>
      </c>
      <c r="AB101" s="449">
        <f t="shared" si="416"/>
        <v>5166.6320350259994</v>
      </c>
      <c r="AC101" s="226">
        <v>1713.5316239316239</v>
      </c>
      <c r="AD101" s="1199"/>
      <c r="AE101" s="775">
        <f t="shared" si="478"/>
        <v>11938.858119658118</v>
      </c>
      <c r="AF101" s="162">
        <f t="shared" si="479"/>
        <v>5166.6320350259994</v>
      </c>
      <c r="AG101" s="226">
        <v>1658.2564102564099</v>
      </c>
      <c r="AH101" s="1199"/>
      <c r="AI101" s="775">
        <f t="shared" si="480"/>
        <v>13597.114529914528</v>
      </c>
      <c r="AJ101" s="162">
        <f t="shared" si="481"/>
        <v>5166.6320350259994</v>
      </c>
      <c r="AK101" s="226">
        <v>1713.5316239316239</v>
      </c>
      <c r="AL101" s="1199"/>
      <c r="AM101" s="1187">
        <f t="shared" si="482"/>
        <v>5085.3196581196571</v>
      </c>
      <c r="AN101" s="1187">
        <f t="shared" si="483"/>
        <v>0</v>
      </c>
      <c r="AO101" s="753">
        <f t="shared" si="494"/>
        <v>15310.646153846152</v>
      </c>
      <c r="AP101" s="753">
        <f t="shared" si="495"/>
        <v>5166.6320350259994</v>
      </c>
      <c r="AQ101" s="226">
        <v>1713.5316239316239</v>
      </c>
      <c r="AR101" s="1199"/>
      <c r="AS101" s="775">
        <f t="shared" si="484"/>
        <v>17024.177777777775</v>
      </c>
      <c r="AT101" s="162">
        <f t="shared" si="485"/>
        <v>5166.6320350259994</v>
      </c>
      <c r="AU101" s="226">
        <v>1547.7059829059829</v>
      </c>
      <c r="AV101" s="1199"/>
      <c r="AW101" s="775">
        <f t="shared" si="486"/>
        <v>18571.883760683759</v>
      </c>
      <c r="AX101" s="162">
        <f t="shared" si="487"/>
        <v>5166.6320350259994</v>
      </c>
      <c r="AY101" s="226">
        <v>1713.5316239316239</v>
      </c>
      <c r="AZ101" s="1199"/>
      <c r="BA101" s="1187">
        <f t="shared" si="488"/>
        <v>4974.7692307692305</v>
      </c>
      <c r="BB101" s="1187">
        <f t="shared" si="489"/>
        <v>0</v>
      </c>
      <c r="BC101" s="2437">
        <f t="shared" si="490"/>
        <v>10060.088888888888</v>
      </c>
      <c r="BD101" s="2437">
        <f t="shared" si="491"/>
        <v>0</v>
      </c>
      <c r="BE101" s="775">
        <f t="shared" si="492"/>
        <v>20285.415384615382</v>
      </c>
      <c r="BF101" s="775">
        <f t="shared" si="493"/>
        <v>5166.6320350259994</v>
      </c>
      <c r="BG101" s="1202">
        <f t="shared" si="284"/>
        <v>0</v>
      </c>
      <c r="BH101" s="1202">
        <f t="shared" si="285"/>
        <v>0</v>
      </c>
      <c r="BI101" s="1202"/>
      <c r="BJ101" s="1202">
        <f t="shared" si="311"/>
        <v>0</v>
      </c>
      <c r="BK101" s="1202">
        <f t="shared" si="312"/>
        <v>0</v>
      </c>
      <c r="BL101" s="26"/>
      <c r="BM101" s="26"/>
      <c r="BN101" s="26"/>
    </row>
    <row r="102" spans="1:66" ht="16.2" thickBot="1" x14ac:dyDescent="0.35">
      <c r="A102" s="145"/>
      <c r="B102" s="1776" t="s">
        <v>134</v>
      </c>
      <c r="C102" s="1379" t="s">
        <v>50</v>
      </c>
      <c r="D102" s="1369">
        <f t="shared" ref="D102:AI102" si="502">SUM(D98:D101)</f>
        <v>169045.12820512819</v>
      </c>
      <c r="E102" s="450">
        <f t="shared" si="502"/>
        <v>14406.837606837606</v>
      </c>
      <c r="F102" s="367">
        <f t="shared" si="502"/>
        <v>14329.2</v>
      </c>
      <c r="G102" s="450">
        <f t="shared" ref="G102:H102" si="503">SUM(G98:G101)</f>
        <v>14887.065527065526</v>
      </c>
      <c r="H102" s="367">
        <f t="shared" si="503"/>
        <v>14869.8</v>
      </c>
      <c r="I102" s="706">
        <f t="shared" si="502"/>
        <v>29293.903133903128</v>
      </c>
      <c r="J102" s="706">
        <f t="shared" si="502"/>
        <v>29199</v>
      </c>
      <c r="K102" s="450">
        <f t="shared" ref="K102:L102" si="504">SUM(K98:K101)</f>
        <v>13818.803418803418</v>
      </c>
      <c r="L102" s="367">
        <f t="shared" si="504"/>
        <v>14162.147999999999</v>
      </c>
      <c r="M102" s="349">
        <f t="shared" si="502"/>
        <v>43112.70655270655</v>
      </c>
      <c r="N102" s="1472">
        <f t="shared" si="502"/>
        <v>43361.148000000001</v>
      </c>
      <c r="O102" s="450">
        <f t="shared" ref="O102:P102" si="505">SUM(O98:O101)</f>
        <v>14279.430199430199</v>
      </c>
      <c r="P102" s="367">
        <f t="shared" si="505"/>
        <v>14535.609763752002</v>
      </c>
      <c r="Q102" s="706">
        <f t="shared" si="502"/>
        <v>57392.136752136743</v>
      </c>
      <c r="R102" s="706">
        <f t="shared" si="502"/>
        <v>57896.757763752001</v>
      </c>
      <c r="S102" s="450">
        <f t="shared" ref="S102:T102" si="506">SUM(S98:S101)</f>
        <v>14279.430199430199</v>
      </c>
      <c r="T102" s="367">
        <f t="shared" si="506"/>
        <v>14354.55</v>
      </c>
      <c r="U102" s="706">
        <f t="shared" ref="U102:X102" si="507">SUM(U98:U101)</f>
        <v>71671.566951566929</v>
      </c>
      <c r="V102" s="706">
        <f t="shared" si="507"/>
        <v>72251.307763752004</v>
      </c>
      <c r="W102" s="450">
        <f t="shared" si="507"/>
        <v>13539.48717948718</v>
      </c>
      <c r="X102" s="367">
        <f t="shared" si="507"/>
        <v>13891.294405799999</v>
      </c>
      <c r="Y102" s="349">
        <f t="shared" si="502"/>
        <v>42098.347578347581</v>
      </c>
      <c r="Z102" s="1472">
        <f t="shared" si="502"/>
        <v>42781.454169551995</v>
      </c>
      <c r="AA102" s="458">
        <f t="shared" si="502"/>
        <v>85211.054131054116</v>
      </c>
      <c r="AB102" s="2361">
        <f t="shared" si="502"/>
        <v>86142.602169552003</v>
      </c>
      <c r="AC102" s="450">
        <f t="shared" ref="AC102:AD102" si="508">SUM(AC98:AC101)</f>
        <v>14279.430199430199</v>
      </c>
      <c r="AD102" s="367">
        <f t="shared" si="508"/>
        <v>14689.35435483871</v>
      </c>
      <c r="AE102" s="706">
        <f t="shared" si="502"/>
        <v>99490.484330484323</v>
      </c>
      <c r="AF102" s="367">
        <f t="shared" si="502"/>
        <v>100831.9565243907</v>
      </c>
      <c r="AG102" s="450">
        <f t="shared" ref="AG102:AH102" si="509">SUM(AG98:AG101)</f>
        <v>13818.803418803418</v>
      </c>
      <c r="AH102" s="367">
        <f t="shared" si="509"/>
        <v>13891.877999999999</v>
      </c>
      <c r="AI102" s="706">
        <f t="shared" si="502"/>
        <v>113309.28774928775</v>
      </c>
      <c r="AJ102" s="367">
        <f t="shared" ref="AJ102:BD102" si="510">SUM(AJ98:AJ101)</f>
        <v>114723.8345243907</v>
      </c>
      <c r="AK102" s="450">
        <f t="shared" si="510"/>
        <v>14279.430199430199</v>
      </c>
      <c r="AL102" s="367">
        <f t="shared" si="510"/>
        <v>14334.137999999999</v>
      </c>
      <c r="AM102" s="349">
        <f t="shared" si="510"/>
        <v>42377.663817663808</v>
      </c>
      <c r="AN102" s="1472">
        <f t="shared" si="510"/>
        <v>42915.370354838713</v>
      </c>
      <c r="AO102" s="706">
        <f t="shared" si="510"/>
        <v>127588.71794871794</v>
      </c>
      <c r="AP102" s="367">
        <f t="shared" si="510"/>
        <v>129057.9725243907</v>
      </c>
      <c r="AQ102" s="450">
        <f t="shared" ref="AQ102:AR102" si="511">SUM(AQ98:AQ101)</f>
        <v>14279.430199430199</v>
      </c>
      <c r="AR102" s="367">
        <f t="shared" si="511"/>
        <v>14447.159999999996</v>
      </c>
      <c r="AS102" s="706">
        <f t="shared" si="510"/>
        <v>141868.14814814815</v>
      </c>
      <c r="AT102" s="367">
        <f t="shared" si="510"/>
        <v>143505.1325243907</v>
      </c>
      <c r="AU102" s="450">
        <f t="shared" si="510"/>
        <v>12897.54985754986</v>
      </c>
      <c r="AV102" s="367">
        <f t="shared" si="510"/>
        <v>12992.616000000002</v>
      </c>
      <c r="AW102" s="706">
        <f t="shared" ref="AW102:AZ102" si="512">SUM(AW98:AW101)</f>
        <v>154765.69800569798</v>
      </c>
      <c r="AX102" s="367">
        <f t="shared" si="512"/>
        <v>156497.74852439071</v>
      </c>
      <c r="AY102" s="450">
        <f t="shared" si="512"/>
        <v>14279.430199430199</v>
      </c>
      <c r="AZ102" s="367">
        <f t="shared" si="512"/>
        <v>14928.8</v>
      </c>
      <c r="BA102" s="349">
        <f t="shared" ref="BA102:BB102" si="513">SUM(BA98:BA101)</f>
        <v>41456.410256410265</v>
      </c>
      <c r="BB102" s="1472">
        <f t="shared" si="513"/>
        <v>42368.576000000001</v>
      </c>
      <c r="BC102" s="458">
        <f t="shared" si="510"/>
        <v>83834.074074074073</v>
      </c>
      <c r="BD102" s="2361">
        <f t="shared" si="510"/>
        <v>85283.946354838699</v>
      </c>
      <c r="BE102" s="706">
        <f t="shared" ref="BE102:BF102" si="514">SUM(BE98:BE101)</f>
        <v>169045.12820512819</v>
      </c>
      <c r="BF102" s="367">
        <f t="shared" si="514"/>
        <v>171426.5485243907</v>
      </c>
      <c r="BG102" s="1202">
        <f t="shared" si="284"/>
        <v>0</v>
      </c>
      <c r="BH102" s="1202">
        <f t="shared" si="285"/>
        <v>0</v>
      </c>
      <c r="BI102" s="1202"/>
      <c r="BJ102" s="1202">
        <f t="shared" si="311"/>
        <v>0</v>
      </c>
      <c r="BK102" s="1202">
        <f t="shared" si="312"/>
        <v>0</v>
      </c>
      <c r="BL102" s="26"/>
      <c r="BM102" s="26"/>
      <c r="BN102" s="26"/>
    </row>
    <row r="103" spans="1:66" ht="16.2" thickBot="1" x14ac:dyDescent="0.35">
      <c r="B103" s="1776" t="s">
        <v>12</v>
      </c>
      <c r="C103" s="1379" t="s">
        <v>50</v>
      </c>
      <c r="D103" s="1369">
        <f t="shared" ref="D103:AI103" si="515">+D97+D102</f>
        <v>622086.07179487171</v>
      </c>
      <c r="E103" s="450">
        <f t="shared" si="515"/>
        <v>53017.162393162391</v>
      </c>
      <c r="F103" s="367">
        <f t="shared" si="515"/>
        <v>49307.199999999997</v>
      </c>
      <c r="G103" s="450">
        <f t="shared" ref="G103:H103" si="516">+G97+G102</f>
        <v>54784.401139601134</v>
      </c>
      <c r="H103" s="367">
        <f t="shared" si="516"/>
        <v>52173.399999999994</v>
      </c>
      <c r="I103" s="706">
        <f t="shared" si="515"/>
        <v>107801.56353276354</v>
      </c>
      <c r="J103" s="706">
        <f t="shared" si="515"/>
        <v>101480.59999999999</v>
      </c>
      <c r="K103" s="450">
        <f t="shared" si="515"/>
        <v>50853.196581196593</v>
      </c>
      <c r="L103" s="367">
        <f t="shared" si="515"/>
        <v>49295.168999999994</v>
      </c>
      <c r="M103" s="349">
        <f t="shared" si="515"/>
        <v>158654.7601139601</v>
      </c>
      <c r="N103" s="1472">
        <f t="shared" si="515"/>
        <v>150775.76899999997</v>
      </c>
      <c r="O103" s="450">
        <f t="shared" ref="O103:P103" si="517">+O97+O102</f>
        <v>52548.303133903137</v>
      </c>
      <c r="P103" s="367">
        <f t="shared" si="517"/>
        <v>51433.701763752004</v>
      </c>
      <c r="Q103" s="706">
        <f t="shared" si="515"/>
        <v>211203.06324786326</v>
      </c>
      <c r="R103" s="706">
        <f t="shared" si="515"/>
        <v>202209.470763752</v>
      </c>
      <c r="S103" s="450">
        <f t="shared" si="515"/>
        <v>52548.303133903137</v>
      </c>
      <c r="T103" s="367">
        <f t="shared" si="515"/>
        <v>51676.380000000005</v>
      </c>
      <c r="U103" s="706">
        <f t="shared" ref="U103:X103" si="518">+U97+U102</f>
        <v>263751.36638176639</v>
      </c>
      <c r="V103" s="706">
        <f t="shared" si="518"/>
        <v>253885.85076375201</v>
      </c>
      <c r="W103" s="450">
        <f t="shared" si="518"/>
        <v>49825.312820512823</v>
      </c>
      <c r="X103" s="367">
        <f t="shared" si="518"/>
        <v>50009.194405799994</v>
      </c>
      <c r="Y103" s="349">
        <f t="shared" si="515"/>
        <v>154921.91908831909</v>
      </c>
      <c r="Z103" s="1472">
        <f t="shared" si="515"/>
        <v>153119.276169552</v>
      </c>
      <c r="AA103" s="458">
        <f t="shared" si="515"/>
        <v>313576.67920227919</v>
      </c>
      <c r="AB103" s="2361">
        <f t="shared" si="515"/>
        <v>303895.04516955197</v>
      </c>
      <c r="AC103" s="450">
        <f t="shared" si="515"/>
        <v>52548.303133903137</v>
      </c>
      <c r="AD103" s="367">
        <f t="shared" si="515"/>
        <v>50910.747523548387</v>
      </c>
      <c r="AE103" s="706">
        <f t="shared" si="515"/>
        <v>366124.98233618226</v>
      </c>
      <c r="AF103" s="367">
        <f t="shared" si="515"/>
        <v>354805.7926931004</v>
      </c>
      <c r="AG103" s="450">
        <f t="shared" ref="AG103:AH103" si="519">+AG97+AG102</f>
        <v>50853.196581196593</v>
      </c>
      <c r="AH103" s="367">
        <f t="shared" si="519"/>
        <v>48087.27</v>
      </c>
      <c r="AI103" s="706">
        <f t="shared" si="515"/>
        <v>416978.17891737889</v>
      </c>
      <c r="AJ103" s="367">
        <f t="shared" ref="AJ103:BF103" si="520">+AJ97+AJ102</f>
        <v>402893.06269310036</v>
      </c>
      <c r="AK103" s="450">
        <f t="shared" si="520"/>
        <v>52548.303133903137</v>
      </c>
      <c r="AL103" s="367">
        <f t="shared" si="520"/>
        <v>48124.289612903223</v>
      </c>
      <c r="AM103" s="349">
        <f t="shared" si="520"/>
        <v>155949.80284900285</v>
      </c>
      <c r="AN103" s="1472">
        <f t="shared" si="520"/>
        <v>147122.30713645159</v>
      </c>
      <c r="AO103" s="706">
        <f t="shared" si="520"/>
        <v>469526.48205128207</v>
      </c>
      <c r="AP103" s="367">
        <f t="shared" si="520"/>
        <v>451017.35230600357</v>
      </c>
      <c r="AQ103" s="450">
        <f t="shared" ref="AQ103:AR103" si="521">+AQ97+AQ102</f>
        <v>52548.303133903137</v>
      </c>
      <c r="AR103" s="367">
        <f t="shared" si="521"/>
        <v>48342.419999999991</v>
      </c>
      <c r="AS103" s="706">
        <f t="shared" si="520"/>
        <v>522074.7851851852</v>
      </c>
      <c r="AT103" s="367">
        <f t="shared" si="520"/>
        <v>499359.77230600361</v>
      </c>
      <c r="AU103" s="450">
        <f t="shared" si="520"/>
        <v>47462.983475783476</v>
      </c>
      <c r="AV103" s="367">
        <f t="shared" si="520"/>
        <v>44924.468399999998</v>
      </c>
      <c r="AW103" s="706">
        <f t="shared" ref="AW103:BB103" si="522">+AW97+AW102</f>
        <v>569537.76866096864</v>
      </c>
      <c r="AX103" s="367">
        <f t="shared" si="522"/>
        <v>544284.24070600362</v>
      </c>
      <c r="AY103" s="450">
        <f t="shared" si="522"/>
        <v>52548.303133903137</v>
      </c>
      <c r="AZ103" s="367">
        <f t="shared" si="522"/>
        <v>51676.399999999994</v>
      </c>
      <c r="BA103" s="349">
        <f t="shared" si="522"/>
        <v>152559.58974358975</v>
      </c>
      <c r="BB103" s="1472">
        <f t="shared" si="522"/>
        <v>144943.28839999999</v>
      </c>
      <c r="BC103" s="458">
        <f t="shared" si="520"/>
        <v>308509.39259259263</v>
      </c>
      <c r="BD103" s="2361">
        <f t="shared" si="520"/>
        <v>292065.59553645161</v>
      </c>
      <c r="BE103" s="706">
        <f t="shared" si="520"/>
        <v>622086.07179487171</v>
      </c>
      <c r="BF103" s="367">
        <f t="shared" si="520"/>
        <v>595960.64070600364</v>
      </c>
      <c r="BG103" s="1202">
        <f t="shared" si="284"/>
        <v>0</v>
      </c>
      <c r="BH103" s="1202">
        <f t="shared" si="285"/>
        <v>0</v>
      </c>
      <c r="BI103" s="1202"/>
      <c r="BJ103" s="1202">
        <f t="shared" si="311"/>
        <v>0</v>
      </c>
      <c r="BK103" s="1202">
        <f t="shared" si="312"/>
        <v>0</v>
      </c>
      <c r="BL103" s="26"/>
      <c r="BM103" s="26"/>
      <c r="BN103" s="26"/>
    </row>
    <row r="104" spans="1:66" ht="15" hidden="1" customHeight="1" x14ac:dyDescent="0.3">
      <c r="B104" s="1801" t="s">
        <v>998</v>
      </c>
      <c r="C104" s="2338" t="s">
        <v>50</v>
      </c>
      <c r="D104" s="6218">
        <v>53499.996618765901</v>
      </c>
      <c r="E104" s="6183">
        <v>4559.5266272189401</v>
      </c>
      <c r="F104" s="28"/>
      <c r="G104" s="6183">
        <v>4711.5108481262296</v>
      </c>
      <c r="H104" s="28"/>
      <c r="I104" s="6181">
        <f>+E104+G104</f>
        <v>9271.0374753451688</v>
      </c>
      <c r="J104" s="61">
        <f>+F104+H104</f>
        <v>0</v>
      </c>
      <c r="K104" s="6183">
        <v>4373.4234995773504</v>
      </c>
      <c r="L104" s="28"/>
      <c r="M104" s="5921">
        <f>+E104+G104+K104</f>
        <v>13644.46097492252</v>
      </c>
      <c r="N104" s="83">
        <f>+F104+H104+L104</f>
        <v>0</v>
      </c>
      <c r="O104" s="6183">
        <v>4519.2042828965896</v>
      </c>
      <c r="P104" s="28"/>
      <c r="Q104" s="6181">
        <f>+M104+O104</f>
        <v>18163.66525781911</v>
      </c>
      <c r="R104" s="61">
        <f>+N104+P104</f>
        <v>0</v>
      </c>
      <c r="S104" s="6183">
        <v>4519.2042828965896</v>
      </c>
      <c r="T104" s="28"/>
      <c r="U104" s="6181">
        <f>+Q104+S104</f>
        <v>22682.869540715699</v>
      </c>
      <c r="V104" s="61">
        <f>+R104+T104</f>
        <v>0</v>
      </c>
      <c r="W104" s="6183">
        <v>4285.0245139475901</v>
      </c>
      <c r="X104" s="28"/>
      <c r="Y104" s="5927">
        <f>O104+S104+W104</f>
        <v>13323.433079740769</v>
      </c>
      <c r="Z104" s="83">
        <f>+P104+T104+X104</f>
        <v>0</v>
      </c>
      <c r="AA104" s="6202">
        <f>+Y104+M104</f>
        <v>26967.894054663288</v>
      </c>
      <c r="AB104" s="472">
        <f>+N104+Z104</f>
        <v>0</v>
      </c>
      <c r="AC104" s="6183">
        <v>4519.2042828965896</v>
      </c>
      <c r="AD104" s="28">
        <v>0</v>
      </c>
      <c r="AE104" s="6181">
        <f>+AA104+AC104</f>
        <v>31487.098337559877</v>
      </c>
      <c r="AF104" s="61">
        <f>+AB104+AD104</f>
        <v>0</v>
      </c>
      <c r="AG104" s="6183">
        <v>4373.4234995773504</v>
      </c>
      <c r="AH104" s="28"/>
      <c r="AI104" s="6181">
        <f>+AE104+AG104</f>
        <v>35860.521837137225</v>
      </c>
      <c r="AJ104" s="61">
        <f>+AF104+AH104</f>
        <v>0</v>
      </c>
      <c r="AK104" s="6183">
        <v>4519.2042828965896</v>
      </c>
      <c r="AL104" s="28"/>
      <c r="AM104" s="5927">
        <f>AC104+AG104+AK104</f>
        <v>13411.83206537053</v>
      </c>
      <c r="AN104" s="83">
        <f>+AD104+AH104+AL104</f>
        <v>0</v>
      </c>
      <c r="AO104" s="6181">
        <f>AI104+AK104</f>
        <v>40379.726120033811</v>
      </c>
      <c r="AP104" s="753">
        <f t="shared" ref="AP104:AP106" si="523">AJ104+AL104</f>
        <v>0</v>
      </c>
      <c r="AQ104" s="6183">
        <v>4519.2042828965896</v>
      </c>
      <c r="AR104" s="28"/>
      <c r="AS104" s="6181">
        <f>+AO104+AQ104</f>
        <v>44898.930402930404</v>
      </c>
      <c r="AT104" s="61">
        <f>+AP104+AR104</f>
        <v>0</v>
      </c>
      <c r="AU104" s="6178">
        <v>4081.8619329388562</v>
      </c>
      <c r="AV104" s="28"/>
      <c r="AW104" s="6181">
        <f>+AS104+AU104</f>
        <v>48980.792335869257</v>
      </c>
      <c r="AX104" s="61">
        <f>+AT104+AV104</f>
        <v>0</v>
      </c>
      <c r="AY104" s="6178">
        <v>4519.2042828965905</v>
      </c>
      <c r="AZ104" s="28"/>
      <c r="BA104" s="5927">
        <f>AQ104+AU104+AY104</f>
        <v>13120.270498732036</v>
      </c>
      <c r="BB104" s="83">
        <f>+AR104+AV104+AZ104</f>
        <v>0</v>
      </c>
      <c r="BC104" s="6202">
        <f>+BA104+AM104</f>
        <v>26532.102564102566</v>
      </c>
      <c r="BD104" s="2437">
        <f>+AN104+BB104</f>
        <v>0</v>
      </c>
      <c r="BE104" s="6181">
        <f>+AW104+AY104</f>
        <v>53499.99661876585</v>
      </c>
      <c r="BF104" s="775">
        <f t="shared" ref="BF104:BF106" si="524">AX104+AZ104</f>
        <v>0</v>
      </c>
      <c r="BG104" s="1202">
        <f t="shared" si="284"/>
        <v>0</v>
      </c>
      <c r="BH104" s="1202">
        <f t="shared" si="285"/>
        <v>0</v>
      </c>
      <c r="BI104" s="1202"/>
      <c r="BJ104" s="1202">
        <f t="shared" si="311"/>
        <v>0</v>
      </c>
      <c r="BK104" s="1202">
        <f t="shared" si="312"/>
        <v>0</v>
      </c>
      <c r="BL104" s="26"/>
      <c r="BM104" s="26"/>
      <c r="BN104" s="26"/>
    </row>
    <row r="105" spans="1:66" ht="15.75" customHeight="1" thickBot="1" x14ac:dyDescent="0.35">
      <c r="B105" s="1791" t="s">
        <v>1177</v>
      </c>
      <c r="C105" s="1374" t="s">
        <v>50</v>
      </c>
      <c r="D105" s="6214"/>
      <c r="E105" s="5888"/>
      <c r="F105" s="18">
        <v>5805.2</v>
      </c>
      <c r="G105" s="5888"/>
      <c r="H105" s="18">
        <v>5018.1000000000004</v>
      </c>
      <c r="I105" s="6181"/>
      <c r="J105" s="61">
        <f>+F105+H105</f>
        <v>10823.3</v>
      </c>
      <c r="K105" s="5888"/>
      <c r="L105" s="18">
        <v>5174.6310000000003</v>
      </c>
      <c r="M105" s="5902"/>
      <c r="N105" s="68">
        <f>+F105+H105+L105</f>
        <v>15997.931</v>
      </c>
      <c r="O105" s="5888"/>
      <c r="P105" s="18">
        <v>4472.4960000000001</v>
      </c>
      <c r="Q105" s="6181"/>
      <c r="R105" s="61">
        <f>+N105+P105</f>
        <v>20470.427</v>
      </c>
      <c r="S105" s="5888"/>
      <c r="T105" s="18">
        <v>5741.82</v>
      </c>
      <c r="U105" s="6181"/>
      <c r="V105" s="61">
        <f>+R105+T105</f>
        <v>26212.246999999999</v>
      </c>
      <c r="W105" s="5888"/>
      <c r="X105" s="18">
        <v>5556.5999999999985</v>
      </c>
      <c r="Y105" s="5927"/>
      <c r="Z105" s="83">
        <f>+P105+T105+X105</f>
        <v>15770.915999999997</v>
      </c>
      <c r="AA105" s="6202"/>
      <c r="AB105" s="449">
        <f>+N105+Z105</f>
        <v>31768.846999999998</v>
      </c>
      <c r="AC105" s="5888"/>
      <c r="AD105" s="18">
        <v>5656.77</v>
      </c>
      <c r="AE105" s="6181"/>
      <c r="AF105" s="61">
        <f>+AB105+AD105</f>
        <v>37425.616999999998</v>
      </c>
      <c r="AG105" s="5888"/>
      <c r="AH105" s="18">
        <v>5343.03</v>
      </c>
      <c r="AI105" s="6181"/>
      <c r="AJ105" s="61">
        <f>+AF105+AH105</f>
        <v>42768.646999999997</v>
      </c>
      <c r="AK105" s="5888"/>
      <c r="AL105" s="18">
        <v>7007.0103870967732</v>
      </c>
      <c r="AM105" s="5927"/>
      <c r="AN105" s="83">
        <f>+AD105+AH105+AL105</f>
        <v>18006.810387096772</v>
      </c>
      <c r="AO105" s="6181"/>
      <c r="AP105" s="753">
        <f t="shared" si="523"/>
        <v>49775.65738709677</v>
      </c>
      <c r="AQ105" s="5888"/>
      <c r="AR105" s="18">
        <v>7223.579999999999</v>
      </c>
      <c r="AS105" s="6181"/>
      <c r="AT105" s="61">
        <f>+AP105+AR105</f>
        <v>56999.237387096771</v>
      </c>
      <c r="AU105" s="6179"/>
      <c r="AV105" s="18">
        <v>5047.1315999999997</v>
      </c>
      <c r="AW105" s="6181"/>
      <c r="AX105" s="61">
        <f>+AT105+AV105</f>
        <v>62046.368987096772</v>
      </c>
      <c r="AY105" s="6179"/>
      <c r="AZ105" s="18">
        <v>5741.8</v>
      </c>
      <c r="BA105" s="5927"/>
      <c r="BB105" s="83">
        <f>+AR105+AV105+AZ105</f>
        <v>18012.511599999998</v>
      </c>
      <c r="BC105" s="6202"/>
      <c r="BD105" s="2437">
        <f>+AN105+BB105</f>
        <v>36019.321987096773</v>
      </c>
      <c r="BE105" s="6181"/>
      <c r="BF105" s="775">
        <f t="shared" si="524"/>
        <v>67788.168987096768</v>
      </c>
      <c r="BG105" s="1202">
        <f t="shared" si="284"/>
        <v>0</v>
      </c>
      <c r="BH105" s="1202">
        <f t="shared" si="285"/>
        <v>0</v>
      </c>
      <c r="BI105" s="1202"/>
      <c r="BJ105" s="1202">
        <f t="shared" si="311"/>
        <v>0</v>
      </c>
      <c r="BK105" s="1202">
        <f t="shared" si="312"/>
        <v>0</v>
      </c>
      <c r="BL105" s="26"/>
      <c r="BM105" s="26"/>
      <c r="BN105" s="26"/>
    </row>
    <row r="106" spans="1:66" ht="15" hidden="1" thickBot="1" x14ac:dyDescent="0.35">
      <c r="A106" s="145"/>
      <c r="B106" s="1792" t="s">
        <v>1135</v>
      </c>
      <c r="C106" s="2339" t="s">
        <v>50</v>
      </c>
      <c r="D106" s="6219"/>
      <c r="E106" s="6182"/>
      <c r="F106" s="123"/>
      <c r="G106" s="6182"/>
      <c r="H106" s="123"/>
      <c r="I106" s="6181"/>
      <c r="J106" s="530">
        <f>+F106+H106</f>
        <v>0</v>
      </c>
      <c r="K106" s="6182"/>
      <c r="L106" s="123"/>
      <c r="M106" s="5920"/>
      <c r="N106" s="170">
        <f>+F106+H106+L106</f>
        <v>0</v>
      </c>
      <c r="O106" s="6182"/>
      <c r="P106" s="123"/>
      <c r="Q106" s="6181"/>
      <c r="R106" s="530">
        <f>+N106+P106</f>
        <v>0</v>
      </c>
      <c r="S106" s="6182"/>
      <c r="T106" s="123"/>
      <c r="U106" s="6181"/>
      <c r="V106" s="530">
        <f>+R106+T106</f>
        <v>0</v>
      </c>
      <c r="W106" s="6182"/>
      <c r="X106" s="123"/>
      <c r="Y106" s="5927"/>
      <c r="Z106" s="529">
        <f>+P106+T106+X106</f>
        <v>0</v>
      </c>
      <c r="AA106" s="6202"/>
      <c r="AB106" s="2223">
        <f>+N106+Z106</f>
        <v>0</v>
      </c>
      <c r="AC106" s="6182"/>
      <c r="AD106" s="123"/>
      <c r="AE106" s="6181"/>
      <c r="AF106" s="530">
        <f>+AB106+AD106</f>
        <v>0</v>
      </c>
      <c r="AG106" s="6182"/>
      <c r="AH106" s="123"/>
      <c r="AI106" s="6181"/>
      <c r="AJ106" s="530">
        <f>+AF106+AH106</f>
        <v>0</v>
      </c>
      <c r="AK106" s="6182"/>
      <c r="AL106" s="123"/>
      <c r="AM106" s="5927"/>
      <c r="AN106" s="529">
        <f>+AD106+AH106+AL106</f>
        <v>0</v>
      </c>
      <c r="AO106" s="6181"/>
      <c r="AP106" s="753">
        <f t="shared" si="523"/>
        <v>0</v>
      </c>
      <c r="AQ106" s="6182"/>
      <c r="AR106" s="123"/>
      <c r="AS106" s="6181"/>
      <c r="AT106" s="530">
        <f>+AP106+AR106</f>
        <v>0</v>
      </c>
      <c r="AU106" s="6180"/>
      <c r="AV106" s="123"/>
      <c r="AW106" s="6181"/>
      <c r="AX106" s="530">
        <f>+AT106+AV106</f>
        <v>0</v>
      </c>
      <c r="AY106" s="6180"/>
      <c r="AZ106" s="123"/>
      <c r="BA106" s="5927"/>
      <c r="BB106" s="529">
        <f>+AR106+AV106+AZ106</f>
        <v>0</v>
      </c>
      <c r="BC106" s="6202"/>
      <c r="BD106" s="2437">
        <f>+AN106+BB106</f>
        <v>0</v>
      </c>
      <c r="BE106" s="6181"/>
      <c r="BF106" s="775">
        <f t="shared" si="524"/>
        <v>0</v>
      </c>
      <c r="BG106" s="1202">
        <f t="shared" si="284"/>
        <v>0</v>
      </c>
      <c r="BH106" s="1202">
        <f t="shared" si="285"/>
        <v>0</v>
      </c>
      <c r="BI106" s="1202"/>
      <c r="BJ106" s="1202">
        <f t="shared" si="311"/>
        <v>0</v>
      </c>
      <c r="BK106" s="1202">
        <f t="shared" si="312"/>
        <v>0</v>
      </c>
      <c r="BL106" s="26"/>
      <c r="BM106" s="26"/>
      <c r="BN106" s="26"/>
    </row>
    <row r="107" spans="1:66" ht="16.2" thickBot="1" x14ac:dyDescent="0.35">
      <c r="A107" s="145"/>
      <c r="B107" s="1776" t="s">
        <v>11</v>
      </c>
      <c r="C107" s="1379" t="s">
        <v>50</v>
      </c>
      <c r="D107" s="1369">
        <f>+D103+D104+D105+D106</f>
        <v>675586.06841363758</v>
      </c>
      <c r="E107" s="450">
        <f>+E103+E104+E105+E106</f>
        <v>57576.689020381331</v>
      </c>
      <c r="F107" s="396">
        <f>+F103+F104+F105+F106</f>
        <v>55112.399999999994</v>
      </c>
      <c r="G107" s="450">
        <f>+G103+G104+G105+G106</f>
        <v>59495.911987727362</v>
      </c>
      <c r="H107" s="396">
        <f>+H103+H104+H105+H106</f>
        <v>57191.499999999993</v>
      </c>
      <c r="I107" s="2340">
        <f t="shared" ref="I107:N107" si="525">+I103+I104+I105+I106</f>
        <v>117072.6010081087</v>
      </c>
      <c r="J107" s="2340">
        <f t="shared" si="525"/>
        <v>112303.9</v>
      </c>
      <c r="K107" s="450">
        <f>+K103+K104+K105+K106</f>
        <v>55226.620080773944</v>
      </c>
      <c r="L107" s="396">
        <f>+L103+L104+L105+L106</f>
        <v>54469.799999999996</v>
      </c>
      <c r="M107" s="349">
        <f t="shared" si="525"/>
        <v>172299.22108888262</v>
      </c>
      <c r="N107" s="66">
        <f t="shared" si="525"/>
        <v>166773.69999999998</v>
      </c>
      <c r="O107" s="450">
        <f>+O103+O104+O105+O106</f>
        <v>57067.507416799723</v>
      </c>
      <c r="P107" s="396">
        <f>+P103+P104+P105+P106</f>
        <v>55906.197763752003</v>
      </c>
      <c r="Q107" s="2340">
        <f t="shared" ref="Q107:R107" si="526">+Q103+Q104+Q105+Q106</f>
        <v>229366.72850568237</v>
      </c>
      <c r="R107" s="2340">
        <f t="shared" si="526"/>
        <v>222679.897763752</v>
      </c>
      <c r="S107" s="450">
        <f>+S103+S104+S105+S106</f>
        <v>57067.507416799723</v>
      </c>
      <c r="T107" s="396">
        <f>+T103+T104+T105+T106</f>
        <v>57418.200000000004</v>
      </c>
      <c r="U107" s="2340">
        <f t="shared" ref="U107:V107" si="527">+U103+U104+U105+U106</f>
        <v>286434.2359224821</v>
      </c>
      <c r="V107" s="2340">
        <f t="shared" si="527"/>
        <v>280098.09776375198</v>
      </c>
      <c r="W107" s="450">
        <f>+W103+W104+W105+W106</f>
        <v>54110.337334460412</v>
      </c>
      <c r="X107" s="396">
        <f>+X103+X104+X105+X106</f>
        <v>55565.794405799992</v>
      </c>
      <c r="Y107" s="1172">
        <f t="shared" ref="Y107:AF107" si="528">+Y103+Y104+Y105+Y106</f>
        <v>168245.35216805985</v>
      </c>
      <c r="Z107" s="1172">
        <f t="shared" si="528"/>
        <v>168890.192169552</v>
      </c>
      <c r="AA107" s="1173">
        <f t="shared" si="528"/>
        <v>340544.5732569425</v>
      </c>
      <c r="AB107" s="455">
        <f t="shared" si="528"/>
        <v>335663.89216955198</v>
      </c>
      <c r="AC107" s="450">
        <f>+AC103+AC104+AC105+AC106</f>
        <v>57067.507416799723</v>
      </c>
      <c r="AD107" s="396">
        <f>+AD103+AD104+AD105+AD106</f>
        <v>56567.517523548391</v>
      </c>
      <c r="AE107" s="2340">
        <f t="shared" si="528"/>
        <v>397612.08067374217</v>
      </c>
      <c r="AF107" s="396">
        <f t="shared" si="528"/>
        <v>392231.40969310037</v>
      </c>
      <c r="AG107" s="450">
        <f>+AG103+AG104+AG105+AG106</f>
        <v>55226.620080773944</v>
      </c>
      <c r="AH107" s="396">
        <f>+AH103+AH104+AH105+AH106</f>
        <v>53430.299999999996</v>
      </c>
      <c r="AI107" s="2340">
        <f t="shared" ref="AI107:AN107" si="529">+AI103+AI104+AI105+AI106</f>
        <v>452838.70075451612</v>
      </c>
      <c r="AJ107" s="396">
        <f t="shared" si="529"/>
        <v>445661.70969310036</v>
      </c>
      <c r="AK107" s="450">
        <f>+AK103+AK104+AK105+AK106</f>
        <v>57067.507416799723</v>
      </c>
      <c r="AL107" s="396">
        <f>+AL103+AL104+AL105+AL106</f>
        <v>55131.299999999996</v>
      </c>
      <c r="AM107" s="1172">
        <f t="shared" si="529"/>
        <v>169361.6349143734</v>
      </c>
      <c r="AN107" s="1172">
        <f t="shared" si="529"/>
        <v>165129.11752354837</v>
      </c>
      <c r="AO107" s="2340">
        <f t="shared" ref="AO107:AT107" si="530">+AO103+AO104+AO105+AO106</f>
        <v>509906.2081713159</v>
      </c>
      <c r="AP107" s="396">
        <f t="shared" si="530"/>
        <v>500793.00969310035</v>
      </c>
      <c r="AQ107" s="450">
        <f>+AQ103+AQ104+AQ105+AQ106</f>
        <v>57067.507416799723</v>
      </c>
      <c r="AR107" s="396">
        <f>+AR103+AR104+AR105+AR106</f>
        <v>55565.999999999993</v>
      </c>
      <c r="AS107" s="2340">
        <f t="shared" si="530"/>
        <v>566973.71558811562</v>
      </c>
      <c r="AT107" s="396">
        <f t="shared" si="530"/>
        <v>556359.00969310035</v>
      </c>
      <c r="AU107" s="450">
        <f>+AU103+AU104+AU105+AU106</f>
        <v>51544.845408722329</v>
      </c>
      <c r="AV107" s="396">
        <f>+AV103+AV104+AV105+AV106</f>
        <v>49971.6</v>
      </c>
      <c r="AW107" s="2340">
        <f t="shared" ref="AW107:AX107" si="531">+AW103+AW104+AW105+AW106</f>
        <v>618518.56099683791</v>
      </c>
      <c r="AX107" s="396">
        <f t="shared" si="531"/>
        <v>606330.60969310044</v>
      </c>
      <c r="AY107" s="450">
        <f>+AY103+AY104+AY105+AY106</f>
        <v>57067.50741679973</v>
      </c>
      <c r="AZ107" s="396">
        <f>+AZ103+AZ104+AZ105+AZ106</f>
        <v>57418.2</v>
      </c>
      <c r="BA107" s="1172">
        <f t="shared" ref="BA107:BB107" si="532">+BA103+BA104+BA105+BA106</f>
        <v>165679.8602423218</v>
      </c>
      <c r="BB107" s="1172">
        <f t="shared" si="532"/>
        <v>162955.79999999999</v>
      </c>
      <c r="BC107" s="1173">
        <f t="shared" ref="BC107:BF107" si="533">+BC103+BC104+BC105+BC106</f>
        <v>335041.49515669519</v>
      </c>
      <c r="BD107" s="455">
        <f t="shared" si="533"/>
        <v>328084.91752354836</v>
      </c>
      <c r="BE107" s="2340">
        <f t="shared" si="533"/>
        <v>675586.06841363758</v>
      </c>
      <c r="BF107" s="396">
        <f t="shared" si="533"/>
        <v>663748.8096931004</v>
      </c>
      <c r="BG107" s="1202">
        <f t="shared" si="284"/>
        <v>0</v>
      </c>
      <c r="BH107" s="1202">
        <f t="shared" si="285"/>
        <v>0</v>
      </c>
      <c r="BI107" s="1202"/>
      <c r="BJ107" s="1202">
        <f t="shared" si="311"/>
        <v>0</v>
      </c>
      <c r="BK107" s="1202">
        <f t="shared" si="312"/>
        <v>0</v>
      </c>
      <c r="BL107" s="26"/>
      <c r="BM107" s="26"/>
      <c r="BN107" s="26"/>
    </row>
    <row r="108" spans="1:66" ht="18.600000000000001" thickBot="1" x14ac:dyDescent="0.35">
      <c r="B108" s="1775" t="s">
        <v>192</v>
      </c>
      <c r="C108" s="1785"/>
      <c r="D108" s="1174"/>
      <c r="E108" s="1301"/>
      <c r="F108" s="1302"/>
      <c r="G108" s="1301"/>
      <c r="H108" s="1302"/>
      <c r="I108" s="531"/>
      <c r="J108" s="531"/>
      <c r="K108" s="1301"/>
      <c r="L108" s="1302"/>
      <c r="M108" s="1301"/>
      <c r="N108" s="1302"/>
      <c r="O108" s="1301"/>
      <c r="P108" s="1302"/>
      <c r="Q108" s="531"/>
      <c r="R108" s="531"/>
      <c r="S108" s="1301"/>
      <c r="T108" s="1302"/>
      <c r="U108" s="531"/>
      <c r="V108" s="531"/>
      <c r="W108" s="1301"/>
      <c r="X108" s="1302"/>
      <c r="Y108" s="531"/>
      <c r="Z108" s="531"/>
      <c r="AA108" s="2315"/>
      <c r="AB108" s="531"/>
      <c r="AC108" s="1301"/>
      <c r="AD108" s="1302"/>
      <c r="AE108" s="531"/>
      <c r="AF108" s="531"/>
      <c r="AG108" s="1301"/>
      <c r="AH108" s="1302"/>
      <c r="AI108" s="531"/>
      <c r="AJ108" s="531"/>
      <c r="AK108" s="1301"/>
      <c r="AL108" s="1302"/>
      <c r="AM108" s="531"/>
      <c r="AN108" s="531"/>
      <c r="AO108" s="531"/>
      <c r="AP108" s="531"/>
      <c r="AQ108" s="1301"/>
      <c r="AR108" s="1302"/>
      <c r="AS108" s="531"/>
      <c r="AT108" s="531"/>
      <c r="AU108" s="1301"/>
      <c r="AV108" s="1302"/>
      <c r="AW108" s="531"/>
      <c r="AX108" s="531"/>
      <c r="AY108" s="1301"/>
      <c r="AZ108" s="1302"/>
      <c r="BA108" s="531"/>
      <c r="BB108" s="531"/>
      <c r="BC108" s="2315"/>
      <c r="BD108" s="531"/>
      <c r="BE108" s="531"/>
      <c r="BF108" s="531"/>
      <c r="BG108" s="1202">
        <f t="shared" si="284"/>
        <v>0</v>
      </c>
      <c r="BH108" s="1202">
        <f t="shared" si="285"/>
        <v>0</v>
      </c>
      <c r="BI108" s="1202"/>
      <c r="BJ108" s="1202">
        <f t="shared" si="311"/>
        <v>0</v>
      </c>
      <c r="BK108" s="1202">
        <f t="shared" si="312"/>
        <v>0</v>
      </c>
      <c r="BL108" s="26"/>
      <c r="BM108" s="26"/>
      <c r="BN108" s="26"/>
    </row>
    <row r="109" spans="1:66" ht="14.25" customHeight="1" x14ac:dyDescent="0.3">
      <c r="B109" s="1717" t="s">
        <v>1970</v>
      </c>
      <c r="C109" s="770" t="s">
        <v>50</v>
      </c>
      <c r="D109" s="446">
        <v>614993.094017094</v>
      </c>
      <c r="E109" s="363">
        <v>50738.871794871797</v>
      </c>
      <c r="F109" s="87">
        <v>45741.517799999994</v>
      </c>
      <c r="G109" s="363">
        <v>52430.167521367519</v>
      </c>
      <c r="H109" s="87">
        <v>46100.01</v>
      </c>
      <c r="I109" s="1111">
        <f t="shared" ref="I109:J113" si="534">+E109+G109</f>
        <v>103169.03931623932</v>
      </c>
      <c r="J109" s="61">
        <f t="shared" si="534"/>
        <v>91841.527799999996</v>
      </c>
      <c r="K109" s="363">
        <v>50738.871794871797</v>
      </c>
      <c r="L109" s="87">
        <v>45062.68</v>
      </c>
      <c r="M109" s="708">
        <f t="shared" ref="M109:N111" si="535">+E109+G109+K109</f>
        <v>153907.91111111111</v>
      </c>
      <c r="N109" s="72">
        <f t="shared" si="535"/>
        <v>136904.2078</v>
      </c>
      <c r="O109" s="363">
        <v>52430.167521367519</v>
      </c>
      <c r="P109" s="87">
        <v>46816.98</v>
      </c>
      <c r="Q109" s="1111">
        <f t="shared" ref="Q109:R111" si="536">+M109+O109</f>
        <v>206338.07863247863</v>
      </c>
      <c r="R109" s="61">
        <f t="shared" si="536"/>
        <v>183721.18780000001</v>
      </c>
      <c r="S109" s="363">
        <v>52430.167521367519</v>
      </c>
      <c r="T109" s="87">
        <v>46588.159</v>
      </c>
      <c r="U109" s="1111">
        <f t="shared" ref="U109:U113" si="537">+Q109+S109</f>
        <v>258768.24615384615</v>
      </c>
      <c r="V109" s="61">
        <f t="shared" ref="V109:V113" si="538">+R109+T109</f>
        <v>230309.3468</v>
      </c>
      <c r="W109" s="363">
        <v>48409.025641025641</v>
      </c>
      <c r="X109" s="87">
        <v>45199.972000000002</v>
      </c>
      <c r="Y109" s="754">
        <f t="shared" ref="Y109:Z114" si="539">+O109+S109+W109</f>
        <v>153269.36068376066</v>
      </c>
      <c r="Z109" s="83">
        <f t="shared" si="539"/>
        <v>138605.111</v>
      </c>
      <c r="AA109" s="460">
        <f t="shared" ref="AA109:AB121" si="540">+M109+Y109</f>
        <v>307177.27179487178</v>
      </c>
      <c r="AB109" s="460">
        <f t="shared" si="540"/>
        <v>275509.31880000001</v>
      </c>
      <c r="AC109" s="363">
        <v>52430.167521367519</v>
      </c>
      <c r="AD109" s="87">
        <v>45962.712</v>
      </c>
      <c r="AE109" s="1111">
        <f t="shared" ref="AE109:AE114" si="541">+AA109+AC109</f>
        <v>359607.43931623932</v>
      </c>
      <c r="AF109" s="61">
        <f t="shared" ref="AF109:AF114" si="542">+AB109+AD109</f>
        <v>321472.03080000001</v>
      </c>
      <c r="AG109" s="363">
        <v>50738.871794871797</v>
      </c>
      <c r="AH109" s="87">
        <v>45154.207999999999</v>
      </c>
      <c r="AI109" s="1111">
        <f t="shared" ref="AI109:AI114" si="543">+AE109+AG109</f>
        <v>410346.31111111114</v>
      </c>
      <c r="AJ109" s="61">
        <f t="shared" ref="AJ109:AJ114" si="544">+AF109+AH109</f>
        <v>366626.23879999999</v>
      </c>
      <c r="AK109" s="363">
        <v>52430.167521367519</v>
      </c>
      <c r="AL109" s="87">
        <v>46695.386813186793</v>
      </c>
      <c r="AM109" s="754">
        <f t="shared" ref="AM109:AM114" si="545">+AC109+AG109+AK109</f>
        <v>155599.20683760685</v>
      </c>
      <c r="AN109" s="83">
        <f t="shared" ref="AN109:AN114" si="546">+AD109+AH109+AL109</f>
        <v>137812.30681318679</v>
      </c>
      <c r="AO109" s="753">
        <f t="shared" ref="AO109:AP109" si="547">AI109+AK109</f>
        <v>462776.47863247863</v>
      </c>
      <c r="AP109" s="753">
        <f t="shared" si="547"/>
        <v>413321.6256131868</v>
      </c>
      <c r="AQ109" s="363">
        <v>52430.167521367519</v>
      </c>
      <c r="AR109" s="87">
        <v>46283.063000000002</v>
      </c>
      <c r="AS109" s="1111">
        <f t="shared" ref="AS109:AS114" si="548">+AO109+AQ109</f>
        <v>515206.64615384617</v>
      </c>
      <c r="AT109" s="61">
        <f t="shared" ref="AT109:AT114" si="549">+AP109+AR109</f>
        <v>459604.68861318682</v>
      </c>
      <c r="AU109" s="363">
        <v>47356.280341880338</v>
      </c>
      <c r="AV109" s="87">
        <v>41874.425999999999</v>
      </c>
      <c r="AW109" s="1111">
        <f t="shared" ref="AW109:AW114" si="550">+AS109+AU109</f>
        <v>562562.92649572645</v>
      </c>
      <c r="AX109" s="61">
        <f t="shared" ref="AX109:AX114" si="551">+AT109+AV109</f>
        <v>501479.1146131868</v>
      </c>
      <c r="AY109" s="363">
        <v>52430.167521367519</v>
      </c>
      <c r="AZ109" s="87">
        <v>43795.144</v>
      </c>
      <c r="BA109" s="754">
        <f t="shared" ref="BA109:BA111" si="552">+AQ109+AU109+AY109</f>
        <v>152216.61538461538</v>
      </c>
      <c r="BB109" s="83">
        <f t="shared" ref="BB109:BB111" si="553">+AR109+AV109+AZ109</f>
        <v>131952.633</v>
      </c>
      <c r="BC109" s="2437">
        <f t="shared" ref="BC109:BC114" si="554">+AM109+BA109</f>
        <v>307815.82222222222</v>
      </c>
      <c r="BD109" s="2437">
        <f t="shared" ref="BD109:BD114" si="555">+AN109+BB109</f>
        <v>269764.93981318676</v>
      </c>
      <c r="BE109" s="775">
        <f t="shared" ref="BE109:BE114" si="556">AW109+AY109</f>
        <v>614993.094017094</v>
      </c>
      <c r="BF109" s="775">
        <f t="shared" ref="BF109:BF114" si="557">AX109+AZ109</f>
        <v>545274.25861318677</v>
      </c>
      <c r="BG109" s="1202">
        <f t="shared" si="284"/>
        <v>0</v>
      </c>
      <c r="BH109" s="1202">
        <f t="shared" si="285"/>
        <v>0</v>
      </c>
      <c r="BI109" s="1202"/>
      <c r="BJ109" s="1202">
        <f t="shared" si="311"/>
        <v>0</v>
      </c>
      <c r="BK109" s="1202">
        <f t="shared" si="312"/>
        <v>0</v>
      </c>
      <c r="BL109" s="26"/>
      <c r="BM109" s="26"/>
      <c r="BN109" s="26"/>
    </row>
    <row r="110" spans="1:66" x14ac:dyDescent="0.3">
      <c r="B110" s="1717" t="s">
        <v>10</v>
      </c>
      <c r="C110" s="770" t="s">
        <v>50</v>
      </c>
      <c r="D110" s="443">
        <v>128123.56125356127</v>
      </c>
      <c r="E110" s="152">
        <v>10570.598290598291</v>
      </c>
      <c r="F110" s="18">
        <v>11570.072399999999</v>
      </c>
      <c r="G110" s="152">
        <v>10922.951566951569</v>
      </c>
      <c r="H110" s="18">
        <v>12572.73</v>
      </c>
      <c r="I110" s="1111">
        <f t="shared" si="534"/>
        <v>21493.54985754986</v>
      </c>
      <c r="J110" s="61">
        <f t="shared" si="534"/>
        <v>24142.8024</v>
      </c>
      <c r="K110" s="152">
        <v>10570.598290598291</v>
      </c>
      <c r="L110" s="18">
        <v>12289.82</v>
      </c>
      <c r="M110" s="71">
        <f t="shared" si="535"/>
        <v>32064.148148148153</v>
      </c>
      <c r="N110" s="68">
        <f t="shared" si="535"/>
        <v>36432.6224</v>
      </c>
      <c r="O110" s="152">
        <v>10922.951566951569</v>
      </c>
      <c r="P110" s="18">
        <v>1716.17</v>
      </c>
      <c r="Q110" s="1111">
        <f t="shared" si="536"/>
        <v>42987.099715099721</v>
      </c>
      <c r="R110" s="61">
        <f t="shared" si="536"/>
        <v>38148.792399999998</v>
      </c>
      <c r="S110" s="152">
        <v>10922.951566951569</v>
      </c>
      <c r="T110" s="18">
        <v>10980.335999999999</v>
      </c>
      <c r="U110" s="1111">
        <f t="shared" si="537"/>
        <v>53910.051282051289</v>
      </c>
      <c r="V110" s="61">
        <f t="shared" si="538"/>
        <v>49129.128400000001</v>
      </c>
      <c r="W110" s="152">
        <v>10085.213675213674</v>
      </c>
      <c r="X110" s="18">
        <v>12327.264999999999</v>
      </c>
      <c r="Y110" s="754">
        <f t="shared" si="539"/>
        <v>31931.116809116815</v>
      </c>
      <c r="Z110" s="83">
        <f t="shared" si="539"/>
        <v>25023.771000000001</v>
      </c>
      <c r="AA110" s="460">
        <f t="shared" si="540"/>
        <v>63995.264957264968</v>
      </c>
      <c r="AB110" s="460">
        <f t="shared" si="540"/>
        <v>61456.393400000001</v>
      </c>
      <c r="AC110" s="152">
        <v>10922.951566951569</v>
      </c>
      <c r="AD110" s="18">
        <v>11642.186</v>
      </c>
      <c r="AE110" s="1111">
        <f t="shared" si="541"/>
        <v>74918.216524216536</v>
      </c>
      <c r="AF110" s="61">
        <f t="shared" si="542"/>
        <v>73098.579400000002</v>
      </c>
      <c r="AG110" s="152">
        <v>10570.598290598291</v>
      </c>
      <c r="AH110" s="18">
        <v>12314.784</v>
      </c>
      <c r="AI110" s="1111">
        <f t="shared" si="543"/>
        <v>85488.814814814832</v>
      </c>
      <c r="AJ110" s="61">
        <f t="shared" si="544"/>
        <v>85413.363400000002</v>
      </c>
      <c r="AK110" s="152">
        <v>10922.951566951569</v>
      </c>
      <c r="AL110" s="18">
        <v>403.56263736263736</v>
      </c>
      <c r="AM110" s="754">
        <f t="shared" si="545"/>
        <v>32416.501424501432</v>
      </c>
      <c r="AN110" s="83">
        <f t="shared" si="546"/>
        <v>24360.532637362638</v>
      </c>
      <c r="AO110" s="753">
        <f t="shared" ref="AO110:AP116" si="558">AI110+AK110</f>
        <v>96411.7663817664</v>
      </c>
      <c r="AP110" s="753">
        <f t="shared" ref="AP110:AP114" si="559">AJ110+AL110</f>
        <v>85816.926037362646</v>
      </c>
      <c r="AQ110" s="152">
        <v>10922.951566951569</v>
      </c>
      <c r="AR110" s="18"/>
      <c r="AS110" s="1111">
        <f t="shared" si="548"/>
        <v>107334.71794871797</v>
      </c>
      <c r="AT110" s="61">
        <f t="shared" si="549"/>
        <v>85816.926037362646</v>
      </c>
      <c r="AU110" s="152">
        <v>9865.8917378917376</v>
      </c>
      <c r="AV110" s="18"/>
      <c r="AW110" s="1111">
        <f t="shared" si="550"/>
        <v>117200.60968660971</v>
      </c>
      <c r="AX110" s="61">
        <f t="shared" si="551"/>
        <v>85816.926037362646</v>
      </c>
      <c r="AY110" s="152">
        <v>10922.951566951569</v>
      </c>
      <c r="AZ110" s="18"/>
      <c r="BA110" s="754">
        <f t="shared" si="552"/>
        <v>31711.794871794875</v>
      </c>
      <c r="BB110" s="83">
        <f t="shared" si="553"/>
        <v>0</v>
      </c>
      <c r="BC110" s="2437">
        <f t="shared" si="554"/>
        <v>64128.296296296307</v>
      </c>
      <c r="BD110" s="2437">
        <f t="shared" si="555"/>
        <v>24360.532637362638</v>
      </c>
      <c r="BE110" s="775">
        <f t="shared" si="556"/>
        <v>128123.56125356127</v>
      </c>
      <c r="BF110" s="775">
        <f t="shared" si="557"/>
        <v>85816.926037362646</v>
      </c>
      <c r="BG110" s="1202">
        <f t="shared" si="284"/>
        <v>0</v>
      </c>
      <c r="BH110" s="1202">
        <f t="shared" si="285"/>
        <v>0</v>
      </c>
      <c r="BI110" s="1202"/>
      <c r="BJ110" s="1202">
        <f t="shared" si="311"/>
        <v>0</v>
      </c>
      <c r="BK110" s="1202">
        <f t="shared" si="312"/>
        <v>0</v>
      </c>
      <c r="BL110" s="26"/>
      <c r="BM110" s="26"/>
      <c r="BN110" s="26"/>
    </row>
    <row r="111" spans="1:66" x14ac:dyDescent="0.3">
      <c r="B111" s="1717" t="s">
        <v>1972</v>
      </c>
      <c r="C111" s="770" t="s">
        <v>50</v>
      </c>
      <c r="D111" s="443">
        <v>32030.890313390319</v>
      </c>
      <c r="E111" s="152">
        <v>2642.6495726495727</v>
      </c>
      <c r="F111" s="18"/>
      <c r="G111" s="152">
        <v>2730.7378917378924</v>
      </c>
      <c r="H111" s="18"/>
      <c r="I111" s="1111">
        <f t="shared" si="534"/>
        <v>5373.3874643874651</v>
      </c>
      <c r="J111" s="61">
        <f t="shared" si="534"/>
        <v>0</v>
      </c>
      <c r="K111" s="152">
        <v>2642.6495726495727</v>
      </c>
      <c r="L111" s="18"/>
      <c r="M111" s="71">
        <f t="shared" si="535"/>
        <v>8016.0370370370383</v>
      </c>
      <c r="N111" s="68">
        <f t="shared" si="535"/>
        <v>0</v>
      </c>
      <c r="O111" s="152">
        <v>2730.7378917378924</v>
      </c>
      <c r="P111" s="18">
        <v>14415.79</v>
      </c>
      <c r="Q111" s="1111">
        <f t="shared" si="536"/>
        <v>10746.77492877493</v>
      </c>
      <c r="R111" s="61">
        <f t="shared" si="536"/>
        <v>14415.79</v>
      </c>
      <c r="S111" s="152">
        <v>2730.7378917378924</v>
      </c>
      <c r="T111" s="18">
        <v>8705.6370000000006</v>
      </c>
      <c r="U111" s="1111">
        <f t="shared" si="537"/>
        <v>13477.512820512822</v>
      </c>
      <c r="V111" s="61">
        <f t="shared" si="538"/>
        <v>23121.427000000003</v>
      </c>
      <c r="W111" s="152">
        <v>2521.3034188034185</v>
      </c>
      <c r="X111" s="18">
        <v>15409.082</v>
      </c>
      <c r="Y111" s="754">
        <f t="shared" si="539"/>
        <v>7982.7792022792037</v>
      </c>
      <c r="Z111" s="83">
        <f t="shared" si="539"/>
        <v>38530.509000000005</v>
      </c>
      <c r="AA111" s="460">
        <f t="shared" si="540"/>
        <v>15998.816239316242</v>
      </c>
      <c r="AB111" s="460">
        <f t="shared" si="540"/>
        <v>38530.509000000005</v>
      </c>
      <c r="AC111" s="152">
        <v>2730.7378917378924</v>
      </c>
      <c r="AD111" s="18">
        <v>15413.934999999999</v>
      </c>
      <c r="AE111" s="1111">
        <f t="shared" si="541"/>
        <v>18729.554131054134</v>
      </c>
      <c r="AF111" s="61">
        <f t="shared" si="542"/>
        <v>53944.444000000003</v>
      </c>
      <c r="AG111" s="152">
        <v>2642.6495726495727</v>
      </c>
      <c r="AH111" s="18">
        <v>10276.188</v>
      </c>
      <c r="AI111" s="1111">
        <f t="shared" si="543"/>
        <v>21372.203703703708</v>
      </c>
      <c r="AJ111" s="61">
        <f t="shared" si="544"/>
        <v>64220.632000000005</v>
      </c>
      <c r="AK111" s="152">
        <v>2730.7378917378924</v>
      </c>
      <c r="AL111" s="18"/>
      <c r="AM111" s="754">
        <f t="shared" si="545"/>
        <v>8104.1253561253579</v>
      </c>
      <c r="AN111" s="83">
        <f t="shared" si="546"/>
        <v>25690.123</v>
      </c>
      <c r="AO111" s="753">
        <f t="shared" si="558"/>
        <v>24102.9415954416</v>
      </c>
      <c r="AP111" s="753">
        <f t="shared" si="559"/>
        <v>64220.632000000005</v>
      </c>
      <c r="AQ111" s="152">
        <v>2730.7378917378924</v>
      </c>
      <c r="AR111" s="18">
        <v>11175.875</v>
      </c>
      <c r="AS111" s="1111">
        <f t="shared" si="548"/>
        <v>26833.679487179492</v>
      </c>
      <c r="AT111" s="61">
        <f t="shared" si="549"/>
        <v>75396.507000000012</v>
      </c>
      <c r="AU111" s="152">
        <v>2466.4729344729344</v>
      </c>
      <c r="AV111" s="18">
        <v>9662.5290000000005</v>
      </c>
      <c r="AW111" s="1111">
        <f t="shared" si="550"/>
        <v>29300.152421652427</v>
      </c>
      <c r="AX111" s="61">
        <f t="shared" si="551"/>
        <v>85059.036000000007</v>
      </c>
      <c r="AY111" s="152">
        <v>2730.7378917378924</v>
      </c>
      <c r="AZ111" s="18"/>
      <c r="BA111" s="754">
        <f t="shared" si="552"/>
        <v>7927.9487179487187</v>
      </c>
      <c r="BB111" s="83">
        <f t="shared" si="553"/>
        <v>20838.404000000002</v>
      </c>
      <c r="BC111" s="2437">
        <f t="shared" si="554"/>
        <v>16032.074074074077</v>
      </c>
      <c r="BD111" s="2437">
        <f t="shared" si="555"/>
        <v>46528.527000000002</v>
      </c>
      <c r="BE111" s="775">
        <f t="shared" si="556"/>
        <v>32030.890313390319</v>
      </c>
      <c r="BF111" s="775">
        <f t="shared" si="557"/>
        <v>85059.036000000007</v>
      </c>
      <c r="BG111" s="1202">
        <f t="shared" si="284"/>
        <v>0</v>
      </c>
      <c r="BH111" s="1202">
        <f t="shared" si="285"/>
        <v>0</v>
      </c>
      <c r="BI111" s="1202"/>
      <c r="BJ111" s="1202">
        <f t="shared" si="311"/>
        <v>0</v>
      </c>
      <c r="BK111" s="1202">
        <f t="shared" si="312"/>
        <v>0</v>
      </c>
      <c r="BL111" s="26"/>
      <c r="BM111" s="26"/>
      <c r="BN111" s="26"/>
    </row>
    <row r="112" spans="1:66" x14ac:dyDescent="0.3">
      <c r="B112" s="4381" t="s">
        <v>1971</v>
      </c>
      <c r="C112" s="4382" t="s">
        <v>50</v>
      </c>
      <c r="D112" s="4383">
        <v>32030.890313390319</v>
      </c>
      <c r="E112" s="1293">
        <v>2642.6495726495727</v>
      </c>
      <c r="F112" s="4119"/>
      <c r="G112" s="1293">
        <v>2730.7378917378924</v>
      </c>
      <c r="H112" s="4119"/>
      <c r="I112" s="1111">
        <f t="shared" ref="I112" si="560">+E112+G112</f>
        <v>5373.3874643874651</v>
      </c>
      <c r="J112" s="61">
        <f t="shared" ref="J112" si="561">+F112+H112</f>
        <v>0</v>
      </c>
      <c r="K112" s="1293">
        <v>2642.6495726495727</v>
      </c>
      <c r="L112" s="4119"/>
      <c r="M112" s="71">
        <f t="shared" ref="M112" si="562">+E112+G112+K112</f>
        <v>8016.0370370370383</v>
      </c>
      <c r="N112" s="68">
        <f t="shared" ref="N112" si="563">+F112+H112+L112</f>
        <v>0</v>
      </c>
      <c r="O112" s="1293">
        <v>2730.7378917378924</v>
      </c>
      <c r="P112" s="4119">
        <v>10708.87</v>
      </c>
      <c r="Q112" s="1111">
        <f t="shared" ref="Q112" si="564">+M112+O112</f>
        <v>10746.77492877493</v>
      </c>
      <c r="R112" s="61">
        <f t="shared" ref="R112" si="565">+N112+P112</f>
        <v>10708.87</v>
      </c>
      <c r="S112" s="1293">
        <v>2730.7378917378924</v>
      </c>
      <c r="T112" s="4119">
        <v>1210.6759999999999</v>
      </c>
      <c r="U112" s="1111">
        <f t="shared" ref="U112" si="566">+Q112+S112</f>
        <v>13477.512820512822</v>
      </c>
      <c r="V112" s="61">
        <f t="shared" ref="V112" si="567">+R112+T112</f>
        <v>11919.546</v>
      </c>
      <c r="W112" s="1293">
        <v>2521.3034188034185</v>
      </c>
      <c r="X112" s="4119"/>
      <c r="Y112" s="754">
        <f t="shared" ref="Y112" si="568">+O112+S112+W112</f>
        <v>7982.7792022792037</v>
      </c>
      <c r="Z112" s="83">
        <f t="shared" ref="Z112" si="569">+P112+T112+X112</f>
        <v>11919.546</v>
      </c>
      <c r="AA112" s="460">
        <f t="shared" ref="AA112" si="570">+M112+Y112</f>
        <v>15998.816239316242</v>
      </c>
      <c r="AB112" s="460">
        <f t="shared" ref="AB112" si="571">+N112+Z112</f>
        <v>11919.546</v>
      </c>
      <c r="AC112" s="1293">
        <v>2730.7378917378924</v>
      </c>
      <c r="AD112" s="4119"/>
      <c r="AE112" s="1111">
        <f t="shared" ref="AE112" si="572">+AA112+AC112</f>
        <v>18729.554131054134</v>
      </c>
      <c r="AF112" s="61">
        <f t="shared" ref="AF112" si="573">+AB112+AD112</f>
        <v>11919.546</v>
      </c>
      <c r="AG112" s="1293">
        <v>2642.6495726495727</v>
      </c>
      <c r="AH112" s="4119"/>
      <c r="AI112" s="1111">
        <f t="shared" ref="AI112" si="574">+AE112+AG112</f>
        <v>21372.203703703708</v>
      </c>
      <c r="AJ112" s="61">
        <f t="shared" ref="AJ112" si="575">+AF112+AH112</f>
        <v>11919.546</v>
      </c>
      <c r="AK112" s="1293">
        <v>2730.7378917378924</v>
      </c>
      <c r="AL112" s="4119">
        <v>12331.542857142855</v>
      </c>
      <c r="AM112" s="754">
        <f t="shared" ref="AM112" si="576">+AC112+AG112+AK112</f>
        <v>8104.1253561253579</v>
      </c>
      <c r="AN112" s="83">
        <f t="shared" ref="AN112" si="577">+AD112+AH112+AL112</f>
        <v>12331.542857142855</v>
      </c>
      <c r="AO112" s="753">
        <f t="shared" ref="AO112" si="578">AI112+AK112</f>
        <v>24102.9415954416</v>
      </c>
      <c r="AP112" s="753">
        <f t="shared" ref="AP112" si="579">AJ112+AL112</f>
        <v>24251.088857142855</v>
      </c>
      <c r="AQ112" s="1293">
        <v>2730.7378917378924</v>
      </c>
      <c r="AR112" s="4119">
        <v>11570.766</v>
      </c>
      <c r="AS112" s="1111">
        <f t="shared" ref="AS112" si="580">+AO112+AQ112</f>
        <v>26833.679487179492</v>
      </c>
      <c r="AT112" s="61">
        <f t="shared" ref="AT112" si="581">+AP112+AR112</f>
        <v>35821.854857142855</v>
      </c>
      <c r="AU112" s="152">
        <v>2466.4729344729344</v>
      </c>
      <c r="AV112" s="4119">
        <v>10776.129000000001</v>
      </c>
      <c r="AW112" s="1111">
        <f t="shared" ref="AW112" si="582">+AS112+AU112</f>
        <v>29300.152421652427</v>
      </c>
      <c r="AX112" s="61">
        <f t="shared" ref="AX112" si="583">+AT112+AV112</f>
        <v>46597.983857142855</v>
      </c>
      <c r="AY112" s="152">
        <v>2730.7378917378924</v>
      </c>
      <c r="AZ112" s="4119">
        <v>15595.953</v>
      </c>
      <c r="BA112" s="754">
        <f t="shared" ref="BA112" si="584">+AQ112+AU112+AY112</f>
        <v>7927.9487179487187</v>
      </c>
      <c r="BB112" s="83">
        <f t="shared" ref="BB112" si="585">+AR112+AV112+AZ112</f>
        <v>37942.847999999998</v>
      </c>
      <c r="BC112" s="2437">
        <f t="shared" ref="BC112" si="586">+AM112+BA112</f>
        <v>16032.074074074077</v>
      </c>
      <c r="BD112" s="2437">
        <f t="shared" ref="BD112" si="587">+AN112+BB112</f>
        <v>50274.390857142855</v>
      </c>
      <c r="BE112" s="775">
        <f t="shared" ref="BE112" si="588">AW112+AY112</f>
        <v>32030.890313390319</v>
      </c>
      <c r="BF112" s="775">
        <f t="shared" ref="BF112" si="589">AX112+AZ112</f>
        <v>62193.936857142857</v>
      </c>
      <c r="BG112" s="1202">
        <f t="shared" si="284"/>
        <v>0</v>
      </c>
      <c r="BH112" s="1202">
        <f t="shared" si="285"/>
        <v>0</v>
      </c>
      <c r="BI112" s="1202"/>
      <c r="BJ112" s="1202">
        <f t="shared" si="311"/>
        <v>0</v>
      </c>
      <c r="BK112" s="1202">
        <f t="shared" si="312"/>
        <v>0</v>
      </c>
      <c r="BL112" s="26"/>
      <c r="BM112" s="26"/>
      <c r="BN112" s="26"/>
    </row>
    <row r="113" spans="1:66" x14ac:dyDescent="0.3">
      <c r="B113" s="1717" t="s">
        <v>1266</v>
      </c>
      <c r="C113" s="770" t="s">
        <v>50</v>
      </c>
      <c r="D113" s="1133"/>
      <c r="E113" s="1293"/>
      <c r="F113" s="123"/>
      <c r="G113" s="1293"/>
      <c r="H113" s="123"/>
      <c r="I113" s="1111">
        <f t="shared" si="534"/>
        <v>0</v>
      </c>
      <c r="J113" s="61">
        <f t="shared" si="534"/>
        <v>0</v>
      </c>
      <c r="K113" s="1293"/>
      <c r="L113" s="123"/>
      <c r="M113" s="71">
        <f t="shared" ref="M113" si="590">+E113+G113+K113</f>
        <v>0</v>
      </c>
      <c r="N113" s="68">
        <f t="shared" ref="N113" si="591">+F113+H113+L113</f>
        <v>0</v>
      </c>
      <c r="O113" s="1293"/>
      <c r="P113" s="123">
        <v>343.23</v>
      </c>
      <c r="Q113" s="1111">
        <f t="shared" ref="Q113" si="592">+M113+O113</f>
        <v>0</v>
      </c>
      <c r="R113" s="61">
        <f t="shared" ref="R113" si="593">+N113+P113</f>
        <v>343.23</v>
      </c>
      <c r="S113" s="1293"/>
      <c r="T113" s="123">
        <v>514.85</v>
      </c>
      <c r="U113" s="1111">
        <f t="shared" si="537"/>
        <v>0</v>
      </c>
      <c r="V113" s="61">
        <f t="shared" si="538"/>
        <v>858.08</v>
      </c>
      <c r="W113" s="1293"/>
      <c r="X113" s="123"/>
      <c r="Y113" s="754">
        <f t="shared" si="539"/>
        <v>0</v>
      </c>
      <c r="Z113" s="83">
        <f t="shared" si="539"/>
        <v>858.08</v>
      </c>
      <c r="AA113" s="460">
        <f t="shared" si="540"/>
        <v>0</v>
      </c>
      <c r="AB113" s="460">
        <f t="shared" si="540"/>
        <v>858.08</v>
      </c>
      <c r="AC113" s="1293"/>
      <c r="AD113" s="123">
        <v>1020.6849999999999</v>
      </c>
      <c r="AE113" s="1111">
        <f t="shared" si="541"/>
        <v>0</v>
      </c>
      <c r="AF113" s="61">
        <f t="shared" si="542"/>
        <v>1878.7649999999999</v>
      </c>
      <c r="AG113" s="1293"/>
      <c r="AH113" s="123"/>
      <c r="AI113" s="1111">
        <f t="shared" si="543"/>
        <v>0</v>
      </c>
      <c r="AJ113" s="61">
        <f t="shared" si="544"/>
        <v>1878.7649999999999</v>
      </c>
      <c r="AK113" s="1293"/>
      <c r="AL113" s="123"/>
      <c r="AM113" s="754">
        <f t="shared" si="545"/>
        <v>0</v>
      </c>
      <c r="AN113" s="83">
        <f t="shared" si="546"/>
        <v>1020.6849999999999</v>
      </c>
      <c r="AO113" s="753">
        <f t="shared" si="558"/>
        <v>0</v>
      </c>
      <c r="AP113" s="753">
        <f t="shared" si="559"/>
        <v>1878.7649999999999</v>
      </c>
      <c r="AQ113" s="1293"/>
      <c r="AR113" s="123"/>
      <c r="AS113" s="1111">
        <f t="shared" si="548"/>
        <v>0</v>
      </c>
      <c r="AT113" s="61">
        <f t="shared" si="549"/>
        <v>1878.7649999999999</v>
      </c>
      <c r="AU113" s="1293"/>
      <c r="AV113" s="123"/>
      <c r="AW113" s="1111">
        <f t="shared" si="550"/>
        <v>0</v>
      </c>
      <c r="AX113" s="61">
        <f t="shared" si="551"/>
        <v>1878.7649999999999</v>
      </c>
      <c r="AY113" s="1293">
        <v>0</v>
      </c>
      <c r="AZ113" s="123"/>
      <c r="BA113" s="754">
        <f t="shared" ref="BA113:BA114" si="594">+AQ113+AU113+AY113</f>
        <v>0</v>
      </c>
      <c r="BB113" s="83">
        <f t="shared" ref="BB113:BB114" si="595">+AR113+AV113+AZ113</f>
        <v>0</v>
      </c>
      <c r="BC113" s="2437">
        <f t="shared" si="554"/>
        <v>0</v>
      </c>
      <c r="BD113" s="2437">
        <f t="shared" si="555"/>
        <v>1020.6849999999999</v>
      </c>
      <c r="BE113" s="775">
        <f t="shared" si="556"/>
        <v>0</v>
      </c>
      <c r="BF113" s="775">
        <f t="shared" si="557"/>
        <v>1878.7649999999999</v>
      </c>
      <c r="BG113" s="1202">
        <f t="shared" si="284"/>
        <v>0</v>
      </c>
      <c r="BH113" s="1202">
        <f t="shared" si="285"/>
        <v>0</v>
      </c>
      <c r="BI113" s="1202"/>
      <c r="BJ113" s="1202">
        <f t="shared" si="311"/>
        <v>0</v>
      </c>
      <c r="BK113" s="1202">
        <f t="shared" si="312"/>
        <v>0</v>
      </c>
      <c r="BL113" s="26"/>
      <c r="BM113" s="26"/>
      <c r="BN113" s="26"/>
    </row>
    <row r="114" spans="1:66" ht="15" thickBot="1" x14ac:dyDescent="0.35">
      <c r="B114" s="1717" t="s">
        <v>612</v>
      </c>
      <c r="C114" s="770" t="s">
        <v>50</v>
      </c>
      <c r="D114" s="1317">
        <v>115311.20512820513</v>
      </c>
      <c r="E114" s="715">
        <v>9513.538461538461</v>
      </c>
      <c r="F114" s="37">
        <v>14119.357499999995</v>
      </c>
      <c r="G114" s="715">
        <v>9830.6564102564116</v>
      </c>
      <c r="H114" s="37">
        <v>15715.91</v>
      </c>
      <c r="I114" s="1111">
        <f>+E114+G114</f>
        <v>19344.194871794873</v>
      </c>
      <c r="J114" s="61">
        <f>+F114+H114</f>
        <v>29835.267499999994</v>
      </c>
      <c r="K114" s="715">
        <v>9513.538461538461</v>
      </c>
      <c r="L114" s="37">
        <v>15362.28</v>
      </c>
      <c r="M114" s="1516">
        <f>+E114+G114+K114</f>
        <v>28857.733333333334</v>
      </c>
      <c r="N114" s="73">
        <f>+F114+H114+L114</f>
        <v>45197.547499999993</v>
      </c>
      <c r="O114" s="715">
        <v>9830.6564102564116</v>
      </c>
      <c r="P114" s="37">
        <v>1544.55</v>
      </c>
      <c r="Q114" s="1111">
        <f>+M114+O114</f>
        <v>38688.389743589745</v>
      </c>
      <c r="R114" s="61">
        <f>+N114+P114</f>
        <v>46742.097499999996</v>
      </c>
      <c r="S114" s="715">
        <v>9830.6564102564116</v>
      </c>
      <c r="T114" s="37">
        <v>7176.69</v>
      </c>
      <c r="U114" s="1111">
        <f>+Q114+S114</f>
        <v>48519.046153846153</v>
      </c>
      <c r="V114" s="61">
        <f>+R114+T114</f>
        <v>53918.787499999999</v>
      </c>
      <c r="W114" s="715">
        <v>9076.6923076923067</v>
      </c>
      <c r="X114" s="37"/>
      <c r="Y114" s="754">
        <f t="shared" si="539"/>
        <v>28738.005128205128</v>
      </c>
      <c r="Z114" s="83">
        <f t="shared" si="539"/>
        <v>8721.24</v>
      </c>
      <c r="AA114" s="460">
        <f t="shared" si="540"/>
        <v>57595.738461538465</v>
      </c>
      <c r="AB114" s="460">
        <f t="shared" si="540"/>
        <v>53918.787499999991</v>
      </c>
      <c r="AC114" s="715">
        <v>9830.6564102564116</v>
      </c>
      <c r="AD114" s="37"/>
      <c r="AE114" s="1111">
        <f t="shared" si="541"/>
        <v>67426.394871794881</v>
      </c>
      <c r="AF114" s="61">
        <f t="shared" si="542"/>
        <v>53918.787499999991</v>
      </c>
      <c r="AG114" s="715">
        <v>9513.538461538461</v>
      </c>
      <c r="AH114" s="37">
        <v>5117.2920000000004</v>
      </c>
      <c r="AI114" s="1111">
        <f t="shared" si="543"/>
        <v>76939.933333333349</v>
      </c>
      <c r="AJ114" s="61">
        <f t="shared" si="544"/>
        <v>59036.079499999993</v>
      </c>
      <c r="AK114" s="715">
        <v>9830.6564102564116</v>
      </c>
      <c r="AL114" s="37">
        <v>15918.881868131873</v>
      </c>
      <c r="AM114" s="754">
        <f t="shared" si="545"/>
        <v>29174.851282051284</v>
      </c>
      <c r="AN114" s="83">
        <f t="shared" si="546"/>
        <v>21036.173868131875</v>
      </c>
      <c r="AO114" s="753">
        <f t="shared" si="558"/>
        <v>86770.589743589764</v>
      </c>
      <c r="AP114" s="753">
        <f t="shared" si="559"/>
        <v>74954.961368131859</v>
      </c>
      <c r="AQ114" s="715">
        <v>9830.6564102564116</v>
      </c>
      <c r="AR114" s="37">
        <v>4602.4430000000002</v>
      </c>
      <c r="AS114" s="1111">
        <f t="shared" si="548"/>
        <v>96601.246153846179</v>
      </c>
      <c r="AT114" s="61">
        <f t="shared" si="549"/>
        <v>79557.404368131858</v>
      </c>
      <c r="AU114" s="715">
        <v>8879.3025641025633</v>
      </c>
      <c r="AV114" s="37">
        <v>4305.3209999999999</v>
      </c>
      <c r="AW114" s="1111">
        <f t="shared" si="550"/>
        <v>105480.54871794874</v>
      </c>
      <c r="AX114" s="61">
        <f t="shared" si="551"/>
        <v>83862.725368131854</v>
      </c>
      <c r="AY114" s="715">
        <v>9830.6564102564116</v>
      </c>
      <c r="AZ114" s="37">
        <v>14847.773999999999</v>
      </c>
      <c r="BA114" s="754">
        <f t="shared" si="594"/>
        <v>28540.615384615387</v>
      </c>
      <c r="BB114" s="83">
        <f t="shared" si="595"/>
        <v>23755.538</v>
      </c>
      <c r="BC114" s="2437">
        <f t="shared" si="554"/>
        <v>57715.466666666674</v>
      </c>
      <c r="BD114" s="2437">
        <f t="shared" si="555"/>
        <v>44791.711868131875</v>
      </c>
      <c r="BE114" s="775">
        <f t="shared" si="556"/>
        <v>115311.20512820515</v>
      </c>
      <c r="BF114" s="775">
        <f t="shared" si="557"/>
        <v>98710.499368131859</v>
      </c>
      <c r="BG114" s="1202">
        <f t="shared" si="284"/>
        <v>0</v>
      </c>
      <c r="BH114" s="1202">
        <f t="shared" si="285"/>
        <v>0</v>
      </c>
      <c r="BI114" s="1202"/>
      <c r="BJ114" s="1202">
        <f t="shared" si="311"/>
        <v>0</v>
      </c>
      <c r="BK114" s="1202">
        <f t="shared" si="312"/>
        <v>0</v>
      </c>
      <c r="BL114" s="26"/>
      <c r="BM114" s="26"/>
      <c r="BN114" s="26"/>
    </row>
    <row r="115" spans="1:66" ht="16.2" thickBot="1" x14ac:dyDescent="0.35">
      <c r="B115" s="1796" t="s">
        <v>13</v>
      </c>
      <c r="C115" s="1643" t="s">
        <v>50</v>
      </c>
      <c r="D115" s="610">
        <f t="shared" ref="D115:AX115" si="596">SUM(D109:D114)</f>
        <v>922489.641025641</v>
      </c>
      <c r="E115" s="1168">
        <f t="shared" si="596"/>
        <v>76108.307692307688</v>
      </c>
      <c r="F115" s="1168">
        <f t="shared" si="596"/>
        <v>71430.94769999999</v>
      </c>
      <c r="G115" s="1168">
        <f t="shared" ref="G115:H115" si="597">SUM(G109:G114)</f>
        <v>78645.251282051293</v>
      </c>
      <c r="H115" s="1168">
        <f t="shared" si="597"/>
        <v>74388.650000000009</v>
      </c>
      <c r="I115" s="768">
        <f t="shared" si="596"/>
        <v>154753.55897435898</v>
      </c>
      <c r="J115" s="768">
        <f t="shared" si="596"/>
        <v>145819.59769999998</v>
      </c>
      <c r="K115" s="1168">
        <f t="shared" ref="K115:L115" si="598">SUM(K109:K114)</f>
        <v>76108.307692307688</v>
      </c>
      <c r="L115" s="1168">
        <f t="shared" si="598"/>
        <v>72714.78</v>
      </c>
      <c r="M115" s="1557">
        <f t="shared" si="596"/>
        <v>230861.8666666667</v>
      </c>
      <c r="N115" s="1557">
        <f t="shared" si="596"/>
        <v>218534.37769999998</v>
      </c>
      <c r="O115" s="1168">
        <f t="shared" ref="O115:P115" si="599">SUM(O109:O114)</f>
        <v>78645.251282051293</v>
      </c>
      <c r="P115" s="1168">
        <f t="shared" si="599"/>
        <v>75545.59</v>
      </c>
      <c r="Q115" s="768">
        <f t="shared" si="596"/>
        <v>309507.11794871796</v>
      </c>
      <c r="R115" s="768">
        <f t="shared" si="596"/>
        <v>294079.96770000004</v>
      </c>
      <c r="S115" s="1168">
        <f t="shared" ref="S115:T115" si="600">SUM(S109:S114)</f>
        <v>78645.251282051293</v>
      </c>
      <c r="T115" s="1168">
        <f t="shared" si="600"/>
        <v>75176.348000000013</v>
      </c>
      <c r="U115" s="768">
        <f t="shared" si="596"/>
        <v>388152.36923076923</v>
      </c>
      <c r="V115" s="768">
        <f t="shared" si="596"/>
        <v>369256.31569999998</v>
      </c>
      <c r="W115" s="1168">
        <f t="shared" ref="W115:X115" si="601">SUM(W109:W114)</f>
        <v>72613.538461538468</v>
      </c>
      <c r="X115" s="1168">
        <f t="shared" si="601"/>
        <v>72936.319000000003</v>
      </c>
      <c r="Y115" s="1555">
        <f t="shared" si="596"/>
        <v>229904.04102564103</v>
      </c>
      <c r="Z115" s="1555">
        <f t="shared" si="596"/>
        <v>223658.25699999998</v>
      </c>
      <c r="AA115" s="2362">
        <f t="shared" si="596"/>
        <v>460765.90769230772</v>
      </c>
      <c r="AB115" s="2360">
        <f t="shared" si="596"/>
        <v>442192.6347</v>
      </c>
      <c r="AC115" s="1168">
        <f t="shared" ref="AC115:AD115" si="602">SUM(AC109:AC114)</f>
        <v>78645.251282051293</v>
      </c>
      <c r="AD115" s="1168">
        <f t="shared" si="602"/>
        <v>74039.517999999996</v>
      </c>
      <c r="AE115" s="768">
        <f t="shared" si="596"/>
        <v>539411.15897435904</v>
      </c>
      <c r="AF115" s="768">
        <f t="shared" si="596"/>
        <v>516232.15269999998</v>
      </c>
      <c r="AG115" s="1168">
        <f t="shared" ref="AG115:AH115" si="603">SUM(AG109:AG114)</f>
        <v>76108.307692307688</v>
      </c>
      <c r="AH115" s="1168">
        <f t="shared" si="603"/>
        <v>72862.471999999994</v>
      </c>
      <c r="AI115" s="768">
        <f t="shared" si="596"/>
        <v>615519.46666666679</v>
      </c>
      <c r="AJ115" s="768">
        <f t="shared" si="596"/>
        <v>589094.62469999993</v>
      </c>
      <c r="AK115" s="1168">
        <f t="shared" ref="AK115:AL115" si="604">SUM(AK109:AK114)</f>
        <v>78645.251282051293</v>
      </c>
      <c r="AL115" s="1168">
        <f t="shared" si="604"/>
        <v>75349.374175824167</v>
      </c>
      <c r="AM115" s="1555">
        <f t="shared" si="596"/>
        <v>233398.81025641027</v>
      </c>
      <c r="AN115" s="1555">
        <f t="shared" si="596"/>
        <v>222251.36417582416</v>
      </c>
      <c r="AO115" s="768">
        <f t="shared" si="596"/>
        <v>694164.71794871788</v>
      </c>
      <c r="AP115" s="768">
        <f t="shared" si="596"/>
        <v>664443.99887582427</v>
      </c>
      <c r="AQ115" s="1168">
        <f t="shared" ref="AQ115:AR115" si="605">SUM(AQ109:AQ114)</f>
        <v>78645.251282051293</v>
      </c>
      <c r="AR115" s="1168">
        <f t="shared" si="605"/>
        <v>73632.146999999997</v>
      </c>
      <c r="AS115" s="768">
        <f t="shared" si="596"/>
        <v>772809.96923076932</v>
      </c>
      <c r="AT115" s="768">
        <f t="shared" si="596"/>
        <v>738076.14587582427</v>
      </c>
      <c r="AU115" s="1168">
        <f t="shared" ref="AU115:AV115" si="606">SUM(AU109:AU114)</f>
        <v>71034.420512820507</v>
      </c>
      <c r="AV115" s="1168">
        <f t="shared" si="606"/>
        <v>66618.404999999999</v>
      </c>
      <c r="AW115" s="768">
        <f t="shared" si="596"/>
        <v>843844.3897435898</v>
      </c>
      <c r="AX115" s="768">
        <f t="shared" si="596"/>
        <v>804694.55087582418</v>
      </c>
      <c r="AY115" s="1168">
        <f t="shared" ref="AY115:AZ115" si="607">SUM(AY109:AY114)</f>
        <v>78645.251282051293</v>
      </c>
      <c r="AZ115" s="1168">
        <f t="shared" si="607"/>
        <v>74238.870999999999</v>
      </c>
      <c r="BA115" s="1555">
        <f t="shared" ref="BA115:BB115" si="608">SUM(BA109:BA114)</f>
        <v>228324.92307692306</v>
      </c>
      <c r="BB115" s="1555">
        <f t="shared" si="608"/>
        <v>214489.42300000001</v>
      </c>
      <c r="BC115" s="2362">
        <f>SUM(BC109:BC114)</f>
        <v>461723.7333333334</v>
      </c>
      <c r="BD115" s="2360">
        <f>SUM(BD109:BD114)</f>
        <v>436740.78717582417</v>
      </c>
      <c r="BE115" s="768">
        <f t="shared" ref="BE115:BF115" si="609">SUM(BE109:BE114)</f>
        <v>922489.641025641</v>
      </c>
      <c r="BF115" s="768">
        <f t="shared" si="609"/>
        <v>878933.4218758241</v>
      </c>
      <c r="BG115" s="1202">
        <f t="shared" si="284"/>
        <v>0</v>
      </c>
      <c r="BH115" s="1202">
        <f t="shared" si="285"/>
        <v>0</v>
      </c>
      <c r="BI115" s="1202"/>
      <c r="BJ115" s="1202">
        <f t="shared" si="311"/>
        <v>0</v>
      </c>
      <c r="BK115" s="1202">
        <f t="shared" si="312"/>
        <v>0</v>
      </c>
      <c r="BL115" s="26"/>
      <c r="BM115" s="26"/>
      <c r="BN115" s="26"/>
    </row>
    <row r="116" spans="1:66" ht="15" customHeight="1" x14ac:dyDescent="0.3">
      <c r="B116" s="1717" t="s">
        <v>1358</v>
      </c>
      <c r="C116" s="770" t="s">
        <v>50</v>
      </c>
      <c r="D116" s="443">
        <v>217810.05413105414</v>
      </c>
      <c r="E116" s="152">
        <v>17970.017094017094</v>
      </c>
      <c r="F116" s="28">
        <v>23929.580699999999</v>
      </c>
      <c r="G116" s="152">
        <v>18569.017663817664</v>
      </c>
      <c r="H116" s="28">
        <v>24803.96</v>
      </c>
      <c r="I116" s="713">
        <f t="shared" ref="I116:J119" si="610">+E116+G116</f>
        <v>36539.034757834757</v>
      </c>
      <c r="J116" s="61">
        <f t="shared" si="610"/>
        <v>48733.540699999998</v>
      </c>
      <c r="K116" s="152">
        <v>17970.017094017094</v>
      </c>
      <c r="L116" s="28">
        <v>21168.12</v>
      </c>
      <c r="M116" s="71">
        <f t="shared" ref="M116:N119" si="611">+E116+G116+K116</f>
        <v>54509.051851851851</v>
      </c>
      <c r="N116" s="83">
        <f t="shared" si="611"/>
        <v>69901.660699999993</v>
      </c>
      <c r="O116" s="152">
        <v>18569.017663817664</v>
      </c>
      <c r="P116" s="28">
        <v>22516.080000000002</v>
      </c>
      <c r="Q116" s="713">
        <f t="shared" ref="Q116:R119" si="612">+M116+O116</f>
        <v>73078.069515669515</v>
      </c>
      <c r="R116" s="61">
        <f t="shared" si="612"/>
        <v>92417.740699999995</v>
      </c>
      <c r="S116" s="152">
        <v>18569.017663817664</v>
      </c>
      <c r="T116" s="28">
        <v>16941.149000000001</v>
      </c>
      <c r="U116" s="713">
        <f t="shared" ref="U116:U119" si="613">+Q116+S116</f>
        <v>91647.087179487178</v>
      </c>
      <c r="V116" s="61">
        <f t="shared" ref="V116:V119" si="614">+R116+T116</f>
        <v>109358.8897</v>
      </c>
      <c r="W116" s="152">
        <v>17144.863247863246</v>
      </c>
      <c r="X116" s="28">
        <v>16436.353999999999</v>
      </c>
      <c r="Y116" s="754">
        <f t="shared" ref="Y116:Z119" si="615">+O116+S116+W116</f>
        <v>54282.898575498577</v>
      </c>
      <c r="Z116" s="83">
        <f t="shared" si="615"/>
        <v>55893.583000000006</v>
      </c>
      <c r="AA116" s="460">
        <f t="shared" si="540"/>
        <v>108791.95042735043</v>
      </c>
      <c r="AB116" s="449">
        <f t="shared" si="540"/>
        <v>125795.24369999999</v>
      </c>
      <c r="AC116" s="152">
        <v>18569.017663817664</v>
      </c>
      <c r="AD116" s="28">
        <v>16586.128000000001</v>
      </c>
      <c r="AE116" s="713">
        <f t="shared" ref="AE116:AE119" si="616">+AA116+AC116</f>
        <v>127360.96809116809</v>
      </c>
      <c r="AF116" s="61">
        <f t="shared" ref="AF116:AF119" si="617">+AB116+AD116</f>
        <v>142381.37169999999</v>
      </c>
      <c r="AG116" s="152">
        <v>17970.017094017094</v>
      </c>
      <c r="AH116" s="28">
        <v>16419.712</v>
      </c>
      <c r="AI116" s="713">
        <f t="shared" ref="AI116:AI119" si="618">+AE116+AG116</f>
        <v>145330.98518518519</v>
      </c>
      <c r="AJ116" s="61">
        <f t="shared" ref="AJ116:AJ119" si="619">+AF116+AH116</f>
        <v>158801.08369999999</v>
      </c>
      <c r="AK116" s="152">
        <v>18569.017663817664</v>
      </c>
      <c r="AL116" s="28">
        <v>19416.078021978017</v>
      </c>
      <c r="AM116" s="754">
        <f t="shared" ref="AM116:AM119" si="620">+AC116+AG116+AK116</f>
        <v>55108.052421652421</v>
      </c>
      <c r="AN116" s="83">
        <f t="shared" ref="AN116:AN119" si="621">+AD116+AH116+AL116</f>
        <v>52421.91802197801</v>
      </c>
      <c r="AO116" s="753">
        <f t="shared" si="558"/>
        <v>163900.00284900283</v>
      </c>
      <c r="AP116" s="753">
        <f t="shared" si="558"/>
        <v>178217.16172197802</v>
      </c>
      <c r="AQ116" s="152">
        <v>18569.017663817664</v>
      </c>
      <c r="AR116" s="28">
        <v>26297.195</v>
      </c>
      <c r="AS116" s="713">
        <f t="shared" ref="AS116:AS119" si="622">+AO116+AQ116</f>
        <v>182469.02051282051</v>
      </c>
      <c r="AT116" s="61">
        <f t="shared" ref="AT116:AT119" si="623">+AP116+AR116</f>
        <v>204514.35672197802</v>
      </c>
      <c r="AU116" s="152">
        <v>16772.015954415954</v>
      </c>
      <c r="AV116" s="28">
        <v>19486.967000000001</v>
      </c>
      <c r="AW116" s="713">
        <f t="shared" ref="AW116:AW119" si="624">+AS116+AU116</f>
        <v>199241.03646723647</v>
      </c>
      <c r="AX116" s="61">
        <f t="shared" ref="AX116:AX119" si="625">+AT116+AV116</f>
        <v>224001.32372197803</v>
      </c>
      <c r="AY116" s="152">
        <v>18569.017663817664</v>
      </c>
      <c r="AZ116" s="28">
        <v>19089.994999999999</v>
      </c>
      <c r="BA116" s="754">
        <f t="shared" ref="BA116:BA119" si="626">+AQ116+AU116+AY116</f>
        <v>53910.051282051281</v>
      </c>
      <c r="BB116" s="83">
        <f t="shared" ref="BB116:BB119" si="627">+AR116+AV116+AZ116</f>
        <v>64874.156999999992</v>
      </c>
      <c r="BC116" s="2437">
        <f t="shared" ref="BC116:BC119" si="628">+AM116+BA116</f>
        <v>109018.1037037037</v>
      </c>
      <c r="BD116" s="2437">
        <f t="shared" ref="BD116:BD119" si="629">+AN116+BB116</f>
        <v>117296.075021978</v>
      </c>
      <c r="BE116" s="775">
        <f t="shared" ref="BE116:BE119" si="630">AW116+AY116</f>
        <v>217810.05413105414</v>
      </c>
      <c r="BF116" s="775">
        <f t="shared" ref="BF116:BF119" si="631">AX116+AZ116</f>
        <v>243091.31872197802</v>
      </c>
      <c r="BG116" s="1202">
        <f t="shared" si="284"/>
        <v>0</v>
      </c>
      <c r="BH116" s="1202">
        <f t="shared" si="285"/>
        <v>0</v>
      </c>
      <c r="BI116" s="1202"/>
      <c r="BJ116" s="1202">
        <f t="shared" si="311"/>
        <v>0</v>
      </c>
      <c r="BK116" s="1202">
        <f t="shared" si="312"/>
        <v>0</v>
      </c>
      <c r="BL116" s="26"/>
      <c r="BM116" s="26"/>
      <c r="BN116" s="26"/>
    </row>
    <row r="117" spans="1:66" ht="15.75" customHeight="1" x14ac:dyDescent="0.3">
      <c r="B117" s="1717" t="s">
        <v>627</v>
      </c>
      <c r="C117" s="770" t="s">
        <v>50</v>
      </c>
      <c r="D117" s="443">
        <v>64061.780626780637</v>
      </c>
      <c r="E117" s="152">
        <v>5285.2991452991455</v>
      </c>
      <c r="F117" s="28">
        <v>171.6165</v>
      </c>
      <c r="G117" s="152">
        <v>5461.4757834757847</v>
      </c>
      <c r="H117" s="28">
        <v>341.5</v>
      </c>
      <c r="I117" s="713">
        <f t="shared" si="610"/>
        <v>10746.77492877493</v>
      </c>
      <c r="J117" s="61">
        <f t="shared" si="610"/>
        <v>513.11649999999997</v>
      </c>
      <c r="K117" s="152">
        <v>5285.2991452991455</v>
      </c>
      <c r="L117" s="28">
        <v>3411.53</v>
      </c>
      <c r="M117" s="71">
        <f t="shared" si="611"/>
        <v>16032.074074074077</v>
      </c>
      <c r="N117" s="83">
        <f t="shared" si="611"/>
        <v>3924.6465000000003</v>
      </c>
      <c r="O117" s="152">
        <v>5461.4757834757847</v>
      </c>
      <c r="P117" s="28"/>
      <c r="Q117" s="713">
        <f t="shared" si="612"/>
        <v>21493.54985754986</v>
      </c>
      <c r="R117" s="61">
        <f t="shared" si="612"/>
        <v>3924.6465000000003</v>
      </c>
      <c r="S117" s="152">
        <v>5461.4757834757847</v>
      </c>
      <c r="T117" s="28"/>
      <c r="U117" s="713">
        <f t="shared" si="613"/>
        <v>26955.025641025644</v>
      </c>
      <c r="V117" s="61">
        <f t="shared" si="614"/>
        <v>3924.6465000000003</v>
      </c>
      <c r="W117" s="152">
        <v>5042.606837606837</v>
      </c>
      <c r="X117" s="28"/>
      <c r="Y117" s="754">
        <f t="shared" si="615"/>
        <v>15965.558404558407</v>
      </c>
      <c r="Z117" s="83">
        <f t="shared" si="615"/>
        <v>0</v>
      </c>
      <c r="AA117" s="460">
        <f t="shared" si="540"/>
        <v>31997.632478632484</v>
      </c>
      <c r="AB117" s="449">
        <f t="shared" si="540"/>
        <v>3924.6465000000003</v>
      </c>
      <c r="AC117" s="152">
        <v>5461.4757834757847</v>
      </c>
      <c r="AD117" s="28">
        <v>637.928</v>
      </c>
      <c r="AE117" s="713">
        <f t="shared" si="616"/>
        <v>37459.108262108268</v>
      </c>
      <c r="AF117" s="61">
        <f t="shared" si="617"/>
        <v>4562.5745000000006</v>
      </c>
      <c r="AG117" s="152">
        <v>5285.2991452991455</v>
      </c>
      <c r="AH117" s="28"/>
      <c r="AI117" s="713">
        <f t="shared" si="618"/>
        <v>42744.407407407416</v>
      </c>
      <c r="AJ117" s="61">
        <f t="shared" si="619"/>
        <v>4562.5745000000006</v>
      </c>
      <c r="AK117" s="152">
        <v>5461.4757834757847</v>
      </c>
      <c r="AL117" s="28">
        <v>2229.3021978021984</v>
      </c>
      <c r="AM117" s="754">
        <f t="shared" si="620"/>
        <v>16208.250712250716</v>
      </c>
      <c r="AN117" s="83">
        <f t="shared" si="621"/>
        <v>2867.2301978021983</v>
      </c>
      <c r="AO117" s="753">
        <f t="shared" ref="AO117:AO119" si="632">AI117+AK117</f>
        <v>48205.8831908832</v>
      </c>
      <c r="AP117" s="753">
        <f t="shared" ref="AP117:AP119" si="633">AJ117+AL117</f>
        <v>6791.8766978021995</v>
      </c>
      <c r="AQ117" s="152">
        <v>5461.4757834757847</v>
      </c>
      <c r="AR117" s="28"/>
      <c r="AS117" s="713">
        <f t="shared" si="622"/>
        <v>53667.358974358984</v>
      </c>
      <c r="AT117" s="61">
        <f t="shared" si="623"/>
        <v>6791.8766978021995</v>
      </c>
      <c r="AU117" s="152">
        <v>4932.9458689458688</v>
      </c>
      <c r="AV117" s="28"/>
      <c r="AW117" s="713">
        <f t="shared" si="624"/>
        <v>58600.304843304853</v>
      </c>
      <c r="AX117" s="61">
        <f t="shared" si="625"/>
        <v>6791.8766978021995</v>
      </c>
      <c r="AY117" s="152">
        <v>5461.4757834757847</v>
      </c>
      <c r="AZ117" s="28"/>
      <c r="BA117" s="754">
        <f t="shared" si="626"/>
        <v>15855.897435897437</v>
      </c>
      <c r="BB117" s="83">
        <f t="shared" si="627"/>
        <v>0</v>
      </c>
      <c r="BC117" s="2437">
        <f t="shared" si="628"/>
        <v>32064.148148148153</v>
      </c>
      <c r="BD117" s="2437">
        <f t="shared" si="629"/>
        <v>2867.2301978021983</v>
      </c>
      <c r="BE117" s="775">
        <f t="shared" si="630"/>
        <v>64061.780626780637</v>
      </c>
      <c r="BF117" s="775">
        <f t="shared" si="631"/>
        <v>6791.8766978021995</v>
      </c>
      <c r="BG117" s="1202">
        <f t="shared" si="284"/>
        <v>0</v>
      </c>
      <c r="BH117" s="1202">
        <f t="shared" si="285"/>
        <v>0</v>
      </c>
      <c r="BI117" s="1202"/>
      <c r="BJ117" s="1202">
        <f t="shared" si="311"/>
        <v>0</v>
      </c>
      <c r="BK117" s="1202">
        <f t="shared" si="312"/>
        <v>0</v>
      </c>
      <c r="BL117" s="26"/>
      <c r="BM117" s="26"/>
      <c r="BN117" s="26"/>
    </row>
    <row r="118" spans="1:66" x14ac:dyDescent="0.3">
      <c r="B118" s="1717" t="s">
        <v>1344</v>
      </c>
      <c r="C118" s="770" t="s">
        <v>50</v>
      </c>
      <c r="D118" s="443"/>
      <c r="E118" s="152"/>
      <c r="F118" s="28"/>
      <c r="G118" s="152"/>
      <c r="H118" s="28"/>
      <c r="I118" s="713">
        <f t="shared" si="610"/>
        <v>0</v>
      </c>
      <c r="J118" s="61">
        <f t="shared" si="610"/>
        <v>0</v>
      </c>
      <c r="K118" s="152"/>
      <c r="L118" s="28"/>
      <c r="M118" s="71">
        <f t="shared" ref="M118" si="634">+E118+G118+K118</f>
        <v>0</v>
      </c>
      <c r="N118" s="83">
        <f t="shared" ref="N118" si="635">+F118+H118+L118</f>
        <v>0</v>
      </c>
      <c r="O118" s="152"/>
      <c r="P118" s="28"/>
      <c r="Q118" s="713">
        <f t="shared" ref="Q118" si="636">+M118+O118</f>
        <v>0</v>
      </c>
      <c r="R118" s="61">
        <f t="shared" ref="R118" si="637">+N118+P118</f>
        <v>0</v>
      </c>
      <c r="S118" s="152"/>
      <c r="T118" s="28"/>
      <c r="U118" s="713">
        <f t="shared" si="613"/>
        <v>0</v>
      </c>
      <c r="V118" s="61">
        <f t="shared" si="614"/>
        <v>0</v>
      </c>
      <c r="W118" s="152"/>
      <c r="X118" s="28">
        <v>6570.6580000000004</v>
      </c>
      <c r="Y118" s="754">
        <f t="shared" ref="Y118" si="638">+O118+S118+W118</f>
        <v>0</v>
      </c>
      <c r="Z118" s="83">
        <f t="shared" ref="Z118" si="639">+P118+T118+X118</f>
        <v>6570.6580000000004</v>
      </c>
      <c r="AA118" s="460">
        <f t="shared" ref="AA118" si="640">+M118+Y118</f>
        <v>0</v>
      </c>
      <c r="AB118" s="449">
        <f t="shared" si="540"/>
        <v>6570.6580000000004</v>
      </c>
      <c r="AC118" s="152"/>
      <c r="AD118" s="28">
        <v>7974.1</v>
      </c>
      <c r="AE118" s="713">
        <f t="shared" si="616"/>
        <v>0</v>
      </c>
      <c r="AF118" s="61">
        <f t="shared" si="617"/>
        <v>14544.758000000002</v>
      </c>
      <c r="AG118" s="152"/>
      <c r="AH118" s="28">
        <v>8209.8559999999998</v>
      </c>
      <c r="AI118" s="713">
        <f t="shared" si="618"/>
        <v>0</v>
      </c>
      <c r="AJ118" s="61">
        <f t="shared" si="619"/>
        <v>22754.614000000001</v>
      </c>
      <c r="AK118" s="152"/>
      <c r="AL118" s="28">
        <v>3824.8307692307699</v>
      </c>
      <c r="AM118" s="754">
        <f t="shared" si="620"/>
        <v>0</v>
      </c>
      <c r="AN118" s="83">
        <f t="shared" si="621"/>
        <v>20008.78676923077</v>
      </c>
      <c r="AO118" s="753">
        <f t="shared" si="632"/>
        <v>0</v>
      </c>
      <c r="AP118" s="753">
        <f t="shared" si="633"/>
        <v>26579.444769230773</v>
      </c>
      <c r="AQ118" s="152"/>
      <c r="AR118" s="28"/>
      <c r="AS118" s="713">
        <f t="shared" si="622"/>
        <v>0</v>
      </c>
      <c r="AT118" s="61">
        <f t="shared" si="623"/>
        <v>26579.444769230773</v>
      </c>
      <c r="AU118" s="152"/>
      <c r="AV118" s="28">
        <v>4305.3209999999999</v>
      </c>
      <c r="AW118" s="713">
        <f t="shared" si="624"/>
        <v>0</v>
      </c>
      <c r="AX118" s="61">
        <f t="shared" si="625"/>
        <v>30884.765769230773</v>
      </c>
      <c r="AY118" s="152"/>
      <c r="AZ118" s="28">
        <v>7423.8869999999997</v>
      </c>
      <c r="BA118" s="754">
        <f t="shared" si="626"/>
        <v>0</v>
      </c>
      <c r="BB118" s="83">
        <f t="shared" si="627"/>
        <v>11729.207999999999</v>
      </c>
      <c r="BC118" s="2437">
        <f t="shared" si="628"/>
        <v>0</v>
      </c>
      <c r="BD118" s="2437">
        <f t="shared" si="629"/>
        <v>31737.994769230769</v>
      </c>
      <c r="BE118" s="775">
        <f t="shared" si="630"/>
        <v>0</v>
      </c>
      <c r="BF118" s="775">
        <f t="shared" si="631"/>
        <v>38308.652769230772</v>
      </c>
      <c r="BG118" s="1202">
        <f t="shared" si="284"/>
        <v>0</v>
      </c>
      <c r="BH118" s="1202">
        <f t="shared" si="285"/>
        <v>0</v>
      </c>
      <c r="BI118" s="1202"/>
      <c r="BJ118" s="1202">
        <f t="shared" si="311"/>
        <v>0</v>
      </c>
      <c r="BK118" s="1202">
        <f t="shared" si="312"/>
        <v>0</v>
      </c>
      <c r="BL118" s="26"/>
      <c r="BM118" s="26"/>
      <c r="BN118" s="26"/>
    </row>
    <row r="119" spans="1:66" ht="15" thickBot="1" x14ac:dyDescent="0.35">
      <c r="B119" s="1717" t="s">
        <v>1357</v>
      </c>
      <c r="C119" s="770" t="s">
        <v>50</v>
      </c>
      <c r="D119" s="443">
        <v>38437.068376068375</v>
      </c>
      <c r="E119" s="152">
        <v>3171.1794871794873</v>
      </c>
      <c r="F119" s="28"/>
      <c r="G119" s="152">
        <v>3276.8854700854699</v>
      </c>
      <c r="H119" s="28"/>
      <c r="I119" s="713">
        <f t="shared" si="610"/>
        <v>6448.0649572649572</v>
      </c>
      <c r="J119" s="61">
        <f t="shared" si="610"/>
        <v>0</v>
      </c>
      <c r="K119" s="152">
        <v>3171.1794871794873</v>
      </c>
      <c r="L119" s="28"/>
      <c r="M119" s="71">
        <f t="shared" si="611"/>
        <v>9619.2444444444445</v>
      </c>
      <c r="N119" s="83">
        <f t="shared" si="611"/>
        <v>0</v>
      </c>
      <c r="O119" s="152">
        <v>3276.8854700854699</v>
      </c>
      <c r="P119" s="28">
        <v>3020.45</v>
      </c>
      <c r="Q119" s="713">
        <f t="shared" si="612"/>
        <v>12896.129914529914</v>
      </c>
      <c r="R119" s="61">
        <f t="shared" si="612"/>
        <v>3020.45</v>
      </c>
      <c r="S119" s="152">
        <v>3276.8854700854699</v>
      </c>
      <c r="T119" s="28">
        <v>8470.5740000000005</v>
      </c>
      <c r="U119" s="713">
        <f t="shared" si="613"/>
        <v>16173.015384615384</v>
      </c>
      <c r="V119" s="61">
        <f t="shared" si="614"/>
        <v>11491.024000000001</v>
      </c>
      <c r="W119" s="152">
        <v>3025.5641025641025</v>
      </c>
      <c r="X119" s="28">
        <v>1647.518</v>
      </c>
      <c r="Y119" s="773">
        <f t="shared" si="615"/>
        <v>9579.3350427350415</v>
      </c>
      <c r="Z119" s="83">
        <f t="shared" si="615"/>
        <v>13138.542000000001</v>
      </c>
      <c r="AA119" s="460">
        <f t="shared" si="540"/>
        <v>19198.579487179486</v>
      </c>
      <c r="AB119" s="449">
        <f t="shared" si="540"/>
        <v>13138.542000000001</v>
      </c>
      <c r="AC119" s="152">
        <v>3276.8854700854699</v>
      </c>
      <c r="AD119" s="28"/>
      <c r="AE119" s="713">
        <f t="shared" si="616"/>
        <v>22475.464957264958</v>
      </c>
      <c r="AF119" s="61">
        <f t="shared" si="617"/>
        <v>13138.542000000001</v>
      </c>
      <c r="AG119" s="152">
        <v>3171.1794871794873</v>
      </c>
      <c r="AH119" s="28"/>
      <c r="AI119" s="713">
        <f t="shared" si="618"/>
        <v>25646.644444444446</v>
      </c>
      <c r="AJ119" s="61">
        <f t="shared" si="619"/>
        <v>13138.542000000001</v>
      </c>
      <c r="AK119" s="152">
        <v>3276.8854700854699</v>
      </c>
      <c r="AL119" s="28"/>
      <c r="AM119" s="773">
        <f t="shared" si="620"/>
        <v>9724.9504273504281</v>
      </c>
      <c r="AN119" s="83">
        <f t="shared" si="621"/>
        <v>0</v>
      </c>
      <c r="AO119" s="753">
        <f t="shared" si="632"/>
        <v>28923.529914529914</v>
      </c>
      <c r="AP119" s="753">
        <f t="shared" si="633"/>
        <v>13138.542000000001</v>
      </c>
      <c r="AQ119" s="152">
        <v>3276.8854700854699</v>
      </c>
      <c r="AR119" s="28"/>
      <c r="AS119" s="713">
        <f t="shared" si="622"/>
        <v>32200.415384615386</v>
      </c>
      <c r="AT119" s="61">
        <f t="shared" si="623"/>
        <v>13138.542000000001</v>
      </c>
      <c r="AU119" s="152">
        <v>2959.7675213675211</v>
      </c>
      <c r="AV119" s="28"/>
      <c r="AW119" s="713">
        <f t="shared" si="624"/>
        <v>35160.182905982903</v>
      </c>
      <c r="AX119" s="61">
        <f t="shared" si="625"/>
        <v>13138.542000000001</v>
      </c>
      <c r="AY119" s="152">
        <v>3276.8854700854699</v>
      </c>
      <c r="AZ119" s="28"/>
      <c r="BA119" s="773">
        <f t="shared" si="626"/>
        <v>9513.538461538461</v>
      </c>
      <c r="BB119" s="83">
        <f t="shared" si="627"/>
        <v>0</v>
      </c>
      <c r="BC119" s="2437">
        <f t="shared" si="628"/>
        <v>19238.488888888889</v>
      </c>
      <c r="BD119" s="2437">
        <f t="shared" si="629"/>
        <v>0</v>
      </c>
      <c r="BE119" s="775">
        <f t="shared" si="630"/>
        <v>38437.068376068375</v>
      </c>
      <c r="BF119" s="775">
        <f t="shared" si="631"/>
        <v>13138.542000000001</v>
      </c>
      <c r="BG119" s="1202">
        <f t="shared" si="284"/>
        <v>0</v>
      </c>
      <c r="BH119" s="1202">
        <f t="shared" si="285"/>
        <v>0</v>
      </c>
      <c r="BI119" s="1202"/>
      <c r="BJ119" s="1202">
        <f t="shared" si="311"/>
        <v>0</v>
      </c>
      <c r="BK119" s="1202">
        <f t="shared" si="312"/>
        <v>0</v>
      </c>
      <c r="BL119" s="26"/>
      <c r="BM119" s="26"/>
      <c r="BN119" s="26"/>
    </row>
    <row r="120" spans="1:66" ht="16.2" thickBot="1" x14ac:dyDescent="0.35">
      <c r="B120" s="1796" t="s">
        <v>134</v>
      </c>
      <c r="C120" s="1643" t="s">
        <v>50</v>
      </c>
      <c r="D120" s="136">
        <f>SUM(D116:D119)</f>
        <v>320308.90313390316</v>
      </c>
      <c r="E120" s="768">
        <f>SUM(E116:E119)</f>
        <v>26426.495726495727</v>
      </c>
      <c r="F120" s="768">
        <f>SUM(F116:F119)</f>
        <v>24101.197199999999</v>
      </c>
      <c r="G120" s="768">
        <f>SUM(G116:G119)</f>
        <v>27307.378917378919</v>
      </c>
      <c r="H120" s="768">
        <f>SUM(H116:H119)</f>
        <v>25145.46</v>
      </c>
      <c r="I120" s="768">
        <f t="shared" ref="I120:N120" si="641">SUM(I116:I119)</f>
        <v>53733.874643874646</v>
      </c>
      <c r="J120" s="768">
        <f t="shared" si="641"/>
        <v>49246.657199999994</v>
      </c>
      <c r="K120" s="768">
        <f>SUM(K116:K119)</f>
        <v>26426.495726495727</v>
      </c>
      <c r="L120" s="768">
        <f>SUM(L116:L119)</f>
        <v>24579.649999999998</v>
      </c>
      <c r="M120" s="1555">
        <f t="shared" si="641"/>
        <v>80160.370370370365</v>
      </c>
      <c r="N120" s="1555">
        <f t="shared" si="641"/>
        <v>73826.307199999996</v>
      </c>
      <c r="O120" s="768">
        <f>SUM(O116:O119)</f>
        <v>27307.378917378919</v>
      </c>
      <c r="P120" s="768">
        <f>SUM(P116:P119)</f>
        <v>25536.530000000002</v>
      </c>
      <c r="Q120" s="768">
        <f t="shared" ref="Q120:R120" si="642">SUM(Q116:Q119)</f>
        <v>107467.74928774929</v>
      </c>
      <c r="R120" s="768">
        <f t="shared" si="642"/>
        <v>99362.837199999994</v>
      </c>
      <c r="S120" s="768">
        <f>SUM(S116:S119)</f>
        <v>27307.378917378919</v>
      </c>
      <c r="T120" s="768">
        <f>SUM(T116:T119)</f>
        <v>25411.723000000002</v>
      </c>
      <c r="U120" s="768">
        <f t="shared" ref="U120:V120" si="643">SUM(U116:U119)</f>
        <v>134775.12820512819</v>
      </c>
      <c r="V120" s="768">
        <f t="shared" si="643"/>
        <v>124774.56020000001</v>
      </c>
      <c r="W120" s="768">
        <f>SUM(W116:W119)</f>
        <v>25213.034188034184</v>
      </c>
      <c r="X120" s="768">
        <f>SUM(X116:X119)</f>
        <v>24654.53</v>
      </c>
      <c r="Y120" s="1555">
        <f t="shared" ref="Y120:Z120" si="644">SUM(Y116:Y119)</f>
        <v>79827.792022792026</v>
      </c>
      <c r="Z120" s="1555">
        <f t="shared" si="644"/>
        <v>75602.78300000001</v>
      </c>
      <c r="AA120" s="2362">
        <f t="shared" si="540"/>
        <v>159988.16239316238</v>
      </c>
      <c r="AB120" s="2362">
        <f t="shared" si="540"/>
        <v>149429.09020000001</v>
      </c>
      <c r="AC120" s="768">
        <f>SUM(AC116:AC119)</f>
        <v>27307.378917378919</v>
      </c>
      <c r="AD120" s="768">
        <f>SUM(AD116:AD119)</f>
        <v>25198.156000000003</v>
      </c>
      <c r="AE120" s="768">
        <f t="shared" ref="AE120:AF120" si="645">SUM(AE116:AE119)</f>
        <v>187295.5413105413</v>
      </c>
      <c r="AF120" s="768">
        <f t="shared" si="645"/>
        <v>174627.24619999999</v>
      </c>
      <c r="AG120" s="768">
        <f>SUM(AG116:AG119)</f>
        <v>26426.495726495727</v>
      </c>
      <c r="AH120" s="768">
        <f>SUM(AH116:AH119)</f>
        <v>24629.567999999999</v>
      </c>
      <c r="AI120" s="768">
        <f t="shared" ref="AI120:AN120" si="646">SUM(AI116:AI119)</f>
        <v>213722.03703703705</v>
      </c>
      <c r="AJ120" s="768">
        <f t="shared" si="646"/>
        <v>199256.81419999996</v>
      </c>
      <c r="AK120" s="768">
        <f>SUM(AK116:AK119)</f>
        <v>27307.378917378919</v>
      </c>
      <c r="AL120" s="768">
        <f>SUM(AL116:AL119)</f>
        <v>25470.210989010986</v>
      </c>
      <c r="AM120" s="1555">
        <f t="shared" si="646"/>
        <v>81041.253561253558</v>
      </c>
      <c r="AN120" s="1555">
        <f t="shared" si="646"/>
        <v>75297.934989010973</v>
      </c>
      <c r="AO120" s="768">
        <f t="shared" ref="AO120:AT120" si="647">SUM(AO116:AO119)</f>
        <v>241029.41595441595</v>
      </c>
      <c r="AP120" s="768">
        <f t="shared" si="647"/>
        <v>224727.02518901101</v>
      </c>
      <c r="AQ120" s="768">
        <f>SUM(AQ116:AQ119)</f>
        <v>27307.378917378919</v>
      </c>
      <c r="AR120" s="768">
        <f>SUM(AR116:AR119)</f>
        <v>26297.195</v>
      </c>
      <c r="AS120" s="768">
        <f t="shared" si="647"/>
        <v>268336.79487179487</v>
      </c>
      <c r="AT120" s="768">
        <f t="shared" si="647"/>
        <v>251024.22018901102</v>
      </c>
      <c r="AU120" s="768">
        <f>SUM(AU116:AU119)</f>
        <v>24664.729344729345</v>
      </c>
      <c r="AV120" s="768">
        <f>SUM(AV116:AV119)</f>
        <v>23792.288</v>
      </c>
      <c r="AW120" s="768">
        <f t="shared" ref="AW120:AX120" si="648">SUM(AW116:AW119)</f>
        <v>293001.52421652421</v>
      </c>
      <c r="AX120" s="768">
        <f t="shared" si="648"/>
        <v>274816.50818901102</v>
      </c>
      <c r="AY120" s="768">
        <f>SUM(AY116:AY119)</f>
        <v>27307.378917378919</v>
      </c>
      <c r="AZ120" s="768">
        <f>SUM(AZ116:AZ119)</f>
        <v>26513.881999999998</v>
      </c>
      <c r="BA120" s="1555">
        <f t="shared" ref="BA120:BB120" si="649">SUM(BA116:BA119)</f>
        <v>79279.487179487187</v>
      </c>
      <c r="BB120" s="1555">
        <f t="shared" si="649"/>
        <v>76603.364999999991</v>
      </c>
      <c r="BC120" s="2437">
        <f>+AM120+BA120</f>
        <v>160320.74074074073</v>
      </c>
      <c r="BD120" s="2437">
        <f>+AN120+BB120</f>
        <v>151901.29998901096</v>
      </c>
      <c r="BE120" s="768">
        <f t="shared" ref="BE120:BF120" si="650">SUM(BE116:BE119)</f>
        <v>320308.90313390316</v>
      </c>
      <c r="BF120" s="768">
        <f t="shared" si="650"/>
        <v>301330.390189011</v>
      </c>
      <c r="BG120" s="1202">
        <f t="shared" si="284"/>
        <v>0</v>
      </c>
      <c r="BH120" s="1202">
        <f t="shared" si="285"/>
        <v>0</v>
      </c>
      <c r="BI120" s="1202"/>
      <c r="BJ120" s="1202">
        <f t="shared" si="311"/>
        <v>0</v>
      </c>
      <c r="BK120" s="1202">
        <f t="shared" si="312"/>
        <v>0</v>
      </c>
      <c r="BL120" s="26"/>
      <c r="BM120" s="26"/>
      <c r="BN120" s="26"/>
    </row>
    <row r="121" spans="1:66" ht="15" customHeight="1" thickBot="1" x14ac:dyDescent="0.35">
      <c r="B121" s="1796" t="s">
        <v>12</v>
      </c>
      <c r="C121" s="1643" t="s">
        <v>50</v>
      </c>
      <c r="D121" s="210">
        <f>+D115+D120</f>
        <v>1242798.5441595442</v>
      </c>
      <c r="E121" s="1300">
        <f>+E115+E120</f>
        <v>102534.80341880341</v>
      </c>
      <c r="F121" s="91">
        <f>+F115+F120</f>
        <v>95532.144899999985</v>
      </c>
      <c r="G121" s="1300">
        <f>+G115+G120</f>
        <v>105952.63019943022</v>
      </c>
      <c r="H121" s="91">
        <f>+H115+H120</f>
        <v>99534.110000000015</v>
      </c>
      <c r="I121" s="27">
        <f t="shared" ref="I121:N121" si="651">+I115+I120</f>
        <v>208487.43361823363</v>
      </c>
      <c r="J121" s="27">
        <f t="shared" si="651"/>
        <v>195066.25489999997</v>
      </c>
      <c r="K121" s="1300">
        <f>+K115+K120</f>
        <v>102534.80341880341</v>
      </c>
      <c r="L121" s="91">
        <f>+L115+L120</f>
        <v>97294.43</v>
      </c>
      <c r="M121" s="1551">
        <f t="shared" si="651"/>
        <v>311022.23703703703</v>
      </c>
      <c r="N121" s="1472">
        <f t="shared" si="651"/>
        <v>292360.68489999999</v>
      </c>
      <c r="O121" s="1300">
        <f>+O115+O120</f>
        <v>105952.63019943022</v>
      </c>
      <c r="P121" s="91">
        <f>+P115+P120</f>
        <v>101082.12</v>
      </c>
      <c r="Q121" s="27">
        <f t="shared" ref="Q121:R121" si="652">+Q115+Q120</f>
        <v>416974.86723646725</v>
      </c>
      <c r="R121" s="27">
        <f t="shared" si="652"/>
        <v>393442.80490000005</v>
      </c>
      <c r="S121" s="1300">
        <f>+S115+S120</f>
        <v>105952.63019943022</v>
      </c>
      <c r="T121" s="91">
        <f>+T115+T120</f>
        <v>100588.07100000001</v>
      </c>
      <c r="U121" s="27">
        <f t="shared" ref="U121:V121" si="653">+U115+U120</f>
        <v>522927.49743589741</v>
      </c>
      <c r="V121" s="27">
        <f t="shared" si="653"/>
        <v>494030.87589999998</v>
      </c>
      <c r="W121" s="1300">
        <f>+W115+W120</f>
        <v>97826.572649572656</v>
      </c>
      <c r="X121" s="91">
        <f>+X115+X120</f>
        <v>97590.849000000002</v>
      </c>
      <c r="Y121" s="722">
        <f t="shared" ref="Y121:Z121" si="654">+Y115+Y120</f>
        <v>309731.83304843307</v>
      </c>
      <c r="Z121" s="722">
        <f t="shared" si="654"/>
        <v>299261.03999999998</v>
      </c>
      <c r="AA121" s="2317">
        <f t="shared" si="540"/>
        <v>620754.0700854701</v>
      </c>
      <c r="AB121" s="2317">
        <f t="shared" si="540"/>
        <v>591621.72490000003</v>
      </c>
      <c r="AC121" s="1300">
        <f>+AC115+AC120</f>
        <v>105952.63019943022</v>
      </c>
      <c r="AD121" s="91">
        <f>+AD115+AD120</f>
        <v>99237.673999999999</v>
      </c>
      <c r="AE121" s="27">
        <f t="shared" ref="AE121:AF121" si="655">+AE115+AE120</f>
        <v>726706.70028490038</v>
      </c>
      <c r="AF121" s="27">
        <f t="shared" si="655"/>
        <v>690859.39889999991</v>
      </c>
      <c r="AG121" s="1300">
        <f>+AG115+AG120</f>
        <v>102534.80341880341</v>
      </c>
      <c r="AH121" s="91">
        <f>+AH115+AH120</f>
        <v>97492.04</v>
      </c>
      <c r="AI121" s="27">
        <f t="shared" ref="AI121:AN121" si="656">+AI115+AI120</f>
        <v>829241.50370370387</v>
      </c>
      <c r="AJ121" s="27">
        <f t="shared" si="656"/>
        <v>788351.43889999995</v>
      </c>
      <c r="AK121" s="1300">
        <f>+AK115+AK120</f>
        <v>105952.63019943022</v>
      </c>
      <c r="AL121" s="91">
        <f>+AL115+AL120</f>
        <v>100819.58516483515</v>
      </c>
      <c r="AM121" s="722">
        <f t="shared" si="656"/>
        <v>314440.06381766382</v>
      </c>
      <c r="AN121" s="722">
        <f t="shared" si="656"/>
        <v>297549.29916483513</v>
      </c>
      <c r="AO121" s="27">
        <f t="shared" ref="AO121:AT121" si="657">+AO115+AO120</f>
        <v>935194.1339031338</v>
      </c>
      <c r="AP121" s="27">
        <f t="shared" si="657"/>
        <v>889171.02406483528</v>
      </c>
      <c r="AQ121" s="1300">
        <f>+AQ115+AQ120</f>
        <v>105952.63019943022</v>
      </c>
      <c r="AR121" s="91">
        <f>+AR115+AR120</f>
        <v>99929.342000000004</v>
      </c>
      <c r="AS121" s="27">
        <f t="shared" si="657"/>
        <v>1041146.7641025642</v>
      </c>
      <c r="AT121" s="27">
        <f t="shared" si="657"/>
        <v>989100.36606483534</v>
      </c>
      <c r="AU121" s="1300">
        <f>+AU115+AU120</f>
        <v>95699.149857549855</v>
      </c>
      <c r="AV121" s="91">
        <f>+AV115+AV120</f>
        <v>90410.692999999999</v>
      </c>
      <c r="AW121" s="27">
        <f t="shared" ref="AW121:AX121" si="658">+AW115+AW120</f>
        <v>1136845.9139601141</v>
      </c>
      <c r="AX121" s="27">
        <f t="shared" si="658"/>
        <v>1079511.0590648353</v>
      </c>
      <c r="AY121" s="1300">
        <f>+AY115+AY120</f>
        <v>105952.63019943022</v>
      </c>
      <c r="AZ121" s="91">
        <f>+AZ115+AZ120</f>
        <v>100752.753</v>
      </c>
      <c r="BA121" s="722">
        <f t="shared" ref="BA121:BB121" si="659">+BA115+BA120</f>
        <v>307604.41025641025</v>
      </c>
      <c r="BB121" s="722">
        <f t="shared" si="659"/>
        <v>291092.788</v>
      </c>
      <c r="BC121" s="2437">
        <f>+AM121+BA121</f>
        <v>622044.47407407407</v>
      </c>
      <c r="BD121" s="2437">
        <f>+AN121+BB121</f>
        <v>588642.08716483507</v>
      </c>
      <c r="BE121" s="27">
        <f t="shared" ref="BE121:BF121" si="660">+BE115+BE120</f>
        <v>1242798.5441595442</v>
      </c>
      <c r="BF121" s="27">
        <f t="shared" si="660"/>
        <v>1180263.8120648351</v>
      </c>
      <c r="BG121" s="1202">
        <f t="shared" si="284"/>
        <v>0</v>
      </c>
      <c r="BH121" s="1202">
        <f t="shared" si="285"/>
        <v>0</v>
      </c>
      <c r="BI121" s="1202"/>
      <c r="BJ121" s="1202">
        <f t="shared" si="311"/>
        <v>0</v>
      </c>
      <c r="BK121" s="1202">
        <f t="shared" si="312"/>
        <v>0</v>
      </c>
      <c r="BL121" s="26"/>
      <c r="BM121" s="26"/>
      <c r="BN121" s="26"/>
    </row>
    <row r="122" spans="1:66" ht="15.75" hidden="1" customHeight="1" x14ac:dyDescent="0.3">
      <c r="B122" s="1717" t="s">
        <v>998</v>
      </c>
      <c r="C122" s="770" t="s">
        <v>50</v>
      </c>
      <c r="D122" s="6214">
        <v>38014.683009298402</v>
      </c>
      <c r="E122" s="5888">
        <v>3136.33136094675</v>
      </c>
      <c r="F122" s="28"/>
      <c r="G122" s="5888">
        <v>3240.8757396449701</v>
      </c>
      <c r="H122" s="28"/>
      <c r="I122" s="6184">
        <f>+E122+G122</f>
        <v>6377.2071005917205</v>
      </c>
      <c r="J122" s="61">
        <f>+F122+H122</f>
        <v>0</v>
      </c>
      <c r="K122" s="5888">
        <v>3136.33136094675</v>
      </c>
      <c r="L122" s="28"/>
      <c r="M122" s="5902">
        <f>+K122+G122+E122</f>
        <v>9513.5384615384701</v>
      </c>
      <c r="N122" s="83">
        <f>+F122+H122+L122</f>
        <v>0</v>
      </c>
      <c r="O122" s="5888">
        <v>3240.8757396449701</v>
      </c>
      <c r="P122" s="28"/>
      <c r="Q122" s="6184">
        <f>+M122+O122</f>
        <v>12754.414201183441</v>
      </c>
      <c r="R122" s="61">
        <f>+N122+P122</f>
        <v>0</v>
      </c>
      <c r="S122" s="5888">
        <v>3240.8757396449701</v>
      </c>
      <c r="T122" s="28"/>
      <c r="U122" s="6184">
        <f>+Q122+S122</f>
        <v>15995.28994082841</v>
      </c>
      <c r="V122" s="61">
        <f>+R122+T122</f>
        <v>0</v>
      </c>
      <c r="W122" s="5888">
        <v>2992.3161453930702</v>
      </c>
      <c r="X122" s="28"/>
      <c r="Y122" s="6199">
        <f>+O122+S122+W122</f>
        <v>9474.0676246830099</v>
      </c>
      <c r="Z122" s="83">
        <f>+P122+T122+X122</f>
        <v>0</v>
      </c>
      <c r="AA122" s="6201">
        <f>+Y122+M122</f>
        <v>18987.60608622148</v>
      </c>
      <c r="AB122" s="449">
        <f t="shared" ref="AB122:AB124" si="661">+N122+Z122</f>
        <v>0</v>
      </c>
      <c r="AC122" s="5888">
        <v>3240.8757396449701</v>
      </c>
      <c r="AD122" s="28"/>
      <c r="AE122" s="6184">
        <f>+AA122+AC122</f>
        <v>22228.481825866449</v>
      </c>
      <c r="AF122" s="61">
        <f>+AB122+AD122</f>
        <v>0</v>
      </c>
      <c r="AG122" s="5888">
        <v>3136.33136094675</v>
      </c>
      <c r="AH122" s="28"/>
      <c r="AI122" s="6184">
        <f>+AE122+AG122</f>
        <v>25364.8131868132</v>
      </c>
      <c r="AJ122" s="61">
        <f>+AF122+AH122</f>
        <v>0</v>
      </c>
      <c r="AK122" s="5888">
        <v>3240.8757396449701</v>
      </c>
      <c r="AL122" s="28"/>
      <c r="AM122" s="6199">
        <f>+AC122+AG122+AK122</f>
        <v>9618.0828402366897</v>
      </c>
      <c r="AN122" s="83">
        <f>+AD122+AH122+AL122</f>
        <v>0</v>
      </c>
      <c r="AO122" s="6184">
        <f>AI122+AK122</f>
        <v>28605.68892645817</v>
      </c>
      <c r="AP122" s="753">
        <f t="shared" ref="AP122:AP124" si="662">AJ122+AL122</f>
        <v>0</v>
      </c>
      <c r="AQ122" s="5888">
        <v>3240.8757396449701</v>
      </c>
      <c r="AR122" s="28"/>
      <c r="AS122" s="6184">
        <f>+AO122+AQ122</f>
        <v>31846.564666103139</v>
      </c>
      <c r="AT122" s="61">
        <f>+AP122+AR122</f>
        <v>0</v>
      </c>
      <c r="AU122" s="6182">
        <v>2927.2426035502958</v>
      </c>
      <c r="AV122" s="28"/>
      <c r="AW122" s="6184">
        <f>+AS122+AU122</f>
        <v>34773.807269653436</v>
      </c>
      <c r="AX122" s="61">
        <f>+AT122+AV122</f>
        <v>0</v>
      </c>
      <c r="AY122" s="6182">
        <v>3240.8757396449705</v>
      </c>
      <c r="AZ122" s="28"/>
      <c r="BA122" s="6199">
        <f>+AQ122+AU122+AY122</f>
        <v>9408.9940828402359</v>
      </c>
      <c r="BB122" s="83">
        <f>+AR122+AV122+AZ122</f>
        <v>0</v>
      </c>
      <c r="BC122" s="6201">
        <f>+BA122+AM122</f>
        <v>19027.076923076926</v>
      </c>
      <c r="BD122" s="2437">
        <f>+AN122+BB122</f>
        <v>0</v>
      </c>
      <c r="BE122" s="6184">
        <f>+AW122+AY122</f>
        <v>38014.683009298409</v>
      </c>
      <c r="BF122" s="775">
        <f t="shared" ref="BF122:BF124" si="663">AX122+AZ122</f>
        <v>0</v>
      </c>
      <c r="BG122" s="1202">
        <f t="shared" si="284"/>
        <v>0</v>
      </c>
      <c r="BH122" s="1202">
        <f t="shared" si="285"/>
        <v>0</v>
      </c>
      <c r="BI122" s="1202"/>
      <c r="BJ122" s="1202">
        <f t="shared" si="311"/>
        <v>0</v>
      </c>
      <c r="BK122" s="1202">
        <f t="shared" si="312"/>
        <v>0</v>
      </c>
      <c r="BL122" s="26"/>
      <c r="BM122" s="26"/>
      <c r="BN122" s="26"/>
    </row>
    <row r="123" spans="1:66" ht="15" thickBot="1" x14ac:dyDescent="0.35">
      <c r="B123" s="1791" t="s">
        <v>1177</v>
      </c>
      <c r="C123" s="1374" t="s">
        <v>50</v>
      </c>
      <c r="D123" s="6214"/>
      <c r="E123" s="5888"/>
      <c r="F123" s="28">
        <v>5461.5651000000007</v>
      </c>
      <c r="G123" s="5888"/>
      <c r="H123" s="28">
        <v>5238.6400000000003</v>
      </c>
      <c r="I123" s="6181"/>
      <c r="J123" s="61">
        <f>+F123+H123</f>
        <v>10700.205100000001</v>
      </c>
      <c r="K123" s="5888"/>
      <c r="L123" s="28">
        <v>5120.76</v>
      </c>
      <c r="M123" s="5902"/>
      <c r="N123" s="83">
        <f>+F123+H123+L123</f>
        <v>15820.965100000001</v>
      </c>
      <c r="O123" s="5888"/>
      <c r="P123" s="28">
        <v>5320.11</v>
      </c>
      <c r="Q123" s="6181"/>
      <c r="R123" s="61">
        <f>+N123+P123</f>
        <v>21141.075100000002</v>
      </c>
      <c r="S123" s="5888"/>
      <c r="T123" s="28">
        <v>5294.1090000000004</v>
      </c>
      <c r="U123" s="6181"/>
      <c r="V123" s="61">
        <f>+R123+T123</f>
        <v>26435.184100000002</v>
      </c>
      <c r="W123" s="5888"/>
      <c r="X123" s="28">
        <v>5136.3609999999999</v>
      </c>
      <c r="Y123" s="5927"/>
      <c r="Z123" s="83">
        <f>+P123+T123+X123</f>
        <v>15750.580000000002</v>
      </c>
      <c r="AA123" s="6202"/>
      <c r="AB123" s="449">
        <f t="shared" si="661"/>
        <v>31571.545100000003</v>
      </c>
      <c r="AC123" s="5888"/>
      <c r="AD123" s="28">
        <v>5223.0360000000001</v>
      </c>
      <c r="AE123" s="6181"/>
      <c r="AF123" s="61">
        <f>+AB123+AD123</f>
        <v>36794.581100000003</v>
      </c>
      <c r="AG123" s="5888"/>
      <c r="AH123" s="28">
        <v>5131.16</v>
      </c>
      <c r="AI123" s="6181"/>
      <c r="AJ123" s="61">
        <f>+AF123+AH123</f>
        <v>41925.741099999999</v>
      </c>
      <c r="AK123" s="5888"/>
      <c r="AL123" s="28">
        <v>5306.2939560439581</v>
      </c>
      <c r="AM123" s="5927"/>
      <c r="AN123" s="83">
        <f>+AD123+AH123+AL123</f>
        <v>15660.489956043959</v>
      </c>
      <c r="AO123" s="6181"/>
      <c r="AP123" s="753">
        <f t="shared" si="662"/>
        <v>47232.035056043955</v>
      </c>
      <c r="AQ123" s="5888"/>
      <c r="AR123" s="28">
        <v>5259.4390000000003</v>
      </c>
      <c r="AS123" s="6181"/>
      <c r="AT123" s="61">
        <f>+AP123+AR123</f>
        <v>52491.474056043953</v>
      </c>
      <c r="AU123" s="6179"/>
      <c r="AV123" s="28">
        <v>4758.4579999999996</v>
      </c>
      <c r="AW123" s="6181"/>
      <c r="AX123" s="61">
        <f>+AT123+AV123</f>
        <v>57249.932056043952</v>
      </c>
      <c r="AY123" s="6179"/>
      <c r="AZ123" s="28">
        <v>5302.777</v>
      </c>
      <c r="BA123" s="5927"/>
      <c r="BB123" s="83">
        <f>+AR123+AV123+AZ123</f>
        <v>15320.674000000001</v>
      </c>
      <c r="BC123" s="6202"/>
      <c r="BD123" s="2437">
        <f>+AN123+BB123</f>
        <v>30981.163956043958</v>
      </c>
      <c r="BE123" s="6181"/>
      <c r="BF123" s="775">
        <f t="shared" si="663"/>
        <v>62552.709056043954</v>
      </c>
      <c r="BG123" s="1202">
        <f t="shared" si="284"/>
        <v>0</v>
      </c>
      <c r="BH123" s="1202">
        <f t="shared" si="285"/>
        <v>0</v>
      </c>
      <c r="BI123" s="1202"/>
      <c r="BJ123" s="1202">
        <f t="shared" si="311"/>
        <v>0</v>
      </c>
      <c r="BK123" s="1202">
        <f t="shared" si="312"/>
        <v>0</v>
      </c>
      <c r="BL123" s="26"/>
      <c r="BM123" s="26"/>
      <c r="BN123" s="26"/>
    </row>
    <row r="124" spans="1:66" ht="15" hidden="1" thickBot="1" x14ac:dyDescent="0.35">
      <c r="A124" s="145"/>
      <c r="B124" s="1791" t="s">
        <v>1125</v>
      </c>
      <c r="C124" s="1374" t="s">
        <v>50</v>
      </c>
      <c r="D124" s="6214"/>
      <c r="E124" s="5888"/>
      <c r="F124" s="28"/>
      <c r="G124" s="5888"/>
      <c r="H124" s="28"/>
      <c r="I124" s="6185"/>
      <c r="J124" s="61">
        <f>+F124+H124</f>
        <v>0</v>
      </c>
      <c r="K124" s="5888"/>
      <c r="L124" s="28"/>
      <c r="M124" s="5902"/>
      <c r="N124" s="83">
        <f>+F124+H124+L124</f>
        <v>0</v>
      </c>
      <c r="O124" s="5888"/>
      <c r="P124" s="28"/>
      <c r="Q124" s="6185"/>
      <c r="R124" s="61">
        <f>+N124+P124</f>
        <v>0</v>
      </c>
      <c r="S124" s="5888"/>
      <c r="T124" s="28"/>
      <c r="U124" s="6185"/>
      <c r="V124" s="61">
        <f>+R124+T124</f>
        <v>0</v>
      </c>
      <c r="W124" s="5888"/>
      <c r="X124" s="28"/>
      <c r="Y124" s="6200"/>
      <c r="Z124" s="83">
        <f>+P124+T124+X124</f>
        <v>0</v>
      </c>
      <c r="AA124" s="6203"/>
      <c r="AB124" s="449">
        <f t="shared" si="661"/>
        <v>0</v>
      </c>
      <c r="AC124" s="5888"/>
      <c r="AD124" s="28"/>
      <c r="AE124" s="6185"/>
      <c r="AF124" s="61">
        <f>+AB124+AD124</f>
        <v>0</v>
      </c>
      <c r="AG124" s="5888"/>
      <c r="AH124" s="28"/>
      <c r="AI124" s="6185"/>
      <c r="AJ124" s="61">
        <f>+AF124+AH124</f>
        <v>0</v>
      </c>
      <c r="AK124" s="5888"/>
      <c r="AL124" s="28"/>
      <c r="AM124" s="6200"/>
      <c r="AN124" s="83">
        <f>+AD124+AH124+AL124</f>
        <v>0</v>
      </c>
      <c r="AO124" s="6185"/>
      <c r="AP124" s="753">
        <f t="shared" si="662"/>
        <v>0</v>
      </c>
      <c r="AQ124" s="5888"/>
      <c r="AR124" s="28"/>
      <c r="AS124" s="6185"/>
      <c r="AT124" s="61">
        <f>+AP124+AR124</f>
        <v>0</v>
      </c>
      <c r="AU124" s="6183"/>
      <c r="AV124" s="28"/>
      <c r="AW124" s="6185"/>
      <c r="AX124" s="61">
        <f>+AT124+AV124</f>
        <v>0</v>
      </c>
      <c r="AY124" s="6183"/>
      <c r="AZ124" s="28"/>
      <c r="BA124" s="6200"/>
      <c r="BB124" s="83">
        <f>+AR124+AV124+AZ124</f>
        <v>0</v>
      </c>
      <c r="BC124" s="6203"/>
      <c r="BD124" s="2437">
        <f>+AN124+BB124</f>
        <v>0</v>
      </c>
      <c r="BE124" s="6185"/>
      <c r="BF124" s="775">
        <f t="shared" si="663"/>
        <v>0</v>
      </c>
      <c r="BG124" s="1202">
        <f t="shared" si="284"/>
        <v>0</v>
      </c>
      <c r="BH124" s="1202">
        <f t="shared" si="285"/>
        <v>0</v>
      </c>
      <c r="BI124" s="1202"/>
      <c r="BJ124" s="1202">
        <f t="shared" si="311"/>
        <v>0</v>
      </c>
      <c r="BK124" s="1202">
        <f t="shared" si="312"/>
        <v>0</v>
      </c>
      <c r="BL124" s="26"/>
      <c r="BM124" s="26"/>
      <c r="BN124" s="26"/>
    </row>
    <row r="125" spans="1:66" ht="16.2" thickBot="1" x14ac:dyDescent="0.35">
      <c r="B125" s="1797" t="s">
        <v>11</v>
      </c>
      <c r="C125" s="1376" t="s">
        <v>50</v>
      </c>
      <c r="D125" s="610">
        <f>SUM(D121:D124)</f>
        <v>1280813.2271688427</v>
      </c>
      <c r="E125" s="1104">
        <f>SUM(E121:E124)</f>
        <v>105671.13477975015</v>
      </c>
      <c r="F125" s="1168">
        <f>SUM(F121:F124)</f>
        <v>100993.70999999999</v>
      </c>
      <c r="G125" s="1104">
        <f>SUM(G121:G124)</f>
        <v>109193.50593907518</v>
      </c>
      <c r="H125" s="1168">
        <f>SUM(H121:H124)</f>
        <v>104772.75000000001</v>
      </c>
      <c r="I125" s="532">
        <f t="shared" ref="I125:N125" si="664">SUM(I121:I124)</f>
        <v>214864.64071882534</v>
      </c>
      <c r="J125" s="532">
        <f t="shared" si="664"/>
        <v>205766.45999999996</v>
      </c>
      <c r="K125" s="1104">
        <f>SUM(K121:K124)</f>
        <v>105671.13477975015</v>
      </c>
      <c r="L125" s="1168">
        <f>SUM(L121:L124)</f>
        <v>102415.18999999999</v>
      </c>
      <c r="M125" s="840">
        <f t="shared" si="664"/>
        <v>320535.77549857553</v>
      </c>
      <c r="N125" s="1557">
        <f t="shared" si="664"/>
        <v>308181.65000000002</v>
      </c>
      <c r="O125" s="1104">
        <f>SUM(O121:O124)</f>
        <v>109193.50593907518</v>
      </c>
      <c r="P125" s="1168">
        <f>SUM(P121:P124)</f>
        <v>106402.23</v>
      </c>
      <c r="Q125" s="532">
        <f t="shared" ref="Q125:R125" si="665">SUM(Q121:Q124)</f>
        <v>429729.28143765067</v>
      </c>
      <c r="R125" s="532">
        <f t="shared" si="665"/>
        <v>414583.88000000006</v>
      </c>
      <c r="S125" s="1104">
        <f>SUM(S121:S124)</f>
        <v>109193.50593907518</v>
      </c>
      <c r="T125" s="1168">
        <f>SUM(T121:T124)</f>
        <v>105882.18000000001</v>
      </c>
      <c r="U125" s="532">
        <f t="shared" ref="U125:V125" si="666">SUM(U121:U124)</f>
        <v>538922.78737672581</v>
      </c>
      <c r="V125" s="532">
        <f t="shared" si="666"/>
        <v>520466.06</v>
      </c>
      <c r="W125" s="1104">
        <f>SUM(W121:W124)</f>
        <v>100818.88879496572</v>
      </c>
      <c r="X125" s="1168">
        <f>SUM(X121:X124)</f>
        <v>102727.21</v>
      </c>
      <c r="Y125" s="349">
        <f t="shared" ref="Y125:AF125" si="667">SUM(Y121:Y124)</f>
        <v>319205.90067311609</v>
      </c>
      <c r="Z125" s="349">
        <f t="shared" si="667"/>
        <v>315011.62</v>
      </c>
      <c r="AA125" s="2316">
        <f t="shared" si="667"/>
        <v>639741.67617169162</v>
      </c>
      <c r="AB125" s="458">
        <f t="shared" si="667"/>
        <v>623193.27</v>
      </c>
      <c r="AC125" s="1104">
        <f>SUM(AC121:AC124)</f>
        <v>109193.50593907518</v>
      </c>
      <c r="AD125" s="1168">
        <f>SUM(AD121:AD124)</f>
        <v>104460.70999999999</v>
      </c>
      <c r="AE125" s="532">
        <f t="shared" si="667"/>
        <v>748935.18211076688</v>
      </c>
      <c r="AF125" s="532">
        <f t="shared" si="667"/>
        <v>727653.97999999986</v>
      </c>
      <c r="AG125" s="1104">
        <f>SUM(AG121:AG124)</f>
        <v>105671.13477975015</v>
      </c>
      <c r="AH125" s="1168">
        <f>SUM(AH121:AH124)</f>
        <v>102623.2</v>
      </c>
      <c r="AI125" s="532">
        <f t="shared" ref="AI125:AN125" si="668">SUM(AI121:AI124)</f>
        <v>854606.31689051702</v>
      </c>
      <c r="AJ125" s="532">
        <f t="shared" si="668"/>
        <v>830277.17999999993</v>
      </c>
      <c r="AK125" s="1104">
        <f>SUM(AK121:AK124)</f>
        <v>109193.50593907518</v>
      </c>
      <c r="AL125" s="1168">
        <f>SUM(AL121:AL124)</f>
        <v>106125.87912087911</v>
      </c>
      <c r="AM125" s="349">
        <f t="shared" si="668"/>
        <v>324058.14665790054</v>
      </c>
      <c r="AN125" s="349">
        <f t="shared" si="668"/>
        <v>313209.78912087908</v>
      </c>
      <c r="AO125" s="532">
        <f t="shared" ref="AO125:AT125" si="669">SUM(AO121:AO124)</f>
        <v>963799.82282959193</v>
      </c>
      <c r="AP125" s="532">
        <f t="shared" si="669"/>
        <v>936403.05912087928</v>
      </c>
      <c r="AQ125" s="1104">
        <f>SUM(AQ121:AQ124)</f>
        <v>109193.50593907518</v>
      </c>
      <c r="AR125" s="1168">
        <f>SUM(AR121:AR124)</f>
        <v>105188.781</v>
      </c>
      <c r="AS125" s="532">
        <f t="shared" si="669"/>
        <v>1072993.3287686673</v>
      </c>
      <c r="AT125" s="532">
        <f t="shared" si="669"/>
        <v>1041591.8401208792</v>
      </c>
      <c r="AU125" s="1104">
        <f>SUM(AU121:AU124)</f>
        <v>98626.392461100157</v>
      </c>
      <c r="AV125" s="1168">
        <f>SUM(AV121:AV124)</f>
        <v>95169.150999999998</v>
      </c>
      <c r="AW125" s="532">
        <f t="shared" ref="AW125:AX125" si="670">SUM(AW121:AW124)</f>
        <v>1171619.7212297677</v>
      </c>
      <c r="AX125" s="532">
        <f t="shared" si="670"/>
        <v>1136760.9911208793</v>
      </c>
      <c r="AY125" s="1104">
        <f>SUM(AY121:AY124)</f>
        <v>109193.50593907518</v>
      </c>
      <c r="AZ125" s="1168">
        <f>SUM(AZ121:AZ124)</f>
        <v>106055.53</v>
      </c>
      <c r="BA125" s="349">
        <f t="shared" ref="BA125:BB125" si="671">SUM(BA121:BA124)</f>
        <v>317013.40433925047</v>
      </c>
      <c r="BB125" s="349">
        <f t="shared" si="671"/>
        <v>306413.462</v>
      </c>
      <c r="BC125" s="2316">
        <f t="shared" ref="BC125:BD125" si="672">SUM(BC121:BC124)</f>
        <v>641071.55099715095</v>
      </c>
      <c r="BD125" s="458">
        <f t="shared" si="672"/>
        <v>619623.25112087908</v>
      </c>
      <c r="BE125" s="532">
        <f t="shared" ref="BE125:BF125" si="673">SUM(BE121:BE124)</f>
        <v>1280813.2271688427</v>
      </c>
      <c r="BF125" s="532">
        <f t="shared" si="673"/>
        <v>1242816.5211208791</v>
      </c>
      <c r="BG125" s="1202">
        <f t="shared" si="284"/>
        <v>0</v>
      </c>
      <c r="BH125" s="1202">
        <f t="shared" si="285"/>
        <v>0</v>
      </c>
      <c r="BI125" s="1202"/>
      <c r="BJ125" s="1202">
        <f t="shared" si="311"/>
        <v>0</v>
      </c>
      <c r="BK125" s="1202">
        <f t="shared" si="312"/>
        <v>0</v>
      </c>
      <c r="BL125" s="26"/>
      <c r="BM125" s="26"/>
      <c r="BN125" s="26"/>
    </row>
    <row r="126" spans="1:66" ht="18" x14ac:dyDescent="0.3">
      <c r="B126" s="1798" t="s">
        <v>647</v>
      </c>
      <c r="C126" s="1375"/>
      <c r="D126" s="531"/>
      <c r="E126" s="772"/>
      <c r="F126" s="1299"/>
      <c r="G126" s="772"/>
      <c r="H126" s="1299"/>
      <c r="I126" s="531"/>
      <c r="J126" s="531"/>
      <c r="K126" s="772"/>
      <c r="L126" s="1299"/>
      <c r="M126" s="772"/>
      <c r="N126" s="1299"/>
      <c r="O126" s="772"/>
      <c r="P126" s="1299"/>
      <c r="Q126" s="531"/>
      <c r="R126" s="531"/>
      <c r="S126" s="772"/>
      <c r="T126" s="1299"/>
      <c r="U126" s="531"/>
      <c r="V126" s="531"/>
      <c r="W126" s="772"/>
      <c r="X126" s="1299"/>
      <c r="Y126" s="531"/>
      <c r="Z126" s="531"/>
      <c r="AA126" s="2315"/>
      <c r="AB126" s="531"/>
      <c r="AC126" s="772"/>
      <c r="AD126" s="1299"/>
      <c r="AE126" s="531"/>
      <c r="AF126" s="531"/>
      <c r="AG126" s="772"/>
      <c r="AH126" s="1299"/>
      <c r="AI126" s="531"/>
      <c r="AJ126" s="531"/>
      <c r="AK126" s="772"/>
      <c r="AL126" s="1299"/>
      <c r="AM126" s="531"/>
      <c r="AN126" s="531"/>
      <c r="AO126" s="531"/>
      <c r="AP126" s="531"/>
      <c r="AQ126" s="772"/>
      <c r="AR126" s="1299"/>
      <c r="AS126" s="531"/>
      <c r="AT126" s="531"/>
      <c r="AU126" s="772"/>
      <c r="AV126" s="1299"/>
      <c r="AW126" s="531"/>
      <c r="AX126" s="531"/>
      <c r="AY126" s="772"/>
      <c r="AZ126" s="1299"/>
      <c r="BA126" s="531"/>
      <c r="BB126" s="531"/>
      <c r="BC126" s="2315"/>
      <c r="BD126" s="531"/>
      <c r="BE126" s="531"/>
      <c r="BF126" s="531"/>
      <c r="BG126" s="1202">
        <f t="shared" si="284"/>
        <v>0</v>
      </c>
      <c r="BH126" s="1202">
        <f t="shared" si="285"/>
        <v>0</v>
      </c>
      <c r="BI126" s="1202"/>
      <c r="BJ126" s="1202">
        <f t="shared" si="311"/>
        <v>0</v>
      </c>
      <c r="BK126" s="1202">
        <f t="shared" si="312"/>
        <v>0</v>
      </c>
      <c r="BL126" s="26"/>
      <c r="BM126" s="26"/>
      <c r="BN126" s="26"/>
    </row>
    <row r="127" spans="1:66" x14ac:dyDescent="0.3">
      <c r="B127" s="1791" t="s">
        <v>1970</v>
      </c>
      <c r="C127" s="1374" t="s">
        <v>50</v>
      </c>
      <c r="D127" s="1294">
        <f>+D109+D91</f>
        <v>905750.71452991455</v>
      </c>
      <c r="E127" s="1106">
        <f>+E109+E91</f>
        <v>75518.632478632484</v>
      </c>
      <c r="F127" s="1303">
        <f>+F109+F91</f>
        <v>68668.31779999999</v>
      </c>
      <c r="G127" s="1106">
        <f>+G109+G91</f>
        <v>78035.920227920229</v>
      </c>
      <c r="H127" s="1303">
        <f>+H109+H91</f>
        <v>69677.61</v>
      </c>
      <c r="I127" s="713">
        <f>+E127+G127</f>
        <v>153554.55270655273</v>
      </c>
      <c r="J127" s="61">
        <f>+F127+H127</f>
        <v>138345.9278</v>
      </c>
      <c r="K127" s="1106">
        <f>+K109+K91</f>
        <v>74507.213675213687</v>
      </c>
      <c r="L127" s="1303">
        <f>+L109+L91</f>
        <v>67831.056400000001</v>
      </c>
      <c r="M127" s="1107">
        <f t="shared" ref="M127:N132" si="674">+E127+G127+K127</f>
        <v>228061.76638176641</v>
      </c>
      <c r="N127" s="1558">
        <f t="shared" si="674"/>
        <v>206176.98420000001</v>
      </c>
      <c r="O127" s="1106">
        <f>+O109+O91</f>
        <v>76990.787464387467</v>
      </c>
      <c r="P127" s="1303">
        <f>+P109+P91</f>
        <v>71415.707999999999</v>
      </c>
      <c r="Q127" s="713">
        <f>+M127+O127</f>
        <v>305052.5538461539</v>
      </c>
      <c r="R127" s="61">
        <f>+N127+P127</f>
        <v>277592.69219999999</v>
      </c>
      <c r="S127" s="1106">
        <f>+S109+S91</f>
        <v>76990.787464387467</v>
      </c>
      <c r="T127" s="1303">
        <f>+T109+T91</f>
        <v>71852.167000000001</v>
      </c>
      <c r="U127" s="713">
        <f>+Q127+S127</f>
        <v>382043.34131054138</v>
      </c>
      <c r="V127" s="61">
        <f>+R127+T127</f>
        <v>349444.85920000001</v>
      </c>
      <c r="W127" s="1106">
        <f>+W109+W91</f>
        <v>71696.943589743591</v>
      </c>
      <c r="X127" s="1303">
        <f>+X109+X91</f>
        <v>69649.012000000002</v>
      </c>
      <c r="Y127" s="754">
        <f t="shared" ref="Y127:Y129" si="675">+O127+S127+W127</f>
        <v>225678.51851851854</v>
      </c>
      <c r="Z127" s="83">
        <f t="shared" ref="Z127:Z129" si="676">+P127+T127+X127</f>
        <v>212916.88699999999</v>
      </c>
      <c r="AA127" s="460">
        <f t="shared" ref="AA127:AA129" si="677">+M127+Y127</f>
        <v>453740.28490028495</v>
      </c>
      <c r="AB127" s="449">
        <f t="shared" ref="AB127:AB129" si="678">+N127+Z127</f>
        <v>419093.87119999999</v>
      </c>
      <c r="AC127" s="1106">
        <f>+AC109+AC91</f>
        <v>76990.787464387467</v>
      </c>
      <c r="AD127" s="1303">
        <f>+AD109+AD91</f>
        <v>70852.5</v>
      </c>
      <c r="AE127" s="713">
        <f t="shared" ref="AE127:AE132" si="679">+AA127+AC127</f>
        <v>530731.07236467244</v>
      </c>
      <c r="AF127" s="61">
        <f t="shared" ref="AF127:AF132" si="680">+AB127+AD127</f>
        <v>489946.37119999999</v>
      </c>
      <c r="AG127" s="1106">
        <f>+AG109+AG91</f>
        <v>74507.213675213687</v>
      </c>
      <c r="AH127" s="1303">
        <f>+AH109+AH91</f>
        <v>68663.539999999994</v>
      </c>
      <c r="AI127" s="713">
        <f t="shared" ref="AI127:AI132" si="681">+AE127+AG127</f>
        <v>605238.28603988606</v>
      </c>
      <c r="AJ127" s="61">
        <f t="shared" ref="AJ127:AJ132" si="682">+AF127+AH127</f>
        <v>558609.91119999997</v>
      </c>
      <c r="AK127" s="1106">
        <f>+AK109+AK91</f>
        <v>76990.787464387467</v>
      </c>
      <c r="AL127" s="1303">
        <f>+AL109+AL91</f>
        <v>69957.238555122283</v>
      </c>
      <c r="AM127" s="754">
        <f t="shared" ref="AM127:AM132" si="683">+AC127+AG127+AK127</f>
        <v>228488.78860398865</v>
      </c>
      <c r="AN127" s="83">
        <f t="shared" ref="AN127:AN132" si="684">+AD127+AH127+AL127</f>
        <v>209473.27855512226</v>
      </c>
      <c r="AO127" s="753">
        <f t="shared" ref="AO127" si="685">AI127+AK127</f>
        <v>682229.07350427355</v>
      </c>
      <c r="AP127" s="753">
        <f t="shared" ref="AP127" si="686">AJ127+AL127</f>
        <v>628567.14975512226</v>
      </c>
      <c r="AQ127" s="1106">
        <f>+AQ109+AQ91</f>
        <v>76990.787464387467</v>
      </c>
      <c r="AR127" s="1303">
        <f>+AR109+AR91</f>
        <v>69620.782999999996</v>
      </c>
      <c r="AS127" s="713">
        <f t="shared" ref="AS127:AS132" si="687">+AO127+AQ127</f>
        <v>759219.86096866103</v>
      </c>
      <c r="AT127" s="61">
        <f t="shared" ref="AT127:AT132" si="688">+AP127+AR127</f>
        <v>698187.93275512219</v>
      </c>
      <c r="AU127" s="1106">
        <f>+AU109+AU91</f>
        <v>69540.066096866096</v>
      </c>
      <c r="AV127" s="1303">
        <f>+AV109+AV91</f>
        <v>61763.122799999997</v>
      </c>
      <c r="AW127" s="713">
        <f t="shared" ref="AW127:AW132" si="689">+AS127+AU127</f>
        <v>828759.92706552707</v>
      </c>
      <c r="AX127" s="61">
        <f t="shared" ref="AX127:AX132" si="690">+AT127+AV127</f>
        <v>759951.05555512221</v>
      </c>
      <c r="AY127" s="1106">
        <f>+AY109+AY91</f>
        <v>76990.787464387467</v>
      </c>
      <c r="AZ127" s="1303">
        <f>+AZ109+AZ91</f>
        <v>63983.343999999997</v>
      </c>
      <c r="BA127" s="754">
        <f t="shared" ref="BA127:BA129" si="691">+AQ127+AU127+AY127</f>
        <v>223521.64102564106</v>
      </c>
      <c r="BB127" s="83">
        <f t="shared" ref="BB127:BB129" si="692">+AR127+AV127+AZ127</f>
        <v>195367.24979999999</v>
      </c>
      <c r="BC127" s="2437">
        <f t="shared" ref="BC127:BC132" si="693">+AM127+BA127</f>
        <v>452010.42962962971</v>
      </c>
      <c r="BD127" s="2437">
        <f t="shared" ref="BD127:BD132" si="694">+AN127+BB127</f>
        <v>404840.52835512225</v>
      </c>
      <c r="BE127" s="775">
        <f t="shared" ref="BE127:BE132" si="695">AW127+AY127</f>
        <v>905750.71452991455</v>
      </c>
      <c r="BF127" s="775">
        <f t="shared" ref="BF127:BF132" si="696">AX127+AZ127</f>
        <v>823934.39955512225</v>
      </c>
      <c r="BG127" s="1202">
        <f t="shared" si="284"/>
        <v>0</v>
      </c>
      <c r="BH127" s="1202">
        <f t="shared" si="285"/>
        <v>0</v>
      </c>
      <c r="BI127" s="1202"/>
      <c r="BJ127" s="1202">
        <f t="shared" si="311"/>
        <v>0</v>
      </c>
      <c r="BK127" s="1202">
        <f t="shared" si="312"/>
        <v>0</v>
      </c>
      <c r="BL127" s="26"/>
      <c r="BM127" s="26"/>
      <c r="BN127" s="26"/>
    </row>
    <row r="128" spans="1:66" x14ac:dyDescent="0.3">
      <c r="B128" s="1791" t="s">
        <v>10</v>
      </c>
      <c r="C128" s="1374" t="s">
        <v>50</v>
      </c>
      <c r="D128" s="1294">
        <f t="shared" ref="D128:E132" si="697">+D110+D92</f>
        <v>195741.61253561254</v>
      </c>
      <c r="E128" s="1106">
        <f t="shared" si="697"/>
        <v>16333.333333333334</v>
      </c>
      <c r="F128" s="1304">
        <f>F110+F92</f>
        <v>17595.672399999999</v>
      </c>
      <c r="G128" s="1106">
        <f t="shared" ref="G128" si="698">+G110+G92</f>
        <v>16877.777777777781</v>
      </c>
      <c r="H128" s="1304">
        <f>H110+H92</f>
        <v>19435.73</v>
      </c>
      <c r="I128" s="713">
        <f>+E128+G128</f>
        <v>33211.111111111117</v>
      </c>
      <c r="J128" s="61">
        <f>+F128+H128</f>
        <v>37031.402399999999</v>
      </c>
      <c r="K128" s="1106">
        <f t="shared" ref="K128:K132" si="699">+K110+K92</f>
        <v>16098.119658119658</v>
      </c>
      <c r="L128" s="1304">
        <f>L110+L92</f>
        <v>17192.101999999999</v>
      </c>
      <c r="M128" s="71">
        <f t="shared" si="674"/>
        <v>49309.230769230773</v>
      </c>
      <c r="N128" s="422">
        <f t="shared" si="674"/>
        <v>54223.504399999998</v>
      </c>
      <c r="O128" s="1106">
        <f t="shared" ref="O128:O132" si="700">+O110+O92</f>
        <v>16634.723646723647</v>
      </c>
      <c r="P128" s="1304">
        <f>P110+P92</f>
        <v>1716.17</v>
      </c>
      <c r="Q128" s="713">
        <f t="shared" ref="Q128:Q132" si="701">+M128+O128</f>
        <v>65943.954415954417</v>
      </c>
      <c r="R128" s="61">
        <f t="shared" ref="R128:R132" si="702">+N128+P128</f>
        <v>55939.674399999996</v>
      </c>
      <c r="S128" s="1106">
        <f t="shared" ref="S128:S132" si="703">+S110+S92</f>
        <v>16634.723646723647</v>
      </c>
      <c r="T128" s="1304">
        <f>T110+T92</f>
        <v>15147.786</v>
      </c>
      <c r="U128" s="713">
        <f t="shared" ref="U128:U132" si="704">+Q128+S128</f>
        <v>82578.678062678067</v>
      </c>
      <c r="V128" s="61">
        <f t="shared" ref="V128:V132" si="705">+R128+T128</f>
        <v>71087.460399999996</v>
      </c>
      <c r="W128" s="1106">
        <f t="shared" ref="W128:W132" si="706">+W110+W92</f>
        <v>15501.008547008545</v>
      </c>
      <c r="X128" s="1304">
        <f>X110+X92</f>
        <v>17328.204999999998</v>
      </c>
      <c r="Y128" s="754">
        <f t="shared" si="675"/>
        <v>48770.455840455841</v>
      </c>
      <c r="Z128" s="83">
        <f t="shared" si="676"/>
        <v>34192.160999999993</v>
      </c>
      <c r="AA128" s="460">
        <f t="shared" si="677"/>
        <v>98079.686609686614</v>
      </c>
      <c r="AB128" s="449">
        <f t="shared" si="678"/>
        <v>88415.665399999998</v>
      </c>
      <c r="AC128" s="1106">
        <f t="shared" ref="AC128:AC132" si="707">+AC110+AC92</f>
        <v>16634.723646723647</v>
      </c>
      <c r="AD128" s="1304">
        <f>AD110+AD92</f>
        <v>11806.232329999999</v>
      </c>
      <c r="AE128" s="713">
        <f t="shared" si="679"/>
        <v>114714.41025641026</v>
      </c>
      <c r="AF128" s="61">
        <f t="shared" si="680"/>
        <v>100221.89773</v>
      </c>
      <c r="AG128" s="1106">
        <f t="shared" ref="AG128:AG132" si="708">+AG110+AG92</f>
        <v>16098.119658119658</v>
      </c>
      <c r="AH128" s="1304">
        <f>AH110+AH92</f>
        <v>12314.784</v>
      </c>
      <c r="AI128" s="713">
        <f t="shared" si="681"/>
        <v>130812.52991452992</v>
      </c>
      <c r="AJ128" s="61">
        <f t="shared" si="682"/>
        <v>112536.68173</v>
      </c>
      <c r="AK128" s="1106">
        <f t="shared" ref="AK128:AK132" si="709">+AK110+AK92</f>
        <v>16634.723646723647</v>
      </c>
      <c r="AL128" s="1304">
        <f>AL110+AL92</f>
        <v>403.56263736263736</v>
      </c>
      <c r="AM128" s="754">
        <f t="shared" si="683"/>
        <v>49367.566951566958</v>
      </c>
      <c r="AN128" s="83">
        <f t="shared" si="684"/>
        <v>24524.578967362635</v>
      </c>
      <c r="AO128" s="753">
        <f t="shared" ref="AO128:AO132" si="710">AI128+AK128</f>
        <v>147447.25356125357</v>
      </c>
      <c r="AP128" s="753">
        <f t="shared" ref="AO128:AP134" si="711">AJ128+AL128</f>
        <v>112940.24436736264</v>
      </c>
      <c r="AQ128" s="1106">
        <f t="shared" ref="AQ128:AQ132" si="712">+AQ110+AQ92</f>
        <v>16634.723646723647</v>
      </c>
      <c r="AR128" s="1304">
        <f>AR110+AR92</f>
        <v>0</v>
      </c>
      <c r="AS128" s="713">
        <f t="shared" si="687"/>
        <v>164081.97720797721</v>
      </c>
      <c r="AT128" s="61">
        <f t="shared" si="688"/>
        <v>112940.24436736264</v>
      </c>
      <c r="AU128" s="1106">
        <f t="shared" ref="AU128:AU132" si="713">+AU110+AU92</f>
        <v>15024.911680911682</v>
      </c>
      <c r="AV128" s="1304">
        <f>AV110+AV92</f>
        <v>2948.3244</v>
      </c>
      <c r="AW128" s="713">
        <f t="shared" si="689"/>
        <v>179106.88888888888</v>
      </c>
      <c r="AX128" s="61">
        <f t="shared" si="690"/>
        <v>115888.56876736264</v>
      </c>
      <c r="AY128" s="1106">
        <f t="shared" ref="AY128:AY132" si="714">+AY110+AY92</f>
        <v>16634.723646723647</v>
      </c>
      <c r="AZ128" s="1304">
        <f>AZ110+AZ92</f>
        <v>2555.1</v>
      </c>
      <c r="BA128" s="754">
        <f t="shared" si="691"/>
        <v>48294.358974358976</v>
      </c>
      <c r="BB128" s="83">
        <f t="shared" si="692"/>
        <v>5503.4243999999999</v>
      </c>
      <c r="BC128" s="2437">
        <f t="shared" si="693"/>
        <v>97661.925925925927</v>
      </c>
      <c r="BD128" s="2437">
        <f t="shared" si="694"/>
        <v>30028.003367362635</v>
      </c>
      <c r="BE128" s="775">
        <f t="shared" si="695"/>
        <v>195741.61253561251</v>
      </c>
      <c r="BF128" s="775">
        <f t="shared" si="696"/>
        <v>118443.66876736264</v>
      </c>
      <c r="BG128" s="1202">
        <f t="shared" si="284"/>
        <v>0</v>
      </c>
      <c r="BH128" s="1202">
        <f t="shared" si="285"/>
        <v>0</v>
      </c>
      <c r="BI128" s="1202"/>
      <c r="BJ128" s="1202">
        <f t="shared" si="311"/>
        <v>0</v>
      </c>
      <c r="BK128" s="1202">
        <f t="shared" si="312"/>
        <v>0</v>
      </c>
      <c r="BL128" s="26"/>
      <c r="BM128" s="26"/>
      <c r="BN128" s="26"/>
    </row>
    <row r="129" spans="1:66" x14ac:dyDescent="0.3">
      <c r="B129" s="1792" t="s">
        <v>1972</v>
      </c>
      <c r="C129" s="1374" t="s">
        <v>50</v>
      </c>
      <c r="D129" s="1294">
        <f t="shared" si="697"/>
        <v>48935.403133903135</v>
      </c>
      <c r="E129" s="1106">
        <f t="shared" si="697"/>
        <v>4083.3333333333335</v>
      </c>
      <c r="F129" s="1304">
        <f>F111+F93</f>
        <v>0</v>
      </c>
      <c r="G129" s="1106">
        <f t="shared" ref="G129" si="715">+G111+G93</f>
        <v>4219.4444444444453</v>
      </c>
      <c r="H129" s="1304">
        <f>H111+H93</f>
        <v>0</v>
      </c>
      <c r="I129" s="713">
        <f t="shared" ref="I129:I131" si="716">+E129+G129</f>
        <v>8302.7777777777792</v>
      </c>
      <c r="J129" s="61">
        <f>+F129+H129</f>
        <v>0</v>
      </c>
      <c r="K129" s="1106">
        <f t="shared" si="699"/>
        <v>4024.5299145299145</v>
      </c>
      <c r="L129" s="1304">
        <f>L111+L93</f>
        <v>0</v>
      </c>
      <c r="M129" s="71">
        <f t="shared" si="674"/>
        <v>12327.307692307693</v>
      </c>
      <c r="N129" s="422">
        <f t="shared" si="674"/>
        <v>0</v>
      </c>
      <c r="O129" s="1106">
        <f t="shared" si="700"/>
        <v>4158.6809116809118</v>
      </c>
      <c r="P129" s="1304">
        <f>P111+P93</f>
        <v>17229.134221995999</v>
      </c>
      <c r="Q129" s="713">
        <f t="shared" si="701"/>
        <v>16485.988603988604</v>
      </c>
      <c r="R129" s="61">
        <f t="shared" si="702"/>
        <v>17229.134221995999</v>
      </c>
      <c r="S129" s="1106">
        <f t="shared" si="703"/>
        <v>4158.6809116809118</v>
      </c>
      <c r="T129" s="1304">
        <f>T111+T93</f>
        <v>12261.861000000001</v>
      </c>
      <c r="U129" s="713">
        <f t="shared" si="704"/>
        <v>20644.669515669517</v>
      </c>
      <c r="V129" s="61">
        <f t="shared" si="705"/>
        <v>29490.995221996</v>
      </c>
      <c r="W129" s="1106">
        <f t="shared" si="706"/>
        <v>3875.2521367521363</v>
      </c>
      <c r="X129" s="1304">
        <f>X111+X93</f>
        <v>20076.626</v>
      </c>
      <c r="Y129" s="754">
        <f t="shared" si="675"/>
        <v>12192.61396011396</v>
      </c>
      <c r="Z129" s="83">
        <f t="shared" si="676"/>
        <v>49567.621221996</v>
      </c>
      <c r="AA129" s="460">
        <f t="shared" si="677"/>
        <v>24519.921652421654</v>
      </c>
      <c r="AB129" s="449">
        <f t="shared" si="678"/>
        <v>49567.621221996</v>
      </c>
      <c r="AC129" s="1106">
        <f t="shared" si="707"/>
        <v>4158.6809116809118</v>
      </c>
      <c r="AD129" s="1304">
        <f>AD111+AD93</f>
        <v>15413.934999999999</v>
      </c>
      <c r="AE129" s="713">
        <f t="shared" si="679"/>
        <v>28678.602564102566</v>
      </c>
      <c r="AF129" s="61">
        <f t="shared" si="680"/>
        <v>64981.556221995997</v>
      </c>
      <c r="AG129" s="1106">
        <f t="shared" si="708"/>
        <v>4024.5299145299145</v>
      </c>
      <c r="AH129" s="1304">
        <f>AH111+AH93</f>
        <v>10276.188</v>
      </c>
      <c r="AI129" s="713">
        <f t="shared" si="681"/>
        <v>32703.13247863248</v>
      </c>
      <c r="AJ129" s="61">
        <f t="shared" si="682"/>
        <v>75257.744221995992</v>
      </c>
      <c r="AK129" s="1106">
        <f t="shared" si="709"/>
        <v>4158.6809116809118</v>
      </c>
      <c r="AL129" s="1304">
        <f>AL111+AL93</f>
        <v>0</v>
      </c>
      <c r="AM129" s="754">
        <f t="shared" si="683"/>
        <v>12341.891737891739</v>
      </c>
      <c r="AN129" s="83">
        <f t="shared" si="684"/>
        <v>25690.123</v>
      </c>
      <c r="AO129" s="753">
        <f t="shared" si="710"/>
        <v>36861.813390313393</v>
      </c>
      <c r="AP129" s="753">
        <f t="shared" si="711"/>
        <v>75257.744221995992</v>
      </c>
      <c r="AQ129" s="1106">
        <f t="shared" si="712"/>
        <v>4158.6809116809118</v>
      </c>
      <c r="AR129" s="1304">
        <f>AR111+AR93</f>
        <v>11175.875</v>
      </c>
      <c r="AS129" s="713">
        <f t="shared" si="687"/>
        <v>41020.494301994302</v>
      </c>
      <c r="AT129" s="61">
        <f t="shared" si="688"/>
        <v>86433.619221995992</v>
      </c>
      <c r="AU129" s="1106">
        <f t="shared" si="713"/>
        <v>3756.2279202279205</v>
      </c>
      <c r="AV129" s="1304">
        <f>AV111+AV93</f>
        <v>9662.5290000000005</v>
      </c>
      <c r="AW129" s="713">
        <f t="shared" si="689"/>
        <v>44776.722222222219</v>
      </c>
      <c r="AX129" s="61">
        <f t="shared" si="690"/>
        <v>96096.148221995987</v>
      </c>
      <c r="AY129" s="1106">
        <f t="shared" si="714"/>
        <v>4158.6809116809118</v>
      </c>
      <c r="AZ129" s="1304">
        <f>AZ111+AZ93</f>
        <v>0</v>
      </c>
      <c r="BA129" s="754">
        <f t="shared" si="691"/>
        <v>12073.589743589744</v>
      </c>
      <c r="BB129" s="83">
        <f t="shared" si="692"/>
        <v>20838.404000000002</v>
      </c>
      <c r="BC129" s="2437">
        <f t="shared" si="693"/>
        <v>24415.481481481482</v>
      </c>
      <c r="BD129" s="2437">
        <f t="shared" si="694"/>
        <v>46528.527000000002</v>
      </c>
      <c r="BE129" s="775">
        <f t="shared" si="695"/>
        <v>48935.403133903128</v>
      </c>
      <c r="BF129" s="775">
        <f t="shared" si="696"/>
        <v>96096.148221995987</v>
      </c>
      <c r="BG129" s="1202">
        <f t="shared" si="284"/>
        <v>0</v>
      </c>
      <c r="BH129" s="1202">
        <f t="shared" si="285"/>
        <v>0</v>
      </c>
      <c r="BI129" s="1202"/>
      <c r="BJ129" s="1202">
        <f t="shared" si="311"/>
        <v>0</v>
      </c>
      <c r="BK129" s="1202">
        <f t="shared" si="312"/>
        <v>0</v>
      </c>
      <c r="BL129" s="26"/>
      <c r="BM129" s="26"/>
      <c r="BN129" s="26"/>
    </row>
    <row r="130" spans="1:66" x14ac:dyDescent="0.3">
      <c r="B130" s="1792" t="s">
        <v>1971</v>
      </c>
      <c r="C130" s="1374" t="s">
        <v>50</v>
      </c>
      <c r="D130" s="1294">
        <f t="shared" si="697"/>
        <v>48935.403133903135</v>
      </c>
      <c r="E130" s="1106">
        <f t="shared" si="697"/>
        <v>4083.3333333333335</v>
      </c>
      <c r="F130" s="1304">
        <f>F112+F94</f>
        <v>0</v>
      </c>
      <c r="G130" s="1106">
        <f t="shared" ref="G130" si="717">+G112+G94</f>
        <v>4219.4444444444453</v>
      </c>
      <c r="H130" s="1304">
        <f>H112+H94</f>
        <v>0</v>
      </c>
      <c r="I130" s="713">
        <f t="shared" ref="I130" si="718">+E130+G130</f>
        <v>8302.7777777777792</v>
      </c>
      <c r="J130" s="61">
        <f>+F130+H130</f>
        <v>0</v>
      </c>
      <c r="K130" s="1106">
        <f t="shared" si="699"/>
        <v>4024.5299145299145</v>
      </c>
      <c r="L130" s="1304">
        <f>L112+L94</f>
        <v>925.98659999999995</v>
      </c>
      <c r="M130" s="71">
        <f t="shared" ref="M130:M131" si="719">+E130+G130+K130</f>
        <v>12327.307692307693</v>
      </c>
      <c r="N130" s="422">
        <f t="shared" ref="N130:N131" si="720">+F130+H130+L130</f>
        <v>925.98659999999995</v>
      </c>
      <c r="O130" s="1106">
        <f t="shared" si="700"/>
        <v>4158.6809116809118</v>
      </c>
      <c r="P130" s="1304">
        <f>P112+P94</f>
        <v>16299.490000000002</v>
      </c>
      <c r="Q130" s="713">
        <f t="shared" ref="Q130:Q131" si="721">+M130+O130</f>
        <v>16485.988603988604</v>
      </c>
      <c r="R130" s="61">
        <f t="shared" ref="R130:R131" si="722">+N130+P130</f>
        <v>17225.476600000002</v>
      </c>
      <c r="S130" s="1106">
        <f t="shared" si="703"/>
        <v>4158.6809116809118</v>
      </c>
      <c r="T130" s="1304">
        <f>T112+T94</f>
        <v>2210.8639999999996</v>
      </c>
      <c r="U130" s="713">
        <f t="shared" ref="U130:U131" si="723">+Q130+S130</f>
        <v>20644.669515669517</v>
      </c>
      <c r="V130" s="61">
        <f t="shared" ref="V130:V131" si="724">+R130+T130</f>
        <v>19436.340600000003</v>
      </c>
      <c r="W130" s="1106">
        <f t="shared" si="706"/>
        <v>3875.2521367521363</v>
      </c>
      <c r="X130" s="1304">
        <f>X112+X94</f>
        <v>0</v>
      </c>
      <c r="Y130" s="754">
        <f t="shared" ref="Y130:Y131" si="725">+O130+S130+W130</f>
        <v>12192.61396011396</v>
      </c>
      <c r="Z130" s="83">
        <f t="shared" ref="Z130:Z131" si="726">+P130+T130+X130</f>
        <v>18510.353999999999</v>
      </c>
      <c r="AA130" s="460">
        <f t="shared" ref="AA130:AA131" si="727">+M130+Y130</f>
        <v>24519.921652421654</v>
      </c>
      <c r="AB130" s="449">
        <f t="shared" ref="AB130:AB131" si="728">+N130+Z130</f>
        <v>19436.3406</v>
      </c>
      <c r="AC130" s="1106">
        <f t="shared" si="707"/>
        <v>4158.6809116809118</v>
      </c>
      <c r="AD130" s="1304">
        <f>AD112+AD94</f>
        <v>6569.1522580645169</v>
      </c>
      <c r="AE130" s="713">
        <f t="shared" ref="AE130:AE131" si="729">+AA130+AC130</f>
        <v>28678.602564102566</v>
      </c>
      <c r="AF130" s="61">
        <f t="shared" ref="AF130:AF131" si="730">+AB130+AD130</f>
        <v>26005.492858064517</v>
      </c>
      <c r="AG130" s="1106">
        <f t="shared" si="708"/>
        <v>4024.5299145299145</v>
      </c>
      <c r="AH130" s="1304">
        <f>AH112+AH94</f>
        <v>6411.6359999999995</v>
      </c>
      <c r="AI130" s="713">
        <f t="shared" ref="AI130:AI131" si="731">+AE130+AG130</f>
        <v>32703.13247863248</v>
      </c>
      <c r="AJ130" s="61">
        <f t="shared" ref="AJ130:AJ131" si="732">+AF130+AH130</f>
        <v>32417.128858064516</v>
      </c>
      <c r="AK130" s="1106">
        <f t="shared" si="709"/>
        <v>4158.6809116809118</v>
      </c>
      <c r="AL130" s="1304">
        <f>AL112+AL94</f>
        <v>18449.338728110597</v>
      </c>
      <c r="AM130" s="754">
        <f t="shared" ref="AM130:AM131" si="733">+AC130+AG130+AK130</f>
        <v>12341.891737891739</v>
      </c>
      <c r="AN130" s="83">
        <f t="shared" ref="AN130:AN131" si="734">+AD130+AH130+AL130</f>
        <v>31430.126986175113</v>
      </c>
      <c r="AO130" s="753">
        <f t="shared" ref="AO130:AO131" si="735">AI130+AK130</f>
        <v>36861.813390313393</v>
      </c>
      <c r="AP130" s="753">
        <f t="shared" ref="AP130:AP131" si="736">AJ130+AL130</f>
        <v>50866.467586175117</v>
      </c>
      <c r="AQ130" s="1106">
        <f t="shared" si="712"/>
        <v>4158.6809116809118</v>
      </c>
      <c r="AR130" s="1304">
        <f>AR112+AR94</f>
        <v>17683.025999999998</v>
      </c>
      <c r="AS130" s="713">
        <f t="shared" ref="AS130:AS131" si="737">+AO130+AQ130</f>
        <v>41020.494301994302</v>
      </c>
      <c r="AT130" s="61">
        <f t="shared" ref="AT130:AT131" si="738">+AP130+AR130</f>
        <v>68549.493586175115</v>
      </c>
      <c r="AU130" s="1106">
        <f t="shared" si="713"/>
        <v>3756.2279202279205</v>
      </c>
      <c r="AV130" s="1304">
        <f>AV112+AV94</f>
        <v>15873.2322</v>
      </c>
      <c r="AW130" s="713">
        <f t="shared" ref="AW130:AW131" si="739">+AS130+AU130</f>
        <v>44776.722222222219</v>
      </c>
      <c r="AX130" s="61">
        <f t="shared" ref="AX130:AX131" si="740">+AT130+AV130</f>
        <v>84422.725786175113</v>
      </c>
      <c r="AY130" s="1106">
        <f t="shared" si="714"/>
        <v>4158.6809116809118</v>
      </c>
      <c r="AZ130" s="1304">
        <f>AZ112+AZ94</f>
        <v>23192.352999999999</v>
      </c>
      <c r="BA130" s="754">
        <f t="shared" ref="BA130:BA131" si="741">+AQ130+AU130+AY130</f>
        <v>12073.589743589744</v>
      </c>
      <c r="BB130" s="83">
        <f t="shared" ref="BB130:BB131" si="742">+AR130+AV130+AZ130</f>
        <v>56748.611199999999</v>
      </c>
      <c r="BC130" s="2437">
        <f t="shared" ref="BC130:BC131" si="743">+AM130+BA130</f>
        <v>24415.481481481482</v>
      </c>
      <c r="BD130" s="2437">
        <f t="shared" ref="BD130:BD131" si="744">+AN130+BB130</f>
        <v>88178.73818617512</v>
      </c>
      <c r="BE130" s="775">
        <f t="shared" ref="BE130:BE131" si="745">AW130+AY130</f>
        <v>48935.403133903128</v>
      </c>
      <c r="BF130" s="775">
        <f t="shared" ref="BF130:BF131" si="746">AX130+AZ130</f>
        <v>107615.07878617512</v>
      </c>
      <c r="BG130" s="1202">
        <f t="shared" si="284"/>
        <v>0</v>
      </c>
      <c r="BH130" s="1202">
        <f t="shared" si="285"/>
        <v>0</v>
      </c>
      <c r="BI130" s="1202"/>
      <c r="BJ130" s="1202">
        <f t="shared" si="311"/>
        <v>0</v>
      </c>
      <c r="BK130" s="1202">
        <f t="shared" si="312"/>
        <v>0</v>
      </c>
      <c r="BL130" s="26"/>
      <c r="BM130" s="26"/>
      <c r="BN130" s="26"/>
    </row>
    <row r="131" spans="1:66" x14ac:dyDescent="0.3">
      <c r="B131" s="1792" t="s">
        <v>1266</v>
      </c>
      <c r="C131" s="1374" t="s">
        <v>50</v>
      </c>
      <c r="D131" s="1294">
        <f t="shared" si="697"/>
        <v>0</v>
      </c>
      <c r="E131" s="1106">
        <f t="shared" si="697"/>
        <v>0</v>
      </c>
      <c r="F131" s="1304">
        <f>F95+F113</f>
        <v>0</v>
      </c>
      <c r="G131" s="1106">
        <f t="shared" ref="G131" si="747">+G113+G95</f>
        <v>0</v>
      </c>
      <c r="H131" s="1304">
        <f>H95+H113</f>
        <v>0</v>
      </c>
      <c r="I131" s="713">
        <f t="shared" si="716"/>
        <v>0</v>
      </c>
      <c r="J131" s="61">
        <f>+F131+H131</f>
        <v>0</v>
      </c>
      <c r="K131" s="1106">
        <f t="shared" si="699"/>
        <v>0</v>
      </c>
      <c r="L131" s="1304">
        <f>L95+L113</f>
        <v>0</v>
      </c>
      <c r="M131" s="71">
        <f t="shared" si="719"/>
        <v>0</v>
      </c>
      <c r="N131" s="422">
        <f t="shared" si="720"/>
        <v>0</v>
      </c>
      <c r="O131" s="1106">
        <f t="shared" si="700"/>
        <v>0</v>
      </c>
      <c r="P131" s="1304">
        <f>P95+P113</f>
        <v>343.23</v>
      </c>
      <c r="Q131" s="713">
        <f t="shared" si="721"/>
        <v>0</v>
      </c>
      <c r="R131" s="61">
        <f t="shared" si="722"/>
        <v>343.23</v>
      </c>
      <c r="S131" s="1106">
        <f t="shared" si="703"/>
        <v>0</v>
      </c>
      <c r="T131" s="1304">
        <f>T95+T113</f>
        <v>514.85</v>
      </c>
      <c r="U131" s="713">
        <f t="shared" si="723"/>
        <v>0</v>
      </c>
      <c r="V131" s="61">
        <f t="shared" si="724"/>
        <v>858.08</v>
      </c>
      <c r="W131" s="1106">
        <f t="shared" si="706"/>
        <v>0</v>
      </c>
      <c r="X131" s="1304">
        <f>X95+X113</f>
        <v>0</v>
      </c>
      <c r="Y131" s="754">
        <f t="shared" si="725"/>
        <v>0</v>
      </c>
      <c r="Z131" s="83">
        <f t="shared" si="726"/>
        <v>858.08</v>
      </c>
      <c r="AA131" s="460">
        <f t="shared" si="727"/>
        <v>0</v>
      </c>
      <c r="AB131" s="449">
        <f t="shared" si="728"/>
        <v>858.08</v>
      </c>
      <c r="AC131" s="1106">
        <f t="shared" si="707"/>
        <v>0</v>
      </c>
      <c r="AD131" s="1304">
        <f>AD95+AD113</f>
        <v>1020.6849999999999</v>
      </c>
      <c r="AE131" s="713">
        <f t="shared" si="729"/>
        <v>0</v>
      </c>
      <c r="AF131" s="61">
        <f t="shared" si="730"/>
        <v>1878.7649999999999</v>
      </c>
      <c r="AG131" s="1106">
        <f t="shared" si="708"/>
        <v>0</v>
      </c>
      <c r="AH131" s="1304">
        <f>AH95+AH113</f>
        <v>0</v>
      </c>
      <c r="AI131" s="713">
        <f t="shared" si="731"/>
        <v>0</v>
      </c>
      <c r="AJ131" s="61">
        <f t="shared" si="732"/>
        <v>1878.7649999999999</v>
      </c>
      <c r="AK131" s="1106">
        <f t="shared" si="709"/>
        <v>0</v>
      </c>
      <c r="AL131" s="1304">
        <f>AL95+AL113</f>
        <v>0</v>
      </c>
      <c r="AM131" s="754">
        <f t="shared" si="733"/>
        <v>0</v>
      </c>
      <c r="AN131" s="83">
        <f t="shared" si="734"/>
        <v>1020.6849999999999</v>
      </c>
      <c r="AO131" s="753">
        <f t="shared" si="735"/>
        <v>0</v>
      </c>
      <c r="AP131" s="753">
        <f t="shared" si="736"/>
        <v>1878.7649999999999</v>
      </c>
      <c r="AQ131" s="1106">
        <f t="shared" si="712"/>
        <v>0</v>
      </c>
      <c r="AR131" s="1304">
        <f>AR95+AR113</f>
        <v>0</v>
      </c>
      <c r="AS131" s="713">
        <f t="shared" si="737"/>
        <v>0</v>
      </c>
      <c r="AT131" s="61">
        <f t="shared" si="738"/>
        <v>1878.7649999999999</v>
      </c>
      <c r="AU131" s="1106">
        <f t="shared" si="713"/>
        <v>0</v>
      </c>
      <c r="AV131" s="1304">
        <f>AV95+AV113</f>
        <v>0</v>
      </c>
      <c r="AW131" s="713">
        <f t="shared" si="739"/>
        <v>0</v>
      </c>
      <c r="AX131" s="61">
        <f t="shared" si="740"/>
        <v>1878.7649999999999</v>
      </c>
      <c r="AY131" s="1106">
        <f t="shared" si="714"/>
        <v>0</v>
      </c>
      <c r="AZ131" s="1304">
        <f>AZ95+AZ113</f>
        <v>0</v>
      </c>
      <c r="BA131" s="754">
        <f t="shared" si="741"/>
        <v>0</v>
      </c>
      <c r="BB131" s="83">
        <f t="shared" si="742"/>
        <v>0</v>
      </c>
      <c r="BC131" s="2437">
        <f t="shared" si="743"/>
        <v>0</v>
      </c>
      <c r="BD131" s="2437">
        <f t="shared" si="744"/>
        <v>1020.6849999999999</v>
      </c>
      <c r="BE131" s="775">
        <f t="shared" si="745"/>
        <v>0</v>
      </c>
      <c r="BF131" s="775">
        <f t="shared" si="746"/>
        <v>1878.7649999999999</v>
      </c>
      <c r="BG131" s="1202">
        <f t="shared" si="284"/>
        <v>0</v>
      </c>
      <c r="BH131" s="1202">
        <f t="shared" si="285"/>
        <v>0</v>
      </c>
      <c r="BI131" s="1202"/>
      <c r="BJ131" s="1202">
        <f t="shared" si="311"/>
        <v>0</v>
      </c>
      <c r="BK131" s="1202">
        <f t="shared" si="312"/>
        <v>0</v>
      </c>
      <c r="BL131" s="26"/>
      <c r="BM131" s="26"/>
      <c r="BN131" s="26"/>
    </row>
    <row r="132" spans="1:66" ht="15" thickBot="1" x14ac:dyDescent="0.35">
      <c r="B132" s="1792" t="s">
        <v>612</v>
      </c>
      <c r="C132" s="1374" t="s">
        <v>50</v>
      </c>
      <c r="D132" s="1294">
        <f t="shared" si="697"/>
        <v>176167.45128205128</v>
      </c>
      <c r="E132" s="1106">
        <f t="shared" si="697"/>
        <v>14700</v>
      </c>
      <c r="F132" s="1304">
        <f>F96+F114</f>
        <v>20144.957499999997</v>
      </c>
      <c r="G132" s="1106">
        <f t="shared" ref="G132" si="748">+G114+G96</f>
        <v>15190</v>
      </c>
      <c r="H132" s="1304">
        <f>H96+H114</f>
        <v>22578.91</v>
      </c>
      <c r="I132" s="713">
        <f>+E132+G132</f>
        <v>29890</v>
      </c>
      <c r="J132" s="61">
        <f>+F132+H132</f>
        <v>42723.867499999993</v>
      </c>
      <c r="K132" s="1106">
        <f t="shared" si="699"/>
        <v>14488.307692307691</v>
      </c>
      <c r="L132" s="1304">
        <f>L96+L114</f>
        <v>21898.656000000003</v>
      </c>
      <c r="M132" s="71">
        <f t="shared" si="674"/>
        <v>44378.307692307688</v>
      </c>
      <c r="N132" s="422">
        <f t="shared" si="674"/>
        <v>64622.523499999996</v>
      </c>
      <c r="O132" s="1106">
        <f t="shared" si="700"/>
        <v>14971.251282051282</v>
      </c>
      <c r="P132" s="1304">
        <f>P96+P114</f>
        <v>5439.9497780040001</v>
      </c>
      <c r="Q132" s="713">
        <f t="shared" si="701"/>
        <v>59349.558974358966</v>
      </c>
      <c r="R132" s="61">
        <f t="shared" si="702"/>
        <v>70062.473278003992</v>
      </c>
      <c r="S132" s="1106">
        <f t="shared" si="703"/>
        <v>14971.251282051282</v>
      </c>
      <c r="T132" s="1304">
        <f>T96+T114</f>
        <v>10510.65</v>
      </c>
      <c r="U132" s="713">
        <f t="shared" si="704"/>
        <v>74320.810256410245</v>
      </c>
      <c r="V132" s="61">
        <f t="shared" si="705"/>
        <v>80573.123278003986</v>
      </c>
      <c r="W132" s="1106">
        <f t="shared" si="706"/>
        <v>13950.90769230769</v>
      </c>
      <c r="X132" s="1304">
        <f>X96+X114</f>
        <v>2000.3759999999997</v>
      </c>
      <c r="Y132" s="754">
        <f t="shared" ref="Y132" si="749">+O132+S132+W132</f>
        <v>43893.41025641025</v>
      </c>
      <c r="Z132" s="83">
        <f t="shared" ref="Z132" si="750">+P132+T132+X132</f>
        <v>17950.975778003998</v>
      </c>
      <c r="AA132" s="460">
        <f t="shared" ref="AA132" si="751">+M132+Y132</f>
        <v>88271.717948717938</v>
      </c>
      <c r="AB132" s="449">
        <f t="shared" ref="AB132" si="752">+N132+Z132</f>
        <v>82573.49927800399</v>
      </c>
      <c r="AC132" s="1106">
        <f t="shared" si="707"/>
        <v>14971.251282051282</v>
      </c>
      <c r="AD132" s="1304">
        <f>AD96+AD114</f>
        <v>4598.4065806451608</v>
      </c>
      <c r="AE132" s="713">
        <f t="shared" si="679"/>
        <v>103242.96923076922</v>
      </c>
      <c r="AF132" s="61">
        <f t="shared" si="680"/>
        <v>87171.905858649145</v>
      </c>
      <c r="AG132" s="1106">
        <f t="shared" si="708"/>
        <v>14488.307692307691</v>
      </c>
      <c r="AH132" s="1304">
        <f>AH96+AH114</f>
        <v>9391.7160000000003</v>
      </c>
      <c r="AI132" s="713">
        <f t="shared" si="681"/>
        <v>117731.2769230769</v>
      </c>
      <c r="AJ132" s="61">
        <f t="shared" si="682"/>
        <v>96563.621858649145</v>
      </c>
      <c r="AK132" s="1106">
        <f t="shared" si="709"/>
        <v>14971.251282051282</v>
      </c>
      <c r="AL132" s="1304">
        <f>AL96+AL114</f>
        <v>20329.385868131874</v>
      </c>
      <c r="AM132" s="754">
        <f t="shared" si="683"/>
        <v>44430.810256410259</v>
      </c>
      <c r="AN132" s="83">
        <f t="shared" si="684"/>
        <v>34319.508448777036</v>
      </c>
      <c r="AO132" s="753">
        <f t="shared" si="710"/>
        <v>132702.52820512818</v>
      </c>
      <c r="AP132" s="753">
        <f t="shared" si="711"/>
        <v>116893.00772678101</v>
      </c>
      <c r="AQ132" s="1106">
        <f t="shared" si="712"/>
        <v>14971.251282051282</v>
      </c>
      <c r="AR132" s="1304">
        <f>AR96+AR114</f>
        <v>9047.723</v>
      </c>
      <c r="AS132" s="713">
        <f t="shared" si="687"/>
        <v>147673.77948717948</v>
      </c>
      <c r="AT132" s="61">
        <f t="shared" si="688"/>
        <v>125940.73072678101</v>
      </c>
      <c r="AU132" s="1106">
        <f t="shared" si="713"/>
        <v>13522.420512820512</v>
      </c>
      <c r="AV132" s="1304">
        <f>AV96+AV114</f>
        <v>8303.0489999999991</v>
      </c>
      <c r="AW132" s="713">
        <f t="shared" si="689"/>
        <v>161196.19999999998</v>
      </c>
      <c r="AX132" s="61">
        <f t="shared" si="690"/>
        <v>134243.77972678101</v>
      </c>
      <c r="AY132" s="1106">
        <f t="shared" si="714"/>
        <v>14971.251282051282</v>
      </c>
      <c r="AZ132" s="1304">
        <f>AZ96+AZ114</f>
        <v>21255.673999999999</v>
      </c>
      <c r="BA132" s="754">
        <f t="shared" ref="BA132" si="753">+AQ132+AU132+AY132</f>
        <v>43464.923076923078</v>
      </c>
      <c r="BB132" s="83">
        <f t="shared" ref="BB132" si="754">+AR132+AV132+AZ132</f>
        <v>38606.445999999996</v>
      </c>
      <c r="BC132" s="2437">
        <f t="shared" si="693"/>
        <v>87895.733333333337</v>
      </c>
      <c r="BD132" s="2437">
        <f t="shared" si="694"/>
        <v>72925.954448777033</v>
      </c>
      <c r="BE132" s="775">
        <f t="shared" si="695"/>
        <v>176167.45128205128</v>
      </c>
      <c r="BF132" s="775">
        <f t="shared" si="696"/>
        <v>155499.45372678101</v>
      </c>
      <c r="BG132" s="1202">
        <f t="shared" si="284"/>
        <v>0</v>
      </c>
      <c r="BH132" s="1202">
        <f t="shared" si="285"/>
        <v>0</v>
      </c>
      <c r="BI132" s="1202"/>
      <c r="BJ132" s="1202">
        <f t="shared" si="311"/>
        <v>0</v>
      </c>
      <c r="BK132" s="1202">
        <f t="shared" si="312"/>
        <v>0</v>
      </c>
      <c r="BL132" s="26"/>
      <c r="BM132" s="26"/>
      <c r="BN132" s="26"/>
    </row>
    <row r="133" spans="1:66" ht="16.2" thickBot="1" x14ac:dyDescent="0.35">
      <c r="B133" s="1797" t="s">
        <v>13</v>
      </c>
      <c r="C133" s="1376" t="s">
        <v>50</v>
      </c>
      <c r="D133" s="136">
        <f>SUM(D127:D132)</f>
        <v>1375530.5846153847</v>
      </c>
      <c r="E133" s="532">
        <f>SUM(E127:E132)</f>
        <v>114718.63247863247</v>
      </c>
      <c r="F133" s="768">
        <f>SUM(F127:F132)</f>
        <v>106408.94769999999</v>
      </c>
      <c r="G133" s="532">
        <f>SUM(G127:G132)</f>
        <v>118542.58689458689</v>
      </c>
      <c r="H133" s="768">
        <f>SUM(H127:H132)</f>
        <v>111692.25</v>
      </c>
      <c r="I133" s="532">
        <f t="shared" ref="I133:N133" si="755">SUM(I127:I132)</f>
        <v>233261.21937321941</v>
      </c>
      <c r="J133" s="532">
        <f t="shared" si="755"/>
        <v>218101.19769999999</v>
      </c>
      <c r="K133" s="532">
        <f>SUM(K127:K132)</f>
        <v>113142.70085470087</v>
      </c>
      <c r="L133" s="768">
        <f>SUM(L127:L132)</f>
        <v>107847.80100000001</v>
      </c>
      <c r="M133" s="349">
        <f t="shared" si="755"/>
        <v>346403.92022792023</v>
      </c>
      <c r="N133" s="1555">
        <f t="shared" si="755"/>
        <v>325948.9987</v>
      </c>
      <c r="O133" s="532">
        <f>SUM(O127:O132)</f>
        <v>116914.12421652423</v>
      </c>
      <c r="P133" s="768">
        <f>SUM(P127:P132)</f>
        <v>112443.682</v>
      </c>
      <c r="Q133" s="532">
        <f t="shared" ref="Q133:R133" si="756">SUM(Q127:Q132)</f>
        <v>463318.04444444447</v>
      </c>
      <c r="R133" s="532">
        <f t="shared" si="756"/>
        <v>438392.68069999997</v>
      </c>
      <c r="S133" s="532">
        <f>SUM(S127:S132)</f>
        <v>116914.12421652423</v>
      </c>
      <c r="T133" s="768">
        <f>SUM(T127:T132)</f>
        <v>112498.17800000001</v>
      </c>
      <c r="U133" s="532">
        <f t="shared" ref="U133:V133" si="757">SUM(U127:U132)</f>
        <v>580232.16866096877</v>
      </c>
      <c r="V133" s="532">
        <f t="shared" si="757"/>
        <v>550890.85869999998</v>
      </c>
      <c r="W133" s="532">
        <f>SUM(W127:W132)</f>
        <v>108899.36410256411</v>
      </c>
      <c r="X133" s="768">
        <f>SUM(X127:X132)</f>
        <v>109054.21900000001</v>
      </c>
      <c r="Y133" s="349">
        <f t="shared" ref="Y133:AF133" si="758">SUM(Y127:Y132)</f>
        <v>342727.61253561254</v>
      </c>
      <c r="Z133" s="349">
        <f t="shared" si="758"/>
        <v>333996.07899999997</v>
      </c>
      <c r="AA133" s="2316">
        <f t="shared" si="758"/>
        <v>689131.53276353283</v>
      </c>
      <c r="AB133" s="458">
        <f t="shared" si="758"/>
        <v>659945.07770000002</v>
      </c>
      <c r="AC133" s="532">
        <f>SUM(AC127:AC132)</f>
        <v>116914.12421652423</v>
      </c>
      <c r="AD133" s="768">
        <f>SUM(AD127:AD132)</f>
        <v>110260.91116870966</v>
      </c>
      <c r="AE133" s="532">
        <f t="shared" si="758"/>
        <v>806045.65698005713</v>
      </c>
      <c r="AF133" s="532">
        <f t="shared" si="758"/>
        <v>770205.98886870965</v>
      </c>
      <c r="AG133" s="532">
        <f>SUM(AG127:AG132)</f>
        <v>113142.70085470087</v>
      </c>
      <c r="AH133" s="768">
        <f>SUM(AH127:AH132)</f>
        <v>107057.86399999999</v>
      </c>
      <c r="AI133" s="532">
        <f t="shared" ref="AI133:AN133" si="759">SUM(AI127:AI132)</f>
        <v>919188.35783475789</v>
      </c>
      <c r="AJ133" s="532">
        <f t="shared" si="759"/>
        <v>877263.8528687096</v>
      </c>
      <c r="AK133" s="532">
        <f>SUM(AK127:AK132)</f>
        <v>116914.12421652423</v>
      </c>
      <c r="AL133" s="768">
        <f>SUM(AL127:AL132)</f>
        <v>109139.52578872739</v>
      </c>
      <c r="AM133" s="349">
        <f t="shared" si="759"/>
        <v>346970.94928774936</v>
      </c>
      <c r="AN133" s="349">
        <f t="shared" si="759"/>
        <v>326458.30095743702</v>
      </c>
      <c r="AO133" s="532">
        <f t="shared" ref="AO133:AT133" si="760">SUM(AO127:AO132)</f>
        <v>1036102.4820512821</v>
      </c>
      <c r="AP133" s="532">
        <f t="shared" si="760"/>
        <v>986403.37865743693</v>
      </c>
      <c r="AQ133" s="532">
        <f>SUM(AQ127:AQ132)</f>
        <v>116914.12421652423</v>
      </c>
      <c r="AR133" s="768">
        <f>SUM(AR127:AR132)</f>
        <v>107527.40699999999</v>
      </c>
      <c r="AS133" s="532">
        <f t="shared" si="760"/>
        <v>1153016.6062678064</v>
      </c>
      <c r="AT133" s="532">
        <f t="shared" si="760"/>
        <v>1093930.7856574371</v>
      </c>
      <c r="AU133" s="532">
        <f>SUM(AU127:AU132)</f>
        <v>105599.85413105412</v>
      </c>
      <c r="AV133" s="768">
        <f>SUM(AV127:AV132)</f>
        <v>98550.257399999988</v>
      </c>
      <c r="AW133" s="532">
        <f t="shared" ref="AW133:AX133" si="761">SUM(AW127:AW132)</f>
        <v>1258616.4603988603</v>
      </c>
      <c r="AX133" s="532">
        <f t="shared" si="761"/>
        <v>1192481.0430574368</v>
      </c>
      <c r="AY133" s="532">
        <f>SUM(AY127:AY132)</f>
        <v>116914.12421652423</v>
      </c>
      <c r="AZ133" s="768">
        <f>SUM(AZ127:AZ132)</f>
        <v>110986.47100000001</v>
      </c>
      <c r="BA133" s="349">
        <f t="shared" ref="BA133:BB133" si="762">SUM(BA127:BA132)</f>
        <v>339428.10256410262</v>
      </c>
      <c r="BB133" s="349">
        <f t="shared" si="762"/>
        <v>317064.13539999997</v>
      </c>
      <c r="BC133" s="2316">
        <f>SUM(BC127:BC132)</f>
        <v>686399.05185185187</v>
      </c>
      <c r="BD133" s="458">
        <f>SUM(BD127:BD132)</f>
        <v>643522.43635743717</v>
      </c>
      <c r="BE133" s="532">
        <f t="shared" ref="BE133:BF133" si="763">SUM(BE127:BE132)</f>
        <v>1375530.5846153847</v>
      </c>
      <c r="BF133" s="532">
        <f t="shared" si="763"/>
        <v>1303467.514057437</v>
      </c>
      <c r="BG133" s="1202">
        <f t="shared" si="284"/>
        <v>0</v>
      </c>
      <c r="BH133" s="1202">
        <f t="shared" si="285"/>
        <v>0</v>
      </c>
      <c r="BI133" s="1202"/>
      <c r="BJ133" s="1202">
        <f t="shared" si="311"/>
        <v>0</v>
      </c>
      <c r="BK133" s="1202">
        <f t="shared" si="312"/>
        <v>0</v>
      </c>
      <c r="BL133" s="26"/>
      <c r="BM133" s="26"/>
      <c r="BN133" s="26"/>
    </row>
    <row r="134" spans="1:66" x14ac:dyDescent="0.3">
      <c r="B134" s="1801" t="s">
        <v>1358</v>
      </c>
      <c r="C134" s="1374" t="s">
        <v>50</v>
      </c>
      <c r="D134" s="1294">
        <f t="shared" ref="D134:F135" si="764">+D116+D98</f>
        <v>332760.74131054129</v>
      </c>
      <c r="E134" s="1106">
        <f t="shared" si="764"/>
        <v>27766.666666666664</v>
      </c>
      <c r="F134" s="84">
        <f t="shared" si="764"/>
        <v>38258.780700000003</v>
      </c>
      <c r="G134" s="1106">
        <f t="shared" ref="G134:H134" si="765">+G116+G98</f>
        <v>28692.222222222219</v>
      </c>
      <c r="H134" s="84">
        <f t="shared" si="765"/>
        <v>39673.759999999995</v>
      </c>
      <c r="I134" s="713">
        <f t="shared" ref="I134:J137" si="766">+E134+G134</f>
        <v>56458.888888888883</v>
      </c>
      <c r="J134" s="61">
        <f t="shared" si="766"/>
        <v>77932.540699999998</v>
      </c>
      <c r="K134" s="1106">
        <f t="shared" ref="K134:L134" si="767">+K116+K98</f>
        <v>27366.803418803418</v>
      </c>
      <c r="L134" s="84">
        <f t="shared" si="767"/>
        <v>35330.267999999996</v>
      </c>
      <c r="M134" s="1107">
        <f t="shared" ref="M134:N137" si="768">+E134+G134+K134</f>
        <v>83825.692307692298</v>
      </c>
      <c r="N134" s="1549">
        <f t="shared" si="768"/>
        <v>113262.80869999999</v>
      </c>
      <c r="O134" s="1106">
        <f t="shared" ref="O134:P134" si="769">+O116+O98</f>
        <v>28279.030199430199</v>
      </c>
      <c r="P134" s="84">
        <f t="shared" si="769"/>
        <v>32813.638649700006</v>
      </c>
      <c r="Q134" s="713">
        <f t="shared" ref="Q134:R137" si="770">+M134+O134</f>
        <v>112104.7225071225</v>
      </c>
      <c r="R134" s="61">
        <f t="shared" si="770"/>
        <v>146076.4473497</v>
      </c>
      <c r="S134" s="1106">
        <f t="shared" ref="S134:T134" si="771">+S116+S98</f>
        <v>28279.030199430199</v>
      </c>
      <c r="T134" s="84">
        <f t="shared" si="771"/>
        <v>28424.789000000001</v>
      </c>
      <c r="U134" s="713">
        <f t="shared" ref="U134:U137" si="772">+Q134+S134</f>
        <v>140383.75270655268</v>
      </c>
      <c r="V134" s="61">
        <f t="shared" ref="V134:V137" si="773">+R134+T134</f>
        <v>174501.23634969999</v>
      </c>
      <c r="W134" s="1106">
        <f t="shared" ref="W134:X134" si="774">+W116+W98</f>
        <v>26351.714529914527</v>
      </c>
      <c r="X134" s="84">
        <f t="shared" si="774"/>
        <v>26345.622147800001</v>
      </c>
      <c r="Y134" s="754">
        <f t="shared" ref="Y134:Y137" si="775">+O134+S134+W134</f>
        <v>82909.774928774917</v>
      </c>
      <c r="Z134" s="83">
        <f t="shared" ref="Z134:Z137" si="776">+P134+T134+X134</f>
        <v>87584.049797500018</v>
      </c>
      <c r="AA134" s="460">
        <f t="shared" ref="AA134:AA139" si="777">+M134+Y134</f>
        <v>166735.46723646723</v>
      </c>
      <c r="AB134" s="449">
        <f t="shared" ref="AB134:AB139" si="778">+N134+Z134</f>
        <v>200846.85849750001</v>
      </c>
      <c r="AC134" s="1106">
        <f t="shared" ref="AC134:AD134" si="779">+AC116+AC98</f>
        <v>28279.030199430199</v>
      </c>
      <c r="AD134" s="84">
        <f t="shared" si="779"/>
        <v>25837.684096774195</v>
      </c>
      <c r="AE134" s="713">
        <f t="shared" ref="AE134:AE137" si="780">+AA134+AC134</f>
        <v>195014.49743589741</v>
      </c>
      <c r="AF134" s="61">
        <f t="shared" ref="AF134:AF137" si="781">+AB134+AD134</f>
        <v>226684.54259427421</v>
      </c>
      <c r="AG134" s="1106">
        <f t="shared" ref="AG134:AH134" si="782">+AG116+AG98</f>
        <v>27366.803418803418</v>
      </c>
      <c r="AH134" s="84">
        <f t="shared" si="782"/>
        <v>26571.468999999997</v>
      </c>
      <c r="AI134" s="713">
        <f t="shared" ref="AI134:AI137" si="783">+AE134+AG134</f>
        <v>222381.30085470082</v>
      </c>
      <c r="AJ134" s="61">
        <f t="shared" ref="AJ134:AJ137" si="784">+AF134+AH134</f>
        <v>253256.0115942742</v>
      </c>
      <c r="AK134" s="1106">
        <f t="shared" ref="AK134:AL134" si="785">+AK116+AK98</f>
        <v>28279.030199430199</v>
      </c>
      <c r="AL134" s="84">
        <f t="shared" si="785"/>
        <v>29891.025021978017</v>
      </c>
      <c r="AM134" s="754">
        <f t="shared" ref="AM134:AM137" si="786">+AC134+AG134+AK134</f>
        <v>83924.86381766382</v>
      </c>
      <c r="AN134" s="83">
        <f t="shared" ref="AN134:AN137" si="787">+AD134+AH134+AL134</f>
        <v>82300.178118752214</v>
      </c>
      <c r="AO134" s="753">
        <f t="shared" si="711"/>
        <v>250660.33105413103</v>
      </c>
      <c r="AP134" s="753">
        <f t="shared" si="711"/>
        <v>283147.03661625221</v>
      </c>
      <c r="AQ134" s="1106">
        <f t="shared" ref="AQ134:AR134" si="788">+AQ116+AQ98</f>
        <v>28279.030199430199</v>
      </c>
      <c r="AR134" s="84">
        <f t="shared" si="788"/>
        <v>36854.735000000001</v>
      </c>
      <c r="AS134" s="713">
        <f t="shared" ref="AS134:AS137" si="789">+AO134+AQ134</f>
        <v>278939.36125356122</v>
      </c>
      <c r="AT134" s="61">
        <f t="shared" ref="AT134:AT137" si="790">+AP134+AR134</f>
        <v>320001.7716162522</v>
      </c>
      <c r="AU134" s="1106">
        <f t="shared" ref="AU134:AV134" si="791">+AU116+AU98</f>
        <v>25542.34985754986</v>
      </c>
      <c r="AV134" s="84">
        <f t="shared" si="791"/>
        <v>28981.571000000004</v>
      </c>
      <c r="AW134" s="713">
        <f t="shared" ref="AW134:AW137" si="792">+AS134+AU134</f>
        <v>304481.7111111111</v>
      </c>
      <c r="AX134" s="61">
        <f t="shared" ref="AX134:AX137" si="793">+AT134+AV134</f>
        <v>348983.34261625219</v>
      </c>
      <c r="AY134" s="1106">
        <f t="shared" ref="AY134:AZ134" si="794">+AY116+AY98</f>
        <v>28279.030199430199</v>
      </c>
      <c r="AZ134" s="84">
        <f t="shared" si="794"/>
        <v>29999.494999999999</v>
      </c>
      <c r="BA134" s="754">
        <f t="shared" ref="BA134:BA137" si="795">+AQ134+AU134+AY134</f>
        <v>82100.41025641025</v>
      </c>
      <c r="BB134" s="83">
        <f t="shared" ref="BB134:BB137" si="796">+AR134+AV134+AZ134</f>
        <v>95835.801000000007</v>
      </c>
      <c r="BC134" s="2437">
        <f t="shared" ref="BC134:BC137" si="797">+AM134+BA134</f>
        <v>166025.27407407406</v>
      </c>
      <c r="BD134" s="2437">
        <f t="shared" ref="BD134:BD137" si="798">+AN134+BB134</f>
        <v>178135.97911875224</v>
      </c>
      <c r="BE134" s="775">
        <f t="shared" ref="BE134:BE137" si="799">AW134+AY134</f>
        <v>332760.74131054129</v>
      </c>
      <c r="BF134" s="775">
        <f t="shared" ref="BF134:BF137" si="800">AX134+AZ134</f>
        <v>378982.83761625219</v>
      </c>
      <c r="BG134" s="1202">
        <f t="shared" ref="BG134:BG196" si="801">AY134+AU134+AQ134+AK134+AG134+AC134+W134+S134+O134+K134+G134+E134-BE134</f>
        <v>0</v>
      </c>
      <c r="BH134" s="1202">
        <f t="shared" ref="BH134:BH196" si="802">AZ134+AV134+AR134+AL134+AH134+AD134+X134+T134+P134+L134+H134+F134-BF134</f>
        <v>0</v>
      </c>
      <c r="BI134" s="1202"/>
      <c r="BJ134" s="1202">
        <f t="shared" si="311"/>
        <v>0</v>
      </c>
      <c r="BK134" s="1202">
        <f t="shared" si="312"/>
        <v>0</v>
      </c>
      <c r="BL134" s="26"/>
      <c r="BM134" s="26"/>
      <c r="BN134" s="26"/>
    </row>
    <row r="135" spans="1:66" x14ac:dyDescent="0.3">
      <c r="B135" s="1717" t="s">
        <v>627</v>
      </c>
      <c r="C135" s="1644" t="s">
        <v>50</v>
      </c>
      <c r="D135" s="1294">
        <f t="shared" si="764"/>
        <v>97870.806267806271</v>
      </c>
      <c r="E135" s="1106">
        <f t="shared" si="764"/>
        <v>8166.666666666667</v>
      </c>
      <c r="F135" s="84">
        <f t="shared" si="764"/>
        <v>171.6165</v>
      </c>
      <c r="G135" s="1106">
        <f t="shared" ref="G135:H135" si="803">+G117+G99</f>
        <v>8438.8888888888905</v>
      </c>
      <c r="H135" s="84">
        <f t="shared" si="803"/>
        <v>341.5</v>
      </c>
      <c r="I135" s="713">
        <f t="shared" si="766"/>
        <v>16605.555555555558</v>
      </c>
      <c r="J135" s="61">
        <f t="shared" si="766"/>
        <v>513.11649999999997</v>
      </c>
      <c r="K135" s="1106">
        <f t="shared" ref="K135:L135" si="804">+K117+K99</f>
        <v>8049.0598290598291</v>
      </c>
      <c r="L135" s="84">
        <f t="shared" si="804"/>
        <v>3411.53</v>
      </c>
      <c r="M135" s="1107">
        <f t="shared" si="768"/>
        <v>24654.615384615387</v>
      </c>
      <c r="N135" s="1549">
        <f t="shared" si="768"/>
        <v>3924.6465000000003</v>
      </c>
      <c r="O135" s="1106">
        <f t="shared" ref="O135:P135" si="805">+O117+O99</f>
        <v>8317.3618233618236</v>
      </c>
      <c r="P135" s="84">
        <f t="shared" si="805"/>
        <v>0</v>
      </c>
      <c r="Q135" s="713">
        <f t="shared" si="770"/>
        <v>32971.977207977208</v>
      </c>
      <c r="R135" s="61">
        <f t="shared" si="770"/>
        <v>3924.6465000000003</v>
      </c>
      <c r="S135" s="1106">
        <f t="shared" ref="S135:T135" si="806">+S117+S99</f>
        <v>8317.3618233618236</v>
      </c>
      <c r="T135" s="84">
        <f t="shared" si="806"/>
        <v>0</v>
      </c>
      <c r="U135" s="713">
        <f t="shared" si="772"/>
        <v>41289.339031339034</v>
      </c>
      <c r="V135" s="61">
        <f t="shared" si="773"/>
        <v>3924.6465000000003</v>
      </c>
      <c r="W135" s="1106">
        <f t="shared" ref="W135:X135" si="807">+W117+W99</f>
        <v>7750.5042735042725</v>
      </c>
      <c r="X135" s="84">
        <f t="shared" si="807"/>
        <v>0</v>
      </c>
      <c r="Y135" s="754">
        <f t="shared" si="775"/>
        <v>24385.227920227921</v>
      </c>
      <c r="Z135" s="83">
        <f t="shared" si="776"/>
        <v>0</v>
      </c>
      <c r="AA135" s="460">
        <f t="shared" si="777"/>
        <v>49039.843304843307</v>
      </c>
      <c r="AB135" s="449">
        <f t="shared" si="778"/>
        <v>3924.6465000000003</v>
      </c>
      <c r="AC135" s="1106">
        <f t="shared" ref="AC135:AD135" si="808">+AC117+AC99</f>
        <v>8317.3618233618236</v>
      </c>
      <c r="AD135" s="84">
        <f t="shared" si="808"/>
        <v>637.928</v>
      </c>
      <c r="AE135" s="713">
        <f t="shared" si="780"/>
        <v>57357.205128205132</v>
      </c>
      <c r="AF135" s="61">
        <f t="shared" si="781"/>
        <v>4562.5745000000006</v>
      </c>
      <c r="AG135" s="1106">
        <f t="shared" ref="AG135:AH135" si="809">+AG117+AG99</f>
        <v>8049.0598290598291</v>
      </c>
      <c r="AH135" s="84">
        <f t="shared" si="809"/>
        <v>0</v>
      </c>
      <c r="AI135" s="713">
        <f t="shared" si="783"/>
        <v>65406.264957264961</v>
      </c>
      <c r="AJ135" s="61">
        <f t="shared" si="784"/>
        <v>4562.5745000000006</v>
      </c>
      <c r="AK135" s="1106">
        <f t="shared" ref="AK135:AL135" si="810">+AK117+AK99</f>
        <v>8317.3618233618236</v>
      </c>
      <c r="AL135" s="84">
        <f t="shared" si="810"/>
        <v>2229.3021978021984</v>
      </c>
      <c r="AM135" s="754">
        <f t="shared" si="786"/>
        <v>24683.783475783479</v>
      </c>
      <c r="AN135" s="83">
        <f t="shared" si="787"/>
        <v>2867.2301978021983</v>
      </c>
      <c r="AO135" s="753">
        <f t="shared" ref="AO135:AO137" si="811">AI135+AK135</f>
        <v>73723.626780626786</v>
      </c>
      <c r="AP135" s="753">
        <f t="shared" ref="AP135:AP137" si="812">AJ135+AL135</f>
        <v>6791.8766978021995</v>
      </c>
      <c r="AQ135" s="1106">
        <f t="shared" ref="AQ135:AR135" si="813">+AQ117+AQ99</f>
        <v>8317.3618233618236</v>
      </c>
      <c r="AR135" s="84">
        <f t="shared" si="813"/>
        <v>0</v>
      </c>
      <c r="AS135" s="713">
        <f t="shared" si="789"/>
        <v>82040.988603988604</v>
      </c>
      <c r="AT135" s="61">
        <f t="shared" si="790"/>
        <v>6791.8766978021995</v>
      </c>
      <c r="AU135" s="1106">
        <f t="shared" ref="AU135:AV135" si="814">+AU117+AU99</f>
        <v>7512.4558404558411</v>
      </c>
      <c r="AV135" s="84">
        <f t="shared" si="814"/>
        <v>0</v>
      </c>
      <c r="AW135" s="713">
        <f t="shared" si="792"/>
        <v>89553.444444444438</v>
      </c>
      <c r="AX135" s="61">
        <f t="shared" si="793"/>
        <v>6791.8766978021995</v>
      </c>
      <c r="AY135" s="1106">
        <f t="shared" ref="AY135:AZ135" si="815">+AY117+AY99</f>
        <v>8317.3618233618236</v>
      </c>
      <c r="AZ135" s="84">
        <f t="shared" si="815"/>
        <v>0</v>
      </c>
      <c r="BA135" s="754">
        <f t="shared" si="795"/>
        <v>24147.179487179488</v>
      </c>
      <c r="BB135" s="83">
        <f t="shared" si="796"/>
        <v>0</v>
      </c>
      <c r="BC135" s="2437">
        <f t="shared" si="797"/>
        <v>48830.962962962964</v>
      </c>
      <c r="BD135" s="2437">
        <f t="shared" si="798"/>
        <v>2867.2301978021983</v>
      </c>
      <c r="BE135" s="775">
        <f t="shared" si="799"/>
        <v>97870.806267806256</v>
      </c>
      <c r="BF135" s="775">
        <f t="shared" si="800"/>
        <v>6791.8766978021995</v>
      </c>
      <c r="BG135" s="1202">
        <f t="shared" si="801"/>
        <v>0</v>
      </c>
      <c r="BH135" s="1202">
        <f t="shared" si="802"/>
        <v>0</v>
      </c>
      <c r="BI135" s="1202"/>
      <c r="BJ135" s="1202">
        <f t="shared" si="311"/>
        <v>0</v>
      </c>
      <c r="BK135" s="1202">
        <f t="shared" si="312"/>
        <v>0</v>
      </c>
      <c r="BL135" s="26"/>
      <c r="BM135" s="26"/>
      <c r="BN135" s="26"/>
    </row>
    <row r="136" spans="1:66" x14ac:dyDescent="0.3">
      <c r="B136" s="1717" t="s">
        <v>1344</v>
      </c>
      <c r="C136" s="1644" t="s">
        <v>50</v>
      </c>
      <c r="D136" s="1294">
        <f>+D118+D100</f>
        <v>0</v>
      </c>
      <c r="E136" s="1106">
        <f>+E118+E100</f>
        <v>0</v>
      </c>
      <c r="F136" s="84">
        <f>F100+F118</f>
        <v>0</v>
      </c>
      <c r="G136" s="1106">
        <f>+G118+G100</f>
        <v>0</v>
      </c>
      <c r="H136" s="84">
        <f>H100+H118</f>
        <v>0</v>
      </c>
      <c r="I136" s="713">
        <f t="shared" si="766"/>
        <v>0</v>
      </c>
      <c r="J136" s="61">
        <f t="shared" si="766"/>
        <v>0</v>
      </c>
      <c r="K136" s="1106">
        <f>+K118+K100</f>
        <v>0</v>
      </c>
      <c r="L136" s="84">
        <f>L100+L118</f>
        <v>0</v>
      </c>
      <c r="M136" s="1107">
        <f t="shared" ref="M136" si="816">+E136+G136+K136</f>
        <v>0</v>
      </c>
      <c r="N136" s="1549">
        <f t="shared" ref="N136" si="817">+F136+H136+L136</f>
        <v>0</v>
      </c>
      <c r="O136" s="1106">
        <f>+O118+O100</f>
        <v>0</v>
      </c>
      <c r="P136" s="84">
        <f>P100+P118</f>
        <v>3516.6805570259999</v>
      </c>
      <c r="Q136" s="713">
        <f t="shared" ref="Q136" si="818">+M136+O136</f>
        <v>0</v>
      </c>
      <c r="R136" s="61">
        <f t="shared" ref="R136" si="819">+N136+P136</f>
        <v>3516.6805570259999</v>
      </c>
      <c r="S136" s="1106">
        <f>+S118+S100</f>
        <v>0</v>
      </c>
      <c r="T136" s="84">
        <f>T100+T118</f>
        <v>0</v>
      </c>
      <c r="U136" s="713">
        <f t="shared" si="772"/>
        <v>0</v>
      </c>
      <c r="V136" s="61">
        <f t="shared" si="773"/>
        <v>3516.6805570259999</v>
      </c>
      <c r="W136" s="1106">
        <f>+W118+W100</f>
        <v>0</v>
      </c>
      <c r="X136" s="84">
        <f>X100+X118</f>
        <v>8978.3327800000006</v>
      </c>
      <c r="Y136" s="754">
        <f t="shared" si="775"/>
        <v>0</v>
      </c>
      <c r="Z136" s="83">
        <f t="shared" si="776"/>
        <v>12495.013337026001</v>
      </c>
      <c r="AA136" s="460">
        <f t="shared" si="777"/>
        <v>0</v>
      </c>
      <c r="AB136" s="449">
        <f t="shared" si="778"/>
        <v>12495.013337026001</v>
      </c>
      <c r="AC136" s="1106">
        <f>+AC118+AC100</f>
        <v>0</v>
      </c>
      <c r="AD136" s="84">
        <f>AD100+AD118</f>
        <v>13411.898258064517</v>
      </c>
      <c r="AE136" s="713">
        <f t="shared" si="780"/>
        <v>0</v>
      </c>
      <c r="AF136" s="61">
        <f t="shared" si="781"/>
        <v>25906.911595090518</v>
      </c>
      <c r="AG136" s="1106">
        <f>+AG118+AG100</f>
        <v>0</v>
      </c>
      <c r="AH136" s="84">
        <f>AH100+AH118</f>
        <v>11949.976999999999</v>
      </c>
      <c r="AI136" s="713">
        <f t="shared" si="783"/>
        <v>0</v>
      </c>
      <c r="AJ136" s="61">
        <f t="shared" si="784"/>
        <v>37856.888595090517</v>
      </c>
      <c r="AK136" s="1106">
        <f>+AK118+AK100</f>
        <v>0</v>
      </c>
      <c r="AL136" s="84">
        <f>AL100+AL118</f>
        <v>7684.0217692307697</v>
      </c>
      <c r="AM136" s="754">
        <f t="shared" si="786"/>
        <v>0</v>
      </c>
      <c r="AN136" s="83">
        <f t="shared" si="787"/>
        <v>33045.897027295287</v>
      </c>
      <c r="AO136" s="753">
        <f t="shared" si="811"/>
        <v>0</v>
      </c>
      <c r="AP136" s="753">
        <f t="shared" si="812"/>
        <v>45540.910364321287</v>
      </c>
      <c r="AQ136" s="1106">
        <f>+AQ118+AQ100</f>
        <v>0</v>
      </c>
      <c r="AR136" s="84">
        <f>AR100+AR118</f>
        <v>3889.6199999999994</v>
      </c>
      <c r="AS136" s="713">
        <f t="shared" si="789"/>
        <v>0</v>
      </c>
      <c r="AT136" s="61">
        <f t="shared" si="790"/>
        <v>49430.53036432129</v>
      </c>
      <c r="AU136" s="1106">
        <f>+AU118+AU100</f>
        <v>0</v>
      </c>
      <c r="AV136" s="84">
        <f>AV100+AV118</f>
        <v>7803.3330000000005</v>
      </c>
      <c r="AW136" s="713">
        <f t="shared" si="792"/>
        <v>0</v>
      </c>
      <c r="AX136" s="61">
        <f t="shared" si="793"/>
        <v>57233.863364321289</v>
      </c>
      <c r="AY136" s="1106">
        <f>+AY118+AY100</f>
        <v>0</v>
      </c>
      <c r="AZ136" s="84">
        <f>AZ100+AZ118</f>
        <v>11443.187</v>
      </c>
      <c r="BA136" s="754">
        <f t="shared" si="795"/>
        <v>0</v>
      </c>
      <c r="BB136" s="83">
        <f t="shared" si="796"/>
        <v>23136.14</v>
      </c>
      <c r="BC136" s="2437">
        <f t="shared" si="797"/>
        <v>0</v>
      </c>
      <c r="BD136" s="2437">
        <f t="shared" si="798"/>
        <v>56182.037027295286</v>
      </c>
      <c r="BE136" s="775">
        <f t="shared" si="799"/>
        <v>0</v>
      </c>
      <c r="BF136" s="775">
        <f t="shared" si="800"/>
        <v>68677.050364321287</v>
      </c>
      <c r="BG136" s="1202">
        <f t="shared" si="801"/>
        <v>0</v>
      </c>
      <c r="BH136" s="1202">
        <f t="shared" si="802"/>
        <v>0</v>
      </c>
      <c r="BI136" s="1202"/>
      <c r="BJ136" s="1202">
        <f t="shared" si="311"/>
        <v>0</v>
      </c>
      <c r="BK136" s="1202">
        <f t="shared" si="312"/>
        <v>0</v>
      </c>
      <c r="BL136" s="26"/>
      <c r="BM136" s="26"/>
      <c r="BN136" s="26"/>
    </row>
    <row r="137" spans="1:66" ht="15" thickBot="1" x14ac:dyDescent="0.35">
      <c r="B137" s="1717" t="s">
        <v>1357</v>
      </c>
      <c r="C137" s="1644" t="s">
        <v>50</v>
      </c>
      <c r="D137" s="1294">
        <f>+D119+D101</f>
        <v>58722.483760683754</v>
      </c>
      <c r="E137" s="1110">
        <f>+E119+E101</f>
        <v>4900</v>
      </c>
      <c r="F137" s="121">
        <f>+F119+F101</f>
        <v>0</v>
      </c>
      <c r="G137" s="1110">
        <f>+G119+G101</f>
        <v>5063.333333333333</v>
      </c>
      <c r="H137" s="121">
        <f>+H119+H101</f>
        <v>0</v>
      </c>
      <c r="I137" s="713">
        <f t="shared" si="766"/>
        <v>9963.3333333333321</v>
      </c>
      <c r="J137" s="61">
        <f t="shared" si="766"/>
        <v>0</v>
      </c>
      <c r="K137" s="1110">
        <f>+K119+K101</f>
        <v>4829.4358974358975</v>
      </c>
      <c r="L137" s="121">
        <f>+L119+L101</f>
        <v>0</v>
      </c>
      <c r="M137" s="71">
        <f t="shared" si="768"/>
        <v>14792.76923076923</v>
      </c>
      <c r="N137" s="122">
        <f t="shared" si="768"/>
        <v>0</v>
      </c>
      <c r="O137" s="1110">
        <f>+O119+O101</f>
        <v>4990.4170940170934</v>
      </c>
      <c r="P137" s="121">
        <f>+P119+P101</f>
        <v>3741.8205570259997</v>
      </c>
      <c r="Q137" s="713">
        <f t="shared" si="770"/>
        <v>19783.186324786322</v>
      </c>
      <c r="R137" s="61">
        <f t="shared" si="770"/>
        <v>3741.8205570259997</v>
      </c>
      <c r="S137" s="1110">
        <f>+S119+S101</f>
        <v>4990.4170940170934</v>
      </c>
      <c r="T137" s="121">
        <f>+T119+T101</f>
        <v>11341.484</v>
      </c>
      <c r="U137" s="713">
        <f t="shared" si="772"/>
        <v>24773.603418803417</v>
      </c>
      <c r="V137" s="61">
        <f t="shared" si="773"/>
        <v>15083.304557026</v>
      </c>
      <c r="W137" s="1110">
        <f>+W119+W101</f>
        <v>4650.3025641025642</v>
      </c>
      <c r="X137" s="121">
        <f>+X119+X101</f>
        <v>3221.8694779999996</v>
      </c>
      <c r="Y137" s="754">
        <f t="shared" si="775"/>
        <v>14631.13675213675</v>
      </c>
      <c r="Z137" s="83">
        <f t="shared" si="776"/>
        <v>18305.174035026001</v>
      </c>
      <c r="AA137" s="460">
        <f t="shared" si="777"/>
        <v>29423.905982905981</v>
      </c>
      <c r="AB137" s="449">
        <f t="shared" si="778"/>
        <v>18305.174035026001</v>
      </c>
      <c r="AC137" s="1110">
        <f>+AC119+AC101</f>
        <v>4990.4170940170934</v>
      </c>
      <c r="AD137" s="121">
        <f>+AD119+AD101</f>
        <v>0</v>
      </c>
      <c r="AE137" s="713">
        <f t="shared" si="780"/>
        <v>34414.323076923072</v>
      </c>
      <c r="AF137" s="61">
        <f t="shared" si="781"/>
        <v>18305.174035026001</v>
      </c>
      <c r="AG137" s="1110">
        <f>+AG119+AG101</f>
        <v>4829.4358974358975</v>
      </c>
      <c r="AH137" s="121">
        <f>+AH119+AH101</f>
        <v>0</v>
      </c>
      <c r="AI137" s="713">
        <f t="shared" si="783"/>
        <v>39243.758974358971</v>
      </c>
      <c r="AJ137" s="61">
        <f t="shared" si="784"/>
        <v>18305.174035026001</v>
      </c>
      <c r="AK137" s="1110">
        <f>+AK119+AK101</f>
        <v>4990.4170940170934</v>
      </c>
      <c r="AL137" s="121">
        <f>+AL119+AL101</f>
        <v>0</v>
      </c>
      <c r="AM137" s="754">
        <f t="shared" si="786"/>
        <v>14810.270085470083</v>
      </c>
      <c r="AN137" s="83">
        <f t="shared" si="787"/>
        <v>0</v>
      </c>
      <c r="AO137" s="753">
        <f t="shared" si="811"/>
        <v>44234.176068376066</v>
      </c>
      <c r="AP137" s="753">
        <f t="shared" si="812"/>
        <v>18305.174035026001</v>
      </c>
      <c r="AQ137" s="1110">
        <f>+AQ119+AQ101</f>
        <v>4990.4170940170934</v>
      </c>
      <c r="AR137" s="121">
        <f>+AR119+AR101</f>
        <v>0</v>
      </c>
      <c r="AS137" s="713">
        <f t="shared" si="789"/>
        <v>49224.593162393161</v>
      </c>
      <c r="AT137" s="61">
        <f t="shared" si="790"/>
        <v>18305.174035026001</v>
      </c>
      <c r="AU137" s="1110">
        <f>+AU119+AU101</f>
        <v>4507.4735042735037</v>
      </c>
      <c r="AV137" s="121">
        <f>+AV119+AV101</f>
        <v>0</v>
      </c>
      <c r="AW137" s="713">
        <f t="shared" si="792"/>
        <v>53732.066666666666</v>
      </c>
      <c r="AX137" s="61">
        <f t="shared" si="793"/>
        <v>18305.174035026001</v>
      </c>
      <c r="AY137" s="1110">
        <f>+AY119+AY101</f>
        <v>4990.4170940170934</v>
      </c>
      <c r="AZ137" s="121">
        <f>+AZ119+AZ101</f>
        <v>0</v>
      </c>
      <c r="BA137" s="754">
        <f t="shared" si="795"/>
        <v>14488.30769230769</v>
      </c>
      <c r="BB137" s="83">
        <f t="shared" si="796"/>
        <v>0</v>
      </c>
      <c r="BC137" s="2437">
        <f t="shared" si="797"/>
        <v>29298.577777777773</v>
      </c>
      <c r="BD137" s="2437">
        <f t="shared" si="798"/>
        <v>0</v>
      </c>
      <c r="BE137" s="775">
        <f t="shared" si="799"/>
        <v>58722.483760683761</v>
      </c>
      <c r="BF137" s="775">
        <f t="shared" si="800"/>
        <v>18305.174035026001</v>
      </c>
      <c r="BG137" s="1202">
        <f t="shared" si="801"/>
        <v>0</v>
      </c>
      <c r="BH137" s="1202">
        <f t="shared" si="802"/>
        <v>0</v>
      </c>
      <c r="BI137" s="1202"/>
      <c r="BJ137" s="1202">
        <f t="shared" ref="BJ137:BJ196" si="820">AC137+AG137+AK137+AQ137+AU137+AY137-BC137</f>
        <v>0</v>
      </c>
      <c r="BK137" s="1202">
        <f t="shared" ref="BK137:BK196" si="821">AD137+AH137+AL137+AR137+AV137+AZ137-BD137</f>
        <v>0</v>
      </c>
      <c r="BL137" s="26"/>
      <c r="BM137" s="26"/>
      <c r="BN137" s="26"/>
    </row>
    <row r="138" spans="1:66" ht="16.2" thickBot="1" x14ac:dyDescent="0.35">
      <c r="B138" s="1796" t="s">
        <v>134</v>
      </c>
      <c r="C138" s="1645" t="s">
        <v>50</v>
      </c>
      <c r="D138" s="136">
        <f>SUM(D134:D137)</f>
        <v>489354.03133903129</v>
      </c>
      <c r="E138" s="532">
        <f>SUM(E134:E137)</f>
        <v>40833.333333333328</v>
      </c>
      <c r="F138" s="91">
        <f>SUM(F134:F137)</f>
        <v>38430.397199999999</v>
      </c>
      <c r="G138" s="532">
        <f>SUM(G134:G137)</f>
        <v>42194.444444444445</v>
      </c>
      <c r="H138" s="91">
        <f>SUM(H134:H137)</f>
        <v>40015.259999999995</v>
      </c>
      <c r="I138" s="27">
        <f t="shared" ref="I138:N138" si="822">SUM(I134:I137)</f>
        <v>83027.777777777766</v>
      </c>
      <c r="J138" s="27">
        <f t="shared" si="822"/>
        <v>78445.657200000001</v>
      </c>
      <c r="K138" s="532">
        <f>SUM(K134:K137)</f>
        <v>40245.299145299148</v>
      </c>
      <c r="L138" s="91">
        <f>SUM(L134:L137)</f>
        <v>38741.797999999995</v>
      </c>
      <c r="M138" s="349">
        <f t="shared" si="822"/>
        <v>123273.07692307692</v>
      </c>
      <c r="N138" s="1472">
        <f t="shared" si="822"/>
        <v>117187.4552</v>
      </c>
      <c r="O138" s="532">
        <f>SUM(O134:O137)</f>
        <v>41586.80911680912</v>
      </c>
      <c r="P138" s="91">
        <f>SUM(P134:P137)</f>
        <v>40072.139763751999</v>
      </c>
      <c r="Q138" s="27">
        <f t="shared" ref="Q138:R138" si="823">SUM(Q134:Q137)</f>
        <v>164859.88603988604</v>
      </c>
      <c r="R138" s="27">
        <f t="shared" si="823"/>
        <v>157259.594963752</v>
      </c>
      <c r="S138" s="532">
        <f>SUM(S134:S137)</f>
        <v>41586.80911680912</v>
      </c>
      <c r="T138" s="91">
        <f>SUM(T134:T137)</f>
        <v>39766.273000000001</v>
      </c>
      <c r="U138" s="27">
        <f t="shared" ref="U138:V138" si="824">SUM(U134:U137)</f>
        <v>206446.69515669515</v>
      </c>
      <c r="V138" s="27">
        <f t="shared" si="824"/>
        <v>197025.86796375201</v>
      </c>
      <c r="W138" s="532">
        <f>SUM(W134:W137)</f>
        <v>38752.521367521367</v>
      </c>
      <c r="X138" s="91">
        <f>SUM(X134:X137)</f>
        <v>38545.824405800005</v>
      </c>
      <c r="Y138" s="722">
        <f t="shared" ref="Y138" si="825">SUM(Y134:Y137)</f>
        <v>121926.13960113958</v>
      </c>
      <c r="Z138" s="722">
        <f>SUM(Z134:Z137)</f>
        <v>118384.23716955201</v>
      </c>
      <c r="AA138" s="2316">
        <f t="shared" si="777"/>
        <v>245199.21652421652</v>
      </c>
      <c r="AB138" s="458">
        <f t="shared" si="778"/>
        <v>235571.69236955201</v>
      </c>
      <c r="AC138" s="532">
        <f>SUM(AC134:AC137)</f>
        <v>41586.80911680912</v>
      </c>
      <c r="AD138" s="91">
        <f>SUM(AD134:AD137)</f>
        <v>39887.510354838712</v>
      </c>
      <c r="AE138" s="27">
        <f t="shared" ref="AE138:AF138" si="826">SUM(AE134:AE137)</f>
        <v>286786.02564102563</v>
      </c>
      <c r="AF138" s="27">
        <f t="shared" si="826"/>
        <v>275459.20272439072</v>
      </c>
      <c r="AG138" s="532">
        <f>SUM(AG134:AG137)</f>
        <v>40245.299145299148</v>
      </c>
      <c r="AH138" s="91">
        <f>SUM(AH134:AH137)</f>
        <v>38521.445999999996</v>
      </c>
      <c r="AI138" s="27">
        <f t="shared" ref="AI138:AM138" si="827">SUM(AI134:AI137)</f>
        <v>327031.32478632475</v>
      </c>
      <c r="AJ138" s="27">
        <f t="shared" si="827"/>
        <v>313980.64872439072</v>
      </c>
      <c r="AK138" s="532">
        <f>SUM(AK134:AK137)</f>
        <v>41586.80911680912</v>
      </c>
      <c r="AL138" s="91">
        <f>SUM(AL134:AL137)</f>
        <v>39804.348989010985</v>
      </c>
      <c r="AM138" s="722">
        <f t="shared" si="827"/>
        <v>123418.91737891738</v>
      </c>
      <c r="AN138" s="722">
        <f>SUM(AN134:AN137)</f>
        <v>118213.3053438497</v>
      </c>
      <c r="AO138" s="27">
        <f t="shared" ref="AO138:AT138" si="828">SUM(AO134:AO137)</f>
        <v>368618.13390313386</v>
      </c>
      <c r="AP138" s="27">
        <f t="shared" si="828"/>
        <v>353784.99771340168</v>
      </c>
      <c r="AQ138" s="532">
        <f>SUM(AQ134:AQ137)</f>
        <v>41586.80911680912</v>
      </c>
      <c r="AR138" s="91">
        <f>SUM(AR134:AR137)</f>
        <v>40744.355000000003</v>
      </c>
      <c r="AS138" s="27">
        <f t="shared" si="828"/>
        <v>410204.94301994296</v>
      </c>
      <c r="AT138" s="27">
        <f t="shared" si="828"/>
        <v>394529.35271340172</v>
      </c>
      <c r="AU138" s="532">
        <f>SUM(AU134:AU137)</f>
        <v>37562.279202279205</v>
      </c>
      <c r="AV138" s="91">
        <f>SUM(AV134:AV137)</f>
        <v>36784.904000000002</v>
      </c>
      <c r="AW138" s="27">
        <f t="shared" ref="AW138:AX138" si="829">SUM(AW134:AW137)</f>
        <v>447767.22222222219</v>
      </c>
      <c r="AX138" s="27">
        <f t="shared" si="829"/>
        <v>431314.2567134017</v>
      </c>
      <c r="AY138" s="532">
        <f>SUM(AY134:AY137)</f>
        <v>41586.80911680912</v>
      </c>
      <c r="AZ138" s="91">
        <f>SUM(AZ134:AZ137)</f>
        <v>41442.682000000001</v>
      </c>
      <c r="BA138" s="722">
        <f t="shared" ref="BA138" si="830">SUM(BA134:BA137)</f>
        <v>120735.89743589742</v>
      </c>
      <c r="BB138" s="722">
        <f>SUM(BB134:BB137)</f>
        <v>118971.94100000001</v>
      </c>
      <c r="BC138" s="2437">
        <f>+AM138+BA138</f>
        <v>244154.8148148148</v>
      </c>
      <c r="BD138" s="2437">
        <f>+AN138+BB138</f>
        <v>237185.24634384969</v>
      </c>
      <c r="BE138" s="27">
        <f t="shared" ref="BE138:BF138" si="831">SUM(BE134:BE137)</f>
        <v>489354.03133903129</v>
      </c>
      <c r="BF138" s="27">
        <f t="shared" si="831"/>
        <v>472756.93871340167</v>
      </c>
      <c r="BG138" s="1202">
        <f t="shared" si="801"/>
        <v>0</v>
      </c>
      <c r="BH138" s="1202">
        <f t="shared" si="802"/>
        <v>0</v>
      </c>
      <c r="BI138" s="1202"/>
      <c r="BJ138" s="1202">
        <f t="shared" si="820"/>
        <v>0</v>
      </c>
      <c r="BK138" s="1202">
        <f t="shared" si="821"/>
        <v>0</v>
      </c>
      <c r="BL138" s="26"/>
      <c r="BM138" s="26"/>
      <c r="BN138" s="26"/>
    </row>
    <row r="139" spans="1:66" ht="16.2" thickBot="1" x14ac:dyDescent="0.35">
      <c r="A139" s="145"/>
      <c r="B139" s="1802" t="s">
        <v>12</v>
      </c>
      <c r="C139" s="1376" t="s">
        <v>50</v>
      </c>
      <c r="D139" s="136">
        <f>+D133+D138</f>
        <v>1864884.6159544159</v>
      </c>
      <c r="E139" s="532">
        <f>+E133+E138</f>
        <v>155551.96581196581</v>
      </c>
      <c r="F139" s="91">
        <f>+F133+F138</f>
        <v>144839.3449</v>
      </c>
      <c r="G139" s="532">
        <f>+G133+G138</f>
        <v>160737.03133903132</v>
      </c>
      <c r="H139" s="91">
        <f>+H133+H138</f>
        <v>151707.51</v>
      </c>
      <c r="I139" s="27">
        <f t="shared" ref="I139:N139" si="832">+I133+I138</f>
        <v>316288.99715099717</v>
      </c>
      <c r="J139" s="27">
        <f t="shared" si="832"/>
        <v>296546.85489999998</v>
      </c>
      <c r="K139" s="532">
        <f>+K133+K138</f>
        <v>153388.00000000003</v>
      </c>
      <c r="L139" s="91">
        <f>+L133+L138</f>
        <v>146589.59899999999</v>
      </c>
      <c r="M139" s="349">
        <f t="shared" si="832"/>
        <v>469676.99715099717</v>
      </c>
      <c r="N139" s="1472">
        <f t="shared" si="832"/>
        <v>443136.45389999996</v>
      </c>
      <c r="O139" s="532">
        <f>+O133+O138</f>
        <v>158500.93333333335</v>
      </c>
      <c r="P139" s="91">
        <f>+P133+P138</f>
        <v>152515.821763752</v>
      </c>
      <c r="Q139" s="27">
        <f t="shared" ref="Q139:R139" si="833">+Q133+Q138</f>
        <v>628177.93048433051</v>
      </c>
      <c r="R139" s="27">
        <f t="shared" si="833"/>
        <v>595652.27566375199</v>
      </c>
      <c r="S139" s="532">
        <f>+S133+S138</f>
        <v>158500.93333333335</v>
      </c>
      <c r="T139" s="91">
        <f>+T133+T138</f>
        <v>152264.451</v>
      </c>
      <c r="U139" s="27">
        <f t="shared" ref="U139:V139" si="834">+U133+U138</f>
        <v>786678.86381766386</v>
      </c>
      <c r="V139" s="27">
        <f t="shared" si="834"/>
        <v>747916.72666375199</v>
      </c>
      <c r="W139" s="532">
        <f>+W133+W138</f>
        <v>147651.88547008549</v>
      </c>
      <c r="X139" s="91">
        <f>+X133+X138</f>
        <v>147600.04340580001</v>
      </c>
      <c r="Y139" s="722">
        <f t="shared" ref="Y139:Z139" si="835">+Y133+Y138</f>
        <v>464653.75213675213</v>
      </c>
      <c r="Z139" s="722">
        <f t="shared" si="835"/>
        <v>452380.31616955198</v>
      </c>
      <c r="AA139" s="2316">
        <f t="shared" si="777"/>
        <v>934330.74928774929</v>
      </c>
      <c r="AB139" s="458">
        <f t="shared" si="778"/>
        <v>895516.77006955189</v>
      </c>
      <c r="AC139" s="532">
        <f>+AC133+AC138</f>
        <v>158500.93333333335</v>
      </c>
      <c r="AD139" s="91">
        <f>+AD133+AD138</f>
        <v>150148.42152354837</v>
      </c>
      <c r="AE139" s="27">
        <f t="shared" ref="AE139:AF139" si="836">+AE133+AE138</f>
        <v>1092831.6826210828</v>
      </c>
      <c r="AF139" s="27">
        <f t="shared" si="836"/>
        <v>1045665.1915931003</v>
      </c>
      <c r="AG139" s="532">
        <f>+AG133+AG138</f>
        <v>153388.00000000003</v>
      </c>
      <c r="AH139" s="91">
        <f>+AH133+AH138</f>
        <v>145579.31</v>
      </c>
      <c r="AI139" s="27">
        <f t="shared" ref="AI139:AJ139" si="837">+AI133+AI138</f>
        <v>1246219.6826210828</v>
      </c>
      <c r="AJ139" s="27">
        <f t="shared" si="837"/>
        <v>1191244.5015931004</v>
      </c>
      <c r="AK139" s="532">
        <f>+AK133+AK138</f>
        <v>158500.93333333335</v>
      </c>
      <c r="AL139" s="91">
        <f>+AL133+AL138</f>
        <v>148943.87477773838</v>
      </c>
      <c r="AM139" s="722">
        <f t="shared" ref="AM139:AT139" si="838">+AM133+AM138</f>
        <v>470389.86666666676</v>
      </c>
      <c r="AN139" s="722">
        <f t="shared" si="838"/>
        <v>444671.60630128672</v>
      </c>
      <c r="AO139" s="27">
        <f t="shared" si="838"/>
        <v>1404720.6159544159</v>
      </c>
      <c r="AP139" s="27">
        <f t="shared" si="838"/>
        <v>1340188.3763708386</v>
      </c>
      <c r="AQ139" s="532">
        <f>+AQ133+AQ138</f>
        <v>158500.93333333335</v>
      </c>
      <c r="AR139" s="91">
        <f>+AR133+AR138</f>
        <v>148271.76199999999</v>
      </c>
      <c r="AS139" s="27">
        <f t="shared" si="838"/>
        <v>1563221.5492877495</v>
      </c>
      <c r="AT139" s="27">
        <f t="shared" si="838"/>
        <v>1488460.1383708387</v>
      </c>
      <c r="AU139" s="532">
        <f>+AU133+AU138</f>
        <v>143162.13333333333</v>
      </c>
      <c r="AV139" s="91">
        <f>+AV133+AV138</f>
        <v>135335.16139999998</v>
      </c>
      <c r="AW139" s="27">
        <f t="shared" ref="AW139:AX139" si="839">+AW133+AW138</f>
        <v>1706383.6826210825</v>
      </c>
      <c r="AX139" s="27">
        <f t="shared" si="839"/>
        <v>1623795.2997708386</v>
      </c>
      <c r="AY139" s="532">
        <f>+AY133+AY138</f>
        <v>158500.93333333335</v>
      </c>
      <c r="AZ139" s="91">
        <f>+AZ133+AZ138</f>
        <v>152429.15299999999</v>
      </c>
      <c r="BA139" s="722">
        <f t="shared" ref="BA139:BB139" si="840">+BA133+BA138</f>
        <v>460164.00000000006</v>
      </c>
      <c r="BB139" s="722">
        <f t="shared" si="840"/>
        <v>436036.07639999996</v>
      </c>
      <c r="BC139" s="2437">
        <f>+AM139+BA139</f>
        <v>930553.86666666681</v>
      </c>
      <c r="BD139" s="2437">
        <f>+AN139+BB139</f>
        <v>880707.68270128663</v>
      </c>
      <c r="BE139" s="27">
        <f t="shared" ref="BE139:BF139" si="841">+BE133+BE138</f>
        <v>1864884.6159544159</v>
      </c>
      <c r="BF139" s="27">
        <f t="shared" si="841"/>
        <v>1776224.4527708385</v>
      </c>
      <c r="BG139" s="1202">
        <f t="shared" si="801"/>
        <v>0</v>
      </c>
      <c r="BH139" s="1202">
        <f t="shared" si="802"/>
        <v>0</v>
      </c>
      <c r="BI139" s="1202"/>
      <c r="BJ139" s="1202">
        <f t="shared" si="820"/>
        <v>0</v>
      </c>
      <c r="BK139" s="1202">
        <f t="shared" si="821"/>
        <v>0</v>
      </c>
      <c r="BL139" s="26"/>
      <c r="BM139" s="26"/>
      <c r="BN139" s="26"/>
    </row>
    <row r="140" spans="1:66" ht="15.75" hidden="1" customHeight="1" x14ac:dyDescent="0.3">
      <c r="B140" s="1803" t="s">
        <v>998</v>
      </c>
      <c r="C140" s="1374" t="s">
        <v>50</v>
      </c>
      <c r="D140" s="6215">
        <f>+D104+D122</f>
        <v>91514.679628064303</v>
      </c>
      <c r="E140" s="6186">
        <f>+E104+E122</f>
        <v>7695.8579881656897</v>
      </c>
      <c r="F140" s="1303">
        <f>F104+F122</f>
        <v>0</v>
      </c>
      <c r="G140" s="6186">
        <f>+G104+G122</f>
        <v>7952.3865877711996</v>
      </c>
      <c r="H140" s="1303">
        <f>H104+H122</f>
        <v>0</v>
      </c>
      <c r="I140" s="6184">
        <f>+E140+G140</f>
        <v>15648.244575936889</v>
      </c>
      <c r="J140" s="61">
        <f>+F140+H140</f>
        <v>0</v>
      </c>
      <c r="K140" s="6186">
        <f>+K104+K122</f>
        <v>7509.7548605241009</v>
      </c>
      <c r="L140" s="1303">
        <f>L104+L122</f>
        <v>0</v>
      </c>
      <c r="M140" s="6196">
        <f>+K140+G140+E140</f>
        <v>23157.999436460988</v>
      </c>
      <c r="N140" s="1558">
        <f>+F140+H140+L140</f>
        <v>0</v>
      </c>
      <c r="O140" s="6186">
        <f>+O104+O122</f>
        <v>7760.0800225415596</v>
      </c>
      <c r="P140" s="1303">
        <f>P104+P122</f>
        <v>0</v>
      </c>
      <c r="Q140" s="6184">
        <f>+M140+O140</f>
        <v>30918.079459002547</v>
      </c>
      <c r="R140" s="61">
        <f>+N140+P140</f>
        <v>0</v>
      </c>
      <c r="S140" s="6186">
        <f>+S104+S122</f>
        <v>7760.0800225415596</v>
      </c>
      <c r="T140" s="1303">
        <f>T104+T122</f>
        <v>0</v>
      </c>
      <c r="U140" s="6184">
        <f>+Q140+S140</f>
        <v>38678.159481544106</v>
      </c>
      <c r="V140" s="61">
        <f>+R140+T140</f>
        <v>0</v>
      </c>
      <c r="W140" s="6186">
        <f>+W104+W122</f>
        <v>7277.3406593406598</v>
      </c>
      <c r="X140" s="1303">
        <f>X104+X122</f>
        <v>0</v>
      </c>
      <c r="Y140" s="6196">
        <f>O140+S140+W140</f>
        <v>22797.500704423779</v>
      </c>
      <c r="Z140" s="1107">
        <f t="shared" ref="Z140:Z142" si="842">+P140+T140+X140</f>
        <v>0</v>
      </c>
      <c r="AA140" s="6223">
        <f>Y140+M140</f>
        <v>45955.500140884767</v>
      </c>
      <c r="AB140" s="788">
        <f t="shared" ref="AB140:AB142" si="843">+N140+Z140</f>
        <v>0</v>
      </c>
      <c r="AC140" s="6186">
        <f>+AC104+AC122</f>
        <v>7760.0800225415596</v>
      </c>
      <c r="AD140" s="1303">
        <f>AD104+AD122</f>
        <v>0</v>
      </c>
      <c r="AE140" s="6184">
        <f>+AA140+AC140</f>
        <v>53715.580163426326</v>
      </c>
      <c r="AF140" s="61">
        <f>+AB140+AD140</f>
        <v>0</v>
      </c>
      <c r="AG140" s="6186">
        <f>+AG104+AG122</f>
        <v>7509.7548605241009</v>
      </c>
      <c r="AH140" s="1303">
        <f>AH104+AH122</f>
        <v>0</v>
      </c>
      <c r="AI140" s="6184">
        <f>+AE140+AG140</f>
        <v>61225.335023950429</v>
      </c>
      <c r="AJ140" s="61">
        <f>+AF140+AH140</f>
        <v>0</v>
      </c>
      <c r="AK140" s="6186">
        <f>+AK104+AK122</f>
        <v>7760.0800225415596</v>
      </c>
      <c r="AL140" s="1303">
        <f>AL104+AL122</f>
        <v>0</v>
      </c>
      <c r="AM140" s="6196">
        <f>AC140+AG140+AK140</f>
        <v>23029.91490560722</v>
      </c>
      <c r="AN140" s="1107">
        <f t="shared" ref="AN140:AN142" si="844">+AD140+AH140+AL140</f>
        <v>0</v>
      </c>
      <c r="AO140" s="6184">
        <f>AI140+AK140</f>
        <v>68985.415046491995</v>
      </c>
      <c r="AP140" s="753">
        <f t="shared" ref="AP140:AP142" si="845">AJ140+AL140</f>
        <v>0</v>
      </c>
      <c r="AQ140" s="6186">
        <f>+AQ104+AQ122</f>
        <v>7760.0800225415596</v>
      </c>
      <c r="AR140" s="1303">
        <f>AR104+AR122</f>
        <v>0</v>
      </c>
      <c r="AS140" s="6184">
        <f>+AO140+AQ140</f>
        <v>76745.495069033554</v>
      </c>
      <c r="AT140" s="61">
        <f>+AP140+AR140</f>
        <v>0</v>
      </c>
      <c r="AU140" s="6186">
        <f>+AU104+AU122</f>
        <v>7009.1045364891525</v>
      </c>
      <c r="AV140" s="1303">
        <f>AV104+AV122</f>
        <v>0</v>
      </c>
      <c r="AW140" s="6184">
        <f>+AS140+AU140</f>
        <v>83754.599605522701</v>
      </c>
      <c r="AX140" s="61">
        <f>+AT140+AV140</f>
        <v>0</v>
      </c>
      <c r="AY140" s="6186">
        <f>+AY104+AY122</f>
        <v>7760.0800225415605</v>
      </c>
      <c r="AZ140" s="1303">
        <f>AZ104+AZ122</f>
        <v>0</v>
      </c>
      <c r="BA140" s="6196">
        <f>AQ140+AU140+AY140</f>
        <v>22529.264581572272</v>
      </c>
      <c r="BB140" s="1107">
        <f t="shared" ref="BB140:BB142" si="846">+AR140+AV140+AZ140</f>
        <v>0</v>
      </c>
      <c r="BC140" s="6223">
        <f>BA140+AM140</f>
        <v>45559.179487179492</v>
      </c>
      <c r="BD140" s="2437">
        <f>+AN140+BB140</f>
        <v>0</v>
      </c>
      <c r="BE140" s="6181">
        <f>+AW140+AY140</f>
        <v>91514.679628064259</v>
      </c>
      <c r="BF140" s="775">
        <f t="shared" ref="BF140:BF142" si="847">AX140+AZ140</f>
        <v>0</v>
      </c>
      <c r="BG140" s="1202">
        <f t="shared" si="801"/>
        <v>0</v>
      </c>
      <c r="BH140" s="1202">
        <f t="shared" si="802"/>
        <v>0</v>
      </c>
      <c r="BI140" s="1202"/>
      <c r="BJ140" s="1202">
        <f t="shared" si="820"/>
        <v>0</v>
      </c>
      <c r="BK140" s="1202">
        <f t="shared" si="821"/>
        <v>0</v>
      </c>
      <c r="BL140" s="26"/>
      <c r="BM140" s="26"/>
      <c r="BN140" s="26"/>
    </row>
    <row r="141" spans="1:66" ht="15" thickBot="1" x14ac:dyDescent="0.35">
      <c r="B141" s="1803" t="s">
        <v>1177</v>
      </c>
      <c r="C141" s="1374" t="s">
        <v>50</v>
      </c>
      <c r="D141" s="6216"/>
      <c r="E141" s="6187"/>
      <c r="F141" s="1303">
        <f>+F105+F123</f>
        <v>11266.765100000001</v>
      </c>
      <c r="G141" s="6187"/>
      <c r="H141" s="1303">
        <f>+H105+H123</f>
        <v>10256.740000000002</v>
      </c>
      <c r="I141" s="6181"/>
      <c r="J141" s="61">
        <f>+F141+H141</f>
        <v>21523.505100000002</v>
      </c>
      <c r="K141" s="6187"/>
      <c r="L141" s="1303">
        <f>+L105+L123</f>
        <v>10295.391</v>
      </c>
      <c r="M141" s="6197"/>
      <c r="N141" s="1558">
        <f>+F141+H141+L141</f>
        <v>31818.896100000002</v>
      </c>
      <c r="O141" s="6187"/>
      <c r="P141" s="1303">
        <f>+P105+P123</f>
        <v>9792.6059999999998</v>
      </c>
      <c r="Q141" s="6181"/>
      <c r="R141" s="61">
        <f>+N141+P141</f>
        <v>41611.502099999998</v>
      </c>
      <c r="S141" s="6187"/>
      <c r="T141" s="1303">
        <f>+T105+T123</f>
        <v>11035.929</v>
      </c>
      <c r="U141" s="6181"/>
      <c r="V141" s="61">
        <f>+R141+T141</f>
        <v>52647.431100000002</v>
      </c>
      <c r="W141" s="6187"/>
      <c r="X141" s="1303">
        <f>+X105+X123</f>
        <v>10692.960999999999</v>
      </c>
      <c r="Y141" s="6197"/>
      <c r="Z141" s="1107">
        <f t="shared" si="842"/>
        <v>31521.495999999999</v>
      </c>
      <c r="AA141" s="6224"/>
      <c r="AB141" s="788">
        <f t="shared" si="843"/>
        <v>63340.392099999997</v>
      </c>
      <c r="AC141" s="6187"/>
      <c r="AD141" s="1303">
        <f>+AD105+AD123</f>
        <v>10879.806</v>
      </c>
      <c r="AE141" s="6181"/>
      <c r="AF141" s="61">
        <f t="shared" ref="AF141:AF142" si="848">+AB141+AD141</f>
        <v>74220.198099999994</v>
      </c>
      <c r="AG141" s="6187"/>
      <c r="AH141" s="1303">
        <f>+AH105+AH123</f>
        <v>10474.189999999999</v>
      </c>
      <c r="AI141" s="6181"/>
      <c r="AJ141" s="61">
        <f t="shared" ref="AJ141:AJ142" si="849">+AF141+AH141</f>
        <v>84694.388099999996</v>
      </c>
      <c r="AK141" s="6187"/>
      <c r="AL141" s="1303">
        <f>+AL105+AL123</f>
        <v>12313.304343140731</v>
      </c>
      <c r="AM141" s="6197"/>
      <c r="AN141" s="1107">
        <f t="shared" si="844"/>
        <v>33667.300343140727</v>
      </c>
      <c r="AO141" s="6181"/>
      <c r="AP141" s="753">
        <f t="shared" si="845"/>
        <v>97007.692443140724</v>
      </c>
      <c r="AQ141" s="6187"/>
      <c r="AR141" s="1303">
        <f>+AR105+AR123</f>
        <v>12483.019</v>
      </c>
      <c r="AS141" s="6181"/>
      <c r="AT141" s="61">
        <f t="shared" ref="AT141:AT142" si="850">+AP141+AR141</f>
        <v>109490.71144314072</v>
      </c>
      <c r="AU141" s="6187"/>
      <c r="AV141" s="1303">
        <f>+AV105+AV123</f>
        <v>9805.5895999999993</v>
      </c>
      <c r="AW141" s="6181"/>
      <c r="AX141" s="61">
        <f t="shared" ref="AX141:AX142" si="851">+AT141+AV141</f>
        <v>119296.30104314073</v>
      </c>
      <c r="AY141" s="6187"/>
      <c r="AZ141" s="1303">
        <f>+AZ105+AZ123</f>
        <v>11044.577000000001</v>
      </c>
      <c r="BA141" s="6197"/>
      <c r="BB141" s="1107">
        <f t="shared" si="846"/>
        <v>33333.185599999997</v>
      </c>
      <c r="BC141" s="6224"/>
      <c r="BD141" s="2437">
        <f>+AN141+BB141</f>
        <v>67000.485943140724</v>
      </c>
      <c r="BE141" s="6181"/>
      <c r="BF141" s="775">
        <f t="shared" si="847"/>
        <v>130340.87804314074</v>
      </c>
      <c r="BG141" s="1202">
        <f t="shared" si="801"/>
        <v>0</v>
      </c>
      <c r="BH141" s="1202">
        <f t="shared" si="802"/>
        <v>0</v>
      </c>
      <c r="BI141" s="1202"/>
      <c r="BJ141" s="1202">
        <f t="shared" si="820"/>
        <v>0</v>
      </c>
      <c r="BK141" s="1202">
        <f t="shared" si="821"/>
        <v>0</v>
      </c>
      <c r="BL141" s="26"/>
      <c r="BM141" s="26"/>
      <c r="BN141" s="26"/>
    </row>
    <row r="142" spans="1:66" ht="15.75" hidden="1" customHeight="1" thickBot="1" x14ac:dyDescent="0.35">
      <c r="A142" s="145"/>
      <c r="B142" s="1791" t="s">
        <v>1125</v>
      </c>
      <c r="C142" s="1374" t="s">
        <v>50</v>
      </c>
      <c r="D142" s="6217"/>
      <c r="E142" s="6188"/>
      <c r="F142" s="1303">
        <f>+F106+F124</f>
        <v>0</v>
      </c>
      <c r="G142" s="6188"/>
      <c r="H142" s="1303">
        <f>+H106+H124</f>
        <v>0</v>
      </c>
      <c r="I142" s="6185"/>
      <c r="J142" s="61">
        <f>+F142+H142</f>
        <v>0</v>
      </c>
      <c r="K142" s="6188"/>
      <c r="L142" s="1303">
        <f>+L106+L124</f>
        <v>0</v>
      </c>
      <c r="M142" s="6198"/>
      <c r="N142" s="1558">
        <f>+F142+H142+L142</f>
        <v>0</v>
      </c>
      <c r="O142" s="6188"/>
      <c r="P142" s="1303">
        <f>+P106+P124</f>
        <v>0</v>
      </c>
      <c r="Q142" s="6185"/>
      <c r="R142" s="61">
        <f>+N142+P142</f>
        <v>0</v>
      </c>
      <c r="S142" s="6188"/>
      <c r="T142" s="1303">
        <f>+T106+T124</f>
        <v>0</v>
      </c>
      <c r="U142" s="6185"/>
      <c r="V142" s="61">
        <f>+R142+T142</f>
        <v>0</v>
      </c>
      <c r="W142" s="6188"/>
      <c r="X142" s="1303">
        <f>+X106+X124</f>
        <v>0</v>
      </c>
      <c r="Y142" s="6198"/>
      <c r="Z142" s="1107">
        <f t="shared" si="842"/>
        <v>0</v>
      </c>
      <c r="AA142" s="6225"/>
      <c r="AB142" s="788">
        <f t="shared" si="843"/>
        <v>0</v>
      </c>
      <c r="AC142" s="6188"/>
      <c r="AD142" s="1303">
        <f>+AD106+AD124</f>
        <v>0</v>
      </c>
      <c r="AE142" s="6185"/>
      <c r="AF142" s="61">
        <f t="shared" si="848"/>
        <v>0</v>
      </c>
      <c r="AG142" s="6188"/>
      <c r="AH142" s="1303">
        <f>+AH106+AH124</f>
        <v>0</v>
      </c>
      <c r="AI142" s="6185"/>
      <c r="AJ142" s="61">
        <f t="shared" si="849"/>
        <v>0</v>
      </c>
      <c r="AK142" s="6188"/>
      <c r="AL142" s="1303">
        <f>+AL106+AL124</f>
        <v>0</v>
      </c>
      <c r="AM142" s="6198"/>
      <c r="AN142" s="1107">
        <f t="shared" si="844"/>
        <v>0</v>
      </c>
      <c r="AO142" s="6185"/>
      <c r="AP142" s="753">
        <f t="shared" si="845"/>
        <v>0</v>
      </c>
      <c r="AQ142" s="6188"/>
      <c r="AR142" s="1303">
        <f>+AR106+AR124</f>
        <v>0</v>
      </c>
      <c r="AS142" s="6185"/>
      <c r="AT142" s="61">
        <f t="shared" si="850"/>
        <v>0</v>
      </c>
      <c r="AU142" s="6188"/>
      <c r="AV142" s="1303">
        <f>+AV106+AV124</f>
        <v>0</v>
      </c>
      <c r="AW142" s="6185"/>
      <c r="AX142" s="61">
        <f t="shared" si="851"/>
        <v>0</v>
      </c>
      <c r="AY142" s="6188"/>
      <c r="AZ142" s="1303">
        <f>+AZ106+AZ124</f>
        <v>0</v>
      </c>
      <c r="BA142" s="6198"/>
      <c r="BB142" s="1107">
        <f t="shared" si="846"/>
        <v>0</v>
      </c>
      <c r="BC142" s="6225"/>
      <c r="BD142" s="2437">
        <f>+AN142+BB142</f>
        <v>0</v>
      </c>
      <c r="BE142" s="6181"/>
      <c r="BF142" s="775">
        <f t="shared" si="847"/>
        <v>0</v>
      </c>
      <c r="BG142" s="1202">
        <f t="shared" si="801"/>
        <v>0</v>
      </c>
      <c r="BH142" s="1202">
        <f t="shared" si="802"/>
        <v>0</v>
      </c>
      <c r="BI142" s="1202"/>
      <c r="BJ142" s="1202">
        <f t="shared" si="820"/>
        <v>0</v>
      </c>
      <c r="BK142" s="1202">
        <f t="shared" si="821"/>
        <v>0</v>
      </c>
      <c r="BL142" s="26"/>
      <c r="BM142" s="26"/>
      <c r="BN142" s="26"/>
    </row>
    <row r="143" spans="1:66" ht="16.2" thickBot="1" x14ac:dyDescent="0.35">
      <c r="A143" s="145"/>
      <c r="B143" s="1804" t="s">
        <v>11</v>
      </c>
      <c r="C143" s="1821" t="s">
        <v>50</v>
      </c>
      <c r="D143" s="210">
        <f>SUM(D139:D142)</f>
        <v>1956399.2955824803</v>
      </c>
      <c r="E143" s="1822">
        <f>SUM(E139:E142)</f>
        <v>163247.8238001315</v>
      </c>
      <c r="F143" s="1397">
        <f>SUM(F139:F142)</f>
        <v>156106.10999999999</v>
      </c>
      <c r="G143" s="1822">
        <f>SUM(G139:G142)</f>
        <v>168689.41792680253</v>
      </c>
      <c r="H143" s="1397">
        <f>SUM(H139:H142)</f>
        <v>161964.25</v>
      </c>
      <c r="I143" s="1397">
        <f t="shared" ref="I143:N143" si="852">SUM(I139:I142)</f>
        <v>331937.24172693404</v>
      </c>
      <c r="J143" s="1397">
        <f t="shared" si="852"/>
        <v>318070.36</v>
      </c>
      <c r="K143" s="1822">
        <f>SUM(K139:K142)</f>
        <v>160897.75486052412</v>
      </c>
      <c r="L143" s="1397">
        <f>SUM(L139:L142)</f>
        <v>156884.99</v>
      </c>
      <c r="M143" s="1823">
        <f t="shared" si="852"/>
        <v>492834.99658745818</v>
      </c>
      <c r="N143" s="1552">
        <f t="shared" si="852"/>
        <v>474955.35</v>
      </c>
      <c r="O143" s="1822">
        <f>SUM(O139:O142)</f>
        <v>166261.01335587492</v>
      </c>
      <c r="P143" s="1397">
        <f>SUM(P139:P142)</f>
        <v>162308.427763752</v>
      </c>
      <c r="Q143" s="1397">
        <f t="shared" ref="Q143:R143" si="853">SUM(Q139:Q142)</f>
        <v>659096.00994333311</v>
      </c>
      <c r="R143" s="1397">
        <f t="shared" si="853"/>
        <v>637263.77776375203</v>
      </c>
      <c r="S143" s="1822">
        <f>SUM(S139:S142)</f>
        <v>166261.01335587492</v>
      </c>
      <c r="T143" s="1397">
        <f>SUM(T139:T142)</f>
        <v>163300.38</v>
      </c>
      <c r="U143" s="1397">
        <f t="shared" ref="U143:V143" si="854">SUM(U139:U142)</f>
        <v>825357.02329920791</v>
      </c>
      <c r="V143" s="1397">
        <f t="shared" si="854"/>
        <v>800564.15776375204</v>
      </c>
      <c r="W143" s="1822">
        <f>SUM(W139:W142)</f>
        <v>154929.22612942616</v>
      </c>
      <c r="X143" s="1397">
        <f>SUM(X139:X142)</f>
        <v>158293.00440580002</v>
      </c>
      <c r="Y143" s="66">
        <f t="shared" ref="Y143:AF143" si="855">SUM(Y139:Y142)</f>
        <v>487451.25284117588</v>
      </c>
      <c r="Z143" s="66">
        <f t="shared" si="855"/>
        <v>483901.81216955197</v>
      </c>
      <c r="AA143" s="2318">
        <f t="shared" si="855"/>
        <v>980286.24942863407</v>
      </c>
      <c r="AB143" s="455">
        <f t="shared" si="855"/>
        <v>958857.16216955194</v>
      </c>
      <c r="AC143" s="1822">
        <f>SUM(AC139:AC142)</f>
        <v>166261.01335587492</v>
      </c>
      <c r="AD143" s="1397">
        <f>SUM(AD139:AD142)</f>
        <v>161028.22752354838</v>
      </c>
      <c r="AE143" s="1397">
        <f t="shared" si="855"/>
        <v>1146547.262784509</v>
      </c>
      <c r="AF143" s="1397">
        <f t="shared" si="855"/>
        <v>1119885.3896931002</v>
      </c>
      <c r="AG143" s="1822">
        <f>SUM(AG139:AG142)</f>
        <v>160897.75486052412</v>
      </c>
      <c r="AH143" s="1397">
        <f>SUM(AH139:AH142)</f>
        <v>156053.5</v>
      </c>
      <c r="AI143" s="1397">
        <f t="shared" ref="AI143:AN143" si="856">SUM(AI139:AI142)</f>
        <v>1307445.0176450331</v>
      </c>
      <c r="AJ143" s="1397">
        <f t="shared" si="856"/>
        <v>1275938.8896931005</v>
      </c>
      <c r="AK143" s="1822">
        <f>SUM(AK139:AK142)</f>
        <v>166261.01335587492</v>
      </c>
      <c r="AL143" s="1397">
        <f>SUM(AL139:AL142)</f>
        <v>161257.17912087913</v>
      </c>
      <c r="AM143" s="66">
        <f t="shared" si="856"/>
        <v>493419.78157227399</v>
      </c>
      <c r="AN143" s="66">
        <f t="shared" si="856"/>
        <v>478338.90664442745</v>
      </c>
      <c r="AO143" s="1397">
        <f t="shared" ref="AO143:AT143" si="857">SUM(AO139:AO142)</f>
        <v>1473706.0310009078</v>
      </c>
      <c r="AP143" s="1397">
        <f t="shared" si="857"/>
        <v>1437196.0688139794</v>
      </c>
      <c r="AQ143" s="1822">
        <f>SUM(AQ139:AQ142)</f>
        <v>166261.01335587492</v>
      </c>
      <c r="AR143" s="1397">
        <f>SUM(AR139:AR142)</f>
        <v>160754.78099999999</v>
      </c>
      <c r="AS143" s="1397">
        <f t="shared" si="857"/>
        <v>1639967.0443567829</v>
      </c>
      <c r="AT143" s="1397">
        <f t="shared" si="857"/>
        <v>1597950.8498139794</v>
      </c>
      <c r="AU143" s="1822">
        <f>SUM(AU139:AU142)</f>
        <v>150171.23786982248</v>
      </c>
      <c r="AV143" s="1397">
        <f>SUM(AV139:AV142)</f>
        <v>145140.75099999999</v>
      </c>
      <c r="AW143" s="1397">
        <f t="shared" ref="AW143:AX143" si="858">SUM(AW139:AW142)</f>
        <v>1790138.2822266053</v>
      </c>
      <c r="AX143" s="1397">
        <f t="shared" si="858"/>
        <v>1743091.6008139793</v>
      </c>
      <c r="AY143" s="1822">
        <f>SUM(AY139:AY142)</f>
        <v>166261.01335587492</v>
      </c>
      <c r="AZ143" s="1397">
        <f>SUM(AZ139:AZ142)</f>
        <v>163473.72999999998</v>
      </c>
      <c r="BA143" s="66">
        <f t="shared" ref="BA143:BB143" si="859">SUM(BA139:BA142)</f>
        <v>482693.26458157232</v>
      </c>
      <c r="BB143" s="66">
        <f t="shared" si="859"/>
        <v>469369.26199999999</v>
      </c>
      <c r="BC143" s="2318">
        <f t="shared" ref="BC143:BD143" si="860">SUM(BC139:BC142)</f>
        <v>976113.04615384631</v>
      </c>
      <c r="BD143" s="455">
        <f t="shared" si="860"/>
        <v>947708.16864442732</v>
      </c>
      <c r="BE143" s="1397">
        <f t="shared" ref="BE143:BF143" si="861">SUM(BE139:BE142)</f>
        <v>1956399.29558248</v>
      </c>
      <c r="BF143" s="1397">
        <f t="shared" si="861"/>
        <v>1906565.3308139793</v>
      </c>
      <c r="BG143" s="1202">
        <f t="shared" si="801"/>
        <v>0</v>
      </c>
      <c r="BH143" s="1202">
        <f t="shared" si="802"/>
        <v>0</v>
      </c>
      <c r="BI143" s="1202"/>
      <c r="BJ143" s="1202">
        <f t="shared" si="820"/>
        <v>0</v>
      </c>
      <c r="BK143" s="1202">
        <f t="shared" si="821"/>
        <v>0</v>
      </c>
      <c r="BL143" s="26"/>
      <c r="BM143" s="26"/>
      <c r="BN143" s="26"/>
    </row>
    <row r="144" spans="1:66" ht="18" thickBot="1" x14ac:dyDescent="0.35">
      <c r="A144" s="145"/>
      <c r="B144" s="1807" t="s">
        <v>1129</v>
      </c>
      <c r="C144" s="1824"/>
      <c r="D144" s="1824"/>
      <c r="E144" s="1824"/>
      <c r="F144" s="1824"/>
      <c r="G144" s="1824"/>
      <c r="H144" s="1824"/>
      <c r="I144" s="1824"/>
      <c r="J144" s="1824"/>
      <c r="K144" s="1824"/>
      <c r="L144" s="1824"/>
      <c r="M144" s="1824"/>
      <c r="N144" s="1824"/>
      <c r="O144" s="1824"/>
      <c r="P144" s="1824"/>
      <c r="Q144" s="1824"/>
      <c r="R144" s="1824"/>
      <c r="S144" s="1824"/>
      <c r="T144" s="1824"/>
      <c r="U144" s="1824"/>
      <c r="V144" s="1824"/>
      <c r="W144" s="1824"/>
      <c r="X144" s="1824"/>
      <c r="Y144" s="1824"/>
      <c r="Z144" s="1824"/>
      <c r="AA144" s="1824"/>
      <c r="AB144" s="1825"/>
      <c r="AC144" s="1824"/>
      <c r="AD144" s="1824"/>
      <c r="AE144" s="1824"/>
      <c r="AF144" s="1825"/>
      <c r="AG144" s="1824"/>
      <c r="AH144" s="1824"/>
      <c r="AI144" s="1824"/>
      <c r="AJ144" s="1825"/>
      <c r="AK144" s="1824"/>
      <c r="AL144" s="1824"/>
      <c r="AM144" s="1824"/>
      <c r="AN144" s="1824"/>
      <c r="AO144" s="1824"/>
      <c r="AP144" s="1825"/>
      <c r="AQ144" s="1824"/>
      <c r="AR144" s="1824"/>
      <c r="AS144" s="1824"/>
      <c r="AT144" s="1825"/>
      <c r="AU144" s="1824"/>
      <c r="AV144" s="1824"/>
      <c r="AW144" s="1824"/>
      <c r="AX144" s="1825"/>
      <c r="AY144" s="1824"/>
      <c r="AZ144" s="1824"/>
      <c r="BA144" s="1824"/>
      <c r="BB144" s="1824"/>
      <c r="BC144" s="1824"/>
      <c r="BD144" s="1825"/>
      <c r="BE144" s="1824"/>
      <c r="BF144" s="1825"/>
      <c r="BG144" s="1202">
        <f t="shared" si="801"/>
        <v>0</v>
      </c>
      <c r="BH144" s="1202">
        <f t="shared" si="802"/>
        <v>0</v>
      </c>
      <c r="BI144" s="1202"/>
      <c r="BJ144" s="1202">
        <f t="shared" si="820"/>
        <v>0</v>
      </c>
      <c r="BK144" s="1202">
        <f t="shared" si="821"/>
        <v>0</v>
      </c>
      <c r="BL144" s="26"/>
      <c r="BM144" s="26"/>
      <c r="BN144" s="26"/>
    </row>
    <row r="145" spans="1:66" ht="18" thickBot="1" x14ac:dyDescent="0.35">
      <c r="B145" s="1809" t="s">
        <v>648</v>
      </c>
      <c r="C145" s="1786"/>
      <c r="D145" s="1786"/>
      <c r="E145" s="1786"/>
      <c r="F145" s="1786"/>
      <c r="G145" s="1786"/>
      <c r="H145" s="1786"/>
      <c r="I145" s="1786"/>
      <c r="J145" s="1786"/>
      <c r="K145" s="1786"/>
      <c r="L145" s="1786"/>
      <c r="M145" s="1786"/>
      <c r="N145" s="1786"/>
      <c r="O145" s="1786"/>
      <c r="P145" s="1786"/>
      <c r="Q145" s="1786"/>
      <c r="R145" s="1786"/>
      <c r="S145" s="1786"/>
      <c r="T145" s="1786"/>
      <c r="U145" s="1786"/>
      <c r="V145" s="1786"/>
      <c r="W145" s="1786"/>
      <c r="X145" s="1786"/>
      <c r="Y145" s="528"/>
      <c r="Z145" s="528"/>
      <c r="AA145" s="528"/>
      <c r="AB145" s="1811"/>
      <c r="AC145" s="1786"/>
      <c r="AD145" s="1786"/>
      <c r="AE145" s="1786"/>
      <c r="AF145" s="1787"/>
      <c r="AG145" s="1786"/>
      <c r="AH145" s="1786"/>
      <c r="AI145" s="1786"/>
      <c r="AJ145" s="1787"/>
      <c r="AK145" s="1786"/>
      <c r="AL145" s="1786"/>
      <c r="AM145" s="528"/>
      <c r="AN145" s="528"/>
      <c r="AO145" s="1786"/>
      <c r="AP145" s="1787"/>
      <c r="AQ145" s="1786"/>
      <c r="AR145" s="1786"/>
      <c r="AS145" s="1786"/>
      <c r="AT145" s="1787"/>
      <c r="AU145" s="1786"/>
      <c r="AV145" s="1786"/>
      <c r="AW145" s="1786"/>
      <c r="AX145" s="1787"/>
      <c r="AY145" s="1786"/>
      <c r="AZ145" s="1786"/>
      <c r="BA145" s="528"/>
      <c r="BB145" s="528"/>
      <c r="BC145" s="528"/>
      <c r="BD145" s="1811"/>
      <c r="BE145" s="1786"/>
      <c r="BF145" s="1787"/>
      <c r="BG145" s="1202">
        <f t="shared" si="801"/>
        <v>0</v>
      </c>
      <c r="BH145" s="1202">
        <f t="shared" si="802"/>
        <v>0</v>
      </c>
      <c r="BI145" s="1202"/>
      <c r="BJ145" s="1202">
        <f t="shared" si="820"/>
        <v>0</v>
      </c>
      <c r="BK145" s="1202">
        <f t="shared" si="821"/>
        <v>0</v>
      </c>
      <c r="BL145" s="26"/>
      <c r="BM145" s="26"/>
      <c r="BN145" s="26"/>
    </row>
    <row r="146" spans="1:66" ht="15.6" x14ac:dyDescent="0.3">
      <c r="B146" s="1840" t="s">
        <v>427</v>
      </c>
      <c r="C146" s="1817"/>
      <c r="D146" s="234"/>
      <c r="E146" s="776"/>
      <c r="F146" s="605"/>
      <c r="G146" s="776"/>
      <c r="H146" s="605"/>
      <c r="I146" s="234"/>
      <c r="J146" s="234"/>
      <c r="K146" s="776"/>
      <c r="L146" s="605"/>
      <c r="M146" s="776"/>
      <c r="N146" s="605"/>
      <c r="O146" s="776"/>
      <c r="P146" s="605"/>
      <c r="Q146" s="234"/>
      <c r="R146" s="234"/>
      <c r="S146" s="776"/>
      <c r="T146" s="605"/>
      <c r="U146" s="234"/>
      <c r="V146" s="234"/>
      <c r="W146" s="776"/>
      <c r="X146" s="605"/>
      <c r="Y146" s="234"/>
      <c r="Z146" s="234"/>
      <c r="AA146" s="2305"/>
      <c r="AB146" s="605"/>
      <c r="AC146" s="776"/>
      <c r="AD146" s="605"/>
      <c r="AE146" s="234"/>
      <c r="AF146" s="605"/>
      <c r="AG146" s="776"/>
      <c r="AH146" s="605"/>
      <c r="AI146" s="234"/>
      <c r="AJ146" s="605"/>
      <c r="AK146" s="776"/>
      <c r="AL146" s="605"/>
      <c r="AM146" s="234"/>
      <c r="AN146" s="234"/>
      <c r="AO146" s="234"/>
      <c r="AP146" s="605"/>
      <c r="AQ146" s="776"/>
      <c r="AR146" s="605"/>
      <c r="AS146" s="234"/>
      <c r="AT146" s="605"/>
      <c r="AU146" s="776"/>
      <c r="AV146" s="605"/>
      <c r="AW146" s="234"/>
      <c r="AX146" s="605"/>
      <c r="AY146" s="776"/>
      <c r="AZ146" s="605"/>
      <c r="BA146" s="234"/>
      <c r="BB146" s="234"/>
      <c r="BC146" s="2305"/>
      <c r="BD146" s="605"/>
      <c r="BE146" s="234"/>
      <c r="BF146" s="605"/>
      <c r="BG146" s="1202">
        <f t="shared" si="801"/>
        <v>0</v>
      </c>
      <c r="BH146" s="1202">
        <f t="shared" si="802"/>
        <v>0</v>
      </c>
      <c r="BI146" s="1202"/>
      <c r="BJ146" s="1202">
        <f t="shared" si="820"/>
        <v>0</v>
      </c>
      <c r="BK146" s="1202">
        <f t="shared" si="821"/>
        <v>0</v>
      </c>
      <c r="BL146" s="26"/>
      <c r="BM146" s="26"/>
      <c r="BN146" s="26"/>
    </row>
    <row r="147" spans="1:66" x14ac:dyDescent="0.3">
      <c r="B147" s="1789" t="s">
        <v>194</v>
      </c>
      <c r="C147" s="1372" t="s">
        <v>49</v>
      </c>
      <c r="D147" s="104">
        <f t="shared" ref="D147:AX147" si="862">+D97/D107*100</f>
        <v>67.058952925648924</v>
      </c>
      <c r="E147" s="762">
        <f t="shared" si="862"/>
        <v>67.058952925648924</v>
      </c>
      <c r="F147" s="117">
        <f t="shared" si="862"/>
        <v>63.466660860350856</v>
      </c>
      <c r="G147" s="762">
        <f t="shared" ref="G147:H147" si="863">+G97/G107*100</f>
        <v>67.058952925648924</v>
      </c>
      <c r="H147" s="117">
        <f t="shared" si="863"/>
        <v>65.22577655770526</v>
      </c>
      <c r="I147" s="53">
        <f t="shared" si="862"/>
        <v>67.058952925648924</v>
      </c>
      <c r="J147" s="164">
        <f t="shared" si="862"/>
        <v>64.362502103666912</v>
      </c>
      <c r="K147" s="762">
        <f t="shared" si="862"/>
        <v>67.058952925648924</v>
      </c>
      <c r="L147" s="117">
        <f t="shared" si="862"/>
        <v>64.499999999999986</v>
      </c>
      <c r="M147" s="76">
        <f t="shared" si="862"/>
        <v>67.058952925648924</v>
      </c>
      <c r="N147" s="172">
        <f t="shared" si="862"/>
        <v>64.407410161194477</v>
      </c>
      <c r="O147" s="762">
        <f t="shared" ref="O147:P147" si="864">+O97/O107*100</f>
        <v>67.058952925648924</v>
      </c>
      <c r="P147" s="117">
        <f t="shared" si="864"/>
        <v>66.000002640000105</v>
      </c>
      <c r="Q147" s="53">
        <f t="shared" si="862"/>
        <v>67.058952925648924</v>
      </c>
      <c r="R147" s="164">
        <f t="shared" si="862"/>
        <v>64.807247735090044</v>
      </c>
      <c r="S147" s="762">
        <f t="shared" si="862"/>
        <v>67.058952925648924</v>
      </c>
      <c r="T147" s="117">
        <f t="shared" si="862"/>
        <v>65</v>
      </c>
      <c r="U147" s="53">
        <f t="shared" si="862"/>
        <v>67.058952925648924</v>
      </c>
      <c r="V147" s="164">
        <f t="shared" si="862"/>
        <v>64.846760634982672</v>
      </c>
      <c r="W147" s="762">
        <f t="shared" ref="W147:X147" si="865">+W97/W107*100</f>
        <v>67.058952925648924</v>
      </c>
      <c r="X147" s="117">
        <f t="shared" si="865"/>
        <v>65.000240500889845</v>
      </c>
      <c r="Y147" s="386">
        <f t="shared" si="862"/>
        <v>67.058952925648924</v>
      </c>
      <c r="Z147" s="172">
        <f t="shared" si="862"/>
        <v>65.33110098497005</v>
      </c>
      <c r="AA147" s="478">
        <f t="shared" si="862"/>
        <v>67.05895292564891</v>
      </c>
      <c r="AB147" s="476">
        <f t="shared" si="862"/>
        <v>64.872167689102511</v>
      </c>
      <c r="AC147" s="762">
        <f t="shared" si="862"/>
        <v>67.058952925648924</v>
      </c>
      <c r="AD147" s="117">
        <f t="shared" si="862"/>
        <v>64.032142039167866</v>
      </c>
      <c r="AE147" s="53">
        <f t="shared" si="862"/>
        <v>67.058952925648924</v>
      </c>
      <c r="AF147" s="164">
        <f t="shared" si="862"/>
        <v>64.751019396287077</v>
      </c>
      <c r="AG147" s="762">
        <f t="shared" ref="AG147:AH147" si="866">+AG97/AG107*100</f>
        <v>67.058952925648924</v>
      </c>
      <c r="AH147" s="117">
        <f t="shared" si="866"/>
        <v>64</v>
      </c>
      <c r="AI147" s="53">
        <f t="shared" si="862"/>
        <v>67.058952925648924</v>
      </c>
      <c r="AJ147" s="164">
        <f t="shared" si="862"/>
        <v>64.660979819682964</v>
      </c>
      <c r="AK147" s="762">
        <f t="shared" si="862"/>
        <v>67.058952925648924</v>
      </c>
      <c r="AL147" s="117">
        <f t="shared" si="862"/>
        <v>61.29032258064516</v>
      </c>
      <c r="AM147" s="386">
        <f t="shared" si="862"/>
        <v>67.058952925648924</v>
      </c>
      <c r="AN147" s="172">
        <f t="shared" si="862"/>
        <v>63.106336631849544</v>
      </c>
      <c r="AO147" s="53">
        <f t="shared" si="862"/>
        <v>67.058952925648924</v>
      </c>
      <c r="AP147" s="164">
        <f t="shared" si="862"/>
        <v>64.289910911280174</v>
      </c>
      <c r="AQ147" s="762">
        <f t="shared" ref="AQ147:AR147" si="867">+AQ97/AQ107*100</f>
        <v>67.058952925648924</v>
      </c>
      <c r="AR147" s="117">
        <f t="shared" si="867"/>
        <v>61</v>
      </c>
      <c r="AS147" s="53">
        <f t="shared" si="862"/>
        <v>67.058952925648924</v>
      </c>
      <c r="AT147" s="164">
        <f t="shared" si="862"/>
        <v>63.961333164697024</v>
      </c>
      <c r="AU147" s="762">
        <f t="shared" si="862"/>
        <v>67.058952925648924</v>
      </c>
      <c r="AV147" s="117">
        <f t="shared" si="862"/>
        <v>63.9</v>
      </c>
      <c r="AW147" s="53">
        <f t="shared" si="862"/>
        <v>67.058952925648924</v>
      </c>
      <c r="AX147" s="164">
        <f t="shared" si="862"/>
        <v>63.956278304652059</v>
      </c>
      <c r="AY147" s="762">
        <f t="shared" ref="AY147:AZ147" si="868">+AY97/AY107*100</f>
        <v>67.058952925648924</v>
      </c>
      <c r="AZ147" s="117">
        <f t="shared" si="868"/>
        <v>63.999916402813049</v>
      </c>
      <c r="BA147" s="386">
        <f t="shared" ref="BA147:BF147" si="869">+BA97/BA107*100</f>
        <v>67.058952925648924</v>
      </c>
      <c r="BB147" s="172">
        <f t="shared" si="869"/>
        <v>62.946340295957548</v>
      </c>
      <c r="BC147" s="478">
        <f t="shared" si="869"/>
        <v>67.058952925648924</v>
      </c>
      <c r="BD147" s="476">
        <f t="shared" si="869"/>
        <v>63.026868392013512</v>
      </c>
      <c r="BE147" s="53">
        <f t="shared" si="869"/>
        <v>67.058952925648924</v>
      </c>
      <c r="BF147" s="164">
        <f t="shared" si="869"/>
        <v>63.960053258386417</v>
      </c>
      <c r="BG147" s="1202"/>
      <c r="BH147" s="1202"/>
      <c r="BI147" s="1202"/>
      <c r="BJ147" s="1202"/>
      <c r="BK147" s="1202"/>
      <c r="BL147" s="26"/>
      <c r="BM147" s="26"/>
      <c r="BN147" s="26"/>
    </row>
    <row r="148" spans="1:66" x14ac:dyDescent="0.3">
      <c r="B148" s="1789" t="s">
        <v>195</v>
      </c>
      <c r="C148" s="1372" t="s">
        <v>49</v>
      </c>
      <c r="D148" s="104">
        <f t="shared" ref="D148:AX148" si="870">+D102/D107*100</f>
        <v>25.02199736031676</v>
      </c>
      <c r="E148" s="762">
        <f t="shared" si="870"/>
        <v>25.02199736031676</v>
      </c>
      <c r="F148" s="129">
        <f t="shared" si="870"/>
        <v>25.999956452631356</v>
      </c>
      <c r="G148" s="762">
        <f t="shared" ref="G148:H148" si="871">+G102/G107*100</f>
        <v>25.021997360316767</v>
      </c>
      <c r="H148" s="129">
        <f t="shared" si="871"/>
        <v>26.000017485115794</v>
      </c>
      <c r="I148" s="52">
        <f t="shared" si="870"/>
        <v>25.021997360316757</v>
      </c>
      <c r="J148" s="103">
        <f t="shared" si="870"/>
        <v>25.999987533825632</v>
      </c>
      <c r="K148" s="762">
        <f t="shared" si="870"/>
        <v>25.02199736031675</v>
      </c>
      <c r="L148" s="129">
        <f t="shared" si="870"/>
        <v>26</v>
      </c>
      <c r="M148" s="76">
        <f t="shared" si="870"/>
        <v>25.02199736031676</v>
      </c>
      <c r="N148" s="110">
        <f t="shared" si="870"/>
        <v>25.99999160539102</v>
      </c>
      <c r="O148" s="762">
        <f t="shared" ref="O148:P148" si="872">+O102/O107*100</f>
        <v>25.02199736031676</v>
      </c>
      <c r="P148" s="129">
        <f t="shared" si="872"/>
        <v>25.999997039999883</v>
      </c>
      <c r="Q148" s="52">
        <f t="shared" si="870"/>
        <v>25.021997360316757</v>
      </c>
      <c r="R148" s="103">
        <f t="shared" si="870"/>
        <v>25.999992969808378</v>
      </c>
      <c r="S148" s="762">
        <f t="shared" si="870"/>
        <v>25.02199736031676</v>
      </c>
      <c r="T148" s="129">
        <f t="shared" si="870"/>
        <v>24.999999999999996</v>
      </c>
      <c r="U148" s="52">
        <f t="shared" si="870"/>
        <v>25.02199736031675</v>
      </c>
      <c r="V148" s="103">
        <f t="shared" si="870"/>
        <v>25.795001230137661</v>
      </c>
      <c r="W148" s="762">
        <f t="shared" ref="W148:X148" si="873">+W102/W107*100</f>
        <v>25.02199736031676</v>
      </c>
      <c r="X148" s="129">
        <f t="shared" si="873"/>
        <v>24.999722498973249</v>
      </c>
      <c r="Y148" s="386">
        <f t="shared" si="870"/>
        <v>25.021997360316767</v>
      </c>
      <c r="Z148" s="110">
        <f t="shared" si="870"/>
        <v>25.330928705796545</v>
      </c>
      <c r="AA148" s="478">
        <f t="shared" si="870"/>
        <v>25.021997360316757</v>
      </c>
      <c r="AB148" s="466">
        <f t="shared" si="870"/>
        <v>25.663350803916462</v>
      </c>
      <c r="AC148" s="762">
        <f t="shared" si="870"/>
        <v>25.02199736031676</v>
      </c>
      <c r="AD148" s="129">
        <f t="shared" si="870"/>
        <v>25.967825702663553</v>
      </c>
      <c r="AE148" s="52">
        <f t="shared" si="870"/>
        <v>25.02199736031676</v>
      </c>
      <c r="AF148" s="103">
        <f t="shared" si="870"/>
        <v>25.707262098995638</v>
      </c>
      <c r="AG148" s="762">
        <f t="shared" ref="AG148:AH148" si="874">+AG102/AG107*100</f>
        <v>25.02199736031675</v>
      </c>
      <c r="AH148" s="129">
        <f t="shared" si="874"/>
        <v>26</v>
      </c>
      <c r="AI148" s="52">
        <f t="shared" si="870"/>
        <v>25.02199736031676</v>
      </c>
      <c r="AJ148" s="103">
        <f t="shared" si="870"/>
        <v>25.742358391838039</v>
      </c>
      <c r="AK148" s="762">
        <f t="shared" si="870"/>
        <v>25.02199736031676</v>
      </c>
      <c r="AL148" s="129">
        <f t="shared" si="870"/>
        <v>26</v>
      </c>
      <c r="AM148" s="386">
        <f t="shared" si="870"/>
        <v>25.021997360316757</v>
      </c>
      <c r="AN148" s="110">
        <f t="shared" si="870"/>
        <v>25.988978199873642</v>
      </c>
      <c r="AO148" s="52">
        <f t="shared" si="870"/>
        <v>25.021997360316757</v>
      </c>
      <c r="AP148" s="103">
        <f t="shared" si="870"/>
        <v>25.770721640759515</v>
      </c>
      <c r="AQ148" s="762">
        <f t="shared" ref="AQ148:AR148" si="875">+AQ102/AQ107*100</f>
        <v>25.02199736031676</v>
      </c>
      <c r="AR148" s="129">
        <f t="shared" si="875"/>
        <v>25.999999999999996</v>
      </c>
      <c r="AS148" s="52">
        <f t="shared" si="870"/>
        <v>25.02199736031676</v>
      </c>
      <c r="AT148" s="103">
        <f t="shared" si="870"/>
        <v>25.793620670140893</v>
      </c>
      <c r="AU148" s="762">
        <f t="shared" si="870"/>
        <v>25.021997360316767</v>
      </c>
      <c r="AV148" s="129">
        <f t="shared" si="870"/>
        <v>26.000000000000007</v>
      </c>
      <c r="AW148" s="52">
        <f t="shared" si="870"/>
        <v>25.021997360316757</v>
      </c>
      <c r="AX148" s="103">
        <f t="shared" si="870"/>
        <v>25.810629716286865</v>
      </c>
      <c r="AY148" s="762">
        <f t="shared" ref="AY148:AZ148" si="876">+AY102/AY107*100</f>
        <v>25.021997360316757</v>
      </c>
      <c r="AZ148" s="129">
        <f t="shared" si="876"/>
        <v>26.000118429348184</v>
      </c>
      <c r="BA148" s="386">
        <f t="shared" ref="BA148:BF148" si="877">+BA102/BA107*100</f>
        <v>25.021997360316767</v>
      </c>
      <c r="BB148" s="110">
        <f t="shared" si="877"/>
        <v>26.000041729106915</v>
      </c>
      <c r="BC148" s="478">
        <f t="shared" si="877"/>
        <v>25.02199736031676</v>
      </c>
      <c r="BD148" s="466">
        <f t="shared" si="877"/>
        <v>25.994473320681504</v>
      </c>
      <c r="BE148" s="52">
        <f t="shared" si="877"/>
        <v>25.02199736031676</v>
      </c>
      <c r="BF148" s="103">
        <f t="shared" si="877"/>
        <v>25.827021611331208</v>
      </c>
      <c r="BG148" s="1202"/>
      <c r="BH148" s="1202"/>
      <c r="BI148" s="1202"/>
      <c r="BJ148" s="1202"/>
      <c r="BK148" s="1202"/>
      <c r="BL148" s="26"/>
      <c r="BM148" s="26"/>
      <c r="BN148" s="26"/>
    </row>
    <row r="149" spans="1:66" x14ac:dyDescent="0.3">
      <c r="A149" s="145"/>
      <c r="B149" s="1805" t="s">
        <v>12</v>
      </c>
      <c r="C149" s="1373" t="s">
        <v>49</v>
      </c>
      <c r="D149" s="1418">
        <f t="shared" ref="D149:J149" si="878">SUM(D147:D148)</f>
        <v>92.080950285965685</v>
      </c>
      <c r="E149" s="1348">
        <f t="shared" si="878"/>
        <v>92.080950285965685</v>
      </c>
      <c r="F149" s="142">
        <f t="shared" si="878"/>
        <v>89.466617312982208</v>
      </c>
      <c r="G149" s="1348">
        <f t="shared" ref="G149:H149" si="879">SUM(G147:G148)</f>
        <v>92.080950285965685</v>
      </c>
      <c r="H149" s="142">
        <f t="shared" si="879"/>
        <v>91.22579404282105</v>
      </c>
      <c r="I149" s="1349">
        <f t="shared" si="878"/>
        <v>92.080950285965685</v>
      </c>
      <c r="J149" s="165">
        <f t="shared" si="878"/>
        <v>90.362489637492544</v>
      </c>
      <c r="K149" s="1348">
        <f t="shared" ref="K149:L149" si="880">SUM(K147:K148)</f>
        <v>92.08095028596567</v>
      </c>
      <c r="L149" s="142">
        <f t="shared" si="880"/>
        <v>90.499999999999986</v>
      </c>
      <c r="M149" s="1350">
        <f t="shared" ref="M149:R149" si="881">SUM(M147:M148)</f>
        <v>92.080950285965685</v>
      </c>
      <c r="N149" s="173">
        <f t="shared" si="881"/>
        <v>90.407401766585494</v>
      </c>
      <c r="O149" s="1348">
        <f t="shared" si="881"/>
        <v>92.080950285965685</v>
      </c>
      <c r="P149" s="142">
        <f t="shared" si="881"/>
        <v>91.999999679999988</v>
      </c>
      <c r="Q149" s="1349">
        <f t="shared" si="881"/>
        <v>92.080950285965685</v>
      </c>
      <c r="R149" s="165">
        <f t="shared" si="881"/>
        <v>90.807240704898419</v>
      </c>
      <c r="S149" s="1348">
        <f t="shared" ref="S149:T149" si="882">SUM(S147:S148)</f>
        <v>92.080950285965685</v>
      </c>
      <c r="T149" s="142">
        <f t="shared" si="882"/>
        <v>90</v>
      </c>
      <c r="U149" s="1349">
        <f t="shared" ref="U149:X149" si="883">SUM(U147:U148)</f>
        <v>92.08095028596567</v>
      </c>
      <c r="V149" s="165">
        <f t="shared" si="883"/>
        <v>90.64176186512033</v>
      </c>
      <c r="W149" s="1348">
        <f t="shared" si="883"/>
        <v>92.080950285965685</v>
      </c>
      <c r="X149" s="142">
        <f t="shared" si="883"/>
        <v>89.999962999863101</v>
      </c>
      <c r="Y149" s="1351">
        <f t="shared" ref="Y149:AF149" si="884">SUM(Y147:Y148)</f>
        <v>92.080950285965685</v>
      </c>
      <c r="Z149" s="173">
        <f t="shared" si="884"/>
        <v>90.662029690766587</v>
      </c>
      <c r="AA149" s="478">
        <f t="shared" si="884"/>
        <v>92.08095028596567</v>
      </c>
      <c r="AB149" s="477">
        <f t="shared" si="884"/>
        <v>90.535518493018969</v>
      </c>
      <c r="AC149" s="1348">
        <f t="shared" si="884"/>
        <v>92.080950285965685</v>
      </c>
      <c r="AD149" s="142">
        <f t="shared" si="884"/>
        <v>89.999967741831426</v>
      </c>
      <c r="AE149" s="1349">
        <f t="shared" si="884"/>
        <v>92.080950285965685</v>
      </c>
      <c r="AF149" s="165">
        <f t="shared" si="884"/>
        <v>90.458281495282719</v>
      </c>
      <c r="AG149" s="1348">
        <f t="shared" ref="AG149:AH149" si="885">SUM(AG147:AG148)</f>
        <v>92.08095028596567</v>
      </c>
      <c r="AH149" s="142">
        <f t="shared" si="885"/>
        <v>90</v>
      </c>
      <c r="AI149" s="1349">
        <f t="shared" ref="AI149:AN149" si="886">SUM(AI147:AI148)</f>
        <v>92.080950285965685</v>
      </c>
      <c r="AJ149" s="165">
        <f t="shared" si="886"/>
        <v>90.403338211521003</v>
      </c>
      <c r="AK149" s="1348">
        <f t="shared" si="886"/>
        <v>92.080950285965685</v>
      </c>
      <c r="AL149" s="142">
        <f t="shared" si="886"/>
        <v>87.290322580645153</v>
      </c>
      <c r="AM149" s="1351">
        <f t="shared" si="886"/>
        <v>92.080950285965685</v>
      </c>
      <c r="AN149" s="173">
        <f t="shared" si="886"/>
        <v>89.095314831723186</v>
      </c>
      <c r="AO149" s="1349">
        <f t="shared" ref="AO149:AT149" si="887">SUM(AO147:AO148)</f>
        <v>92.080950285965685</v>
      </c>
      <c r="AP149" s="165">
        <f t="shared" si="887"/>
        <v>90.060632552039692</v>
      </c>
      <c r="AQ149" s="1348">
        <f t="shared" si="887"/>
        <v>92.080950285965685</v>
      </c>
      <c r="AR149" s="142">
        <f t="shared" si="887"/>
        <v>87</v>
      </c>
      <c r="AS149" s="1349">
        <f t="shared" si="887"/>
        <v>92.080950285965685</v>
      </c>
      <c r="AT149" s="165">
        <f t="shared" si="887"/>
        <v>89.75495383483792</v>
      </c>
      <c r="AU149" s="1348">
        <f t="shared" ref="AU149:AV149" si="888">SUM(AU147:AU148)</f>
        <v>92.080950285965685</v>
      </c>
      <c r="AV149" s="142">
        <f t="shared" si="888"/>
        <v>89.9</v>
      </c>
      <c r="AW149" s="1349">
        <f t="shared" ref="AW149:AZ149" si="889">SUM(AW147:AW148)</f>
        <v>92.080950285965685</v>
      </c>
      <c r="AX149" s="165">
        <f t="shared" si="889"/>
        <v>89.766908020938928</v>
      </c>
      <c r="AY149" s="1348">
        <f t="shared" si="889"/>
        <v>92.080950285965685</v>
      </c>
      <c r="AZ149" s="142">
        <f t="shared" si="889"/>
        <v>90.000034832161234</v>
      </c>
      <c r="BA149" s="1351">
        <f t="shared" ref="BA149:BF149" si="890">SUM(BA147:BA148)</f>
        <v>92.080950285965685</v>
      </c>
      <c r="BB149" s="173">
        <f t="shared" si="890"/>
        <v>88.946382025064466</v>
      </c>
      <c r="BC149" s="478">
        <f t="shared" si="890"/>
        <v>92.080950285965685</v>
      </c>
      <c r="BD149" s="477">
        <f t="shared" si="890"/>
        <v>89.021341712695019</v>
      </c>
      <c r="BE149" s="1349">
        <f t="shared" si="890"/>
        <v>92.080950285965685</v>
      </c>
      <c r="BF149" s="165">
        <f t="shared" si="890"/>
        <v>89.787074869717628</v>
      </c>
      <c r="BG149" s="1202"/>
      <c r="BH149" s="1202"/>
      <c r="BI149" s="1202"/>
      <c r="BJ149" s="1202"/>
      <c r="BK149" s="1202"/>
      <c r="BL149" s="26"/>
      <c r="BM149" s="26"/>
      <c r="BN149" s="26"/>
    </row>
    <row r="150" spans="1:66" x14ac:dyDescent="0.3">
      <c r="B150" s="1789" t="s">
        <v>2349</v>
      </c>
      <c r="C150" s="1372" t="s">
        <v>49</v>
      </c>
      <c r="D150" s="104">
        <f t="shared" ref="D150:AX150" si="891">+((+D104+D105+D106)/D107)*100</f>
        <v>7.9190497140343252</v>
      </c>
      <c r="E150" s="1305">
        <f t="shared" si="891"/>
        <v>7.9190497140343252</v>
      </c>
      <c r="F150" s="129">
        <f t="shared" si="891"/>
        <v>10.533382687017804</v>
      </c>
      <c r="G150" s="1305">
        <f t="shared" ref="G150:H150" si="892">+((+G104+G105+G106)/G107)*100</f>
        <v>7.9190497140343128</v>
      </c>
      <c r="H150" s="129">
        <f t="shared" si="892"/>
        <v>8.7742059571789532</v>
      </c>
      <c r="I150" s="103">
        <f t="shared" si="891"/>
        <v>7.9190497140343163</v>
      </c>
      <c r="J150" s="103">
        <f t="shared" si="891"/>
        <v>9.637510362507447</v>
      </c>
      <c r="K150" s="1305">
        <f t="shared" si="891"/>
        <v>7.9190497140343226</v>
      </c>
      <c r="L150" s="129">
        <f t="shared" si="891"/>
        <v>9.5000000000000018</v>
      </c>
      <c r="M150" s="1559">
        <f t="shared" si="891"/>
        <v>7.919049714034319</v>
      </c>
      <c r="N150" s="110">
        <f t="shared" si="891"/>
        <v>9.5925982334145026</v>
      </c>
      <c r="O150" s="1305">
        <f t="shared" ref="O150:P150" si="893">+((+O104+O105+O106)/O107)*100</f>
        <v>7.9190497140343137</v>
      </c>
      <c r="P150" s="129">
        <f t="shared" si="893"/>
        <v>8.0000003200000123</v>
      </c>
      <c r="Q150" s="103">
        <f t="shared" si="891"/>
        <v>7.9190497140343181</v>
      </c>
      <c r="R150" s="103">
        <f t="shared" si="891"/>
        <v>9.1927592951015775</v>
      </c>
      <c r="S150" s="1305">
        <f t="shared" si="891"/>
        <v>7.9190497140343137</v>
      </c>
      <c r="T150" s="129">
        <f t="shared" si="891"/>
        <v>10</v>
      </c>
      <c r="U150" s="103">
        <f t="shared" si="891"/>
        <v>7.9190497140343163</v>
      </c>
      <c r="V150" s="103">
        <f t="shared" si="891"/>
        <v>9.3582381348796773</v>
      </c>
      <c r="W150" s="1305">
        <f t="shared" ref="W150:X150" si="894">+((+W104+W105+W106)/W107)*100</f>
        <v>7.9190497140343137</v>
      </c>
      <c r="X150" s="129">
        <f t="shared" si="894"/>
        <v>10.000037000136899</v>
      </c>
      <c r="Y150" s="110">
        <f t="shared" si="891"/>
        <v>7.9190497140343155</v>
      </c>
      <c r="Z150" s="110">
        <f t="shared" si="891"/>
        <v>9.3379703092334001</v>
      </c>
      <c r="AA150" s="466">
        <f t="shared" si="891"/>
        <v>7.9190497140343163</v>
      </c>
      <c r="AB150" s="466">
        <f t="shared" si="891"/>
        <v>9.4644815069810324</v>
      </c>
      <c r="AC150" s="1305">
        <f t="shared" si="891"/>
        <v>7.9190497140343137</v>
      </c>
      <c r="AD150" s="129">
        <f t="shared" si="891"/>
        <v>10.000032258168574</v>
      </c>
      <c r="AE150" s="103">
        <f t="shared" si="891"/>
        <v>7.9190497140343163</v>
      </c>
      <c r="AF150" s="103">
        <f t="shared" si="891"/>
        <v>9.5417185047172772</v>
      </c>
      <c r="AG150" s="1305">
        <f t="shared" ref="AG150:AH150" si="895">+((+AG104+AG105+AG106)/AG107)*100</f>
        <v>7.9190497140343226</v>
      </c>
      <c r="AH150" s="129">
        <f t="shared" si="895"/>
        <v>10</v>
      </c>
      <c r="AI150" s="103">
        <f t="shared" si="891"/>
        <v>7.9190497140343163</v>
      </c>
      <c r="AJ150" s="103">
        <f t="shared" si="891"/>
        <v>9.5966617884790058</v>
      </c>
      <c r="AK150" s="1305">
        <f t="shared" si="891"/>
        <v>7.9190497140343137</v>
      </c>
      <c r="AL150" s="129">
        <f t="shared" si="891"/>
        <v>12.709677419354836</v>
      </c>
      <c r="AM150" s="110">
        <f t="shared" si="891"/>
        <v>7.9190497140343163</v>
      </c>
      <c r="AN150" s="110">
        <f t="shared" si="891"/>
        <v>10.904685168276815</v>
      </c>
      <c r="AO150" s="103">
        <f t="shared" si="891"/>
        <v>7.9190497140343155</v>
      </c>
      <c r="AP150" s="103">
        <f t="shared" si="891"/>
        <v>9.9393674479603167</v>
      </c>
      <c r="AQ150" s="1305">
        <f t="shared" ref="AQ150" si="896">+((+AQ104+AQ105+AQ106)/AQ107)*100</f>
        <v>7.9190497140343137</v>
      </c>
      <c r="AR150" s="129">
        <f>+((+AR104+AR105+AR106)/AR107)*100</f>
        <v>13</v>
      </c>
      <c r="AS150" s="103">
        <f t="shared" si="891"/>
        <v>7.9190497140343155</v>
      </c>
      <c r="AT150" s="103">
        <f t="shared" si="891"/>
        <v>10.245046165162092</v>
      </c>
      <c r="AU150" s="1305">
        <f t="shared" si="891"/>
        <v>7.9190497140343163</v>
      </c>
      <c r="AV150" s="129">
        <f t="shared" si="891"/>
        <v>10.1</v>
      </c>
      <c r="AW150" s="103">
        <f t="shared" si="891"/>
        <v>7.9190497140343155</v>
      </c>
      <c r="AX150" s="103">
        <f t="shared" si="891"/>
        <v>10.233091979061076</v>
      </c>
      <c r="AY150" s="1305">
        <f t="shared" ref="AY150:AZ150" si="897">+((+AY104+AY105+AY106)/AY107)*100</f>
        <v>7.9190497140343155</v>
      </c>
      <c r="AZ150" s="129">
        <f t="shared" si="897"/>
        <v>9.99996516783877</v>
      </c>
      <c r="BA150" s="110">
        <f t="shared" ref="BA150:BF150" si="898">+((+BA104+BA105+BA106)/BA107)*100</f>
        <v>7.9190497140343137</v>
      </c>
      <c r="BB150" s="110">
        <f t="shared" si="898"/>
        <v>11.053617974935534</v>
      </c>
      <c r="BC150" s="466">
        <f t="shared" si="898"/>
        <v>7.9190497140343155</v>
      </c>
      <c r="BD150" s="466">
        <f t="shared" si="898"/>
        <v>10.978658287304988</v>
      </c>
      <c r="BE150" s="103">
        <f t="shared" si="898"/>
        <v>7.9190497140343163</v>
      </c>
      <c r="BF150" s="103">
        <f t="shared" si="898"/>
        <v>10.212925130282372</v>
      </c>
      <c r="BG150" s="1202"/>
      <c r="BH150" s="1202"/>
      <c r="BI150" s="1202"/>
      <c r="BJ150" s="1202"/>
      <c r="BK150" s="1202"/>
      <c r="BL150" s="26"/>
      <c r="BM150" s="26"/>
      <c r="BN150" s="26"/>
    </row>
    <row r="151" spans="1:66" ht="18" x14ac:dyDescent="0.3">
      <c r="B151" s="1839" t="s">
        <v>193</v>
      </c>
      <c r="C151" s="1377"/>
      <c r="D151" s="1352"/>
      <c r="E151" s="1353"/>
      <c r="F151" s="1354"/>
      <c r="G151" s="1353"/>
      <c r="H151" s="1354"/>
      <c r="I151" s="1355"/>
      <c r="J151" s="1352"/>
      <c r="K151" s="1353"/>
      <c r="L151" s="1354"/>
      <c r="M151" s="1353"/>
      <c r="N151" s="1354"/>
      <c r="O151" s="1353"/>
      <c r="P151" s="1354"/>
      <c r="Q151" s="1355"/>
      <c r="R151" s="1352"/>
      <c r="S151" s="1353"/>
      <c r="T151" s="1354"/>
      <c r="U151" s="1355"/>
      <c r="V151" s="1352"/>
      <c r="W151" s="1353"/>
      <c r="X151" s="1354"/>
      <c r="Y151" s="1352"/>
      <c r="Z151" s="1352"/>
      <c r="AA151" s="2319"/>
      <c r="AB151" s="1354"/>
      <c r="AC151" s="1353"/>
      <c r="AD151" s="1354"/>
      <c r="AE151" s="1355"/>
      <c r="AF151" s="1354"/>
      <c r="AG151" s="1353"/>
      <c r="AH151" s="1354"/>
      <c r="AI151" s="1355"/>
      <c r="AJ151" s="1354"/>
      <c r="AK151" s="1353"/>
      <c r="AL151" s="1354"/>
      <c r="AM151" s="1352"/>
      <c r="AN151" s="1352"/>
      <c r="AO151" s="1355"/>
      <c r="AP151" s="1354"/>
      <c r="AQ151" s="1353"/>
      <c r="AR151" s="1354"/>
      <c r="AS151" s="1355"/>
      <c r="AT151" s="1354"/>
      <c r="AU151" s="1353"/>
      <c r="AV151" s="1354"/>
      <c r="AW151" s="1355"/>
      <c r="AX151" s="1354"/>
      <c r="AY151" s="1353"/>
      <c r="AZ151" s="1354"/>
      <c r="BA151" s="1352"/>
      <c r="BB151" s="1352"/>
      <c r="BC151" s="2319"/>
      <c r="BD151" s="1354"/>
      <c r="BE151" s="1355"/>
      <c r="BF151" s="1354"/>
      <c r="BG151" s="1202"/>
      <c r="BH151" s="1202"/>
      <c r="BI151" s="1202"/>
      <c r="BJ151" s="1202"/>
      <c r="BK151" s="1202"/>
      <c r="BL151" s="26"/>
      <c r="BM151" s="26"/>
      <c r="BN151" s="26"/>
    </row>
    <row r="152" spans="1:66" x14ac:dyDescent="0.3">
      <c r="B152" s="1789" t="s">
        <v>199</v>
      </c>
      <c r="C152" s="1372" t="s">
        <v>49</v>
      </c>
      <c r="D152" s="104">
        <v>9.6999999999999993</v>
      </c>
      <c r="E152" s="762">
        <f>+$D$152</f>
        <v>9.6999999999999993</v>
      </c>
      <c r="F152" s="131">
        <v>8.27</v>
      </c>
      <c r="G152" s="762">
        <f>+$D$152</f>
        <v>9.6999999999999993</v>
      </c>
      <c r="H152" s="131">
        <v>8.5</v>
      </c>
      <c r="I152" s="52">
        <f>+$D$152</f>
        <v>9.6999999999999993</v>
      </c>
      <c r="J152" s="105">
        <f>+((F152*F$107)+(H$107*H152))/J$107</f>
        <v>8.3871290133290124</v>
      </c>
      <c r="K152" s="762">
        <f>+$D$152</f>
        <v>9.6999999999999993</v>
      </c>
      <c r="L152" s="131">
        <v>9.1999999999999993</v>
      </c>
      <c r="M152" s="76">
        <f>+$D$152</f>
        <v>9.6999999999999993</v>
      </c>
      <c r="N152" s="111">
        <f>+((F152*F$107)+(H152*H$107)+(L152*L$107))/N$107</f>
        <v>8.652620035413257</v>
      </c>
      <c r="O152" s="762">
        <f>+$D$152</f>
        <v>9.6999999999999993</v>
      </c>
      <c r="P152" s="131">
        <v>9.6999999999999993</v>
      </c>
      <c r="Q152" s="52">
        <f>+$D$152</f>
        <v>9.6999999999999993</v>
      </c>
      <c r="R152" s="105">
        <f>+((N152*N$107)+(P152*P$107))/R$107</f>
        <v>8.915576108332333</v>
      </c>
      <c r="S152" s="762">
        <f>+$D$152</f>
        <v>9.6999999999999993</v>
      </c>
      <c r="T152" s="131">
        <v>9.8000000000000007</v>
      </c>
      <c r="U152" s="52">
        <f>+$D$152</f>
        <v>9.6999999999999993</v>
      </c>
      <c r="V152" s="105">
        <f>+((R152*R$107)+(T152*T$107))/V$107</f>
        <v>9.0968769750714742</v>
      </c>
      <c r="W152" s="762">
        <f>+$D$152</f>
        <v>9.6999999999999993</v>
      </c>
      <c r="X152" s="131">
        <v>9.6</v>
      </c>
      <c r="Y152" s="76">
        <f>+$D$152</f>
        <v>9.6999999999999993</v>
      </c>
      <c r="Z152" s="111">
        <f>+((P152*P$107)+(T152*T$107)+(X$107*X152))/Z$107</f>
        <v>9.7010968106379689</v>
      </c>
      <c r="AA152" s="662">
        <f>+$D$152</f>
        <v>9.6999999999999993</v>
      </c>
      <c r="AB152" s="469">
        <f>+((N152*N$107)+(Z$107*Z152))/AB$107</f>
        <v>9.1801639511692237</v>
      </c>
      <c r="AC152" s="762">
        <f>+$D$152</f>
        <v>9.6999999999999993</v>
      </c>
      <c r="AD152" s="131">
        <v>9.1999999999999993</v>
      </c>
      <c r="AE152" s="52">
        <f>+$D$152</f>
        <v>9.6999999999999993</v>
      </c>
      <c r="AF152" s="105">
        <f>+((AB152*AB$107)+(AD152*AD$107))/AF$107</f>
        <v>9.1830247012573167</v>
      </c>
      <c r="AG152" s="762">
        <f>+$D$152</f>
        <v>9.6999999999999993</v>
      </c>
      <c r="AH152" s="131">
        <v>8.8000000000000007</v>
      </c>
      <c r="AI152" s="52">
        <f>+$D$152</f>
        <v>9.6999999999999993</v>
      </c>
      <c r="AJ152" s="105">
        <f>+((AF152*AF$107)+(AH152*AH$107))/AJ$107</f>
        <v>9.1371039406209995</v>
      </c>
      <c r="AK152" s="762">
        <f>+$D$152</f>
        <v>9.6999999999999993</v>
      </c>
      <c r="AL152" s="131">
        <v>8.5</v>
      </c>
      <c r="AM152" s="76">
        <f>+$D$152</f>
        <v>9.6999999999999993</v>
      </c>
      <c r="AN152" s="111">
        <f>+((AD152*AD$107)+(AH152*AH$107)+(AL$107*AL152))/AN$107</f>
        <v>8.8368657999310845</v>
      </c>
      <c r="AO152" s="52">
        <f>+$D$152</f>
        <v>9.6999999999999993</v>
      </c>
      <c r="AP152" s="105">
        <f>+((AL152*AL$107)+(AJ152*AJ$107))/AP$107</f>
        <v>9.0669664430886687</v>
      </c>
      <c r="AQ152" s="762">
        <f>+$D$152</f>
        <v>9.6999999999999993</v>
      </c>
      <c r="AR152" s="131">
        <v>8.1</v>
      </c>
      <c r="AS152" s="52">
        <f>+$D$152</f>
        <v>9.6999999999999993</v>
      </c>
      <c r="AT152" s="105">
        <f>+((AP152*AP$107)+(AR152*AR$107))/AT$107</f>
        <v>8.9703912884842634</v>
      </c>
      <c r="AU152" s="762">
        <f>+$D$152</f>
        <v>9.6999999999999993</v>
      </c>
      <c r="AV152" s="131">
        <v>7.6</v>
      </c>
      <c r="AW152" s="52">
        <f>+$D$152</f>
        <v>9.6999999999999993</v>
      </c>
      <c r="AX152" s="105">
        <f>+((AT152*AT$107)+(AV152*AV$107))/AX$107</f>
        <v>8.8574485403912995</v>
      </c>
      <c r="AY152" s="762">
        <f>+$D$152</f>
        <v>9.6999999999999993</v>
      </c>
      <c r="AZ152" s="131">
        <v>8</v>
      </c>
      <c r="BA152" s="76">
        <f>+$D$152</f>
        <v>9.6999999999999993</v>
      </c>
      <c r="BB152" s="111">
        <f>+((AR152*AR$107)+(AV152*AV$107)+(AZ$107*AZ152))/BB$107</f>
        <v>7.9114358617490135</v>
      </c>
      <c r="BC152" s="662">
        <f>+$D$152</f>
        <v>9.6999999999999993</v>
      </c>
      <c r="BD152" s="469">
        <f>+((AN152*AN$107)+(BB$107*BB152))/BD$107</f>
        <v>8.3772159718965913</v>
      </c>
      <c r="BE152" s="52">
        <f>+$D$152</f>
        <v>9.6999999999999993</v>
      </c>
      <c r="BF152" s="105">
        <f>+((AX152*AX$107)+(AZ152*AZ$107))/BF$107</f>
        <v>8.7832741674012222</v>
      </c>
      <c r="BG152" s="1202"/>
      <c r="BH152" s="1202"/>
      <c r="BI152" s="1202"/>
      <c r="BJ152" s="1202"/>
      <c r="BK152" s="1202"/>
      <c r="BL152" s="26"/>
      <c r="BM152" s="26"/>
      <c r="BN152" s="26"/>
    </row>
    <row r="153" spans="1:66" x14ac:dyDescent="0.3">
      <c r="A153" s="145"/>
      <c r="B153" s="6645" t="s">
        <v>200</v>
      </c>
      <c r="C153" s="1372" t="s">
        <v>49</v>
      </c>
      <c r="D153" s="104" t="s">
        <v>1973</v>
      </c>
      <c r="E153" s="762" t="str">
        <f>+$D$153</f>
        <v>10.5-10.7</v>
      </c>
      <c r="F153" s="131">
        <v>10.63</v>
      </c>
      <c r="G153" s="762" t="str">
        <f>+$D$153</f>
        <v>10.5-10.7</v>
      </c>
      <c r="H153" s="131">
        <v>10.39</v>
      </c>
      <c r="I153" s="52" t="str">
        <f>+$D$153</f>
        <v>10.5-10.7</v>
      </c>
      <c r="J153" s="105">
        <f>+((F153*F$107)+(H$107*H153))/J$107</f>
        <v>10.507778420874075</v>
      </c>
      <c r="K153" s="762" t="str">
        <f>+$D$153</f>
        <v>10.5-10.7</v>
      </c>
      <c r="L153" s="131">
        <v>10.7</v>
      </c>
      <c r="M153" s="76" t="str">
        <f>+$D$153</f>
        <v>10.5-10.7</v>
      </c>
      <c r="N153" s="111">
        <f>+((F153*F$107)+(H153*H$107)+(L153*L$107))/N$107</f>
        <v>10.57055972854233</v>
      </c>
      <c r="O153" s="762" t="str">
        <f>+$D$153</f>
        <v>10.5-10.7</v>
      </c>
      <c r="P153" s="131">
        <v>10.5</v>
      </c>
      <c r="Q153" s="52" t="str">
        <f>+$D$153</f>
        <v>10.5-10.7</v>
      </c>
      <c r="R153" s="105">
        <f>+((N153*N$107)+(P153*P$107))/R$107</f>
        <v>10.552844945224846</v>
      </c>
      <c r="S153" s="762" t="str">
        <f>+$D$153</f>
        <v>10.5-10.7</v>
      </c>
      <c r="T153" s="131">
        <v>10.4</v>
      </c>
      <c r="U153" s="52" t="str">
        <f>+$D$153</f>
        <v>10.5-10.7</v>
      </c>
      <c r="V153" s="105">
        <f>+((R153*R$107)+(T153*T$107))/V$107</f>
        <v>10.521512773732162</v>
      </c>
      <c r="W153" s="762" t="str">
        <f>+$D$153</f>
        <v>10.5-10.7</v>
      </c>
      <c r="X153" s="131">
        <v>10.5</v>
      </c>
      <c r="Y153" s="76" t="str">
        <f>+$D$153</f>
        <v>10.5-10.7</v>
      </c>
      <c r="Z153" s="111">
        <f>+((P153*P$107)+(T153*T$107)+(X$107*X153))/Z$107</f>
        <v>10.466002643929519</v>
      </c>
      <c r="AA153" s="662" t="str">
        <f>+$D$153</f>
        <v>10.5-10.7</v>
      </c>
      <c r="AB153" s="469">
        <f>+((N153*N$107)+(Z$107*Z153))/AB$107</f>
        <v>10.517951549572558</v>
      </c>
      <c r="AC153" s="762" t="str">
        <f>+$D$153</f>
        <v>10.5-10.7</v>
      </c>
      <c r="AD153" s="131">
        <v>10.5</v>
      </c>
      <c r="AE153" s="52" t="str">
        <f>+$D$153</f>
        <v>10.5-10.7</v>
      </c>
      <c r="AF153" s="105">
        <f>+((AB153*AB$107)+(AD153*AD$107))/AF$107</f>
        <v>10.515362581504409</v>
      </c>
      <c r="AG153" s="762" t="str">
        <f>+$D$153</f>
        <v>10.5-10.7</v>
      </c>
      <c r="AH153" s="131">
        <v>10.5</v>
      </c>
      <c r="AI153" s="52" t="str">
        <f>+$D$153</f>
        <v>10.5-10.7</v>
      </c>
      <c r="AJ153" s="105">
        <f>+((AF153*AF$107)+(AH153*AH$107))/AJ$107</f>
        <v>10.51352076444743</v>
      </c>
      <c r="AK153" s="762" t="str">
        <f>+$D$153</f>
        <v>10.5-10.7</v>
      </c>
      <c r="AL153" s="131">
        <v>10.8</v>
      </c>
      <c r="AM153" s="76" t="str">
        <f>+$D$153</f>
        <v>10.5-10.7</v>
      </c>
      <c r="AN153" s="111">
        <f>+((AD153*AD$107)+(AH153*AH$107)+(AL$107*AL153))/AN$107</f>
        <v>10.600160348750375</v>
      </c>
      <c r="AO153" s="52" t="str">
        <f>+$D$153</f>
        <v>10.5-10.7</v>
      </c>
      <c r="AP153" s="105">
        <f>+((AL153*AL$107)+(AJ153*AJ$107))/AP$107</f>
        <v>10.545058690044073</v>
      </c>
      <c r="AQ153" s="762" t="str">
        <f>+$D$153</f>
        <v>10.5-10.7</v>
      </c>
      <c r="AR153" s="131">
        <v>10.9</v>
      </c>
      <c r="AS153" s="52" t="str">
        <f>+$D$153</f>
        <v>10.5-10.7</v>
      </c>
      <c r="AT153" s="105">
        <f>+((AP153*AP$107)+(AR153*AR$107))/AT$107</f>
        <v>10.580508226198598</v>
      </c>
      <c r="AU153" s="762" t="str">
        <f>+$D$153</f>
        <v>10.5-10.7</v>
      </c>
      <c r="AV153" s="131">
        <v>10.6</v>
      </c>
      <c r="AW153" s="52" t="str">
        <f>+$D$153</f>
        <v>10.5-10.7</v>
      </c>
      <c r="AX153" s="105">
        <f>+((AT153*AT$107)+(AV153*AV$107))/AX$107</f>
        <v>10.582114668473029</v>
      </c>
      <c r="AY153" s="762" t="str">
        <f>+$D$153</f>
        <v>10.5-10.7</v>
      </c>
      <c r="AZ153" s="131">
        <v>10.5</v>
      </c>
      <c r="BA153" s="76" t="str">
        <f>+$D$153</f>
        <v>10.5-10.7</v>
      </c>
      <c r="BB153" s="111">
        <f>+((AR153*AR$107)+(AV153*AV$107)+(AZ$107*AZ153))/BB$107</f>
        <v>10.667061006726978</v>
      </c>
      <c r="BC153" s="662" t="str">
        <f>+$D$153</f>
        <v>10.5-10.7</v>
      </c>
      <c r="BD153" s="469">
        <f>+((AN153*AN$107)+(BB$107*BB153))/BD$107</f>
        <v>10.633389094294039</v>
      </c>
      <c r="BE153" s="52" t="str">
        <f>+$D$153</f>
        <v>10.5-10.7</v>
      </c>
      <c r="BF153" s="105">
        <f>+((AX153*AX$107)+(AZ153*AZ$107))/BF$107</f>
        <v>10.575011263708358</v>
      </c>
      <c r="BG153" s="1202"/>
      <c r="BH153" s="1202"/>
      <c r="BI153" s="1202"/>
      <c r="BJ153" s="1202"/>
      <c r="BK153" s="1202"/>
      <c r="BL153" s="26"/>
      <c r="BM153" s="26"/>
      <c r="BN153" s="26"/>
    </row>
    <row r="154" spans="1:66" x14ac:dyDescent="0.3">
      <c r="B154" s="1789" t="s">
        <v>201</v>
      </c>
      <c r="C154" s="1372" t="s">
        <v>49</v>
      </c>
      <c r="D154" s="104" t="s">
        <v>1669</v>
      </c>
      <c r="E154" s="762" t="str">
        <f>+$D$154</f>
        <v>25.0-25.2</v>
      </c>
      <c r="F154" s="131">
        <v>24.73</v>
      </c>
      <c r="G154" s="762" t="str">
        <f>+$D$154</f>
        <v>25.0-25.2</v>
      </c>
      <c r="H154" s="131">
        <v>25.06</v>
      </c>
      <c r="I154" s="52" t="str">
        <f>+$D$154</f>
        <v>25.0-25.2</v>
      </c>
      <c r="J154" s="105">
        <f>+((F154*F$107)+(H$107*H154))/J$107</f>
        <v>24.898054671298144</v>
      </c>
      <c r="K154" s="762" t="str">
        <f>+$D$154</f>
        <v>25.0-25.2</v>
      </c>
      <c r="L154" s="131">
        <v>24.6</v>
      </c>
      <c r="M154" s="76" t="str">
        <f>+$D$154</f>
        <v>25.0-25.2</v>
      </c>
      <c r="N154" s="111">
        <f>+((F154*F$107)+(H154*H$107)+(L154*L$107))/N$107</f>
        <v>24.800707317760533</v>
      </c>
      <c r="O154" s="762" t="str">
        <f>+$D$154</f>
        <v>25.0-25.2</v>
      </c>
      <c r="P154" s="131">
        <v>25.3</v>
      </c>
      <c r="Q154" s="52" t="str">
        <f>+$D$154</f>
        <v>25.0-25.2</v>
      </c>
      <c r="R154" s="105">
        <f>+((N154*N$107)+(P154*P$107))/R$107</f>
        <v>24.926060148059062</v>
      </c>
      <c r="S154" s="762" t="str">
        <f>+$D$154</f>
        <v>25.0-25.2</v>
      </c>
      <c r="T154" s="131">
        <v>25.4</v>
      </c>
      <c r="U154" s="52" t="str">
        <f>+$D$154</f>
        <v>25.0-25.2</v>
      </c>
      <c r="V154" s="105">
        <f>+((R154*R$107)+(T154*T$107))/V$107</f>
        <v>25.023214585822036</v>
      </c>
      <c r="W154" s="762" t="str">
        <f>+$D$154</f>
        <v>25.0-25.2</v>
      </c>
      <c r="X154" s="131">
        <v>25.4</v>
      </c>
      <c r="Y154" s="76" t="str">
        <f>+$D$154</f>
        <v>25.0-25.2</v>
      </c>
      <c r="Z154" s="111">
        <f>+((P154*P$107)+(T154*T$107)+(X$107*X154))/Z$107</f>
        <v>25.366897901502988</v>
      </c>
      <c r="AA154" s="662" t="str">
        <f>+$D$154</f>
        <v>25.0-25.2</v>
      </c>
      <c r="AB154" s="469">
        <f>+((N154*N$107)+(Z$107*Z154))/AB$107</f>
        <v>25.085587636208821</v>
      </c>
      <c r="AC154" s="762" t="str">
        <f>+$D$154</f>
        <v>25.0-25.2</v>
      </c>
      <c r="AD154" s="131">
        <v>25.5</v>
      </c>
      <c r="AE154" s="52" t="str">
        <f>+$D$154</f>
        <v>25.0-25.2</v>
      </c>
      <c r="AF154" s="105">
        <f>+((AB154*AB$107)+(AD154*AD$107))/AF$107</f>
        <v>25.145354085481905</v>
      </c>
      <c r="AG154" s="762" t="str">
        <f>+$D$154</f>
        <v>25.0-25.2</v>
      </c>
      <c r="AH154" s="131">
        <v>25.4</v>
      </c>
      <c r="AI154" s="52" t="str">
        <f>+$D$154</f>
        <v>25.0-25.2</v>
      </c>
      <c r="AJ154" s="105">
        <f>+((AF154*AF$107)+(AH154*AH$107))/AJ$107</f>
        <v>25.175883537105303</v>
      </c>
      <c r="AK154" s="762" t="str">
        <f>+$D$154</f>
        <v>25.0-25.2</v>
      </c>
      <c r="AL154" s="131">
        <v>25.1</v>
      </c>
      <c r="AM154" s="76" t="str">
        <f>+$D$154</f>
        <v>25.0-25.2</v>
      </c>
      <c r="AN154" s="111">
        <f>+((AD154*AD$107)+(AH154*AH$107)+(AL$107*AL154))/AN$107</f>
        <v>25.334096188419991</v>
      </c>
      <c r="AO154" s="52" t="str">
        <f>+$D$154</f>
        <v>25.0-25.2</v>
      </c>
      <c r="AP154" s="105">
        <f>+((AL154*AL$107)+(AJ154*AJ$107))/AP$107</f>
        <v>25.167529670401418</v>
      </c>
      <c r="AQ154" s="762" t="str">
        <f>+$D$154</f>
        <v>25.0-25.2</v>
      </c>
      <c r="AR154" s="131">
        <v>25.3</v>
      </c>
      <c r="AS154" s="52" t="str">
        <f>+$D$154</f>
        <v>25.0-25.2</v>
      </c>
      <c r="AT154" s="105">
        <f>+((AP154*AP$107)+(AR154*AR$107))/AT$107</f>
        <v>25.180760059783513</v>
      </c>
      <c r="AU154" s="762" t="str">
        <f>+$D$154</f>
        <v>25.0-25.2</v>
      </c>
      <c r="AV154" s="131">
        <v>25.5</v>
      </c>
      <c r="AW154" s="52" t="str">
        <f>+$D$154</f>
        <v>25.0-25.2</v>
      </c>
      <c r="AX154" s="105">
        <f>+((AT154*AT$107)+(AV154*AV$107))/AX$107</f>
        <v>25.207070673731561</v>
      </c>
      <c r="AY154" s="762" t="str">
        <f>+$D$154</f>
        <v>25.0-25.2</v>
      </c>
      <c r="AZ154" s="131">
        <v>25.5</v>
      </c>
      <c r="BA154" s="76" t="str">
        <f>+$D$154</f>
        <v>25.0-25.2</v>
      </c>
      <c r="BB154" s="111">
        <f>+((AR154*AR$107)+(AV154*AV$107)+(AZ$107*AZ154))/BB$107</f>
        <v>25.431802366040358</v>
      </c>
      <c r="BC154" s="662" t="str">
        <f>+$D$154</f>
        <v>25.0-25.2</v>
      </c>
      <c r="BD154" s="469">
        <f>+((AN154*AN$107)+(BB$107*BB154))/BD$107</f>
        <v>25.382625662006433</v>
      </c>
      <c r="BE154" s="52" t="str">
        <f>+$D$154</f>
        <v>25.0-25.2</v>
      </c>
      <c r="BF154" s="105">
        <f>+((AX154*AX$107)+(AZ154*AZ$107))/BF$107</f>
        <v>25.232410793963677</v>
      </c>
      <c r="BG154" s="1202"/>
      <c r="BH154" s="1202"/>
      <c r="BI154" s="1202"/>
      <c r="BJ154" s="1202"/>
      <c r="BK154" s="1202"/>
      <c r="BL154" s="26"/>
      <c r="BM154" s="26"/>
      <c r="BN154" s="26"/>
    </row>
    <row r="155" spans="1:66" ht="18" x14ac:dyDescent="0.3">
      <c r="B155" s="1838" t="s">
        <v>197</v>
      </c>
      <c r="C155" s="1377"/>
      <c r="D155" s="1352"/>
      <c r="E155" s="1353"/>
      <c r="F155" s="1354"/>
      <c r="G155" s="1353"/>
      <c r="H155" s="1354"/>
      <c r="I155" s="1356"/>
      <c r="J155" s="1352"/>
      <c r="K155" s="1353"/>
      <c r="L155" s="1354"/>
      <c r="M155" s="1353"/>
      <c r="N155" s="1354"/>
      <c r="O155" s="1353"/>
      <c r="P155" s="1354"/>
      <c r="Q155" s="1356"/>
      <c r="R155" s="1352"/>
      <c r="S155" s="1353"/>
      <c r="T155" s="1354"/>
      <c r="U155" s="1356"/>
      <c r="V155" s="1352"/>
      <c r="W155" s="1353"/>
      <c r="X155" s="1354"/>
      <c r="Y155" s="1352"/>
      <c r="Z155" s="1352"/>
      <c r="AA155" s="2320"/>
      <c r="AB155" s="1354"/>
      <c r="AC155" s="1353"/>
      <c r="AD155" s="1354"/>
      <c r="AE155" s="1356"/>
      <c r="AF155" s="1354"/>
      <c r="AG155" s="1353"/>
      <c r="AH155" s="1354"/>
      <c r="AI155" s="1356"/>
      <c r="AJ155" s="1354"/>
      <c r="AK155" s="1353"/>
      <c r="AL155" s="1354"/>
      <c r="AM155" s="1352"/>
      <c r="AN155" s="1352"/>
      <c r="AO155" s="1356"/>
      <c r="AP155" s="1354"/>
      <c r="AQ155" s="1353"/>
      <c r="AR155" s="1354"/>
      <c r="AS155" s="1356"/>
      <c r="AT155" s="1354"/>
      <c r="AU155" s="1353"/>
      <c r="AV155" s="1354"/>
      <c r="AW155" s="1356"/>
      <c r="AX155" s="1354"/>
      <c r="AY155" s="1353"/>
      <c r="AZ155" s="1354"/>
      <c r="BA155" s="1352"/>
      <c r="BB155" s="1352"/>
      <c r="BC155" s="2320"/>
      <c r="BD155" s="1354"/>
      <c r="BE155" s="1356"/>
      <c r="BF155" s="1354"/>
      <c r="BG155" s="1202">
        <f t="shared" si="801"/>
        <v>0</v>
      </c>
      <c r="BH155" s="1202">
        <f t="shared" si="802"/>
        <v>0</v>
      </c>
      <c r="BI155" s="1202"/>
      <c r="BJ155" s="1202">
        <f t="shared" si="820"/>
        <v>0</v>
      </c>
      <c r="BK155" s="1202">
        <f t="shared" si="821"/>
        <v>0</v>
      </c>
      <c r="BL155" s="26"/>
      <c r="BM155" s="26"/>
      <c r="BN155" s="26"/>
    </row>
    <row r="156" spans="1:66" x14ac:dyDescent="0.3">
      <c r="B156" s="1789" t="s">
        <v>202</v>
      </c>
      <c r="C156" s="1372" t="s">
        <v>49</v>
      </c>
      <c r="D156" s="391" t="s">
        <v>1974</v>
      </c>
      <c r="E156" s="767" t="str">
        <f>+$D$156</f>
        <v>&lt;=3.6</v>
      </c>
      <c r="F156" s="131">
        <v>3.12</v>
      </c>
      <c r="G156" s="767" t="str">
        <f>+$D$156</f>
        <v>&lt;=3.6</v>
      </c>
      <c r="H156" s="131">
        <v>3.64</v>
      </c>
      <c r="I156" s="52" t="str">
        <f>+$D$156</f>
        <v>&lt;=3.6</v>
      </c>
      <c r="J156" s="105">
        <f t="shared" ref="J156:J161" si="899">+((F156*F$21)+(H$21*H156))/J$21</f>
        <v>3.3848131942107034</v>
      </c>
      <c r="K156" s="767" t="str">
        <f>+$D$156</f>
        <v>&lt;=3.6</v>
      </c>
      <c r="L156" s="131">
        <v>3.2</v>
      </c>
      <c r="M156" s="76" t="str">
        <f>+$D$156</f>
        <v>&lt;=3.6</v>
      </c>
      <c r="N156" s="111">
        <f t="shared" ref="N156:N161" si="900">+((F156*F$21)+(H156*H$21)+(L$21*L156))/N$21</f>
        <v>3.3244514959202176</v>
      </c>
      <c r="O156" s="767" t="str">
        <f>+$D$156</f>
        <v>&lt;=3.6</v>
      </c>
      <c r="P156" s="131">
        <v>3</v>
      </c>
      <c r="Q156" s="52" t="str">
        <f>+$D$156</f>
        <v>&lt;=3.6</v>
      </c>
      <c r="R156" s="105">
        <f t="shared" ref="R156:R161" si="901">+((N156*N$21)+(P$21*P156))/R$21</f>
        <v>3.2429943982345946</v>
      </c>
      <c r="S156" s="767" t="str">
        <f>+$D$156</f>
        <v>&lt;=3.6</v>
      </c>
      <c r="T156" s="131">
        <v>3</v>
      </c>
      <c r="U156" s="52" t="str">
        <f>+$D$156</f>
        <v>&lt;=3.6</v>
      </c>
      <c r="V156" s="105">
        <f t="shared" ref="V156:V161" si="902">+((R156*R$21)+(T$21*T156))/V$21</f>
        <v>3.1931821862348171</v>
      </c>
      <c r="W156" s="767" t="str">
        <f>+$D$156</f>
        <v>&lt;=3.6</v>
      </c>
      <c r="X156" s="131">
        <v>3.7</v>
      </c>
      <c r="Y156" s="76" t="str">
        <f>+$D$156</f>
        <v>&lt;=3.6</v>
      </c>
      <c r="Z156" s="111">
        <f t="shared" ref="Z156:Z161" si="903">+((P156*P$21)+(T156*T$21)+(X$21*X156))/Z$21</f>
        <v>3.2303043867502237</v>
      </c>
      <c r="AA156" s="662" t="str">
        <f>+$D$156</f>
        <v>&lt;=3.6</v>
      </c>
      <c r="AB156" s="469">
        <f t="shared" ref="AB156:AB161" si="904">+((N156*N$21)+(Z$21*Z156))/AB$21</f>
        <v>3.2770810810810809</v>
      </c>
      <c r="AC156" s="767" t="str">
        <f>+$D$156</f>
        <v>&lt;=3.6</v>
      </c>
      <c r="AD156" s="131">
        <v>3.9</v>
      </c>
      <c r="AE156" s="52" t="str">
        <f>+$D$156</f>
        <v>&lt;=3.6</v>
      </c>
      <c r="AF156" s="105">
        <f t="shared" ref="AF156:AF161" si="905">+((AB156*AB$21)+(AD$21*AD156))/AF$21</f>
        <v>3.3665888237189923</v>
      </c>
      <c r="AG156" s="767" t="str">
        <f>+$D$156</f>
        <v>&lt;=3.6</v>
      </c>
      <c r="AH156" s="131">
        <v>3</v>
      </c>
      <c r="AI156" s="52" t="str">
        <f>+$D$156</f>
        <v>&lt;=3.6</v>
      </c>
      <c r="AJ156" s="105">
        <f t="shared" ref="AJ156:AJ161" si="906">+((AF156*AF$21)+(AH$21*AH156))/AJ$21</f>
        <v>3.3228913249779195</v>
      </c>
      <c r="AK156" s="767" t="str">
        <f>+$D$156</f>
        <v>&lt;=3.6</v>
      </c>
      <c r="AL156" s="131">
        <v>3</v>
      </c>
      <c r="AM156" s="76" t="str">
        <f>+$D$156</f>
        <v>&lt;=3.6</v>
      </c>
      <c r="AN156" s="111">
        <f t="shared" ref="AN156:AN157" si="907">+((AD156*AD$21)+(AH156*AH$21)+(AL$21*AL156))/AN$21</f>
        <v>3.3088922034661237</v>
      </c>
      <c r="AO156" s="52" t="str">
        <f>+$D$156</f>
        <v>&lt;=3.6</v>
      </c>
      <c r="AP156" s="105">
        <f t="shared" ref="AP156:AP161" si="908">+((AL156*AL$21)+(AJ$21*AJ156))/AP$21</f>
        <v>3.2875269101615916</v>
      </c>
      <c r="AQ156" s="767" t="str">
        <f>+$D$156</f>
        <v>&lt;=3.6</v>
      </c>
      <c r="AR156" s="131">
        <v>3.1</v>
      </c>
      <c r="AS156" s="52" t="str">
        <f>+$D$156</f>
        <v>&lt;=3.6</v>
      </c>
      <c r="AT156" s="105">
        <f t="shared" ref="AT156:AT161" si="909">+((AP156*AP$21)+(AR$21*AR156))/AT$21</f>
        <v>3.2688841623624123</v>
      </c>
      <c r="AU156" s="767" t="str">
        <f>+$D$156</f>
        <v>&lt;=3.6</v>
      </c>
      <c r="AV156" s="131">
        <v>3.1</v>
      </c>
      <c r="AW156" s="52" t="str">
        <f>+$D$156</f>
        <v>&lt;=3.6</v>
      </c>
      <c r="AX156" s="105">
        <f t="shared" ref="AX156:AX161" si="910">+((AT156*AT$21)+(AV$21*AV156))/AX$21</f>
        <v>3.2550242616691891</v>
      </c>
      <c r="AY156" s="767" t="str">
        <f>+$D$156</f>
        <v>&lt;=3.6</v>
      </c>
      <c r="AZ156" s="131">
        <v>2.92</v>
      </c>
      <c r="BA156" s="76" t="str">
        <f>+$D$156</f>
        <v>&lt;=3.6</v>
      </c>
      <c r="BB156" s="111">
        <f>+((AR156*AR$21)+(AV156*AV$21)+(AZ$21*AZ156))/BB$21</f>
        <v>3.0365762004175365</v>
      </c>
      <c r="BC156" s="662" t="str">
        <f>+$D$156</f>
        <v>&lt;=3.6</v>
      </c>
      <c r="BD156" s="469">
        <f t="shared" ref="BD156:BD161" si="911">+((AN156*AN$21)+(BB$21*BB156))/BD$21</f>
        <v>3.1737032983993769</v>
      </c>
      <c r="BE156" s="52" t="str">
        <f>+$D$156</f>
        <v>&lt;=3.6</v>
      </c>
      <c r="BF156" s="105">
        <f t="shared" ref="BF156:BF161" si="912">+((AX156*AX$21)+(AZ$21*AZ156))/BF$21</f>
        <v>3.2261548060562499</v>
      </c>
      <c r="BG156" s="1202"/>
      <c r="BH156" s="1202"/>
      <c r="BI156" s="1202"/>
      <c r="BJ156" s="1202"/>
      <c r="BK156" s="1202"/>
      <c r="BL156" s="26"/>
      <c r="BM156" s="26"/>
      <c r="BN156" s="26"/>
    </row>
    <row r="157" spans="1:66" x14ac:dyDescent="0.3">
      <c r="B157" s="6645" t="s">
        <v>203</v>
      </c>
      <c r="C157" s="1372" t="s">
        <v>49</v>
      </c>
      <c r="D157" s="391" t="s">
        <v>1975</v>
      </c>
      <c r="E157" s="767" t="str">
        <f>+$D$157</f>
        <v>13.4-14.1</v>
      </c>
      <c r="F157" s="131">
        <v>14</v>
      </c>
      <c r="G157" s="767" t="str">
        <f>+$D$157</f>
        <v>13.4-14.1</v>
      </c>
      <c r="H157" s="131">
        <v>13.68</v>
      </c>
      <c r="I157" s="52" t="str">
        <f>+$D$157</f>
        <v>13.4-14.1</v>
      </c>
      <c r="J157" s="105">
        <f t="shared" si="899"/>
        <v>13.837038034331874</v>
      </c>
      <c r="K157" s="767" t="str">
        <f>+$D$157</f>
        <v>13.4-14.1</v>
      </c>
      <c r="L157" s="131">
        <v>13.9</v>
      </c>
      <c r="M157" s="76" t="str">
        <f>+$D$157</f>
        <v>13.4-14.1</v>
      </c>
      <c r="N157" s="111">
        <f t="shared" si="900"/>
        <v>13.857601994560291</v>
      </c>
      <c r="O157" s="767" t="str">
        <f>+$D$157</f>
        <v>13.4-14.1</v>
      </c>
      <c r="P157" s="131">
        <v>13.7</v>
      </c>
      <c r="Q157" s="52" t="str">
        <f>+$D$157</f>
        <v>13.4-14.1</v>
      </c>
      <c r="R157" s="105">
        <f t="shared" si="901"/>
        <v>13.818034289594294</v>
      </c>
      <c r="S157" s="767" t="str">
        <f>+$D$157</f>
        <v>13.4-14.1</v>
      </c>
      <c r="T157" s="131">
        <v>13.6</v>
      </c>
      <c r="U157" s="52" t="str">
        <f>+$D$157</f>
        <v>13.4-14.1</v>
      </c>
      <c r="V157" s="105">
        <f t="shared" si="902"/>
        <v>13.773338731443994</v>
      </c>
      <c r="W157" s="767" t="str">
        <f>+$D$157</f>
        <v>13.4-14.1</v>
      </c>
      <c r="X157" s="131">
        <v>13.6</v>
      </c>
      <c r="Y157" s="76" t="str">
        <f>+$D$157</f>
        <v>13.4-14.1</v>
      </c>
      <c r="Z157" s="111">
        <f t="shared" si="903"/>
        <v>13.633102059086838</v>
      </c>
      <c r="AA157" s="662" t="str">
        <f>+$D$157</f>
        <v>13.4-14.1</v>
      </c>
      <c r="AB157" s="469">
        <f t="shared" si="904"/>
        <v>13.744644144144143</v>
      </c>
      <c r="AC157" s="767" t="str">
        <f>+$D$157</f>
        <v>13.4-14.1</v>
      </c>
      <c r="AD157" s="131">
        <v>13.7</v>
      </c>
      <c r="AE157" s="52" t="str">
        <f>+$D$157</f>
        <v>13.4-14.1</v>
      </c>
      <c r="AF157" s="105">
        <f t="shared" si="905"/>
        <v>13.738229189576254</v>
      </c>
      <c r="AG157" s="767" t="str">
        <f>+$D$157</f>
        <v>13.4-14.1</v>
      </c>
      <c r="AH157" s="131">
        <v>13.7</v>
      </c>
      <c r="AI157" s="52" t="str">
        <f>+$D$157</f>
        <v>13.4-14.1</v>
      </c>
      <c r="AJ157" s="105">
        <f t="shared" si="906"/>
        <v>13.733672258608109</v>
      </c>
      <c r="AK157" s="767" t="str">
        <f>+$D$157</f>
        <v>13.4-14.1</v>
      </c>
      <c r="AL157" s="131">
        <v>14</v>
      </c>
      <c r="AM157" s="76" t="str">
        <f>+$D$157</f>
        <v>13.4-14.1</v>
      </c>
      <c r="AN157" s="111">
        <f t="shared" si="907"/>
        <v>13.800061597173242</v>
      </c>
      <c r="AO157" s="52" t="str">
        <f>+$D$157</f>
        <v>13.4-14.1</v>
      </c>
      <c r="AP157" s="105">
        <f t="shared" si="908"/>
        <v>13.762841592049703</v>
      </c>
      <c r="AQ157" s="767" t="str">
        <f>+$D$157</f>
        <v>13.4-14.1</v>
      </c>
      <c r="AR157" s="131">
        <v>14.2</v>
      </c>
      <c r="AS157" s="52" t="str">
        <f>+$D$157</f>
        <v>13.4-14.1</v>
      </c>
      <c r="AT157" s="105">
        <f t="shared" si="909"/>
        <v>13.80630113575298</v>
      </c>
      <c r="AU157" s="767" t="str">
        <f>+$D$157</f>
        <v>13.4-14.1</v>
      </c>
      <c r="AV157" s="131">
        <v>14</v>
      </c>
      <c r="AW157" s="52" t="str">
        <f>+$D$157</f>
        <v>13.4-14.1</v>
      </c>
      <c r="AX157" s="105">
        <f t="shared" si="910"/>
        <v>13.822197516948824</v>
      </c>
      <c r="AY157" s="767" t="str">
        <f>+$D$157</f>
        <v>13.4-14.1</v>
      </c>
      <c r="AZ157" s="131">
        <v>14</v>
      </c>
      <c r="BA157" s="76" t="str">
        <f>+$D$157</f>
        <v>13.4-14.1</v>
      </c>
      <c r="BB157" s="111">
        <f>+((AR157*AR$21)+(AV157*AV$21)+(AZ$21*AZ157))/BB$21</f>
        <v>14.068197633959638</v>
      </c>
      <c r="BC157" s="662" t="str">
        <f>+$D$157</f>
        <v>13.4-14.1</v>
      </c>
      <c r="BD157" s="469">
        <f t="shared" si="911"/>
        <v>13.933175394439216</v>
      </c>
      <c r="BE157" s="52" t="str">
        <f>+$D$157</f>
        <v>13.4-14.1</v>
      </c>
      <c r="BF157" s="105">
        <f t="shared" si="912"/>
        <v>13.837518977152159</v>
      </c>
      <c r="BG157" s="1202"/>
      <c r="BH157" s="1202"/>
      <c r="BI157" s="1202"/>
      <c r="BJ157" s="1202"/>
      <c r="BK157" s="1202"/>
      <c r="BL157" s="26"/>
      <c r="BM157" s="26"/>
      <c r="BN157" s="26"/>
    </row>
    <row r="158" spans="1:66" x14ac:dyDescent="0.3">
      <c r="B158" s="6645" t="s">
        <v>204</v>
      </c>
      <c r="C158" s="1372" t="s">
        <v>49</v>
      </c>
      <c r="D158" s="391" t="s">
        <v>1976</v>
      </c>
      <c r="E158" s="767" t="str">
        <f>+$D$158</f>
        <v>85.0-86.5</v>
      </c>
      <c r="F158" s="131">
        <v>86.12</v>
      </c>
      <c r="G158" s="767" t="str">
        <f>+$D$158</f>
        <v>85.0-86.5</v>
      </c>
      <c r="H158" s="131">
        <v>86.48</v>
      </c>
      <c r="I158" s="52" t="str">
        <f>+$D$158</f>
        <v>85.0-86.5</v>
      </c>
      <c r="J158" s="105">
        <f t="shared" si="899"/>
        <v>86.303332211376642</v>
      </c>
      <c r="K158" s="767" t="str">
        <f>+$D$158</f>
        <v>85.0-86.5</v>
      </c>
      <c r="L158" s="131">
        <v>86.8</v>
      </c>
      <c r="M158" s="76" t="str">
        <f>+$D$158</f>
        <v>85.0-86.5</v>
      </c>
      <c r="N158" s="111">
        <f t="shared" si="900"/>
        <v>86.465548504079777</v>
      </c>
      <c r="O158" s="767" t="str">
        <f>+$D$158</f>
        <v>85.0-86.5</v>
      </c>
      <c r="P158" s="131">
        <v>86.6</v>
      </c>
      <c r="Q158" s="52" t="str">
        <f>+$D$158</f>
        <v>85.0-86.5</v>
      </c>
      <c r="R158" s="105">
        <f t="shared" si="901"/>
        <v>86.499304023086054</v>
      </c>
      <c r="S158" s="767" t="str">
        <f>+$D$158</f>
        <v>85.0-86.5</v>
      </c>
      <c r="T158" s="131">
        <v>86.4</v>
      </c>
      <c r="U158" s="52" t="str">
        <f>+$D$158</f>
        <v>85.0-86.5</v>
      </c>
      <c r="V158" s="105">
        <f t="shared" si="902"/>
        <v>86.478947368421046</v>
      </c>
      <c r="W158" s="767" t="str">
        <f>+$D$158</f>
        <v>85.0-86.5</v>
      </c>
      <c r="X158" s="131">
        <v>86.2</v>
      </c>
      <c r="Y158" s="76" t="str">
        <f>+$D$158</f>
        <v>85.0-86.5</v>
      </c>
      <c r="Z158" s="111">
        <f>+((P158*P$21)+(T158*T$21)+(X158*X$21))/Z$21</f>
        <v>86.400402864816485</v>
      </c>
      <c r="AA158" s="662" t="str">
        <f>+$D$158</f>
        <v>85.0-86.5</v>
      </c>
      <c r="AB158" s="469">
        <f t="shared" si="904"/>
        <v>86.432770270270268</v>
      </c>
      <c r="AC158" s="767" t="str">
        <f>+$D$158</f>
        <v>85.0-86.5</v>
      </c>
      <c r="AD158" s="131">
        <v>86.2</v>
      </c>
      <c r="AE158" s="52" t="str">
        <f>+$D$158</f>
        <v>85.0-86.5</v>
      </c>
      <c r="AF158" s="105">
        <f t="shared" si="905"/>
        <v>86.399323314635552</v>
      </c>
      <c r="AG158" s="767" t="str">
        <f>+$D$158</f>
        <v>85.0-86.5</v>
      </c>
      <c r="AH158" s="131">
        <v>86.3</v>
      </c>
      <c r="AI158" s="52" t="str">
        <f>+$D$158</f>
        <v>85.0-86.5</v>
      </c>
      <c r="AJ158" s="105">
        <f t="shared" si="906"/>
        <v>86.387483945469256</v>
      </c>
      <c r="AK158" s="767" t="str">
        <f>+$D$158</f>
        <v>85.0-86.5</v>
      </c>
      <c r="AL158" s="131">
        <v>86.3</v>
      </c>
      <c r="AM158" s="76" t="str">
        <f>+$D$158</f>
        <v>85.0-86.5</v>
      </c>
      <c r="AN158" s="111">
        <f>+((AD158*AD$21)+(AH158*AH$21)+(AL158*AL$21))/AN$21</f>
        <v>86.265678644059307</v>
      </c>
      <c r="AO158" s="52" t="str">
        <f>+$D$158</f>
        <v>85.0-86.5</v>
      </c>
      <c r="AP158" s="105">
        <f t="shared" si="908"/>
        <v>86.377902336122659</v>
      </c>
      <c r="AQ158" s="767" t="str">
        <f>+$D$158</f>
        <v>85.0-86.5</v>
      </c>
      <c r="AR158" s="131">
        <v>86.5</v>
      </c>
      <c r="AS158" s="52" t="str">
        <f>+$D$158</f>
        <v>85.0-86.5</v>
      </c>
      <c r="AT158" s="105">
        <f t="shared" si="909"/>
        <v>86.39004051913102</v>
      </c>
      <c r="AU158" s="767" t="str">
        <f>+$D$158</f>
        <v>85.0-86.5</v>
      </c>
      <c r="AV158" s="131">
        <v>86.5</v>
      </c>
      <c r="AW158" s="52" t="str">
        <f>+$D$158</f>
        <v>85.0-86.5</v>
      </c>
      <c r="AX158" s="105">
        <f t="shared" si="910"/>
        <v>86.399064618630959</v>
      </c>
      <c r="AY158" s="767" t="str">
        <f>+$D$158</f>
        <v>85.0-86.5</v>
      </c>
      <c r="AZ158" s="131">
        <v>86.9</v>
      </c>
      <c r="BA158" s="76" t="str">
        <f>+$D$158</f>
        <v>85.0-86.5</v>
      </c>
      <c r="BB158" s="111">
        <f>+((AR158*AR$21)+(AV158*AV$21)+(AZ158*AZ$21))/BB$21</f>
        <v>86.640941776849914</v>
      </c>
      <c r="BC158" s="662" t="str">
        <f>+$D$158</f>
        <v>85.0-86.5</v>
      </c>
      <c r="BD158" s="469">
        <f t="shared" si="911"/>
        <v>86.451974753968159</v>
      </c>
      <c r="BE158" s="52" t="str">
        <f>+$D$158</f>
        <v>85.0-86.5</v>
      </c>
      <c r="BF158" s="105">
        <f t="shared" si="912"/>
        <v>86.442230840937768</v>
      </c>
      <c r="BG158" s="1202"/>
      <c r="BH158" s="1202"/>
      <c r="BI158" s="1202"/>
      <c r="BJ158" s="1202"/>
      <c r="BK158" s="1202"/>
      <c r="BL158" s="26"/>
      <c r="BM158" s="26"/>
      <c r="BN158" s="26"/>
    </row>
    <row r="159" spans="1:66" x14ac:dyDescent="0.3">
      <c r="B159" s="6645" t="s">
        <v>205</v>
      </c>
      <c r="C159" s="1372" t="s">
        <v>49</v>
      </c>
      <c r="D159" s="391" t="s">
        <v>1977</v>
      </c>
      <c r="E159" s="767" t="str">
        <f>+$D$159</f>
        <v>7.5-8.0</v>
      </c>
      <c r="F159" s="131">
        <v>7.74</v>
      </c>
      <c r="G159" s="767" t="str">
        <f>+$D$159</f>
        <v>7.5-8.0</v>
      </c>
      <c r="H159" s="131">
        <v>7.64</v>
      </c>
      <c r="I159" s="52" t="str">
        <f>+$D$159</f>
        <v>7.5-8.0</v>
      </c>
      <c r="J159" s="105">
        <f t="shared" si="899"/>
        <v>7.68907438572871</v>
      </c>
      <c r="K159" s="767" t="str">
        <f>+$D$159</f>
        <v>7.5-8.0</v>
      </c>
      <c r="L159" s="131">
        <v>7.7</v>
      </c>
      <c r="M159" s="76" t="str">
        <f>+$D$159</f>
        <v>7.5-8.0</v>
      </c>
      <c r="N159" s="111">
        <f t="shared" si="900"/>
        <v>7.6926427923844054</v>
      </c>
      <c r="O159" s="767" t="str">
        <f>+$D$159</f>
        <v>7.5-8.0</v>
      </c>
      <c r="P159" s="131">
        <v>7.8</v>
      </c>
      <c r="Q159" s="52" t="str">
        <f>+$D$159</f>
        <v>7.5-8.0</v>
      </c>
      <c r="R159" s="105">
        <f t="shared" si="901"/>
        <v>7.7195959938889835</v>
      </c>
      <c r="S159" s="767" t="str">
        <f>+$D$159</f>
        <v>7.5-8.0</v>
      </c>
      <c r="T159" s="131">
        <v>7.9</v>
      </c>
      <c r="U159" s="52" t="str">
        <f>+$D$159</f>
        <v>7.5-8.0</v>
      </c>
      <c r="V159" s="105">
        <f t="shared" si="902"/>
        <v>7.7565775978407565</v>
      </c>
      <c r="W159" s="767" t="str">
        <f>+$D$159</f>
        <v>7.5-8.0</v>
      </c>
      <c r="X159" s="131">
        <v>7.9</v>
      </c>
      <c r="Y159" s="76" t="str">
        <f>+$D$159</f>
        <v>7.5-8.0</v>
      </c>
      <c r="Z159" s="111">
        <f t="shared" si="903"/>
        <v>7.8668979409131605</v>
      </c>
      <c r="AA159" s="662" t="str">
        <f>+$D$159</f>
        <v>7.5-8.0</v>
      </c>
      <c r="AB159" s="469">
        <f t="shared" si="904"/>
        <v>7.7803198198198196</v>
      </c>
      <c r="AC159" s="767" t="str">
        <f>+$D$159</f>
        <v>7.5-8.0</v>
      </c>
      <c r="AD159" s="131">
        <v>7.8</v>
      </c>
      <c r="AE159" s="52" t="str">
        <f>+$D$159</f>
        <v>7.5-8.0</v>
      </c>
      <c r="AF159" s="105">
        <f t="shared" si="905"/>
        <v>7.7831476814389404</v>
      </c>
      <c r="AG159" s="767" t="str">
        <f>+$D$159</f>
        <v>7.5-8.0</v>
      </c>
      <c r="AH159" s="131">
        <v>7.8</v>
      </c>
      <c r="AI159" s="52" t="str">
        <f>+$D$159</f>
        <v>7.5-8.0</v>
      </c>
      <c r="AJ159" s="105">
        <f t="shared" si="906"/>
        <v>7.7851564829120337</v>
      </c>
      <c r="AK159" s="767" t="str">
        <f>+$D$159</f>
        <v>7.5-8.0</v>
      </c>
      <c r="AL159" s="131">
        <v>7.7</v>
      </c>
      <c r="AM159" s="76" t="str">
        <f>+$D$159</f>
        <v>7.5-8.0</v>
      </c>
      <c r="AN159" s="111">
        <f t="shared" ref="AN159:AN161" si="913">+((AD159*AD$21)+(AH159*AH$21)+(AL$21*AL159))/AN$21</f>
        <v>7.766646134275585</v>
      </c>
      <c r="AO159" s="52" t="str">
        <f>+$D$159</f>
        <v>7.5-8.0</v>
      </c>
      <c r="AP159" s="105">
        <f t="shared" si="908"/>
        <v>7.7758297870455335</v>
      </c>
      <c r="AQ159" s="767" t="str">
        <f>+$D$159</f>
        <v>7.5-8.0</v>
      </c>
      <c r="AR159" s="131">
        <v>7.7</v>
      </c>
      <c r="AS159" s="52" t="str">
        <f>+$D$159</f>
        <v>7.5-8.0</v>
      </c>
      <c r="AT159" s="105">
        <f t="shared" si="909"/>
        <v>7.7682912658043026</v>
      </c>
      <c r="AU159" s="767" t="str">
        <f>+$D$159</f>
        <v>7.5-8.0</v>
      </c>
      <c r="AV159" s="131">
        <v>7.6</v>
      </c>
      <c r="AW159" s="52" t="str">
        <f>+$D$159</f>
        <v>7.5-8.0</v>
      </c>
      <c r="AX159" s="105">
        <f t="shared" si="910"/>
        <v>7.7544800226483037</v>
      </c>
      <c r="AY159" s="767" t="str">
        <f>+$D$159</f>
        <v>7.5-8.0</v>
      </c>
      <c r="AZ159" s="131">
        <v>7.5</v>
      </c>
      <c r="BA159" s="76" t="str">
        <f>+$D$159</f>
        <v>7.5-8.0</v>
      </c>
      <c r="BB159" s="111">
        <f>+((AR159*AR$21)+(AV159*AV$21)+(AZ$21*AZ159))/BB$21</f>
        <v>7.5988633727673385</v>
      </c>
      <c r="BC159" s="662" t="str">
        <f>+$D$159</f>
        <v>7.5-8.0</v>
      </c>
      <c r="BD159" s="469">
        <f t="shared" si="911"/>
        <v>7.6833518454220293</v>
      </c>
      <c r="BE159" s="52" t="str">
        <f>+$D$159</f>
        <v>7.5-8.0</v>
      </c>
      <c r="BF159" s="105">
        <f t="shared" si="912"/>
        <v>7.7325511638796245</v>
      </c>
      <c r="BG159" s="1202"/>
      <c r="BH159" s="1202"/>
      <c r="BI159" s="1202"/>
      <c r="BJ159" s="1202"/>
      <c r="BK159" s="1202"/>
      <c r="BL159" s="26"/>
      <c r="BM159" s="26"/>
      <c r="BN159" s="26"/>
    </row>
    <row r="160" spans="1:66" x14ac:dyDescent="0.3">
      <c r="A160" s="145"/>
      <c r="B160" s="6645" t="s">
        <v>206</v>
      </c>
      <c r="C160" s="1372" t="s">
        <v>49</v>
      </c>
      <c r="D160" s="391" t="s">
        <v>1978</v>
      </c>
      <c r="E160" s="767" t="str">
        <f>+$D$160</f>
        <v>64.0-65.5</v>
      </c>
      <c r="F160" s="131">
        <v>65.14</v>
      </c>
      <c r="G160" s="767" t="str">
        <f>+$D$160</f>
        <v>64.0-65.5</v>
      </c>
      <c r="H160" s="131">
        <v>65.19</v>
      </c>
      <c r="I160" s="52" t="str">
        <f>+$D$160</f>
        <v>64.0-65.5</v>
      </c>
      <c r="J160" s="105">
        <f t="shared" si="899"/>
        <v>65.165462807135626</v>
      </c>
      <c r="K160" s="767" t="str">
        <f>+$D$160</f>
        <v>64.0-65.5</v>
      </c>
      <c r="L160" s="131">
        <v>65.099999999999994</v>
      </c>
      <c r="M160" s="76" t="str">
        <f>+$D$160</f>
        <v>64.0-65.5</v>
      </c>
      <c r="N160" s="111">
        <f t="shared" si="900"/>
        <v>65.144082048957372</v>
      </c>
      <c r="O160" s="767" t="str">
        <f>+$D$160</f>
        <v>64.0-65.5</v>
      </c>
      <c r="P160" s="131">
        <v>65.7</v>
      </c>
      <c r="Q160" s="52" t="str">
        <f>+$D$160</f>
        <v>64.0-65.5</v>
      </c>
      <c r="R160" s="105">
        <f t="shared" si="901"/>
        <v>65.283651332541154</v>
      </c>
      <c r="S160" s="767" t="str">
        <f>+$D$160</f>
        <v>64.0-65.5</v>
      </c>
      <c r="T160" s="131">
        <v>65.5</v>
      </c>
      <c r="U160" s="52" t="str">
        <f>+$D$160</f>
        <v>64.0-65.5</v>
      </c>
      <c r="V160" s="105">
        <f t="shared" si="902"/>
        <v>65.328001349527653</v>
      </c>
      <c r="W160" s="767" t="str">
        <f>+$D$160</f>
        <v>64.0-65.5</v>
      </c>
      <c r="X160" s="131">
        <v>65.7</v>
      </c>
      <c r="Y160" s="76" t="str">
        <f>+$D$160</f>
        <v>64.0-65.5</v>
      </c>
      <c r="Z160" s="111">
        <f t="shared" si="903"/>
        <v>65.63200537153088</v>
      </c>
      <c r="AA160" s="662" t="str">
        <f>+$D$160</f>
        <v>64.0-65.5</v>
      </c>
      <c r="AB160" s="469">
        <f t="shared" si="904"/>
        <v>65.389582207207198</v>
      </c>
      <c r="AC160" s="767" t="str">
        <f>+$D$160</f>
        <v>64.0-65.5</v>
      </c>
      <c r="AD160" s="131">
        <v>66</v>
      </c>
      <c r="AE160" s="52" t="str">
        <f>+$D$160</f>
        <v>64.0-65.5</v>
      </c>
      <c r="AF160" s="105">
        <f t="shared" si="905"/>
        <v>65.47729365253258</v>
      </c>
      <c r="AG160" s="767" t="str">
        <f>+$D$160</f>
        <v>64.0-65.5</v>
      </c>
      <c r="AH160" s="131">
        <v>65.599999999999994</v>
      </c>
      <c r="AI160" s="52" t="str">
        <f>+$D$160</f>
        <v>64.0-65.5</v>
      </c>
      <c r="AJ160" s="105">
        <f t="shared" si="906"/>
        <v>65.491920286289684</v>
      </c>
      <c r="AK160" s="767" t="str">
        <f>+$D$160</f>
        <v>64.0-65.5</v>
      </c>
      <c r="AL160" s="131">
        <v>65</v>
      </c>
      <c r="AM160" s="76" t="str">
        <f>+$D$160</f>
        <v>64.0-65.5</v>
      </c>
      <c r="AN160" s="111">
        <f t="shared" si="913"/>
        <v>65.537162229416225</v>
      </c>
      <c r="AO160" s="52" t="str">
        <f>+$D$160</f>
        <v>64.0-65.5</v>
      </c>
      <c r="AP160" s="105">
        <f t="shared" si="908"/>
        <v>65.438043109310399</v>
      </c>
      <c r="AQ160" s="767" t="str">
        <f>+$D$160</f>
        <v>64.0-65.5</v>
      </c>
      <c r="AR160" s="131">
        <v>65.400000000000006</v>
      </c>
      <c r="AS160" s="52" t="str">
        <f>+$D$160</f>
        <v>64.0-65.5</v>
      </c>
      <c r="AT160" s="105">
        <f t="shared" si="909"/>
        <v>65.434261102281326</v>
      </c>
      <c r="AU160" s="767" t="str">
        <f>+$D$160</f>
        <v>64.0-65.5</v>
      </c>
      <c r="AV160" s="131">
        <v>65.400000000000006</v>
      </c>
      <c r="AW160" s="52" t="str">
        <f>+$D$160</f>
        <v>64.0-65.5</v>
      </c>
      <c r="AX160" s="105">
        <f t="shared" si="910"/>
        <v>65.431449379331013</v>
      </c>
      <c r="AY160" s="767" t="str">
        <f>+$D$160</f>
        <v>64.0-65.5</v>
      </c>
      <c r="AZ160" s="131">
        <v>65.599999999999994</v>
      </c>
      <c r="BA160" s="76" t="str">
        <f>+$D$160</f>
        <v>64.0-65.5</v>
      </c>
      <c r="BB160" s="111">
        <f>+((AR160*AR$21)+(AV160*AV$21)+(AZ$21*AZ160))/BB$21</f>
        <v>65.47047088842497</v>
      </c>
      <c r="BC160" s="662" t="str">
        <f>+$D$160</f>
        <v>64.0-65.5</v>
      </c>
      <c r="BD160" s="469">
        <f t="shared" si="911"/>
        <v>65.504053894742142</v>
      </c>
      <c r="BE160" s="52" t="str">
        <f>+$D$160</f>
        <v>64.0-65.5</v>
      </c>
      <c r="BF160" s="105">
        <f t="shared" si="912"/>
        <v>65.445973595092866</v>
      </c>
      <c r="BG160" s="1202"/>
      <c r="BH160" s="1202"/>
      <c r="BI160" s="1202"/>
      <c r="BJ160" s="1202"/>
      <c r="BK160" s="1202"/>
      <c r="BL160" s="26"/>
      <c r="BM160" s="26"/>
      <c r="BN160" s="26"/>
    </row>
    <row r="161" spans="1:66" x14ac:dyDescent="0.3">
      <c r="B161" s="6645" t="s">
        <v>207</v>
      </c>
      <c r="C161" s="1372" t="s">
        <v>49</v>
      </c>
      <c r="D161" s="391" t="s">
        <v>1979</v>
      </c>
      <c r="E161" s="767" t="str">
        <f>+$D$161</f>
        <v>22.5-24.0</v>
      </c>
      <c r="F161" s="131">
        <v>23.41</v>
      </c>
      <c r="G161" s="767" t="str">
        <f>+$D$161</f>
        <v>22.5-24.0</v>
      </c>
      <c r="H161" s="131">
        <v>23.19</v>
      </c>
      <c r="I161" s="52" t="str">
        <f>+$D$161</f>
        <v>22.5-24.0</v>
      </c>
      <c r="J161" s="105">
        <f t="shared" si="899"/>
        <v>23.297963648603162</v>
      </c>
      <c r="K161" s="767" t="str">
        <f>+$D$161</f>
        <v>22.5-24.0</v>
      </c>
      <c r="L161" s="131">
        <v>23.8</v>
      </c>
      <c r="M161" s="76" t="str">
        <f>+$D$161</f>
        <v>22.5-24.0</v>
      </c>
      <c r="N161" s="111">
        <f t="shared" si="900"/>
        <v>23.461933363553943</v>
      </c>
      <c r="O161" s="767" t="str">
        <f>+$D$161</f>
        <v>22.5-24.0</v>
      </c>
      <c r="P161" s="131">
        <v>23.2</v>
      </c>
      <c r="Q161" s="52" t="str">
        <f>+$D$161</f>
        <v>22.5-24.0</v>
      </c>
      <c r="R161" s="105">
        <f t="shared" si="901"/>
        <v>23.396172126973347</v>
      </c>
      <c r="S161" s="767" t="str">
        <f>+$D$161</f>
        <v>22.5-24.0</v>
      </c>
      <c r="T161" s="131">
        <v>22.8</v>
      </c>
      <c r="U161" s="52" t="str">
        <f>+$D$161</f>
        <v>22.5-24.0</v>
      </c>
      <c r="V161" s="105">
        <f t="shared" si="902"/>
        <v>23.273960863697706</v>
      </c>
      <c r="W161" s="767" t="str">
        <f>+$D$161</f>
        <v>22.5-24.0</v>
      </c>
      <c r="X161" s="131">
        <v>23.5</v>
      </c>
      <c r="Y161" s="76" t="str">
        <f>+$D$161</f>
        <v>22.5-24.0</v>
      </c>
      <c r="Z161" s="111">
        <f t="shared" si="903"/>
        <v>23.16271262309758</v>
      </c>
      <c r="AA161" s="662" t="str">
        <f>+$D$161</f>
        <v>22.5-24.0</v>
      </c>
      <c r="AB161" s="469">
        <f t="shared" si="904"/>
        <v>23.311379504504501</v>
      </c>
      <c r="AC161" s="767" t="str">
        <f>+$D$161</f>
        <v>22.5-24.0</v>
      </c>
      <c r="AD161" s="131">
        <v>23.3</v>
      </c>
      <c r="AE161" s="52" t="str">
        <f>+$D$161</f>
        <v>22.5-24.0</v>
      </c>
      <c r="AF161" s="105">
        <f t="shared" si="905"/>
        <v>23.30974437394481</v>
      </c>
      <c r="AG161" s="767" t="str">
        <f>+$D$161</f>
        <v>22.5-24.0</v>
      </c>
      <c r="AH161" s="131">
        <v>23.6</v>
      </c>
      <c r="AI161" s="52" t="str">
        <f>+$D$161</f>
        <v>22.5-24.0</v>
      </c>
      <c r="AJ161" s="105">
        <f t="shared" si="906"/>
        <v>23.34434293242094</v>
      </c>
      <c r="AK161" s="767" t="str">
        <f>+$D$161</f>
        <v>22.5-24.0</v>
      </c>
      <c r="AL161" s="131">
        <v>23.5</v>
      </c>
      <c r="AM161" s="76" t="str">
        <f>+$D$161</f>
        <v>22.5-24.0</v>
      </c>
      <c r="AN161" s="111">
        <f t="shared" si="913"/>
        <v>23.463682066453543</v>
      </c>
      <c r="AO161" s="52" t="str">
        <f>+$D$161</f>
        <v>22.5-24.0</v>
      </c>
      <c r="AP161" s="105">
        <f t="shared" si="908"/>
        <v>23.361391148588829</v>
      </c>
      <c r="AQ161" s="767" t="str">
        <f>+$D$161</f>
        <v>22.5-24.0</v>
      </c>
      <c r="AR161" s="131">
        <v>23.5</v>
      </c>
      <c r="AS161" s="52" t="str">
        <f>+$D$161</f>
        <v>22.5-24.0</v>
      </c>
      <c r="AT161" s="105">
        <f t="shared" si="909"/>
        <v>23.375170770176823</v>
      </c>
      <c r="AU161" s="767" t="str">
        <f>+$D$161</f>
        <v>22.5-24.0</v>
      </c>
      <c r="AV161" s="131">
        <v>23.2</v>
      </c>
      <c r="AW161" s="52" t="str">
        <f>+$D$161</f>
        <v>22.5-24.0</v>
      </c>
      <c r="AX161" s="105">
        <f t="shared" si="910"/>
        <v>23.360794943308012</v>
      </c>
      <c r="AY161" s="767" t="str">
        <f>+$D$161</f>
        <v>22.5-24.0</v>
      </c>
      <c r="AZ161" s="131">
        <v>23.1</v>
      </c>
      <c r="BA161" s="76" t="str">
        <f>+$D$161</f>
        <v>22.5-24.0</v>
      </c>
      <c r="BB161" s="111">
        <f>+((AR161*AR$21)+(AV161*AV$21)+(AZ$21*AZ161))/BB$21</f>
        <v>23.26706100672698</v>
      </c>
      <c r="BC161" s="662" t="str">
        <f>+$D$161</f>
        <v>22.5-24.0</v>
      </c>
      <c r="BD161" s="469">
        <f t="shared" si="911"/>
        <v>23.366071255924886</v>
      </c>
      <c r="BE161" s="52" t="str">
        <f>+$D$161</f>
        <v>22.5-24.0</v>
      </c>
      <c r="BF161" s="105">
        <f t="shared" si="912"/>
        <v>23.338321920003978</v>
      </c>
      <c r="BG161" s="1202"/>
      <c r="BH161" s="1202"/>
      <c r="BI161" s="1202"/>
      <c r="BJ161" s="1202"/>
      <c r="BK161" s="1202"/>
      <c r="BL161" s="26"/>
      <c r="BM161" s="26"/>
      <c r="BN161" s="26"/>
    </row>
    <row r="162" spans="1:66" x14ac:dyDescent="0.3">
      <c r="B162" s="1837" t="s">
        <v>5</v>
      </c>
      <c r="C162" s="1378"/>
      <c r="D162" s="409"/>
      <c r="E162" s="991"/>
      <c r="F162" s="688"/>
      <c r="G162" s="991"/>
      <c r="H162" s="688"/>
      <c r="I162" s="409"/>
      <c r="J162" s="409"/>
      <c r="K162" s="991"/>
      <c r="L162" s="688"/>
      <c r="M162" s="991"/>
      <c r="N162" s="688"/>
      <c r="O162" s="991"/>
      <c r="P162" s="688"/>
      <c r="Q162" s="409"/>
      <c r="R162" s="409"/>
      <c r="S162" s="991"/>
      <c r="T162" s="688"/>
      <c r="U162" s="409"/>
      <c r="V162" s="409"/>
      <c r="W162" s="991"/>
      <c r="X162" s="688"/>
      <c r="Y162" s="409"/>
      <c r="Z162" s="409"/>
      <c r="AA162" s="2321"/>
      <c r="AB162" s="688"/>
      <c r="AC162" s="991"/>
      <c r="AD162" s="688"/>
      <c r="AE162" s="409"/>
      <c r="AF162" s="688"/>
      <c r="AG162" s="991"/>
      <c r="AH162" s="688"/>
      <c r="AI162" s="409"/>
      <c r="AJ162" s="688"/>
      <c r="AK162" s="991"/>
      <c r="AL162" s="688"/>
      <c r="AM162" s="409"/>
      <c r="AN162" s="409"/>
      <c r="AO162" s="409"/>
      <c r="AP162" s="688"/>
      <c r="AQ162" s="991"/>
      <c r="AR162" s="688"/>
      <c r="AS162" s="409"/>
      <c r="AT162" s="688"/>
      <c r="AU162" s="991"/>
      <c r="AV162" s="688"/>
      <c r="AW162" s="409"/>
      <c r="AX162" s="688"/>
      <c r="AY162" s="991"/>
      <c r="AZ162" s="688"/>
      <c r="BA162" s="409"/>
      <c r="BB162" s="409"/>
      <c r="BC162" s="2321"/>
      <c r="BD162" s="688"/>
      <c r="BE162" s="409"/>
      <c r="BF162" s="688"/>
      <c r="BG162" s="1202">
        <f t="shared" si="801"/>
        <v>0</v>
      </c>
      <c r="BH162" s="1202">
        <f t="shared" si="802"/>
        <v>0</v>
      </c>
      <c r="BI162" s="1202"/>
      <c r="BJ162" s="1202">
        <f t="shared" si="820"/>
        <v>0</v>
      </c>
      <c r="BK162" s="1202">
        <f t="shared" si="821"/>
        <v>0</v>
      </c>
      <c r="BL162" s="26"/>
      <c r="BM162" s="26"/>
      <c r="BN162" s="26"/>
    </row>
    <row r="163" spans="1:66" x14ac:dyDescent="0.3">
      <c r="B163" s="1806" t="s">
        <v>215</v>
      </c>
      <c r="C163" s="1372" t="s">
        <v>210</v>
      </c>
      <c r="D163" s="391">
        <f>+(D164*D17)/1000000</f>
        <v>183.93800400000001</v>
      </c>
      <c r="E163" s="767">
        <f>+(E164*E17)/1000000</f>
        <v>15.676080000000001</v>
      </c>
      <c r="F163" s="131">
        <v>15.58093</v>
      </c>
      <c r="G163" s="767">
        <f>+(G164*G17)/1000000</f>
        <v>16.198616000000001</v>
      </c>
      <c r="H163" s="131">
        <f>16165.26/1000</f>
        <v>16.16526</v>
      </c>
      <c r="I163" s="52">
        <f>+(I164*I17)/1000000</f>
        <v>31.874696</v>
      </c>
      <c r="J163" s="105">
        <f>+F163+H163</f>
        <v>31.746189999999999</v>
      </c>
      <c r="K163" s="767">
        <f>+(K164*K17)/1000000</f>
        <v>15.036239999999999</v>
      </c>
      <c r="L163" s="131">
        <v>15.39714</v>
      </c>
      <c r="M163" s="5583">
        <f>+(M164*M17)/1000000</f>
        <v>46.910936</v>
      </c>
      <c r="N163" s="5584">
        <f>+L163+H163+F163</f>
        <v>47.143329999999999</v>
      </c>
      <c r="O163" s="767">
        <f>+(O164*O17)/1000000</f>
        <v>15.537447999999998</v>
      </c>
      <c r="P163" s="131">
        <v>15.742000000000001</v>
      </c>
      <c r="Q163" s="52">
        <f>+(Q164*Q17)/1000000</f>
        <v>62.448383999999997</v>
      </c>
      <c r="R163" s="105">
        <f>+N163+P163</f>
        <v>62.885329999999996</v>
      </c>
      <c r="S163" s="767">
        <f>+(S164*S17)/1000000</f>
        <v>15.537447999999998</v>
      </c>
      <c r="T163" s="131">
        <v>15.956017725097499</v>
      </c>
      <c r="U163" s="52">
        <f>+(U164*U17)/1000000</f>
        <v>77.985832000000002</v>
      </c>
      <c r="V163" s="105">
        <f>+R163+T163</f>
        <v>78.841347725097492</v>
      </c>
      <c r="W163" s="767">
        <f>+(W164*W17)/1000000</f>
        <v>14.732316000000001</v>
      </c>
      <c r="X163" s="131">
        <v>15.46</v>
      </c>
      <c r="Y163" s="5583">
        <f>+(Y164*Y17)/1000000</f>
        <v>45.807211999999993</v>
      </c>
      <c r="Z163" s="5585">
        <f>+P163+T163+X163</f>
        <v>47.158017725097501</v>
      </c>
      <c r="AA163" s="662">
        <f>+(AA164*AA17)/1000000</f>
        <v>92.718147999999999</v>
      </c>
      <c r="AB163" s="469">
        <f>+N163+Z163</f>
        <v>94.3013477250975</v>
      </c>
      <c r="AC163" s="767">
        <f>+(AC164*AC17)/1000000</f>
        <v>15.537447999999998</v>
      </c>
      <c r="AD163" s="131">
        <v>15.529</v>
      </c>
      <c r="AE163" s="52">
        <f>+(AE164*AE17)/1000000</f>
        <v>108.255596</v>
      </c>
      <c r="AF163" s="105">
        <f>+AB163+AD163</f>
        <v>109.8303477250975</v>
      </c>
      <c r="AG163" s="767">
        <f>+(AG164*AG17)/1000000</f>
        <v>15.036239999999999</v>
      </c>
      <c r="AH163" s="131">
        <v>15.076000000000001</v>
      </c>
      <c r="AI163" s="52">
        <f>+(AI164*AI17)/1000000</f>
        <v>123.291836</v>
      </c>
      <c r="AJ163" s="105">
        <f>+AF163+AH163</f>
        <v>124.9063477250975</v>
      </c>
      <c r="AK163" s="767">
        <f>+(AK164*AK17)/1000000</f>
        <v>15.537447999999998</v>
      </c>
      <c r="AL163" s="131">
        <f>15200.621/1000</f>
        <v>15.200621</v>
      </c>
      <c r="AM163" s="76">
        <f>+(AM164*AM17)/1000000</f>
        <v>46.111135999999995</v>
      </c>
      <c r="AN163" s="120">
        <f>+AD163+AH163+AL163</f>
        <v>45.805621000000002</v>
      </c>
      <c r="AO163" s="52">
        <f>+(AO164*AO17)/1000000</f>
        <v>138.829284</v>
      </c>
      <c r="AP163" s="105">
        <f>+AL163+AJ163</f>
        <v>140.10696872509752</v>
      </c>
      <c r="AQ163" s="767">
        <f>+(AQ164*AQ17)/1000000</f>
        <v>15.537447999999998</v>
      </c>
      <c r="AR163" s="131">
        <v>14.797000000000001</v>
      </c>
      <c r="AS163" s="52">
        <f>+(AS164*AS17)/1000000</f>
        <v>154.36673200000001</v>
      </c>
      <c r="AT163" s="105">
        <f>+AP163+AR163</f>
        <v>154.90396872509751</v>
      </c>
      <c r="AU163" s="767">
        <f>+(AU164*AU17)/1000000</f>
        <v>14.033823999999999</v>
      </c>
      <c r="AV163" s="131">
        <v>12.972</v>
      </c>
      <c r="AW163" s="52">
        <f>+(AW164*AW17)/1000000</f>
        <v>168.40055599999999</v>
      </c>
      <c r="AX163" s="105">
        <f>+AT163+AV163</f>
        <v>167.87596872509752</v>
      </c>
      <c r="AY163" s="767">
        <f>+(AY164*AY17)/1000000</f>
        <v>15.537447999999998</v>
      </c>
      <c r="AZ163" s="131">
        <v>14.377599999999999</v>
      </c>
      <c r="BA163" s="76">
        <f>+(BA164*BA17)/1000000</f>
        <v>45.108719999999998</v>
      </c>
      <c r="BB163" s="120">
        <f>+AR163+AV163+AZ163</f>
        <v>42.146599999999999</v>
      </c>
      <c r="BC163" s="662">
        <f>+(BC164*BC17)/1000000</f>
        <v>91.219855999999993</v>
      </c>
      <c r="BD163" s="469">
        <f>+AN163+BB163</f>
        <v>87.952221000000009</v>
      </c>
      <c r="BE163" s="52">
        <f>+(BE164*BE17)/1000000</f>
        <v>183.93800400000001</v>
      </c>
      <c r="BF163" s="105">
        <f>+AX163+AZ163</f>
        <v>182.25356872509752</v>
      </c>
      <c r="BG163" s="1202">
        <f t="shared" si="801"/>
        <v>0</v>
      </c>
      <c r="BH163" s="1202">
        <f t="shared" si="802"/>
        <v>0</v>
      </c>
      <c r="BI163" s="1202"/>
      <c r="BJ163" s="1202">
        <f t="shared" si="820"/>
        <v>0</v>
      </c>
      <c r="BK163" s="1202">
        <f t="shared" si="821"/>
        <v>0</v>
      </c>
      <c r="BL163" s="26"/>
      <c r="BM163" s="26"/>
      <c r="BN163" s="26"/>
    </row>
    <row r="164" spans="1:66" x14ac:dyDescent="0.3">
      <c r="B164" s="6644" t="s">
        <v>216</v>
      </c>
      <c r="C164" s="1372" t="s">
        <v>211</v>
      </c>
      <c r="D164" s="443">
        <v>310</v>
      </c>
      <c r="E164" s="152">
        <f>+$D$164</f>
        <v>310</v>
      </c>
      <c r="F164" s="178">
        <f>+(F163*1000000)/F17</f>
        <v>310.65432896289917</v>
      </c>
      <c r="G164" s="152">
        <f>+$D$164</f>
        <v>310</v>
      </c>
      <c r="H164" s="178">
        <f>+(H163*1000000)/H17</f>
        <v>310.58846585407093</v>
      </c>
      <c r="I164" s="60">
        <f>+$D$164</f>
        <v>310</v>
      </c>
      <c r="J164" s="38">
        <f>+(J163*1000000)/J17</f>
        <v>310.62078777015023</v>
      </c>
      <c r="K164" s="152">
        <f>+$D$164</f>
        <v>310</v>
      </c>
      <c r="L164" s="178">
        <f>+(L163*1000000)/L17</f>
        <v>310.61157464938759</v>
      </c>
      <c r="M164" s="71">
        <f>+$D$164</f>
        <v>310</v>
      </c>
      <c r="N164" s="68">
        <f>+(N163*1000000)/N17</f>
        <v>310.61777867971074</v>
      </c>
      <c r="O164" s="152">
        <f>+$D$164</f>
        <v>310</v>
      </c>
      <c r="P164" s="178">
        <f>+(P163*1000000)/P17</f>
        <v>309.40924886394015</v>
      </c>
      <c r="Q164" s="60">
        <f>+$D$164</f>
        <v>310</v>
      </c>
      <c r="R164" s="38">
        <f>+(R163*1000000)/R17</f>
        <v>310.31436404764065</v>
      </c>
      <c r="S164" s="152">
        <f>+$D$164</f>
        <v>310</v>
      </c>
      <c r="T164" s="178">
        <f>+(T163*1000000)/T17</f>
        <v>305.35729069571283</v>
      </c>
      <c r="U164" s="60">
        <f>+$D$164</f>
        <v>310</v>
      </c>
      <c r="V164" s="38">
        <f>+(V163*1000000)/V17</f>
        <v>309.29819745903359</v>
      </c>
      <c r="W164" s="152">
        <f>+$D$164</f>
        <v>310</v>
      </c>
      <c r="X164" s="178">
        <f>+(X163*1000000)/X17</f>
        <v>305.72694193956653</v>
      </c>
      <c r="Y164" s="71">
        <f>+$D$164</f>
        <v>310</v>
      </c>
      <c r="Z164" s="68">
        <f>+(Z163*1000000)/Z17</f>
        <v>306.82018985848657</v>
      </c>
      <c r="AA164" s="635">
        <f>+$D$164</f>
        <v>310</v>
      </c>
      <c r="AB164" s="449">
        <f>+(AB163*1000000)/AB17</f>
        <v>308.70700988993264</v>
      </c>
      <c r="AC164" s="152">
        <f>+$D$164</f>
        <v>310</v>
      </c>
      <c r="AD164" s="178">
        <f>+(AD163*1000000)/AD17</f>
        <v>301.65347050093629</v>
      </c>
      <c r="AE164" s="60">
        <f>+$D$164</f>
        <v>310</v>
      </c>
      <c r="AF164" s="38">
        <f>+(AF163*1000000)/AF17</f>
        <v>307.6897476439313</v>
      </c>
      <c r="AG164" s="152">
        <f>+$D$164</f>
        <v>310</v>
      </c>
      <c r="AH164" s="178">
        <f>+(AH163*1000000)/AH17</f>
        <v>310.05009830455492</v>
      </c>
      <c r="AI164" s="60">
        <f>+$D$164</f>
        <v>310</v>
      </c>
      <c r="AJ164" s="38">
        <f>+(AJ163*1000000)/AJ17</f>
        <v>307.9727294640154</v>
      </c>
      <c r="AK164" s="152">
        <f>+$D$164</f>
        <v>310</v>
      </c>
      <c r="AL164" s="178">
        <f>+(AL163*1000000)/AL17</f>
        <v>302.96778707018206</v>
      </c>
      <c r="AM164" s="71">
        <f>+$D$164</f>
        <v>310</v>
      </c>
      <c r="AN164" s="68">
        <f>+(AN163*1000000)/AN17</f>
        <v>304.80914501545152</v>
      </c>
      <c r="AO164" s="60">
        <f>+$D$164</f>
        <v>310</v>
      </c>
      <c r="AP164" s="38">
        <f>+(AP163*1000000)/AP17</f>
        <v>307.42174569367114</v>
      </c>
      <c r="AQ164" s="152">
        <f>+$D$164</f>
        <v>310</v>
      </c>
      <c r="AR164" s="178">
        <f>+(AR163*1000000)/AR17</f>
        <v>292.61588356272739</v>
      </c>
      <c r="AS164" s="60">
        <f>+$D$164</f>
        <v>310</v>
      </c>
      <c r="AT164" s="38">
        <f>+(AT163*1000000)/AT17</f>
        <v>305.94302046131133</v>
      </c>
      <c r="AU164" s="152">
        <f>+$D$164</f>
        <v>310</v>
      </c>
      <c r="AV164" s="178">
        <f>+(AV163*1000000)/AV17</f>
        <v>285.24434436899691</v>
      </c>
      <c r="AW164" s="60">
        <f>+$D$164</f>
        <v>310</v>
      </c>
      <c r="AX164" s="38">
        <f>+(AX163*1000000)/AX17</f>
        <v>304.23711043394064</v>
      </c>
      <c r="AY164" s="152">
        <f>+$D$164</f>
        <v>310</v>
      </c>
      <c r="AZ164" s="178">
        <f>+(AZ163*1000000)/AZ17</f>
        <v>275.15042025812579</v>
      </c>
      <c r="BA164" s="71">
        <f>+$D$164</f>
        <v>310</v>
      </c>
      <c r="BB164" s="68">
        <f>+(BB163*1000000)/BB17</f>
        <v>284.20131302832669</v>
      </c>
      <c r="BC164" s="635">
        <f>+$D$164</f>
        <v>310</v>
      </c>
      <c r="BD164" s="449">
        <f>+(BD163*1000000)/BD17</f>
        <v>294.57349046202165</v>
      </c>
      <c r="BE164" s="60">
        <f>+$D$164</f>
        <v>310</v>
      </c>
      <c r="BF164" s="38">
        <f>+(BF163*1000000)/BF17</f>
        <v>301.72094070376255</v>
      </c>
      <c r="BG164" s="1202"/>
      <c r="BH164" s="1202"/>
      <c r="BI164" s="1202"/>
      <c r="BJ164" s="1202"/>
      <c r="BK164" s="1202"/>
      <c r="BL164" s="26"/>
      <c r="BM164" s="26"/>
      <c r="BN164" s="26"/>
    </row>
    <row r="165" spans="1:66" x14ac:dyDescent="0.3">
      <c r="B165" s="1806" t="s">
        <v>217</v>
      </c>
      <c r="C165" s="1372" t="s">
        <v>212</v>
      </c>
      <c r="D165" s="443">
        <v>4225</v>
      </c>
      <c r="E165" s="152">
        <f>+$D$165</f>
        <v>4225</v>
      </c>
      <c r="F165" s="178">
        <v>4221.21</v>
      </c>
      <c r="G165" s="152">
        <f>+$D$165</f>
        <v>4225</v>
      </c>
      <c r="H165" s="178">
        <v>4217.0200000000004</v>
      </c>
      <c r="I165" s="60">
        <f>+$D$165</f>
        <v>4225</v>
      </c>
      <c r="J165" s="38">
        <f>+((F165*F163)+(H163*H165))/J163</f>
        <v>4219.0764387947029</v>
      </c>
      <c r="K165" s="152">
        <f>+$D$165</f>
        <v>4225</v>
      </c>
      <c r="L165" s="178">
        <v>4228.26</v>
      </c>
      <c r="M165" s="71">
        <f>+$D$165</f>
        <v>4225</v>
      </c>
      <c r="N165" s="68">
        <f>+((F165*F163)+(H165*H163)+(L163*L165))/N163</f>
        <v>4222.075814901069</v>
      </c>
      <c r="O165" s="152">
        <f>+$D$165</f>
        <v>4225</v>
      </c>
      <c r="P165" s="178">
        <v>4223.92</v>
      </c>
      <c r="Q165" s="60">
        <f>+$D$165</f>
        <v>4225</v>
      </c>
      <c r="R165" s="38">
        <f>+((N165*N163)+(P163*P165))/R163</f>
        <v>4222.5374672741646</v>
      </c>
      <c r="S165" s="152">
        <f>+$D$165</f>
        <v>4225</v>
      </c>
      <c r="T165" s="178">
        <v>4231.1400000000003</v>
      </c>
      <c r="U165" s="60">
        <f>+$D$165</f>
        <v>4225</v>
      </c>
      <c r="V165" s="38">
        <f>+((R165*R163)+(T163*T165))/V163</f>
        <v>4224.2784593882616</v>
      </c>
      <c r="W165" s="152">
        <f>+$D$165</f>
        <v>4225</v>
      </c>
      <c r="X165" s="178">
        <v>4223.79</v>
      </c>
      <c r="Y165" s="71">
        <f>+$D$165</f>
        <v>4225</v>
      </c>
      <c r="Z165" s="68">
        <f>+((P165*P163)+(T165*T163)+(X163*X165))/Z163</f>
        <v>4226.3202842662949</v>
      </c>
      <c r="AA165" s="635">
        <f>+$D$165</f>
        <v>4225</v>
      </c>
      <c r="AB165" s="449">
        <f>+((N165*N163)+(Z163*Z165))/AB163</f>
        <v>4224.198380128264</v>
      </c>
      <c r="AC165" s="152">
        <f>+$D$165</f>
        <v>4225</v>
      </c>
      <c r="AD165" s="178">
        <v>4232.1400000000003</v>
      </c>
      <c r="AE165" s="60">
        <f>+$D$165</f>
        <v>4225</v>
      </c>
      <c r="AF165" s="38">
        <f>+((AB165*AB163)+(AD163*AD165))/AF163</f>
        <v>4225.3212520625029</v>
      </c>
      <c r="AG165" s="152">
        <f>+$D$165</f>
        <v>4225</v>
      </c>
      <c r="AH165" s="178">
        <v>4229.91</v>
      </c>
      <c r="AI165" s="60">
        <f>+$D$165</f>
        <v>4225</v>
      </c>
      <c r="AJ165" s="38">
        <f>+((AF165*AF163)+(AH163*AH165))/AJ163</f>
        <v>4225.8751067317462</v>
      </c>
      <c r="AK165" s="152">
        <f>+$D$165</f>
        <v>4225</v>
      </c>
      <c r="AL165" s="178">
        <v>4227.93</v>
      </c>
      <c r="AM165" s="71">
        <f>+$D$165</f>
        <v>4225</v>
      </c>
      <c r="AN165" s="68">
        <f>+((AD165*AD163)+(AH165*AH163)+(AL163*AL165))/AN163</f>
        <v>4230.0089494372323</v>
      </c>
      <c r="AO165" s="60">
        <f>+$D$165</f>
        <v>4225</v>
      </c>
      <c r="AP165" s="38">
        <f>+((AL165*AL163)+(AJ163*AJ165))/AP163</f>
        <v>4226.0980482031828</v>
      </c>
      <c r="AQ165" s="152">
        <f>+$D$165</f>
        <v>4225</v>
      </c>
      <c r="AR165" s="178">
        <v>4230.49</v>
      </c>
      <c r="AS165" s="60">
        <f>+$D$165</f>
        <v>4225</v>
      </c>
      <c r="AT165" s="38">
        <f>+((AP165*AP163)+(AR163*AR165))/AT163</f>
        <v>4226.5175836823082</v>
      </c>
      <c r="AU165" s="152">
        <f>+$D$165</f>
        <v>4225</v>
      </c>
      <c r="AV165" s="178">
        <v>4232.8100000000004</v>
      </c>
      <c r="AW165" s="60">
        <f>+$D$165</f>
        <v>4225</v>
      </c>
      <c r="AX165" s="38">
        <f>+((AT165*AT163)+(AV163*AV165))/AX163</f>
        <v>4227.0038070833889</v>
      </c>
      <c r="AY165" s="152">
        <f>+$D$165</f>
        <v>4225</v>
      </c>
      <c r="AZ165" s="178">
        <v>4228.6000000000004</v>
      </c>
      <c r="BA165" s="71">
        <f>+$D$165</f>
        <v>4225</v>
      </c>
      <c r="BB165" s="68">
        <f>+((AR165*AR163)+(AV165*AV163)+(AZ165*AZ163))/BB163</f>
        <v>4230.5593146303618</v>
      </c>
      <c r="BC165" s="635">
        <f>+$D$165</f>
        <v>4225</v>
      </c>
      <c r="BD165" s="449">
        <f>+((AN165*AN163)+(BB163*BB165))/BD163</f>
        <v>4230.2726837850969</v>
      </c>
      <c r="BE165" s="60">
        <f>+$D$165</f>
        <v>4225</v>
      </c>
      <c r="BF165" s="38">
        <f>+((AX165*AX163)+(AZ165*AZ163))/BF163</f>
        <v>4227.1297273791533</v>
      </c>
      <c r="BG165" s="1202"/>
      <c r="BH165" s="1202"/>
      <c r="BI165" s="1202"/>
      <c r="BJ165" s="1202"/>
      <c r="BK165" s="1202"/>
      <c r="BL165" s="26"/>
      <c r="BM165" s="26"/>
      <c r="BN165" s="26"/>
    </row>
    <row r="166" spans="1:66" x14ac:dyDescent="0.3">
      <c r="B166" s="1806" t="s">
        <v>574</v>
      </c>
      <c r="C166" s="1372" t="s">
        <v>301</v>
      </c>
      <c r="D166" s="391">
        <v>13.476669361111112</v>
      </c>
      <c r="E166" s="767">
        <f>+(EMD!D21)/(E2*24)</f>
        <v>14.236886666666667</v>
      </c>
      <c r="F166" s="1298">
        <f>+(EMD!E21)/(F2*24)</f>
        <v>13.016388888888887</v>
      </c>
      <c r="G166" s="767">
        <f>+(EMD!F21)/(G2*24)</f>
        <v>14.236886666666667</v>
      </c>
      <c r="H166" s="1298">
        <f>+(EMD!G21)/(H2*24)</f>
        <v>13.080887096774196</v>
      </c>
      <c r="I166" s="52">
        <f>+(EMD!H21)/(I2*24)</f>
        <v>14.236886666666667</v>
      </c>
      <c r="J166" s="385">
        <f>+(EMD!I21)/(J2*24)</f>
        <v>13.049166666666668</v>
      </c>
      <c r="K166" s="767">
        <f>+(EMD!J21)/(K2*24)</f>
        <v>13.365993333333334</v>
      </c>
      <c r="L166" s="1298">
        <f>+(EMD!K21)/(L2*24)</f>
        <v>13.019152777777778</v>
      </c>
      <c r="M166" s="76">
        <f>+(EMD!L21)/(M2*24)</f>
        <v>13.949778974358976</v>
      </c>
      <c r="N166" s="110">
        <f>+(EMD!M21)/(N2*24)</f>
        <v>13.039271978021979</v>
      </c>
      <c r="O166" s="767">
        <f>+(EMD!N21)/(O2*24)</f>
        <v>13.365993333333334</v>
      </c>
      <c r="P166" s="1298">
        <f>+(EMD!O21)/(P2*24)</f>
        <v>13.345645161290328</v>
      </c>
      <c r="Q166" s="52">
        <f>+(EMD!P21)/(Q2*24)</f>
        <v>13.801439999999999</v>
      </c>
      <c r="R166" s="385">
        <f>+(EMD!Q21)/(R2*24)</f>
        <v>13.117120901639346</v>
      </c>
      <c r="S166" s="767">
        <f>+(EMD!R21)/(S2*24)</f>
        <v>13.365993333333334</v>
      </c>
      <c r="T166" s="1298">
        <f>+(EMD!S21)/(T2*24)</f>
        <v>13.589717741935486</v>
      </c>
      <c r="U166" s="52">
        <f>+(EMD!T21)/(U2*24)</f>
        <v>13.713212244008714</v>
      </c>
      <c r="V166" s="385">
        <f>+(EMD!U21)/(V2*24)</f>
        <v>13.212875816993465</v>
      </c>
      <c r="W166" s="767">
        <f>+(EMD!V21)/(W2*24)</f>
        <v>12.952319000000001</v>
      </c>
      <c r="X166" s="1298">
        <f>+(EMD!W21)/(X2*24)</f>
        <v>13.582527777777777</v>
      </c>
      <c r="Y166" s="76">
        <f>+(EMD!X21)/(Y2*24)</f>
        <v>13.231099528985508</v>
      </c>
      <c r="Z166" s="386">
        <f>+((P166*P2)+(T166*T2)+(X166*X2))/Z2</f>
        <v>13.505131340579712</v>
      </c>
      <c r="AA166" s="662">
        <f>+(EMD!Z21)/(AA2*24)</f>
        <v>13.588475646630238</v>
      </c>
      <c r="AB166" s="466">
        <f>+((N166*N2)+(Z166*Z2))/AB2</f>
        <v>13.273474499089254</v>
      </c>
      <c r="AC166" s="767">
        <f>+(EMD!AB21)/(AC2*24)</f>
        <v>13.365993333333334</v>
      </c>
      <c r="AD166" s="1298">
        <f>+(EMD!AC21)/(AD2*24)</f>
        <v>13.59274193548387</v>
      </c>
      <c r="AE166" s="52">
        <f>+(EMD!AD21)/(AE2*24)</f>
        <v>13.556246900311526</v>
      </c>
      <c r="AF166" s="103">
        <f>+(EMD!AE21)/(AF2*24)</f>
        <v>13.319723520249223</v>
      </c>
      <c r="AG166" s="767">
        <f>+(EMD!AF21)/(AG2*24)</f>
        <v>13.365993333333334</v>
      </c>
      <c r="AH166" s="1298">
        <f>+(EMD!AG21)/(AH2*24)</f>
        <v>13.542083333333332</v>
      </c>
      <c r="AI166" s="52">
        <f>+(EMD!AH21)/(AI2*24)</f>
        <v>13.532855068306011</v>
      </c>
      <c r="AJ166" s="103">
        <f>+(EMD!AI21)/(AJ2*24)</f>
        <v>13.347062841530056</v>
      </c>
      <c r="AK166" s="767">
        <f>+(EMD!AJ21)/(AK2*24)</f>
        <v>13.365993333333334</v>
      </c>
      <c r="AL166" s="1298">
        <f>+(EMD!AK21)/(AL2*24)</f>
        <v>13.422594086021505</v>
      </c>
      <c r="AM166" s="76">
        <f>+(EMD!AL21)/(AM2*24)</f>
        <v>13.365993333333332</v>
      </c>
      <c r="AN166" s="111">
        <f>+(EMD!AM21)/(AN2*24)</f>
        <v>13.518890398550724</v>
      </c>
      <c r="AO166" s="52">
        <f>+(EMD!AN21)/(AO2*24)</f>
        <v>13.5140452</v>
      </c>
      <c r="AP166" s="105">
        <f>+(EMD!AO21)/(AP2*24)</f>
        <v>13.355577272727274</v>
      </c>
      <c r="AQ166" s="767">
        <f>+(EMD!AP21)/(AQ2*24)</f>
        <v>13.365993333333334</v>
      </c>
      <c r="AR166" s="1298">
        <f>+(EMD!AQ21)/(AR2*24)</f>
        <v>13.924408602150537</v>
      </c>
      <c r="AS166" s="52">
        <f>+(EMD!AR21)/(AS2*24)</f>
        <v>13.49904648148148</v>
      </c>
      <c r="AT166" s="103">
        <f>+(EMD!AS21)/(AT2*24)</f>
        <v>13.413203976034859</v>
      </c>
      <c r="AU166" s="767">
        <f>+(EMD!AT21)/(AU2*24)</f>
        <v>13.365993333333332</v>
      </c>
      <c r="AV166" s="1298">
        <f>+(EMD!AU21)/(AV2*24)</f>
        <v>14.532633928571428</v>
      </c>
      <c r="AW166" s="52">
        <f>+(EMD!AV21)/(AW2*24)</f>
        <v>13.487892325349302</v>
      </c>
      <c r="AX166" s="103">
        <f>+(EMD!AW21)/(AX2*24)</f>
        <v>13.507048403193613</v>
      </c>
      <c r="AY166" s="767">
        <f>+(EMD!AX21)/(AY2*24)</f>
        <v>13.365993333333334</v>
      </c>
      <c r="AZ166" s="1298">
        <f>+(EMD!AY21)/(AZ2*24)</f>
        <v>14.55869623655914</v>
      </c>
      <c r="BA166" s="76">
        <f>+(EMD!AZ21)/(BA2*24)</f>
        <v>13.365993333333332</v>
      </c>
      <c r="BB166" s="111">
        <f>+(EMD!BA21)/(BB2*24)</f>
        <v>14.332111111111111</v>
      </c>
      <c r="BC166" s="662">
        <f>+(EMD!BB21)/(BC2*24)</f>
        <v>13.365993333333332</v>
      </c>
      <c r="BD166" s="469">
        <f>+(EMD!BC21)/(BD2*24)</f>
        <v>13.921032509157509</v>
      </c>
      <c r="BE166" s="52">
        <f>+(EMD!BD21)/(BE2*24)</f>
        <v>13.477539260273971</v>
      </c>
      <c r="BF166" s="105">
        <f>+(EMD!BE21)/(BF2*24)</f>
        <v>13.596366438356164</v>
      </c>
      <c r="BG166" s="1202"/>
      <c r="BH166" s="1202"/>
      <c r="BI166" s="1202"/>
      <c r="BJ166" s="1202"/>
      <c r="BK166" s="1202"/>
      <c r="BL166" s="26"/>
      <c r="BM166" s="26"/>
      <c r="BN166" s="26"/>
    </row>
    <row r="167" spans="1:66" x14ac:dyDescent="0.3">
      <c r="A167" s="1518">
        <v>0.77013299999999996</v>
      </c>
      <c r="B167" s="1835" t="s">
        <v>781</v>
      </c>
      <c r="C167" s="1372" t="s">
        <v>213</v>
      </c>
      <c r="D167" s="443">
        <f>1.61199713888889*1000*24*365</f>
        <v>14121094.936666677</v>
      </c>
      <c r="E167" s="152">
        <f>+'POWER DISTRIBUTION'!I36</f>
        <v>1203518.4000000001</v>
      </c>
      <c r="F167" s="491">
        <f>+'POWER DISTRIBUTION'!J36</f>
        <v>1090632.9999999993</v>
      </c>
      <c r="G167" s="152">
        <f>+'POWER DISTRIBUTION'!K36</f>
        <v>1243635.68</v>
      </c>
      <c r="H167" s="491">
        <f>+'POWER DISTRIBUTION'!L36</f>
        <v>1231879.1000000001</v>
      </c>
      <c r="I167" s="60">
        <f>+'POWER DISTRIBUTION'!M36</f>
        <v>2447154.08</v>
      </c>
      <c r="J167" s="38">
        <f>+'POWER DISTRIBUTION'!N36</f>
        <v>2322512.0999999996</v>
      </c>
      <c r="K167" s="152">
        <f>+'POWER DISTRIBUTION'!O36</f>
        <v>1154395.2</v>
      </c>
      <c r="L167" s="491">
        <f>+'POWER DISTRIBUTION'!P36</f>
        <v>1198690</v>
      </c>
      <c r="M167" s="71">
        <f>+'POWER DISTRIBUTION'!Q36</f>
        <v>3601549.2800000003</v>
      </c>
      <c r="N167" s="122">
        <f>+L167+H167+F167</f>
        <v>3521202.0999999996</v>
      </c>
      <c r="O167" s="152">
        <f>+'POWER DISTRIBUTION'!S36</f>
        <v>1192875.04</v>
      </c>
      <c r="P167" s="491">
        <f>+'POWER DISTRIBUTION'!T36</f>
        <v>1201692</v>
      </c>
      <c r="Q167" s="60">
        <f>+'POWER DISTRIBUTION'!U36</f>
        <v>4794424.32</v>
      </c>
      <c r="R167" s="38">
        <f>+'POWER DISTRIBUTION'!V36</f>
        <v>4722894.0999999996</v>
      </c>
      <c r="S167" s="152">
        <f>+'POWER DISTRIBUTION'!W36</f>
        <v>1192875.04</v>
      </c>
      <c r="T167" s="491">
        <f>+'POWER DISTRIBUTION'!X36</f>
        <v>1172043</v>
      </c>
      <c r="U167" s="60">
        <f>+'POWER DISTRIBUTION'!Y36</f>
        <v>5987299.3600000003</v>
      </c>
      <c r="V167" s="38">
        <f>+'POWER DISTRIBUTION'!Z36</f>
        <v>5894937.0999999996</v>
      </c>
      <c r="W167" s="152">
        <f>+'POWER DISTRIBUTION'!AA36</f>
        <v>1131061.68</v>
      </c>
      <c r="X167" s="491">
        <f>+'POWER DISTRIBUTION'!AB36</f>
        <v>1117056.9999999995</v>
      </c>
      <c r="Y167" s="71">
        <f>+'POWER DISTRIBUTION'!AC36</f>
        <v>3516811.76</v>
      </c>
      <c r="Z167" s="83">
        <f>+P167+T167+X167</f>
        <v>3490791.9999999995</v>
      </c>
      <c r="AA167" s="635">
        <f>+'POWER DISTRIBUTION'!AE36</f>
        <v>7118361.04</v>
      </c>
      <c r="AB167" s="449">
        <f>+N167+Z167</f>
        <v>7011994.0999999996</v>
      </c>
      <c r="AC167" s="152">
        <f>+'POWER DISTRIBUTION'!AG36</f>
        <v>1192875.04</v>
      </c>
      <c r="AD167" s="491">
        <f>+'POWER DISTRIBUTION'!AH36</f>
        <v>1136315.9999999995</v>
      </c>
      <c r="AE167" s="60">
        <f>+'POWER DISTRIBUTION'!AI36</f>
        <v>8311236.0800000001</v>
      </c>
      <c r="AF167" s="38">
        <f>+'POWER DISTRIBUTION'!AJ36</f>
        <v>8148310.0999999996</v>
      </c>
      <c r="AG167" s="152">
        <f>+'POWER DISTRIBUTION'!AK36</f>
        <v>1154395.2</v>
      </c>
      <c r="AH167" s="491">
        <f>+'POWER DISTRIBUTION'!AL36</f>
        <v>1129714.0000000007</v>
      </c>
      <c r="AI167" s="60">
        <f>+'POWER DISTRIBUTION'!AM36</f>
        <v>9465631.2799999993</v>
      </c>
      <c r="AJ167" s="38">
        <f>+'POWER DISTRIBUTION'!AN36</f>
        <v>9278024.0999999996</v>
      </c>
      <c r="AK167" s="152">
        <f>+'POWER DISTRIBUTION'!AO36</f>
        <v>1192875.04</v>
      </c>
      <c r="AL167" s="491">
        <f>+'POWER DISTRIBUTION'!AP36</f>
        <v>1098775.9999999995</v>
      </c>
      <c r="AM167" s="71">
        <f>+'POWER DISTRIBUTION'!AQ36</f>
        <v>3540145.2800000003</v>
      </c>
      <c r="AN167" s="71">
        <f>+'POWER DISTRIBUTION'!AR36</f>
        <v>3364805.9999999995</v>
      </c>
      <c r="AO167" s="60">
        <f>+'POWER DISTRIBUTION'!AS36</f>
        <v>10658506.32</v>
      </c>
      <c r="AP167" s="38">
        <f>+'POWER DISTRIBUTION'!AT36</f>
        <v>10376800.1</v>
      </c>
      <c r="AQ167" s="152">
        <f>+'POWER DISTRIBUTION'!AU36</f>
        <v>1192875.04</v>
      </c>
      <c r="AR167" s="491">
        <f>+'POWER DISTRIBUTION'!AV36</f>
        <v>1079565.9999999998</v>
      </c>
      <c r="AS167" s="60">
        <f>+'POWER DISTRIBUTION'!AW36</f>
        <v>11851381.359999999</v>
      </c>
      <c r="AT167" s="38">
        <f>+'POWER DISTRIBUTION'!AX36</f>
        <v>11456366.1</v>
      </c>
      <c r="AU167" s="152">
        <f>+'POWER DISTRIBUTION'!AY36</f>
        <v>1077435.52</v>
      </c>
      <c r="AV167" s="491">
        <f>+'POWER DISTRIBUTION'!AZ36</f>
        <v>916298.00000000081</v>
      </c>
      <c r="AW167" s="60">
        <f>+'POWER DISTRIBUTION'!BA36</f>
        <v>12928816.879999999</v>
      </c>
      <c r="AX167" s="38">
        <f>+'POWER DISTRIBUTION'!BB36</f>
        <v>12372664.1</v>
      </c>
      <c r="AY167" s="152">
        <f>+'POWER DISTRIBUTION'!BC36</f>
        <v>1192875.04</v>
      </c>
      <c r="AZ167" s="491">
        <f>+'POWER DISTRIBUTION'!BD36</f>
        <v>1084823.9999999988</v>
      </c>
      <c r="BA167" s="71">
        <f>+'POWER DISTRIBUTION'!BE36</f>
        <v>3463185.6</v>
      </c>
      <c r="BB167" s="68">
        <f>+'POWER DISTRIBUTION'!BF36</f>
        <v>3080687.9999999991</v>
      </c>
      <c r="BC167" s="635">
        <f>+'POWER DISTRIBUTION'!BG36</f>
        <v>7003330.8800000008</v>
      </c>
      <c r="BD167" s="449">
        <f>+'POWER DISTRIBUTION'!BH36</f>
        <v>6445493.9999999981</v>
      </c>
      <c r="BE167" s="60">
        <f>+'POWER DISTRIBUTION'!BI36</f>
        <v>14121691.919999998</v>
      </c>
      <c r="BF167" s="38">
        <f>+'POWER DISTRIBUTION'!BJ36</f>
        <v>13457488.099999998</v>
      </c>
      <c r="BG167" s="1202">
        <f t="shared" si="801"/>
        <v>0</v>
      </c>
      <c r="BH167" s="1202">
        <f t="shared" si="802"/>
        <v>0</v>
      </c>
      <c r="BI167" s="1202"/>
      <c r="BJ167" s="1202">
        <f t="shared" si="820"/>
        <v>0</v>
      </c>
      <c r="BK167" s="1202">
        <f t="shared" si="821"/>
        <v>0</v>
      </c>
      <c r="BL167" s="26"/>
      <c r="BM167" s="26"/>
      <c r="BN167" s="26"/>
    </row>
    <row r="168" spans="1:66" x14ac:dyDescent="0.3">
      <c r="A168" s="145"/>
      <c r="B168" s="1835" t="s">
        <v>782</v>
      </c>
      <c r="C168" s="1372" t="s">
        <v>214</v>
      </c>
      <c r="D168" s="391">
        <f t="shared" ref="D168:AX168" si="914">+D167/D17</f>
        <v>23.798993873863445</v>
      </c>
      <c r="E168" s="767">
        <f t="shared" si="914"/>
        <v>23.800000000000004</v>
      </c>
      <c r="F168" s="131">
        <f t="shared" si="914"/>
        <v>21.745163014004518</v>
      </c>
      <c r="G168" s="767">
        <f t="shared" ref="G168:H168" si="915">+G167/G17</f>
        <v>23.8</v>
      </c>
      <c r="H168" s="131">
        <f t="shared" si="915"/>
        <v>23.668498977850877</v>
      </c>
      <c r="I168" s="52">
        <f t="shared" si="914"/>
        <v>23.8</v>
      </c>
      <c r="J168" s="105">
        <f t="shared" si="914"/>
        <v>22.724633668093897</v>
      </c>
      <c r="K168" s="767">
        <f t="shared" si="914"/>
        <v>23.8</v>
      </c>
      <c r="L168" s="131">
        <f t="shared" si="914"/>
        <v>24.181568032535548</v>
      </c>
      <c r="M168" s="76">
        <f t="shared" si="914"/>
        <v>23.8</v>
      </c>
      <c r="N168" s="111">
        <f t="shared" si="914"/>
        <v>23.200481904530982</v>
      </c>
      <c r="O168" s="767">
        <f t="shared" ref="O168:P168" si="916">+O167/O17</f>
        <v>23.800000000000004</v>
      </c>
      <c r="P168" s="131">
        <f t="shared" si="916"/>
        <v>23.61927449407991</v>
      </c>
      <c r="Q168" s="52">
        <f t="shared" si="914"/>
        <v>23.8</v>
      </c>
      <c r="R168" s="105">
        <f t="shared" si="914"/>
        <v>23.30562436590305</v>
      </c>
      <c r="S168" s="767">
        <f t="shared" si="914"/>
        <v>23.800000000000004</v>
      </c>
      <c r="T168" s="131">
        <f t="shared" si="914"/>
        <v>22.429899566728416</v>
      </c>
      <c r="U168" s="52">
        <f t="shared" si="914"/>
        <v>23.800000000000004</v>
      </c>
      <c r="V168" s="105">
        <f t="shared" si="914"/>
        <v>23.126106691146468</v>
      </c>
      <c r="W168" s="767">
        <f t="shared" ref="W168:X168" si="917">+W167/W17</f>
        <v>23.8</v>
      </c>
      <c r="X168" s="131">
        <f t="shared" si="917"/>
        <v>22.090195380477763</v>
      </c>
      <c r="Y168" s="76">
        <f t="shared" si="914"/>
        <v>23.8</v>
      </c>
      <c r="Z168" s="111">
        <f t="shared" si="914"/>
        <v>22.711842351814447</v>
      </c>
      <c r="AA168" s="662">
        <f t="shared" si="914"/>
        <v>23.8</v>
      </c>
      <c r="AB168" s="469">
        <f t="shared" si="914"/>
        <v>22.954621372826313</v>
      </c>
      <c r="AC168" s="767">
        <f t="shared" si="914"/>
        <v>23.800000000000004</v>
      </c>
      <c r="AD168" s="131">
        <f t="shared" si="914"/>
        <v>22.073131881366592</v>
      </c>
      <c r="AE168" s="52">
        <f t="shared" si="914"/>
        <v>23.8</v>
      </c>
      <c r="AF168" s="105">
        <f t="shared" si="914"/>
        <v>22.827492858975837</v>
      </c>
      <c r="AG168" s="767">
        <f t="shared" ref="AG168:AH168" si="918">+AG167/AG17</f>
        <v>23.8</v>
      </c>
      <c r="AH168" s="131">
        <f t="shared" si="918"/>
        <v>23.233479487664642</v>
      </c>
      <c r="AI168" s="52">
        <f t="shared" si="914"/>
        <v>23.8</v>
      </c>
      <c r="AJ168" s="105">
        <f t="shared" si="914"/>
        <v>22.876166489141369</v>
      </c>
      <c r="AK168" s="767">
        <f t="shared" si="914"/>
        <v>23.800000000000004</v>
      </c>
      <c r="AL168" s="131">
        <f t="shared" si="914"/>
        <v>21.900008769761854</v>
      </c>
      <c r="AM168" s="76">
        <f t="shared" si="914"/>
        <v>23.800000000000004</v>
      </c>
      <c r="AN168" s="111">
        <f t="shared" si="914"/>
        <v>22.3907812537431</v>
      </c>
      <c r="AO168" s="52">
        <f t="shared" si="914"/>
        <v>23.800000000000004</v>
      </c>
      <c r="AP168" s="105">
        <f t="shared" si="914"/>
        <v>22.768703302085097</v>
      </c>
      <c r="AQ168" s="767">
        <f t="shared" ref="AQ168:AR168" si="919">+AQ167/AQ17</f>
        <v>23.800000000000004</v>
      </c>
      <c r="AR168" s="131">
        <f t="shared" si="919"/>
        <v>21.348797658598318</v>
      </c>
      <c r="AS168" s="52">
        <f t="shared" si="914"/>
        <v>23.8</v>
      </c>
      <c r="AT168" s="105">
        <f t="shared" si="914"/>
        <v>22.62689120873825</v>
      </c>
      <c r="AU168" s="767">
        <f t="shared" si="914"/>
        <v>23.8</v>
      </c>
      <c r="AV168" s="131">
        <f t="shared" si="914"/>
        <v>20.148691200788111</v>
      </c>
      <c r="AW168" s="52">
        <f t="shared" si="914"/>
        <v>23.8</v>
      </c>
      <c r="AX168" s="105">
        <f t="shared" si="914"/>
        <v>22.422646926420981</v>
      </c>
      <c r="AY168" s="767">
        <f t="shared" ref="AY168:AZ168" si="920">+AY167/AY17</f>
        <v>23.800000000000004</v>
      </c>
      <c r="AZ168" s="131">
        <f t="shared" si="920"/>
        <v>20.760751412342859</v>
      </c>
      <c r="BA168" s="76">
        <f t="shared" ref="BA168:BF168" si="921">+BA167/BA17</f>
        <v>23.8</v>
      </c>
      <c r="BB168" s="111">
        <f t="shared" si="921"/>
        <v>20.77357543978896</v>
      </c>
      <c r="BC168" s="662">
        <f t="shared" si="921"/>
        <v>23.800000000000004</v>
      </c>
      <c r="BD168" s="469">
        <f t="shared" si="921"/>
        <v>21.58753518381323</v>
      </c>
      <c r="BE168" s="52">
        <f t="shared" si="921"/>
        <v>23.799999999999997</v>
      </c>
      <c r="BF168" s="105">
        <f t="shared" si="921"/>
        <v>22.278883192494352</v>
      </c>
      <c r="BG168" s="1202"/>
      <c r="BH168" s="1202"/>
      <c r="BI168" s="1202"/>
      <c r="BJ168" s="1202"/>
      <c r="BK168" s="1202"/>
      <c r="BL168" s="26"/>
      <c r="BM168" s="26"/>
      <c r="BN168" s="26"/>
    </row>
    <row r="169" spans="1:66" ht="15" thickBot="1" x14ac:dyDescent="0.35">
      <c r="A169" s="145"/>
      <c r="B169" s="1836" t="s">
        <v>218</v>
      </c>
      <c r="C169" s="1392" t="s">
        <v>1082</v>
      </c>
      <c r="D169" s="2688">
        <v>0.84071734845074231</v>
      </c>
      <c r="E169" s="783">
        <v>0.85644299240626509</v>
      </c>
      <c r="F169" s="383">
        <v>0.7</v>
      </c>
      <c r="G169" s="783">
        <v>0.85644299240626509</v>
      </c>
      <c r="H169" s="383">
        <v>0.7</v>
      </c>
      <c r="I169" s="387">
        <f>+((E169*E17)+(G169*G17))/I17</f>
        <v>0.85644299240626498</v>
      </c>
      <c r="J169" s="387">
        <f>+((F169*F17)+(H169*H17))/J17</f>
        <v>0.7</v>
      </c>
      <c r="K169" s="783">
        <v>0.8382680133597229</v>
      </c>
      <c r="L169" s="383">
        <v>0.71</v>
      </c>
      <c r="M169" s="1560">
        <f>+((E169*E17)+(G169*G17)+(K169*K17))/M17</f>
        <v>0.85061741376211308</v>
      </c>
      <c r="N169" s="1560">
        <f>+((F169*F17)+(H169*H17)+(L169*L17))/N17</f>
        <v>0.70326609247506799</v>
      </c>
      <c r="O169" s="783">
        <v>0.8382680133597229</v>
      </c>
      <c r="P169" s="383">
        <v>0.73199999999999998</v>
      </c>
      <c r="Q169" s="387">
        <f>+((M169*M17)+(O169*O17))/Q17</f>
        <v>0.84754482558139554</v>
      </c>
      <c r="R169" s="387">
        <f>+((N169*N17)+(P169*P17))/R17</f>
        <v>0.71048005432014938</v>
      </c>
      <c r="S169" s="783">
        <v>0.8382680133597229</v>
      </c>
      <c r="T169" s="383">
        <v>0.72699999999999998</v>
      </c>
      <c r="U169" s="387">
        <f>+((Q169*Q17)+(S169*S17))/U17</f>
        <v>0.84569656694513451</v>
      </c>
      <c r="V169" s="387">
        <f>+((R169*R17)+(T169*T17))/V17</f>
        <v>0.71386653171390013</v>
      </c>
      <c r="W169" s="783">
        <v>0.82908185402621015</v>
      </c>
      <c r="X169" s="383">
        <v>0.72499999999999998</v>
      </c>
      <c r="Y169" s="388">
        <f>+((O169*O17)+(S169*S17)+(W169*W17))/Y17</f>
        <v>0.83531360080722672</v>
      </c>
      <c r="Z169" s="388">
        <f>+((P169*P17)+(T169*T17)+(X169*X17))/Z17</f>
        <v>0.72799709042076988</v>
      </c>
      <c r="AA169" s="2372">
        <f>+((M169*M17)+(Y169*Y17))/AA17</f>
        <v>0.84305659617079498</v>
      </c>
      <c r="AB169" s="2372">
        <f>+((N169*N17)+(Z169*Z17))/AB17-0.001</f>
        <v>0.71470957207207197</v>
      </c>
      <c r="AC169" s="783">
        <v>0.8382680133597229</v>
      </c>
      <c r="AD169" s="383">
        <v>0.73799999999999999</v>
      </c>
      <c r="AE169" s="1810">
        <f>+((AA169*AA17)+(AC169*AC17))/AE17</f>
        <v>0.84236931201025411</v>
      </c>
      <c r="AF169" s="1810">
        <f>+((AB169*AB17)+(AD169*AD17))/AF17</f>
        <v>0.71806852021394496</v>
      </c>
      <c r="AG169" s="783">
        <v>0.8382680133597229</v>
      </c>
      <c r="AH169" s="383">
        <v>0.753</v>
      </c>
      <c r="AI169" s="1810">
        <f>+((AE169*AE17)+(AG169*AG17))/AI17</f>
        <v>0.84186913200789715</v>
      </c>
      <c r="AJ169" s="1810">
        <f>+((AF169*AF17)+(AH169*AH17))/AJ17+0.001</f>
        <v>0.7232564461407972</v>
      </c>
      <c r="AK169" s="783">
        <v>0.8382680133597229</v>
      </c>
      <c r="AL169" s="383">
        <v>0.74650000000000005</v>
      </c>
      <c r="AM169" s="390">
        <f>+$D$169</f>
        <v>0.84071734845074231</v>
      </c>
      <c r="AN169" s="388">
        <f>+((AD169*AD17)+(AH169*AH17)+(AL169*AL17))/AN17</f>
        <v>0.74569137003548125</v>
      </c>
      <c r="AO169" s="1810">
        <f>+((AK169*AK17)+(AI169*AI17))/AO17</f>
        <v>0.84146610325109805</v>
      </c>
      <c r="AP169" s="1810">
        <f>+((AL169*AL17)+(AJ169*AJ17))/AP17-0.001</f>
        <v>0.72481528097520453</v>
      </c>
      <c r="AQ169" s="783">
        <v>0.8382680133597229</v>
      </c>
      <c r="AR169" s="383">
        <v>0.86699999999999999</v>
      </c>
      <c r="AS169" s="1810">
        <f>+((AO169*AO17)+(AQ169*AQ17))/AS17</f>
        <v>0.8411442064619209</v>
      </c>
      <c r="AT169" s="1810">
        <f>+((AP169*AP17)+(AR169*AR17))/AT17</f>
        <v>0.73901588137378116</v>
      </c>
      <c r="AU169" s="783">
        <v>0.83799999999999997</v>
      </c>
      <c r="AV169" s="383">
        <v>0.90900000000000003</v>
      </c>
      <c r="AW169" s="1810">
        <f>+((AS169*AS17)+(AU169*AU17))/AW17</f>
        <v>0.84088218096061396</v>
      </c>
      <c r="AX169" s="1810">
        <f>+((AT169*AT17)+(AV169*AV17))/AX17</f>
        <v>0.75302535768835122</v>
      </c>
      <c r="AY169" s="783">
        <v>0.8382680133597229</v>
      </c>
      <c r="AZ169" s="383">
        <v>0.877</v>
      </c>
      <c r="BA169" s="388">
        <f>+((AQ169*AQ17)+(AU169*AU17)+(AY169*AY17))/BA17</f>
        <v>0.83818463142558686</v>
      </c>
      <c r="BB169" s="388">
        <f>+((AR169*AR17)+(AV169*AV17)+(AZ169*AZ17))/BB17</f>
        <v>0.88340315472048259</v>
      </c>
      <c r="BC169" s="2372">
        <f>+((AM169*AM17)+(BA169*BA17))/BC17</f>
        <v>0.83946490596577528</v>
      </c>
      <c r="BD169" s="2372">
        <f>+((AN169*AN17)+(BB169*BB17))/BD17</f>
        <v>0.81409110547842611</v>
      </c>
      <c r="BE169" s="1810">
        <f>+((AW169*AW17)+(AY169*AY17))/BE17</f>
        <v>0.84066135931267361</v>
      </c>
      <c r="BF169" s="1810">
        <f>+((AX169*AX17)+(AZ169*AZ17))/BF17</f>
        <v>0.76374989322019415</v>
      </c>
      <c r="BG169" s="1202"/>
      <c r="BH169" s="1202"/>
      <c r="BI169" s="1202"/>
      <c r="BJ169" s="1202"/>
      <c r="BK169" s="1202"/>
      <c r="BL169" s="26"/>
      <c r="BM169" s="26"/>
      <c r="BN169" s="26"/>
    </row>
    <row r="170" spans="1:66" ht="18" thickBot="1" x14ac:dyDescent="0.35">
      <c r="B170" s="1809" t="s">
        <v>208</v>
      </c>
      <c r="C170" s="1786"/>
      <c r="D170" s="1786"/>
      <c r="E170" s="1786"/>
      <c r="F170" s="1786"/>
      <c r="G170" s="1786"/>
      <c r="H170" s="1786"/>
      <c r="I170" s="1786"/>
      <c r="J170" s="1786"/>
      <c r="K170" s="1786"/>
      <c r="L170" s="1786"/>
      <c r="M170" s="1786"/>
      <c r="N170" s="1786"/>
      <c r="O170" s="1786"/>
      <c r="P170" s="1786"/>
      <c r="Q170" s="1786"/>
      <c r="R170" s="1786"/>
      <c r="S170" s="1786"/>
      <c r="T170" s="1786"/>
      <c r="U170" s="1786"/>
      <c r="V170" s="1786"/>
      <c r="W170" s="1786"/>
      <c r="X170" s="1786"/>
      <c r="Y170" s="528"/>
      <c r="Z170" s="528"/>
      <c r="AA170" s="528"/>
      <c r="AB170" s="1811"/>
      <c r="AC170" s="1786"/>
      <c r="AD170" s="1786"/>
      <c r="AE170" s="1786"/>
      <c r="AF170" s="1787"/>
      <c r="AG170" s="1786"/>
      <c r="AH170" s="1786"/>
      <c r="AI170" s="1786"/>
      <c r="AJ170" s="1787"/>
      <c r="AK170" s="1786"/>
      <c r="AL170" s="1786"/>
      <c r="AM170" s="528"/>
      <c r="AN170" s="528"/>
      <c r="AO170" s="1786"/>
      <c r="AP170" s="1787"/>
      <c r="AQ170" s="1786"/>
      <c r="AR170" s="1786"/>
      <c r="AS170" s="1786"/>
      <c r="AT170" s="1787"/>
      <c r="AU170" s="1786"/>
      <c r="AV170" s="1786"/>
      <c r="AW170" s="1786"/>
      <c r="AX170" s="1787"/>
      <c r="AY170" s="1786"/>
      <c r="AZ170" s="1786"/>
      <c r="BA170" s="528"/>
      <c r="BB170" s="528"/>
      <c r="BC170" s="528"/>
      <c r="BD170" s="1811"/>
      <c r="BE170" s="1786"/>
      <c r="BF170" s="1787"/>
      <c r="BG170" s="1202"/>
      <c r="BH170" s="1202"/>
      <c r="BI170" s="1202"/>
      <c r="BJ170" s="1202"/>
      <c r="BK170" s="1202"/>
      <c r="BL170" s="26"/>
      <c r="BM170" s="26"/>
      <c r="BN170" s="26"/>
    </row>
    <row r="171" spans="1:66" ht="21" thickBot="1" x14ac:dyDescent="0.35">
      <c r="B171" s="1848" t="s">
        <v>196</v>
      </c>
      <c r="C171" s="1786"/>
      <c r="D171" s="1786"/>
      <c r="E171" s="1786"/>
      <c r="F171" s="1786"/>
      <c r="G171" s="1786"/>
      <c r="H171" s="1786"/>
      <c r="I171" s="1786"/>
      <c r="J171" s="1786"/>
      <c r="K171" s="1786"/>
      <c r="L171" s="1786"/>
      <c r="M171" s="1786"/>
      <c r="N171" s="1786"/>
      <c r="O171" s="1786"/>
      <c r="P171" s="1786"/>
      <c r="Q171" s="1786"/>
      <c r="R171" s="1786"/>
      <c r="S171" s="1786"/>
      <c r="T171" s="1786"/>
      <c r="U171" s="1786"/>
      <c r="V171" s="1786"/>
      <c r="W171" s="1786"/>
      <c r="X171" s="1786"/>
      <c r="Y171" s="1786"/>
      <c r="Z171" s="1786"/>
      <c r="AA171" s="1786"/>
      <c r="AB171" s="1787"/>
      <c r="AC171" s="1786"/>
      <c r="AD171" s="1786"/>
      <c r="AE171" s="1786"/>
      <c r="AF171" s="1787"/>
      <c r="AG171" s="1786"/>
      <c r="AH171" s="1786"/>
      <c r="AI171" s="1786"/>
      <c r="AJ171" s="1787"/>
      <c r="AK171" s="1786"/>
      <c r="AL171" s="1786"/>
      <c r="AM171" s="1786"/>
      <c r="AN171" s="1786"/>
      <c r="AO171" s="1786"/>
      <c r="AP171" s="1787"/>
      <c r="AQ171" s="1786"/>
      <c r="AR171" s="1786"/>
      <c r="AS171" s="1786"/>
      <c r="AT171" s="1787"/>
      <c r="AU171" s="1786"/>
      <c r="AV171" s="1786"/>
      <c r="AW171" s="1786"/>
      <c r="AX171" s="1787"/>
      <c r="AY171" s="1786"/>
      <c r="AZ171" s="1786"/>
      <c r="BA171" s="1786"/>
      <c r="BB171" s="1786"/>
      <c r="BC171" s="1786"/>
      <c r="BD171" s="1787"/>
      <c r="BE171" s="1786"/>
      <c r="BF171" s="1787"/>
      <c r="BG171" s="1202"/>
      <c r="BH171" s="1202"/>
      <c r="BI171" s="1202"/>
      <c r="BJ171" s="1202"/>
      <c r="BK171" s="1202"/>
      <c r="BL171" s="26"/>
      <c r="BM171" s="26"/>
      <c r="BN171" s="26"/>
    </row>
    <row r="172" spans="1:66" x14ac:dyDescent="0.3">
      <c r="B172" s="1830" t="s">
        <v>194</v>
      </c>
      <c r="C172" s="1309" t="s">
        <v>49</v>
      </c>
      <c r="D172" s="1831">
        <f>+D115/D125*100</f>
        <v>72.02374409145871</v>
      </c>
      <c r="E172" s="760">
        <f>+E115/E125*100</f>
        <v>72.023744091458724</v>
      </c>
      <c r="F172" s="1832">
        <f>+F115/F125*100</f>
        <v>70.728115345005151</v>
      </c>
      <c r="G172" s="760">
        <f>+G115/G125*100</f>
        <v>72.023744091458724</v>
      </c>
      <c r="H172" s="1832">
        <f>+H115/H125*100</f>
        <v>70.99999761388338</v>
      </c>
      <c r="I172" s="761">
        <f t="shared" ref="I172:N172" si="922">+I115/I125*100</f>
        <v>72.023744091458724</v>
      </c>
      <c r="J172" s="1833">
        <f t="shared" si="922"/>
        <v>70.866553130184585</v>
      </c>
      <c r="K172" s="760">
        <f>+K115/K125*100</f>
        <v>72.023744091458724</v>
      </c>
      <c r="L172" s="1832">
        <f>+L115/L125*100</f>
        <v>70.999995215553483</v>
      </c>
      <c r="M172" s="1546">
        <f t="shared" ref="M172" si="923">+M115/M125*100</f>
        <v>72.023744091458724</v>
      </c>
      <c r="N172" s="1834">
        <f t="shared" si="922"/>
        <v>70.910898718337052</v>
      </c>
      <c r="O172" s="760">
        <f>+O115/O125*100</f>
        <v>72.023744091458724</v>
      </c>
      <c r="P172" s="1832">
        <f>+P115/P125*100</f>
        <v>71.000006296860505</v>
      </c>
      <c r="Q172" s="761">
        <f t="shared" ref="Q172" si="924">+Q115/Q125*100</f>
        <v>72.023744091458724</v>
      </c>
      <c r="R172" s="1833">
        <f t="shared" ref="R172:AB172" si="925">+R115/R125*100</f>
        <v>70.93376802301141</v>
      </c>
      <c r="S172" s="760">
        <f>+S115/S125*100</f>
        <v>72.023744091458724</v>
      </c>
      <c r="T172" s="1832">
        <f>+T115/T125*100</f>
        <v>71.000000188889203</v>
      </c>
      <c r="U172" s="761">
        <f t="shared" ref="U172:V172" si="926">+U115/U125*100</f>
        <v>72.023744091458724</v>
      </c>
      <c r="V172" s="1833">
        <f t="shared" si="926"/>
        <v>70.947242112194601</v>
      </c>
      <c r="W172" s="760">
        <f>+W115/W125*100</f>
        <v>72.023744091458724</v>
      </c>
      <c r="X172" s="1832">
        <f>+X115/X125*100</f>
        <v>70.999999902654807</v>
      </c>
      <c r="Y172" s="348">
        <f t="shared" si="925"/>
        <v>72.023744091458724</v>
      </c>
      <c r="Z172" s="348">
        <f t="shared" si="925"/>
        <v>71.000002158650517</v>
      </c>
      <c r="AA172" s="461">
        <f t="shared" si="925"/>
        <v>72.023744091458724</v>
      </c>
      <c r="AB172" s="469">
        <f t="shared" si="925"/>
        <v>70.955938709030022</v>
      </c>
      <c r="AC172" s="760">
        <f>+AC115/AC125*100</f>
        <v>72.023744091458724</v>
      </c>
      <c r="AD172" s="1832">
        <f>+AD115/AD125*100</f>
        <v>70.877862116770984</v>
      </c>
      <c r="AE172" s="761">
        <f t="shared" ref="AE172:AF172" si="927">+AE115/AE125*100</f>
        <v>72.023744091458724</v>
      </c>
      <c r="AF172" s="1833">
        <f t="shared" si="927"/>
        <v>70.94473017243719</v>
      </c>
      <c r="AG172" s="760">
        <f>+AG115/AG125*100</f>
        <v>72.023744091458724</v>
      </c>
      <c r="AH172" s="1832">
        <f>+AH115/AH125*100</f>
        <v>71</v>
      </c>
      <c r="AI172" s="761">
        <f t="shared" ref="AI172:AN172" si="928">+AI115/AI125*100</f>
        <v>72.023744091458724</v>
      </c>
      <c r="AJ172" s="1833">
        <f t="shared" si="928"/>
        <v>70.951561585734538</v>
      </c>
      <c r="AK172" s="760">
        <f>+AK115/AK125*100</f>
        <v>72.023744091458724</v>
      </c>
      <c r="AL172" s="1832">
        <f>+AL115/AL125*100</f>
        <v>71</v>
      </c>
      <c r="AM172" s="348">
        <f t="shared" si="928"/>
        <v>72.023744091458724</v>
      </c>
      <c r="AN172" s="348">
        <f t="shared" si="928"/>
        <v>70.959264970498495</v>
      </c>
      <c r="AO172" s="761">
        <f t="shared" ref="AO172:AT172" si="929">+AO115/AO125*100</f>
        <v>72.023744091458724</v>
      </c>
      <c r="AP172" s="1833">
        <f t="shared" si="929"/>
        <v>70.957051282983045</v>
      </c>
      <c r="AQ172" s="760">
        <f>+AQ115/AQ125*100</f>
        <v>72.023744091458724</v>
      </c>
      <c r="AR172" s="1832">
        <f>+AR115/AR125*100</f>
        <v>70.000000285201509</v>
      </c>
      <c r="AS172" s="761">
        <f t="shared" si="929"/>
        <v>72.023744091458724</v>
      </c>
      <c r="AT172" s="1833">
        <f t="shared" si="929"/>
        <v>70.86040015349667</v>
      </c>
      <c r="AU172" s="760">
        <f>+AU115/AU125*100</f>
        <v>72.023744091458724</v>
      </c>
      <c r="AV172" s="1832">
        <f>+AV115/AV125*100</f>
        <v>69.999999264467533</v>
      </c>
      <c r="AW172" s="761">
        <f t="shared" ref="AW172:AX172" si="930">+AW115/AW125*100</f>
        <v>72.02374409145871</v>
      </c>
      <c r="AX172" s="1833">
        <f t="shared" si="930"/>
        <v>70.788367753750236</v>
      </c>
      <c r="AY172" s="760">
        <f>+AY115/AY125*100</f>
        <v>72.023744091458724</v>
      </c>
      <c r="AZ172" s="1832">
        <f>+AZ115/AZ125*100</f>
        <v>70</v>
      </c>
      <c r="BA172" s="348">
        <f t="shared" ref="BA172:BF172" si="931">+BA115/BA125*100</f>
        <v>72.023744091458724</v>
      </c>
      <c r="BB172" s="348">
        <f t="shared" si="931"/>
        <v>69.99999986945744</v>
      </c>
      <c r="BC172" s="461">
        <f t="shared" si="931"/>
        <v>72.023744091458738</v>
      </c>
      <c r="BD172" s="469">
        <f t="shared" si="931"/>
        <v>70.484893261473601</v>
      </c>
      <c r="BE172" s="761">
        <f t="shared" si="931"/>
        <v>72.02374409145871</v>
      </c>
      <c r="BF172" s="1833">
        <f t="shared" si="931"/>
        <v>70.721092529662073</v>
      </c>
      <c r="BG172" s="1202"/>
      <c r="BH172" s="1202"/>
      <c r="BI172" s="1202"/>
      <c r="BJ172" s="1202"/>
      <c r="BK172" s="1202"/>
      <c r="BL172" s="26"/>
      <c r="BM172" s="26"/>
      <c r="BN172" s="26"/>
    </row>
    <row r="173" spans="1:66" x14ac:dyDescent="0.3">
      <c r="B173" s="1791" t="s">
        <v>195</v>
      </c>
      <c r="C173" s="1372" t="s">
        <v>49</v>
      </c>
      <c r="D173" s="104">
        <f>+D120/D125*100</f>
        <v>25.008244476200947</v>
      </c>
      <c r="E173" s="762">
        <f>+E120/E125*100</f>
        <v>25.008244476200947</v>
      </c>
      <c r="F173" s="129">
        <f>+F120/F125*100</f>
        <v>23.864057672502575</v>
      </c>
      <c r="G173" s="762">
        <f>+G120/G125*100</f>
        <v>25.008244476200943</v>
      </c>
      <c r="H173" s="129">
        <f>+H120/H125*100</f>
        <v>23.999999999999996</v>
      </c>
      <c r="I173" s="52">
        <f t="shared" ref="I173:N173" si="932">+I120/I125*100</f>
        <v>25.008244476200947</v>
      </c>
      <c r="J173" s="103">
        <f t="shared" si="932"/>
        <v>23.933277172577107</v>
      </c>
      <c r="K173" s="762">
        <f>+K120/K125*100</f>
        <v>25.008244476200947</v>
      </c>
      <c r="L173" s="129">
        <f>+L120/L125*100</f>
        <v>24.000004296237698</v>
      </c>
      <c r="M173" s="76">
        <f t="shared" ref="M173" si="933">+M120/M125*100</f>
        <v>25.008244476200943</v>
      </c>
      <c r="N173" s="110">
        <f t="shared" si="932"/>
        <v>23.955451987488544</v>
      </c>
      <c r="O173" s="762">
        <f>+O120/O125*100</f>
        <v>25.008244476200943</v>
      </c>
      <c r="P173" s="129">
        <f>+P120/P125*100</f>
        <v>23.999995112884385</v>
      </c>
      <c r="Q173" s="52">
        <f t="shared" ref="Q173" si="934">+Q120/Q125*100</f>
        <v>25.008244476200947</v>
      </c>
      <c r="R173" s="103">
        <f t="shared" ref="R173" si="935">+R120/R125*100</f>
        <v>23.966883902963129</v>
      </c>
      <c r="S173" s="762">
        <f>+S120/S125*100</f>
        <v>25.008244476200943</v>
      </c>
      <c r="T173" s="129">
        <f>+T120/T125*100</f>
        <v>23.999999811110804</v>
      </c>
      <c r="U173" s="52">
        <f t="shared" ref="U173:V173" si="936">+U120/U125*100</f>
        <v>25.008244476200943</v>
      </c>
      <c r="V173" s="103">
        <f t="shared" si="936"/>
        <v>23.973620911995685</v>
      </c>
      <c r="W173" s="762">
        <f>+W120/W125*100</f>
        <v>25.008244476200943</v>
      </c>
      <c r="X173" s="129">
        <f>+X120/X125*100</f>
        <v>23.999999610619231</v>
      </c>
      <c r="Y173" s="348">
        <f t="shared" ref="Y173:AF173" si="937">+Y120/Y125*100</f>
        <v>25.008244476200943</v>
      </c>
      <c r="Z173" s="348">
        <f t="shared" si="937"/>
        <v>23.999998158798082</v>
      </c>
      <c r="AA173" s="461">
        <f t="shared" si="937"/>
        <v>25.008244476200943</v>
      </c>
      <c r="AB173" s="469">
        <f t="shared" si="937"/>
        <v>23.977969178004763</v>
      </c>
      <c r="AC173" s="762">
        <f>+AC120/AC125*100</f>
        <v>25.008244476200943</v>
      </c>
      <c r="AD173" s="129">
        <f>+AD120/AD125*100</f>
        <v>24.122137404580158</v>
      </c>
      <c r="AE173" s="52">
        <f t="shared" si="937"/>
        <v>25.008244476200943</v>
      </c>
      <c r="AF173" s="103">
        <f t="shared" si="937"/>
        <v>23.998665711963813</v>
      </c>
      <c r="AG173" s="762">
        <f>+AG120/AG125*100</f>
        <v>25.008244476200947</v>
      </c>
      <c r="AH173" s="129">
        <f>+AH120/AH125*100</f>
        <v>24</v>
      </c>
      <c r="AI173" s="52">
        <f t="shared" ref="AI173:AN173" si="938">+AI120/AI125*100</f>
        <v>25.008244476200943</v>
      </c>
      <c r="AJ173" s="103">
        <f t="shared" si="938"/>
        <v>23.998830631476583</v>
      </c>
      <c r="AK173" s="762">
        <f>+AK120/AK125*100</f>
        <v>25.008244476200943</v>
      </c>
      <c r="AL173" s="129">
        <f>+AL120/AL125*100</f>
        <v>24</v>
      </c>
      <c r="AM173" s="348">
        <f t="shared" si="938"/>
        <v>25.008244476200943</v>
      </c>
      <c r="AN173" s="348">
        <f t="shared" si="938"/>
        <v>24.040734869864096</v>
      </c>
      <c r="AO173" s="52">
        <f t="shared" ref="AO173:AT173" si="939">+AO120/AO125*100</f>
        <v>25.008244476200947</v>
      </c>
      <c r="AP173" s="103">
        <f t="shared" si="939"/>
        <v>23.998963160157857</v>
      </c>
      <c r="AQ173" s="762">
        <f>+AQ120/AQ125*100</f>
        <v>25.008244476200943</v>
      </c>
      <c r="AR173" s="129">
        <f>+AR120/AR125*100</f>
        <v>24.999999762332067</v>
      </c>
      <c r="AS173" s="52">
        <f t="shared" si="939"/>
        <v>25.008244476200943</v>
      </c>
      <c r="AT173" s="103">
        <f t="shared" si="939"/>
        <v>24.100056329154715</v>
      </c>
      <c r="AU173" s="762">
        <f>+AU120/AU125*100</f>
        <v>25.008244476200947</v>
      </c>
      <c r="AV173" s="129">
        <f>+AV120/AV125*100</f>
        <v>25.000000262690165</v>
      </c>
      <c r="AW173" s="52">
        <f t="shared" ref="AW173:AX173" si="940">+AW120/AW125*100</f>
        <v>25.008244476200943</v>
      </c>
      <c r="AX173" s="103">
        <f t="shared" si="940"/>
        <v>24.175399255918691</v>
      </c>
      <c r="AY173" s="762">
        <f>+AY120/AY125*100</f>
        <v>25.008244476200943</v>
      </c>
      <c r="AZ173" s="129">
        <f>+AZ120/AZ125*100</f>
        <v>24.999999528548862</v>
      </c>
      <c r="BA173" s="348">
        <f t="shared" ref="BA173:BF173" si="941">+BA120/BA125*100</f>
        <v>25.008244476200947</v>
      </c>
      <c r="BB173" s="348">
        <f t="shared" si="941"/>
        <v>24.999999836821786</v>
      </c>
      <c r="BC173" s="461">
        <f t="shared" si="941"/>
        <v>25.008244476200947</v>
      </c>
      <c r="BD173" s="469">
        <f t="shared" si="941"/>
        <v>24.515106512582648</v>
      </c>
      <c r="BE173" s="52">
        <f t="shared" si="941"/>
        <v>25.008244476200947</v>
      </c>
      <c r="BF173" s="103">
        <f t="shared" si="941"/>
        <v>24.245766375654974</v>
      </c>
      <c r="BG173" s="1202"/>
      <c r="BH173" s="1202"/>
      <c r="BI173" s="1202"/>
      <c r="BJ173" s="1202"/>
      <c r="BK173" s="1202"/>
      <c r="BL173" s="26"/>
      <c r="BM173" s="26"/>
      <c r="BN173" s="26"/>
    </row>
    <row r="174" spans="1:66" ht="15" thickBot="1" x14ac:dyDescent="0.35">
      <c r="A174" s="145"/>
      <c r="B174" s="1819" t="s">
        <v>12</v>
      </c>
      <c r="C174" s="1373" t="s">
        <v>49</v>
      </c>
      <c r="D174" s="535">
        <f t="shared" ref="D174:J174" si="942">SUM(D172:D173)</f>
        <v>97.031988567659653</v>
      </c>
      <c r="E174" s="1357">
        <f t="shared" si="942"/>
        <v>97.031988567659667</v>
      </c>
      <c r="F174" s="533">
        <f t="shared" si="942"/>
        <v>94.592173017507719</v>
      </c>
      <c r="G174" s="1357">
        <f t="shared" ref="G174:H174" si="943">SUM(G172:G173)</f>
        <v>97.031988567659667</v>
      </c>
      <c r="H174" s="533">
        <f t="shared" si="943"/>
        <v>94.99999761388338</v>
      </c>
      <c r="I174" s="1358">
        <f t="shared" si="942"/>
        <v>97.031988567659667</v>
      </c>
      <c r="J174" s="534">
        <f t="shared" si="942"/>
        <v>94.799830302761691</v>
      </c>
      <c r="K174" s="1357">
        <f t="shared" ref="K174:L174" si="944">SUM(K172:K173)</f>
        <v>97.031988567659667</v>
      </c>
      <c r="L174" s="533">
        <f t="shared" si="944"/>
        <v>94.999999511791174</v>
      </c>
      <c r="M174" s="1359">
        <f t="shared" ref="M174" si="945">SUM(M172:M173)</f>
        <v>97.031988567659667</v>
      </c>
      <c r="N174" s="536">
        <f t="shared" ref="N174:P174" si="946">SUM(N172:N173)</f>
        <v>94.866350705825596</v>
      </c>
      <c r="O174" s="1357">
        <f t="shared" si="946"/>
        <v>97.031988567659667</v>
      </c>
      <c r="P174" s="533">
        <f t="shared" si="946"/>
        <v>95.000001409744897</v>
      </c>
      <c r="Q174" s="1358">
        <f t="shared" ref="Q174" si="947">SUM(Q172:Q173)</f>
        <v>97.031988567659667</v>
      </c>
      <c r="R174" s="534">
        <f t="shared" ref="R174:U174" si="948">SUM(R172:R173)</f>
        <v>94.900651925974543</v>
      </c>
      <c r="S174" s="1357">
        <f t="shared" si="948"/>
        <v>97.031988567659667</v>
      </c>
      <c r="T174" s="533">
        <f t="shared" si="948"/>
        <v>95</v>
      </c>
      <c r="U174" s="1358">
        <f t="shared" si="948"/>
        <v>97.031988567659667</v>
      </c>
      <c r="V174" s="534">
        <f t="shared" ref="V174:X174" si="949">SUM(V172:V173)</f>
        <v>94.920863024190282</v>
      </c>
      <c r="W174" s="1357">
        <f t="shared" si="949"/>
        <v>97.031988567659667</v>
      </c>
      <c r="X174" s="533">
        <f t="shared" si="949"/>
        <v>94.999999513274034</v>
      </c>
      <c r="Y174" s="615">
        <f t="shared" ref="Y174:AF174" si="950">SUM(Y172:Y173)</f>
        <v>97.031988567659667</v>
      </c>
      <c r="Z174" s="615">
        <f t="shared" si="950"/>
        <v>95.000000317448595</v>
      </c>
      <c r="AA174" s="461">
        <f t="shared" si="950"/>
        <v>97.031988567659667</v>
      </c>
      <c r="AB174" s="2249">
        <f t="shared" si="950"/>
        <v>94.933907887034792</v>
      </c>
      <c r="AC174" s="1357">
        <f t="shared" si="950"/>
        <v>97.031988567659667</v>
      </c>
      <c r="AD174" s="533">
        <f t="shared" si="950"/>
        <v>94.999999521351143</v>
      </c>
      <c r="AE174" s="1358">
        <f t="shared" si="950"/>
        <v>97.031988567659667</v>
      </c>
      <c r="AF174" s="534">
        <f t="shared" si="950"/>
        <v>94.943395884400999</v>
      </c>
      <c r="AG174" s="1357">
        <f t="shared" ref="AG174:AH174" si="951">SUM(AG172:AG173)</f>
        <v>97.031988567659667</v>
      </c>
      <c r="AH174" s="533">
        <f t="shared" si="951"/>
        <v>95</v>
      </c>
      <c r="AI174" s="1358">
        <f t="shared" ref="AI174:AN174" si="952">SUM(AI172:AI173)</f>
        <v>97.031988567659667</v>
      </c>
      <c r="AJ174" s="534">
        <f t="shared" si="952"/>
        <v>94.950392217211117</v>
      </c>
      <c r="AK174" s="1357">
        <f t="shared" si="952"/>
        <v>97.031988567659667</v>
      </c>
      <c r="AL174" s="533">
        <f t="shared" si="952"/>
        <v>95</v>
      </c>
      <c r="AM174" s="615">
        <f t="shared" si="952"/>
        <v>97.031988567659667</v>
      </c>
      <c r="AN174" s="615">
        <f t="shared" si="952"/>
        <v>94.999999840362591</v>
      </c>
      <c r="AO174" s="1358">
        <f t="shared" ref="AO174:AT174" si="953">SUM(AO172:AO173)</f>
        <v>97.031988567659667</v>
      </c>
      <c r="AP174" s="534">
        <f t="shared" si="953"/>
        <v>94.956014443140901</v>
      </c>
      <c r="AQ174" s="1357">
        <f t="shared" si="953"/>
        <v>97.031988567659667</v>
      </c>
      <c r="AR174" s="533">
        <f t="shared" si="953"/>
        <v>95.000000047533575</v>
      </c>
      <c r="AS174" s="1358">
        <f t="shared" si="953"/>
        <v>97.031988567659667</v>
      </c>
      <c r="AT174" s="534">
        <f t="shared" si="953"/>
        <v>94.960456482651381</v>
      </c>
      <c r="AU174" s="1357">
        <f t="shared" ref="AU174:AV174" si="954">SUM(AU172:AU173)</f>
        <v>97.031988567659667</v>
      </c>
      <c r="AV174" s="533">
        <f t="shared" si="954"/>
        <v>94.999999527157698</v>
      </c>
      <c r="AW174" s="1358">
        <f t="shared" ref="AW174:AZ174" si="955">SUM(AW172:AW173)</f>
        <v>97.031988567659653</v>
      </c>
      <c r="AX174" s="534">
        <f t="shared" si="955"/>
        <v>94.963767009668928</v>
      </c>
      <c r="AY174" s="1357">
        <f t="shared" si="955"/>
        <v>97.031988567659667</v>
      </c>
      <c r="AZ174" s="533">
        <f t="shared" si="955"/>
        <v>94.999999528548869</v>
      </c>
      <c r="BA174" s="615">
        <f t="shared" ref="BA174:BF174" si="956">SUM(BA172:BA173)</f>
        <v>97.031988567659667</v>
      </c>
      <c r="BB174" s="615">
        <f t="shared" si="956"/>
        <v>94.999999706279226</v>
      </c>
      <c r="BC174" s="461">
        <f t="shared" si="956"/>
        <v>97.031988567659681</v>
      </c>
      <c r="BD174" s="2249">
        <f t="shared" si="956"/>
        <v>94.999999774056249</v>
      </c>
      <c r="BE174" s="1358">
        <f t="shared" si="956"/>
        <v>97.031988567659653</v>
      </c>
      <c r="BF174" s="534">
        <f t="shared" si="956"/>
        <v>94.966858905317054</v>
      </c>
      <c r="BG174" s="1202"/>
      <c r="BH174" s="1202"/>
      <c r="BI174" s="1202"/>
      <c r="BJ174" s="1202"/>
      <c r="BK174" s="1202"/>
      <c r="BL174" s="26"/>
      <c r="BM174" s="26"/>
      <c r="BN174" s="26"/>
    </row>
    <row r="175" spans="1:66" ht="15" thickBot="1" x14ac:dyDescent="0.35">
      <c r="B175" s="1820" t="s">
        <v>2349</v>
      </c>
      <c r="C175" s="1392" t="s">
        <v>49</v>
      </c>
      <c r="D175" s="1781">
        <f>+((+D122+D123+D124)/D125)*100</f>
        <v>2.9680114323403322</v>
      </c>
      <c r="E175" s="1782">
        <f>+((+E122+E123+E124)/E125)*100</f>
        <v>2.9680114323403366</v>
      </c>
      <c r="F175" s="1783">
        <f>+((+F122+F123+F124)/F125)*100</f>
        <v>5.4078269824922778</v>
      </c>
      <c r="G175" s="1782">
        <f>+((+G122+G123+G124)/G125)*100</f>
        <v>2.9680114323403313</v>
      </c>
      <c r="H175" s="1783">
        <f>+((+H122+H123+H124)/H125)*100</f>
        <v>5.0000023861166181</v>
      </c>
      <c r="I175" s="588">
        <f t="shared" ref="I175:N175" si="957">+((+I122+I123+I124)/I125)*100</f>
        <v>2.9680114323403339</v>
      </c>
      <c r="J175" s="588">
        <f t="shared" si="957"/>
        <v>5.2001696972383176</v>
      </c>
      <c r="K175" s="1782">
        <f>+((+K122+K123+K124)/K125)*100</f>
        <v>2.9680114323403366</v>
      </c>
      <c r="L175" s="1783">
        <f>+((+L122+L123+L124)/L125)*100</f>
        <v>5.0000004882088298</v>
      </c>
      <c r="M175" s="1784">
        <f t="shared" ref="M175" si="958">+((+M122+M123+M124)/M125)*100</f>
        <v>2.9680114323403344</v>
      </c>
      <c r="N175" s="174">
        <f t="shared" si="957"/>
        <v>5.1336492941743934</v>
      </c>
      <c r="O175" s="1782">
        <f>+((+O122+O123+O124)/O125)*100</f>
        <v>2.9680114323403313</v>
      </c>
      <c r="P175" s="1783">
        <f>+((+P122+P123+P124)/P125)*100</f>
        <v>4.9999985902551103</v>
      </c>
      <c r="Q175" s="588">
        <f t="shared" ref="Q175" si="959">+((+Q122+Q123+Q124)/Q125)*100</f>
        <v>2.9680114323403339</v>
      </c>
      <c r="R175" s="588">
        <f t="shared" ref="R175" si="960">+((+R122+R123+R124)/R125)*100</f>
        <v>5.0993480740254542</v>
      </c>
      <c r="S175" s="1782">
        <f>+((+S122+S123+S124)/S125)*100</f>
        <v>2.9680114323403313</v>
      </c>
      <c r="T175" s="1783">
        <f>+((+T122+T123+T124)/T125)*100</f>
        <v>5</v>
      </c>
      <c r="U175" s="588">
        <f t="shared" ref="U175:V175" si="961">+((+U122+U123+U124)/U125)*100</f>
        <v>2.9680114323403335</v>
      </c>
      <c r="V175" s="588">
        <f t="shared" si="961"/>
        <v>5.0791369758097202</v>
      </c>
      <c r="W175" s="1782">
        <f>+((+W122+W123+W124)/W125)*100</f>
        <v>2.9680114323403335</v>
      </c>
      <c r="X175" s="1783">
        <f>+((+X122+X123+X124)/X125)*100</f>
        <v>5.0000004867259609</v>
      </c>
      <c r="Y175" s="348">
        <f t="shared" ref="Y175:AF175" si="962">+((+Y122+Y123+Y124)/Y125)*100</f>
        <v>2.9680114323403317</v>
      </c>
      <c r="Z175" s="348">
        <f t="shared" si="962"/>
        <v>4.999999682551393</v>
      </c>
      <c r="AA175" s="461">
        <f t="shared" si="962"/>
        <v>2.968011432340333</v>
      </c>
      <c r="AB175" s="469">
        <f t="shared" si="962"/>
        <v>5.0660921129652126</v>
      </c>
      <c r="AC175" s="1782">
        <f>+((+AC122+AC123+AC124)/AC125)*100</f>
        <v>2.9680114323403313</v>
      </c>
      <c r="AD175" s="1783">
        <f>+((+AD122+AD123+AD124)/AD125)*100</f>
        <v>5.0000004786488628</v>
      </c>
      <c r="AE175" s="588">
        <f t="shared" si="962"/>
        <v>2.9680114323403326</v>
      </c>
      <c r="AF175" s="128">
        <f t="shared" si="962"/>
        <v>5.0566041155990114</v>
      </c>
      <c r="AG175" s="1782">
        <f>+((+AG122+AG123+AG124)/AG125)*100</f>
        <v>2.9680114323403366</v>
      </c>
      <c r="AH175" s="1783">
        <f>+((+AH122+AH123+AH124)/AH125)*100</f>
        <v>5</v>
      </c>
      <c r="AI175" s="588">
        <f t="shared" ref="AI175:AN175" si="963">+((+AI122+AI123+AI124)/AI125)*100</f>
        <v>2.968011432340333</v>
      </c>
      <c r="AJ175" s="128">
        <f t="shared" si="963"/>
        <v>5.0496077827888755</v>
      </c>
      <c r="AK175" s="1782">
        <f>+((+AK122+AK123+AK124)/AK125)*100</f>
        <v>2.9680114323403313</v>
      </c>
      <c r="AL175" s="1783">
        <f>+((+AL122+AL123+AL124)/AL125)*100</f>
        <v>5.0000000000000027</v>
      </c>
      <c r="AM175" s="348">
        <f t="shared" si="963"/>
        <v>2.9680114323403326</v>
      </c>
      <c r="AN175" s="348">
        <f t="shared" si="963"/>
        <v>5.0000001596374135</v>
      </c>
      <c r="AO175" s="588">
        <f t="shared" ref="AO175:AT175" si="964">+((+AO122+AO123+AO124)/AO125)*100</f>
        <v>2.9680114323403335</v>
      </c>
      <c r="AP175" s="128">
        <f t="shared" si="964"/>
        <v>5.043985556859103</v>
      </c>
      <c r="AQ175" s="1782">
        <f>+((+AQ122+AQ123+AQ124)/AQ125)*100</f>
        <v>2.9680114323403313</v>
      </c>
      <c r="AR175" s="1783">
        <f>+((+AR122+AR123+AR124)/AR125)*100</f>
        <v>4.999999952466414</v>
      </c>
      <c r="AS175" s="588">
        <f t="shared" si="964"/>
        <v>2.968011432340333</v>
      </c>
      <c r="AT175" s="128">
        <f t="shared" si="964"/>
        <v>5.0395435173486183</v>
      </c>
      <c r="AU175" s="1782">
        <f>+((+AU122+AU123+AU124)/AU125)*100</f>
        <v>2.9680114323403317</v>
      </c>
      <c r="AV175" s="1783">
        <f>+((+AV122+AV123+AV124)/AV125)*100</f>
        <v>5.0000004728422969</v>
      </c>
      <c r="AW175" s="588">
        <f t="shared" ref="AW175:AX175" si="965">+((+AW122+AW123+AW124)/AW125)*100</f>
        <v>2.9680114323403326</v>
      </c>
      <c r="AX175" s="128">
        <f t="shared" si="965"/>
        <v>5.036232990331051</v>
      </c>
      <c r="AY175" s="1782">
        <f>+((+AY122+AY123+AY124)/AY125)*100</f>
        <v>2.9680114323403317</v>
      </c>
      <c r="AZ175" s="1783">
        <f>+((+AZ122+AZ123+AZ124)/AZ125)*100</f>
        <v>5.000000471451135</v>
      </c>
      <c r="BA175" s="348">
        <f t="shared" ref="BA175:BF175" si="966">+((+BA122+BA123+BA124)/BA125)*100</f>
        <v>2.9680114323403317</v>
      </c>
      <c r="BB175" s="348">
        <f t="shared" si="966"/>
        <v>5.0000002937207775</v>
      </c>
      <c r="BC175" s="461">
        <f t="shared" si="966"/>
        <v>2.9680114323403326</v>
      </c>
      <c r="BD175" s="469">
        <f t="shared" si="966"/>
        <v>5.000000225943749</v>
      </c>
      <c r="BE175" s="588">
        <f t="shared" si="966"/>
        <v>2.968011432340333</v>
      </c>
      <c r="BF175" s="128">
        <f t="shared" si="966"/>
        <v>5.0331410946829482</v>
      </c>
      <c r="BG175" s="1202"/>
      <c r="BH175" s="1202"/>
      <c r="BI175" s="1202"/>
      <c r="BJ175" s="1202"/>
      <c r="BK175" s="1202"/>
      <c r="BL175" s="26"/>
      <c r="BM175" s="26"/>
      <c r="BN175" s="26"/>
    </row>
    <row r="176" spans="1:66" ht="18" x14ac:dyDescent="0.3">
      <c r="B176" s="1841" t="s">
        <v>193</v>
      </c>
      <c r="C176" s="1808"/>
      <c r="D176" s="1827"/>
      <c r="E176" s="1828"/>
      <c r="F176" s="1829"/>
      <c r="G176" s="1828"/>
      <c r="H176" s="1829"/>
      <c r="I176" s="1355"/>
      <c r="J176" s="1827"/>
      <c r="K176" s="1828"/>
      <c r="L176" s="1829"/>
      <c r="M176" s="1828"/>
      <c r="N176" s="1829"/>
      <c r="O176" s="1828"/>
      <c r="P176" s="1829"/>
      <c r="Q176" s="1355"/>
      <c r="R176" s="1827"/>
      <c r="S176" s="1828"/>
      <c r="T176" s="1829"/>
      <c r="U176" s="1355"/>
      <c r="V176" s="1827"/>
      <c r="W176" s="1828"/>
      <c r="X176" s="1829"/>
      <c r="Y176" s="1352"/>
      <c r="Z176" s="1352"/>
      <c r="AA176" s="2319"/>
      <c r="AB176" s="1354"/>
      <c r="AC176" s="1828"/>
      <c r="AD176" s="1829"/>
      <c r="AE176" s="1355"/>
      <c r="AF176" s="1829"/>
      <c r="AG176" s="1828"/>
      <c r="AH176" s="1829"/>
      <c r="AI176" s="1355"/>
      <c r="AJ176" s="1829"/>
      <c r="AK176" s="1828"/>
      <c r="AL176" s="1829"/>
      <c r="AM176" s="1352"/>
      <c r="AN176" s="1352"/>
      <c r="AO176" s="1355"/>
      <c r="AP176" s="1829"/>
      <c r="AQ176" s="1828"/>
      <c r="AR176" s="1829"/>
      <c r="AS176" s="1355"/>
      <c r="AT176" s="1829"/>
      <c r="AU176" s="1828"/>
      <c r="AV176" s="1829"/>
      <c r="AW176" s="1355"/>
      <c r="AX176" s="1829"/>
      <c r="AY176" s="1828"/>
      <c r="AZ176" s="1829"/>
      <c r="BA176" s="1352"/>
      <c r="BB176" s="1352"/>
      <c r="BC176" s="2319"/>
      <c r="BD176" s="1354"/>
      <c r="BE176" s="1355"/>
      <c r="BF176" s="1829"/>
      <c r="BG176" s="1202"/>
      <c r="BH176" s="1202"/>
      <c r="BI176" s="1202"/>
      <c r="BJ176" s="1202"/>
      <c r="BK176" s="1202"/>
      <c r="BL176" s="26"/>
      <c r="BM176" s="26"/>
      <c r="BN176" s="26"/>
    </row>
    <row r="177" spans="1:66" x14ac:dyDescent="0.3">
      <c r="B177" s="1789" t="s">
        <v>199</v>
      </c>
      <c r="C177" s="1372" t="s">
        <v>49</v>
      </c>
      <c r="D177" s="104">
        <v>9.6999999999999993</v>
      </c>
      <c r="E177" s="762">
        <f>+$D$177</f>
        <v>9.6999999999999993</v>
      </c>
      <c r="F177" s="131">
        <v>8.9</v>
      </c>
      <c r="G177" s="762">
        <f>+$D$177</f>
        <v>9.6999999999999993</v>
      </c>
      <c r="H177" s="131">
        <v>8.82</v>
      </c>
      <c r="I177" s="52">
        <f>+$D$177</f>
        <v>9.6999999999999993</v>
      </c>
      <c r="J177" s="105">
        <f>+((F177*F$125)+(H$125*H177))/J$125</f>
        <v>8.8592653729864459</v>
      </c>
      <c r="K177" s="762">
        <f>+$D$177</f>
        <v>9.6999999999999993</v>
      </c>
      <c r="L177" s="131">
        <v>9.1999999999999993</v>
      </c>
      <c r="M177" s="76">
        <f>+$D$177</f>
        <v>9.6999999999999993</v>
      </c>
      <c r="N177" s="111">
        <f>+((F177*F$125)+(H177*H$125)+(L$125*L177))/N$125</f>
        <v>8.972498596201298</v>
      </c>
      <c r="O177" s="762">
        <f>+$D$177</f>
        <v>9.6999999999999993</v>
      </c>
      <c r="P177" s="131">
        <v>11.1</v>
      </c>
      <c r="Q177" s="52">
        <f>+$D$177</f>
        <v>9.6999999999999993</v>
      </c>
      <c r="R177" s="105">
        <f>+((N177*N$125)+(P$125*P177))/R$125</f>
        <v>9.5185181223158004</v>
      </c>
      <c r="S177" s="762">
        <f>+$D$177</f>
        <v>9.6999999999999993</v>
      </c>
      <c r="T177" s="131">
        <v>10.9</v>
      </c>
      <c r="U177" s="52">
        <f>+$D$177</f>
        <v>9.6999999999999993</v>
      </c>
      <c r="V177" s="105">
        <f>+((R177*R$125)+(T$125*T177))/V$125</f>
        <v>9.7995629859130489</v>
      </c>
      <c r="W177" s="762">
        <f>+$D$177</f>
        <v>9.6999999999999993</v>
      </c>
      <c r="X177" s="131">
        <v>10.8</v>
      </c>
      <c r="Y177" s="76">
        <f>+$D$177</f>
        <v>9.6999999999999993</v>
      </c>
      <c r="Z177" s="111">
        <f>+((P177*P$125)+(T177*T$125)+(X$125*X177))/Z$125</f>
        <v>10.934943869689635</v>
      </c>
      <c r="AA177" s="662">
        <f>+$D$177</f>
        <v>9.6999999999999993</v>
      </c>
      <c r="AB177" s="469">
        <f>+((N177*N$125)+(Z$125*Z177))/AB$125</f>
        <v>9.9644750736797914</v>
      </c>
      <c r="AC177" s="762">
        <f>+$D$177</f>
        <v>9.6999999999999993</v>
      </c>
      <c r="AD177" s="131">
        <v>10.4</v>
      </c>
      <c r="AE177" s="52">
        <f>+$D$177</f>
        <v>9.6999999999999993</v>
      </c>
      <c r="AF177" s="105">
        <f>+((AB177*AB$125)+(AD$125*AD177))/AF$125</f>
        <v>10.026998256781336</v>
      </c>
      <c r="AG177" s="762">
        <f>+$D$177</f>
        <v>9.6999999999999993</v>
      </c>
      <c r="AH177" s="131">
        <v>9.6999999999999993</v>
      </c>
      <c r="AI177" s="52">
        <f>+$D$177</f>
        <v>9.6999999999999993</v>
      </c>
      <c r="AJ177" s="105">
        <f>+((AF177*AF$125)+(AH$125*AH177))/AJ$125</f>
        <v>9.986580901814019</v>
      </c>
      <c r="AK177" s="762">
        <f>+$D$177</f>
        <v>9.6999999999999993</v>
      </c>
      <c r="AL177" s="131">
        <v>8.9</v>
      </c>
      <c r="AM177" s="76">
        <f>+$D$177</f>
        <v>9.6999999999999993</v>
      </c>
      <c r="AN177" s="111">
        <f>+((AD177*AD$125)+(AH177*AH$125)+(AL$125*AL177))/AN$125</f>
        <v>9.662395152687397</v>
      </c>
      <c r="AO177" s="52">
        <f>+$D$177</f>
        <v>9.6999999999999993</v>
      </c>
      <c r="AP177" s="105">
        <f>+((AL177*AL$125)+(AJ$125*AJ177))/AP$125</f>
        <v>9.8634348352588397</v>
      </c>
      <c r="AQ177" s="762">
        <f>+$D$177</f>
        <v>9.6999999999999993</v>
      </c>
      <c r="AR177" s="131">
        <v>9</v>
      </c>
      <c r="AS177" s="52">
        <f>+$D$177</f>
        <v>9.6999999999999993</v>
      </c>
      <c r="AT177" s="105">
        <f>+((AP177*AP$125)+(AR$125*AR177))/AT$125</f>
        <v>9.7762378601142643</v>
      </c>
      <c r="AU177" s="762">
        <f>+$D$177</f>
        <v>9.6999999999999993</v>
      </c>
      <c r="AV177" s="131">
        <v>8.9</v>
      </c>
      <c r="AW177" s="52">
        <f>+$D$177</f>
        <v>9.6999999999999993</v>
      </c>
      <c r="AX177" s="105">
        <f>+((AT177*AT$125)+(AV$125*AV177))/AX$125</f>
        <v>9.7028795958243315</v>
      </c>
      <c r="AY177" s="762">
        <f>+$D$177</f>
        <v>9.6999999999999993</v>
      </c>
      <c r="AZ177" s="131">
        <v>8.6999999999999993</v>
      </c>
      <c r="BA177" s="76">
        <f>+$D$177</f>
        <v>9.6999999999999993</v>
      </c>
      <c r="BB177" s="111">
        <f>+((AR177*AR$125)+(AV177*AV$125)+(AZ$125*AZ177))/BB$125</f>
        <v>8.8651052279811395</v>
      </c>
      <c r="BC177" s="662">
        <f>+$D$177</f>
        <v>9.6999999999999993</v>
      </c>
      <c r="BD177" s="469">
        <f>+((AN177*AN$125)+(BB$125*BB177))/BD$125</f>
        <v>9.2681227208426726</v>
      </c>
      <c r="BE177" s="52">
        <f>+$D$177</f>
        <v>9.6999999999999993</v>
      </c>
      <c r="BF177" s="105">
        <f>+((AX177*AX$125)+(AZ$125*AZ177))/BF$125</f>
        <v>9.6172990412904991</v>
      </c>
      <c r="BG177" s="1202"/>
      <c r="BH177" s="1202"/>
      <c r="BI177" s="1202"/>
      <c r="BJ177" s="1202"/>
      <c r="BK177" s="1202"/>
      <c r="BL177" s="26"/>
      <c r="BM177" s="26"/>
      <c r="BN177" s="26"/>
    </row>
    <row r="178" spans="1:66" x14ac:dyDescent="0.3">
      <c r="A178" s="145"/>
      <c r="B178" s="6645" t="s">
        <v>200</v>
      </c>
      <c r="C178" s="1372" t="s">
        <v>49</v>
      </c>
      <c r="D178" s="104" t="s">
        <v>1980</v>
      </c>
      <c r="E178" s="762" t="str">
        <f>+$D$178</f>
        <v>10.0-10.2</v>
      </c>
      <c r="F178" s="131">
        <v>10.14</v>
      </c>
      <c r="G178" s="762" t="str">
        <f>+$D$178</f>
        <v>10.0-10.2</v>
      </c>
      <c r="H178" s="131">
        <v>10.25</v>
      </c>
      <c r="I178" s="52" t="str">
        <f>+$D$178</f>
        <v>10.0-10.2</v>
      </c>
      <c r="J178" s="105">
        <f>+((F178*F$125)+(H$125*H178))/J$125</f>
        <v>10.196010112143645</v>
      </c>
      <c r="K178" s="762" t="str">
        <f>+$D$178</f>
        <v>10.0-10.2</v>
      </c>
      <c r="L178" s="131">
        <v>10.199999999999999</v>
      </c>
      <c r="M178" s="76" t="str">
        <f>+$D$178</f>
        <v>10.0-10.2</v>
      </c>
      <c r="N178" s="111">
        <f>+((F178*F$125)+(H178*H$125)+(L$125*L178))/N$125</f>
        <v>10.197336035094885</v>
      </c>
      <c r="O178" s="762" t="str">
        <f>+$D$178</f>
        <v>10.0-10.2</v>
      </c>
      <c r="P178" s="131">
        <v>10.5</v>
      </c>
      <c r="Q178" s="52" t="str">
        <f>+$D$178</f>
        <v>10.0-10.2</v>
      </c>
      <c r="R178" s="105">
        <f>+((N178*N$125)+(P$125*P178))/R$125</f>
        <v>10.275014214011406</v>
      </c>
      <c r="S178" s="762" t="str">
        <f>+$D$178</f>
        <v>10.0-10.2</v>
      </c>
      <c r="T178" s="131">
        <v>10.1</v>
      </c>
      <c r="U178" s="52" t="str">
        <f>+$D$178</f>
        <v>10.0-10.2</v>
      </c>
      <c r="V178" s="105">
        <f>+((R178*R$125)+(T$125*T178))/V$125</f>
        <v>10.239409804935216</v>
      </c>
      <c r="W178" s="762" t="str">
        <f>+$D$178</f>
        <v>10.0-10.2</v>
      </c>
      <c r="X178" s="131">
        <v>10.1</v>
      </c>
      <c r="Y178" s="76" t="str">
        <f>+$D$178</f>
        <v>10.0-10.2</v>
      </c>
      <c r="Z178" s="111">
        <f>+((P178*P$125)+(T178*T$125)+(X$125*X178))/Z$125</f>
        <v>10.235108958837774</v>
      </c>
      <c r="AA178" s="662" t="str">
        <f>+$D$178</f>
        <v>10.0-10.2</v>
      </c>
      <c r="AB178" s="469">
        <f>+((N178*N$125)+(Z$125*Z178))/AB$125</f>
        <v>10.216429485671435</v>
      </c>
      <c r="AC178" s="762" t="str">
        <f>+$D$178</f>
        <v>10.0-10.2</v>
      </c>
      <c r="AD178" s="131">
        <v>10.1</v>
      </c>
      <c r="AE178" s="52" t="str">
        <f>+$D$178</f>
        <v>10.0-10.2</v>
      </c>
      <c r="AF178" s="105">
        <f>+((AB178*AB$125)+(AD$125*AD178))/AF$125</f>
        <v>10.199715075976085</v>
      </c>
      <c r="AG178" s="762" t="str">
        <f>+$D$178</f>
        <v>10.0-10.2</v>
      </c>
      <c r="AH178" s="131">
        <v>10.1</v>
      </c>
      <c r="AI178" s="52" t="str">
        <f>+$D$178</f>
        <v>10.0-10.2</v>
      </c>
      <c r="AJ178" s="105">
        <f>+((AF178*AF$125)+(AH$125*AH178))/AJ$125</f>
        <v>10.18739017962652</v>
      </c>
      <c r="AK178" s="762" t="str">
        <f>+$D$178</f>
        <v>10.0-10.2</v>
      </c>
      <c r="AL178" s="131">
        <v>10.5</v>
      </c>
      <c r="AM178" s="76" t="str">
        <f>+$D$178</f>
        <v>10.0-10.2</v>
      </c>
      <c r="AN178" s="111">
        <f>+((AD178*AD$125)+(AH178*AH$125)+(AL$125*AL178))/AN$125</f>
        <v>10.235533285110602</v>
      </c>
      <c r="AO178" s="52" t="str">
        <f>+$D$178</f>
        <v>10.0-10.2</v>
      </c>
      <c r="AP178" s="105">
        <f>+((AL178*AL$125)+(AJ$125*AJ178))/AP$125</f>
        <v>10.22281935906566</v>
      </c>
      <c r="AQ178" s="762" t="str">
        <f>+$D$178</f>
        <v>10.0-10.2</v>
      </c>
      <c r="AR178" s="131">
        <v>10.6</v>
      </c>
      <c r="AS178" s="52" t="str">
        <f>+$D$178</f>
        <v>10.0-10.2</v>
      </c>
      <c r="AT178" s="105">
        <f>+((AP178*AP$125)+(AR$125*AR178))/AT$125</f>
        <v>10.260910260231013</v>
      </c>
      <c r="AU178" s="762" t="str">
        <f>+$D$178</f>
        <v>10.0-10.2</v>
      </c>
      <c r="AV178" s="131">
        <v>10.6</v>
      </c>
      <c r="AW178" s="52" t="str">
        <f>+$D$178</f>
        <v>10.0-10.2</v>
      </c>
      <c r="AX178" s="105">
        <f>+((AT178*AT$125)+(AV$125*AV178))/AX$125</f>
        <v>10.289298710308636</v>
      </c>
      <c r="AY178" s="762" t="str">
        <f>+$D$178</f>
        <v>10.0-10.2</v>
      </c>
      <c r="AZ178" s="131">
        <v>10.5</v>
      </c>
      <c r="BA178" s="76" t="str">
        <f>+$D$178</f>
        <v>10.0-10.2</v>
      </c>
      <c r="BB178" s="111">
        <f>+((AR178*AR$125)+(AV178*AV$125)+(AZ$125*AZ178))/BB$125</f>
        <v>10.565388097080406</v>
      </c>
      <c r="BC178" s="662" t="str">
        <f>+$D$178</f>
        <v>10.0-10.2</v>
      </c>
      <c r="BD178" s="469">
        <f>+((AN178*AN$125)+(BB$125*BB178))/BD$125</f>
        <v>10.398651687640188</v>
      </c>
      <c r="BE178" s="52" t="str">
        <f>+$D$178</f>
        <v>10.0-10.2</v>
      </c>
      <c r="BF178" s="105">
        <f>+((AX178*AX$125)+(AZ$125*AZ178))/BF$125</f>
        <v>10.307278867934597</v>
      </c>
      <c r="BG178" s="1202"/>
      <c r="BH178" s="1202"/>
      <c r="BI178" s="1202"/>
      <c r="BJ178" s="1202"/>
      <c r="BK178" s="1202"/>
      <c r="BL178" s="26"/>
      <c r="BM178" s="26"/>
      <c r="BN178" s="26"/>
    </row>
    <row r="179" spans="1:66" x14ac:dyDescent="0.3">
      <c r="B179" s="1789" t="s">
        <v>201</v>
      </c>
      <c r="C179" s="1372" t="s">
        <v>49</v>
      </c>
      <c r="D179" s="104" t="s">
        <v>1981</v>
      </c>
      <c r="E179" s="762" t="str">
        <f>+$D$179</f>
        <v>25.0-25.4</v>
      </c>
      <c r="F179" s="131">
        <v>24.41</v>
      </c>
      <c r="G179" s="762" t="str">
        <f>+$D$179</f>
        <v>25.0-25.4</v>
      </c>
      <c r="H179" s="131">
        <v>24.23</v>
      </c>
      <c r="I179" s="52" t="str">
        <f>+$D$179</f>
        <v>25.0-25.4</v>
      </c>
      <c r="J179" s="105">
        <f>+((F179*F$125)+(H$125*H179))/J$125</f>
        <v>24.318347089219504</v>
      </c>
      <c r="K179" s="762" t="str">
        <f>+$D$179</f>
        <v>25.0-25.4</v>
      </c>
      <c r="L179" s="131">
        <v>24.5</v>
      </c>
      <c r="M179" s="76" t="str">
        <f>+$D$179</f>
        <v>25.0-25.4</v>
      </c>
      <c r="N179" s="111">
        <f>+((F179*F$125)+(H179*H$125)+(L$125*L179))/N$125</f>
        <v>24.378714140183231</v>
      </c>
      <c r="O179" s="762" t="str">
        <f>+$D$179</f>
        <v>25.0-25.4</v>
      </c>
      <c r="P179" s="131">
        <v>24.9</v>
      </c>
      <c r="Q179" s="52" t="str">
        <f>+$D$179</f>
        <v>25.0-25.4</v>
      </c>
      <c r="R179" s="105">
        <f>+((N179*N$125)+(P$125*P179))/R$125</f>
        <v>24.512501247274731</v>
      </c>
      <c r="S179" s="762" t="str">
        <f>+$D$179</f>
        <v>25.0-25.4</v>
      </c>
      <c r="T179" s="131">
        <v>25.2</v>
      </c>
      <c r="U179" s="52" t="str">
        <f>+$D$179</f>
        <v>25.0-25.4</v>
      </c>
      <c r="V179" s="105">
        <f>+((R179*R$125)+(T$125*T179))/V$125</f>
        <v>24.652364097670461</v>
      </c>
      <c r="W179" s="762" t="str">
        <f>+$D$179</f>
        <v>25.0-25.4</v>
      </c>
      <c r="X179" s="131">
        <v>24.6</v>
      </c>
      <c r="Y179" s="76" t="str">
        <f>+$D$179</f>
        <v>25.0-25.4</v>
      </c>
      <c r="Z179" s="111">
        <f>+((P179*P$125)+(T179*T$125)+(X$125*X179))/Z$125</f>
        <v>24.903004622496148</v>
      </c>
      <c r="AA179" s="662" t="str">
        <f>+$D$179</f>
        <v>25.0-25.4</v>
      </c>
      <c r="AB179" s="469">
        <f>+((N179*N$125)+(Z$125*Z179))/AB$125</f>
        <v>24.643732397174315</v>
      </c>
      <c r="AC179" s="762" t="str">
        <f>+$D$179</f>
        <v>25.0-25.4</v>
      </c>
      <c r="AD179" s="131">
        <v>25</v>
      </c>
      <c r="AE179" s="52" t="str">
        <f>+$D$179</f>
        <v>25.0-25.4</v>
      </c>
      <c r="AF179" s="105">
        <f>+((AB179*AB$125)+(AD$125*AD179))/AF$125</f>
        <v>24.694877540008786</v>
      </c>
      <c r="AG179" s="762" t="str">
        <f>+$D$179</f>
        <v>25.0-25.4</v>
      </c>
      <c r="AH179" s="131">
        <v>25.2</v>
      </c>
      <c r="AI179" s="52" t="str">
        <f>+$D$179</f>
        <v>25.0-25.4</v>
      </c>
      <c r="AJ179" s="105">
        <f>+((AF179*AF$125)+(AH$125*AH179))/AJ$125</f>
        <v>24.757311248274945</v>
      </c>
      <c r="AK179" s="762" t="str">
        <f>+$D$179</f>
        <v>25.0-25.4</v>
      </c>
      <c r="AL179" s="131">
        <v>24.4</v>
      </c>
      <c r="AM179" s="76" t="str">
        <f>+$D$179</f>
        <v>25.0-25.4</v>
      </c>
      <c r="AN179" s="111">
        <f>+((AD179*AD$125)+(AH179*AH$125)+(AL$125*AL179))/AN$125</f>
        <v>24.862230080376342</v>
      </c>
      <c r="AO179" s="52" t="str">
        <f>+$D$179</f>
        <v>25.0-25.4</v>
      </c>
      <c r="AP179" s="105">
        <f>+((AL179*AL$125)+(AJ$125*AJ179))/AP$125</f>
        <v>24.716815897503064</v>
      </c>
      <c r="AQ179" s="762" t="str">
        <f>+$D$179</f>
        <v>25.0-25.4</v>
      </c>
      <c r="AR179" s="131">
        <v>24</v>
      </c>
      <c r="AS179" s="52" t="str">
        <f>+$D$179</f>
        <v>25.0-25.4</v>
      </c>
      <c r="AT179" s="105">
        <f>+((AP179*AP$125)+(AR$125*AR179))/AT$125</f>
        <v>24.644425746624943</v>
      </c>
      <c r="AU179" s="762" t="str">
        <f>+$D$179</f>
        <v>25.0-25.4</v>
      </c>
      <c r="AV179" s="131">
        <v>24.2</v>
      </c>
      <c r="AW179" s="52" t="str">
        <f>+$D$179</f>
        <v>25.0-25.4</v>
      </c>
      <c r="AX179" s="105">
        <f>+((AT179*AT$125)+(AV$125*AV179))/AX$125</f>
        <v>24.607218610455419</v>
      </c>
      <c r="AY179" s="762" t="str">
        <f>+$D$179</f>
        <v>25.0-25.4</v>
      </c>
      <c r="AZ179" s="131">
        <v>24.8</v>
      </c>
      <c r="BA179" s="76" t="str">
        <f>+$D$179</f>
        <v>25.0-25.4</v>
      </c>
      <c r="BB179" s="111">
        <f>+((AR179*AR$125)+(AV179*AV$125)+(AZ$125*AZ179))/BB$125</f>
        <v>24.339013349876904</v>
      </c>
      <c r="BC179" s="662" t="str">
        <f>+$D$179</f>
        <v>25.0-25.4</v>
      </c>
      <c r="BD179" s="469">
        <f>+((AN179*AN$125)+(BB$125*BB179))/BD$125</f>
        <v>24.603491162043891</v>
      </c>
      <c r="BE179" s="52" t="str">
        <f>+$D$179</f>
        <v>25.0-25.4</v>
      </c>
      <c r="BF179" s="105">
        <f>+((AX179*AX$125)+(AZ$125*AZ179))/BF$125</f>
        <v>24.6236695765432</v>
      </c>
      <c r="BG179" s="1202"/>
      <c r="BH179" s="1202"/>
      <c r="BI179" s="1202"/>
      <c r="BJ179" s="1202"/>
      <c r="BK179" s="1202"/>
      <c r="BL179" s="26"/>
      <c r="BM179" s="26"/>
      <c r="BN179" s="26"/>
    </row>
    <row r="180" spans="1:66" ht="18" x14ac:dyDescent="0.3">
      <c r="B180" s="1842" t="s">
        <v>197</v>
      </c>
      <c r="C180" s="1377"/>
      <c r="D180" s="1356"/>
      <c r="E180" s="1360"/>
      <c r="F180" s="1354"/>
      <c r="G180" s="1360"/>
      <c r="H180" s="1354"/>
      <c r="I180" s="1360"/>
      <c r="J180" s="1352"/>
      <c r="K180" s="1360"/>
      <c r="L180" s="1354"/>
      <c r="M180" s="1360"/>
      <c r="N180" s="1354"/>
      <c r="O180" s="1360"/>
      <c r="P180" s="1354"/>
      <c r="Q180" s="1360"/>
      <c r="R180" s="1352"/>
      <c r="S180" s="1360"/>
      <c r="T180" s="1354"/>
      <c r="U180" s="1360"/>
      <c r="V180" s="1352"/>
      <c r="W180" s="1360"/>
      <c r="X180" s="1354"/>
      <c r="Y180" s="1360"/>
      <c r="Z180" s="1352"/>
      <c r="AA180" s="2322"/>
      <c r="AB180" s="1354"/>
      <c r="AC180" s="1360"/>
      <c r="AD180" s="1354"/>
      <c r="AE180" s="1360"/>
      <c r="AF180" s="1354"/>
      <c r="AG180" s="1360"/>
      <c r="AH180" s="1354"/>
      <c r="AI180" s="1360"/>
      <c r="AJ180" s="1354"/>
      <c r="AK180" s="1360"/>
      <c r="AL180" s="1354"/>
      <c r="AM180" s="1360"/>
      <c r="AN180" s="1352"/>
      <c r="AO180" s="1360"/>
      <c r="AP180" s="1354"/>
      <c r="AQ180" s="1360"/>
      <c r="AR180" s="1354"/>
      <c r="AS180" s="1360"/>
      <c r="AT180" s="1354"/>
      <c r="AU180" s="1360"/>
      <c r="AV180" s="1354"/>
      <c r="AW180" s="1360"/>
      <c r="AX180" s="1354"/>
      <c r="AY180" s="1360"/>
      <c r="AZ180" s="1354"/>
      <c r="BA180" s="1360"/>
      <c r="BB180" s="1352"/>
      <c r="BC180" s="2322"/>
      <c r="BD180" s="1354"/>
      <c r="BE180" s="1360"/>
      <c r="BF180" s="1354"/>
      <c r="BG180" s="1202"/>
      <c r="BH180" s="1202"/>
      <c r="BI180" s="1202"/>
      <c r="BJ180" s="1202"/>
      <c r="BK180" s="1202"/>
      <c r="BL180" s="26"/>
      <c r="BM180" s="26"/>
      <c r="BN180" s="26"/>
    </row>
    <row r="181" spans="1:66" ht="15.75" customHeight="1" x14ac:dyDescent="0.3">
      <c r="B181" s="1789" t="s">
        <v>202</v>
      </c>
      <c r="C181" s="1372" t="s">
        <v>49</v>
      </c>
      <c r="D181" s="104" t="s">
        <v>1670</v>
      </c>
      <c r="E181" s="762" t="str">
        <f>+$D$181</f>
        <v>&lt;=0.4</v>
      </c>
      <c r="F181" s="2052">
        <v>0.3</v>
      </c>
      <c r="G181" s="762" t="str">
        <f>+$D$181</f>
        <v>&lt;=0.4</v>
      </c>
      <c r="H181" s="2052">
        <v>0.33</v>
      </c>
      <c r="I181" s="52" t="str">
        <f>+$D$181</f>
        <v>&lt;=0.4</v>
      </c>
      <c r="J181" s="105">
        <f t="shared" ref="J181:J186" si="967">+((F181*F$22)+(H$22*H181))/J$22</f>
        <v>0.31527548441449027</v>
      </c>
      <c r="K181" s="762" t="str">
        <f>+$D$181</f>
        <v>&lt;=0.4</v>
      </c>
      <c r="L181" s="2052">
        <v>0.4</v>
      </c>
      <c r="M181" s="76" t="str">
        <f>+$D$181</f>
        <v>&lt;=0.4</v>
      </c>
      <c r="N181" s="111">
        <f t="shared" ref="N181:N186" si="968">+((F181*F$22)+(H181*H$22)+(L$22*L181))/N$22</f>
        <v>0.3434312071099111</v>
      </c>
      <c r="O181" s="762" t="str">
        <f>+$D$181</f>
        <v>&lt;=0.4</v>
      </c>
      <c r="P181" s="131">
        <v>0.5</v>
      </c>
      <c r="Q181" s="52" t="str">
        <f>+$D$181</f>
        <v>&lt;=0.4</v>
      </c>
      <c r="R181" s="105">
        <f t="shared" ref="R181:R186" si="969">+((N181*N$22)+(P$22*P181))/R$22</f>
        <v>0.38361431677538049</v>
      </c>
      <c r="S181" s="762" t="str">
        <f>+$D$181</f>
        <v>&lt;=0.4</v>
      </c>
      <c r="T181" s="131">
        <v>0.6</v>
      </c>
      <c r="U181" s="52" t="str">
        <f>+$D$181</f>
        <v>&lt;=0.4</v>
      </c>
      <c r="V181" s="105">
        <f t="shared" ref="V181:V186" si="970">+((R181*R$22)+(T$22*T181))/V$22</f>
        <v>0.42763522515321073</v>
      </c>
      <c r="W181" s="762" t="str">
        <f>+$D$181</f>
        <v>&lt;=0.4</v>
      </c>
      <c r="X181" s="131">
        <v>0.6</v>
      </c>
      <c r="Y181" s="76" t="str">
        <f>+$D$181</f>
        <v>&lt;=0.4</v>
      </c>
      <c r="Z181" s="111">
        <f t="shared" ref="Z181:Z186" si="971">+((P181*P$22)+(T181*T$22)+(X$22*X181))/Z$22</f>
        <v>0.56614278433356735</v>
      </c>
      <c r="AA181" s="662" t="str">
        <f>+$D$181</f>
        <v>&lt;=0.4</v>
      </c>
      <c r="AB181" s="469">
        <f t="shared" ref="AB181:AB186" si="972">+((N181*N$22)+(Z$22*Z181))/AB$22</f>
        <v>0.45587575682583176</v>
      </c>
      <c r="AC181" s="762" t="str">
        <f>+$D$181</f>
        <v>&lt;=0.4</v>
      </c>
      <c r="AD181" s="131">
        <v>0.65</v>
      </c>
      <c r="AE181" s="52" t="str">
        <f>+$D$181</f>
        <v>&lt;=0.4</v>
      </c>
      <c r="AF181" s="105">
        <f t="shared" ref="AF181:AF186" si="973">+((AB181*AB$22)+(AD$22*AD181))/AF$22</f>
        <v>0.48366997653031868</v>
      </c>
      <c r="AG181" s="762" t="str">
        <f>+$D$181</f>
        <v>&lt;=0.4</v>
      </c>
      <c r="AH181" s="131">
        <v>0.57999999999999996</v>
      </c>
      <c r="AI181" s="52" t="str">
        <f>+$D$181</f>
        <v>&lt;=0.4</v>
      </c>
      <c r="AJ181" s="105">
        <f t="shared" ref="AJ181:AJ186" si="974">+((AF181*AF$22)+(AH$22*AH181))/AJ$22</f>
        <v>0.49551889957035183</v>
      </c>
      <c r="AK181" s="762" t="str">
        <f>+$D$181</f>
        <v>&lt;=0.4</v>
      </c>
      <c r="AL181" s="131">
        <v>0.56999999999999995</v>
      </c>
      <c r="AM181" s="76" t="str">
        <f>+$D$181</f>
        <v>&lt;=0.4</v>
      </c>
      <c r="AN181" s="111">
        <f t="shared" ref="AN181:AN186" si="975">+((AD181*AD$22)+(AH181*AH$22)+(AL$22*AL181))/AN$22</f>
        <v>0.60000591917839263</v>
      </c>
      <c r="AO181" s="52" t="str">
        <f>+$D$181</f>
        <v>&lt;=0.4</v>
      </c>
      <c r="AP181" s="105">
        <f t="shared" ref="AP181:AP186" si="976">+((AL181*AL$22)+(AJ$22*AJ181))/AP$22</f>
        <v>0.50392382261727575</v>
      </c>
      <c r="AQ181" s="762" t="str">
        <f>+$D$181</f>
        <v>&lt;=0.4</v>
      </c>
      <c r="AR181" s="131">
        <v>0.61</v>
      </c>
      <c r="AS181" s="52" t="str">
        <f>+$D$181</f>
        <v>&lt;=0.4</v>
      </c>
      <c r="AT181" s="105">
        <f t="shared" ref="AT181:AT186" si="977">+((AP181*AP$22)+(AR$22*AR181))/AT$22</f>
        <v>0.51459497128445097</v>
      </c>
      <c r="AU181" s="762" t="str">
        <f>+$D$181</f>
        <v>&lt;=0.4</v>
      </c>
      <c r="AV181" s="131">
        <v>0.61</v>
      </c>
      <c r="AW181" s="52" t="str">
        <f>+$D$181</f>
        <v>&lt;=0.4</v>
      </c>
      <c r="AX181" s="105">
        <f t="shared" ref="AX181:AX186" si="978">+((AT181*AT$22)+(AV$22*AV181))/AX$22</f>
        <v>0.52255399930804014</v>
      </c>
      <c r="AY181" s="762" t="str">
        <f>+$D$181</f>
        <v>&lt;=0.4</v>
      </c>
      <c r="AZ181" s="131">
        <v>0.56000000000000005</v>
      </c>
      <c r="BA181" s="76" t="str">
        <f>+$D$181</f>
        <v>&lt;=0.4</v>
      </c>
      <c r="BB181" s="111">
        <f t="shared" ref="BB181:BB186" si="979">+((AR181*AR$22)+(AV181*AV$22)+(AZ$22*AZ181))/BB$22</f>
        <v>0.59269404842724593</v>
      </c>
      <c r="BC181" s="662" t="str">
        <f>+$D$181</f>
        <v>&lt;=0.4</v>
      </c>
      <c r="BD181" s="469">
        <f t="shared" ref="BD181:BD186" si="980">+((AN181*AN$22)+(BB$22*BB181))/BD$22</f>
        <v>0.59639183134619222</v>
      </c>
      <c r="BE181" s="52" t="str">
        <f>+$D$181</f>
        <v>&lt;=0.4</v>
      </c>
      <c r="BF181" s="105">
        <f t="shared" ref="BF181:BF186" si="981">+((AX181*AX$22)+(AZ$22*AZ181))/BF$22</f>
        <v>0.52573911004038487</v>
      </c>
      <c r="BG181" s="1202"/>
      <c r="BH181" s="1202"/>
      <c r="BI181" s="1202"/>
      <c r="BJ181" s="1202"/>
      <c r="BK181" s="1202"/>
      <c r="BL181" s="26"/>
      <c r="BM181" s="26"/>
      <c r="BN181" s="26"/>
    </row>
    <row r="182" spans="1:66" x14ac:dyDescent="0.3">
      <c r="B182" s="6645" t="s">
        <v>203</v>
      </c>
      <c r="C182" s="1372" t="s">
        <v>49</v>
      </c>
      <c r="D182" s="104" t="s">
        <v>1982</v>
      </c>
      <c r="E182" s="762" t="str">
        <f>+$D$182</f>
        <v>12.5-13.5</v>
      </c>
      <c r="F182" s="131">
        <v>13.14</v>
      </c>
      <c r="G182" s="762" t="str">
        <f>+$D$182</f>
        <v>12.5-13.5</v>
      </c>
      <c r="H182" s="131">
        <v>13.15</v>
      </c>
      <c r="I182" s="52" t="str">
        <f>+$D$182</f>
        <v>12.5-13.5</v>
      </c>
      <c r="J182" s="105">
        <f t="shared" si="967"/>
        <v>13.145091828138161</v>
      </c>
      <c r="K182" s="762" t="str">
        <f>+$D$182</f>
        <v>12.5-13.5</v>
      </c>
      <c r="L182" s="131">
        <v>13.1</v>
      </c>
      <c r="M182" s="76" t="str">
        <f>+$D$182</f>
        <v>12.5-13.5</v>
      </c>
      <c r="N182" s="111">
        <f t="shared" si="968"/>
        <v>13.130106873664078</v>
      </c>
      <c r="O182" s="762" t="str">
        <f>+$D$182</f>
        <v>12.5-13.5</v>
      </c>
      <c r="P182" s="131">
        <v>13.3</v>
      </c>
      <c r="Q182" s="52" t="str">
        <f>+$D$182</f>
        <v>12.5-13.5</v>
      </c>
      <c r="R182" s="105">
        <f t="shared" si="969"/>
        <v>13.173709650443216</v>
      </c>
      <c r="S182" s="762" t="str">
        <f>+$D$182</f>
        <v>12.5-13.5</v>
      </c>
      <c r="T182" s="131">
        <v>13</v>
      </c>
      <c r="U182" s="52" t="str">
        <f>+$D$182</f>
        <v>12.5-13.5</v>
      </c>
      <c r="V182" s="105">
        <f t="shared" si="970"/>
        <v>13.138370636823872</v>
      </c>
      <c r="W182" s="762" t="str">
        <f>+$D$182</f>
        <v>12.5-13.5</v>
      </c>
      <c r="X182" s="131">
        <v>13.1</v>
      </c>
      <c r="Y182" s="76" t="str">
        <f>+$D$182</f>
        <v>12.5-13.5</v>
      </c>
      <c r="Z182" s="111">
        <f t="shared" si="971"/>
        <v>13.134022695703901</v>
      </c>
      <c r="AA182" s="662" t="str">
        <f>+$D$182</f>
        <v>12.5-13.5</v>
      </c>
      <c r="AB182" s="469">
        <f t="shared" si="972"/>
        <v>13.132083927805244</v>
      </c>
      <c r="AC182" s="762" t="str">
        <f>+$D$182</f>
        <v>12.5-13.5</v>
      </c>
      <c r="AD182" s="131">
        <v>13</v>
      </c>
      <c r="AE182" s="52" t="str">
        <f>+$D$182</f>
        <v>12.5-13.5</v>
      </c>
      <c r="AF182" s="105">
        <f t="shared" si="973"/>
        <v>13.113172484036951</v>
      </c>
      <c r="AG182" s="762" t="str">
        <f>+$D$182</f>
        <v>12.5-13.5</v>
      </c>
      <c r="AH182" s="131">
        <v>13</v>
      </c>
      <c r="AI182" s="52" t="str">
        <f>+$D$182</f>
        <v>12.5-13.5</v>
      </c>
      <c r="AJ182" s="105">
        <f t="shared" si="974"/>
        <v>13.09925188062274</v>
      </c>
      <c r="AK182" s="762" t="str">
        <f>+$D$182</f>
        <v>12.5-13.5</v>
      </c>
      <c r="AL182" s="131">
        <v>13.4</v>
      </c>
      <c r="AM182" s="76" t="str">
        <f>+$D$182</f>
        <v>12.5-13.5</v>
      </c>
      <c r="AN182" s="111">
        <f t="shared" si="975"/>
        <v>13.135402478671866</v>
      </c>
      <c r="AO182" s="52" t="str">
        <f>+$D$182</f>
        <v>12.5-13.5</v>
      </c>
      <c r="AP182" s="105">
        <f t="shared" si="976"/>
        <v>13.133190219144746</v>
      </c>
      <c r="AQ182" s="762" t="str">
        <f>+$D$182</f>
        <v>12.5-13.5</v>
      </c>
      <c r="AR182" s="131">
        <v>13.6</v>
      </c>
      <c r="AS182" s="52" t="str">
        <f>+$D$182</f>
        <v>12.5-13.5</v>
      </c>
      <c r="AT182" s="105">
        <f t="shared" si="977"/>
        <v>13.180150777996946</v>
      </c>
      <c r="AU182" s="762" t="str">
        <f>+$D$182</f>
        <v>12.5-13.5</v>
      </c>
      <c r="AV182" s="131">
        <v>13.6</v>
      </c>
      <c r="AW182" s="52" t="str">
        <f>+$D$182</f>
        <v>12.5-13.5</v>
      </c>
      <c r="AX182" s="105">
        <f t="shared" si="978"/>
        <v>13.215176098659731</v>
      </c>
      <c r="AY182" s="762" t="str">
        <f>+$D$182</f>
        <v>12.5-13.5</v>
      </c>
      <c r="AZ182" s="131">
        <v>13.5</v>
      </c>
      <c r="BA182" s="76" t="str">
        <f>+$D$182</f>
        <v>12.5-13.5</v>
      </c>
      <c r="BB182" s="111">
        <f t="shared" si="979"/>
        <v>13.565388096854491</v>
      </c>
      <c r="BC182" s="662" t="str">
        <f>+$D$182</f>
        <v>12.5-13.5</v>
      </c>
      <c r="BD182" s="469">
        <f t="shared" si="980"/>
        <v>13.34793437968383</v>
      </c>
      <c r="BE182" s="52" t="str">
        <f>+$D$182</f>
        <v>12.5-13.5</v>
      </c>
      <c r="BF182" s="105">
        <f t="shared" si="981"/>
        <v>13.239402869161875</v>
      </c>
      <c r="BG182" s="1202"/>
      <c r="BH182" s="1202"/>
      <c r="BI182" s="1202"/>
      <c r="BJ182" s="1202"/>
      <c r="BK182" s="1202"/>
      <c r="BL182" s="26"/>
      <c r="BM182" s="26"/>
      <c r="BN182" s="26"/>
    </row>
    <row r="183" spans="1:66" x14ac:dyDescent="0.3">
      <c r="B183" s="6645" t="s">
        <v>204</v>
      </c>
      <c r="C183" s="1372" t="s">
        <v>49</v>
      </c>
      <c r="D183" s="104" t="s">
        <v>1983</v>
      </c>
      <c r="E183" s="762" t="str">
        <f>+$D$183</f>
        <v>89.0-90.5</v>
      </c>
      <c r="F183" s="131">
        <v>89.6</v>
      </c>
      <c r="G183" s="762" t="str">
        <f>+$D$183</f>
        <v>89.0-90.5</v>
      </c>
      <c r="H183" s="131">
        <v>89.66</v>
      </c>
      <c r="I183" s="52" t="str">
        <f>+$D$183</f>
        <v>89.0-90.5</v>
      </c>
      <c r="J183" s="105">
        <f t="shared" si="967"/>
        <v>89.630550968828985</v>
      </c>
      <c r="K183" s="762" t="str">
        <f>+$D$183</f>
        <v>89.0-90.5</v>
      </c>
      <c r="L183" s="131">
        <v>89.6</v>
      </c>
      <c r="M183" s="76" t="str">
        <f>+$D$183</f>
        <v>89.0-90.5</v>
      </c>
      <c r="N183" s="111">
        <f t="shared" si="968"/>
        <v>89.620398245021931</v>
      </c>
      <c r="O183" s="762" t="str">
        <f>+$D$183</f>
        <v>89.0-90.5</v>
      </c>
      <c r="P183" s="131">
        <v>89.5</v>
      </c>
      <c r="Q183" s="52" t="str">
        <f>+$D$183</f>
        <v>89.0-90.5</v>
      </c>
      <c r="R183" s="105">
        <f t="shared" si="969"/>
        <v>89.589498243853484</v>
      </c>
      <c r="S183" s="762" t="str">
        <f>+$D$183</f>
        <v>89.0-90.5</v>
      </c>
      <c r="T183" s="131">
        <v>89.3</v>
      </c>
      <c r="U183" s="52" t="str">
        <f>+$D$183</f>
        <v>89.0-90.5</v>
      </c>
      <c r="V183" s="105">
        <f t="shared" si="970"/>
        <v>89.530603517186236</v>
      </c>
      <c r="W183" s="762" t="str">
        <f>+$D$183</f>
        <v>89.0-90.5</v>
      </c>
      <c r="X183" s="131">
        <v>89.5</v>
      </c>
      <c r="Y183" s="76" t="str">
        <f>+$D$183</f>
        <v>89.0-90.5</v>
      </c>
      <c r="Z183" s="111">
        <f t="shared" si="971"/>
        <v>89.432616528742074</v>
      </c>
      <c r="AA183" s="662" t="str">
        <f>+$D$183</f>
        <v>89.0-90.5</v>
      </c>
      <c r="AB183" s="469">
        <f t="shared" si="972"/>
        <v>89.52558938598014</v>
      </c>
      <c r="AC183" s="762" t="str">
        <f>+$D$183</f>
        <v>89.0-90.5</v>
      </c>
      <c r="AD183" s="131">
        <v>89.4</v>
      </c>
      <c r="AE183" s="52" t="str">
        <f>+$D$183</f>
        <v>89.0-90.5</v>
      </c>
      <c r="AF183" s="105">
        <f t="shared" si="973"/>
        <v>89.507607814336083</v>
      </c>
      <c r="AG183" s="762" t="str">
        <f>+$D$183</f>
        <v>89.0-90.5</v>
      </c>
      <c r="AH183" s="131">
        <v>89.4</v>
      </c>
      <c r="AI183" s="52" t="str">
        <f>+$D$183</f>
        <v>89.0-90.5</v>
      </c>
      <c r="AJ183" s="105">
        <f t="shared" si="974"/>
        <v>89.494371684366953</v>
      </c>
      <c r="AK183" s="762" t="str">
        <f>+$D$183</f>
        <v>89.0-90.5</v>
      </c>
      <c r="AL183" s="131">
        <v>89.6</v>
      </c>
      <c r="AM183" s="76" t="str">
        <f>+$D$183</f>
        <v>89.0-90.5</v>
      </c>
      <c r="AN183" s="111">
        <f t="shared" si="975"/>
        <v>89.467701239335952</v>
      </c>
      <c r="AO183" s="52" t="str">
        <f>+$D$183</f>
        <v>89.0-90.5</v>
      </c>
      <c r="AP183" s="105">
        <f t="shared" si="976"/>
        <v>89.506291458099497</v>
      </c>
      <c r="AQ183" s="762" t="str">
        <f>+$D$183</f>
        <v>89.0-90.5</v>
      </c>
      <c r="AR183" s="131">
        <v>86.7</v>
      </c>
      <c r="AS183" s="52" t="str">
        <f>+$D$183</f>
        <v>89.0-90.5</v>
      </c>
      <c r="AT183" s="105">
        <f t="shared" si="977"/>
        <v>89.223981573904126</v>
      </c>
      <c r="AU183" s="762" t="str">
        <f>+$D$183</f>
        <v>89.0-90.5</v>
      </c>
      <c r="AV183" s="131">
        <v>89.7</v>
      </c>
      <c r="AW183" s="52" t="str">
        <f>+$D$183</f>
        <v>89.0-90.5</v>
      </c>
      <c r="AX183" s="105">
        <f t="shared" si="978"/>
        <v>89.263692730056462</v>
      </c>
      <c r="AY183" s="762" t="str">
        <f>+$D$183</f>
        <v>89.0-90.5</v>
      </c>
      <c r="AZ183" s="131">
        <v>89.7</v>
      </c>
      <c r="BA183" s="76" t="str">
        <f>+$D$183</f>
        <v>89.0-90.5</v>
      </c>
      <c r="BB183" s="111">
        <f t="shared" si="979"/>
        <v>88.670128988458927</v>
      </c>
      <c r="BC183" s="662" t="str">
        <f>+$D$183</f>
        <v>89.0-90.5</v>
      </c>
      <c r="BD183" s="469">
        <f t="shared" si="980"/>
        <v>89.073479806094213</v>
      </c>
      <c r="BE183" s="52" t="str">
        <f>+$D$183</f>
        <v>89.0-90.5</v>
      </c>
      <c r="BF183" s="105">
        <f t="shared" si="981"/>
        <v>89.30080448945445</v>
      </c>
      <c r="BG183" s="1202"/>
      <c r="BH183" s="1202"/>
      <c r="BI183" s="1202"/>
      <c r="BJ183" s="1202"/>
      <c r="BK183" s="1202"/>
      <c r="BL183" s="26"/>
      <c r="BM183" s="26"/>
      <c r="BN183" s="26"/>
    </row>
    <row r="184" spans="1:66" x14ac:dyDescent="0.3">
      <c r="B184" s="6645" t="s">
        <v>205</v>
      </c>
      <c r="C184" s="1372" t="s">
        <v>49</v>
      </c>
      <c r="D184" s="104" t="s">
        <v>1984</v>
      </c>
      <c r="E184" s="762" t="str">
        <f>+$D$184</f>
        <v>5.5-5.9</v>
      </c>
      <c r="F184" s="131">
        <v>5.7</v>
      </c>
      <c r="G184" s="762" t="str">
        <f>+$D$184</f>
        <v>5.5-5.9</v>
      </c>
      <c r="H184" s="131">
        <v>5.62</v>
      </c>
      <c r="I184" s="52" t="str">
        <f>+$D$184</f>
        <v>5.5-5.9</v>
      </c>
      <c r="J184" s="105">
        <f t="shared" si="967"/>
        <v>5.6592653748946926</v>
      </c>
      <c r="K184" s="762" t="str">
        <f>+$D$184</f>
        <v>5.5-5.9</v>
      </c>
      <c r="L184" s="131">
        <v>5.7</v>
      </c>
      <c r="M184" s="76" t="str">
        <f>+$D$184</f>
        <v>5.5-5.9</v>
      </c>
      <c r="N184" s="111">
        <f t="shared" si="968"/>
        <v>5.672802339970751</v>
      </c>
      <c r="O184" s="762" t="str">
        <f>+$D$184</f>
        <v>5.5-5.9</v>
      </c>
      <c r="P184" s="131">
        <v>5.7</v>
      </c>
      <c r="Q184" s="52" t="str">
        <f>+$D$184</f>
        <v>5.5-5.9</v>
      </c>
      <c r="R184" s="105">
        <f t="shared" si="969"/>
        <v>5.679782572336511</v>
      </c>
      <c r="S184" s="762" t="str">
        <f>+$D$184</f>
        <v>5.5-5.9</v>
      </c>
      <c r="T184" s="131">
        <v>5.8</v>
      </c>
      <c r="U184" s="52" t="str">
        <f>+$D$184</f>
        <v>5.5-5.9</v>
      </c>
      <c r="V184" s="105">
        <f t="shared" si="970"/>
        <v>5.7042392752464686</v>
      </c>
      <c r="W184" s="762" t="str">
        <f>+$D$184</f>
        <v>5.5-5.9</v>
      </c>
      <c r="X184" s="131">
        <v>5.7</v>
      </c>
      <c r="Y184" s="76" t="str">
        <f>+$D$184</f>
        <v>5.5-5.9</v>
      </c>
      <c r="Z184" s="111">
        <f t="shared" si="971"/>
        <v>5.7336917356289616</v>
      </c>
      <c r="AA184" s="662" t="str">
        <f>+$D$184</f>
        <v>5.5-5.9</v>
      </c>
      <c r="AB184" s="469">
        <f t="shared" si="972"/>
        <v>5.703544705332324</v>
      </c>
      <c r="AC184" s="762" t="str">
        <f>+$D$184</f>
        <v>5.5-5.9</v>
      </c>
      <c r="AD184" s="131">
        <v>5.7</v>
      </c>
      <c r="AE184" s="52" t="str">
        <f>+$D$184</f>
        <v>5.5-5.9</v>
      </c>
      <c r="AF184" s="105">
        <f t="shared" si="973"/>
        <v>5.7030371833598839</v>
      </c>
      <c r="AG184" s="762" t="str">
        <f>+$D$184</f>
        <v>5.5-5.9</v>
      </c>
      <c r="AH184" s="131">
        <v>5.7</v>
      </c>
      <c r="AI184" s="52" t="str">
        <f>+$D$184</f>
        <v>5.5-5.9</v>
      </c>
      <c r="AJ184" s="105">
        <f t="shared" si="974"/>
        <v>5.7026635993972352</v>
      </c>
      <c r="AK184" s="762" t="str">
        <f>+$D$184</f>
        <v>5.5-5.9</v>
      </c>
      <c r="AL184" s="131">
        <v>5.7</v>
      </c>
      <c r="AM184" s="76" t="str">
        <f>+$D$184</f>
        <v>5.5-5.9</v>
      </c>
      <c r="AN184" s="111">
        <f t="shared" si="975"/>
        <v>5.700000000000002</v>
      </c>
      <c r="AO184" s="52" t="str">
        <f>+$D$184</f>
        <v>5.5-5.9</v>
      </c>
      <c r="AP184" s="105">
        <f t="shared" si="976"/>
        <v>5.7023630218301422</v>
      </c>
      <c r="AQ184" s="762" t="str">
        <f>+$D$184</f>
        <v>5.5-5.9</v>
      </c>
      <c r="AR184" s="131">
        <v>5.7</v>
      </c>
      <c r="AS184" s="52" t="str">
        <f>+$D$184</f>
        <v>5.5-5.9</v>
      </c>
      <c r="AT184" s="105">
        <f t="shared" si="977"/>
        <v>5.702125304390889</v>
      </c>
      <c r="AU184" s="762" t="str">
        <f>+$D$184</f>
        <v>5.5-5.9</v>
      </c>
      <c r="AV184" s="131">
        <v>5.7</v>
      </c>
      <c r="AW184" s="52" t="str">
        <f>+$D$184</f>
        <v>5.5-5.9</v>
      </c>
      <c r="AX184" s="105">
        <f t="shared" si="978"/>
        <v>5.7019480039127748</v>
      </c>
      <c r="AY184" s="762" t="str">
        <f>+$D$184</f>
        <v>5.5-5.9</v>
      </c>
      <c r="AZ184" s="131">
        <v>5.7</v>
      </c>
      <c r="BA184" s="76" t="str">
        <f>+$D$184</f>
        <v>5.5-5.9</v>
      </c>
      <c r="BB184" s="111">
        <f t="shared" si="979"/>
        <v>5.6999999999999993</v>
      </c>
      <c r="BC184" s="662" t="str">
        <f>+$D$184</f>
        <v>5.5-5.9</v>
      </c>
      <c r="BD184" s="469">
        <f t="shared" si="980"/>
        <v>5.7000000000000011</v>
      </c>
      <c r="BE184" s="52" t="str">
        <f>+$D$184</f>
        <v>5.5-5.9</v>
      </c>
      <c r="BF184" s="105">
        <f t="shared" si="981"/>
        <v>5.7017823090974531</v>
      </c>
      <c r="BG184" s="1202"/>
      <c r="BH184" s="1202"/>
      <c r="BI184" s="1202"/>
      <c r="BJ184" s="1202"/>
      <c r="BK184" s="1202"/>
      <c r="BL184" s="26"/>
      <c r="BM184" s="26"/>
      <c r="BN184" s="26"/>
    </row>
    <row r="185" spans="1:66" x14ac:dyDescent="0.3">
      <c r="A185" s="145"/>
      <c r="B185" s="6645" t="s">
        <v>206</v>
      </c>
      <c r="C185" s="1372" t="s">
        <v>49</v>
      </c>
      <c r="D185" s="104" t="s">
        <v>1985</v>
      </c>
      <c r="E185" s="762" t="str">
        <f>+$D$185</f>
        <v>67.0-68.4</v>
      </c>
      <c r="F185" s="131">
        <v>67.97</v>
      </c>
      <c r="G185" s="762" t="str">
        <f>+$D$185</f>
        <v>67.0-68.4</v>
      </c>
      <c r="H185" s="131">
        <v>68.13</v>
      </c>
      <c r="I185" s="52" t="str">
        <f>+$D$185</f>
        <v>67.0-68.4</v>
      </c>
      <c r="J185" s="105">
        <f t="shared" si="967"/>
        <v>68.051469250210616</v>
      </c>
      <c r="K185" s="762" t="str">
        <f>+$D$185</f>
        <v>67.0-68.4</v>
      </c>
      <c r="L185" s="131">
        <v>68.3</v>
      </c>
      <c r="M185" s="76" t="str">
        <f>+$D$185</f>
        <v>67.0-68.4</v>
      </c>
      <c r="N185" s="111">
        <f t="shared" si="968"/>
        <v>68.134061199235006</v>
      </c>
      <c r="O185" s="762" t="str">
        <f>+$D$185</f>
        <v>67.0-68.4</v>
      </c>
      <c r="P185" s="131">
        <v>68.5</v>
      </c>
      <c r="Q185" s="52" t="str">
        <f>+$D$185</f>
        <v>67.0-68.4</v>
      </c>
      <c r="R185" s="105">
        <f t="shared" si="969"/>
        <v>68.227978758989792</v>
      </c>
      <c r="S185" s="762" t="str">
        <f>+$D$185</f>
        <v>67.0-68.4</v>
      </c>
      <c r="T185" s="131">
        <v>68.599999999999994</v>
      </c>
      <c r="U185" s="52" t="str">
        <f>+$D$185</f>
        <v>67.0-68.4</v>
      </c>
      <c r="V185" s="105">
        <f t="shared" si="970"/>
        <v>68.303661737276826</v>
      </c>
      <c r="W185" s="762" t="str">
        <f>+$D$185</f>
        <v>67.0-68.4</v>
      </c>
      <c r="X185" s="131">
        <v>68.5</v>
      </c>
      <c r="Y185" s="76" t="str">
        <f>+$D$185</f>
        <v>67.0-68.4</v>
      </c>
      <c r="Z185" s="111">
        <f t="shared" si="971"/>
        <v>68.533691735628963</v>
      </c>
      <c r="AA185" s="662" t="str">
        <f>+$D$185</f>
        <v>67.0-68.4</v>
      </c>
      <c r="AB185" s="469">
        <f t="shared" si="972"/>
        <v>68.335830125115422</v>
      </c>
      <c r="AC185" s="762" t="str">
        <f>+$D$185</f>
        <v>67.0-68.4</v>
      </c>
      <c r="AD185" s="131">
        <v>68.7</v>
      </c>
      <c r="AE185" s="52" t="str">
        <f>+$D$185</f>
        <v>67.0-68.4</v>
      </c>
      <c r="AF185" s="105">
        <f t="shared" si="973"/>
        <v>68.387971049642886</v>
      </c>
      <c r="AG185" s="762" t="str">
        <f>+$D$185</f>
        <v>67.0-68.4</v>
      </c>
      <c r="AH185" s="131">
        <v>68.3</v>
      </c>
      <c r="AI185" s="52" t="str">
        <f>+$D$185</f>
        <v>67.0-68.4</v>
      </c>
      <c r="AJ185" s="105">
        <f t="shared" si="974"/>
        <v>68.377150309032373</v>
      </c>
      <c r="AK185" s="762" t="str">
        <f>+$D$185</f>
        <v>67.0-68.4</v>
      </c>
      <c r="AL185" s="131">
        <v>68.099999999999994</v>
      </c>
      <c r="AM185" s="76" t="str">
        <f>+$D$185</f>
        <v>67.0-68.4</v>
      </c>
      <c r="AN185" s="111">
        <f t="shared" si="975"/>
        <v>68.365961510065162</v>
      </c>
      <c r="AO185" s="52" t="str">
        <f>+$D$185</f>
        <v>67.0-68.4</v>
      </c>
      <c r="AP185" s="105">
        <f t="shared" si="976"/>
        <v>68.345874898137382</v>
      </c>
      <c r="AQ185" s="762" t="str">
        <f>+$D$185</f>
        <v>67.0-68.4</v>
      </c>
      <c r="AR185" s="131">
        <v>68.400000000000006</v>
      </c>
      <c r="AS185" s="52" t="str">
        <f>+$D$185</f>
        <v>67.0-68.4</v>
      </c>
      <c r="AT185" s="105">
        <f t="shared" si="977"/>
        <v>68.351319824819811</v>
      </c>
      <c r="AU185" s="762" t="str">
        <f>+$D$185</f>
        <v>67.0-68.4</v>
      </c>
      <c r="AV185" s="131">
        <v>68.7</v>
      </c>
      <c r="AW185" s="52" t="str">
        <f>+$D$185</f>
        <v>67.0-68.4</v>
      </c>
      <c r="AX185" s="105">
        <f t="shared" si="978"/>
        <v>68.380407969573724</v>
      </c>
      <c r="AY185" s="762" t="str">
        <f>+$D$185</f>
        <v>67.0-68.4</v>
      </c>
      <c r="AZ185" s="131">
        <v>69.099999999999994</v>
      </c>
      <c r="BA185" s="76" t="str">
        <f>+$D$185</f>
        <v>67.0-68.4</v>
      </c>
      <c r="BB185" s="111">
        <f t="shared" si="979"/>
        <v>68.735460511427917</v>
      </c>
      <c r="BC185" s="662" t="str">
        <f>+$D$185</f>
        <v>67.0-68.4</v>
      </c>
      <c r="BD185" s="469">
        <f t="shared" si="980"/>
        <v>68.548596281696746</v>
      </c>
      <c r="BE185" s="52" t="str">
        <f>+$D$185</f>
        <v>67.0-68.4</v>
      </c>
      <c r="BF185" s="105">
        <f t="shared" si="981"/>
        <v>68.441615582046808</v>
      </c>
      <c r="BG185" s="1202"/>
      <c r="BH185" s="1202"/>
      <c r="BI185" s="1202"/>
      <c r="BJ185" s="1202"/>
      <c r="BK185" s="1202"/>
      <c r="BL185" s="26"/>
      <c r="BM185" s="26"/>
      <c r="BN185" s="26"/>
    </row>
    <row r="186" spans="1:66" x14ac:dyDescent="0.3">
      <c r="B186" s="6645" t="s">
        <v>207</v>
      </c>
      <c r="C186" s="1372" t="s">
        <v>49</v>
      </c>
      <c r="D186" s="104" t="s">
        <v>1986</v>
      </c>
      <c r="E186" s="762" t="str">
        <f>+$D$186</f>
        <v>21.0-22.5</v>
      </c>
      <c r="F186" s="131">
        <v>21.56</v>
      </c>
      <c r="G186" s="762" t="str">
        <f>+$D$186</f>
        <v>21.0-22.5</v>
      </c>
      <c r="H186" s="131">
        <v>22.14</v>
      </c>
      <c r="I186" s="52" t="str">
        <f>+$D$186</f>
        <v>21.0-22.5</v>
      </c>
      <c r="J186" s="105">
        <f t="shared" si="967"/>
        <v>21.855326032013476</v>
      </c>
      <c r="K186" s="762" t="str">
        <f>+$D$186</f>
        <v>21.0-22.5</v>
      </c>
      <c r="L186" s="131">
        <v>21.5</v>
      </c>
      <c r="M186" s="76" t="str">
        <f>+$D$186</f>
        <v>21.0-22.5</v>
      </c>
      <c r="N186" s="111">
        <f t="shared" si="968"/>
        <v>21.737243784452691</v>
      </c>
      <c r="O186" s="762" t="str">
        <f>+$D$186</f>
        <v>21.0-22.5</v>
      </c>
      <c r="P186" s="131">
        <v>21.3</v>
      </c>
      <c r="Q186" s="52" t="str">
        <f>+$D$186</f>
        <v>21.0-22.5</v>
      </c>
      <c r="R186" s="105">
        <f t="shared" si="969"/>
        <v>21.625025924067568</v>
      </c>
      <c r="S186" s="762" t="str">
        <f>+$D$186</f>
        <v>21.0-22.5</v>
      </c>
      <c r="T186" s="131">
        <v>21.2</v>
      </c>
      <c r="U186" s="52" t="str">
        <f>+$D$186</f>
        <v>21.0-22.5</v>
      </c>
      <c r="V186" s="105">
        <f t="shared" si="970"/>
        <v>21.538559818811613</v>
      </c>
      <c r="W186" s="762" t="str">
        <f>+$D$186</f>
        <v>21.0-22.5</v>
      </c>
      <c r="X186" s="131">
        <v>21.4</v>
      </c>
      <c r="Y186" s="76" t="str">
        <f>+$D$186</f>
        <v>21.0-22.5</v>
      </c>
      <c r="Z186" s="111">
        <f t="shared" si="971"/>
        <v>21.298759313075639</v>
      </c>
      <c r="AA186" s="662" t="str">
        <f>+$D$186</f>
        <v>21.0-22.5</v>
      </c>
      <c r="AB186" s="469">
        <f t="shared" si="972"/>
        <v>21.51585794741602</v>
      </c>
      <c r="AC186" s="762" t="str">
        <f>+$D$186</f>
        <v>21.0-22.5</v>
      </c>
      <c r="AD186" s="131">
        <v>21.2</v>
      </c>
      <c r="AE186" s="52" t="str">
        <f>+$D$186</f>
        <v>21.0-22.5</v>
      </c>
      <c r="AF186" s="105">
        <f t="shared" si="973"/>
        <v>21.470634202857685</v>
      </c>
      <c r="AG186" s="762" t="str">
        <f>+$D$186</f>
        <v>21.0-22.5</v>
      </c>
      <c r="AH186" s="131">
        <v>21.8</v>
      </c>
      <c r="AI186" s="52" t="str">
        <f>+$D$186</f>
        <v>21.0-22.5</v>
      </c>
      <c r="AJ186" s="105">
        <f t="shared" si="974"/>
        <v>21.511147324746275</v>
      </c>
      <c r="AK186" s="762" t="str">
        <f>+$D$186</f>
        <v>21.0-22.5</v>
      </c>
      <c r="AL186" s="131">
        <v>21.9</v>
      </c>
      <c r="AM186" s="76" t="str">
        <f>+$D$186</f>
        <v>21.0-22.5</v>
      </c>
      <c r="AN186" s="111">
        <f t="shared" si="975"/>
        <v>21.633356495566346</v>
      </c>
      <c r="AO186" s="52" t="str">
        <f>+$D$186</f>
        <v>21.0-22.5</v>
      </c>
      <c r="AP186" s="105">
        <f t="shared" si="976"/>
        <v>21.55502794403419</v>
      </c>
      <c r="AQ186" s="762" t="str">
        <f>+$D$186</f>
        <v>21.0-22.5</v>
      </c>
      <c r="AR186" s="131">
        <v>21.3</v>
      </c>
      <c r="AS186" s="52" t="str">
        <f>+$D$186</f>
        <v>21.0-22.5</v>
      </c>
      <c r="AT186" s="105">
        <f t="shared" si="977"/>
        <v>21.529372408812044</v>
      </c>
      <c r="AU186" s="762" t="str">
        <f>+$D$186</f>
        <v>21.0-22.5</v>
      </c>
      <c r="AV186" s="131">
        <v>21.1</v>
      </c>
      <c r="AW186" s="52" t="str">
        <f>+$D$186</f>
        <v>21.0-22.5</v>
      </c>
      <c r="AX186" s="105">
        <f t="shared" si="978"/>
        <v>21.493552629914642</v>
      </c>
      <c r="AY186" s="762" t="str">
        <f>+$D$186</f>
        <v>21.0-22.5</v>
      </c>
      <c r="AZ186" s="131">
        <v>20.7</v>
      </c>
      <c r="BA186" s="76" t="str">
        <f>+$D$186</f>
        <v>21.0-22.5</v>
      </c>
      <c r="BB186" s="111">
        <f t="shared" si="979"/>
        <v>21.030210454854036</v>
      </c>
      <c r="BC186" s="662" t="str">
        <f>+$D$186</f>
        <v>21.0-22.5</v>
      </c>
      <c r="BD186" s="469">
        <f t="shared" si="980"/>
        <v>21.335235420814534</v>
      </c>
      <c r="BE186" s="52" t="str">
        <f>+$D$186</f>
        <v>21.0-22.5</v>
      </c>
      <c r="BF186" s="105">
        <f t="shared" si="981"/>
        <v>21.426054019875789</v>
      </c>
      <c r="BG186" s="1202"/>
      <c r="BH186" s="1202"/>
      <c r="BI186" s="1202"/>
      <c r="BJ186" s="1202"/>
      <c r="BK186" s="1202"/>
      <c r="BL186" s="26"/>
      <c r="BM186" s="26"/>
      <c r="BN186" s="26"/>
    </row>
    <row r="187" spans="1:66" x14ac:dyDescent="0.3">
      <c r="B187" s="1837" t="s">
        <v>5</v>
      </c>
      <c r="C187" s="1378"/>
      <c r="D187" s="1361"/>
      <c r="E187" s="1362"/>
      <c r="F187" s="1363"/>
      <c r="G187" s="1362"/>
      <c r="H187" s="1363"/>
      <c r="I187" s="1364"/>
      <c r="J187" s="1361"/>
      <c r="K187" s="1362"/>
      <c r="L187" s="1363"/>
      <c r="M187" s="1362"/>
      <c r="N187" s="1363"/>
      <c r="O187" s="1362"/>
      <c r="P187" s="1363"/>
      <c r="Q187" s="1364"/>
      <c r="R187" s="1361"/>
      <c r="S187" s="1362"/>
      <c r="T187" s="1363"/>
      <c r="U187" s="1364"/>
      <c r="V187" s="1361"/>
      <c r="W187" s="1362"/>
      <c r="X187" s="1363"/>
      <c r="Y187" s="1361"/>
      <c r="Z187" s="1361"/>
      <c r="AA187" s="2323"/>
      <c r="AB187" s="1363"/>
      <c r="AC187" s="1362"/>
      <c r="AD187" s="1363"/>
      <c r="AE187" s="1364"/>
      <c r="AF187" s="1363"/>
      <c r="AG187" s="1362"/>
      <c r="AH187" s="1363"/>
      <c r="AI187" s="1364"/>
      <c r="AJ187" s="1363"/>
      <c r="AK187" s="1362"/>
      <c r="AL187" s="1363"/>
      <c r="AM187" s="1361"/>
      <c r="AN187" s="1361"/>
      <c r="AO187" s="1364"/>
      <c r="AP187" s="1363"/>
      <c r="AQ187" s="1362"/>
      <c r="AR187" s="1363"/>
      <c r="AS187" s="1364"/>
      <c r="AT187" s="1363"/>
      <c r="AU187" s="1362"/>
      <c r="AV187" s="1363"/>
      <c r="AW187" s="1364"/>
      <c r="AX187" s="1363"/>
      <c r="AY187" s="1362"/>
      <c r="AZ187" s="1363"/>
      <c r="BA187" s="1361"/>
      <c r="BB187" s="1361"/>
      <c r="BC187" s="2323"/>
      <c r="BD187" s="1363"/>
      <c r="BE187" s="1364"/>
      <c r="BF187" s="1363"/>
      <c r="BG187" s="1202">
        <f t="shared" si="801"/>
        <v>0</v>
      </c>
      <c r="BH187" s="1202">
        <f t="shared" si="802"/>
        <v>0</v>
      </c>
      <c r="BI187" s="1202"/>
      <c r="BJ187" s="1202">
        <f t="shared" si="820"/>
        <v>0</v>
      </c>
      <c r="BK187" s="1202">
        <f t="shared" si="821"/>
        <v>0</v>
      </c>
      <c r="BL187" s="26"/>
      <c r="BM187" s="26"/>
      <c r="BN187" s="26"/>
    </row>
    <row r="188" spans="1:66" x14ac:dyDescent="0.3">
      <c r="B188" s="1806" t="s">
        <v>215</v>
      </c>
      <c r="C188" s="1372" t="s">
        <v>210</v>
      </c>
      <c r="D188" s="2691">
        <f>+(D189*D18)/1000000</f>
        <v>382.25664499999999</v>
      </c>
      <c r="E188" s="954">
        <f>+(E189*E18)/1000000</f>
        <v>31.537379999999999</v>
      </c>
      <c r="F188" s="405">
        <v>31.262</v>
      </c>
      <c r="G188" s="954">
        <f>+(G189*G18)/1000000</f>
        <v>32.588626000000005</v>
      </c>
      <c r="H188" s="405">
        <f>32246.7759158506/1000</f>
        <v>32.246775915850598</v>
      </c>
      <c r="I188" s="53">
        <f>+(I189*I18)/1000000</f>
        <v>64.126006000000004</v>
      </c>
      <c r="J188" s="124">
        <f>+F188+H188</f>
        <v>63.508775915850599</v>
      </c>
      <c r="K188" s="954">
        <f>+(K189*K18)/1000000</f>
        <v>31.537379999999999</v>
      </c>
      <c r="L188" s="405">
        <v>30.995259999999998</v>
      </c>
      <c r="M188" s="236">
        <f>+(M189*M18)/1000000</f>
        <v>95.663386000000017</v>
      </c>
      <c r="N188" s="120">
        <f>+L188+H188+F188</f>
        <v>94.504035915850594</v>
      </c>
      <c r="O188" s="954">
        <f>+(O189*O18)/1000000</f>
        <v>32.588626000000005</v>
      </c>
      <c r="P188" s="405">
        <v>32.070999999999998</v>
      </c>
      <c r="Q188" s="53">
        <f>+(Q189*Q18)/1000000</f>
        <v>128.25201200000001</v>
      </c>
      <c r="R188" s="124">
        <f>+N188+P188</f>
        <v>126.57503591585059</v>
      </c>
      <c r="S188" s="954">
        <f>+(S189*S18)/1000000</f>
        <v>32.588626000000005</v>
      </c>
      <c r="T188" s="405">
        <v>31.417210000000001</v>
      </c>
      <c r="U188" s="53">
        <f>+(U189*U18)/1000000</f>
        <v>160.84063800000004</v>
      </c>
      <c r="V188" s="124">
        <f>+R188+T188</f>
        <v>157.99224591585059</v>
      </c>
      <c r="W188" s="954">
        <f>+(W189*W18)/1000000</f>
        <v>30.089234999999999</v>
      </c>
      <c r="X188" s="405">
        <v>30.898</v>
      </c>
      <c r="Y188" s="236">
        <f>+(Y189*Y18)/1000000</f>
        <v>95.266487000000012</v>
      </c>
      <c r="Z188" s="236">
        <f>+P188+T188+X188</f>
        <v>94.386209999999991</v>
      </c>
      <c r="AA188" s="457">
        <f>+(AA189*AA18)/1000000</f>
        <v>190.92987300000004</v>
      </c>
      <c r="AB188" s="475">
        <f>+N188+Z188</f>
        <v>188.89024591585058</v>
      </c>
      <c r="AC188" s="954">
        <f>+(AC189*AC18)/1000000</f>
        <v>32.588626000000005</v>
      </c>
      <c r="AD188" s="405">
        <v>31.082999999999998</v>
      </c>
      <c r="AE188" s="53">
        <f>+(AE189*AE18)/1000000</f>
        <v>223.51849900000002</v>
      </c>
      <c r="AF188" s="124">
        <f>+AB188+AD188</f>
        <v>219.97324591585058</v>
      </c>
      <c r="AG188" s="954">
        <f>+(AG189*AG18)/1000000</f>
        <v>31.537379999999999</v>
      </c>
      <c r="AH188" s="405">
        <v>30.731999999999999</v>
      </c>
      <c r="AI188" s="53">
        <f>+(AI189*AI18)/1000000</f>
        <v>255.05587900000003</v>
      </c>
      <c r="AJ188" s="124">
        <f>+AF188+AH188</f>
        <v>250.70524591585058</v>
      </c>
      <c r="AK188" s="954">
        <f>+(AK189*AK18)/1000000</f>
        <v>32.588626000000005</v>
      </c>
      <c r="AL188" s="405">
        <v>31.358499999999999</v>
      </c>
      <c r="AM188" s="236">
        <f>+(AM189*AM18)/1000000</f>
        <v>96.714632000000009</v>
      </c>
      <c r="AN188" s="236">
        <f>+AD188+AH188+AL188</f>
        <v>93.17349999999999</v>
      </c>
      <c r="AO188" s="53">
        <f>+(AO189*AO18)/1000000</f>
        <v>287.64450500000004</v>
      </c>
      <c r="AP188" s="124">
        <f>+AL188+AJ188</f>
        <v>282.06374591585057</v>
      </c>
      <c r="AQ188" s="954">
        <f>+(AQ189*AQ18)/1000000</f>
        <v>32.588626000000005</v>
      </c>
      <c r="AR188" s="405">
        <v>31.363</v>
      </c>
      <c r="AS188" s="53">
        <f>+(AS189*AS18)/1000000</f>
        <v>320.23313100000007</v>
      </c>
      <c r="AT188" s="124">
        <f>+AP188+AR188</f>
        <v>313.42674591585057</v>
      </c>
      <c r="AU188" s="954">
        <f>+(AU189*AU18)/1000000</f>
        <v>29.434888000000001</v>
      </c>
      <c r="AV188" s="405">
        <v>28.876999999999999</v>
      </c>
      <c r="AW188" s="53">
        <f>+(AW189*AW18)/1000000</f>
        <v>349.66801900000007</v>
      </c>
      <c r="AX188" s="124">
        <f>+AT188+AV188</f>
        <v>342.30374591585058</v>
      </c>
      <c r="AY188" s="954">
        <f>+(AY189*AY18)/1000000</f>
        <v>32.588626000000005</v>
      </c>
      <c r="AZ188" s="405">
        <v>31.378</v>
      </c>
      <c r="BA188" s="76">
        <f>+(BA189*BA18)/1000000</f>
        <v>94.612139999999997</v>
      </c>
      <c r="BB188" s="111">
        <f>+AR188+AV188+AZ188</f>
        <v>91.617999999999995</v>
      </c>
      <c r="BC188" s="662">
        <f>+(BC189*BC18)/1000000</f>
        <v>191.32677200000003</v>
      </c>
      <c r="BD188" s="469">
        <f>+AN188+BB188</f>
        <v>184.79149999999998</v>
      </c>
      <c r="BE188" s="52">
        <f>+(BE189*BE18)/1000000</f>
        <v>382.25664499999999</v>
      </c>
      <c r="BF188" s="105">
        <f>+AX188+AZ188</f>
        <v>373.68174591585057</v>
      </c>
      <c r="BG188" s="1202">
        <f t="shared" si="801"/>
        <v>0</v>
      </c>
      <c r="BH188" s="1202">
        <f t="shared" si="802"/>
        <v>0</v>
      </c>
      <c r="BI188" s="1202"/>
      <c r="BJ188" s="1202">
        <f t="shared" si="820"/>
        <v>0</v>
      </c>
      <c r="BK188" s="1202">
        <f t="shared" si="821"/>
        <v>0</v>
      </c>
      <c r="BL188" s="26"/>
      <c r="BM188" s="26"/>
      <c r="BN188" s="26"/>
    </row>
    <row r="189" spans="1:66" x14ac:dyDescent="0.3">
      <c r="B189" s="6644" t="s">
        <v>216</v>
      </c>
      <c r="C189" s="1372" t="s">
        <v>211</v>
      </c>
      <c r="D189" s="443">
        <v>340</v>
      </c>
      <c r="E189" s="152">
        <f>+$D$189</f>
        <v>340</v>
      </c>
      <c r="F189" s="491">
        <f>+(F188*1000000)/F18</f>
        <v>340.15504027793867</v>
      </c>
      <c r="G189" s="152">
        <f>+$D$189</f>
        <v>340</v>
      </c>
      <c r="H189" s="491">
        <f>+(H188*1000000)/H18</f>
        <v>338.21469724765979</v>
      </c>
      <c r="I189" s="60">
        <f>+$D$189</f>
        <v>340</v>
      </c>
      <c r="J189" s="88">
        <f>+(J188*1000000)/J18</f>
        <v>339.16705095401238</v>
      </c>
      <c r="K189" s="152">
        <f>+$D$189</f>
        <v>340</v>
      </c>
      <c r="L189" s="491">
        <f>+(L188*1000000)/L18</f>
        <v>332.57180625910019</v>
      </c>
      <c r="M189" s="71">
        <f>+$D$189</f>
        <v>340</v>
      </c>
      <c r="N189" s="122">
        <f>+(N188*1000000)/N18</f>
        <v>336.97531365749182</v>
      </c>
      <c r="O189" s="152">
        <f>+$D$189</f>
        <v>340</v>
      </c>
      <c r="P189" s="491">
        <f>+(P188*1000000)/P18</f>
        <v>331.21976887633031</v>
      </c>
      <c r="Q189" s="60">
        <f>+$D$189</f>
        <v>340</v>
      </c>
      <c r="R189" s="88">
        <f>+(R188*1000000)/R18</f>
        <v>335.49816305259264</v>
      </c>
      <c r="S189" s="152">
        <f>+$D$189</f>
        <v>340</v>
      </c>
      <c r="T189" s="491">
        <f>+(T188*1000000)/T18</f>
        <v>326.06127216702629</v>
      </c>
      <c r="U189" s="60">
        <f>+$D$189</f>
        <v>340</v>
      </c>
      <c r="V189" s="88">
        <f>+(V188*1000000)/V18</f>
        <v>333.57834792039705</v>
      </c>
      <c r="W189" s="152">
        <f>+$D$189</f>
        <v>340</v>
      </c>
      <c r="X189" s="491">
        <f>+(X188*1000000)/X18</f>
        <v>330.52122506154882</v>
      </c>
      <c r="Y189" s="71">
        <f>+$D$189</f>
        <v>340</v>
      </c>
      <c r="Z189" s="122">
        <f>+(Z188*1000000)/Z18</f>
        <v>329.2580877984729</v>
      </c>
      <c r="AA189" s="635">
        <f>+$D$189</f>
        <v>340</v>
      </c>
      <c r="AB189" s="479">
        <f>+(AB188*1000000)/AB18</f>
        <v>333.07441161826819</v>
      </c>
      <c r="AC189" s="152">
        <f>+$D$189</f>
        <v>340</v>
      </c>
      <c r="AD189" s="491">
        <f>+(AD188*1000000)/AD18</f>
        <v>326.98244216951059</v>
      </c>
      <c r="AE189" s="60">
        <f>+$D$189</f>
        <v>340</v>
      </c>
      <c r="AF189" s="88">
        <f>+(AF188*1000000)/AF18</f>
        <v>332.19985930508409</v>
      </c>
      <c r="AG189" s="152">
        <f>+$D$189</f>
        <v>340</v>
      </c>
      <c r="AH189" s="491">
        <f>+(AH188*1000000)/AH18</f>
        <v>329.07868248597248</v>
      </c>
      <c r="AI189" s="60">
        <f>+$D$189</f>
        <v>340</v>
      </c>
      <c r="AJ189" s="88">
        <f>+(AJ188*1000000)/AJ18</f>
        <v>331.81407830522733</v>
      </c>
      <c r="AK189" s="152">
        <f>+$D$189</f>
        <v>340</v>
      </c>
      <c r="AL189" s="491">
        <f>+(AL188*1000000)/AL18</f>
        <v>324.70769990644533</v>
      </c>
      <c r="AM189" s="71">
        <f>+$D$189</f>
        <v>340</v>
      </c>
      <c r="AN189" s="122">
        <f>+(AN188*1000000)/AN18</f>
        <v>326.89852422280745</v>
      </c>
      <c r="AO189" s="60">
        <f>+$D$189</f>
        <v>340</v>
      </c>
      <c r="AP189" s="88">
        <f>+(AP188*1000000)/AP18</f>
        <v>331.00869401559527</v>
      </c>
      <c r="AQ189" s="152">
        <f>+$D$189</f>
        <v>340</v>
      </c>
      <c r="AR189" s="491">
        <f>+(AR188*1000000)/AR18</f>
        <v>327.64433096851633</v>
      </c>
      <c r="AS189" s="60">
        <f>+$D$189</f>
        <v>340</v>
      </c>
      <c r="AT189" s="88">
        <f>+(AT188*1000000)/AT18</f>
        <v>330.66893175866892</v>
      </c>
      <c r="AU189" s="152">
        <f>+$D$189</f>
        <v>340</v>
      </c>
      <c r="AV189" s="491">
        <f>+(AV188*1000000)/AV18</f>
        <v>333.43436705261547</v>
      </c>
      <c r="AW189" s="60">
        <f>+$D$189</f>
        <v>340</v>
      </c>
      <c r="AX189" s="88">
        <f>+(AX188*1000000)/AX18</f>
        <v>330.90045304334268</v>
      </c>
      <c r="AY189" s="152">
        <f>+$D$189</f>
        <v>340</v>
      </c>
      <c r="AZ189" s="491">
        <f>+(AZ188*1000000)/AZ18</f>
        <v>325.12204510449277</v>
      </c>
      <c r="BA189" s="71">
        <f>+$D$189</f>
        <v>340</v>
      </c>
      <c r="BB189" s="122">
        <f>+(BB188*1000000)/BB18</f>
        <v>328.56965079119158</v>
      </c>
      <c r="BC189" s="635">
        <f>+$D$189</f>
        <v>340</v>
      </c>
      <c r="BD189" s="479">
        <f>+(BD188*1000000)/BD18</f>
        <v>327.72492398843963</v>
      </c>
      <c r="BE189" s="60">
        <f>+$D$189</f>
        <v>340</v>
      </c>
      <c r="BF189" s="88">
        <f>+(BF188*1000000)/BF18</f>
        <v>330.40735320556155</v>
      </c>
      <c r="BG189" s="1202"/>
      <c r="BH189" s="1202"/>
      <c r="BI189" s="1202"/>
      <c r="BJ189" s="1202"/>
      <c r="BK189" s="1202"/>
      <c r="BL189" s="26"/>
      <c r="BM189" s="26"/>
      <c r="BN189" s="26"/>
    </row>
    <row r="190" spans="1:66" x14ac:dyDescent="0.3">
      <c r="B190" s="1806" t="s">
        <v>217</v>
      </c>
      <c r="C190" s="1372" t="s">
        <v>212</v>
      </c>
      <c r="D190" s="443">
        <v>4225</v>
      </c>
      <c r="E190" s="152">
        <f>+$D$190</f>
        <v>4225</v>
      </c>
      <c r="F190" s="178">
        <v>4263.8599999999997</v>
      </c>
      <c r="G190" s="152">
        <f>+$D$190</f>
        <v>4225</v>
      </c>
      <c r="H190" s="178">
        <v>4266.08</v>
      </c>
      <c r="I190" s="60">
        <f>+$D$190</f>
        <v>4225</v>
      </c>
      <c r="J190" s="38">
        <f>+((F190*F188)+(H188*H190))/J188</f>
        <v>4264.9872118144431</v>
      </c>
      <c r="K190" s="152">
        <f>+$D$190</f>
        <v>4225</v>
      </c>
      <c r="L190" s="178">
        <v>4267.9799999999996</v>
      </c>
      <c r="M190" s="71">
        <f>+$D$190</f>
        <v>4225</v>
      </c>
      <c r="N190" s="68">
        <f>+((J190*J188)+(L188*L190))/N188</f>
        <v>4265.9687809827574</v>
      </c>
      <c r="O190" s="152">
        <f>+$D$190</f>
        <v>4225</v>
      </c>
      <c r="P190" s="178">
        <v>4266.47</v>
      </c>
      <c r="Q190" s="60">
        <f>+$D$190</f>
        <v>4225</v>
      </c>
      <c r="R190" s="38">
        <f>+((N190*N188)+(P188*P190))/R188</f>
        <v>4266.095777550333</v>
      </c>
      <c r="S190" s="152">
        <f>+$D$190</f>
        <v>4225</v>
      </c>
      <c r="T190" s="178">
        <v>4264.1099999999997</v>
      </c>
      <c r="U190" s="60">
        <f>+$D$165</f>
        <v>4225</v>
      </c>
      <c r="V190" s="38">
        <f>+((R190*R188)+(T188*T190))/V188</f>
        <v>4265.7009000046</v>
      </c>
      <c r="W190" s="152">
        <f>+$D$190</f>
        <v>4225</v>
      </c>
      <c r="X190" s="178">
        <v>4266.33</v>
      </c>
      <c r="Y190" s="71">
        <f>+$D$190</f>
        <v>4225</v>
      </c>
      <c r="Z190" s="68">
        <f>+((P190*P188)+(T190*T188)+(X188*X190))/Z188</f>
        <v>4265.638624997232</v>
      </c>
      <c r="AA190" s="635">
        <f>+$D$190</f>
        <v>4225</v>
      </c>
      <c r="AB190" s="449">
        <f>+((N190*N188)+(Z188*Z190))/AB188</f>
        <v>4265.8038059623086</v>
      </c>
      <c r="AC190" s="152">
        <f>+$D$190</f>
        <v>4225</v>
      </c>
      <c r="AD190" s="178">
        <v>4264.92</v>
      </c>
      <c r="AE190" s="60">
        <f>+$D$190</f>
        <v>4225</v>
      </c>
      <c r="AF190" s="38">
        <f>+((AB190*AB188)+(AD188*AD190))/AF188</f>
        <v>4265.6789210445449</v>
      </c>
      <c r="AG190" s="152">
        <f>+$D$190</f>
        <v>4225</v>
      </c>
      <c r="AH190" s="178">
        <v>4261.79</v>
      </c>
      <c r="AI190" s="60">
        <f>+$D$190</f>
        <v>4225</v>
      </c>
      <c r="AJ190" s="38">
        <f>+((AF190*AF188)+(AH188*AH190))/AJ188</f>
        <v>4265.2022085565222</v>
      </c>
      <c r="AK190" s="152">
        <f>+$D$190</f>
        <v>4225</v>
      </c>
      <c r="AL190" s="178">
        <v>4257.7700000000004</v>
      </c>
      <c r="AM190" s="71">
        <f>+$D$190</f>
        <v>4225</v>
      </c>
      <c r="AN190" s="68">
        <f>+((AD190*AD188)+(AH190*AH188)+(AL188*AL190))/AN188</f>
        <v>4261.4812064052549</v>
      </c>
      <c r="AO190" s="60">
        <f>+$D$190</f>
        <v>4225</v>
      </c>
      <c r="AP190" s="38">
        <f>+((AL190*AL188)+(AJ188*AJ190))/AP188</f>
        <v>4264.3759311089798</v>
      </c>
      <c r="AQ190" s="152">
        <f>+$D$190</f>
        <v>4225</v>
      </c>
      <c r="AR190" s="178">
        <v>4259.25</v>
      </c>
      <c r="AS190" s="60">
        <f>+$D$190</f>
        <v>4225</v>
      </c>
      <c r="AT190" s="38">
        <f>+((AP190*AP188)+(AR188*AR190))/AT188</f>
        <v>4263.8630055866179</v>
      </c>
      <c r="AU190" s="152">
        <f>+$D$190</f>
        <v>4225</v>
      </c>
      <c r="AV190" s="178">
        <v>4264.04</v>
      </c>
      <c r="AW190" s="60">
        <f>+$D$190</f>
        <v>4225</v>
      </c>
      <c r="AX190" s="38">
        <f>+((AT190*AT188)+(AV188*AV190))/AX188</f>
        <v>4263.8779369676977</v>
      </c>
      <c r="AY190" s="152">
        <f>+$D$190</f>
        <v>4225</v>
      </c>
      <c r="AZ190" s="178">
        <v>4264.3</v>
      </c>
      <c r="BA190" s="71">
        <f>+$D$190</f>
        <v>4225</v>
      </c>
      <c r="BB190" s="68">
        <f>+((AR190*AR188)+(AV190*AV188)+(AZ190*AZ188))/BB188</f>
        <v>4262.4893168373028</v>
      </c>
      <c r="BC190" s="635">
        <f>+$D$190</f>
        <v>4225</v>
      </c>
      <c r="BD190" s="449">
        <f>+((AN190*AN188)+(BB188*BB190))/BD188</f>
        <v>4261.9810186886298</v>
      </c>
      <c r="BE190" s="60">
        <f>+$D$190</f>
        <v>4225</v>
      </c>
      <c r="BF190" s="38">
        <f>+((AX190*AX188)+(AZ190*AZ188))/BF188</f>
        <v>4263.9133775370392</v>
      </c>
      <c r="BG190" s="1202"/>
      <c r="BH190" s="1202"/>
      <c r="BI190" s="1202"/>
      <c r="BJ190" s="1202"/>
      <c r="BK190" s="1202"/>
      <c r="BL190" s="26"/>
      <c r="BM190" s="26"/>
      <c r="BN190" s="26"/>
    </row>
    <row r="191" spans="1:66" x14ac:dyDescent="0.3">
      <c r="A191" s="144">
        <v>30.467097599999999</v>
      </c>
      <c r="B191" s="1806" t="s">
        <v>574</v>
      </c>
      <c r="C191" s="1372" t="s">
        <v>301</v>
      </c>
      <c r="D191" s="391">
        <v>3.6664755917159737</v>
      </c>
      <c r="E191" s="767">
        <f>+(EMD!D23)/(24*E2)</f>
        <v>3.0229881656804674</v>
      </c>
      <c r="F191" s="131">
        <f>+(EMD!E23)/(24*F2)</f>
        <v>4.9151270360072674</v>
      </c>
      <c r="G191" s="767">
        <f>+(EMD!F23)/(24*G2)</f>
        <v>3.0229881656804669</v>
      </c>
      <c r="H191" s="131">
        <f>+(EMD!G23)/(24*H2)</f>
        <v>3.2312822713198526</v>
      </c>
      <c r="I191" s="52">
        <f>+(EMD!H23)/(24*I2)</f>
        <v>3.0229881656804678</v>
      </c>
      <c r="J191" s="52">
        <f>+(EMD!I23)/(24*J2)</f>
        <v>4.0594026473956308</v>
      </c>
      <c r="K191" s="767">
        <f>+(EMD!J23)/(24*K2)</f>
        <v>3.0229881656804674</v>
      </c>
      <c r="L191" s="131">
        <f>+(EMD!K23)/(24*L2)</f>
        <v>2.4660706434818951</v>
      </c>
      <c r="M191" s="76">
        <f>+(EMD!L23)/(24*M2)</f>
        <v>3.0229881656804678</v>
      </c>
      <c r="N191" s="111">
        <f>+((F191*F$2)+(H191*H$2)+(L191*L$2))/N$2</f>
        <v>3.5341283603911018</v>
      </c>
      <c r="O191" s="767">
        <f>+(EMD!N23)/(24*O2)</f>
        <v>3.0229881656804669</v>
      </c>
      <c r="P191" s="131">
        <f>+(EMD!O23)/(24*P2)</f>
        <v>2.3550810876015635</v>
      </c>
      <c r="Q191" s="52">
        <f>+(EMD!P23)/(24*Q2)</f>
        <v>3.0229881656804678</v>
      </c>
      <c r="R191" s="52">
        <f>+(EMD!Q23)/(24*R2)</f>
        <v>3.2345343812396625</v>
      </c>
      <c r="S191" s="767">
        <f>+(EMD!R23)/(24*S2)</f>
        <v>3.0293934911242606</v>
      </c>
      <c r="T191" s="131">
        <f>+(EMD!S23)/(24*T2)</f>
        <v>2.9080478264353409</v>
      </c>
      <c r="U191" s="52">
        <f>+(EMD!T23)/(24*U2)</f>
        <v>3.0242859767180987</v>
      </c>
      <c r="V191" s="52">
        <f>+(EMD!U23)/(24*V2)</f>
        <v>3.1683835106583951</v>
      </c>
      <c r="W191" s="767">
        <f>+(EMD!V23)/(24*W2)</f>
        <v>10.7</v>
      </c>
      <c r="X191" s="131">
        <f>+(EMD!W23)/(24*X2)</f>
        <v>2.6607083333333335</v>
      </c>
      <c r="Y191" s="76">
        <f>+(EMD!X23)/(24*Y2)</f>
        <v>5.5285199060972445</v>
      </c>
      <c r="Z191" s="76">
        <f>+((P191*P$2)+(T191*T$2)+(X191*X$2))/Z$2</f>
        <v>2.6410678949472177</v>
      </c>
      <c r="AA191" s="662">
        <f>+(EMD!Z23)/(24*AA2)</f>
        <v>4.2825997510266074</v>
      </c>
      <c r="AB191" s="2250">
        <f>+((N191*N$2)+(Z191*Z$2))/AB$2</f>
        <v>3.0851580717526463</v>
      </c>
      <c r="AC191" s="767">
        <f>+(EMD!AB23)/(24*AC2)</f>
        <v>3.0293934911242606</v>
      </c>
      <c r="AD191" s="131">
        <f>+(EMD!AC23)/(24*AD2)</f>
        <v>5.6063575268817205</v>
      </c>
      <c r="AE191" s="52">
        <f>+(EMD!AD23)/(24*AE2)</f>
        <v>4.101060526461314</v>
      </c>
      <c r="AF191" s="1812">
        <f>+(EMD!AE23)/(24*AF2)</f>
        <v>3.4503785535704101</v>
      </c>
      <c r="AG191" s="767">
        <f>+(EMD!AF23)/(24*AG2)</f>
        <v>3.029393491124261</v>
      </c>
      <c r="AH191" s="131">
        <f>+(EMD!AG23)/(24*AH2)</f>
        <v>3.2409722222222221</v>
      </c>
      <c r="AI191" s="52">
        <f>+(EMD!AH23)/(24*AI2)</f>
        <v>3.9692981860510201</v>
      </c>
      <c r="AJ191" s="1812">
        <f>+(EMD!AI23)/(24*AJ2)</f>
        <v>3.4246318734866166</v>
      </c>
      <c r="AK191" s="767">
        <f>+(EMD!AJ23)/(24*AK2)</f>
        <v>3.0293934911242606</v>
      </c>
      <c r="AL191" s="131">
        <f>+(EMD!AK23)/(24*AL2)</f>
        <v>2.8040322580645158</v>
      </c>
      <c r="AM191" s="76">
        <f>+(EMD!AL23)/(24*AM2)</f>
        <v>3.0293934911242606</v>
      </c>
      <c r="AN191" s="110">
        <f>+(EMD!AM23)/(24*AN2)</f>
        <v>3.890774456521739</v>
      </c>
      <c r="AO191" s="52">
        <f>+(EMD!AN23)/(24*AO2)</f>
        <v>3.8633452931683672</v>
      </c>
      <c r="AP191" s="103">
        <f>+(EMD!AO23)/(24*AP2)</f>
        <v>3.354673371384489</v>
      </c>
      <c r="AQ191" s="767">
        <f>+(EMD!AP23)/(24*AQ2)</f>
        <v>3.0293934911242606</v>
      </c>
      <c r="AR191" s="131">
        <f>+(EMD!AQ23)/(24*AR2)</f>
        <v>2.8295967741935479</v>
      </c>
      <c r="AS191" s="52">
        <f>+(EMD!AR23)/(24*AS2)</f>
        <v>3.7788599798893889</v>
      </c>
      <c r="AT191" s="1812">
        <f>+(EMD!AS23)/(24*AT2)</f>
        <v>3.3014793370285442</v>
      </c>
      <c r="AU191" s="767">
        <f>+(EMD!AT23)/(24*AU2)</f>
        <v>3.0293934911242544</v>
      </c>
      <c r="AV191" s="131">
        <f>+(EMD!AU23)/(24*AV2)</f>
        <v>4.2283333333333335</v>
      </c>
      <c r="AW191" s="52">
        <f>+(EMD!AV23)/(24*AW2)</f>
        <v>3.7160304538851263</v>
      </c>
      <c r="AX191" s="1812">
        <f>+(EMD!AW23)/(24*AX2)</f>
        <v>3.3791796720481071</v>
      </c>
      <c r="AY191" s="767">
        <f>+(EMD!AX23)/(24*AY2)</f>
        <v>3.0293934911242606</v>
      </c>
      <c r="AZ191" s="131">
        <f>+(EMD!AY23)/(24*AZ2)</f>
        <v>4.4349999999999996</v>
      </c>
      <c r="BA191" s="76">
        <f>+(EMD!AZ23)/(24*BA2)</f>
        <v>3.0293934911242588</v>
      </c>
      <c r="BB191" s="111">
        <f>+(EMD!BA23)/(24*BB2)</f>
        <v>3.8177314814814811</v>
      </c>
      <c r="BC191" s="662">
        <f>+(EMD!BB23)/(24*BC2)</f>
        <v>3.0293934911242597</v>
      </c>
      <c r="BD191" s="469">
        <f>+(EMD!BC23)/(24*BD2)</f>
        <v>3.8546543040293035</v>
      </c>
      <c r="BE191" s="52">
        <f>+(EMD!BD23)/(24*BE2)</f>
        <v>3.6577133419794086</v>
      </c>
      <c r="BF191" s="105">
        <f>+(EMD!BE23)/(24*BF2)</f>
        <v>3.4688520834631995</v>
      </c>
      <c r="BG191" s="1202"/>
      <c r="BH191" s="1202"/>
      <c r="BI191" s="1202"/>
      <c r="BJ191" s="1202"/>
      <c r="BK191" s="1202"/>
      <c r="BL191" s="26"/>
      <c r="BM191" s="26"/>
      <c r="BN191" s="26"/>
    </row>
    <row r="192" spans="1:66" x14ac:dyDescent="0.3">
      <c r="B192" s="1806" t="s">
        <v>575</v>
      </c>
      <c r="C192" s="1372" t="s">
        <v>301</v>
      </c>
      <c r="D192" s="391">
        <v>83.041666666666671</v>
      </c>
      <c r="E192" s="767">
        <f>+(EMD!D61)/(24*E2)</f>
        <v>86.5</v>
      </c>
      <c r="F192" s="131">
        <f>+(EMD!E61)/(24*F2)</f>
        <v>78.856944444444451</v>
      </c>
      <c r="G192" s="767">
        <f>+(EMD!F61)/(24*G2)</f>
        <v>86.5</v>
      </c>
      <c r="H192" s="131">
        <f>+(EMD!G61)/(24*H2)</f>
        <v>86.924731182795696</v>
      </c>
      <c r="I192" s="52">
        <f>+(EMD!H61)/(24*I2)</f>
        <v>86.5</v>
      </c>
      <c r="J192" s="52">
        <f>+(EMD!I61)/(24*J2)</f>
        <v>82.956967213114751</v>
      </c>
      <c r="K192" s="767">
        <f>+(EMD!J61)/(24*K2)</f>
        <v>86.5</v>
      </c>
      <c r="L192" s="131">
        <f>+(EMD!K61)/(24*L2)</f>
        <v>91.350462962962951</v>
      </c>
      <c r="M192" s="76">
        <f>+(EMD!L61)/(24*M2)</f>
        <v>86.5</v>
      </c>
      <c r="N192" s="111">
        <f>+((F192*F$2)+(H192*H$2)+(L192*L$2))/N$2</f>
        <v>85.724053724053718</v>
      </c>
      <c r="O192" s="767">
        <f>+(EMD!N61)/(24*O2)</f>
        <v>86.5</v>
      </c>
      <c r="P192" s="131">
        <f>+(EMD!O61)/(24*P2)</f>
        <v>92.540322580645167</v>
      </c>
      <c r="Q192" s="52">
        <f>+(EMD!P61)/(24*Q2)</f>
        <v>86.5</v>
      </c>
      <c r="R192" s="52">
        <f>+(EMD!Q61)/(24*R2)</f>
        <v>87.456056466302357</v>
      </c>
      <c r="S192" s="767">
        <f>+(EMD!R61)/(24*S2)</f>
        <v>86.5</v>
      </c>
      <c r="T192" s="131">
        <f>+(EMD!S61)/(24*T2)</f>
        <v>88.795698924731184</v>
      </c>
      <c r="U192" s="52">
        <f>+(EMD!T61)/(24*U2)</f>
        <v>86.5</v>
      </c>
      <c r="V192" s="52">
        <f>+(EMD!U61)/(24*V2)</f>
        <v>87.727487291212782</v>
      </c>
      <c r="W192" s="767">
        <f>+(EMD!V61)/(24*W2)</f>
        <v>45</v>
      </c>
      <c r="X192" s="131">
        <f>+(EMD!W61)/(24*X2)</f>
        <v>90.990555555555545</v>
      </c>
      <c r="Y192" s="76">
        <f>+(EMD!X61)/(24*Y2)</f>
        <v>72.967391304347828</v>
      </c>
      <c r="Z192" s="76">
        <f>+((P192*P$2)+(T192*T$2)+(X192*X$2))/Z$2</f>
        <v>90.773188405797086</v>
      </c>
      <c r="AA192" s="662">
        <f>+(EMD!Z61)/(24*AA2)</f>
        <v>79.696721311475414</v>
      </c>
      <c r="AB192" s="2250">
        <f>+((N192*N$2)+(Z192*Z$2))/AB$2</f>
        <v>88.262416514875525</v>
      </c>
      <c r="AC192" s="767">
        <f>+(EMD!AB61)/(24*AC2)</f>
        <v>86.5</v>
      </c>
      <c r="AD192" s="131">
        <f>+(EMD!AC61)/(24*AD2)</f>
        <v>74.58064516129032</v>
      </c>
      <c r="AE192" s="52">
        <f>+(EMD!AD61)/(24*AE2)</f>
        <v>80.682242990654203</v>
      </c>
      <c r="AF192" s="1812">
        <f>+(EMD!AE61)/(24*AF2)</f>
        <v>86.280477673935621</v>
      </c>
      <c r="AG192" s="767">
        <f>+(EMD!AF61)/(24*AG2)</f>
        <v>86.5</v>
      </c>
      <c r="AH192" s="131">
        <f>+(EMD!AG61)/(24*AH2)</f>
        <v>87.845833333333331</v>
      </c>
      <c r="AI192" s="52">
        <f>+(EMD!AH61)/(24*AI2)</f>
        <v>81.397540983606561</v>
      </c>
      <c r="AJ192" s="1812">
        <f>+(EMD!AI61)/(24*AJ2)</f>
        <v>86.472939435336968</v>
      </c>
      <c r="AK192" s="767">
        <f>+(EMD!AJ61)/(24*AK2)</f>
        <v>86.5</v>
      </c>
      <c r="AL192" s="131">
        <f>+(EMD!AK61)/(24*AL2)</f>
        <v>90.130241935483866</v>
      </c>
      <c r="AM192" s="76">
        <f>+(EMD!AL61)/(24*AM2)</f>
        <v>86.5</v>
      </c>
      <c r="AN192" s="110">
        <f>+(EMD!AM61)/(24*AN2)</f>
        <v>84.145788043478262</v>
      </c>
      <c r="AO192" s="52">
        <f>+(EMD!AN61)/(24*AO2)</f>
        <v>81.972727272727269</v>
      </c>
      <c r="AP192" s="103">
        <f>+(EMD!AO61)/(24*AP2)</f>
        <v>86.885217171717173</v>
      </c>
      <c r="AQ192" s="767">
        <f>+(EMD!AP61)/(24*AQ2)</f>
        <v>86.5</v>
      </c>
      <c r="AR192" s="131">
        <f>+(EMD!AQ61)/(24*AR2)</f>
        <v>89.588709677419359</v>
      </c>
      <c r="AS192" s="52">
        <f>+(EMD!AR61)/(24*AS2)</f>
        <v>82.431372549019613</v>
      </c>
      <c r="AT192" s="1812">
        <f>+(EMD!AS61)/(24*AT2)</f>
        <v>87.159100399419032</v>
      </c>
      <c r="AU192" s="767">
        <f>+(EMD!AT61)/(24*AU2)</f>
        <v>86.5</v>
      </c>
      <c r="AV192" s="131">
        <f>+(EMD!AU61)/(24*AV2)</f>
        <v>87.126488095238102</v>
      </c>
      <c r="AW192" s="52">
        <f>+(EMD!AV61)/(24*AW2)</f>
        <v>82.772455089820355</v>
      </c>
      <c r="AX192" s="1812">
        <f>+(EMD!AW61)/(24*AX2)</f>
        <v>87.156366433799064</v>
      </c>
      <c r="AY192" s="767">
        <f>+(EMD!AX61)/(24*AY2)</f>
        <v>86.5</v>
      </c>
      <c r="AZ192" s="131">
        <f>+(EMD!AY61)/(24*AZ2)</f>
        <v>88.23521505376344</v>
      </c>
      <c r="BA192" s="71">
        <f>+(EMD!AZ61)/(24*BA2)</f>
        <v>86.5</v>
      </c>
      <c r="BB192" s="68">
        <f>+(EMD!BA61)/(24*BB2)</f>
        <v>88.356481481481481</v>
      </c>
      <c r="BC192" s="635">
        <f>+(EMD!BB61)/(24*BC2)</f>
        <v>86.5</v>
      </c>
      <c r="BD192" s="449">
        <f>+(EMD!BC61)/(24*BD2)</f>
        <v>86.227999084249092</v>
      </c>
      <c r="BE192" s="60">
        <f>+(EMD!BD61)/(24*BE2)</f>
        <v>83.089041095890408</v>
      </c>
      <c r="BF192" s="38">
        <f>+(EMD!BE61)/(24*BF2)</f>
        <v>87.247994672754942</v>
      </c>
      <c r="BG192" s="1202"/>
      <c r="BH192" s="1202"/>
      <c r="BI192" s="1202"/>
      <c r="BJ192" s="1202"/>
      <c r="BK192" s="1202"/>
      <c r="BL192" s="26"/>
      <c r="BM192" s="26"/>
      <c r="BN192" s="26"/>
    </row>
    <row r="193" spans="1:66" x14ac:dyDescent="0.3">
      <c r="B193" s="1835" t="s">
        <v>779</v>
      </c>
      <c r="C193" s="1372" t="s">
        <v>213</v>
      </c>
      <c r="D193" s="443">
        <f>7.2882126796875*1000*24*365</f>
        <v>63844743.074062496</v>
      </c>
      <c r="E193" s="152">
        <f>+'POWER DISTRIBUTION'!I20</f>
        <v>5267670.03</v>
      </c>
      <c r="F193" s="491">
        <f>+'POWER DISTRIBUTION'!J20</f>
        <v>5114575.7499999991</v>
      </c>
      <c r="G193" s="152">
        <f>+'POWER DISTRIBUTION'!K20</f>
        <v>5443259.0310000004</v>
      </c>
      <c r="H193" s="491">
        <f>+'POWER DISTRIBUTION'!L20</f>
        <v>5230424.8400000054</v>
      </c>
      <c r="I193" s="60">
        <f>+'POWER DISTRIBUTION'!M20</f>
        <v>10710929.061000001</v>
      </c>
      <c r="J193" s="38">
        <f>+'POWER DISTRIBUTION'!N20</f>
        <v>10345000.590000004</v>
      </c>
      <c r="K193" s="152">
        <f>+'POWER DISTRIBUTION'!O20</f>
        <v>5267670.03</v>
      </c>
      <c r="L193" s="491">
        <f>+'POWER DISTRIBUTION'!P20</f>
        <v>4982808.9399999864</v>
      </c>
      <c r="M193" s="71">
        <f>+'POWER DISTRIBUTION'!Q20</f>
        <v>15978599.091000002</v>
      </c>
      <c r="N193" s="122">
        <f>+L193+H193+F193</f>
        <v>15327809.52999999</v>
      </c>
      <c r="O193" s="152">
        <f>+'POWER DISTRIBUTION'!S20</f>
        <v>5443259.0310000004</v>
      </c>
      <c r="P193" s="491">
        <f>+'POWER DISTRIBUTION'!T20</f>
        <v>5165082.3400000138</v>
      </c>
      <c r="Q193" s="60">
        <f>+'POWER DISTRIBUTION'!U20</f>
        <v>21421858.122000001</v>
      </c>
      <c r="R193" s="38">
        <f>+'POWER DISTRIBUTION'!V20</f>
        <v>20492891.870000005</v>
      </c>
      <c r="S193" s="152">
        <f>+'POWER DISTRIBUTION'!W20</f>
        <v>5443259.0310000004</v>
      </c>
      <c r="T193" s="491">
        <f>+'POWER DISTRIBUTION'!X20</f>
        <v>4967620.5999999903</v>
      </c>
      <c r="U193" s="60">
        <f>+'POWER DISTRIBUTION'!Y20</f>
        <v>26865117.153000001</v>
      </c>
      <c r="V193" s="38">
        <f>+'POWER DISTRIBUTION'!Z20</f>
        <v>25460512.469999995</v>
      </c>
      <c r="W193" s="152">
        <f>+'POWER DISTRIBUTION'!AA20</f>
        <v>5025787.2224999992</v>
      </c>
      <c r="X193" s="491">
        <f>+'POWER DISTRIBUTION'!AB20</f>
        <v>4729684.800000011</v>
      </c>
      <c r="Y193" s="71">
        <f>+'POWER DISTRIBUTION'!AC20</f>
        <v>15912305.284499999</v>
      </c>
      <c r="Z193" s="1107">
        <f>+P193+T193+X193</f>
        <v>14862387.740000017</v>
      </c>
      <c r="AA193" s="635">
        <f>+'POWER DISTRIBUTION'!AE20</f>
        <v>31890904.375500001</v>
      </c>
      <c r="AB193" s="449">
        <f>+N193+Z193</f>
        <v>30190197.270000007</v>
      </c>
      <c r="AC193" s="152">
        <f>+'POWER DISTRIBUTION'!AG20</f>
        <v>5443259.0310000004</v>
      </c>
      <c r="AD193" s="491">
        <f>+'POWER DISTRIBUTION'!AH20</f>
        <v>4972368.8999999939</v>
      </c>
      <c r="AE193" s="60">
        <f>+'POWER DISTRIBUTION'!AI20</f>
        <v>37334163.406500004</v>
      </c>
      <c r="AF193" s="38">
        <f>+'POWER DISTRIBUTION'!AJ20</f>
        <v>35162566.170000002</v>
      </c>
      <c r="AG193" s="152">
        <f>+'POWER DISTRIBUTION'!AK20</f>
        <v>5267670.03</v>
      </c>
      <c r="AH193" s="491">
        <f>+'POWER DISTRIBUTION'!AL20</f>
        <v>5090430.7000000188</v>
      </c>
      <c r="AI193" s="60">
        <f>+'POWER DISTRIBUTION'!AM20</f>
        <v>42601833.436500005</v>
      </c>
      <c r="AJ193" s="38">
        <f>+'POWER DISTRIBUTION'!AN20</f>
        <v>40252996.87000002</v>
      </c>
      <c r="AK193" s="152">
        <f>+'POWER DISTRIBUTION'!AO20</f>
        <v>5443259.0310000004</v>
      </c>
      <c r="AL193" s="491">
        <f>+'POWER DISTRIBUTION'!AP20</f>
        <v>5200091.999999986</v>
      </c>
      <c r="AM193" s="71">
        <f>+'POWER DISTRIBUTION'!AQ20</f>
        <v>16154188.092</v>
      </c>
      <c r="AN193" s="71">
        <f>+'POWER DISTRIBUTION'!AR20</f>
        <v>15262891.599999998</v>
      </c>
      <c r="AO193" s="60">
        <f>+'POWER DISTRIBUTION'!AS20</f>
        <v>48045092.467500009</v>
      </c>
      <c r="AP193" s="38">
        <f>+'POWER DISTRIBUTION'!AT20</f>
        <v>45453088.870000005</v>
      </c>
      <c r="AQ193" s="152">
        <f>+'POWER DISTRIBUTION'!AU20</f>
        <v>5443259.0310000004</v>
      </c>
      <c r="AR193" s="491">
        <f>+'POWER DISTRIBUTION'!AV20</f>
        <v>5008155.8999999892</v>
      </c>
      <c r="AS193" s="60">
        <f>+'POWER DISTRIBUTION'!AW20</f>
        <v>53488351.498500012</v>
      </c>
      <c r="AT193" s="38">
        <f>+'POWER DISTRIBUTION'!AX20</f>
        <v>50461244.769999996</v>
      </c>
      <c r="AU193" s="152">
        <f>+'POWER DISTRIBUTION'!AY20</f>
        <v>4916492.0280000009</v>
      </c>
      <c r="AV193" s="491">
        <f>+'POWER DISTRIBUTION'!AZ20</f>
        <v>4650549.8000000147</v>
      </c>
      <c r="AW193" s="60">
        <f>+'POWER DISTRIBUTION'!BA20</f>
        <v>58404843.526500016</v>
      </c>
      <c r="AX193" s="38">
        <f>+'POWER DISTRIBUTION'!BB20</f>
        <v>55111794.570000008</v>
      </c>
      <c r="AY193" s="152">
        <f>+'POWER DISTRIBUTION'!BC20</f>
        <v>5443259.0310000004</v>
      </c>
      <c r="AZ193" s="491">
        <f>+'POWER DISTRIBUTION'!BD20</f>
        <v>5022713.2999999952</v>
      </c>
      <c r="BA193" s="71">
        <f>+'POWER DISTRIBUTION'!BE20</f>
        <v>15803010.09</v>
      </c>
      <c r="BB193" s="68">
        <f>+'POWER DISTRIBUTION'!BF20</f>
        <v>14681418.999999998</v>
      </c>
      <c r="BC193" s="635">
        <f>+'POWER DISTRIBUTION'!BG20</f>
        <v>31957198.182</v>
      </c>
      <c r="BD193" s="449">
        <f>+'POWER DISTRIBUTION'!BH20</f>
        <v>29944310.599999994</v>
      </c>
      <c r="BE193" s="60">
        <f>+'POWER DISTRIBUTION'!BI20</f>
        <v>63848102.55750002</v>
      </c>
      <c r="BF193" s="38">
        <f>+'POWER DISTRIBUTION'!BJ20</f>
        <v>60134507.870000005</v>
      </c>
      <c r="BG193" s="1202">
        <f t="shared" si="801"/>
        <v>0</v>
      </c>
      <c r="BH193" s="1202">
        <f t="shared" si="802"/>
        <v>0</v>
      </c>
      <c r="BI193" s="1202"/>
      <c r="BJ193" s="1202">
        <f t="shared" si="820"/>
        <v>0</v>
      </c>
      <c r="BK193" s="1202">
        <f t="shared" si="821"/>
        <v>0</v>
      </c>
      <c r="BL193" s="26"/>
      <c r="BM193" s="26"/>
      <c r="BN193" s="26"/>
    </row>
    <row r="194" spans="1:66" x14ac:dyDescent="0.3">
      <c r="A194" s="528"/>
      <c r="B194" s="1835" t="s">
        <v>780</v>
      </c>
      <c r="C194" s="1372" t="s">
        <v>1751</v>
      </c>
      <c r="D194" s="391">
        <f t="shared" ref="D194:AX194" si="982">+D193/D18</f>
        <v>56.787011891398905</v>
      </c>
      <c r="E194" s="767">
        <f t="shared" si="982"/>
        <v>56.790000000000006</v>
      </c>
      <c r="F194" s="1298">
        <f t="shared" si="982"/>
        <v>55.650589221605088</v>
      </c>
      <c r="G194" s="767">
        <f t="shared" ref="G194:H194" si="983">+G193/G18</f>
        <v>56.79</v>
      </c>
      <c r="H194" s="1298">
        <f t="shared" si="983"/>
        <v>54.85840067712639</v>
      </c>
      <c r="I194" s="52">
        <f t="shared" si="982"/>
        <v>56.79</v>
      </c>
      <c r="J194" s="103">
        <f t="shared" si="982"/>
        <v>55.247220429454345</v>
      </c>
      <c r="K194" s="767">
        <f t="shared" si="982"/>
        <v>56.790000000000006</v>
      </c>
      <c r="L194" s="1298">
        <f t="shared" si="982"/>
        <v>53.464360983575808</v>
      </c>
      <c r="M194" s="76">
        <f t="shared" si="982"/>
        <v>56.79</v>
      </c>
      <c r="N194" s="110">
        <f t="shared" si="982"/>
        <v>54.654739070119746</v>
      </c>
      <c r="O194" s="767">
        <f t="shared" ref="O194:P194" si="984">+O193/O18</f>
        <v>56.79</v>
      </c>
      <c r="P194" s="1298">
        <f t="shared" si="984"/>
        <v>53.343437338468405</v>
      </c>
      <c r="Q194" s="52">
        <f t="shared" si="982"/>
        <v>56.79</v>
      </c>
      <c r="R194" s="103">
        <f t="shared" si="982"/>
        <v>54.318195750631709</v>
      </c>
      <c r="S194" s="767">
        <f t="shared" si="982"/>
        <v>56.79</v>
      </c>
      <c r="T194" s="1298">
        <f t="shared" si="982"/>
        <v>51.556095925740166</v>
      </c>
      <c r="U194" s="52">
        <f t="shared" si="982"/>
        <v>56.789999999999992</v>
      </c>
      <c r="V194" s="103">
        <f t="shared" si="982"/>
        <v>53.756281757478312</v>
      </c>
      <c r="W194" s="767">
        <f t="shared" ref="W194:X194" si="985">+W193/W18</f>
        <v>56.789999999999992</v>
      </c>
      <c r="X194" s="1298">
        <f t="shared" si="985"/>
        <v>50.594252516376145</v>
      </c>
      <c r="Y194" s="76">
        <f t="shared" si="982"/>
        <v>56.789999999999985</v>
      </c>
      <c r="Z194" s="110">
        <f t="shared" si="982"/>
        <v>51.84614751870928</v>
      </c>
      <c r="AA194" s="662">
        <f t="shared" si="982"/>
        <v>56.789999999999992</v>
      </c>
      <c r="AB194" s="466">
        <f t="shared" si="982"/>
        <v>53.23505268146242</v>
      </c>
      <c r="AC194" s="767">
        <f t="shared" si="982"/>
        <v>56.79</v>
      </c>
      <c r="AD194" s="1298">
        <f t="shared" si="982"/>
        <v>52.30760628928099</v>
      </c>
      <c r="AE194" s="52">
        <f t="shared" si="982"/>
        <v>56.79</v>
      </c>
      <c r="AF194" s="103">
        <f t="shared" si="982"/>
        <v>53.101910124780382</v>
      </c>
      <c r="AG194" s="767">
        <f t="shared" ref="AG194:AH194" si="986">+AG193/AG18</f>
        <v>56.790000000000006</v>
      </c>
      <c r="AH194" s="1298">
        <f t="shared" si="986"/>
        <v>54.508402578489942</v>
      </c>
      <c r="AI194" s="52">
        <f t="shared" si="982"/>
        <v>56.79</v>
      </c>
      <c r="AJ194" s="103">
        <f t="shared" si="982"/>
        <v>53.275754189544884</v>
      </c>
      <c r="AK194" s="767">
        <f t="shared" si="982"/>
        <v>56.79</v>
      </c>
      <c r="AL194" s="1298">
        <f t="shared" si="982"/>
        <v>53.845366092826588</v>
      </c>
      <c r="AM194" s="76">
        <f t="shared" si="982"/>
        <v>56.789999999999992</v>
      </c>
      <c r="AN194" s="110">
        <f t="shared" si="982"/>
        <v>53.549740424183746</v>
      </c>
      <c r="AO194" s="52">
        <f t="shared" si="982"/>
        <v>56.79</v>
      </c>
      <c r="AP194" s="103">
        <f t="shared" si="982"/>
        <v>53.340309783455993</v>
      </c>
      <c r="AQ194" s="767">
        <f t="shared" ref="AQ194:AR194" si="987">+AQ193/AQ18</f>
        <v>56.79</v>
      </c>
      <c r="AR194" s="1298">
        <f t="shared" si="987"/>
        <v>52.319417442257567</v>
      </c>
      <c r="AS194" s="52">
        <f t="shared" si="982"/>
        <v>56.790000000000006</v>
      </c>
      <c r="AT194" s="103">
        <f t="shared" si="982"/>
        <v>53.237211312491176</v>
      </c>
      <c r="AU194" s="767">
        <f t="shared" si="982"/>
        <v>56.790000000000013</v>
      </c>
      <c r="AV194" s="1298">
        <f t="shared" si="982"/>
        <v>53.698553485807821</v>
      </c>
      <c r="AW194" s="52">
        <f t="shared" si="982"/>
        <v>56.790000000000013</v>
      </c>
      <c r="AX194" s="103">
        <f t="shared" si="982"/>
        <v>53.275834719400841</v>
      </c>
      <c r="AY194" s="767">
        <f t="shared" ref="AY194:AZ194" si="988">+AY193/AY18</f>
        <v>56.79</v>
      </c>
      <c r="AZ194" s="1298">
        <f t="shared" si="988"/>
        <v>52.042667476242407</v>
      </c>
      <c r="BA194" s="76">
        <f t="shared" ref="BA194:BF194" si="989">+BA193/BA18</f>
        <v>56.79</v>
      </c>
      <c r="BB194" s="110">
        <f t="shared" si="989"/>
        <v>52.651975746569065</v>
      </c>
      <c r="BC194" s="662">
        <f t="shared" si="989"/>
        <v>56.789999999999992</v>
      </c>
      <c r="BD194" s="466">
        <f t="shared" si="989"/>
        <v>53.105780922126968</v>
      </c>
      <c r="BE194" s="52">
        <f t="shared" si="989"/>
        <v>56.79000000000002</v>
      </c>
      <c r="BF194" s="103">
        <f t="shared" si="989"/>
        <v>53.170602521537099</v>
      </c>
      <c r="BG194" s="1202"/>
      <c r="BH194" s="1202"/>
      <c r="BI194" s="1202"/>
      <c r="BJ194" s="1202"/>
      <c r="BK194" s="1202"/>
      <c r="BL194" s="26"/>
      <c r="BM194" s="26"/>
      <c r="BN194" s="26"/>
    </row>
    <row r="195" spans="1:66" ht="15" thickBot="1" x14ac:dyDescent="0.35">
      <c r="B195" s="1836" t="s">
        <v>218</v>
      </c>
      <c r="C195" s="1392" t="s">
        <v>1082</v>
      </c>
      <c r="D195" s="2688">
        <v>0.69015754301650478</v>
      </c>
      <c r="E195" s="783">
        <v>0.68999999999999984</v>
      </c>
      <c r="F195" s="383">
        <v>0.68640000000000001</v>
      </c>
      <c r="G195" s="783">
        <v>0.68999999999999972</v>
      </c>
      <c r="H195" s="383">
        <v>0.68300000000000005</v>
      </c>
      <c r="I195" s="389">
        <f>+((E195*E18)+(G195*G18))/I18</f>
        <v>0.68999999999999972</v>
      </c>
      <c r="J195" s="389">
        <f>+((F195*F18)+(H195*H18))/J18</f>
        <v>0.68466877843302443</v>
      </c>
      <c r="K195" s="783">
        <v>0.68999999999999984</v>
      </c>
      <c r="L195" s="383">
        <v>0.68300000000000005</v>
      </c>
      <c r="M195" s="1560">
        <f>+((E195*E18)+(G195*G18)+(K195*K18))/M18</f>
        <v>0.68999999999999984</v>
      </c>
      <c r="N195" s="1560">
        <f>+((F195*F18)+(H195*H18)+(L195*L18))/N18</f>
        <v>0.6841142085723928</v>
      </c>
      <c r="O195" s="783">
        <v>0.68999999999999972</v>
      </c>
      <c r="P195" s="383">
        <v>0.68100000000000005</v>
      </c>
      <c r="Q195" s="389">
        <f>+((M195*M18)+(O195*O18))/Q18</f>
        <v>0.68999999999999984</v>
      </c>
      <c r="R195" s="389">
        <f>+((N195*N18)+(P195*P18))/R18</f>
        <v>0.68331495233316608</v>
      </c>
      <c r="S195" s="783">
        <v>0.69021006500857063</v>
      </c>
      <c r="T195" s="383">
        <v>0.67900000000000005</v>
      </c>
      <c r="U195" s="389">
        <f>+((Q195*Q18)+(S195*S18))/U18</f>
        <v>0.69004256219127891</v>
      </c>
      <c r="V195" s="389">
        <f>+((R195*R18)+(T195*T18))/V18</f>
        <v>0.68243713029576336</v>
      </c>
      <c r="W195" s="783">
        <v>0.6899768638185716</v>
      </c>
      <c r="X195" s="383">
        <v>0.68500000000000005</v>
      </c>
      <c r="Y195" s="390">
        <f>+((O195*O18)+(S195*S18)+(W195*W18))/Y18</f>
        <v>0.69006455134637201</v>
      </c>
      <c r="Z195" s="390">
        <f>+((P195*P18)+(T195*T18)+(X195*X18))/Z18</f>
        <v>0.68163218137794401</v>
      </c>
      <c r="AA195" s="2251">
        <f>+((M195*M18)+(Y195*Y18))/AA18</f>
        <v>0.69003220857953418</v>
      </c>
      <c r="AB195" s="2251">
        <f>+((N195*N18)+(Z195*Z18))/AB18</f>
        <v>0.68285959388038941</v>
      </c>
      <c r="AC195" s="783">
        <v>0.69021006500857063</v>
      </c>
      <c r="AD195" s="383">
        <v>0.67800000000000005</v>
      </c>
      <c r="AE195" s="1813">
        <f>+((AA195*AA18)+(AC195*AC18))/AE18</f>
        <v>0.69005813975155572</v>
      </c>
      <c r="AF195" s="1813">
        <f>+((AB195*AB18)+(AD195*AD18))/AF18</f>
        <v>0.68216195921478939</v>
      </c>
      <c r="AG195" s="783">
        <v>0.69021006500857085</v>
      </c>
      <c r="AH195" s="383">
        <v>0.68300000000000005</v>
      </c>
      <c r="AI195" s="1813">
        <f>+((AE195*AE18)+(AG195*AG18))/AI18</f>
        <v>0.69007692514313679</v>
      </c>
      <c r="AJ195" s="1813">
        <f>+((AF195*AF18)+(AH195*AH18))/AJ18</f>
        <v>0.6822655420076833</v>
      </c>
      <c r="AK195" s="783">
        <v>0.69021006500857063</v>
      </c>
      <c r="AL195" s="383">
        <v>0.68600000000000005</v>
      </c>
      <c r="AM195" s="390">
        <f>+((AC195*AC18)+(AG195*AG18)+(AK195*AK18))/AM18</f>
        <v>0.69021006500857063</v>
      </c>
      <c r="AN195" s="390">
        <f>+((AD195*AD18)+(AH195*AH18)+(AL195*AL18))/AN18</f>
        <v>0.68234890413991589</v>
      </c>
      <c r="AO195" s="1813">
        <f>+((AK195*AK18)+(AI195*AI18))/AO18</f>
        <v>0.69009200919725533</v>
      </c>
      <c r="AP195" s="1813">
        <f>+((AL195*AL18)+(AJ195*AJ18))/AP18</f>
        <v>0.68268877781480242</v>
      </c>
      <c r="AQ195" s="783">
        <v>0.69021006500857063</v>
      </c>
      <c r="AR195" s="383">
        <v>0.73099999999999998</v>
      </c>
      <c r="AS195" s="1813">
        <f>+((AO195*AO18)+(AQ195*AQ18))/AS18</f>
        <v>0.69010402318428432</v>
      </c>
      <c r="AT195" s="1813">
        <f>+((AP195*AP18)+(AR195*AR18))/AT18</f>
        <v>0.68756765968778077</v>
      </c>
      <c r="AU195" s="783">
        <v>0.69</v>
      </c>
      <c r="AV195" s="383">
        <v>0.73599999999999999</v>
      </c>
      <c r="AW195" s="1813">
        <f>+((AS195*AS18)+(AU195*AU18))/AW18</f>
        <v>0.69009526656196707</v>
      </c>
      <c r="AX195" s="1813">
        <f>+((AT195*AT18)+(AV195*AV18))/AX18</f>
        <v>0.69162239843845308</v>
      </c>
      <c r="AY195" s="783">
        <v>0.69</v>
      </c>
      <c r="AZ195" s="383">
        <v>0.755</v>
      </c>
      <c r="BA195" s="749">
        <f>+((AQ195*AQ18)+(AU195*AU18)+(AY195*AY18))/BA18</f>
        <v>0.69007235572517434</v>
      </c>
      <c r="BB195" s="749">
        <f>+((AR195*AR18)+(AV195*AV18)+(AZ195*AZ18))/BB18</f>
        <v>0.7408598099117446</v>
      </c>
      <c r="BC195" s="4478">
        <f>+((AM195*AM18)+(BA195*BA18))/BC18</f>
        <v>0.69014196701128672</v>
      </c>
      <c r="BD195" s="4478">
        <f>+((AN195*AN18)+(BB195*BB18))/BD18</f>
        <v>0.71128351611459251</v>
      </c>
      <c r="BE195" s="1813">
        <f>+((AW195*AW18)+(AY195*AY18))/BE18</f>
        <v>0.69008714477677691</v>
      </c>
      <c r="BF195" s="1813">
        <f>+((AX195*AX18)+(AZ195*AZ18))/BF18</f>
        <v>0.69703071944653661</v>
      </c>
      <c r="BG195" s="1202"/>
      <c r="BH195" s="1202"/>
      <c r="BI195" s="1202"/>
      <c r="BJ195" s="1202"/>
      <c r="BK195" s="1202"/>
      <c r="BL195" s="26"/>
      <c r="BM195" s="26"/>
      <c r="BN195" s="26"/>
    </row>
    <row r="196" spans="1:66" ht="15" thickBot="1" x14ac:dyDescent="0.35">
      <c r="B196" s="1826"/>
      <c r="C196" s="528"/>
      <c r="D196" s="528"/>
      <c r="E196" s="528"/>
      <c r="F196" s="528"/>
      <c r="G196" s="528"/>
      <c r="H196" s="528"/>
      <c r="I196" s="528"/>
      <c r="J196" s="528"/>
      <c r="K196" s="528"/>
      <c r="L196" s="528"/>
      <c r="M196" s="528"/>
      <c r="N196" s="528"/>
      <c r="O196" s="528"/>
      <c r="P196" s="528"/>
      <c r="Q196" s="528"/>
      <c r="R196" s="528"/>
      <c r="S196" s="528"/>
      <c r="T196" s="528"/>
      <c r="U196" s="528"/>
      <c r="V196" s="528"/>
      <c r="W196" s="528"/>
      <c r="X196" s="528"/>
      <c r="Y196" s="528"/>
      <c r="Z196" s="528"/>
      <c r="AA196" s="528"/>
      <c r="AB196" s="1811"/>
      <c r="AC196" s="528"/>
      <c r="AD196" s="528"/>
      <c r="AE196" s="528"/>
      <c r="AF196" s="1811"/>
      <c r="AG196" s="528"/>
      <c r="AH196" s="528"/>
      <c r="AI196" s="528"/>
      <c r="AJ196" s="1811"/>
      <c r="AK196" s="528"/>
      <c r="AL196" s="528"/>
      <c r="AM196" s="528"/>
      <c r="AN196" s="528"/>
      <c r="AO196" s="528"/>
      <c r="AP196" s="1811"/>
      <c r="AQ196" s="528"/>
      <c r="AR196" s="528"/>
      <c r="AS196" s="528"/>
      <c r="AT196" s="1811"/>
      <c r="AU196" s="528"/>
      <c r="AV196" s="528"/>
      <c r="AW196" s="528"/>
      <c r="AX196" s="1811"/>
      <c r="AY196" s="528"/>
      <c r="AZ196" s="528"/>
      <c r="BA196" s="528"/>
      <c r="BB196" s="528"/>
      <c r="BC196" s="528"/>
      <c r="BD196" s="1811"/>
      <c r="BE196" s="528"/>
      <c r="BF196" s="1811"/>
      <c r="BG196" s="1202">
        <f t="shared" si="801"/>
        <v>0</v>
      </c>
      <c r="BH196" s="1202">
        <f t="shared" si="802"/>
        <v>0</v>
      </c>
      <c r="BI196" s="1202"/>
      <c r="BJ196" s="1202">
        <f t="shared" si="820"/>
        <v>0</v>
      </c>
      <c r="BK196" s="1202">
        <f t="shared" si="821"/>
        <v>0</v>
      </c>
      <c r="BL196" s="26"/>
      <c r="BM196" s="26"/>
      <c r="BN196" s="26"/>
    </row>
    <row r="197" spans="1:66" ht="15" thickBot="1" x14ac:dyDescent="0.35">
      <c r="B197" s="1818" t="s">
        <v>495</v>
      </c>
      <c r="C197" s="1309" t="s">
        <v>49</v>
      </c>
      <c r="D197" s="1419">
        <v>9.9532229029959769</v>
      </c>
      <c r="E197" s="1306">
        <f>+$D$197</f>
        <v>9.9532229029959769</v>
      </c>
      <c r="F197" s="93">
        <f>+((F152*F107)+(F177*F125))/F143</f>
        <v>8.6775819793344411</v>
      </c>
      <c r="G197" s="1306">
        <f>+$D$197</f>
        <v>9.9532229029959769</v>
      </c>
      <c r="H197" s="93">
        <f>+((H152*H107)+(H177*H125))/H143</f>
        <v>8.7070042000009256</v>
      </c>
      <c r="I197" s="1346">
        <f>+$D$197</f>
        <v>9.9532229029959769</v>
      </c>
      <c r="J197" s="568">
        <f>+((J152*J107)+(J177*J125))/J143</f>
        <v>8.6925640352027784</v>
      </c>
      <c r="K197" s="1306">
        <f>+$D$197</f>
        <v>9.9532229029959769</v>
      </c>
      <c r="L197" s="93">
        <f>+((L152*L107)+(L177*L125))/L143</f>
        <v>9.1999999999999993</v>
      </c>
      <c r="M197" s="1561">
        <f>+$D$197</f>
        <v>9.9532229029959769</v>
      </c>
      <c r="N197" s="94">
        <f>+((N152*N107)+(N177*N125))/N143</f>
        <v>8.8601778672458344</v>
      </c>
      <c r="O197" s="1306">
        <f>+$D$197</f>
        <v>9.9532229029959769</v>
      </c>
      <c r="P197" s="93">
        <f>+((P152*P107)+(P177*P125))/P143</f>
        <v>10.61777810956818</v>
      </c>
      <c r="Q197" s="1346">
        <f>+$D$197</f>
        <v>9.9532229029959769</v>
      </c>
      <c r="R197" s="568">
        <f>+((R152*R107)+(R177*R125))/R143</f>
        <v>9.3078313224125377</v>
      </c>
      <c r="S197" s="1306">
        <f>+$D$197</f>
        <v>9.9532229029959769</v>
      </c>
      <c r="T197" s="93">
        <f>+((T152*T107)+(T177*T125))/T143</f>
        <v>10.513227966768969</v>
      </c>
      <c r="U197" s="1346">
        <f>+$D$197</f>
        <v>9.9532229029959769</v>
      </c>
      <c r="V197" s="568">
        <f>+((V152*V107)+(V177*V125))/V143</f>
        <v>9.5537100919842057</v>
      </c>
      <c r="W197" s="1306">
        <f>+$D$197</f>
        <v>9.9532229029959769</v>
      </c>
      <c r="X197" s="93">
        <f>+((X152*X107)+(X177*X125))/X143</f>
        <v>10.378762475718625</v>
      </c>
      <c r="Y197" s="1561">
        <f>+$D$197</f>
        <v>9.9532229029959769</v>
      </c>
      <c r="Z197" s="2063">
        <f>+((Z152*Z107)+(Z177*Z125))/Z143</f>
        <v>10.50430967558156</v>
      </c>
      <c r="AA197" s="1589">
        <f>+$D$197</f>
        <v>9.9532229029959769</v>
      </c>
      <c r="AB197" s="2064">
        <f>+((AB152*AB107)+(AB177*AB125))/AB143</f>
        <v>9.6899139248032551</v>
      </c>
      <c r="AC197" s="1306">
        <f>+$D$197</f>
        <v>9.9532229029959769</v>
      </c>
      <c r="AD197" s="93">
        <f>+((AD152*AD107)+(AD177*AD125))/AD143</f>
        <v>9.9784526596845797</v>
      </c>
      <c r="AE197" s="1346">
        <f>+$D$197</f>
        <v>9.9532229029959769</v>
      </c>
      <c r="AF197" s="568">
        <f>+((AF152*AF107)+(AF177*AF125))/AF143</f>
        <v>9.7314028856178609</v>
      </c>
      <c r="AG197" s="1306">
        <f>+$D$197</f>
        <v>9.9532229029959769</v>
      </c>
      <c r="AH197" s="93">
        <f>+((AH152*AH107)+(AH177*AH125))/AH143</f>
        <v>9.3918539475244067</v>
      </c>
      <c r="AI197" s="1346">
        <f>+$D$197</f>
        <v>9.9532229029959769</v>
      </c>
      <c r="AJ197" s="568">
        <f>+((AJ152*AJ107)+(AJ177*AJ125))/AJ143</f>
        <v>9.6898744075388574</v>
      </c>
      <c r="AK197" s="1306">
        <f>+$D$197</f>
        <v>9.9532229029959769</v>
      </c>
      <c r="AL197" s="93">
        <f>+((AL152*AL107)+(AL177*AL125))/AL143</f>
        <v>8.7632462745520954</v>
      </c>
      <c r="AM197" s="1561">
        <f>+$D$197</f>
        <v>9.9532229029959769</v>
      </c>
      <c r="AN197" s="2063">
        <f>+((AN152*AN107)+(AN177*AN125))/AN143</f>
        <v>9.3774111557411306</v>
      </c>
      <c r="AO197" s="1346">
        <f>+$D$197</f>
        <v>9.9532229029959769</v>
      </c>
      <c r="AP197" s="568">
        <f>+((AP152*AP107)+(AP177*AP125))/AP143</f>
        <v>9.5859042937444325</v>
      </c>
      <c r="AQ197" s="1306">
        <f>+$D$197</f>
        <v>9.9532229029959769</v>
      </c>
      <c r="AR197" s="93">
        <f>+((AR152*AR107)+(AR177*AR125))/AR143</f>
        <v>8.6889087858606207</v>
      </c>
      <c r="AS197" s="1346">
        <f>+$D$197</f>
        <v>9.9532229029959769</v>
      </c>
      <c r="AT197" s="568">
        <f>+((AT152*AT107)+(AT177*AT125))/AT143</f>
        <v>9.4956660261252281</v>
      </c>
      <c r="AU197" s="1306">
        <f>+$D$197</f>
        <v>9.9532229029959769</v>
      </c>
      <c r="AV197" s="93">
        <f>+((AV152*AV107)+(AV177*AV125))/AV143</f>
        <v>8.4524132295553578</v>
      </c>
      <c r="AW197" s="1346">
        <f>+$D$197</f>
        <v>9.9532229029959769</v>
      </c>
      <c r="AX197" s="568">
        <f>+((AX152*AX107)+(AX177*AX125))/AX143</f>
        <v>9.4087982480312427</v>
      </c>
      <c r="AY197" s="1306">
        <f>+$D$197</f>
        <v>9.9532229029959769</v>
      </c>
      <c r="AZ197" s="93">
        <f>+((AZ152*AZ107)+(AZ177*AZ125))/AZ143</f>
        <v>8.4541333399562131</v>
      </c>
      <c r="BA197" s="1561">
        <f>+$D$197</f>
        <v>9.9532229029959769</v>
      </c>
      <c r="BB197" s="2063">
        <f>+((BB152*BB107)+(BB177*BB125))/BB143</f>
        <v>8.5340099324612364</v>
      </c>
      <c r="BC197" s="1589">
        <f>+$D$197</f>
        <v>9.9532229029959769</v>
      </c>
      <c r="BD197" s="2252">
        <f>+((BD152*BD107)+(BD177*BD125))/BD143</f>
        <v>8.9597017565417811</v>
      </c>
      <c r="BE197" s="1346">
        <f>+$D$197</f>
        <v>9.9532229029959769</v>
      </c>
      <c r="BF197" s="568">
        <f>+((BF152*BF107)+(BF177*BF125))/BF143</f>
        <v>9.3269428660514908</v>
      </c>
      <c r="BG197" s="1202"/>
      <c r="BH197" s="1202"/>
      <c r="BI197" s="1202"/>
      <c r="BJ197" s="1202"/>
      <c r="BK197" s="1202"/>
      <c r="BL197" s="26"/>
      <c r="BM197" s="26"/>
      <c r="BN197" s="26"/>
    </row>
    <row r="198" spans="1:66" ht="15" thickBot="1" x14ac:dyDescent="0.35">
      <c r="A198" s="145"/>
      <c r="B198" s="1702" t="s">
        <v>702</v>
      </c>
      <c r="C198" s="1372" t="s">
        <v>49</v>
      </c>
      <c r="D198" s="2689" t="s">
        <v>1987</v>
      </c>
      <c r="E198" s="2690" t="str">
        <f>$D$198</f>
        <v>&lt;=2</v>
      </c>
      <c r="F198" s="1307">
        <f>+((F156*F21)+(F22*F181))/(F21+F22)</f>
        <v>1.2956167502051064</v>
      </c>
      <c r="G198" s="2690" t="str">
        <f>$D$198</f>
        <v>&lt;=2</v>
      </c>
      <c r="H198" s="1307">
        <f>+((H156*H21)+(H22*H181))/(H21+H22)</f>
        <v>1.4988358268093165</v>
      </c>
      <c r="I198" s="1347" t="str">
        <f>+$D$198</f>
        <v>&lt;=2</v>
      </c>
      <c r="J198" s="569">
        <f>+((J156*J21)+(J22*J181))/(J21+J22)</f>
        <v>1.3990976731347013</v>
      </c>
      <c r="K198" s="2690" t="str">
        <f>$D$198</f>
        <v>&lt;=2</v>
      </c>
      <c r="L198" s="1307">
        <f>+((L156*L21)+(L22*L181))/(L21+L22)</f>
        <v>1.3721789939139493</v>
      </c>
      <c r="M198" s="1562" t="str">
        <f>+$D$198</f>
        <v>&lt;=2</v>
      </c>
      <c r="N198" s="1563">
        <f>+((N156*N21)+(N22*N181))/(N21+N22)</f>
        <v>1.390206023195323</v>
      </c>
      <c r="O198" s="2690" t="str">
        <f>$D$198</f>
        <v>&lt;=2</v>
      </c>
      <c r="P198" s="1307">
        <f>+((P156*P21)+(P22*P181))/(P21+P22)</f>
        <v>1.3611379947334052</v>
      </c>
      <c r="Q198" s="1347" t="str">
        <f>+$D$198</f>
        <v>&lt;=2</v>
      </c>
      <c r="R198" s="569">
        <f>+((R156*R21)+(R22*R181))/(R21+R22)</f>
        <v>1.382802517841522</v>
      </c>
      <c r="S198" s="2690" t="str">
        <f>$D$198</f>
        <v>&lt;=2</v>
      </c>
      <c r="T198" s="1307">
        <f>+((T156*T21)+(T22*T181))/(T21+T22)</f>
        <v>1.4438928639440998</v>
      </c>
      <c r="U198" s="1347" t="str">
        <f>+$D$198</f>
        <v>&lt;=2</v>
      </c>
      <c r="V198" s="569">
        <f>+((V156*V21)+(V22*V181))/(V21+V22)</f>
        <v>1.3952638289624921</v>
      </c>
      <c r="W198" s="2690" t="str">
        <f>$D$198</f>
        <v>&lt;=2</v>
      </c>
      <c r="X198" s="1307">
        <f>+((X156*X21)+(X22*X181))/(X21+X22)</f>
        <v>1.693373546646967</v>
      </c>
      <c r="Y198" s="1562" t="str">
        <f>+$D$198</f>
        <v>&lt;=2</v>
      </c>
      <c r="Z198" s="638">
        <f>+((Z156*Z21)+(Z22*Z181))/(Z21+Z22)</f>
        <v>1.4974439985086738</v>
      </c>
      <c r="AA198" s="1590" t="str">
        <f>+$D$198</f>
        <v>&lt;=2</v>
      </c>
      <c r="AB198" s="2252">
        <f>+((AB156*AB21)+(AB22*AB181))/(AB21+AB22)</f>
        <v>1.4442840564705299</v>
      </c>
      <c r="AC198" s="2690" t="str">
        <f>$D$198</f>
        <v>&lt;=2</v>
      </c>
      <c r="AD198" s="1307">
        <f>+((AD156*AD21)+(AD22*AD181))/(AD21+AD22)</f>
        <v>1.7917291212793798</v>
      </c>
      <c r="AE198" s="1347" t="str">
        <f>+$D$198</f>
        <v>&lt;=2</v>
      </c>
      <c r="AF198" s="1814">
        <f>+((AF156*AF21)+(AF22*AF181))/(AF21+AF22)</f>
        <v>1.4940928792322343</v>
      </c>
      <c r="AG198" s="2690" t="str">
        <f>$D$198</f>
        <v>&lt;=2</v>
      </c>
      <c r="AH198" s="1307">
        <f>+((AH156*AH21)+(AH22*AH181))/(AH21+AH22)</f>
        <v>1.4085969957553002</v>
      </c>
      <c r="AI198" s="1347" t="str">
        <f>+$D$198</f>
        <v>&lt;=2</v>
      </c>
      <c r="AJ198" s="1814">
        <f>+((AJ156*AJ21)+(AJ22*AJ181))/(AJ21+AJ22)</f>
        <v>1.4836902335304016</v>
      </c>
      <c r="AK198" s="2690" t="str">
        <f>$D$198</f>
        <v>&lt;=2</v>
      </c>
      <c r="AL198" s="1307">
        <f>+((AL156*AL21)+(AL22*AL181))/(AL21+AL22)</f>
        <v>1.4008106710224639</v>
      </c>
      <c r="AM198" s="1562" t="str">
        <f>+$D$198</f>
        <v>&lt;=2</v>
      </c>
      <c r="AN198" s="638">
        <f>+((AN156*AN21)+(AN22*AN181))/(AN21+AN22)</f>
        <v>1.5351987842495163</v>
      </c>
      <c r="AO198" s="1347" t="str">
        <f>+$D$198</f>
        <v>&lt;=2</v>
      </c>
      <c r="AP198" s="1814">
        <f>+((AP156*AP21)+(AP22*AP181))/(AP21+AP22)</f>
        <v>1.4744335727306406</v>
      </c>
      <c r="AQ198" s="2690" t="str">
        <f>$D$198</f>
        <v>&lt;=2</v>
      </c>
      <c r="AR198" s="1307">
        <f>+((AR156*AR21)+(AR22*AR181))/(AR21+AR22)</f>
        <v>1.4707130870246707</v>
      </c>
      <c r="AS198" s="1347" t="str">
        <f>+$D$198</f>
        <v>&lt;=2</v>
      </c>
      <c r="AT198" s="1814">
        <f>+((AT156*AT21)+(AT22*AT181))/(AT21+AT22)</f>
        <v>1.4740608319621857</v>
      </c>
      <c r="AU198" s="2690" t="str">
        <f>$D$198</f>
        <v>&lt;=2</v>
      </c>
      <c r="AV198" s="1307">
        <f>+((AV156*AV21)+(AV22*AV181))/(AV21+AV22)</f>
        <v>1.4673281582476885</v>
      </c>
      <c r="AW198" s="1347" t="str">
        <f>+$D$198</f>
        <v>&lt;=2</v>
      </c>
      <c r="AX198" s="1814">
        <f>+((AX156*AX21)+(AX22*AX181))/(AX21+AX22)</f>
        <v>1.4735023456872263</v>
      </c>
      <c r="AY198" s="2690" t="str">
        <f>$D$198</f>
        <v>&lt;=2</v>
      </c>
      <c r="AZ198" s="1307">
        <f>+((AZ156*AZ21)+(AZ22*AZ181))/(AZ21+AZ22)</f>
        <v>1.3889480358457851</v>
      </c>
      <c r="BA198" s="1562" t="str">
        <f>+$D$198</f>
        <v>&lt;=2</v>
      </c>
      <c r="BB198" s="2063">
        <f>+((BB156*BB21)+(BB22*BB181))/(BB21+BB22)</f>
        <v>1.4411889303509666</v>
      </c>
      <c r="BC198" s="1590" t="str">
        <f>+$D$198</f>
        <v>&lt;=2</v>
      </c>
      <c r="BD198" s="2252">
        <f>+((BD156*BD21)+(BD22*BD181))/(BD21+BD22)</f>
        <v>1.4886614505888121</v>
      </c>
      <c r="BE198" s="1347" t="str">
        <f>+$D$198</f>
        <v>&lt;=2</v>
      </c>
      <c r="BF198" s="1814">
        <f>+((BF156*BF21)+(BF22*BF181))/(BF21+BF22)</f>
        <v>1.4662774982078253</v>
      </c>
      <c r="BG198" s="1202"/>
      <c r="BH198" s="1202"/>
      <c r="BI198" s="1202"/>
      <c r="BJ198" s="1202"/>
      <c r="BK198" s="1202"/>
      <c r="BL198" s="26"/>
      <c r="BM198" s="26"/>
      <c r="BN198" s="26"/>
    </row>
    <row r="199" spans="1:66" ht="15" thickBot="1" x14ac:dyDescent="0.35">
      <c r="A199" s="145"/>
      <c r="B199" s="1843" t="s">
        <v>496</v>
      </c>
      <c r="C199" s="1392" t="s">
        <v>49</v>
      </c>
      <c r="D199" s="1414">
        <v>2.5</v>
      </c>
      <c r="E199" s="747">
        <f>+$D$199</f>
        <v>2.5</v>
      </c>
      <c r="F199" s="132">
        <f>+((F139*2.5)+((+F140+F141+F142)*2.5))/F143</f>
        <v>2.5000000000000004</v>
      </c>
      <c r="G199" s="747">
        <f>+$D$199</f>
        <v>2.5</v>
      </c>
      <c r="H199" s="132">
        <f>+((H139*2.5)+((+H140+H141+H142)*2.5))/H143</f>
        <v>2.5</v>
      </c>
      <c r="I199" s="748">
        <f>+$D$199</f>
        <v>2.5</v>
      </c>
      <c r="J199" s="1815">
        <f>+((J139*2.5)+((+J140+J141+J142)*2.5))/J143</f>
        <v>2.5</v>
      </c>
      <c r="K199" s="747">
        <f>+$D$199</f>
        <v>2.5</v>
      </c>
      <c r="L199" s="132">
        <f>+((L139*2.5)+((+L140+L141+L142)*2.5))/L143</f>
        <v>2.4999999999999996</v>
      </c>
      <c r="M199" s="749">
        <f>+$D$199</f>
        <v>2.5</v>
      </c>
      <c r="N199" s="168">
        <f>+((N139*2.5)+((+N140+N141+N142)*2.5))/N143</f>
        <v>2.5</v>
      </c>
      <c r="O199" s="747">
        <f>+$D$199</f>
        <v>2.5</v>
      </c>
      <c r="P199" s="132">
        <f>+((P139*2.5)+((+P140+P141+P142)*2.5))/P143</f>
        <v>2.5</v>
      </c>
      <c r="Q199" s="748">
        <f>+$D$199</f>
        <v>2.5</v>
      </c>
      <c r="R199" s="1815">
        <f>+((R139*2.5)+((+R140+R141+R142)*2.5))/R143</f>
        <v>2.5</v>
      </c>
      <c r="S199" s="747">
        <f>+$D$199</f>
        <v>2.5</v>
      </c>
      <c r="T199" s="132">
        <f>+((T139*2.5)+((+T140+T141+T142)*2.5))/T143</f>
        <v>2.5</v>
      </c>
      <c r="U199" s="748">
        <f>+$D$199</f>
        <v>2.5</v>
      </c>
      <c r="V199" s="1815">
        <f>+((V139*2.5)+((+V140+V141+V142)*2.5))/V143</f>
        <v>2.5</v>
      </c>
      <c r="W199" s="747">
        <f>+$D$199</f>
        <v>2.5</v>
      </c>
      <c r="X199" s="132">
        <f>+((X139*2.5)+((+X140+X141+X142)*2.5))/X143</f>
        <v>2.5</v>
      </c>
      <c r="Y199" s="749">
        <f>+$D$199</f>
        <v>2.5</v>
      </c>
      <c r="Z199" s="2070">
        <f>+((Z139*2.5)+((+Z140+Z141+Z142)*2.5))/Z143</f>
        <v>2.5</v>
      </c>
      <c r="AA199" s="750">
        <f>+$D$199</f>
        <v>2.5</v>
      </c>
      <c r="AB199" s="471">
        <f>+((AB139*2.5)+((+AB140+AB141+AB142)*2.5))/AB143</f>
        <v>2.4999999999999996</v>
      </c>
      <c r="AC199" s="747">
        <f>+$D$199</f>
        <v>2.5</v>
      </c>
      <c r="AD199" s="132">
        <f>+((AD139*2.5)+((+AD140+AD141+AD142)*2.5))/AD143</f>
        <v>2.5</v>
      </c>
      <c r="AE199" s="748">
        <f>+$D$199</f>
        <v>2.5</v>
      </c>
      <c r="AF199" s="1816">
        <f>+((AF139*2.5)+((+AF140+AF141+AF142)*2.5))/AF143</f>
        <v>2.5000000000000004</v>
      </c>
      <c r="AG199" s="747">
        <f>+$D$199</f>
        <v>2.5</v>
      </c>
      <c r="AH199" s="132">
        <f>+((AH139*2.5)+((+AH140+AH141+AH142)*2.5))/AH143</f>
        <v>2.5</v>
      </c>
      <c r="AI199" s="748">
        <f>+$D$199</f>
        <v>2.5</v>
      </c>
      <c r="AJ199" s="1816">
        <f>+((AJ139*2.5)+((+AJ140+AJ141+AJ142)*2.5))/AJ143</f>
        <v>2.4999999999999996</v>
      </c>
      <c r="AK199" s="747">
        <f>+$D$199</f>
        <v>2.5</v>
      </c>
      <c r="AL199" s="132">
        <f>+((AL139*2.5)+((+AL140+AL141+AL142)*2.5))/AL143</f>
        <v>2.4999999999999996</v>
      </c>
      <c r="AM199" s="749">
        <f>+$D$199</f>
        <v>2.5</v>
      </c>
      <c r="AN199" s="2070">
        <f>+((AN139*2.5)+((+AN140+AN141+AN142)*2.5))/AN143</f>
        <v>2.4999999999999996</v>
      </c>
      <c r="AO199" s="748">
        <f>+$D$199</f>
        <v>2.5</v>
      </c>
      <c r="AP199" s="1816">
        <f>+((AP139*2.5)+((+AP140+AP141+AP142)*2.5))/AP143</f>
        <v>2.5</v>
      </c>
      <c r="AQ199" s="747">
        <f>+$D$199</f>
        <v>2.5</v>
      </c>
      <c r="AR199" s="132">
        <f>+((AR139*2.5)+((+AR140+AR141+AR142)*2.5))/AR143</f>
        <v>2.5</v>
      </c>
      <c r="AS199" s="748">
        <f>+$D$199</f>
        <v>2.5</v>
      </c>
      <c r="AT199" s="1816">
        <f>+((AT139*2.5)+((+AT140+AT141+AT142)*2.5))/AT143</f>
        <v>2.5</v>
      </c>
      <c r="AU199" s="747">
        <f>+$D$199</f>
        <v>2.5</v>
      </c>
      <c r="AV199" s="132">
        <f>+((AV139*2.5)+((+AV140+AV141+AV142)*2.5))/AV143</f>
        <v>2.5</v>
      </c>
      <c r="AW199" s="748">
        <f>+$D$199</f>
        <v>2.5</v>
      </c>
      <c r="AX199" s="1816">
        <f>+((AX139*2.5)+((+AX140+AX141+AX142)*2.5))/AX143</f>
        <v>2.5</v>
      </c>
      <c r="AY199" s="747">
        <f>+$D$199</f>
        <v>2.5</v>
      </c>
      <c r="AZ199" s="132">
        <f>+((AZ139*2.5)+((+AZ140+AZ141+AZ142)*2.5))/AZ143</f>
        <v>2.5</v>
      </c>
      <c r="BA199" s="749">
        <f>+$D$199</f>
        <v>2.5</v>
      </c>
      <c r="BB199" s="2070">
        <f>+((BB139*2.5)+((+BB140+BB141+BB142)*2.5))/BB143</f>
        <v>2.4999999999999996</v>
      </c>
      <c r="BC199" s="750">
        <f>+$D$199</f>
        <v>2.5</v>
      </c>
      <c r="BD199" s="471">
        <f>+((BD139*2.5)+((+BD140+BD141+BD142)*2.5))/BD143</f>
        <v>2.5</v>
      </c>
      <c r="BE199" s="748">
        <f>+$D$199</f>
        <v>2.5</v>
      </c>
      <c r="BF199" s="1816">
        <f>+((BF139*2.5)+((+BF140+BF141+BF142)*2.5))/BF143</f>
        <v>2.5</v>
      </c>
      <c r="BG199" s="1202"/>
      <c r="BH199" s="1202"/>
      <c r="BI199" s="1202"/>
      <c r="BJ199" s="1202"/>
      <c r="BK199" s="1202"/>
      <c r="BL199" s="26"/>
      <c r="BM199" s="26"/>
      <c r="BN199" s="26"/>
    </row>
    <row r="200" spans="1:66" x14ac:dyDescent="0.3">
      <c r="A200" s="145"/>
      <c r="B200" s="1826"/>
      <c r="C200" s="528"/>
      <c r="D200" s="528"/>
      <c r="E200" s="528"/>
      <c r="F200" s="528"/>
      <c r="G200" s="528"/>
      <c r="H200" s="528"/>
      <c r="I200" s="528"/>
      <c r="J200" s="528"/>
      <c r="K200" s="528"/>
      <c r="L200" s="528"/>
      <c r="M200" s="528"/>
      <c r="N200" s="528"/>
      <c r="O200" s="528"/>
      <c r="P200" s="528"/>
      <c r="Q200" s="528"/>
      <c r="R200" s="528"/>
      <c r="S200" s="528"/>
      <c r="T200" s="528"/>
      <c r="U200" s="528"/>
      <c r="V200" s="528"/>
      <c r="W200" s="528"/>
      <c r="X200" s="528"/>
      <c r="Y200" s="528"/>
      <c r="Z200" s="528"/>
      <c r="AA200" s="528"/>
      <c r="AB200" s="1811"/>
      <c r="AC200" s="528"/>
      <c r="AD200" s="528"/>
      <c r="AE200" s="528"/>
      <c r="AF200" s="528"/>
      <c r="AG200" s="528"/>
      <c r="AH200" s="528"/>
      <c r="AI200" s="528"/>
      <c r="AJ200" s="528"/>
      <c r="AK200" s="528"/>
      <c r="AL200" s="528"/>
      <c r="AM200" s="528"/>
      <c r="AN200" s="528"/>
      <c r="AO200" s="528"/>
      <c r="AP200" s="528"/>
      <c r="AQ200" s="528"/>
      <c r="AR200" s="528"/>
      <c r="AS200" s="528"/>
      <c r="AT200" s="528"/>
      <c r="AU200" s="528"/>
      <c r="AV200" s="528"/>
      <c r="AW200" s="528"/>
      <c r="AX200" s="528"/>
      <c r="AY200" s="528"/>
      <c r="AZ200" s="528"/>
      <c r="BA200" s="528"/>
      <c r="BB200" s="528"/>
      <c r="BC200" s="528"/>
      <c r="BD200" s="1811"/>
      <c r="BE200" s="528"/>
      <c r="BF200" s="528"/>
      <c r="BG200" s="1202"/>
      <c r="BH200" s="1202"/>
      <c r="BI200" s="1202"/>
      <c r="BJ200" s="1202"/>
      <c r="BK200" s="1202"/>
      <c r="BL200" s="26"/>
      <c r="BM200" s="26"/>
      <c r="BN200" s="26"/>
    </row>
    <row r="201" spans="1:66" ht="15" thickBot="1" x14ac:dyDescent="0.35">
      <c r="B201" s="1826"/>
      <c r="C201" s="528"/>
      <c r="D201" s="528"/>
      <c r="E201" s="528"/>
      <c r="F201" s="528"/>
      <c r="G201" s="528"/>
      <c r="H201" s="528"/>
      <c r="I201" s="528"/>
      <c r="J201" s="528"/>
      <c r="K201" s="528"/>
      <c r="L201" s="528"/>
      <c r="M201" s="528"/>
      <c r="N201" s="528"/>
      <c r="O201" s="528"/>
      <c r="P201" s="528"/>
      <c r="Q201" s="528"/>
      <c r="R201" s="528"/>
      <c r="S201" s="528"/>
      <c r="T201" s="528"/>
      <c r="U201" s="528"/>
      <c r="V201" s="528"/>
      <c r="W201" s="528"/>
      <c r="X201" s="528"/>
      <c r="Y201" s="528"/>
      <c r="Z201" s="528"/>
      <c r="AA201" s="528"/>
      <c r="AB201" s="1811"/>
      <c r="AC201" s="528"/>
      <c r="AD201" s="528"/>
      <c r="AE201" s="528"/>
      <c r="AF201" s="528"/>
      <c r="AG201" s="528"/>
      <c r="AH201" s="528"/>
      <c r="AI201" s="528"/>
      <c r="AJ201" s="528"/>
      <c r="AK201" s="528"/>
      <c r="AL201" s="528"/>
      <c r="AM201" s="528"/>
      <c r="AN201" s="528"/>
      <c r="AO201" s="528"/>
      <c r="AP201" s="528"/>
      <c r="AQ201" s="528"/>
      <c r="AR201" s="528"/>
      <c r="AS201" s="528"/>
      <c r="AT201" s="528"/>
      <c r="AU201" s="528"/>
      <c r="AV201" s="528"/>
      <c r="AW201" s="528"/>
      <c r="AX201" s="528"/>
      <c r="AY201" s="528"/>
      <c r="AZ201" s="528"/>
      <c r="BA201" s="528"/>
      <c r="BB201" s="528"/>
      <c r="BC201" s="528"/>
      <c r="BD201" s="1811"/>
      <c r="BE201" s="528"/>
      <c r="BF201" s="528"/>
      <c r="BG201" s="1202"/>
      <c r="BH201" s="1202"/>
      <c r="BI201" s="1202"/>
      <c r="BJ201" s="1202"/>
      <c r="BK201" s="1202"/>
      <c r="BL201" s="26"/>
      <c r="BM201" s="26"/>
      <c r="BN201" s="26"/>
    </row>
    <row r="202" spans="1:66" ht="18" thickBot="1" x14ac:dyDescent="0.35">
      <c r="B202" s="1809" t="s">
        <v>649</v>
      </c>
      <c r="C202" s="1846"/>
      <c r="D202" s="528"/>
      <c r="E202" s="528"/>
      <c r="F202" s="528"/>
      <c r="G202" s="528"/>
      <c r="H202" s="528"/>
      <c r="I202" s="528"/>
      <c r="J202" s="528"/>
      <c r="K202" s="528"/>
      <c r="L202" s="528"/>
      <c r="M202" s="528"/>
      <c r="N202" s="528"/>
      <c r="O202" s="528"/>
      <c r="P202" s="528"/>
      <c r="Q202" s="528"/>
      <c r="R202" s="528"/>
      <c r="S202" s="528"/>
      <c r="T202" s="528"/>
      <c r="U202" s="528"/>
      <c r="V202" s="528"/>
      <c r="W202" s="528"/>
      <c r="X202" s="528"/>
      <c r="Y202" s="528"/>
      <c r="Z202" s="528"/>
      <c r="AA202" s="528"/>
      <c r="AB202" s="1811"/>
      <c r="AC202" s="528"/>
      <c r="AD202" s="528"/>
      <c r="AE202" s="528"/>
      <c r="AF202" s="528"/>
      <c r="AG202" s="528"/>
      <c r="AH202" s="528"/>
      <c r="AI202" s="528"/>
      <c r="AJ202" s="528"/>
      <c r="AK202" s="528"/>
      <c r="AL202" s="528"/>
      <c r="AM202" s="528"/>
      <c r="AN202" s="528"/>
      <c r="AO202" s="528"/>
      <c r="AP202" s="528"/>
      <c r="AQ202" s="528"/>
      <c r="AR202" s="528"/>
      <c r="AS202" s="528"/>
      <c r="AT202" s="528"/>
      <c r="AU202" s="528"/>
      <c r="AV202" s="528"/>
      <c r="AW202" s="528"/>
      <c r="AX202" s="528"/>
      <c r="AY202" s="528"/>
      <c r="AZ202" s="528"/>
      <c r="BA202" s="528"/>
      <c r="BB202" s="528"/>
      <c r="BC202" s="528"/>
      <c r="BD202" s="1811"/>
      <c r="BE202" s="528"/>
      <c r="BF202" s="528"/>
      <c r="BG202" s="1202"/>
      <c r="BH202" s="1202"/>
      <c r="BI202" s="1202"/>
      <c r="BJ202" s="1202"/>
      <c r="BK202" s="1202"/>
      <c r="BL202" s="26"/>
      <c r="BM202" s="26"/>
      <c r="BN202" s="26"/>
    </row>
    <row r="203" spans="1:66" x14ac:dyDescent="0.3">
      <c r="B203" s="1847" t="s">
        <v>1970</v>
      </c>
      <c r="C203" s="1309" t="s">
        <v>49</v>
      </c>
      <c r="D203" s="1831">
        <f t="shared" ref="D203:AX203" si="990">+D127/D$143*100</f>
        <v>46.29682276900661</v>
      </c>
      <c r="E203" s="760">
        <f t="shared" si="990"/>
        <v>46.2601158904831</v>
      </c>
      <c r="F203" s="141">
        <f t="shared" si="990"/>
        <v>43.988231978876421</v>
      </c>
      <c r="G203" s="760">
        <f t="shared" ref="G203:H203" si="991">+G127/G$143*100</f>
        <v>46.2601158904831</v>
      </c>
      <c r="H203" s="141">
        <f t="shared" si="991"/>
        <v>43.020364061822285</v>
      </c>
      <c r="I203" s="1430">
        <f t="shared" si="990"/>
        <v>46.260115890483107</v>
      </c>
      <c r="J203" s="163">
        <f t="shared" si="990"/>
        <v>43.495385046252032</v>
      </c>
      <c r="K203" s="760">
        <f t="shared" si="990"/>
        <v>46.307180444998153</v>
      </c>
      <c r="L203" s="141">
        <f t="shared" si="990"/>
        <v>43.236167080101168</v>
      </c>
      <c r="M203" s="1546">
        <f t="shared" si="990"/>
        <v>46.275481238332617</v>
      </c>
      <c r="N203" s="171">
        <f t="shared" si="990"/>
        <v>43.409761401782298</v>
      </c>
      <c r="O203" s="760">
        <f t="shared" ref="O203:P203" si="992">+O127/O$143*100</f>
        <v>46.307180444998146</v>
      </c>
      <c r="P203" s="141">
        <f t="shared" si="992"/>
        <v>43.999999866888686</v>
      </c>
      <c r="Q203" s="761">
        <f t="shared" si="990"/>
        <v>46.283477557750849</v>
      </c>
      <c r="R203" s="163">
        <f t="shared" si="990"/>
        <v>43.56009267843713</v>
      </c>
      <c r="S203" s="760">
        <f t="shared" si="990"/>
        <v>46.307180444998146</v>
      </c>
      <c r="T203" s="141">
        <f t="shared" si="990"/>
        <v>43.999999877526307</v>
      </c>
      <c r="U203" s="761">
        <f t="shared" si="990"/>
        <v>46.288252298792557</v>
      </c>
      <c r="V203" s="163">
        <f t="shared" si="990"/>
        <v>43.649825664955863</v>
      </c>
      <c r="W203" s="760">
        <f t="shared" ref="W203:X203" si="993">+W127/W$143*100</f>
        <v>46.277223078522809</v>
      </c>
      <c r="X203" s="141">
        <f t="shared" si="993"/>
        <v>44.000056895406296</v>
      </c>
      <c r="Y203" s="1508">
        <f t="shared" si="990"/>
        <v>46.297658935764474</v>
      </c>
      <c r="Z203" s="1508">
        <f t="shared" si="990"/>
        <v>44.000018525534493</v>
      </c>
      <c r="AA203" s="2253">
        <f t="shared" si="990"/>
        <v>46.286509186959449</v>
      </c>
      <c r="AB203" s="473">
        <f t="shared" si="990"/>
        <v>43.70764361312586</v>
      </c>
      <c r="AC203" s="760">
        <f t="shared" si="990"/>
        <v>46.307180444998146</v>
      </c>
      <c r="AD203" s="141">
        <f t="shared" si="990"/>
        <v>44.000049612195291</v>
      </c>
      <c r="AE203" s="1430">
        <f t="shared" si="990"/>
        <v>46.289506729599353</v>
      </c>
      <c r="AF203" s="163">
        <f t="shared" si="990"/>
        <v>43.749688647538093</v>
      </c>
      <c r="AG203" s="760">
        <f t="shared" ref="AG203:AH203" si="994">+AG127/AG$143*100</f>
        <v>46.307180444998153</v>
      </c>
      <c r="AH203" s="141">
        <f t="shared" si="994"/>
        <v>43.999999999999993</v>
      </c>
      <c r="AI203" s="1430">
        <f t="shared" si="990"/>
        <v>46.291681705288063</v>
      </c>
      <c r="AJ203" s="163">
        <f t="shared" si="990"/>
        <v>43.780302937107088</v>
      </c>
      <c r="AK203" s="760">
        <f t="shared" si="990"/>
        <v>46.307180444998146</v>
      </c>
      <c r="AL203" s="141">
        <f t="shared" si="990"/>
        <v>43.382402530235268</v>
      </c>
      <c r="AM203" s="1508">
        <f t="shared" si="990"/>
        <v>46.307180444998153</v>
      </c>
      <c r="AN203" s="1508">
        <f t="shared" si="990"/>
        <v>43.791812801636461</v>
      </c>
      <c r="AO203" s="1430">
        <f t="shared" si="990"/>
        <v>46.293430246798884</v>
      </c>
      <c r="AP203" s="163">
        <f t="shared" si="990"/>
        <v>43.735657464874379</v>
      </c>
      <c r="AQ203" s="760">
        <f t="shared" ref="AQ203:AR203" si="995">+AQ127/AQ$143*100</f>
        <v>46.307180444998146</v>
      </c>
      <c r="AR203" s="141">
        <f t="shared" si="995"/>
        <v>43.308685792679476</v>
      </c>
      <c r="AS203" s="1430">
        <f t="shared" si="990"/>
        <v>46.294824251571306</v>
      </c>
      <c r="AT203" s="163">
        <f t="shared" si="990"/>
        <v>43.692703867356094</v>
      </c>
      <c r="AU203" s="760">
        <f t="shared" si="990"/>
        <v>46.307180444998153</v>
      </c>
      <c r="AV203" s="141">
        <f t="shared" si="990"/>
        <v>42.553950130794078</v>
      </c>
      <c r="AW203" s="1430">
        <f t="shared" si="990"/>
        <v>46.295860788737556</v>
      </c>
      <c r="AX203" s="163">
        <f t="shared" si="990"/>
        <v>43.597884081378425</v>
      </c>
      <c r="AY203" s="760">
        <f t="shared" ref="AY203:AZ203" si="996">+AY127/AY$143*100</f>
        <v>46.307180444998146</v>
      </c>
      <c r="AZ203" s="141">
        <f t="shared" si="996"/>
        <v>39.139832436685701</v>
      </c>
      <c r="BA203" s="1508">
        <f t="shared" ref="BA203:BF206" si="997">+BA127/BA$143*100</f>
        <v>46.307180444998153</v>
      </c>
      <c r="BB203" s="1508">
        <f t="shared" si="997"/>
        <v>41.623358327201238</v>
      </c>
      <c r="BC203" s="2253">
        <f t="shared" si="997"/>
        <v>46.307180444998153</v>
      </c>
      <c r="BD203" s="473">
        <f t="shared" si="997"/>
        <v>42.717847302529186</v>
      </c>
      <c r="BE203" s="1430">
        <f t="shared" si="997"/>
        <v>46.29682276900661</v>
      </c>
      <c r="BF203" s="163">
        <f t="shared" si="997"/>
        <v>43.215639466356812</v>
      </c>
      <c r="BG203" s="1202"/>
      <c r="BH203" s="1202"/>
      <c r="BI203" s="1202"/>
      <c r="BJ203" s="1202"/>
      <c r="BK203" s="1202"/>
      <c r="BL203" s="26"/>
      <c r="BM203" s="26"/>
      <c r="BN203" s="26"/>
    </row>
    <row r="204" spans="1:66" x14ac:dyDescent="0.3">
      <c r="B204" s="1789" t="s">
        <v>10</v>
      </c>
      <c r="C204" s="1372" t="s">
        <v>49</v>
      </c>
      <c r="D204" s="139">
        <f t="shared" ref="D204:AX204" si="998">+D128/D$143*100</f>
        <v>10.005197455222669</v>
      </c>
      <c r="E204" s="1343">
        <f t="shared" si="998"/>
        <v>10.005238019791708</v>
      </c>
      <c r="F204" s="685">
        <f t="shared" si="998"/>
        <v>11.271610316854352</v>
      </c>
      <c r="G204" s="1343">
        <f t="shared" ref="G204:H204" si="999">+G128/G$143*100</f>
        <v>10.005238019791712</v>
      </c>
      <c r="H204" s="685">
        <f t="shared" si="999"/>
        <v>12.000012348404047</v>
      </c>
      <c r="I204" s="343">
        <f t="shared" si="998"/>
        <v>10.00523801979171</v>
      </c>
      <c r="J204" s="124">
        <f t="shared" si="998"/>
        <v>11.642519095460514</v>
      </c>
      <c r="K204" s="1343">
        <f t="shared" si="998"/>
        <v>10.005186009012046</v>
      </c>
      <c r="L204" s="685">
        <f t="shared" si="998"/>
        <v>10.958410999038213</v>
      </c>
      <c r="M204" s="236">
        <f t="shared" si="998"/>
        <v>10.005221039630531</v>
      </c>
      <c r="N204" s="120">
        <f t="shared" si="998"/>
        <v>11.416547766016322</v>
      </c>
      <c r="O204" s="1343">
        <f t="shared" ref="O204:P204" si="1000">+O128/O$143*100</f>
        <v>10.005186009012046</v>
      </c>
      <c r="P204" s="685">
        <f t="shared" si="1000"/>
        <v>1.0573511330526661</v>
      </c>
      <c r="Q204" s="53">
        <f t="shared" si="998"/>
        <v>10.005212202942037</v>
      </c>
      <c r="R204" s="124">
        <f t="shared" si="998"/>
        <v>8.7781035658891771</v>
      </c>
      <c r="S204" s="1343">
        <f t="shared" si="998"/>
        <v>10.005186009012046</v>
      </c>
      <c r="T204" s="685">
        <f t="shared" si="998"/>
        <v>9.2760261794859264</v>
      </c>
      <c r="U204" s="53">
        <f t="shared" si="998"/>
        <v>10.005206926402042</v>
      </c>
      <c r="V204" s="124">
        <f t="shared" si="998"/>
        <v>8.8796706310923845</v>
      </c>
      <c r="W204" s="1343">
        <f t="shared" ref="W204:X204" si="1001">+W128/W$143*100</f>
        <v>10.005219114732538</v>
      </c>
      <c r="X204" s="685">
        <f t="shared" si="1001"/>
        <v>10.946917752333137</v>
      </c>
      <c r="Y204" s="447">
        <f t="shared" si="998"/>
        <v>10.005196531179397</v>
      </c>
      <c r="Z204" s="447">
        <f t="shared" si="998"/>
        <v>7.065929521259898</v>
      </c>
      <c r="AA204" s="467">
        <f t="shared" si="998"/>
        <v>10.005208852705316</v>
      </c>
      <c r="AB204" s="475">
        <f t="shared" si="998"/>
        <v>9.2209422725640238</v>
      </c>
      <c r="AC204" s="1343">
        <f t="shared" si="998"/>
        <v>10.005186009012046</v>
      </c>
      <c r="AD204" s="685">
        <f t="shared" si="998"/>
        <v>7.3317781059680884</v>
      </c>
      <c r="AE204" s="343">
        <f t="shared" si="998"/>
        <v>10.005205540137476</v>
      </c>
      <c r="AF204" s="124">
        <f t="shared" si="998"/>
        <v>8.9492995133605042</v>
      </c>
      <c r="AG204" s="1343">
        <f t="shared" ref="AG204:AH204" si="1002">+AG128/AG$143*100</f>
        <v>10.005186009012046</v>
      </c>
      <c r="AH204" s="685">
        <f t="shared" si="1002"/>
        <v>7.8913859669920887</v>
      </c>
      <c r="AI204" s="343">
        <f t="shared" si="998"/>
        <v>10.005203136583834</v>
      </c>
      <c r="AJ204" s="124">
        <f t="shared" si="998"/>
        <v>8.8199115677921114</v>
      </c>
      <c r="AK204" s="1343">
        <f t="shared" si="998"/>
        <v>10.005186009012046</v>
      </c>
      <c r="AL204" s="685">
        <f t="shared" si="998"/>
        <v>0.25026026100836413</v>
      </c>
      <c r="AM204" s="447">
        <f t="shared" si="998"/>
        <v>10.005186009012048</v>
      </c>
      <c r="AN204" s="447">
        <f t="shared" si="998"/>
        <v>5.1270299418886589</v>
      </c>
      <c r="AO204" s="343">
        <f t="shared" si="998"/>
        <v>10.005201204280255</v>
      </c>
      <c r="AP204" s="124">
        <f t="shared" si="998"/>
        <v>7.8583741507562408</v>
      </c>
      <c r="AQ204" s="1343">
        <f t="shared" ref="AQ204:AR204" si="1003">+AQ128/AQ$143*100</f>
        <v>10.005186009012046</v>
      </c>
      <c r="AR204" s="685">
        <f t="shared" si="1003"/>
        <v>0</v>
      </c>
      <c r="AS204" s="343">
        <f t="shared" si="998"/>
        <v>10.005199663773267</v>
      </c>
      <c r="AT204" s="124">
        <f t="shared" si="998"/>
        <v>7.0678171597399402</v>
      </c>
      <c r="AU204" s="1343">
        <f t="shared" si="998"/>
        <v>10.005186009012048</v>
      </c>
      <c r="AV204" s="685">
        <f t="shared" si="998"/>
        <v>2.0313553427872231</v>
      </c>
      <c r="AW204" s="343">
        <f t="shared" si="998"/>
        <v>10.005198518301759</v>
      </c>
      <c r="AX204" s="124">
        <f t="shared" si="998"/>
        <v>6.6484497265230145</v>
      </c>
      <c r="AY204" s="1343">
        <f t="shared" ref="AY204:AZ204" si="1004">+AY128/AY$143*100</f>
        <v>10.005186009012046</v>
      </c>
      <c r="AZ204" s="685">
        <f t="shared" si="1004"/>
        <v>1.5630034256880296</v>
      </c>
      <c r="BA204" s="447">
        <f t="shared" si="997"/>
        <v>10.005186009012048</v>
      </c>
      <c r="BB204" s="447">
        <f t="shared" si="997"/>
        <v>1.1725148716704845</v>
      </c>
      <c r="BC204" s="467">
        <f t="shared" si="997"/>
        <v>10.005186009012046</v>
      </c>
      <c r="BD204" s="475">
        <f t="shared" si="997"/>
        <v>3.1684862873255351</v>
      </c>
      <c r="BE204" s="343">
        <f t="shared" si="997"/>
        <v>10.005197455222667</v>
      </c>
      <c r="BF204" s="124">
        <f t="shared" si="997"/>
        <v>6.2124107080450743</v>
      </c>
      <c r="BG204" s="1202"/>
      <c r="BH204" s="1202"/>
      <c r="BI204" s="1202"/>
      <c r="BJ204" s="1202"/>
      <c r="BK204" s="1202"/>
      <c r="BL204" s="26"/>
      <c r="BM204" s="26"/>
      <c r="BN204" s="26"/>
    </row>
    <row r="205" spans="1:66" x14ac:dyDescent="0.3">
      <c r="B205" s="1790" t="s">
        <v>1972</v>
      </c>
      <c r="C205" s="1372" t="s">
        <v>49</v>
      </c>
      <c r="D205" s="139">
        <f t="shared" ref="D205:AX206" si="1005">+D129/D$143*100</f>
        <v>2.5012993638056673</v>
      </c>
      <c r="E205" s="1343">
        <f t="shared" si="1005"/>
        <v>2.501309504947927</v>
      </c>
      <c r="F205" s="685">
        <f t="shared" si="1005"/>
        <v>0</v>
      </c>
      <c r="G205" s="1343">
        <f t="shared" ref="G205:H205" si="1006">+G129/G$143*100</f>
        <v>2.5013095049479279</v>
      </c>
      <c r="H205" s="685">
        <f t="shared" si="1006"/>
        <v>0</v>
      </c>
      <c r="I205" s="343">
        <f t="shared" si="1005"/>
        <v>2.5013095049479275</v>
      </c>
      <c r="J205" s="124">
        <f t="shared" si="1005"/>
        <v>0</v>
      </c>
      <c r="K205" s="1343">
        <f t="shared" si="1005"/>
        <v>2.5012965022530116</v>
      </c>
      <c r="L205" s="685">
        <f t="shared" si="1005"/>
        <v>0</v>
      </c>
      <c r="M205" s="236">
        <f t="shared" si="1005"/>
        <v>2.5013052599076326</v>
      </c>
      <c r="N205" s="120">
        <f t="shared" si="1005"/>
        <v>0</v>
      </c>
      <c r="O205" s="1343">
        <f t="shared" ref="O205:P205" si="1007">+O129/O$143*100</f>
        <v>2.5012965022530116</v>
      </c>
      <c r="P205" s="685">
        <f t="shared" si="1007"/>
        <v>10.615058293259954</v>
      </c>
      <c r="Q205" s="53">
        <f t="shared" si="1005"/>
        <v>2.5013030507355092</v>
      </c>
      <c r="R205" s="124">
        <f t="shared" si="1005"/>
        <v>2.7036110984458346</v>
      </c>
      <c r="S205" s="1343">
        <f t="shared" si="1005"/>
        <v>2.5012965022530116</v>
      </c>
      <c r="T205" s="685">
        <f t="shared" si="1005"/>
        <v>7.5087767707582795</v>
      </c>
      <c r="U205" s="53">
        <f t="shared" si="1005"/>
        <v>2.5013017316005106</v>
      </c>
      <c r="V205" s="124">
        <f t="shared" si="1005"/>
        <v>3.6837766137787611</v>
      </c>
      <c r="W205" s="1343">
        <f t="shared" ref="W205:X205" si="1008">+W129/W$143*100</f>
        <v>2.5013047786831346</v>
      </c>
      <c r="X205" s="685">
        <f t="shared" si="1008"/>
        <v>12.683204842414611</v>
      </c>
      <c r="Y205" s="447">
        <f t="shared" si="1005"/>
        <v>2.5012991327948493</v>
      </c>
      <c r="Z205" s="447">
        <f t="shared" si="1005"/>
        <v>10.243322090438514</v>
      </c>
      <c r="AA205" s="467">
        <f t="shared" si="1005"/>
        <v>2.5013022131763289</v>
      </c>
      <c r="AB205" s="475">
        <f t="shared" si="1005"/>
        <v>5.1694478779135506</v>
      </c>
      <c r="AC205" s="1343">
        <f t="shared" si="1005"/>
        <v>2.5012965022530116</v>
      </c>
      <c r="AD205" s="685">
        <f t="shared" si="1005"/>
        <v>9.5721944140171953</v>
      </c>
      <c r="AE205" s="343">
        <f t="shared" si="1005"/>
        <v>2.5013013850343691</v>
      </c>
      <c r="AF205" s="124">
        <f t="shared" si="1005"/>
        <v>5.8025184380523003</v>
      </c>
      <c r="AG205" s="1343">
        <f t="shared" ref="AG205:AH205" si="1009">+AG129/AG$143*100</f>
        <v>2.5012965022530116</v>
      </c>
      <c r="AH205" s="685">
        <f t="shared" si="1009"/>
        <v>6.585041668402182</v>
      </c>
      <c r="AI205" s="343">
        <f t="shared" si="1005"/>
        <v>2.5013007841459585</v>
      </c>
      <c r="AJ205" s="124">
        <f t="shared" si="1005"/>
        <v>5.8982248154609982</v>
      </c>
      <c r="AK205" s="1343">
        <f t="shared" si="1005"/>
        <v>2.5012965022530116</v>
      </c>
      <c r="AL205" s="685">
        <f t="shared" si="1005"/>
        <v>0</v>
      </c>
      <c r="AM205" s="447">
        <f t="shared" si="1005"/>
        <v>2.501296502253012</v>
      </c>
      <c r="AN205" s="447">
        <f t="shared" si="1005"/>
        <v>5.3706948448365956</v>
      </c>
      <c r="AO205" s="343">
        <f t="shared" si="1005"/>
        <v>2.5013003010700636</v>
      </c>
      <c r="AP205" s="124">
        <f t="shared" si="1005"/>
        <v>5.2364284772989338</v>
      </c>
      <c r="AQ205" s="1343">
        <f t="shared" ref="AQ205:AR205" si="1010">+AQ129/AQ$143*100</f>
        <v>2.5012965022530116</v>
      </c>
      <c r="AR205" s="685">
        <f t="shared" si="1010"/>
        <v>6.9521260459432312</v>
      </c>
      <c r="AS205" s="343">
        <f t="shared" si="1005"/>
        <v>2.5012999159433167</v>
      </c>
      <c r="AT205" s="124">
        <f t="shared" si="1005"/>
        <v>5.4090286464103636</v>
      </c>
      <c r="AU205" s="1343">
        <f t="shared" si="1005"/>
        <v>2.501296502253012</v>
      </c>
      <c r="AV205" s="685">
        <f t="shared" si="1005"/>
        <v>6.6573508359482041</v>
      </c>
      <c r="AW205" s="343">
        <f t="shared" si="1005"/>
        <v>2.5012996295754397</v>
      </c>
      <c r="AX205" s="124">
        <f t="shared" si="1005"/>
        <v>5.5129717897281783</v>
      </c>
      <c r="AY205" s="1343">
        <f t="shared" ref="AY205:AZ205" si="1011">+AY129/AY$143*100</f>
        <v>2.5012965022530116</v>
      </c>
      <c r="AZ205" s="685">
        <f t="shared" si="1011"/>
        <v>0</v>
      </c>
      <c r="BA205" s="447">
        <f t="shared" si="997"/>
        <v>2.501296502253012</v>
      </c>
      <c r="BB205" s="447">
        <f t="shared" si="997"/>
        <v>4.4396609848729298</v>
      </c>
      <c r="BC205" s="467">
        <f t="shared" si="997"/>
        <v>2.5012965022530116</v>
      </c>
      <c r="BD205" s="475">
        <f t="shared" si="997"/>
        <v>4.9095838296458894</v>
      </c>
      <c r="BE205" s="343">
        <f t="shared" si="997"/>
        <v>2.5012993638056669</v>
      </c>
      <c r="BF205" s="124">
        <f t="shared" si="997"/>
        <v>5.0402756553308974</v>
      </c>
      <c r="BG205" s="1202"/>
      <c r="BH205" s="1202"/>
      <c r="BI205" s="1202"/>
      <c r="BJ205" s="1202"/>
      <c r="BK205" s="1202"/>
      <c r="BL205" s="26"/>
      <c r="BM205" s="26"/>
      <c r="BN205" s="26"/>
    </row>
    <row r="206" spans="1:66" x14ac:dyDescent="0.3">
      <c r="B206" s="1790" t="s">
        <v>1971</v>
      </c>
      <c r="C206" s="1372" t="s">
        <v>49</v>
      </c>
      <c r="D206" s="139">
        <f t="shared" si="1005"/>
        <v>2.5012993638056673</v>
      </c>
      <c r="E206" s="1343">
        <f t="shared" si="1005"/>
        <v>2.501309504947927</v>
      </c>
      <c r="F206" s="685">
        <f t="shared" si="1005"/>
        <v>0</v>
      </c>
      <c r="G206" s="1343">
        <f t="shared" ref="G206:H206" si="1012">+G130/G$143*100</f>
        <v>2.5013095049479279</v>
      </c>
      <c r="H206" s="685">
        <f t="shared" si="1012"/>
        <v>0</v>
      </c>
      <c r="I206" s="343">
        <f t="shared" si="1005"/>
        <v>2.5013095049479275</v>
      </c>
      <c r="J206" s="124">
        <f t="shared" si="1005"/>
        <v>0</v>
      </c>
      <c r="K206" s="1343">
        <f t="shared" si="1005"/>
        <v>2.5012965022530116</v>
      </c>
      <c r="L206" s="685">
        <f t="shared" si="1005"/>
        <v>0.59023275585510127</v>
      </c>
      <c r="M206" s="236">
        <f t="shared" si="1005"/>
        <v>2.5013052599076326</v>
      </c>
      <c r="N206" s="120">
        <f t="shared" si="1005"/>
        <v>0.19496287387856565</v>
      </c>
      <c r="O206" s="1343">
        <f t="shared" ref="O206:P206" si="1013">+O130/O$143*100</f>
        <v>2.5012965022530116</v>
      </c>
      <c r="P206" s="685">
        <f t="shared" si="1013"/>
        <v>10.042294306321986</v>
      </c>
      <c r="Q206" s="53">
        <f t="shared" si="1005"/>
        <v>2.5013030507355092</v>
      </c>
      <c r="R206" s="124">
        <f t="shared" si="1005"/>
        <v>2.7030371411421834</v>
      </c>
      <c r="S206" s="1343">
        <f t="shared" si="1005"/>
        <v>2.5012965022530116</v>
      </c>
      <c r="T206" s="685">
        <f t="shared" si="1005"/>
        <v>1.3538633529205502</v>
      </c>
      <c r="U206" s="53">
        <f t="shared" si="1005"/>
        <v>2.5013017316005106</v>
      </c>
      <c r="V206" s="124">
        <f t="shared" si="1005"/>
        <v>2.4278304757350506</v>
      </c>
      <c r="W206" s="1343">
        <f t="shared" ref="W206:X206" si="1014">+W130/W$143*100</f>
        <v>2.5013047786831346</v>
      </c>
      <c r="X206" s="685">
        <f t="shared" si="1014"/>
        <v>0</v>
      </c>
      <c r="Y206" s="447">
        <f t="shared" si="1005"/>
        <v>2.5012991327948493</v>
      </c>
      <c r="Z206" s="447">
        <f t="shared" si="1005"/>
        <v>3.8252293201816423</v>
      </c>
      <c r="AA206" s="467">
        <f t="shared" si="1005"/>
        <v>2.5013022131763289</v>
      </c>
      <c r="AB206" s="475">
        <f t="shared" si="1005"/>
        <v>2.0270319049421803</v>
      </c>
      <c r="AC206" s="1343">
        <f t="shared" si="1005"/>
        <v>2.5012965022530116</v>
      </c>
      <c r="AD206" s="685">
        <f t="shared" si="1005"/>
        <v>4.0795035498380923</v>
      </c>
      <c r="AE206" s="343">
        <f t="shared" si="1005"/>
        <v>2.5013013850343691</v>
      </c>
      <c r="AF206" s="124">
        <f t="shared" si="1005"/>
        <v>2.3221566329382339</v>
      </c>
      <c r="AG206" s="1343">
        <f t="shared" ref="AG206:AH206" si="1015">+AG130/AG$143*100</f>
        <v>2.5012965022530116</v>
      </c>
      <c r="AH206" s="685">
        <f t="shared" si="1015"/>
        <v>4.1086140330079104</v>
      </c>
      <c r="AI206" s="343">
        <f t="shared" si="1005"/>
        <v>2.5013007841459585</v>
      </c>
      <c r="AJ206" s="124">
        <f t="shared" si="1005"/>
        <v>2.5406490169652058</v>
      </c>
      <c r="AK206" s="1343">
        <f t="shared" si="1005"/>
        <v>2.5012965022530116</v>
      </c>
      <c r="AL206" s="685">
        <f t="shared" si="1005"/>
        <v>11.440941004109273</v>
      </c>
      <c r="AM206" s="447">
        <f t="shared" si="1005"/>
        <v>2.501296502253012</v>
      </c>
      <c r="AN206" s="447">
        <f t="shared" si="1005"/>
        <v>6.5706816965107659</v>
      </c>
      <c r="AO206" s="343">
        <f t="shared" si="1005"/>
        <v>2.5013003010700636</v>
      </c>
      <c r="AP206" s="124">
        <f t="shared" si="1005"/>
        <v>3.5392851880086043</v>
      </c>
      <c r="AQ206" s="1343">
        <f t="shared" ref="AQ206:AR206" si="1016">+AQ130/AQ$143*100</f>
        <v>2.5012965022530116</v>
      </c>
      <c r="AR206" s="685">
        <f t="shared" si="1016"/>
        <v>11.000000055985893</v>
      </c>
      <c r="AS206" s="343">
        <f t="shared" si="1005"/>
        <v>2.5012999159433167</v>
      </c>
      <c r="AT206" s="124">
        <f t="shared" si="1005"/>
        <v>4.2898374248591624</v>
      </c>
      <c r="AU206" s="1343">
        <f t="shared" si="1005"/>
        <v>2.501296502253012</v>
      </c>
      <c r="AV206" s="685">
        <f t="shared" si="1005"/>
        <v>10.936440724355906</v>
      </c>
      <c r="AW206" s="343">
        <f t="shared" si="1005"/>
        <v>2.5012996295754397</v>
      </c>
      <c r="AX206" s="124">
        <f t="shared" si="1005"/>
        <v>4.8432753474775421</v>
      </c>
      <c r="AY206" s="1343">
        <f t="shared" ref="AY206:AZ206" si="1017">+AY130/AY$143*100</f>
        <v>2.5012965022530116</v>
      </c>
      <c r="AZ206" s="685">
        <f t="shared" si="1017"/>
        <v>14.187204879952272</v>
      </c>
      <c r="BA206" s="447">
        <f t="shared" si="997"/>
        <v>2.501296502253012</v>
      </c>
      <c r="BB206" s="447">
        <f t="shared" si="997"/>
        <v>12.090397858221912</v>
      </c>
      <c r="BC206" s="467">
        <f t="shared" si="997"/>
        <v>2.5012965022530116</v>
      </c>
      <c r="BD206" s="475">
        <f t="shared" si="997"/>
        <v>9.3044189238448034</v>
      </c>
      <c r="BE206" s="343">
        <f t="shared" si="997"/>
        <v>2.5012993638056669</v>
      </c>
      <c r="BF206" s="124">
        <f t="shared" si="997"/>
        <v>5.6444474808650007</v>
      </c>
      <c r="BG206" s="1202"/>
      <c r="BH206" s="1202"/>
      <c r="BI206" s="1202"/>
      <c r="BJ206" s="1202"/>
      <c r="BK206" s="1202"/>
      <c r="BL206" s="26"/>
      <c r="BM206" s="26"/>
      <c r="BN206" s="26"/>
    </row>
    <row r="207" spans="1:66" x14ac:dyDescent="0.3">
      <c r="B207" s="1789" t="s">
        <v>1266</v>
      </c>
      <c r="C207" s="1372" t="s">
        <v>49</v>
      </c>
      <c r="D207" s="139">
        <f t="shared" ref="D207:AP207" si="1018">+D131/D$143*100</f>
        <v>0</v>
      </c>
      <c r="E207" s="1343">
        <f t="shared" si="1018"/>
        <v>0</v>
      </c>
      <c r="F207" s="685">
        <f t="shared" si="1018"/>
        <v>0</v>
      </c>
      <c r="G207" s="1343">
        <f t="shared" ref="G207:H207" si="1019">+G131/G$143*100</f>
        <v>0</v>
      </c>
      <c r="H207" s="685">
        <f t="shared" si="1019"/>
        <v>0</v>
      </c>
      <c r="I207" s="343">
        <f t="shared" si="1018"/>
        <v>0</v>
      </c>
      <c r="J207" s="124">
        <f t="shared" si="1018"/>
        <v>0</v>
      </c>
      <c r="K207" s="1343">
        <f t="shared" si="1018"/>
        <v>0</v>
      </c>
      <c r="L207" s="685">
        <f t="shared" si="1018"/>
        <v>0</v>
      </c>
      <c r="M207" s="236">
        <f t="shared" si="1018"/>
        <v>0</v>
      </c>
      <c r="N207" s="120">
        <f t="shared" si="1018"/>
        <v>0</v>
      </c>
      <c r="O207" s="1343">
        <f t="shared" ref="O207:P207" si="1020">+O131/O$143*100</f>
        <v>0</v>
      </c>
      <c r="P207" s="685">
        <f t="shared" si="1020"/>
        <v>0.21146776216672394</v>
      </c>
      <c r="Q207" s="53">
        <f t="shared" si="1018"/>
        <v>0</v>
      </c>
      <c r="R207" s="124">
        <f t="shared" si="1018"/>
        <v>5.3859957520956583E-2</v>
      </c>
      <c r="S207" s="1343">
        <f t="shared" si="1018"/>
        <v>0</v>
      </c>
      <c r="T207" s="685">
        <f t="shared" si="1018"/>
        <v>0.31527789463808964</v>
      </c>
      <c r="U207" s="53">
        <f t="shared" si="1018"/>
        <v>0</v>
      </c>
      <c r="V207" s="124">
        <f t="shared" si="1018"/>
        <v>0.10718441385096597</v>
      </c>
      <c r="W207" s="1343">
        <f t="shared" ref="W207:X207" si="1021">+W131/W$143*100</f>
        <v>0</v>
      </c>
      <c r="X207" s="685">
        <f t="shared" si="1021"/>
        <v>0</v>
      </c>
      <c r="Y207" s="447">
        <f t="shared" si="1018"/>
        <v>0</v>
      </c>
      <c r="Z207" s="447">
        <f t="shared" si="1018"/>
        <v>0.17732522970989445</v>
      </c>
      <c r="AA207" s="467">
        <f t="shared" si="1018"/>
        <v>0</v>
      </c>
      <c r="AB207" s="475">
        <f t="shared" si="1018"/>
        <v>8.9489867089115854E-2</v>
      </c>
      <c r="AC207" s="1343">
        <f t="shared" si="1018"/>
        <v>0</v>
      </c>
      <c r="AD207" s="685">
        <f t="shared" si="1018"/>
        <v>0.63385470715110337</v>
      </c>
      <c r="AE207" s="343">
        <f t="shared" si="1018"/>
        <v>0</v>
      </c>
      <c r="AF207" s="124">
        <f t="shared" si="1018"/>
        <v>0.16776404240034484</v>
      </c>
      <c r="AG207" s="1343">
        <f t="shared" ref="AG207:AH207" si="1022">+AG131/AG$143*100</f>
        <v>0</v>
      </c>
      <c r="AH207" s="685">
        <f t="shared" si="1022"/>
        <v>0</v>
      </c>
      <c r="AI207" s="343">
        <f t="shared" si="1018"/>
        <v>0</v>
      </c>
      <c r="AJ207" s="124">
        <f t="shared" si="1018"/>
        <v>0.14724568826739784</v>
      </c>
      <c r="AK207" s="1343">
        <f t="shared" si="1018"/>
        <v>0</v>
      </c>
      <c r="AL207" s="685">
        <f t="shared" si="1018"/>
        <v>0</v>
      </c>
      <c r="AM207" s="447">
        <f t="shared" si="1018"/>
        <v>0</v>
      </c>
      <c r="AN207" s="447">
        <f t="shared" si="1018"/>
        <v>0.2133811374784792</v>
      </c>
      <c r="AO207" s="343">
        <f t="shared" si="1018"/>
        <v>0</v>
      </c>
      <c r="AP207" s="124">
        <f t="shared" si="1018"/>
        <v>0.13072433474928841</v>
      </c>
      <c r="AQ207" s="1343">
        <f t="shared" ref="AQ207:AR207" si="1023">+AQ131/AQ$143*100</f>
        <v>0</v>
      </c>
      <c r="AR207" s="685">
        <f t="shared" si="1023"/>
        <v>0</v>
      </c>
      <c r="AS207" s="343">
        <f t="shared" ref="AS207:AX208" si="1024">+AS131/AS$143*100</f>
        <v>0</v>
      </c>
      <c r="AT207" s="124">
        <f t="shared" si="1024"/>
        <v>0.11757339095997293</v>
      </c>
      <c r="AU207" s="1343">
        <f t="shared" si="1024"/>
        <v>0</v>
      </c>
      <c r="AV207" s="685">
        <f t="shared" si="1024"/>
        <v>0</v>
      </c>
      <c r="AW207" s="343">
        <f t="shared" si="1024"/>
        <v>0</v>
      </c>
      <c r="AX207" s="124">
        <f t="shared" si="1024"/>
        <v>0.10778349222282206</v>
      </c>
      <c r="AY207" s="1343">
        <f t="shared" ref="AY207:AZ207" si="1025">+AY131/AY$143*100</f>
        <v>0</v>
      </c>
      <c r="AZ207" s="685">
        <f t="shared" si="1025"/>
        <v>0</v>
      </c>
      <c r="BA207" s="447">
        <f t="shared" ref="BA207:BF207" si="1026">+BA131/BA$143*100</f>
        <v>0</v>
      </c>
      <c r="BB207" s="447">
        <f t="shared" si="1026"/>
        <v>0</v>
      </c>
      <c r="BC207" s="467">
        <f t="shared" si="1026"/>
        <v>0</v>
      </c>
      <c r="BD207" s="475">
        <f t="shared" si="1026"/>
        <v>0.10770034845852985</v>
      </c>
      <c r="BE207" s="343">
        <f t="shared" si="1026"/>
        <v>0</v>
      </c>
      <c r="BF207" s="124">
        <f t="shared" si="1026"/>
        <v>9.8541863194265125E-2</v>
      </c>
      <c r="BG207" s="1202"/>
      <c r="BH207" s="1202"/>
      <c r="BI207" s="1202"/>
      <c r="BJ207" s="1202"/>
      <c r="BK207" s="1202"/>
      <c r="BL207" s="26"/>
      <c r="BM207" s="26"/>
      <c r="BN207" s="26"/>
    </row>
    <row r="208" spans="1:66" ht="15" thickBot="1" x14ac:dyDescent="0.35">
      <c r="B208" s="1790" t="s">
        <v>612</v>
      </c>
      <c r="C208" s="1384" t="s">
        <v>49</v>
      </c>
      <c r="D208" s="139">
        <f t="shared" ref="D208:AP208" si="1027">+D132/D$143*100</f>
        <v>9.0046777097004007</v>
      </c>
      <c r="E208" s="1343">
        <f t="shared" si="1027"/>
        <v>9.0047142178125377</v>
      </c>
      <c r="F208" s="1385">
        <f t="shared" si="1027"/>
        <v>12.904656646687307</v>
      </c>
      <c r="G208" s="1343">
        <f t="shared" ref="G208:H208" si="1028">+G132/G$143*100</f>
        <v>9.0047142178125394</v>
      </c>
      <c r="H208" s="1385">
        <f t="shared" si="1028"/>
        <v>13.940675179862222</v>
      </c>
      <c r="I208" s="1386">
        <f t="shared" si="1027"/>
        <v>9.0047142178125377</v>
      </c>
      <c r="J208" s="1388">
        <f t="shared" si="1027"/>
        <v>13.432206477837166</v>
      </c>
      <c r="K208" s="1343">
        <f t="shared" si="1027"/>
        <v>9.0046674081108407</v>
      </c>
      <c r="L208" s="1385">
        <f t="shared" si="1027"/>
        <v>13.95841373989953</v>
      </c>
      <c r="M208" s="2371">
        <f t="shared" si="1027"/>
        <v>9.0046989356674754</v>
      </c>
      <c r="N208" s="1542">
        <f t="shared" si="1027"/>
        <v>13.606020755424694</v>
      </c>
      <c r="O208" s="1343">
        <f t="shared" ref="O208:P208" si="1029">+O132/O$143*100</f>
        <v>9.0046674081108424</v>
      </c>
      <c r="P208" s="1385">
        <f t="shared" si="1029"/>
        <v>3.3516126383296116</v>
      </c>
      <c r="Q208" s="2370">
        <f t="shared" si="1027"/>
        <v>9.0046909826478316</v>
      </c>
      <c r="R208" s="1388">
        <f t="shared" si="1027"/>
        <v>10.994265753478572</v>
      </c>
      <c r="S208" s="1343">
        <f t="shared" si="1027"/>
        <v>9.0046674081108424</v>
      </c>
      <c r="T208" s="1385">
        <f t="shared" si="1027"/>
        <v>6.4363904113389072</v>
      </c>
      <c r="U208" s="2370">
        <f t="shared" si="1027"/>
        <v>9.0046862337618361</v>
      </c>
      <c r="V208" s="1388">
        <f t="shared" si="1027"/>
        <v>10.064542922215269</v>
      </c>
      <c r="W208" s="1343">
        <f t="shared" ref="W208:X208" si="1030">+W132/W$143*100</f>
        <v>9.0046972032592851</v>
      </c>
      <c r="X208" s="1385">
        <f t="shared" si="1030"/>
        <v>1.2637172485979449</v>
      </c>
      <c r="Y208" s="447">
        <f t="shared" si="1027"/>
        <v>9.0046768780614563</v>
      </c>
      <c r="Z208" s="447">
        <f t="shared" si="1027"/>
        <v>3.7096318564135164</v>
      </c>
      <c r="AA208" s="467">
        <f t="shared" si="1027"/>
        <v>9.0046879674347835</v>
      </c>
      <c r="AB208" s="475">
        <f t="shared" si="1027"/>
        <v>8.611657975330715</v>
      </c>
      <c r="AC208" s="1343">
        <f t="shared" si="1027"/>
        <v>9.0046674081108424</v>
      </c>
      <c r="AD208" s="1385">
        <f t="shared" si="1027"/>
        <v>2.8556524848866642</v>
      </c>
      <c r="AE208" s="1386">
        <f t="shared" si="1027"/>
        <v>9.0046849861237259</v>
      </c>
      <c r="AF208" s="1388">
        <f t="shared" si="1027"/>
        <v>7.7840024221173403</v>
      </c>
      <c r="AG208" s="1343">
        <f t="shared" ref="AG208:AH208" si="1031">+AG132/AG$143*100</f>
        <v>9.0046674081108407</v>
      </c>
      <c r="AH208" s="1385">
        <f t="shared" si="1031"/>
        <v>6.018266812343203</v>
      </c>
      <c r="AI208" s="1386">
        <f t="shared" si="1027"/>
        <v>9.0046828229254494</v>
      </c>
      <c r="AJ208" s="1388">
        <f t="shared" si="1027"/>
        <v>7.5680444133084963</v>
      </c>
      <c r="AK208" s="1343">
        <f t="shared" si="1027"/>
        <v>9.0046674081108424</v>
      </c>
      <c r="AL208" s="1385">
        <f t="shared" si="1027"/>
        <v>12.606809804661703</v>
      </c>
      <c r="AM208" s="447">
        <f t="shared" si="1027"/>
        <v>9.0046674081108424</v>
      </c>
      <c r="AN208" s="447">
        <f t="shared" si="1027"/>
        <v>7.174726532184093</v>
      </c>
      <c r="AO208" s="1386">
        <f t="shared" si="1027"/>
        <v>9.0046810838522262</v>
      </c>
      <c r="AP208" s="1388">
        <f t="shared" si="1027"/>
        <v>8.133407143483554</v>
      </c>
      <c r="AQ208" s="1343">
        <f t="shared" ref="AQ208:AR208" si="1032">+AQ132/AQ$143*100</f>
        <v>9.0046674081108424</v>
      </c>
      <c r="AR208" s="1385">
        <f t="shared" si="1032"/>
        <v>5.6282761506172561</v>
      </c>
      <c r="AS208" s="1386">
        <f t="shared" si="1024"/>
        <v>9.0046796973959378</v>
      </c>
      <c r="AT208" s="1388">
        <f t="shared" si="1024"/>
        <v>7.8813895146676156</v>
      </c>
      <c r="AU208" s="1343">
        <f t="shared" si="1024"/>
        <v>9.0046674081108424</v>
      </c>
      <c r="AV208" s="1385">
        <f t="shared" si="1024"/>
        <v>5.7206876378915794</v>
      </c>
      <c r="AW208" s="1386">
        <f t="shared" si="1024"/>
        <v>9.0046786664715821</v>
      </c>
      <c r="AX208" s="1388">
        <f t="shared" si="1024"/>
        <v>7.7014759100492824</v>
      </c>
      <c r="AY208" s="1343">
        <f t="shared" ref="AY208:AZ208" si="1033">+AY132/AY$143*100</f>
        <v>9.0046674081108424</v>
      </c>
      <c r="AZ208" s="1385">
        <f t="shared" si="1033"/>
        <v>13.002501380497039</v>
      </c>
      <c r="BA208" s="447">
        <f t="shared" ref="BA208:BF208" si="1034">+BA132/BA$143*100</f>
        <v>9.0046674081108424</v>
      </c>
      <c r="BB208" s="447">
        <f t="shared" si="1034"/>
        <v>8.225175597459554</v>
      </c>
      <c r="BC208" s="467">
        <f t="shared" si="1034"/>
        <v>9.0046674081108424</v>
      </c>
      <c r="BD208" s="475">
        <f t="shared" si="1034"/>
        <v>7.6949800436022491</v>
      </c>
      <c r="BE208" s="343">
        <f t="shared" si="1034"/>
        <v>9.0046777097004025</v>
      </c>
      <c r="BF208" s="124">
        <f t="shared" si="1034"/>
        <v>8.1559992313713625</v>
      </c>
      <c r="BG208" s="1202"/>
      <c r="BH208" s="1202"/>
      <c r="BI208" s="1202"/>
      <c r="BJ208" s="1202"/>
      <c r="BK208" s="1202"/>
      <c r="BL208" s="26"/>
      <c r="BM208" s="26"/>
      <c r="BN208" s="26"/>
    </row>
    <row r="209" spans="2:66" ht="18.600000000000001" thickBot="1" x14ac:dyDescent="0.35">
      <c r="B209" s="1844" t="s">
        <v>13</v>
      </c>
      <c r="C209" s="729" t="s">
        <v>49</v>
      </c>
      <c r="D209" s="1420">
        <f t="shared" ref="D209:AX209" si="1035">SUM(D203:D208)</f>
        <v>70.309296661541012</v>
      </c>
      <c r="E209" s="1366">
        <f t="shared" si="1035"/>
        <v>70.272687137983198</v>
      </c>
      <c r="F209" s="140">
        <f t="shared" si="1035"/>
        <v>68.164498942418078</v>
      </c>
      <c r="G209" s="1366">
        <f t="shared" ref="G209:H209" si="1036">SUM(G203:G208)</f>
        <v>70.272687137983198</v>
      </c>
      <c r="H209" s="140">
        <f t="shared" si="1036"/>
        <v>68.961051590088559</v>
      </c>
      <c r="I209" s="599">
        <f t="shared" si="1035"/>
        <v>70.272687137983212</v>
      </c>
      <c r="J209" s="166">
        <f t="shared" si="1035"/>
        <v>68.570110619549709</v>
      </c>
      <c r="K209" s="1366">
        <f t="shared" ref="K209:L209" si="1037">SUM(K203:K208)</f>
        <v>70.319626866627061</v>
      </c>
      <c r="L209" s="140">
        <f t="shared" si="1037"/>
        <v>68.743224574894015</v>
      </c>
      <c r="M209" s="1564">
        <f t="shared" si="1035"/>
        <v>70.288011733445884</v>
      </c>
      <c r="N209" s="1565">
        <f t="shared" si="1035"/>
        <v>68.627292797101887</v>
      </c>
      <c r="O209" s="1366">
        <f t="shared" ref="O209:P209" si="1038">SUM(O203:O208)</f>
        <v>70.319626866627061</v>
      </c>
      <c r="P209" s="140">
        <f t="shared" si="1038"/>
        <v>69.277784000019622</v>
      </c>
      <c r="Q209" s="1685">
        <f t="shared" si="1035"/>
        <v>70.295986844811736</v>
      </c>
      <c r="R209" s="166">
        <f t="shared" si="1035"/>
        <v>68.792970194913849</v>
      </c>
      <c r="S209" s="1366">
        <f t="shared" ref="S209:T209" si="1039">SUM(S203:S208)</f>
        <v>70.319626866627061</v>
      </c>
      <c r="T209" s="140">
        <f t="shared" si="1039"/>
        <v>68.890334486668053</v>
      </c>
      <c r="U209" s="1685">
        <f t="shared" si="1035"/>
        <v>70.300748922157453</v>
      </c>
      <c r="V209" s="166">
        <f t="shared" si="1035"/>
        <v>68.812830721628302</v>
      </c>
      <c r="W209" s="1366">
        <f t="shared" ref="W209:X209" si="1040">SUM(W203:W208)</f>
        <v>70.289748953880903</v>
      </c>
      <c r="X209" s="140">
        <f t="shared" si="1040"/>
        <v>68.893896738751977</v>
      </c>
      <c r="Y209" s="1365">
        <f t="shared" si="1035"/>
        <v>70.310130610595024</v>
      </c>
      <c r="Z209" s="350">
        <f t="shared" si="1035"/>
        <v>69.021456543537965</v>
      </c>
      <c r="AA209" s="2324">
        <f t="shared" si="1035"/>
        <v>70.29901043345221</v>
      </c>
      <c r="AB209" s="2254">
        <f t="shared" si="1035"/>
        <v>68.826213510965431</v>
      </c>
      <c r="AC209" s="1366">
        <f t="shared" ref="AC209:AD209" si="1041">SUM(AC203:AC208)</f>
        <v>70.319626866627061</v>
      </c>
      <c r="AD209" s="140">
        <f t="shared" si="1041"/>
        <v>68.473032874056429</v>
      </c>
      <c r="AE209" s="599">
        <f t="shared" si="1035"/>
        <v>70.302000025929289</v>
      </c>
      <c r="AF209" s="166">
        <f t="shared" si="1035"/>
        <v>68.775429696406817</v>
      </c>
      <c r="AG209" s="1366">
        <f t="shared" ref="AG209:AH209" si="1042">SUM(AG203:AG208)</f>
        <v>70.319626866627061</v>
      </c>
      <c r="AH209" s="140">
        <f t="shared" si="1042"/>
        <v>68.603308480745383</v>
      </c>
      <c r="AI209" s="599">
        <f t="shared" si="1035"/>
        <v>70.304169233089269</v>
      </c>
      <c r="AJ209" s="166">
        <f t="shared" si="1035"/>
        <v>68.754378438901298</v>
      </c>
      <c r="AK209" s="1366">
        <f t="shared" ref="AK209:AL209" si="1043">SUM(AK203:AK208)</f>
        <v>70.319626866627061</v>
      </c>
      <c r="AL209" s="140">
        <f t="shared" si="1043"/>
        <v>67.680413600014617</v>
      </c>
      <c r="AM209" s="1365">
        <f t="shared" si="1035"/>
        <v>70.319626866627075</v>
      </c>
      <c r="AN209" s="350">
        <f t="shared" si="1035"/>
        <v>68.248326954535045</v>
      </c>
      <c r="AO209" s="599">
        <f t="shared" si="1035"/>
        <v>70.305913137071485</v>
      </c>
      <c r="AP209" s="166">
        <f t="shared" si="1035"/>
        <v>68.633876759171002</v>
      </c>
      <c r="AQ209" s="1366">
        <f t="shared" ref="AQ209:AR209" si="1044">SUM(AQ203:AQ208)</f>
        <v>70.319626866627061</v>
      </c>
      <c r="AR209" s="140">
        <f t="shared" si="1044"/>
        <v>66.889088045225861</v>
      </c>
      <c r="AS209" s="599">
        <f t="shared" si="1035"/>
        <v>70.307303444627138</v>
      </c>
      <c r="AT209" s="166">
        <f t="shared" si="1035"/>
        <v>68.458350003993147</v>
      </c>
      <c r="AU209" s="1366">
        <f t="shared" ref="AU209:AV209" si="1045">SUM(AU203:AU208)</f>
        <v>70.319626866627075</v>
      </c>
      <c r="AV209" s="140">
        <f t="shared" si="1045"/>
        <v>67.899784671776985</v>
      </c>
      <c r="AW209" s="599">
        <f t="shared" si="1035"/>
        <v>70.308337232661785</v>
      </c>
      <c r="AX209" s="166">
        <f t="shared" si="1035"/>
        <v>68.411840347379268</v>
      </c>
      <c r="AY209" s="1366">
        <f t="shared" ref="AY209:AZ209" si="1046">SUM(AY203:AY208)</f>
        <v>70.319626866627061</v>
      </c>
      <c r="AZ209" s="140">
        <f t="shared" si="1046"/>
        <v>67.892542122823045</v>
      </c>
      <c r="BA209" s="1365">
        <f t="shared" ref="BA209:BF209" si="1047">SUM(BA203:BA208)</f>
        <v>70.319626866627075</v>
      </c>
      <c r="BB209" s="350">
        <f t="shared" si="1047"/>
        <v>67.551107639426121</v>
      </c>
      <c r="BC209" s="2324">
        <f t="shared" si="1047"/>
        <v>70.319626866627075</v>
      </c>
      <c r="BD209" s="2254">
        <f t="shared" si="1047"/>
        <v>67.903016735406197</v>
      </c>
      <c r="BE209" s="599">
        <f t="shared" si="1047"/>
        <v>70.309296661541012</v>
      </c>
      <c r="BF209" s="166">
        <f t="shared" si="1047"/>
        <v>68.367314405163413</v>
      </c>
      <c r="BG209" s="1202"/>
      <c r="BH209" s="1202"/>
      <c r="BI209" s="1202"/>
      <c r="BJ209" s="1202"/>
      <c r="BK209" s="1202"/>
      <c r="BL209" s="26"/>
      <c r="BM209" s="26"/>
      <c r="BN209" s="26"/>
    </row>
    <row r="210" spans="2:66" ht="14.25" customHeight="1" x14ac:dyDescent="0.3">
      <c r="B210" s="1799" t="s">
        <v>1358</v>
      </c>
      <c r="C210" s="1387" t="s">
        <v>49</v>
      </c>
      <c r="D210" s="139">
        <f t="shared" ref="D210:AX210" si="1048">+D134/D$143*100</f>
        <v>17.008835673878536</v>
      </c>
      <c r="E210" s="1343">
        <f t="shared" si="1048"/>
        <v>17.008904633645901</v>
      </c>
      <c r="F210" s="685">
        <f t="shared" si="1048"/>
        <v>24.508189141347515</v>
      </c>
      <c r="G210" s="1343">
        <f t="shared" ref="G210:H210" si="1049">+G134/G$143*100</f>
        <v>17.008904633645901</v>
      </c>
      <c r="H210" s="685">
        <f t="shared" si="1049"/>
        <v>24.495380925111558</v>
      </c>
      <c r="I210" s="343">
        <f t="shared" si="1048"/>
        <v>17.008904633645901</v>
      </c>
      <c r="J210" s="124">
        <f t="shared" si="1048"/>
        <v>24.501667083974755</v>
      </c>
      <c r="K210" s="1343">
        <f t="shared" si="1048"/>
        <v>17.008816215320476</v>
      </c>
      <c r="L210" s="685">
        <f t="shared" si="1048"/>
        <v>22.51985228159813</v>
      </c>
      <c r="M210" s="236">
        <f t="shared" si="1048"/>
        <v>17.008875767371897</v>
      </c>
      <c r="N210" s="120">
        <f t="shared" si="1048"/>
        <v>23.847043453663591</v>
      </c>
      <c r="O210" s="1343">
        <f t="shared" ref="O210:P210" si="1050">+O134/O$143*100</f>
        <v>17.008816215320476</v>
      </c>
      <c r="P210" s="685">
        <f t="shared" si="1050"/>
        <v>20.216842157735574</v>
      </c>
      <c r="Q210" s="53">
        <f t="shared" si="1048"/>
        <v>17.00886074500146</v>
      </c>
      <c r="R210" s="124">
        <f t="shared" si="1048"/>
        <v>22.922446316076954</v>
      </c>
      <c r="S210" s="1343">
        <f t="shared" si="1048"/>
        <v>17.008816215320476</v>
      </c>
      <c r="T210" s="685">
        <f t="shared" si="1048"/>
        <v>17.40644387967744</v>
      </c>
      <c r="U210" s="53">
        <f t="shared" si="1048"/>
        <v>17.008851774883468</v>
      </c>
      <c r="V210" s="124">
        <f t="shared" si="1048"/>
        <v>21.797283160557836</v>
      </c>
      <c r="W210" s="1343">
        <f t="shared" ref="W210:X210" si="1051">+W134/W$143*100</f>
        <v>17.008872495045317</v>
      </c>
      <c r="X210" s="685">
        <f t="shared" si="1051"/>
        <v>16.643579573649607</v>
      </c>
      <c r="Y210" s="348">
        <f t="shared" si="1048"/>
        <v>17.008834103004972</v>
      </c>
      <c r="Z210" s="351">
        <f t="shared" si="1048"/>
        <v>18.099549866288136</v>
      </c>
      <c r="AA210" s="461">
        <f t="shared" si="1048"/>
        <v>17.008855049599035</v>
      </c>
      <c r="AB210" s="469">
        <f t="shared" si="1048"/>
        <v>20.946483628808192</v>
      </c>
      <c r="AC210" s="1343">
        <f t="shared" si="1048"/>
        <v>17.008816215320476</v>
      </c>
      <c r="AD210" s="685">
        <f t="shared" si="1048"/>
        <v>16.045437805614394</v>
      </c>
      <c r="AE210" s="343">
        <f t="shared" si="1048"/>
        <v>17.008849418233705</v>
      </c>
      <c r="AF210" s="124">
        <f t="shared" si="1048"/>
        <v>20.241762655408525</v>
      </c>
      <c r="AG210" s="1343">
        <f t="shared" ref="AG210:AH210" si="1052">+AG134/AG$143*100</f>
        <v>17.008816215320476</v>
      </c>
      <c r="AH210" s="685">
        <f t="shared" si="1052"/>
        <v>17.027153508251978</v>
      </c>
      <c r="AI210" s="343">
        <f t="shared" si="1048"/>
        <v>17.008845332192514</v>
      </c>
      <c r="AJ210" s="124">
        <f t="shared" si="1048"/>
        <v>19.848600402421269</v>
      </c>
      <c r="AK210" s="1343">
        <f t="shared" si="1048"/>
        <v>17.008816215320476</v>
      </c>
      <c r="AL210" s="685">
        <f t="shared" si="1048"/>
        <v>18.53624451632728</v>
      </c>
      <c r="AM210" s="348">
        <f t="shared" si="1048"/>
        <v>17.008816215320476</v>
      </c>
      <c r="AN210" s="351">
        <f t="shared" si="1048"/>
        <v>17.205411681038509</v>
      </c>
      <c r="AO210" s="343">
        <f t="shared" si="1048"/>
        <v>17.008842047276431</v>
      </c>
      <c r="AP210" s="124">
        <f t="shared" si="1048"/>
        <v>19.701350620163769</v>
      </c>
      <c r="AQ210" s="1343">
        <f t="shared" ref="AQ210:AR210" si="1053">+AQ134/AQ$143*100</f>
        <v>17.008816215320476</v>
      </c>
      <c r="AR210" s="685">
        <f t="shared" si="1053"/>
        <v>22.92605841688777</v>
      </c>
      <c r="AS210" s="343">
        <f t="shared" si="1048"/>
        <v>17.00883942841455</v>
      </c>
      <c r="AT210" s="124">
        <f t="shared" si="1048"/>
        <v>20.025758092215682</v>
      </c>
      <c r="AU210" s="1343">
        <f t="shared" si="1048"/>
        <v>17.008816215320483</v>
      </c>
      <c r="AV210" s="685">
        <f t="shared" si="1048"/>
        <v>19.967907565808314</v>
      </c>
      <c r="AW210" s="343">
        <f t="shared" si="1048"/>
        <v>17.008837481112991</v>
      </c>
      <c r="AX210" s="124">
        <f t="shared" si="1048"/>
        <v>20.020941094161998</v>
      </c>
      <c r="AY210" s="1343">
        <f t="shared" ref="AY210:AZ210" si="1054">+AY134/AY$143*100</f>
        <v>17.008816215320476</v>
      </c>
      <c r="AZ210" s="685">
        <f t="shared" si="1054"/>
        <v>18.351263533290641</v>
      </c>
      <c r="BA210" s="348">
        <f t="shared" ref="BA210:BF213" si="1055">+BA134/BA$143*100</f>
        <v>17.008816215320476</v>
      </c>
      <c r="BB210" s="351">
        <f t="shared" si="1055"/>
        <v>20.417996822297241</v>
      </c>
      <c r="BC210" s="461">
        <f t="shared" si="1055"/>
        <v>17.008816215320476</v>
      </c>
      <c r="BD210" s="469">
        <f t="shared" si="1055"/>
        <v>18.79650139278133</v>
      </c>
      <c r="BE210" s="343">
        <f t="shared" si="1055"/>
        <v>17.00883567387854</v>
      </c>
      <c r="BF210" s="124">
        <f t="shared" si="1055"/>
        <v>19.877778720252465</v>
      </c>
      <c r="BG210" s="1202"/>
      <c r="BH210" s="1202"/>
      <c r="BI210" s="1202"/>
      <c r="BJ210" s="1202"/>
      <c r="BK210" s="1202"/>
      <c r="BL210" s="26"/>
      <c r="BM210" s="26"/>
      <c r="BN210" s="26"/>
    </row>
    <row r="211" spans="2:66" x14ac:dyDescent="0.3">
      <c r="B211" s="1793" t="s">
        <v>627</v>
      </c>
      <c r="C211" s="1646" t="s">
        <v>49</v>
      </c>
      <c r="D211" s="139">
        <f t="shared" ref="D211:AX211" si="1056">+D135/D$143*100</f>
        <v>5.0025987276113346</v>
      </c>
      <c r="E211" s="1343">
        <f t="shared" si="1056"/>
        <v>5.0026190098958541</v>
      </c>
      <c r="F211" s="99">
        <f t="shared" si="1056"/>
        <v>0.10993579943795924</v>
      </c>
      <c r="G211" s="1343">
        <f t="shared" ref="G211:H211" si="1057">+G135/G$143*100</f>
        <v>5.0026190098958558</v>
      </c>
      <c r="H211" s="99">
        <f t="shared" si="1057"/>
        <v>0.21084899908467455</v>
      </c>
      <c r="I211" s="261">
        <f t="shared" si="1056"/>
        <v>5.002619009895855</v>
      </c>
      <c r="J211" s="105">
        <f t="shared" si="1056"/>
        <v>0.16132169624356069</v>
      </c>
      <c r="K211" s="1343">
        <f t="shared" si="1056"/>
        <v>5.0025930045060232</v>
      </c>
      <c r="L211" s="99">
        <f t="shared" si="1056"/>
        <v>2.1745420004807348</v>
      </c>
      <c r="M211" s="236">
        <f t="shared" si="1056"/>
        <v>5.0026105198152653</v>
      </c>
      <c r="N211" s="120">
        <f t="shared" si="1056"/>
        <v>0.82631904241103948</v>
      </c>
      <c r="O211" s="1343">
        <f t="shared" ref="O211:P211" si="1058">+O135/O$143*100</f>
        <v>5.0025930045060232</v>
      </c>
      <c r="P211" s="99">
        <f t="shared" si="1058"/>
        <v>0</v>
      </c>
      <c r="Q211" s="53">
        <f t="shared" si="1056"/>
        <v>5.0026061014710184</v>
      </c>
      <c r="R211" s="124">
        <f t="shared" si="1056"/>
        <v>0.61585902681808391</v>
      </c>
      <c r="S211" s="1343">
        <f t="shared" si="1056"/>
        <v>5.0025930045060232</v>
      </c>
      <c r="T211" s="99">
        <f t="shared" si="1056"/>
        <v>0</v>
      </c>
      <c r="U211" s="53">
        <f t="shared" si="1056"/>
        <v>5.0026034632010212</v>
      </c>
      <c r="V211" s="124">
        <f t="shared" si="1056"/>
        <v>0.49023510007778426</v>
      </c>
      <c r="W211" s="1343">
        <f t="shared" ref="W211:X211" si="1059">+W135/W$143*100</f>
        <v>5.0026095573662692</v>
      </c>
      <c r="X211" s="99">
        <f t="shared" si="1059"/>
        <v>0</v>
      </c>
      <c r="Y211" s="348">
        <f t="shared" si="1056"/>
        <v>5.0025982655896986</v>
      </c>
      <c r="Z211" s="351">
        <f t="shared" si="1056"/>
        <v>0</v>
      </c>
      <c r="AA211" s="461">
        <f t="shared" si="1056"/>
        <v>5.0026044263526579</v>
      </c>
      <c r="AB211" s="469">
        <f t="shared" si="1056"/>
        <v>0.40930460290038656</v>
      </c>
      <c r="AC211" s="1343">
        <f t="shared" si="1056"/>
        <v>5.0025930045060232</v>
      </c>
      <c r="AD211" s="99">
        <f t="shared" si="1056"/>
        <v>0.39615911434329792</v>
      </c>
      <c r="AE211" s="261">
        <f t="shared" si="1056"/>
        <v>5.0026027700687381</v>
      </c>
      <c r="AF211" s="105">
        <f t="shared" si="1056"/>
        <v>0.4074144141884336</v>
      </c>
      <c r="AG211" s="1343">
        <f t="shared" ref="AG211:AH211" si="1060">+AG135/AG$143*100</f>
        <v>5.0025930045060232</v>
      </c>
      <c r="AH211" s="99">
        <f t="shared" si="1060"/>
        <v>0</v>
      </c>
      <c r="AI211" s="261">
        <f t="shared" si="1056"/>
        <v>5.0026015682919169</v>
      </c>
      <c r="AJ211" s="105">
        <f t="shared" si="1056"/>
        <v>0.35758566000738712</v>
      </c>
      <c r="AK211" s="1343">
        <f t="shared" si="1056"/>
        <v>5.0025930045060232</v>
      </c>
      <c r="AL211" s="99">
        <f t="shared" si="1056"/>
        <v>1.3824514418245548</v>
      </c>
      <c r="AM211" s="348">
        <f t="shared" si="1056"/>
        <v>5.0025930045060241</v>
      </c>
      <c r="AN211" s="351">
        <f t="shared" si="1056"/>
        <v>0.59941396319107065</v>
      </c>
      <c r="AO211" s="261">
        <f t="shared" si="1056"/>
        <v>5.0026006021401273</v>
      </c>
      <c r="AP211" s="105">
        <f t="shared" si="1056"/>
        <v>0.47257829639118587</v>
      </c>
      <c r="AQ211" s="1343">
        <f t="shared" ref="AQ211:AR211" si="1061">+AQ135/AQ$143*100</f>
        <v>5.0025930045060232</v>
      </c>
      <c r="AR211" s="99">
        <f t="shared" si="1061"/>
        <v>0</v>
      </c>
      <c r="AS211" s="261">
        <f t="shared" si="1056"/>
        <v>5.0025998318866334</v>
      </c>
      <c r="AT211" s="105">
        <f t="shared" si="1056"/>
        <v>0.42503664606410491</v>
      </c>
      <c r="AU211" s="1343">
        <f t="shared" si="1056"/>
        <v>5.0025930045060241</v>
      </c>
      <c r="AV211" s="99">
        <f t="shared" si="1056"/>
        <v>0</v>
      </c>
      <c r="AW211" s="261">
        <f t="shared" si="1056"/>
        <v>5.0025992591508794</v>
      </c>
      <c r="AX211" s="105">
        <f t="shared" si="1056"/>
        <v>0.38964542624326609</v>
      </c>
      <c r="AY211" s="1343">
        <f t="shared" ref="AY211:AZ211" si="1062">+AY135/AY$143*100</f>
        <v>5.0025930045060232</v>
      </c>
      <c r="AZ211" s="99">
        <f t="shared" si="1062"/>
        <v>0</v>
      </c>
      <c r="BA211" s="348">
        <f t="shared" si="1055"/>
        <v>5.0025930045060241</v>
      </c>
      <c r="BB211" s="351">
        <f t="shared" si="1055"/>
        <v>0</v>
      </c>
      <c r="BC211" s="461">
        <f t="shared" si="1055"/>
        <v>5.0025930045060232</v>
      </c>
      <c r="BD211" s="469">
        <f t="shared" si="1055"/>
        <v>0.30254357751325456</v>
      </c>
      <c r="BE211" s="261">
        <f t="shared" si="1055"/>
        <v>5.0025987276113337</v>
      </c>
      <c r="BF211" s="105">
        <f t="shared" si="1055"/>
        <v>0.35623624263127196</v>
      </c>
      <c r="BG211" s="1202"/>
      <c r="BH211" s="1202"/>
      <c r="BI211" s="1202"/>
      <c r="BJ211" s="1202"/>
      <c r="BK211" s="1202"/>
      <c r="BL211" s="26"/>
      <c r="BM211" s="26"/>
      <c r="BN211" s="26"/>
    </row>
    <row r="212" spans="2:66" x14ac:dyDescent="0.3">
      <c r="B212" s="1793" t="s">
        <v>1344</v>
      </c>
      <c r="C212" s="1647" t="s">
        <v>49</v>
      </c>
      <c r="D212" s="139">
        <f t="shared" ref="D212:AX212" si="1063">+D136/D$143*100</f>
        <v>0</v>
      </c>
      <c r="E212" s="1343">
        <f t="shared" si="1063"/>
        <v>0</v>
      </c>
      <c r="F212" s="99">
        <f t="shared" si="1063"/>
        <v>0</v>
      </c>
      <c r="G212" s="1343">
        <f t="shared" ref="G212:H212" si="1064">+G136/G$143*100</f>
        <v>0</v>
      </c>
      <c r="H212" s="99">
        <f t="shared" si="1064"/>
        <v>0</v>
      </c>
      <c r="I212" s="261">
        <f t="shared" si="1063"/>
        <v>0</v>
      </c>
      <c r="J212" s="105">
        <f t="shared" si="1063"/>
        <v>0</v>
      </c>
      <c r="K212" s="1343">
        <f t="shared" si="1063"/>
        <v>0</v>
      </c>
      <c r="L212" s="99">
        <f t="shared" si="1063"/>
        <v>0</v>
      </c>
      <c r="M212" s="236">
        <f t="shared" si="1063"/>
        <v>0</v>
      </c>
      <c r="N212" s="120">
        <f t="shared" si="1063"/>
        <v>0</v>
      </c>
      <c r="O212" s="1343">
        <f t="shared" ref="O212:P212" si="1065">+O136/O$143*100</f>
        <v>0</v>
      </c>
      <c r="P212" s="99">
        <f t="shared" si="1065"/>
        <v>2.1666654070142948</v>
      </c>
      <c r="Q212" s="53">
        <f t="shared" si="1063"/>
        <v>0</v>
      </c>
      <c r="R212" s="124">
        <f t="shared" si="1063"/>
        <v>0.5518406474264903</v>
      </c>
      <c r="S212" s="1343">
        <f t="shared" si="1063"/>
        <v>0</v>
      </c>
      <c r="T212" s="99">
        <f t="shared" si="1063"/>
        <v>0</v>
      </c>
      <c r="U212" s="53">
        <f t="shared" si="1063"/>
        <v>0</v>
      </c>
      <c r="V212" s="124">
        <f t="shared" si="1063"/>
        <v>0.43927529391888898</v>
      </c>
      <c r="W212" s="1343">
        <f t="shared" ref="W212:X212" si="1066">+W136/W$143*100</f>
        <v>0</v>
      </c>
      <c r="X212" s="99">
        <f t="shared" si="1066"/>
        <v>5.6719706683835147</v>
      </c>
      <c r="Y212" s="348">
        <f t="shared" si="1063"/>
        <v>0</v>
      </c>
      <c r="Z212" s="351">
        <f t="shared" si="1063"/>
        <v>2.5821381575334823</v>
      </c>
      <c r="AA212" s="461">
        <f t="shared" si="1063"/>
        <v>0</v>
      </c>
      <c r="AB212" s="469">
        <f t="shared" si="1063"/>
        <v>1.303115190666589</v>
      </c>
      <c r="AC212" s="1343">
        <f t="shared" si="1063"/>
        <v>0</v>
      </c>
      <c r="AD212" s="99">
        <f t="shared" si="1063"/>
        <v>8.3289113122127567</v>
      </c>
      <c r="AE212" s="261">
        <f t="shared" si="1063"/>
        <v>0</v>
      </c>
      <c r="AF212" s="105">
        <f t="shared" si="1063"/>
        <v>2.3133538336624069</v>
      </c>
      <c r="AG212" s="1343">
        <f t="shared" ref="AG212:AH212" si="1067">+AG136/AG$143*100</f>
        <v>0</v>
      </c>
      <c r="AH212" s="99">
        <f t="shared" si="1067"/>
        <v>7.6576154972493402</v>
      </c>
      <c r="AI212" s="261">
        <f t="shared" si="1063"/>
        <v>0</v>
      </c>
      <c r="AJ212" s="105">
        <f t="shared" si="1063"/>
        <v>2.9669828940002114</v>
      </c>
      <c r="AK212" s="1343">
        <f t="shared" si="1063"/>
        <v>0</v>
      </c>
      <c r="AL212" s="99">
        <f t="shared" si="1063"/>
        <v>4.7650726690876759</v>
      </c>
      <c r="AM212" s="348">
        <f t="shared" si="1063"/>
        <v>0</v>
      </c>
      <c r="AN212" s="351">
        <f t="shared" si="1063"/>
        <v>6.9084694069972254</v>
      </c>
      <c r="AO212" s="261">
        <f t="shared" si="1063"/>
        <v>0</v>
      </c>
      <c r="AP212" s="105">
        <f t="shared" si="1063"/>
        <v>3.1687332962094112</v>
      </c>
      <c r="AQ212" s="1343">
        <f t="shared" ref="AQ212:AR212" si="1068">+AQ136/AQ$143*100</f>
        <v>0</v>
      </c>
      <c r="AR212" s="99">
        <f t="shared" si="1068"/>
        <v>2.4195983321951711</v>
      </c>
      <c r="AS212" s="261">
        <f t="shared" si="1063"/>
        <v>0</v>
      </c>
      <c r="AT212" s="105">
        <f t="shared" si="1063"/>
        <v>3.0933698849420552</v>
      </c>
      <c r="AU212" s="1343">
        <f t="shared" si="1063"/>
        <v>0</v>
      </c>
      <c r="AV212" s="99">
        <f t="shared" si="1063"/>
        <v>5.3763901221649331</v>
      </c>
      <c r="AW212" s="261">
        <f t="shared" si="1063"/>
        <v>0</v>
      </c>
      <c r="AX212" s="105">
        <f t="shared" si="1063"/>
        <v>3.2834684842491662</v>
      </c>
      <c r="AY212" s="1343">
        <f t="shared" ref="AY212:AZ212" si="1069">+AY136/AY$143*100</f>
        <v>0</v>
      </c>
      <c r="AZ212" s="99">
        <f t="shared" si="1069"/>
        <v>7.000015843524217</v>
      </c>
      <c r="BA212" s="348">
        <f t="shared" si="1055"/>
        <v>0</v>
      </c>
      <c r="BB212" s="351">
        <f t="shared" si="1055"/>
        <v>4.929197941385433</v>
      </c>
      <c r="BC212" s="461">
        <f t="shared" si="1055"/>
        <v>0</v>
      </c>
      <c r="BD212" s="469">
        <f t="shared" si="1055"/>
        <v>5.9282001449514095</v>
      </c>
      <c r="BE212" s="261">
        <f t="shared" si="1055"/>
        <v>0</v>
      </c>
      <c r="BF212" s="105">
        <f t="shared" si="1055"/>
        <v>3.6021346478067269</v>
      </c>
      <c r="BG212" s="1202"/>
      <c r="BH212" s="1202"/>
      <c r="BI212" s="1202"/>
      <c r="BJ212" s="1202"/>
      <c r="BK212" s="1202"/>
      <c r="BL212" s="26"/>
      <c r="BM212" s="26"/>
      <c r="BN212" s="26"/>
    </row>
    <row r="213" spans="2:66" ht="15" thickBot="1" x14ac:dyDescent="0.35">
      <c r="B213" s="1793" t="s">
        <v>1357</v>
      </c>
      <c r="C213" s="1647" t="s">
        <v>49</v>
      </c>
      <c r="D213" s="139">
        <f t="shared" ref="D213:AX213" si="1070">+D137/D$143*100</f>
        <v>3.0015592365668002</v>
      </c>
      <c r="E213" s="1343">
        <f t="shared" si="1070"/>
        <v>3.0015714059375123</v>
      </c>
      <c r="F213" s="130">
        <f t="shared" si="1070"/>
        <v>0</v>
      </c>
      <c r="G213" s="1343">
        <f t="shared" ref="G213:H213" si="1071">+G137/G$143*100</f>
        <v>3.0015714059375127</v>
      </c>
      <c r="H213" s="130">
        <f t="shared" si="1071"/>
        <v>0</v>
      </c>
      <c r="I213" s="598">
        <f t="shared" si="1070"/>
        <v>3.0015714059375123</v>
      </c>
      <c r="J213" s="106">
        <f t="shared" si="1070"/>
        <v>0</v>
      </c>
      <c r="K213" s="1343">
        <f t="shared" si="1070"/>
        <v>3.001555802703614</v>
      </c>
      <c r="L213" s="130">
        <f t="shared" si="1070"/>
        <v>0</v>
      </c>
      <c r="M213" s="1547">
        <f t="shared" si="1070"/>
        <v>3.0015663118891589</v>
      </c>
      <c r="N213" s="112">
        <f t="shared" si="1070"/>
        <v>0</v>
      </c>
      <c r="O213" s="1343">
        <f t="shared" ref="O213:P213" si="1072">+O137/O$143*100</f>
        <v>3.0015558027036136</v>
      </c>
      <c r="P213" s="130">
        <f t="shared" si="1072"/>
        <v>2.3053766268208857</v>
      </c>
      <c r="Q213" s="763">
        <f t="shared" si="1070"/>
        <v>3.0015636608826104</v>
      </c>
      <c r="R213" s="106">
        <f t="shared" si="1070"/>
        <v>0.58716981689381009</v>
      </c>
      <c r="S213" s="1343">
        <f t="shared" si="1070"/>
        <v>3.0015558027036136</v>
      </c>
      <c r="T213" s="130">
        <f t="shared" si="1070"/>
        <v>6.9451669371498088</v>
      </c>
      <c r="U213" s="763">
        <f t="shared" si="1070"/>
        <v>3.0015620779206125</v>
      </c>
      <c r="V213" s="106">
        <f t="shared" si="1070"/>
        <v>1.8840844185628793</v>
      </c>
      <c r="W213" s="1343">
        <f t="shared" ref="W213:X213" si="1073">+W137/W$143*100</f>
        <v>3.0015657344197622</v>
      </c>
      <c r="X213" s="130">
        <f t="shared" si="1073"/>
        <v>2.0353833639675027</v>
      </c>
      <c r="Y213" s="348">
        <f t="shared" si="1070"/>
        <v>3.0015589593538188</v>
      </c>
      <c r="Z213" s="351">
        <f t="shared" si="1070"/>
        <v>3.7828281636217849</v>
      </c>
      <c r="AA213" s="461">
        <f t="shared" si="1070"/>
        <v>3.0015626558115946</v>
      </c>
      <c r="AB213" s="469">
        <f t="shared" si="1070"/>
        <v>1.9090616159770781</v>
      </c>
      <c r="AC213" s="1343">
        <f t="shared" si="1070"/>
        <v>3.0015558027036136</v>
      </c>
      <c r="AD213" s="130">
        <f t="shared" si="1070"/>
        <v>0</v>
      </c>
      <c r="AE213" s="598">
        <f t="shared" si="1070"/>
        <v>3.001561662041242</v>
      </c>
      <c r="AF213" s="106">
        <f t="shared" si="1070"/>
        <v>1.6345578041733766</v>
      </c>
      <c r="AG213" s="1343">
        <f t="shared" ref="AG213:AH213" si="1074">+AG137/AG$143*100</f>
        <v>3.001555802703614</v>
      </c>
      <c r="AH213" s="130">
        <f t="shared" si="1074"/>
        <v>0</v>
      </c>
      <c r="AI213" s="598">
        <f t="shared" si="1070"/>
        <v>3.0015609409751498</v>
      </c>
      <c r="AJ213" s="106">
        <f t="shared" si="1070"/>
        <v>1.4346434757097899</v>
      </c>
      <c r="AK213" s="1343">
        <f t="shared" si="1070"/>
        <v>3.0015558027036136</v>
      </c>
      <c r="AL213" s="130">
        <f t="shared" si="1070"/>
        <v>0</v>
      </c>
      <c r="AM213" s="348">
        <f t="shared" si="1070"/>
        <v>3.0015558027036131</v>
      </c>
      <c r="AN213" s="351">
        <f t="shared" si="1070"/>
        <v>0</v>
      </c>
      <c r="AO213" s="598">
        <f t="shared" si="1070"/>
        <v>3.0015603612840764</v>
      </c>
      <c r="AP213" s="106">
        <f t="shared" si="1070"/>
        <v>1.2736727042491858</v>
      </c>
      <c r="AQ213" s="1343">
        <f t="shared" ref="AQ213:AR213" si="1075">+AQ137/AQ$143*100</f>
        <v>3.0015558027036136</v>
      </c>
      <c r="AR213" s="130">
        <f t="shared" si="1075"/>
        <v>0</v>
      </c>
      <c r="AS213" s="598">
        <f t="shared" si="1070"/>
        <v>3.0015598991319794</v>
      </c>
      <c r="AT213" s="106">
        <f t="shared" si="1070"/>
        <v>1.1455404925099506</v>
      </c>
      <c r="AU213" s="1343">
        <f t="shared" si="1070"/>
        <v>3.001555802703614</v>
      </c>
      <c r="AV213" s="130">
        <f t="shared" si="1070"/>
        <v>0</v>
      </c>
      <c r="AW213" s="598">
        <f t="shared" si="1070"/>
        <v>3.0015595554905277</v>
      </c>
      <c r="AX213" s="106">
        <f t="shared" si="1070"/>
        <v>1.0501555986201732</v>
      </c>
      <c r="AY213" s="1343">
        <f t="shared" ref="AY213:AZ213" si="1076">+AY137/AY$143*100</f>
        <v>3.0015558027036136</v>
      </c>
      <c r="AZ213" s="130">
        <f t="shared" si="1076"/>
        <v>0</v>
      </c>
      <c r="BA213" s="348">
        <f t="shared" si="1055"/>
        <v>3.0015558027036136</v>
      </c>
      <c r="BB213" s="351">
        <f t="shared" si="1055"/>
        <v>0</v>
      </c>
      <c r="BC213" s="461">
        <f t="shared" si="1055"/>
        <v>3.0015558027036131</v>
      </c>
      <c r="BD213" s="469">
        <f t="shared" si="1055"/>
        <v>0</v>
      </c>
      <c r="BE213" s="598">
        <f t="shared" si="1055"/>
        <v>3.0015592365668011</v>
      </c>
      <c r="BF213" s="106">
        <f t="shared" si="1055"/>
        <v>0.96011260349577865</v>
      </c>
      <c r="BG213" s="1202"/>
      <c r="BH213" s="1202"/>
      <c r="BI213" s="1202"/>
      <c r="BJ213" s="1202"/>
      <c r="BK213" s="1202"/>
      <c r="BL213" s="26"/>
      <c r="BM213" s="26"/>
      <c r="BN213" s="26"/>
    </row>
    <row r="214" spans="2:66" ht="18.600000000000001" thickBot="1" x14ac:dyDescent="0.35">
      <c r="B214" s="1845" t="s">
        <v>134</v>
      </c>
      <c r="C214" s="729" t="s">
        <v>49</v>
      </c>
      <c r="D214" s="1420">
        <f>SUM(D210:D213)</f>
        <v>25.01299363805667</v>
      </c>
      <c r="E214" s="1366">
        <f>SUM(E210:E213)</f>
        <v>25.013095049479269</v>
      </c>
      <c r="F214" s="140">
        <f>SUM(F210:F213)</f>
        <v>24.618124940785474</v>
      </c>
      <c r="G214" s="1366">
        <f>SUM(G210:G213)</f>
        <v>25.013095049479269</v>
      </c>
      <c r="H214" s="140">
        <f>SUM(H210:H213)</f>
        <v>24.706229924196233</v>
      </c>
      <c r="I214" s="599">
        <f t="shared" ref="I214:N214" si="1077">SUM(I210:I213)</f>
        <v>25.013095049479269</v>
      </c>
      <c r="J214" s="166">
        <f t="shared" si="1077"/>
        <v>24.662988780218317</v>
      </c>
      <c r="K214" s="1366">
        <f>SUM(K210:K213)</f>
        <v>25.012965022530111</v>
      </c>
      <c r="L214" s="140">
        <f>SUM(L210:L213)</f>
        <v>24.694394282078864</v>
      </c>
      <c r="M214" s="1564">
        <f t="shared" si="1077"/>
        <v>25.013052599076321</v>
      </c>
      <c r="N214" s="1565">
        <f t="shared" si="1077"/>
        <v>24.673362496074631</v>
      </c>
      <c r="O214" s="1366">
        <f>SUM(O210:O213)</f>
        <v>25.012965022530111</v>
      </c>
      <c r="P214" s="140">
        <f>SUM(P210:P213)</f>
        <v>24.688884191570757</v>
      </c>
      <c r="Q214" s="1685">
        <f t="shared" ref="Q214:R214" si="1078">SUM(Q210:Q213)</f>
        <v>25.01303050735509</v>
      </c>
      <c r="R214" s="166">
        <f t="shared" si="1078"/>
        <v>24.677315807215336</v>
      </c>
      <c r="S214" s="1366">
        <f>SUM(S210:S213)</f>
        <v>25.012965022530111</v>
      </c>
      <c r="T214" s="140">
        <f>SUM(T210:T213)</f>
        <v>24.351610816827247</v>
      </c>
      <c r="U214" s="1685">
        <f t="shared" ref="U214:V214" si="1079">SUM(U210:U213)</f>
        <v>25.013017316005101</v>
      </c>
      <c r="V214" s="166">
        <f t="shared" si="1079"/>
        <v>24.610877973117386</v>
      </c>
      <c r="W214" s="1366">
        <f>SUM(W210:W213)</f>
        <v>25.013047786831351</v>
      </c>
      <c r="X214" s="140">
        <f>SUM(X210:X213)</f>
        <v>24.350933606000623</v>
      </c>
      <c r="Y214" s="600">
        <f t="shared" ref="Y214:AF214" si="1080">SUM(Y210:Y213)</f>
        <v>25.012991327948487</v>
      </c>
      <c r="Z214" s="350">
        <f t="shared" si="1080"/>
        <v>24.464516187443401</v>
      </c>
      <c r="AA214" s="2325">
        <f t="shared" si="1080"/>
        <v>25.013022131763286</v>
      </c>
      <c r="AB214" s="2254">
        <f t="shared" si="1080"/>
        <v>24.567965038352245</v>
      </c>
      <c r="AC214" s="1366">
        <f>SUM(AC210:AC213)</f>
        <v>25.012965022530111</v>
      </c>
      <c r="AD214" s="140">
        <f>SUM(AD210:AD213)</f>
        <v>24.77050823217045</v>
      </c>
      <c r="AE214" s="599">
        <f t="shared" si="1080"/>
        <v>25.013013850343683</v>
      </c>
      <c r="AF214" s="166">
        <f t="shared" si="1080"/>
        <v>24.597088707432743</v>
      </c>
      <c r="AG214" s="1366">
        <f>SUM(AG210:AG213)</f>
        <v>25.012965022530111</v>
      </c>
      <c r="AH214" s="140">
        <f>SUM(AH210:AH213)</f>
        <v>24.684769005501316</v>
      </c>
      <c r="AI214" s="599">
        <f t="shared" ref="AI214:AN214" si="1081">SUM(AI210:AI213)</f>
        <v>25.013007841459579</v>
      </c>
      <c r="AJ214" s="166">
        <f t="shared" si="1081"/>
        <v>24.607812432138658</v>
      </c>
      <c r="AK214" s="1366">
        <f>SUM(AK210:AK213)</f>
        <v>25.012965022530111</v>
      </c>
      <c r="AL214" s="140">
        <f>SUM(AL210:AL213)</f>
        <v>24.683768627239509</v>
      </c>
      <c r="AM214" s="600">
        <f t="shared" si="1081"/>
        <v>25.012965022530114</v>
      </c>
      <c r="AN214" s="350">
        <f t="shared" si="1081"/>
        <v>24.713295051226808</v>
      </c>
      <c r="AO214" s="599">
        <f t="shared" ref="AO214:AT214" si="1082">SUM(AO210:AO213)</f>
        <v>25.013003010700636</v>
      </c>
      <c r="AP214" s="166">
        <f t="shared" si="1082"/>
        <v>24.616334917013553</v>
      </c>
      <c r="AQ214" s="1366">
        <f>SUM(AQ210:AQ213)</f>
        <v>25.012965022530111</v>
      </c>
      <c r="AR214" s="140">
        <f>SUM(AR210:AR213)</f>
        <v>25.345656749082941</v>
      </c>
      <c r="AS214" s="599">
        <f t="shared" si="1082"/>
        <v>25.012999159433164</v>
      </c>
      <c r="AT214" s="166">
        <f t="shared" si="1082"/>
        <v>24.689705115731794</v>
      </c>
      <c r="AU214" s="1366">
        <f>SUM(AU210:AU213)</f>
        <v>25.012965022530121</v>
      </c>
      <c r="AV214" s="140">
        <f>SUM(AV210:AV213)</f>
        <v>25.344297687973246</v>
      </c>
      <c r="AW214" s="599">
        <f t="shared" ref="AW214:AX214" si="1083">SUM(AW210:AW213)</f>
        <v>25.012996295754398</v>
      </c>
      <c r="AX214" s="166">
        <f t="shared" si="1083"/>
        <v>24.744210603274603</v>
      </c>
      <c r="AY214" s="1366">
        <f>SUM(AY210:AY213)</f>
        <v>25.012965022530111</v>
      </c>
      <c r="AZ214" s="140">
        <f>SUM(AZ210:AZ213)</f>
        <v>25.351279376814858</v>
      </c>
      <c r="BA214" s="600">
        <f t="shared" ref="BA214:BF214" si="1084">SUM(BA210:BA213)</f>
        <v>25.012965022530114</v>
      </c>
      <c r="BB214" s="350">
        <f t="shared" si="1084"/>
        <v>25.347194763682673</v>
      </c>
      <c r="BC214" s="2325">
        <f t="shared" si="1084"/>
        <v>25.012965022530111</v>
      </c>
      <c r="BD214" s="2254">
        <f t="shared" si="1084"/>
        <v>25.027245115245996</v>
      </c>
      <c r="BE214" s="599">
        <f t="shared" si="1084"/>
        <v>25.012993638056674</v>
      </c>
      <c r="BF214" s="166">
        <f t="shared" si="1084"/>
        <v>24.796262214186243</v>
      </c>
      <c r="BG214" s="1202"/>
      <c r="BH214" s="1202"/>
      <c r="BI214" s="1202"/>
      <c r="BJ214" s="1202"/>
      <c r="BK214" s="1202"/>
      <c r="BL214" s="26"/>
      <c r="BM214" s="26"/>
      <c r="BN214" s="26"/>
    </row>
    <row r="215" spans="2:66" ht="18.600000000000001" thickBot="1" x14ac:dyDescent="0.35">
      <c r="B215" s="1844" t="s">
        <v>12</v>
      </c>
      <c r="C215" s="729" t="s">
        <v>49</v>
      </c>
      <c r="D215" s="1420">
        <f>+D209+D214</f>
        <v>95.322290299597682</v>
      </c>
      <c r="E215" s="1366">
        <f>+E209+E214</f>
        <v>95.285782187462473</v>
      </c>
      <c r="F215" s="140">
        <f>+F209+F214</f>
        <v>92.782623883203556</v>
      </c>
      <c r="G215" s="1366">
        <f>+G209+G214</f>
        <v>95.285782187462473</v>
      </c>
      <c r="H215" s="140">
        <f>+H209+H214</f>
        <v>93.667281514284795</v>
      </c>
      <c r="I215" s="599">
        <f t="shared" ref="I215:N215" si="1085">+I209+I214</f>
        <v>95.285782187462473</v>
      </c>
      <c r="J215" s="166">
        <f t="shared" si="1085"/>
        <v>93.233099399768022</v>
      </c>
      <c r="K215" s="1366">
        <f>+K209+K214</f>
        <v>95.332591889157172</v>
      </c>
      <c r="L215" s="140">
        <f>+L209+L214</f>
        <v>93.437618856972875</v>
      </c>
      <c r="M215" s="1564">
        <f t="shared" si="1085"/>
        <v>95.301064332522202</v>
      </c>
      <c r="N215" s="1565">
        <f t="shared" si="1085"/>
        <v>93.300655293176519</v>
      </c>
      <c r="O215" s="1366">
        <f>+O209+O214</f>
        <v>95.332591889157172</v>
      </c>
      <c r="P215" s="140">
        <f>+P209+P214</f>
        <v>93.966668191590372</v>
      </c>
      <c r="Q215" s="1685">
        <f t="shared" ref="Q215:R215" si="1086">+Q209+Q214</f>
        <v>95.309017352166819</v>
      </c>
      <c r="R215" s="166">
        <f t="shared" si="1086"/>
        <v>93.470286002129185</v>
      </c>
      <c r="S215" s="1366">
        <f>+S209+S214</f>
        <v>95.332591889157172</v>
      </c>
      <c r="T215" s="140">
        <f>+T209+T214</f>
        <v>93.241945303495299</v>
      </c>
      <c r="U215" s="1685">
        <f t="shared" ref="U215:V215" si="1087">+U209+U214</f>
        <v>95.313766238162557</v>
      </c>
      <c r="V215" s="166">
        <f t="shared" si="1087"/>
        <v>93.423708694745685</v>
      </c>
      <c r="W215" s="1366">
        <f>+W209+W214</f>
        <v>95.302796740712253</v>
      </c>
      <c r="X215" s="140">
        <f>+X209+X214</f>
        <v>93.2448303447526</v>
      </c>
      <c r="Y215" s="600">
        <f t="shared" ref="Y215:AF215" si="1088">+Y209+Y214</f>
        <v>95.323121938543508</v>
      </c>
      <c r="Z215" s="350">
        <f t="shared" si="1088"/>
        <v>93.485972730981359</v>
      </c>
      <c r="AA215" s="2325">
        <f t="shared" si="1088"/>
        <v>95.312032565215503</v>
      </c>
      <c r="AB215" s="2254">
        <f t="shared" si="1088"/>
        <v>93.394178549317672</v>
      </c>
      <c r="AC215" s="1366">
        <f>+AC209+AC214</f>
        <v>95.332591889157172</v>
      </c>
      <c r="AD215" s="140">
        <f>+AD209+AD214</f>
        <v>93.243541106226871</v>
      </c>
      <c r="AE215" s="599">
        <f t="shared" si="1088"/>
        <v>95.315013876272971</v>
      </c>
      <c r="AF215" s="166">
        <f t="shared" si="1088"/>
        <v>93.372518403839564</v>
      </c>
      <c r="AG215" s="1366">
        <f>+AG209+AG214</f>
        <v>95.332591889157172</v>
      </c>
      <c r="AH215" s="140">
        <f>+AH209+AH214</f>
        <v>93.288077486246692</v>
      </c>
      <c r="AI215" s="599">
        <f t="shared" ref="AI215:AN215" si="1089">+AI209+AI214</f>
        <v>95.317177074548852</v>
      </c>
      <c r="AJ215" s="166">
        <f t="shared" si="1089"/>
        <v>93.362190871039957</v>
      </c>
      <c r="AK215" s="1366">
        <f>+AK209+AK214</f>
        <v>95.332591889157172</v>
      </c>
      <c r="AL215" s="140">
        <f>+AL209+AL214</f>
        <v>92.364182227254133</v>
      </c>
      <c r="AM215" s="600">
        <f t="shared" si="1089"/>
        <v>95.332591889157186</v>
      </c>
      <c r="AN215" s="350">
        <f t="shared" si="1089"/>
        <v>92.961622005761853</v>
      </c>
      <c r="AO215" s="599">
        <f t="shared" ref="AO215:AT215" si="1090">+AO209+AO214</f>
        <v>95.318916147772114</v>
      </c>
      <c r="AP215" s="166">
        <f t="shared" si="1090"/>
        <v>93.250211676184563</v>
      </c>
      <c r="AQ215" s="1366">
        <f>+AQ209+AQ214</f>
        <v>95.332591889157172</v>
      </c>
      <c r="AR215" s="140">
        <f>+AR209+AR214</f>
        <v>92.234744794308796</v>
      </c>
      <c r="AS215" s="599">
        <f t="shared" si="1090"/>
        <v>95.320302604060302</v>
      </c>
      <c r="AT215" s="166">
        <f t="shared" si="1090"/>
        <v>93.148055119724944</v>
      </c>
      <c r="AU215" s="1366">
        <f>+AU209+AU214</f>
        <v>95.3325918891572</v>
      </c>
      <c r="AV215" s="140">
        <f>+AV209+AV214</f>
        <v>93.244082359750223</v>
      </c>
      <c r="AW215" s="599">
        <f t="shared" ref="AW215:AX215" si="1091">+AW209+AW214</f>
        <v>95.321333528416176</v>
      </c>
      <c r="AX215" s="166">
        <f t="shared" si="1091"/>
        <v>93.156050950653878</v>
      </c>
      <c r="AY215" s="1366">
        <f>+AY209+AY214</f>
        <v>95.332591889157172</v>
      </c>
      <c r="AZ215" s="140">
        <f>+AZ209+AZ214</f>
        <v>93.243821499637903</v>
      </c>
      <c r="BA215" s="600">
        <f t="shared" ref="BA215:BF215" si="1092">+BA209+BA214</f>
        <v>95.332591889157186</v>
      </c>
      <c r="BB215" s="350">
        <f t="shared" si="1092"/>
        <v>92.898302403108801</v>
      </c>
      <c r="BC215" s="2325">
        <f t="shared" si="1092"/>
        <v>95.332591889157186</v>
      </c>
      <c r="BD215" s="2254">
        <f t="shared" si="1092"/>
        <v>92.930261850652187</v>
      </c>
      <c r="BE215" s="599">
        <f t="shared" si="1092"/>
        <v>95.322290299597682</v>
      </c>
      <c r="BF215" s="166">
        <f t="shared" si="1092"/>
        <v>93.163576619349655</v>
      </c>
      <c r="BG215" s="1202"/>
      <c r="BH215" s="1202"/>
      <c r="BI215" s="1202"/>
      <c r="BJ215" s="1202"/>
      <c r="BK215" s="1202"/>
      <c r="BL215" s="26"/>
      <c r="BM215" s="26"/>
      <c r="BN215" s="26"/>
    </row>
    <row r="216" spans="2:66" x14ac:dyDescent="0.3">
      <c r="B216" s="1800" t="s">
        <v>998</v>
      </c>
      <c r="C216" s="1387" t="s">
        <v>49</v>
      </c>
      <c r="D216" s="6212">
        <f t="shared" ref="D216:AX216" si="1093">+D140/D$143*100</f>
        <v>4.6777097004023185</v>
      </c>
      <c r="E216" s="6177">
        <f t="shared" si="1093"/>
        <v>4.7142178125375356</v>
      </c>
      <c r="F216" s="685">
        <f t="shared" si="1093"/>
        <v>0</v>
      </c>
      <c r="G216" s="6177">
        <f t="shared" ref="G216:H216" si="1094">+G140/G$143*100</f>
        <v>4.7142178125375285</v>
      </c>
      <c r="H216" s="685">
        <f t="shared" si="1094"/>
        <v>0</v>
      </c>
      <c r="I216" s="6221">
        <f t="shared" si="1093"/>
        <v>4.714217812537532</v>
      </c>
      <c r="J216" s="124">
        <f t="shared" si="1093"/>
        <v>0</v>
      </c>
      <c r="K216" s="6177">
        <f t="shared" si="1093"/>
        <v>4.6674081108428203</v>
      </c>
      <c r="L216" s="685">
        <f t="shared" si="1093"/>
        <v>0</v>
      </c>
      <c r="M216" s="6220">
        <f t="shared" si="1093"/>
        <v>4.6989356674777838</v>
      </c>
      <c r="N216" s="120">
        <f t="shared" si="1093"/>
        <v>0</v>
      </c>
      <c r="O216" s="6177">
        <f t="shared" ref="O216:P216" si="1095">+O140/O$143*100</f>
        <v>4.6674081108428132</v>
      </c>
      <c r="P216" s="685">
        <f t="shared" si="1095"/>
        <v>0</v>
      </c>
      <c r="Q216" s="6213">
        <f t="shared" si="1093"/>
        <v>4.6909826478331711</v>
      </c>
      <c r="R216" s="124">
        <f t="shared" si="1093"/>
        <v>0</v>
      </c>
      <c r="S216" s="6177">
        <f t="shared" si="1093"/>
        <v>4.6674081108428132</v>
      </c>
      <c r="T216" s="685">
        <f t="shared" si="1093"/>
        <v>0</v>
      </c>
      <c r="U216" s="6213">
        <f t="shared" si="1093"/>
        <v>4.6862337618374541</v>
      </c>
      <c r="V216" s="124">
        <f t="shared" si="1093"/>
        <v>0</v>
      </c>
      <c r="W216" s="6177">
        <f t="shared" ref="W216:X216" si="1096">+W140/W$143*100</f>
        <v>4.6972032592877282</v>
      </c>
      <c r="X216" s="685">
        <f t="shared" si="1096"/>
        <v>0</v>
      </c>
      <c r="Y216" s="6190">
        <f t="shared" si="1093"/>
        <v>4.6768780614564935</v>
      </c>
      <c r="Z216" s="351">
        <f t="shared" si="1093"/>
        <v>0</v>
      </c>
      <c r="AA216" s="6193">
        <f t="shared" si="1093"/>
        <v>4.6879674347845048</v>
      </c>
      <c r="AB216" s="469">
        <f t="shared" si="1093"/>
        <v>0</v>
      </c>
      <c r="AC216" s="6177">
        <f t="shared" si="1093"/>
        <v>4.6674081108428132</v>
      </c>
      <c r="AD216" s="685">
        <f t="shared" si="1093"/>
        <v>0</v>
      </c>
      <c r="AE216" s="6189">
        <f t="shared" si="1093"/>
        <v>4.6849861237270289</v>
      </c>
      <c r="AF216" s="124">
        <f t="shared" si="1093"/>
        <v>0</v>
      </c>
      <c r="AG216" s="6177">
        <f t="shared" ref="AG216:AH216" si="1097">+AG140/AG$143*100</f>
        <v>4.6674081108428203</v>
      </c>
      <c r="AH216" s="685">
        <f t="shared" si="1097"/>
        <v>0</v>
      </c>
      <c r="AI216" s="6189">
        <f t="shared" si="1093"/>
        <v>4.6828229254511484</v>
      </c>
      <c r="AJ216" s="124">
        <f t="shared" si="1093"/>
        <v>0</v>
      </c>
      <c r="AK216" s="6177">
        <f t="shared" si="1093"/>
        <v>4.6674081108428132</v>
      </c>
      <c r="AL216" s="685">
        <f t="shared" si="1093"/>
        <v>0</v>
      </c>
      <c r="AM216" s="6190">
        <f t="shared" si="1093"/>
        <v>4.6674081108428158</v>
      </c>
      <c r="AN216" s="351">
        <f t="shared" si="1093"/>
        <v>0</v>
      </c>
      <c r="AO216" s="6189">
        <f t="shared" si="1093"/>
        <v>4.6810838522278875</v>
      </c>
      <c r="AP216" s="124">
        <f t="shared" si="1093"/>
        <v>0</v>
      </c>
      <c r="AQ216" s="6177">
        <f t="shared" ref="AQ216:AR216" si="1098">+AQ140/AQ$143*100</f>
        <v>4.6674081108428132</v>
      </c>
      <c r="AR216" s="685">
        <f t="shared" si="1098"/>
        <v>0</v>
      </c>
      <c r="AS216" s="6189">
        <f t="shared" si="1093"/>
        <v>4.6796973959396952</v>
      </c>
      <c r="AT216" s="124">
        <f t="shared" si="1093"/>
        <v>0</v>
      </c>
      <c r="AU216" s="6177">
        <f t="shared" si="1093"/>
        <v>4.6674081108428158</v>
      </c>
      <c r="AV216" s="685">
        <f t="shared" si="1093"/>
        <v>0</v>
      </c>
      <c r="AW216" s="6189">
        <f t="shared" si="1093"/>
        <v>4.6786664715838189</v>
      </c>
      <c r="AX216" s="124">
        <f t="shared" si="1093"/>
        <v>0</v>
      </c>
      <c r="AY216" s="6177">
        <f t="shared" ref="AY216:AZ216" si="1099">+AY140/AY$143*100</f>
        <v>4.667408110842814</v>
      </c>
      <c r="AZ216" s="685">
        <f t="shared" si="1099"/>
        <v>0</v>
      </c>
      <c r="BA216" s="6190">
        <f t="shared" ref="BA216:BF216" si="1100">+BA140/BA$143*100</f>
        <v>4.667408110842814</v>
      </c>
      <c r="BB216" s="351">
        <f t="shared" si="1100"/>
        <v>0</v>
      </c>
      <c r="BC216" s="6193">
        <f t="shared" si="1100"/>
        <v>4.6674081108428149</v>
      </c>
      <c r="BD216" s="469">
        <f t="shared" si="1100"/>
        <v>0</v>
      </c>
      <c r="BE216" s="6189">
        <f t="shared" si="1100"/>
        <v>4.6777097004023167</v>
      </c>
      <c r="BF216" s="124">
        <f t="shared" si="1100"/>
        <v>0</v>
      </c>
      <c r="BG216" s="1202"/>
      <c r="BH216" s="1202"/>
      <c r="BI216" s="1202"/>
      <c r="BJ216" s="1202"/>
      <c r="BK216" s="1202"/>
      <c r="BL216" s="26"/>
      <c r="BM216" s="26"/>
      <c r="BN216" s="26"/>
    </row>
    <row r="217" spans="2:66" x14ac:dyDescent="0.3">
      <c r="B217" s="1800" t="s">
        <v>1177</v>
      </c>
      <c r="C217" s="1372" t="s">
        <v>49</v>
      </c>
      <c r="D217" s="6212"/>
      <c r="E217" s="6177"/>
      <c r="F217" s="99">
        <f>+F141/F$143*100</f>
        <v>7.217376116796455</v>
      </c>
      <c r="G217" s="6177"/>
      <c r="H217" s="99">
        <f>+H141/H$143*100</f>
        <v>6.3327184857152119</v>
      </c>
      <c r="I217" s="6213"/>
      <c r="J217" s="105">
        <f>+J141/J$143*100</f>
        <v>6.7669006002319749</v>
      </c>
      <c r="K217" s="6177"/>
      <c r="L217" s="99">
        <f>+L141/L$143*100</f>
        <v>6.5623811430271308</v>
      </c>
      <c r="M217" s="6220"/>
      <c r="N217" s="111">
        <f>+N141/N$143*100</f>
        <v>6.6993447068234939</v>
      </c>
      <c r="O217" s="6177"/>
      <c r="P217" s="99">
        <f>+P141/P$143*100</f>
        <v>6.0333318084096197</v>
      </c>
      <c r="Q217" s="6213"/>
      <c r="R217" s="105">
        <f>+R141/R$143*100</f>
        <v>6.5297139978708021</v>
      </c>
      <c r="S217" s="6177"/>
      <c r="T217" s="99">
        <f>+T141/T$143*100</f>
        <v>6.7580546965046864</v>
      </c>
      <c r="U217" s="6213"/>
      <c r="V217" s="105">
        <f>+V141/V$143*100</f>
        <v>6.5762913052543075</v>
      </c>
      <c r="W217" s="6177"/>
      <c r="X217" s="99">
        <f>+X141/X$143*100</f>
        <v>6.7551696552473786</v>
      </c>
      <c r="Y217" s="6191"/>
      <c r="Z217" s="351">
        <f>+Z141/Z$143*100</f>
        <v>6.5140272690186451</v>
      </c>
      <c r="AA217" s="6194"/>
      <c r="AB217" s="469">
        <f>+AB141/AB$143*100</f>
        <v>6.605821450682317</v>
      </c>
      <c r="AC217" s="6177"/>
      <c r="AD217" s="99">
        <f>+AD141/AD$143*100</f>
        <v>6.7564588937731207</v>
      </c>
      <c r="AE217" s="6189"/>
      <c r="AF217" s="105">
        <f>+AF141/AF$143*100</f>
        <v>6.627481596160453</v>
      </c>
      <c r="AG217" s="6177"/>
      <c r="AH217" s="99">
        <f>+AH141/AH$143*100</f>
        <v>6.7119225137532945</v>
      </c>
      <c r="AI217" s="6189"/>
      <c r="AJ217" s="105">
        <f>+AJ141/AJ$143*100</f>
        <v>6.6378091289600398</v>
      </c>
      <c r="AK217" s="6177"/>
      <c r="AL217" s="99">
        <f>+AL141/AL$143*100</f>
        <v>7.6358177727458703</v>
      </c>
      <c r="AM217" s="6191"/>
      <c r="AN217" s="351">
        <f>+AN141/AN$143*100</f>
        <v>7.0383779942381457</v>
      </c>
      <c r="AO217" s="6189"/>
      <c r="AP217" s="105">
        <f>+AP141/AP$143*100</f>
        <v>6.7497883238154559</v>
      </c>
      <c r="AQ217" s="6177"/>
      <c r="AR217" s="99">
        <f>+AR141/AR$143*100</f>
        <v>7.7652552056912088</v>
      </c>
      <c r="AS217" s="6189"/>
      <c r="AT217" s="105">
        <f>+AT141/AT$143*100</f>
        <v>6.8519448802750569</v>
      </c>
      <c r="AU217" s="6177"/>
      <c r="AV217" s="99">
        <f>+AV141/AV$143*100</f>
        <v>6.7559176402497743</v>
      </c>
      <c r="AW217" s="6189"/>
      <c r="AX217" s="105">
        <f>+AX141/AX$143*100</f>
        <v>6.843949049346139</v>
      </c>
      <c r="AY217" s="6177"/>
      <c r="AZ217" s="99">
        <f>+AZ141/AZ$143*100</f>
        <v>6.7561785003621093</v>
      </c>
      <c r="BA217" s="6191"/>
      <c r="BB217" s="351">
        <f>+BB141/BB$143*100</f>
        <v>7.1016975968912082</v>
      </c>
      <c r="BC217" s="6194"/>
      <c r="BD217" s="469">
        <f>+BD141/BD$143*100</f>
        <v>7.0697381493478275</v>
      </c>
      <c r="BE217" s="6189"/>
      <c r="BF217" s="105">
        <f>+BF141/BF$143*100</f>
        <v>6.8364233806503583</v>
      </c>
      <c r="BG217" s="1202"/>
      <c r="BH217" s="1202"/>
      <c r="BI217" s="1202"/>
      <c r="BJ217" s="1202"/>
      <c r="BK217" s="1202"/>
      <c r="BL217" s="26"/>
      <c r="BM217" s="26"/>
      <c r="BN217" s="26"/>
    </row>
    <row r="218" spans="2:66" ht="15" customHeight="1" thickBot="1" x14ac:dyDescent="0.35">
      <c r="B218" s="1790" t="s">
        <v>1125</v>
      </c>
      <c r="C218" s="1384" t="s">
        <v>49</v>
      </c>
      <c r="D218" s="6212"/>
      <c r="E218" s="6177"/>
      <c r="F218" s="130">
        <f>+F142/F$143*100</f>
        <v>0</v>
      </c>
      <c r="G218" s="6177"/>
      <c r="H218" s="130">
        <f>+H142/H$143*100</f>
        <v>0</v>
      </c>
      <c r="I218" s="6222"/>
      <c r="J218" s="106">
        <f>+J142/J$143*100</f>
        <v>0</v>
      </c>
      <c r="K218" s="6177"/>
      <c r="L218" s="130">
        <f>+L142/L$143*100</f>
        <v>0</v>
      </c>
      <c r="M218" s="6220"/>
      <c r="N218" s="112">
        <f>+N142/N$143*100</f>
        <v>0</v>
      </c>
      <c r="O218" s="6177"/>
      <c r="P218" s="130">
        <f>+P142/P$143*100</f>
        <v>0</v>
      </c>
      <c r="Q218" s="6213"/>
      <c r="R218" s="106">
        <f>+R142/R$143*100</f>
        <v>0</v>
      </c>
      <c r="S218" s="6177"/>
      <c r="T218" s="130">
        <f>+T142/T$143*100</f>
        <v>0</v>
      </c>
      <c r="U218" s="6213"/>
      <c r="V218" s="106">
        <f>+V142/V$143*100</f>
        <v>0</v>
      </c>
      <c r="W218" s="6177"/>
      <c r="X218" s="130">
        <f>+X142/X$143*100</f>
        <v>0</v>
      </c>
      <c r="Y218" s="6192"/>
      <c r="Z218" s="351">
        <f>+Z142/Z$143*100</f>
        <v>0</v>
      </c>
      <c r="AA218" s="6195"/>
      <c r="AB218" s="469">
        <f>+AB142/AB$143*100</f>
        <v>0</v>
      </c>
      <c r="AC218" s="6177"/>
      <c r="AD218" s="130">
        <f>+AD142/AD$143*100</f>
        <v>0</v>
      </c>
      <c r="AE218" s="6189"/>
      <c r="AF218" s="106">
        <f>+AF142/AF$143*100</f>
        <v>0</v>
      </c>
      <c r="AG218" s="6177"/>
      <c r="AH218" s="130">
        <f>+AH142/AH$143*100</f>
        <v>0</v>
      </c>
      <c r="AI218" s="6189"/>
      <c r="AJ218" s="106">
        <f>+AJ142/AJ$143*100</f>
        <v>0</v>
      </c>
      <c r="AK218" s="6177"/>
      <c r="AL218" s="130">
        <f>+AL142/AL$143*100</f>
        <v>0</v>
      </c>
      <c r="AM218" s="6192"/>
      <c r="AN218" s="351">
        <f>+AN142/AN$143*100</f>
        <v>0</v>
      </c>
      <c r="AO218" s="6189"/>
      <c r="AP218" s="106">
        <f>+AP142/AP$143*100</f>
        <v>0</v>
      </c>
      <c r="AQ218" s="6177"/>
      <c r="AR218" s="130">
        <f>+AR142/AR$143*100</f>
        <v>0</v>
      </c>
      <c r="AS218" s="6189"/>
      <c r="AT218" s="106">
        <f>+AT142/AT$143*100</f>
        <v>0</v>
      </c>
      <c r="AU218" s="6177"/>
      <c r="AV218" s="130">
        <f>+AV142/AV$143*100</f>
        <v>0</v>
      </c>
      <c r="AW218" s="6189"/>
      <c r="AX218" s="106">
        <f>+AX142/AX$143*100</f>
        <v>0</v>
      </c>
      <c r="AY218" s="6177"/>
      <c r="AZ218" s="130">
        <f>+AZ142/AZ$143*100</f>
        <v>0</v>
      </c>
      <c r="BA218" s="6192"/>
      <c r="BB218" s="351">
        <f>+BB142/BB$143*100</f>
        <v>0</v>
      </c>
      <c r="BC218" s="6195"/>
      <c r="BD218" s="469">
        <f>+BD142/BD$143*100</f>
        <v>0</v>
      </c>
      <c r="BE218" s="6189"/>
      <c r="BF218" s="106">
        <f>+BF142/BF$143*100</f>
        <v>0</v>
      </c>
      <c r="BG218" s="1202"/>
      <c r="BH218" s="1202"/>
      <c r="BI218" s="1202"/>
      <c r="BJ218" s="1202"/>
      <c r="BK218" s="1202"/>
      <c r="BL218" s="26"/>
      <c r="BM218" s="26"/>
      <c r="BN218" s="26"/>
    </row>
    <row r="219" spans="2:66" ht="18.600000000000001" thickBot="1" x14ac:dyDescent="0.35">
      <c r="B219" s="1844" t="s">
        <v>608</v>
      </c>
      <c r="C219" s="729" t="s">
        <v>49</v>
      </c>
      <c r="D219" s="1420">
        <f>SUM(D216:D218)</f>
        <v>4.6777097004023185</v>
      </c>
      <c r="E219" s="1366">
        <f>SUM(E216:E218)</f>
        <v>4.7142178125375356</v>
      </c>
      <c r="F219" s="140">
        <f>SUM(F216:F218)</f>
        <v>7.217376116796455</v>
      </c>
      <c r="G219" s="1366">
        <f>SUM(G216:G218)</f>
        <v>4.7142178125375285</v>
      </c>
      <c r="H219" s="140">
        <f>SUM(H216:H218)</f>
        <v>6.3327184857152119</v>
      </c>
      <c r="I219" s="599">
        <f t="shared" ref="I219:N219" si="1101">SUM(I216:I218)</f>
        <v>4.714217812537532</v>
      </c>
      <c r="J219" s="166">
        <f t="shared" si="1101"/>
        <v>6.7669006002319749</v>
      </c>
      <c r="K219" s="1366">
        <f>SUM(K216:K218)</f>
        <v>4.6674081108428203</v>
      </c>
      <c r="L219" s="140">
        <f>SUM(L216:L218)</f>
        <v>6.5623811430271308</v>
      </c>
      <c r="M219" s="1564">
        <f t="shared" si="1101"/>
        <v>4.6989356674777838</v>
      </c>
      <c r="N219" s="1565">
        <f t="shared" si="1101"/>
        <v>6.6993447068234939</v>
      </c>
      <c r="O219" s="1366">
        <f>SUM(O216:O218)</f>
        <v>4.6674081108428132</v>
      </c>
      <c r="P219" s="140">
        <f>SUM(P216:P218)</f>
        <v>6.0333318084096197</v>
      </c>
      <c r="Q219" s="1685">
        <f t="shared" ref="Q219:R219" si="1102">SUM(Q216:Q218)</f>
        <v>4.6909826478331711</v>
      </c>
      <c r="R219" s="166">
        <f t="shared" si="1102"/>
        <v>6.5297139978708021</v>
      </c>
      <c r="S219" s="1366">
        <f>SUM(S216:S218)</f>
        <v>4.6674081108428132</v>
      </c>
      <c r="T219" s="140">
        <f>SUM(T216:T218)</f>
        <v>6.7580546965046864</v>
      </c>
      <c r="U219" s="1685">
        <f t="shared" ref="U219:V219" si="1103">SUM(U216:U218)</f>
        <v>4.6862337618374541</v>
      </c>
      <c r="V219" s="166">
        <f t="shared" si="1103"/>
        <v>6.5762913052543075</v>
      </c>
      <c r="W219" s="1366">
        <f>SUM(W216:W218)</f>
        <v>4.6972032592877282</v>
      </c>
      <c r="X219" s="140">
        <f>SUM(X216:X218)</f>
        <v>6.7551696552473786</v>
      </c>
      <c r="Y219" s="600">
        <f t="shared" ref="Y219:AF219" si="1104">SUM(Y216:Y218)</f>
        <v>4.6768780614564935</v>
      </c>
      <c r="Z219" s="350">
        <f t="shared" si="1104"/>
        <v>6.5140272690186451</v>
      </c>
      <c r="AA219" s="2325">
        <f t="shared" si="1104"/>
        <v>4.6879674347845048</v>
      </c>
      <c r="AB219" s="2254">
        <f t="shared" si="1104"/>
        <v>6.605821450682317</v>
      </c>
      <c r="AC219" s="1366">
        <f>SUM(AC216:AC218)</f>
        <v>4.6674081108428132</v>
      </c>
      <c r="AD219" s="140">
        <f>SUM(AD216:AD218)</f>
        <v>6.7564588937731207</v>
      </c>
      <c r="AE219" s="599">
        <f t="shared" si="1104"/>
        <v>4.6849861237270289</v>
      </c>
      <c r="AF219" s="166">
        <f t="shared" si="1104"/>
        <v>6.627481596160453</v>
      </c>
      <c r="AG219" s="1366">
        <f>SUM(AG216:AG218)</f>
        <v>4.6674081108428203</v>
      </c>
      <c r="AH219" s="140">
        <f>SUM(AH216:AH218)</f>
        <v>6.7119225137532945</v>
      </c>
      <c r="AI219" s="599">
        <f t="shared" ref="AI219:AN219" si="1105">SUM(AI216:AI218)</f>
        <v>4.6828229254511484</v>
      </c>
      <c r="AJ219" s="166">
        <f t="shared" si="1105"/>
        <v>6.6378091289600398</v>
      </c>
      <c r="AK219" s="1366">
        <f>SUM(AK216:AK218)</f>
        <v>4.6674081108428132</v>
      </c>
      <c r="AL219" s="140">
        <f>SUM(AL216:AL218)</f>
        <v>7.6358177727458703</v>
      </c>
      <c r="AM219" s="600">
        <f t="shared" si="1105"/>
        <v>4.6674081108428158</v>
      </c>
      <c r="AN219" s="350">
        <f t="shared" si="1105"/>
        <v>7.0383779942381457</v>
      </c>
      <c r="AO219" s="599">
        <f t="shared" ref="AO219:AT219" si="1106">SUM(AO216:AO218)</f>
        <v>4.6810838522278875</v>
      </c>
      <c r="AP219" s="166">
        <f t="shared" si="1106"/>
        <v>6.7497883238154559</v>
      </c>
      <c r="AQ219" s="1366">
        <f>SUM(AQ216:AQ218)</f>
        <v>4.6674081108428132</v>
      </c>
      <c r="AR219" s="140">
        <f>SUM(AR216:AR218)</f>
        <v>7.7652552056912088</v>
      </c>
      <c r="AS219" s="599">
        <f t="shared" si="1106"/>
        <v>4.6796973959396952</v>
      </c>
      <c r="AT219" s="166">
        <f t="shared" si="1106"/>
        <v>6.8519448802750569</v>
      </c>
      <c r="AU219" s="1366">
        <f>SUM(AU216:AU218)</f>
        <v>4.6674081108428158</v>
      </c>
      <c r="AV219" s="140">
        <f>SUM(AV216:AV218)</f>
        <v>6.7559176402497743</v>
      </c>
      <c r="AW219" s="599">
        <f t="shared" ref="AW219:AX219" si="1107">SUM(AW216:AW218)</f>
        <v>4.6786664715838189</v>
      </c>
      <c r="AX219" s="166">
        <f t="shared" si="1107"/>
        <v>6.843949049346139</v>
      </c>
      <c r="AY219" s="1366">
        <f>SUM(AY216:AY218)</f>
        <v>4.667408110842814</v>
      </c>
      <c r="AZ219" s="140">
        <f>SUM(AZ216:AZ218)</f>
        <v>6.7561785003621093</v>
      </c>
      <c r="BA219" s="600">
        <f t="shared" ref="BA219:BF219" si="1108">SUM(BA216:BA218)</f>
        <v>4.667408110842814</v>
      </c>
      <c r="BB219" s="350">
        <f t="shared" si="1108"/>
        <v>7.1016975968912082</v>
      </c>
      <c r="BC219" s="2325">
        <f t="shared" si="1108"/>
        <v>4.6674081108428149</v>
      </c>
      <c r="BD219" s="2254">
        <f t="shared" si="1108"/>
        <v>7.0697381493478275</v>
      </c>
      <c r="BE219" s="599">
        <f t="shared" si="1108"/>
        <v>4.6777097004023167</v>
      </c>
      <c r="BF219" s="166">
        <f t="shared" si="1108"/>
        <v>6.8364233806503583</v>
      </c>
      <c r="BG219" s="1202"/>
      <c r="BH219" s="1202"/>
      <c r="BI219" s="1202"/>
      <c r="BJ219" s="1202"/>
      <c r="BK219" s="1202"/>
      <c r="BL219" s="26"/>
      <c r="BM219" s="26"/>
      <c r="BN219" s="26"/>
    </row>
    <row r="220" spans="2:66" ht="18" thickBot="1" x14ac:dyDescent="0.35">
      <c r="B220" s="1844" t="s">
        <v>11</v>
      </c>
      <c r="C220" s="729" t="s">
        <v>49</v>
      </c>
      <c r="D220" s="4165">
        <f>+D215+D219</f>
        <v>100</v>
      </c>
      <c r="E220" s="4166">
        <f>+E215+E219</f>
        <v>100.00000000000001</v>
      </c>
      <c r="F220" s="137">
        <f>+F215+F219</f>
        <v>100.00000000000001</v>
      </c>
      <c r="G220" s="4166">
        <f>+G215+G219</f>
        <v>100</v>
      </c>
      <c r="H220" s="137">
        <f>+H215+H219</f>
        <v>100</v>
      </c>
      <c r="I220" s="4167">
        <f t="shared" ref="I220:N220" si="1109">+I215+I219</f>
        <v>100</v>
      </c>
      <c r="J220" s="4168">
        <f t="shared" si="1109"/>
        <v>100</v>
      </c>
      <c r="K220" s="4166">
        <f>+K215+K219</f>
        <v>99.999999999999986</v>
      </c>
      <c r="L220" s="137">
        <f>+L215+L219</f>
        <v>100</v>
      </c>
      <c r="M220" s="4169">
        <f t="shared" si="1109"/>
        <v>99.999999999999986</v>
      </c>
      <c r="N220" s="4170">
        <f t="shared" si="1109"/>
        <v>100.00000000000001</v>
      </c>
      <c r="O220" s="4166">
        <f>+O215+O219</f>
        <v>99.999999999999986</v>
      </c>
      <c r="P220" s="137">
        <f>+P215+P219</f>
        <v>99.999999999999986</v>
      </c>
      <c r="Q220" s="4171">
        <f t="shared" ref="Q220:R220" si="1110">+Q215+Q219</f>
        <v>99.999999999999986</v>
      </c>
      <c r="R220" s="4168">
        <f t="shared" si="1110"/>
        <v>99.999999999999986</v>
      </c>
      <c r="S220" s="4166">
        <f>+S215+S219</f>
        <v>99.999999999999986</v>
      </c>
      <c r="T220" s="137">
        <f>+T215+T219</f>
        <v>99.999999999999986</v>
      </c>
      <c r="U220" s="4171">
        <f t="shared" ref="U220:V220" si="1111">+U215+U219</f>
        <v>100.00000000000001</v>
      </c>
      <c r="V220" s="4168">
        <f t="shared" si="1111"/>
        <v>99.999999999999986</v>
      </c>
      <c r="W220" s="4166">
        <f>+W215+W219</f>
        <v>99.999999999999986</v>
      </c>
      <c r="X220" s="137">
        <f>+X215+X219</f>
        <v>99.999999999999972</v>
      </c>
      <c r="Y220" s="4172">
        <f t="shared" ref="Y220:AF220" si="1112">+Y215+Y219</f>
        <v>100</v>
      </c>
      <c r="Z220" s="4173">
        <f t="shared" si="1112"/>
        <v>100</v>
      </c>
      <c r="AA220" s="4174">
        <f t="shared" si="1112"/>
        <v>100.00000000000001</v>
      </c>
      <c r="AB220" s="4175">
        <f t="shared" si="1112"/>
        <v>99.999999999999986</v>
      </c>
      <c r="AC220" s="4166">
        <f>+AC215+AC219</f>
        <v>99.999999999999986</v>
      </c>
      <c r="AD220" s="137">
        <f>+AD215+AD219</f>
        <v>99.999999999999986</v>
      </c>
      <c r="AE220" s="4167">
        <f t="shared" si="1112"/>
        <v>100</v>
      </c>
      <c r="AF220" s="4168">
        <f t="shared" si="1112"/>
        <v>100.00000000000001</v>
      </c>
      <c r="AG220" s="4166">
        <f>+AG215+AG219</f>
        <v>99.999999999999986</v>
      </c>
      <c r="AH220" s="137">
        <f>+AH215+AH219</f>
        <v>99.999999999999986</v>
      </c>
      <c r="AI220" s="4167">
        <f t="shared" ref="AI220:AN220" si="1113">+AI215+AI219</f>
        <v>100</v>
      </c>
      <c r="AJ220" s="4168">
        <f t="shared" si="1113"/>
        <v>100</v>
      </c>
      <c r="AK220" s="4166">
        <f>+AK215+AK219</f>
        <v>99.999999999999986</v>
      </c>
      <c r="AL220" s="137">
        <f>+AL215+AL219</f>
        <v>100</v>
      </c>
      <c r="AM220" s="600">
        <f t="shared" si="1113"/>
        <v>100</v>
      </c>
      <c r="AN220" s="350">
        <f t="shared" si="1113"/>
        <v>100</v>
      </c>
      <c r="AO220" s="599">
        <f t="shared" ref="AO220:AT220" si="1114">+AO215+AO219</f>
        <v>100</v>
      </c>
      <c r="AP220" s="166">
        <f t="shared" si="1114"/>
        <v>100.00000000000001</v>
      </c>
      <c r="AQ220" s="1366">
        <f>+AQ215+AQ219</f>
        <v>99.999999999999986</v>
      </c>
      <c r="AR220" s="140">
        <f>+AR215+AR219</f>
        <v>100</v>
      </c>
      <c r="AS220" s="599">
        <f t="shared" si="1114"/>
        <v>100</v>
      </c>
      <c r="AT220" s="166">
        <f t="shared" si="1114"/>
        <v>100</v>
      </c>
      <c r="AU220" s="1366">
        <f>+AU215+AU219</f>
        <v>100.00000000000001</v>
      </c>
      <c r="AV220" s="140">
        <f>+AV215+AV219</f>
        <v>100</v>
      </c>
      <c r="AW220" s="599">
        <f t="shared" ref="AW220:AX220" si="1115">+AW215+AW219</f>
        <v>100</v>
      </c>
      <c r="AX220" s="166">
        <f t="shared" si="1115"/>
        <v>100.00000000000001</v>
      </c>
      <c r="AY220" s="1366">
        <f>+AY215+AY219</f>
        <v>99.999999999999986</v>
      </c>
      <c r="AZ220" s="140">
        <f>+AZ215+AZ219</f>
        <v>100.00000000000001</v>
      </c>
      <c r="BA220" s="600">
        <f t="shared" ref="BA220:BF220" si="1116">+BA215+BA219</f>
        <v>100</v>
      </c>
      <c r="BB220" s="350">
        <f t="shared" si="1116"/>
        <v>100.00000000000001</v>
      </c>
      <c r="BC220" s="1367">
        <f t="shared" si="1116"/>
        <v>100</v>
      </c>
      <c r="BD220" s="2254">
        <f t="shared" si="1116"/>
        <v>100.00000000000001</v>
      </c>
      <c r="BE220" s="599">
        <f t="shared" si="1116"/>
        <v>100</v>
      </c>
      <c r="BF220" s="166">
        <f t="shared" si="1116"/>
        <v>100.00000000000001</v>
      </c>
      <c r="BG220" s="1202"/>
      <c r="BH220" s="1202"/>
      <c r="BI220" s="1202"/>
      <c r="BJ220" s="1202"/>
      <c r="BK220" s="1202"/>
      <c r="BL220" s="26"/>
      <c r="BM220" s="26"/>
      <c r="BN220" s="26"/>
    </row>
    <row r="221" spans="2:66" x14ac:dyDescent="0.3">
      <c r="B221" s="4"/>
      <c r="C221" s="4"/>
      <c r="D221" s="44"/>
      <c r="E221" s="109"/>
      <c r="F221" s="44"/>
      <c r="G221" s="109"/>
      <c r="H221" s="44"/>
      <c r="I221" s="109"/>
      <c r="J221" s="44"/>
      <c r="K221" s="109"/>
      <c r="L221" s="44"/>
      <c r="M221" s="109"/>
      <c r="N221" s="44"/>
      <c r="O221" s="109"/>
      <c r="P221" s="44"/>
      <c r="Q221" s="109"/>
      <c r="R221" s="44"/>
      <c r="S221" s="109"/>
      <c r="T221" s="44"/>
      <c r="U221" s="109"/>
      <c r="V221" s="44"/>
      <c r="W221" s="109"/>
      <c r="X221" s="44"/>
      <c r="Y221" s="109"/>
      <c r="Z221" s="44"/>
      <c r="AA221" s="109"/>
      <c r="AB221" s="44"/>
      <c r="AC221" s="109"/>
      <c r="AD221" s="44"/>
      <c r="AE221" s="109"/>
      <c r="AF221" s="44"/>
      <c r="AG221" s="109"/>
      <c r="AH221" s="44"/>
      <c r="AI221" s="109"/>
      <c r="AJ221" s="44"/>
      <c r="AK221" s="109"/>
      <c r="AL221" s="44"/>
      <c r="AM221" s="109"/>
      <c r="AN221" s="44"/>
      <c r="AO221" s="109"/>
      <c r="AP221" s="44"/>
      <c r="AQ221" s="109"/>
      <c r="AR221" s="44"/>
      <c r="AS221" s="109"/>
      <c r="AT221" s="44"/>
      <c r="AU221" s="109"/>
      <c r="AV221" s="44"/>
      <c r="AW221" s="109"/>
      <c r="AX221" s="44"/>
      <c r="AY221" s="109"/>
      <c r="AZ221" s="44"/>
      <c r="BA221" s="109"/>
      <c r="BB221" s="44"/>
      <c r="BC221" s="109"/>
      <c r="BD221" s="44"/>
      <c r="BE221" s="109"/>
      <c r="BF221" s="44"/>
      <c r="BG221" s="1202"/>
      <c r="BH221" s="1202"/>
      <c r="BI221" s="1202"/>
      <c r="BJ221" s="1202"/>
      <c r="BK221" s="1202"/>
      <c r="BL221" s="26"/>
      <c r="BM221" s="26"/>
      <c r="BN221" s="26"/>
    </row>
    <row r="222" spans="2:66" x14ac:dyDescent="0.3">
      <c r="B222" s="2353" t="s">
        <v>132</v>
      </c>
      <c r="C222" s="2351" t="s">
        <v>175</v>
      </c>
      <c r="D222" s="2352">
        <v>77.5</v>
      </c>
      <c r="E222" s="3835">
        <f>E12</f>
        <v>78</v>
      </c>
      <c r="F222" s="3835">
        <f t="shared" ref="F222:AX222" si="1117">F12</f>
        <v>77.83</v>
      </c>
      <c r="G222" s="3835">
        <f>G12</f>
        <v>78</v>
      </c>
      <c r="H222" s="3835">
        <f t="shared" ref="H222" si="1118">H12</f>
        <v>77.83</v>
      </c>
      <c r="I222" s="3835">
        <f t="shared" si="1117"/>
        <v>78</v>
      </c>
      <c r="J222" s="3835">
        <f t="shared" si="1117"/>
        <v>77.83</v>
      </c>
      <c r="K222" s="3835">
        <f>K12</f>
        <v>74</v>
      </c>
      <c r="L222" s="3835">
        <f t="shared" ref="L222:L223" si="1119">L12</f>
        <v>76</v>
      </c>
      <c r="M222" s="3835">
        <f t="shared" si="1117"/>
        <v>76.681318681318686</v>
      </c>
      <c r="N222" s="3835">
        <f t="shared" si="1117"/>
        <v>77.226703296703292</v>
      </c>
      <c r="O222" s="3835">
        <f>O12</f>
        <v>74</v>
      </c>
      <c r="P222" s="3835">
        <f t="shared" ref="P222:P223" si="1120">P12</f>
        <v>74.930000000000007</v>
      </c>
      <c r="Q222" s="3835">
        <f t="shared" si="1117"/>
        <v>76</v>
      </c>
      <c r="R222" s="3835">
        <f t="shared" si="1117"/>
        <v>76.643114754098349</v>
      </c>
      <c r="S222" s="3835">
        <f>S12</f>
        <v>74</v>
      </c>
      <c r="T222" s="3835">
        <f t="shared" ref="T222:T223" si="1121">T12</f>
        <v>77.7</v>
      </c>
      <c r="U222" s="3835">
        <f t="shared" si="1117"/>
        <v>75.59477124183006</v>
      </c>
      <c r="V222" s="3835">
        <f t="shared" si="1117"/>
        <v>76.857254901960786</v>
      </c>
      <c r="W222" s="3835">
        <f>W12</f>
        <v>74</v>
      </c>
      <c r="X222" s="3835">
        <f t="shared" ref="X222:X223" si="1122">X12</f>
        <v>77.8</v>
      </c>
      <c r="Y222" s="3835">
        <f t="shared" si="1117"/>
        <v>74</v>
      </c>
      <c r="Z222" s="3835">
        <f t="shared" si="1117"/>
        <v>76.799239130434785</v>
      </c>
      <c r="AA222" s="3835">
        <f t="shared" si="1117"/>
        <v>75.333333333333329</v>
      </c>
      <c r="AB222" s="3835">
        <f t="shared" si="1117"/>
        <v>77.011803278688518</v>
      </c>
      <c r="AC222" s="3835">
        <f>AC12</f>
        <v>74</v>
      </c>
      <c r="AD222" s="3835">
        <f t="shared" ref="AD222:AD223" si="1123">AD12</f>
        <v>77.58</v>
      </c>
      <c r="AE222" s="3835">
        <f t="shared" si="1117"/>
        <v>75.140186915887853</v>
      </c>
      <c r="AF222" s="3835">
        <f t="shared" si="1117"/>
        <v>77.094112149532705</v>
      </c>
      <c r="AG222" s="3835">
        <f>AG12</f>
        <v>74</v>
      </c>
      <c r="AH222" s="3835">
        <f t="shared" ref="AH222:AH223" si="1124">AH12</f>
        <v>73.66</v>
      </c>
      <c r="AI222" s="3835">
        <f t="shared" si="1117"/>
        <v>75</v>
      </c>
      <c r="AJ222" s="3835">
        <f t="shared" si="1117"/>
        <v>76.671885245901635</v>
      </c>
      <c r="AK222" s="3835">
        <f>AK12</f>
        <v>74</v>
      </c>
      <c r="AL222" s="3835">
        <f t="shared" ref="AL222:AL223" si="1125">AL12</f>
        <v>75.09</v>
      </c>
      <c r="AM222" s="3835">
        <f t="shared" si="1117"/>
        <v>74</v>
      </c>
      <c r="AN222" s="3835">
        <f t="shared" si="1117"/>
        <v>75.462717391304338</v>
      </c>
      <c r="AO222" s="3835">
        <f t="shared" si="1117"/>
        <v>74.88727272727273</v>
      </c>
      <c r="AP222" s="3835">
        <f t="shared" si="1117"/>
        <v>76.493563636363632</v>
      </c>
      <c r="AQ222" s="3835">
        <f>AQ12</f>
        <v>74</v>
      </c>
      <c r="AR222" s="3835">
        <f t="shared" ref="AR222:AR223" si="1126">AR12</f>
        <v>75.58</v>
      </c>
      <c r="AS222" s="3835">
        <f t="shared" si="1117"/>
        <v>74.797385620915037</v>
      </c>
      <c r="AT222" s="3835">
        <f t="shared" si="1117"/>
        <v>76.40101307189542</v>
      </c>
      <c r="AU222" s="3835">
        <f>AU12</f>
        <v>74</v>
      </c>
      <c r="AV222" s="3835">
        <f t="shared" ref="AV222:AV223" si="1127">AV12</f>
        <v>74.709999999999994</v>
      </c>
      <c r="AW222" s="3835">
        <f t="shared" si="1117"/>
        <v>74.730538922155688</v>
      </c>
      <c r="AX222" s="3835">
        <f t="shared" si="1117"/>
        <v>76.259251497005991</v>
      </c>
      <c r="AY222" s="3835">
        <f>AY12</f>
        <v>74</v>
      </c>
      <c r="AZ222" s="3835">
        <f t="shared" ref="AZ222:BB223" si="1128">AZ12</f>
        <v>77.739999999999995</v>
      </c>
      <c r="BA222" s="3835">
        <f>BA12</f>
        <v>74</v>
      </c>
      <c r="BB222" s="3835">
        <f t="shared" si="1128"/>
        <v>76.053333333333327</v>
      </c>
      <c r="BC222" s="3835">
        <f>BC12</f>
        <v>74</v>
      </c>
      <c r="BD222" s="3835">
        <f t="shared" ref="BD222" si="1129">BD12</f>
        <v>75.754780219780216</v>
      </c>
      <c r="BE222" s="3835">
        <f>BE12</f>
        <v>74.668493150684938</v>
      </c>
      <c r="BF222" s="3835">
        <f t="shared" ref="BF222" si="1130">BF12</f>
        <v>76.385013698630132</v>
      </c>
      <c r="BG222" s="1202"/>
      <c r="BH222" s="1202"/>
      <c r="BI222" s="1202"/>
      <c r="BJ222" s="1202"/>
      <c r="BK222" s="1202"/>
      <c r="BL222" s="26"/>
      <c r="BM222" s="26"/>
      <c r="BN222" s="26"/>
    </row>
    <row r="223" spans="2:66" x14ac:dyDescent="0.3">
      <c r="B223" s="2353" t="s">
        <v>133</v>
      </c>
      <c r="C223" s="2351" t="s">
        <v>175</v>
      </c>
      <c r="D223" s="2352">
        <v>73.5</v>
      </c>
      <c r="E223" s="3835">
        <f>E13</f>
        <v>73.3</v>
      </c>
      <c r="F223" s="3835">
        <f t="shared" ref="F223:AX223" si="1131">F13</f>
        <v>74</v>
      </c>
      <c r="G223" s="3835">
        <f>G13</f>
        <v>73.3</v>
      </c>
      <c r="H223" s="3835">
        <f t="shared" ref="H223" si="1132">H13</f>
        <v>74</v>
      </c>
      <c r="I223" s="3835">
        <f t="shared" si="1131"/>
        <v>73.299999999999983</v>
      </c>
      <c r="J223" s="3835">
        <f t="shared" si="1131"/>
        <v>74</v>
      </c>
      <c r="K223" s="3835">
        <f>K13</f>
        <v>73.3</v>
      </c>
      <c r="L223" s="3835">
        <f t="shared" si="1119"/>
        <v>74</v>
      </c>
      <c r="M223" s="3835">
        <f t="shared" si="1131"/>
        <v>73.3</v>
      </c>
      <c r="N223" s="3835">
        <f t="shared" si="1131"/>
        <v>74</v>
      </c>
      <c r="O223" s="3835">
        <f>O13</f>
        <v>73.3</v>
      </c>
      <c r="P223" s="3835">
        <f t="shared" si="1120"/>
        <v>74</v>
      </c>
      <c r="Q223" s="3835">
        <f t="shared" si="1131"/>
        <v>73.3</v>
      </c>
      <c r="R223" s="3835">
        <f t="shared" si="1131"/>
        <v>74</v>
      </c>
      <c r="S223" s="3835">
        <f>S13</f>
        <v>73.3</v>
      </c>
      <c r="T223" s="3835">
        <f t="shared" si="1121"/>
        <v>74</v>
      </c>
      <c r="U223" s="3835">
        <f t="shared" si="1131"/>
        <v>73.3</v>
      </c>
      <c r="V223" s="3835">
        <f t="shared" si="1131"/>
        <v>74</v>
      </c>
      <c r="W223" s="3835">
        <f>W13</f>
        <v>73.3</v>
      </c>
      <c r="X223" s="3835">
        <f t="shared" si="1122"/>
        <v>74</v>
      </c>
      <c r="Y223" s="3835">
        <f t="shared" si="1131"/>
        <v>73.3</v>
      </c>
      <c r="Z223" s="3835">
        <f t="shared" si="1131"/>
        <v>74</v>
      </c>
      <c r="AA223" s="3835">
        <f t="shared" si="1131"/>
        <v>73.3</v>
      </c>
      <c r="AB223" s="3835">
        <f t="shared" si="1131"/>
        <v>74</v>
      </c>
      <c r="AC223" s="3835">
        <f>AC13</f>
        <v>73.3</v>
      </c>
      <c r="AD223" s="3835">
        <f t="shared" si="1123"/>
        <v>74</v>
      </c>
      <c r="AE223" s="3835">
        <f t="shared" si="1131"/>
        <v>73.3</v>
      </c>
      <c r="AF223" s="3835">
        <f t="shared" si="1131"/>
        <v>74</v>
      </c>
      <c r="AG223" s="3835">
        <f>AG13</f>
        <v>73.3</v>
      </c>
      <c r="AH223" s="3835">
        <f t="shared" si="1124"/>
        <v>74</v>
      </c>
      <c r="AI223" s="3835">
        <f t="shared" si="1131"/>
        <v>73.299999999999983</v>
      </c>
      <c r="AJ223" s="3835">
        <f t="shared" si="1131"/>
        <v>74</v>
      </c>
      <c r="AK223" s="3835">
        <f>AK13</f>
        <v>73.3</v>
      </c>
      <c r="AL223" s="3835">
        <f t="shared" si="1125"/>
        <v>74</v>
      </c>
      <c r="AM223" s="3835">
        <f t="shared" si="1131"/>
        <v>73.299999999999983</v>
      </c>
      <c r="AN223" s="3835">
        <f t="shared" si="1131"/>
        <v>74</v>
      </c>
      <c r="AO223" s="3835">
        <f t="shared" si="1131"/>
        <v>73.299999999999983</v>
      </c>
      <c r="AP223" s="3835">
        <f t="shared" si="1131"/>
        <v>74</v>
      </c>
      <c r="AQ223" s="3835">
        <f>AQ13</f>
        <v>73.3</v>
      </c>
      <c r="AR223" s="3835">
        <f t="shared" si="1126"/>
        <v>74</v>
      </c>
      <c r="AS223" s="3835">
        <f t="shared" si="1131"/>
        <v>73.299999999999983</v>
      </c>
      <c r="AT223" s="3835">
        <f t="shared" si="1131"/>
        <v>74</v>
      </c>
      <c r="AU223" s="3835">
        <f>AU13</f>
        <v>73.3</v>
      </c>
      <c r="AV223" s="3835">
        <f t="shared" si="1127"/>
        <v>74</v>
      </c>
      <c r="AW223" s="3835">
        <f t="shared" si="1131"/>
        <v>73.3</v>
      </c>
      <c r="AX223" s="3835">
        <f t="shared" si="1131"/>
        <v>74</v>
      </c>
      <c r="AY223" s="3835">
        <f>AY13</f>
        <v>73.3</v>
      </c>
      <c r="AZ223" s="3835">
        <f t="shared" si="1128"/>
        <v>74</v>
      </c>
      <c r="BA223" s="3835">
        <f>BA13</f>
        <v>73.3</v>
      </c>
      <c r="BB223" s="3835">
        <f t="shared" si="1128"/>
        <v>74</v>
      </c>
      <c r="BC223" s="3835">
        <f>BC13</f>
        <v>73.3</v>
      </c>
      <c r="BD223" s="3835">
        <f t="shared" ref="BD223" si="1133">BD13</f>
        <v>74</v>
      </c>
      <c r="BE223" s="3835">
        <f>BE13</f>
        <v>73.3</v>
      </c>
      <c r="BF223" s="3835">
        <f t="shared" ref="BF223" si="1134">BF13</f>
        <v>74</v>
      </c>
      <c r="BG223" s="1202"/>
      <c r="BH223" s="1202"/>
      <c r="BI223" s="1202"/>
      <c r="BJ223" s="1202"/>
      <c r="BK223" s="1202"/>
    </row>
    <row r="224" spans="2:66" ht="15" thickBot="1" x14ac:dyDescent="0.35">
      <c r="E224"/>
      <c r="F224"/>
      <c r="G224"/>
      <c r="H224"/>
      <c r="K224"/>
      <c r="L224"/>
      <c r="O224"/>
      <c r="P224"/>
      <c r="S224"/>
      <c r="V224" s="92"/>
      <c r="BG224" s="1202"/>
      <c r="BH224" s="1202"/>
      <c r="BI224" s="1202"/>
      <c r="BJ224" s="1202"/>
      <c r="BK224" s="1202"/>
    </row>
    <row r="225" spans="2:63" ht="18.600000000000001" thickBot="1" x14ac:dyDescent="0.4">
      <c r="B225" s="2597" t="s">
        <v>1752</v>
      </c>
      <c r="C225" s="2597" t="s">
        <v>175</v>
      </c>
      <c r="D225" s="4161"/>
      <c r="E225" s="4162"/>
      <c r="F225" s="4160">
        <v>21</v>
      </c>
      <c r="G225" s="4162"/>
      <c r="H225" s="4160">
        <v>12</v>
      </c>
      <c r="I225" s="4163"/>
      <c r="J225" s="4160">
        <f>F225+H225</f>
        <v>33</v>
      </c>
      <c r="K225" s="4162"/>
      <c r="L225" s="4160">
        <v>0</v>
      </c>
      <c r="M225" s="4163"/>
      <c r="N225" s="4160">
        <f>+L225+H225+F225</f>
        <v>33</v>
      </c>
      <c r="O225" s="4162"/>
      <c r="P225" s="4160">
        <v>0</v>
      </c>
      <c r="Q225" s="4163"/>
      <c r="R225" s="4164">
        <f>N225+P225</f>
        <v>33</v>
      </c>
      <c r="S225" s="4162"/>
      <c r="T225" s="4160">
        <v>0</v>
      </c>
      <c r="U225" s="4163"/>
      <c r="V225" s="4164">
        <f>R225+T225</f>
        <v>33</v>
      </c>
      <c r="W225" s="4162"/>
      <c r="X225" s="4160">
        <v>89</v>
      </c>
      <c r="Y225" s="4162"/>
      <c r="Z225" s="4162">
        <f>+P225+T225+X225</f>
        <v>89</v>
      </c>
      <c r="AA225" s="4162"/>
      <c r="AB225" s="4162">
        <f>+N225+Z225</f>
        <v>122</v>
      </c>
      <c r="AC225" s="4162"/>
      <c r="AD225" s="4160">
        <v>106</v>
      </c>
      <c r="AE225" s="4162"/>
      <c r="AF225" s="4162">
        <f t="shared" ref="AF225" si="1135">+AB225+AD225</f>
        <v>228</v>
      </c>
      <c r="AG225" s="4162"/>
      <c r="AH225" s="4160">
        <v>3</v>
      </c>
      <c r="AI225" s="4162"/>
      <c r="AJ225" s="4162">
        <f>+AB225+AD225+AH225</f>
        <v>231</v>
      </c>
      <c r="AK225" s="4162"/>
      <c r="AL225" s="4160">
        <v>2</v>
      </c>
      <c r="AM225" s="4162"/>
      <c r="AN225" s="4162">
        <f>+AD225+AH225+AL225</f>
        <v>111</v>
      </c>
      <c r="AO225" s="2598"/>
      <c r="AP225" s="4162">
        <f>AJ225+AL225</f>
        <v>233</v>
      </c>
      <c r="AQ225" s="4162"/>
      <c r="AR225" s="4160">
        <v>0</v>
      </c>
      <c r="AS225" s="2598"/>
      <c r="AT225" s="4162">
        <f>AP225+AR225</f>
        <v>233</v>
      </c>
      <c r="AU225" s="4162"/>
      <c r="AV225" s="4160">
        <v>0</v>
      </c>
      <c r="AW225" s="2598"/>
      <c r="AX225" s="4162">
        <f>AT225+AV225</f>
        <v>233</v>
      </c>
      <c r="AY225" s="4162"/>
      <c r="AZ225" s="4160">
        <v>0</v>
      </c>
      <c r="BA225" s="2598"/>
      <c r="BB225" s="4160">
        <f>+AR225+AV225+AZ225</f>
        <v>0</v>
      </c>
      <c r="BC225" s="4160"/>
      <c r="BD225" s="4160">
        <f>+AN225+BB225</f>
        <v>111</v>
      </c>
      <c r="BE225" s="2598"/>
      <c r="BF225" s="4160">
        <f>AZ225+AX225</f>
        <v>233</v>
      </c>
      <c r="BG225" s="1202">
        <f t="shared" ref="BG225" si="1136">AY225+AU225+AQ225+AK225+AG225+AC225+W225+S225+O225+K225+G225+E225-BE225</f>
        <v>0</v>
      </c>
      <c r="BH225" s="1202">
        <f t="shared" ref="BH225" si="1137">AZ225+AV225+AR225+AL225+AH225+AD225+X225+T225+P225+L225+H225+F225-BF225</f>
        <v>0</v>
      </c>
      <c r="BI225" s="1202"/>
      <c r="BJ225" s="1202">
        <f t="shared" ref="BJ225" si="1138">AC225+AG225+AK225+AQ225+AU225+AY225-BC225</f>
        <v>0</v>
      </c>
      <c r="BK225" s="1202">
        <f t="shared" ref="BK225" si="1139">AD225+AH225+AL225+AR225+AV225+AZ225-BD225</f>
        <v>0</v>
      </c>
    </row>
    <row r="226" spans="2:63" x14ac:dyDescent="0.3">
      <c r="E226"/>
      <c r="F226"/>
      <c r="G226"/>
      <c r="H226"/>
      <c r="K226"/>
      <c r="L226"/>
      <c r="T226" s="92"/>
      <c r="V226" s="92"/>
      <c r="W226" s="86"/>
      <c r="X226" s="92"/>
    </row>
    <row r="227" spans="2:63" x14ac:dyDescent="0.3">
      <c r="E227"/>
      <c r="F227"/>
      <c r="G227"/>
      <c r="H227"/>
      <c r="K227"/>
      <c r="L227"/>
      <c r="T227" s="92"/>
      <c r="V227" s="92"/>
      <c r="W227" s="86"/>
      <c r="X227" s="92"/>
    </row>
    <row r="228" spans="2:63" x14ac:dyDescent="0.3">
      <c r="E228"/>
      <c r="F228"/>
      <c r="G228"/>
      <c r="H228"/>
      <c r="K228"/>
      <c r="L228"/>
      <c r="T228" s="92"/>
      <c r="V228" s="92"/>
      <c r="W228" s="86"/>
      <c r="X228" s="92"/>
    </row>
    <row r="229" spans="2:63" x14ac:dyDescent="0.3">
      <c r="E229"/>
      <c r="F229"/>
      <c r="G229"/>
      <c r="H229"/>
      <c r="K229"/>
      <c r="L229"/>
      <c r="T229" s="92"/>
      <c r="V229" s="92"/>
      <c r="W229" s="86"/>
      <c r="X229" s="92"/>
    </row>
    <row r="230" spans="2:63" x14ac:dyDescent="0.3">
      <c r="E230"/>
      <c r="F230"/>
      <c r="G230"/>
      <c r="H230"/>
      <c r="K230"/>
      <c r="L230"/>
      <c r="T230" s="92"/>
      <c r="V230" s="92"/>
      <c r="W230" s="86"/>
      <c r="X230" s="92"/>
    </row>
    <row r="231" spans="2:63" x14ac:dyDescent="0.3">
      <c r="E231"/>
      <c r="F231"/>
      <c r="G231"/>
      <c r="H231"/>
      <c r="K231"/>
      <c r="L231"/>
      <c r="T231" s="92"/>
      <c r="V231" s="92"/>
      <c r="W231" s="86"/>
      <c r="X231" s="92"/>
    </row>
    <row r="232" spans="2:63" x14ac:dyDescent="0.3">
      <c r="E232"/>
      <c r="F232"/>
      <c r="G232"/>
      <c r="H232"/>
      <c r="K232"/>
      <c r="L232"/>
      <c r="T232" s="92"/>
      <c r="V232" s="92"/>
      <c r="W232" s="86"/>
      <c r="X232" s="92"/>
    </row>
    <row r="233" spans="2:63" x14ac:dyDescent="0.3">
      <c r="E233"/>
      <c r="F233"/>
      <c r="G233"/>
      <c r="H233"/>
      <c r="K233"/>
      <c r="L233"/>
      <c r="T233" s="92"/>
      <c r="V233" s="92"/>
      <c r="W233" s="86"/>
      <c r="X233" s="92"/>
    </row>
    <row r="234" spans="2:63" x14ac:dyDescent="0.3">
      <c r="E234"/>
      <c r="F234"/>
      <c r="G234"/>
      <c r="H234"/>
      <c r="T234" s="92"/>
      <c r="V234" s="92"/>
      <c r="W234" s="86"/>
      <c r="X234" s="92"/>
    </row>
    <row r="235" spans="2:63" x14ac:dyDescent="0.3">
      <c r="E235"/>
      <c r="F235"/>
      <c r="G235"/>
      <c r="H235"/>
      <c r="T235" s="92"/>
      <c r="V235" s="92"/>
      <c r="W235" s="86"/>
      <c r="X235" s="92"/>
    </row>
    <row r="236" spans="2:63" x14ac:dyDescent="0.3">
      <c r="E236"/>
      <c r="F236"/>
      <c r="G236"/>
      <c r="H236"/>
      <c r="T236" s="92"/>
      <c r="V236" s="92"/>
      <c r="W236" s="86"/>
      <c r="X236" s="92"/>
    </row>
    <row r="237" spans="2:63" x14ac:dyDescent="0.3">
      <c r="E237"/>
      <c r="F237"/>
      <c r="G237"/>
      <c r="H237"/>
      <c r="T237" s="92"/>
      <c r="V237" s="92"/>
      <c r="W237" s="86"/>
      <c r="X237" s="92"/>
    </row>
    <row r="238" spans="2:63" x14ac:dyDescent="0.3">
      <c r="E238"/>
      <c r="F238"/>
      <c r="G238"/>
      <c r="H238"/>
      <c r="T238" s="92"/>
      <c r="V238" s="92"/>
      <c r="W238" s="86"/>
      <c r="X238" s="92"/>
    </row>
    <row r="239" spans="2:63" x14ac:dyDescent="0.3">
      <c r="T239" s="92"/>
      <c r="V239" s="92"/>
      <c r="W239" s="86"/>
      <c r="X239" s="92"/>
    </row>
    <row r="240" spans="2:63" x14ac:dyDescent="0.3">
      <c r="T240" s="92"/>
      <c r="V240" s="92"/>
      <c r="W240" s="86"/>
      <c r="X240" s="92"/>
    </row>
    <row r="241" spans="20:24" x14ac:dyDescent="0.3">
      <c r="T241" s="92"/>
      <c r="V241" s="92"/>
      <c r="W241" s="86"/>
      <c r="X241" s="92"/>
    </row>
    <row r="242" spans="20:24" x14ac:dyDescent="0.3">
      <c r="T242" s="92"/>
      <c r="V242" s="92"/>
      <c r="W242" s="86"/>
      <c r="X242" s="92"/>
    </row>
    <row r="243" spans="20:24" x14ac:dyDescent="0.3">
      <c r="T243" s="92"/>
      <c r="V243" s="92"/>
    </row>
    <row r="244" spans="20:24" x14ac:dyDescent="0.3">
      <c r="T244" s="92"/>
      <c r="V244" s="92"/>
    </row>
    <row r="245" spans="20:24" x14ac:dyDescent="0.3">
      <c r="T245" s="92"/>
      <c r="V245" s="92"/>
    </row>
  </sheetData>
  <mergeCells count="142"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rgb="FFCC99FF"/>
    <pageSetUpPr fitToPage="1"/>
  </sheetPr>
  <dimension ref="B1:BU67"/>
  <sheetViews>
    <sheetView zoomScaleNormal="100" workbookViewId="0">
      <pane xSplit="4" ySplit="3" topLeftCell="AC4" activePane="bottomRight" state="frozen"/>
      <selection pane="topRight" activeCell="E1" sqref="E1"/>
      <selection pane="bottomLeft" activeCell="A4" sqref="A4"/>
      <selection pane="bottomRight" activeCell="BE22" sqref="BE22"/>
    </sheetView>
  </sheetViews>
  <sheetFormatPr defaultRowHeight="14.4" x14ac:dyDescent="0.3"/>
  <cols>
    <col min="1" max="1" width="3.5546875" customWidth="1"/>
    <col min="2" max="2" width="32.109375" bestFit="1" customWidth="1"/>
    <col min="3" max="3" width="53.5546875" style="256" bestFit="1" customWidth="1"/>
    <col min="4" max="4" width="7.33203125" style="256" hidden="1" customWidth="1"/>
    <col min="5" max="5" width="15" style="256" customWidth="1"/>
    <col min="6" max="6" width="6.6640625" style="256" hidden="1" customWidth="1"/>
    <col min="7" max="7" width="13.109375" style="256" customWidth="1"/>
    <col min="8" max="8" width="6.6640625" style="256" hidden="1" customWidth="1"/>
    <col min="9" max="9" width="15.5546875" style="256" hidden="1" customWidth="1"/>
    <col min="10" max="10" width="6.6640625" style="256" hidden="1" customWidth="1"/>
    <col min="11" max="11" width="9.88671875" style="256" customWidth="1"/>
    <col min="12" max="12" width="6.6640625" style="256" hidden="1" customWidth="1"/>
    <col min="13" max="13" width="10.33203125" customWidth="1"/>
    <col min="14" max="14" width="6.6640625" hidden="1" customWidth="1"/>
    <col min="15" max="15" width="11" customWidth="1"/>
    <col min="16" max="16" width="6.6640625" hidden="1" customWidth="1"/>
    <col min="17" max="17" width="15.5546875" hidden="1" customWidth="1"/>
    <col min="18" max="18" width="9.88671875" hidden="1" customWidth="1"/>
    <col min="19" max="19" width="9.88671875" customWidth="1"/>
    <col min="20" max="20" width="11.33203125" hidden="1" customWidth="1"/>
    <col min="21" max="21" width="10.33203125" hidden="1" customWidth="1"/>
    <col min="22" max="22" width="9.88671875" hidden="1" customWidth="1"/>
    <col min="23" max="23" width="9.88671875" customWidth="1"/>
    <col min="24" max="24" width="9.88671875" hidden="1" customWidth="1"/>
    <col min="25" max="25" width="10.33203125" customWidth="1"/>
    <col min="26" max="26" width="11.33203125" hidden="1" customWidth="1"/>
    <col min="27" max="27" width="10.33203125" bestFit="1" customWidth="1"/>
    <col min="28" max="28" width="9.88671875" hidden="1" customWidth="1"/>
    <col min="29" max="29" width="9.88671875" customWidth="1"/>
    <col min="30" max="30" width="11.33203125" hidden="1" customWidth="1"/>
    <col min="31" max="31" width="10.33203125" hidden="1" customWidth="1"/>
    <col min="32" max="32" width="11.33203125" hidden="1" customWidth="1"/>
    <col min="33" max="33" width="9.88671875" customWidth="1"/>
    <col min="34" max="34" width="11.33203125" hidden="1" customWidth="1"/>
    <col min="35" max="35" width="10.33203125" hidden="1" customWidth="1"/>
    <col min="36" max="36" width="8.88671875" hidden="1" customWidth="1"/>
    <col min="37" max="37" width="9.88671875" bestFit="1" customWidth="1"/>
    <col min="38" max="38" width="9.88671875" hidden="1" customWidth="1"/>
    <col min="39" max="39" width="10.33203125" customWidth="1"/>
    <col min="40" max="40" width="8.88671875" hidden="1" customWidth="1"/>
    <col min="41" max="41" width="12.5546875" hidden="1" customWidth="1"/>
    <col min="42" max="42" width="9.109375" hidden="1" customWidth="1"/>
    <col min="43" max="43" width="9.88671875" customWidth="1"/>
    <col min="44" max="44" width="9.109375" hidden="1" customWidth="1"/>
    <col min="45" max="45" width="11" hidden="1" customWidth="1"/>
    <col min="46" max="46" width="9.109375" hidden="1" customWidth="1"/>
    <col min="47" max="47" width="9.88671875" customWidth="1"/>
    <col min="48" max="48" width="9.109375" hidden="1" customWidth="1"/>
    <col min="49" max="49" width="10.33203125" hidden="1" customWidth="1"/>
    <col min="50" max="50" width="9.109375" hidden="1" customWidth="1"/>
    <col min="51" max="51" width="9.88671875" customWidth="1"/>
    <col min="52" max="52" width="9.109375" hidden="1" customWidth="1"/>
    <col min="53" max="53" width="10.33203125" customWidth="1"/>
    <col min="54" max="54" width="9.109375" hidden="1" customWidth="1"/>
    <col min="55" max="55" width="10.33203125" customWidth="1"/>
    <col min="56" max="56" width="9.109375" hidden="1" customWidth="1"/>
    <col min="57" max="57" width="10.33203125" customWidth="1"/>
    <col min="58" max="58" width="12" hidden="1" customWidth="1"/>
    <col min="59" max="63" width="0" hidden="1" customWidth="1"/>
  </cols>
  <sheetData>
    <row r="1" spans="2:71" x14ac:dyDescent="0.3">
      <c r="C1"/>
      <c r="D1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2:71" x14ac:dyDescent="0.3">
      <c r="C2"/>
      <c r="D2"/>
      <c r="E2"/>
      <c r="F2"/>
      <c r="G2"/>
      <c r="H2"/>
      <c r="I2"/>
      <c r="J2"/>
      <c r="K2"/>
      <c r="L2"/>
    </row>
    <row r="3" spans="2:71" s="146" customFormat="1" ht="17.399999999999999" x14ac:dyDescent="0.3">
      <c r="B3" s="181"/>
      <c r="C3" s="2039" t="s">
        <v>171</v>
      </c>
      <c r="D3" s="6232" t="s">
        <v>1962</v>
      </c>
      <c r="E3" s="6233"/>
      <c r="F3" s="6229" t="s">
        <v>2013</v>
      </c>
      <c r="G3" s="6229"/>
      <c r="H3" s="6227" t="s">
        <v>14</v>
      </c>
      <c r="I3" s="6227"/>
      <c r="J3" s="6229" t="s">
        <v>2043</v>
      </c>
      <c r="K3" s="6229"/>
      <c r="L3" s="6230" t="s">
        <v>637</v>
      </c>
      <c r="M3" s="6230"/>
      <c r="N3" s="6226" t="s">
        <v>2066</v>
      </c>
      <c r="O3" s="6226"/>
      <c r="P3" s="6227" t="s">
        <v>17</v>
      </c>
      <c r="Q3" s="6227"/>
      <c r="R3" s="6226" t="s">
        <v>2068</v>
      </c>
      <c r="S3" s="6226"/>
      <c r="T3" s="6227" t="s">
        <v>18</v>
      </c>
      <c r="U3" s="6227"/>
      <c r="V3" s="6226" t="s">
        <v>2110</v>
      </c>
      <c r="W3" s="6226"/>
      <c r="X3" s="3219"/>
      <c r="Y3" s="2018" t="s">
        <v>1860</v>
      </c>
      <c r="Z3" s="6228" t="s">
        <v>657</v>
      </c>
      <c r="AA3" s="6228"/>
      <c r="AB3" s="6226" t="s">
        <v>2135</v>
      </c>
      <c r="AC3" s="6226"/>
      <c r="AD3" s="6227" t="s">
        <v>24</v>
      </c>
      <c r="AE3" s="6227"/>
      <c r="AF3" s="6226" t="s">
        <v>2238</v>
      </c>
      <c r="AG3" s="6226"/>
      <c r="AH3" s="6227" t="s">
        <v>27</v>
      </c>
      <c r="AI3" s="6227"/>
      <c r="AJ3" s="6226" t="s">
        <v>2262</v>
      </c>
      <c r="AK3" s="6226"/>
      <c r="AL3" s="3219"/>
      <c r="AM3" s="2018" t="s">
        <v>1861</v>
      </c>
      <c r="AN3" s="6227" t="s">
        <v>1613</v>
      </c>
      <c r="AO3" s="6227"/>
      <c r="AP3" s="6226" t="s">
        <v>2274</v>
      </c>
      <c r="AQ3" s="6226"/>
      <c r="AR3" s="6227" t="s">
        <v>28</v>
      </c>
      <c r="AS3" s="6227"/>
      <c r="AT3" s="6226" t="s">
        <v>2311</v>
      </c>
      <c r="AU3" s="6226"/>
      <c r="AV3" s="6227" t="s">
        <v>30</v>
      </c>
      <c r="AW3" s="6227"/>
      <c r="AX3" s="6226" t="s">
        <v>2329</v>
      </c>
      <c r="AY3" s="6226"/>
      <c r="AZ3" s="3219"/>
      <c r="BA3" s="2018" t="s">
        <v>1899</v>
      </c>
      <c r="BB3" s="6228" t="s">
        <v>670</v>
      </c>
      <c r="BC3" s="6228"/>
      <c r="BD3" s="6227" t="s">
        <v>2041</v>
      </c>
      <c r="BE3" s="6227"/>
      <c r="BF3"/>
      <c r="BG3"/>
      <c r="BH3"/>
      <c r="BI3"/>
      <c r="BJ3"/>
      <c r="BK3"/>
      <c r="BL3"/>
      <c r="BM3"/>
      <c r="BN3"/>
      <c r="BO3"/>
      <c r="BP3"/>
      <c r="BQ3"/>
      <c r="BR3"/>
      <c r="BS3"/>
    </row>
    <row r="4" spans="2:71" ht="17.399999999999999" x14ac:dyDescent="0.3">
      <c r="B4" s="6243" t="s">
        <v>1535</v>
      </c>
      <c r="C4" s="2035"/>
      <c r="D4" s="1008" t="s">
        <v>173</v>
      </c>
      <c r="E4" s="1008" t="s">
        <v>174</v>
      </c>
      <c r="F4" s="1008" t="s">
        <v>173</v>
      </c>
      <c r="G4" s="1008" t="s">
        <v>174</v>
      </c>
      <c r="H4" s="2019" t="s">
        <v>173</v>
      </c>
      <c r="I4" s="2019" t="s">
        <v>174</v>
      </c>
      <c r="J4" s="265" t="s">
        <v>173</v>
      </c>
      <c r="K4" s="1008" t="s">
        <v>174</v>
      </c>
      <c r="L4" s="2018" t="s">
        <v>173</v>
      </c>
      <c r="M4" s="2018" t="s">
        <v>174</v>
      </c>
      <c r="N4" s="265" t="s">
        <v>173</v>
      </c>
      <c r="O4" s="1008" t="s">
        <v>174</v>
      </c>
      <c r="P4" s="2019" t="s">
        <v>173</v>
      </c>
      <c r="Q4" s="2019" t="s">
        <v>174</v>
      </c>
      <c r="R4" s="265" t="s">
        <v>173</v>
      </c>
      <c r="S4" s="1008" t="s">
        <v>174</v>
      </c>
      <c r="T4" s="2019" t="s">
        <v>173</v>
      </c>
      <c r="U4" s="2019" t="s">
        <v>174</v>
      </c>
      <c r="V4" s="265" t="s">
        <v>173</v>
      </c>
      <c r="W4" s="1008" t="s">
        <v>174</v>
      </c>
      <c r="X4" s="2874"/>
      <c r="Y4" s="2018" t="s">
        <v>174</v>
      </c>
      <c r="Z4" s="2168" t="s">
        <v>173</v>
      </c>
      <c r="AA4" s="2168" t="s">
        <v>174</v>
      </c>
      <c r="AB4" s="265" t="s">
        <v>173</v>
      </c>
      <c r="AC4" s="1008" t="s">
        <v>174</v>
      </c>
      <c r="AD4" s="2019" t="s">
        <v>173</v>
      </c>
      <c r="AE4" s="2019" t="s">
        <v>174</v>
      </c>
      <c r="AF4" s="265" t="s">
        <v>173</v>
      </c>
      <c r="AG4" s="1008" t="s">
        <v>174</v>
      </c>
      <c r="AH4" s="2019" t="s">
        <v>173</v>
      </c>
      <c r="AI4" s="2019" t="s">
        <v>174</v>
      </c>
      <c r="AJ4" s="265" t="s">
        <v>173</v>
      </c>
      <c r="AK4" s="1008" t="s">
        <v>174</v>
      </c>
      <c r="AL4" s="2874"/>
      <c r="AM4" s="2018" t="s">
        <v>174</v>
      </c>
      <c r="AN4" s="2019" t="s">
        <v>173</v>
      </c>
      <c r="AO4" s="2019" t="s">
        <v>174</v>
      </c>
      <c r="AP4" s="265" t="s">
        <v>173</v>
      </c>
      <c r="AQ4" s="1008" t="s">
        <v>174</v>
      </c>
      <c r="AR4" s="2019" t="s">
        <v>173</v>
      </c>
      <c r="AS4" s="2019" t="s">
        <v>174</v>
      </c>
      <c r="AT4" s="265" t="s">
        <v>173</v>
      </c>
      <c r="AU4" s="1008" t="s">
        <v>174</v>
      </c>
      <c r="AV4" s="2019" t="s">
        <v>173</v>
      </c>
      <c r="AW4" s="2019" t="s">
        <v>174</v>
      </c>
      <c r="AX4" s="265" t="s">
        <v>173</v>
      </c>
      <c r="AY4" s="1008" t="s">
        <v>174</v>
      </c>
      <c r="AZ4" s="2874"/>
      <c r="BA4" s="2018" t="s">
        <v>174</v>
      </c>
      <c r="BB4" s="2168" t="s">
        <v>173</v>
      </c>
      <c r="BC4" s="2168" t="s">
        <v>174</v>
      </c>
      <c r="BD4" s="2019" t="s">
        <v>173</v>
      </c>
      <c r="BE4" s="2019" t="s">
        <v>174</v>
      </c>
    </row>
    <row r="5" spans="2:71" ht="18" x14ac:dyDescent="0.3">
      <c r="B5" s="6238"/>
      <c r="C5" s="2027" t="s">
        <v>784</v>
      </c>
      <c r="D5" s="1678"/>
      <c r="E5" s="2015">
        <v>252453</v>
      </c>
      <c r="F5" s="2015"/>
      <c r="G5" s="2015">
        <v>268159</v>
      </c>
      <c r="H5" s="2017">
        <f>+D5+F5</f>
        <v>0</v>
      </c>
      <c r="I5" s="2100">
        <f>+E5+G5</f>
        <v>520612</v>
      </c>
      <c r="J5" s="2015"/>
      <c r="K5" s="2015">
        <v>280950</v>
      </c>
      <c r="L5" s="2016">
        <f>+H5+J5</f>
        <v>0</v>
      </c>
      <c r="M5" s="2016">
        <f t="shared" ref="M5:M24" si="0">E5+G5+K5</f>
        <v>801562</v>
      </c>
      <c r="N5" s="269"/>
      <c r="O5" s="2015">
        <v>294654</v>
      </c>
      <c r="P5" s="2017">
        <f>+L5+N5</f>
        <v>0</v>
      </c>
      <c r="Q5" s="2017">
        <f>+M5+O5</f>
        <v>1096216</v>
      </c>
      <c r="R5" s="269"/>
      <c r="S5" s="2015">
        <v>284181</v>
      </c>
      <c r="T5" s="2017">
        <f>+P5+R5</f>
        <v>0</v>
      </c>
      <c r="U5" s="2017">
        <f>+Q5+S5</f>
        <v>1380397</v>
      </c>
      <c r="V5" s="269"/>
      <c r="W5" s="2015">
        <v>287145</v>
      </c>
      <c r="X5" s="3777"/>
      <c r="Y5" s="2016">
        <f>O5+S5+W5</f>
        <v>865980</v>
      </c>
      <c r="Z5" s="4361">
        <f>+T5+V5</f>
        <v>0</v>
      </c>
      <c r="AA5" s="4361">
        <f>+U5+W5</f>
        <v>1667542</v>
      </c>
      <c r="AB5" s="269"/>
      <c r="AC5" s="2015">
        <v>243307</v>
      </c>
      <c r="AD5" s="2017">
        <f>+Z5+AB5</f>
        <v>0</v>
      </c>
      <c r="AE5" s="2017">
        <f>+AA5+AC5</f>
        <v>1910849</v>
      </c>
      <c r="AF5" s="269"/>
      <c r="AG5" s="2015">
        <v>275399</v>
      </c>
      <c r="AH5" s="2017">
        <f>+AD5+AF5</f>
        <v>0</v>
      </c>
      <c r="AI5" s="2017">
        <f>+AE5+AG5</f>
        <v>2186248</v>
      </c>
      <c r="AJ5" s="269"/>
      <c r="AK5" s="2015">
        <v>267547</v>
      </c>
      <c r="AL5" s="3777"/>
      <c r="AM5" s="2016">
        <f>AC5+AG5+AK5</f>
        <v>786253</v>
      </c>
      <c r="AN5" s="2017">
        <f>+AH5+AJ5</f>
        <v>0</v>
      </c>
      <c r="AO5" s="2017">
        <f>+AI5+AK5</f>
        <v>2453795</v>
      </c>
      <c r="AP5" s="269"/>
      <c r="AQ5" s="2015">
        <v>268050</v>
      </c>
      <c r="AR5" s="2017">
        <f>+AN5+AP5</f>
        <v>0</v>
      </c>
      <c r="AS5" s="2017">
        <f>+AO5+AQ5</f>
        <v>2721845</v>
      </c>
      <c r="AT5" s="269"/>
      <c r="AU5" s="2015">
        <v>240017</v>
      </c>
      <c r="AV5" s="2017">
        <f>+AR5+AT5</f>
        <v>0</v>
      </c>
      <c r="AW5" s="2017">
        <f>+AS5+AU5</f>
        <v>2961862</v>
      </c>
      <c r="AX5" s="269"/>
      <c r="AY5" s="2015">
        <v>281675</v>
      </c>
      <c r="AZ5" s="3777"/>
      <c r="BA5" s="2016">
        <f>AQ5+AU5+AY5</f>
        <v>789742</v>
      </c>
      <c r="BB5" s="4361">
        <f>+AV5+AX5</f>
        <v>0</v>
      </c>
      <c r="BC5" s="4361">
        <f>AM5+BA5</f>
        <v>1575995</v>
      </c>
      <c r="BD5" s="2017">
        <f>+AV5+AX5</f>
        <v>0</v>
      </c>
      <c r="BE5" s="2017">
        <f>+AW5+AY5</f>
        <v>3243537</v>
      </c>
      <c r="BF5" s="528">
        <f>AY5+AU5+AQ5+AK5+AG5+AC5+W5+S5+O5+K5+G5+E5-BE5</f>
        <v>0</v>
      </c>
      <c r="BG5" s="528"/>
      <c r="BI5">
        <f>BC5+AA5-BE5</f>
        <v>0</v>
      </c>
    </row>
    <row r="6" spans="2:71" ht="18" x14ac:dyDescent="0.3">
      <c r="B6" s="6238"/>
      <c r="C6" s="2027" t="s">
        <v>1178</v>
      </c>
      <c r="D6" s="1678"/>
      <c r="E6" s="2015">
        <v>3716</v>
      </c>
      <c r="F6" s="2015"/>
      <c r="G6" s="2015">
        <v>6799</v>
      </c>
      <c r="H6" s="2017">
        <f t="shared" ref="H6:H64" si="1">+D6+F6</f>
        <v>0</v>
      </c>
      <c r="I6" s="2100">
        <f t="shared" ref="I6:I64" si="2">+E6+G6</f>
        <v>10515</v>
      </c>
      <c r="J6" s="2015"/>
      <c r="K6" s="2015">
        <v>8611</v>
      </c>
      <c r="L6" s="2016">
        <f t="shared" ref="L6:L64" si="3">+H6+J6</f>
        <v>0</v>
      </c>
      <c r="M6" s="2016">
        <f t="shared" si="0"/>
        <v>19126</v>
      </c>
      <c r="N6" s="269"/>
      <c r="O6" s="2015">
        <v>7621</v>
      </c>
      <c r="P6" s="2017">
        <f t="shared" ref="P6:P64" si="4">+L6+N6</f>
        <v>0</v>
      </c>
      <c r="Q6" s="2017">
        <f t="shared" ref="Q6:Q7" si="5">+M6+O6</f>
        <v>26747</v>
      </c>
      <c r="R6" s="269"/>
      <c r="S6" s="2015">
        <v>7950</v>
      </c>
      <c r="T6" s="2017">
        <f t="shared" ref="T6:T19" si="6">+P6+R6</f>
        <v>0</v>
      </c>
      <c r="U6" s="2017">
        <f t="shared" ref="U6:U24" si="7">+Q6+S6</f>
        <v>34697</v>
      </c>
      <c r="V6" s="269"/>
      <c r="W6" s="2015">
        <v>5111</v>
      </c>
      <c r="X6" s="3777"/>
      <c r="Y6" s="2016">
        <f t="shared" ref="Y6:Y64" si="8">O6+S6+W6</f>
        <v>20682</v>
      </c>
      <c r="Z6" s="4361">
        <f t="shared" ref="Z6:Z19" si="9">+T6+V6</f>
        <v>0</v>
      </c>
      <c r="AA6" s="4361">
        <f t="shared" ref="AA6:AA24" si="10">+U6+W6</f>
        <v>39808</v>
      </c>
      <c r="AB6" s="269"/>
      <c r="AC6" s="2015">
        <v>6124</v>
      </c>
      <c r="AD6" s="2017">
        <f t="shared" ref="AD6:AD19" si="11">+Z6+AB6</f>
        <v>0</v>
      </c>
      <c r="AE6" s="2017">
        <f t="shared" ref="AE6:AE24" si="12">+AA6+AC6</f>
        <v>45932</v>
      </c>
      <c r="AF6" s="269"/>
      <c r="AG6" s="2015">
        <v>10121</v>
      </c>
      <c r="AH6" s="2017">
        <f t="shared" ref="AH6:AH19" si="13">+AD6+AF6</f>
        <v>0</v>
      </c>
      <c r="AI6" s="2017">
        <f t="shared" ref="AI6:AI24" si="14">+AE6+AG6</f>
        <v>56053</v>
      </c>
      <c r="AJ6" s="269"/>
      <c r="AK6" s="2015">
        <v>13032</v>
      </c>
      <c r="AL6" s="3777"/>
      <c r="AM6" s="2016">
        <f t="shared" ref="AM6:AM43" si="15">AC6+AG6+AK6</f>
        <v>29277</v>
      </c>
      <c r="AN6" s="2017">
        <f t="shared" ref="AN6:AN19" si="16">+AH6+AJ6</f>
        <v>0</v>
      </c>
      <c r="AO6" s="2017">
        <f t="shared" ref="AO6:AO24" si="17">+AI6+AK6</f>
        <v>69085</v>
      </c>
      <c r="AP6" s="269"/>
      <c r="AQ6" s="2015">
        <v>14778</v>
      </c>
      <c r="AR6" s="2017">
        <f t="shared" ref="AR6:AR21" si="18">+AN6+AP6</f>
        <v>0</v>
      </c>
      <c r="AS6" s="2017">
        <f t="shared" ref="AS6:AS24" si="19">+AO6+AQ6</f>
        <v>83863</v>
      </c>
      <c r="AT6" s="269"/>
      <c r="AU6" s="2015">
        <v>9877</v>
      </c>
      <c r="AV6" s="2017">
        <f t="shared" ref="AV6:AV24" si="20">+AR6+AT6</f>
        <v>0</v>
      </c>
      <c r="AW6" s="2017">
        <f t="shared" ref="AW6:AW24" si="21">+AS6+AU6</f>
        <v>93740</v>
      </c>
      <c r="AX6" s="269"/>
      <c r="AY6" s="2015">
        <v>9345</v>
      </c>
      <c r="AZ6" s="3777"/>
      <c r="BA6" s="2016">
        <f t="shared" ref="BA6:BA43" si="22">AQ6+AU6+AY6</f>
        <v>34000</v>
      </c>
      <c r="BB6" s="4361">
        <f t="shared" ref="BB6:BB19" si="23">+AV6+AX6</f>
        <v>0</v>
      </c>
      <c r="BC6" s="4361">
        <f t="shared" ref="BC6:BC7" si="24">AM6+BA6</f>
        <v>63277</v>
      </c>
      <c r="BD6" s="2017">
        <f t="shared" ref="BD6:BD24" si="25">+AV6+AX6</f>
        <v>0</v>
      </c>
      <c r="BE6" s="2017">
        <f t="shared" ref="BE6:BE24" si="26">+AW6+AY6</f>
        <v>103085</v>
      </c>
      <c r="BF6" s="528">
        <f t="shared" ref="BF6:BF65" si="27">AY6+AU6+AQ6+AK6+AG6+AC6+W6+S6+O6+K6+G6+E6-BE6</f>
        <v>0</v>
      </c>
      <c r="BG6" s="528"/>
      <c r="BI6">
        <f t="shared" ref="BI6:BI65" si="28">BC6+AA6-BE6</f>
        <v>0</v>
      </c>
    </row>
    <row r="7" spans="2:71" ht="18" x14ac:dyDescent="0.3">
      <c r="B7" s="6238"/>
      <c r="C7" s="2027" t="s">
        <v>1179</v>
      </c>
      <c r="D7" s="1678"/>
      <c r="E7" s="2015">
        <v>200</v>
      </c>
      <c r="F7" s="2015"/>
      <c r="G7" s="2015">
        <v>1101</v>
      </c>
      <c r="H7" s="2017">
        <f t="shared" si="1"/>
        <v>0</v>
      </c>
      <c r="I7" s="2100">
        <f t="shared" si="2"/>
        <v>1301</v>
      </c>
      <c r="J7" s="2015"/>
      <c r="K7" s="2015">
        <v>2455</v>
      </c>
      <c r="L7" s="2016">
        <f t="shared" si="3"/>
        <v>0</v>
      </c>
      <c r="M7" s="2016">
        <f t="shared" si="0"/>
        <v>3756</v>
      </c>
      <c r="N7" s="269"/>
      <c r="O7" s="2015">
        <v>2024</v>
      </c>
      <c r="P7" s="2017">
        <f t="shared" si="4"/>
        <v>0</v>
      </c>
      <c r="Q7" s="2017">
        <f t="shared" si="5"/>
        <v>5780</v>
      </c>
      <c r="R7" s="269"/>
      <c r="S7" s="2015">
        <v>1124</v>
      </c>
      <c r="T7" s="2017">
        <f t="shared" si="6"/>
        <v>0</v>
      </c>
      <c r="U7" s="2017">
        <f t="shared" si="7"/>
        <v>6904</v>
      </c>
      <c r="V7" s="269"/>
      <c r="W7" s="2015">
        <v>1147</v>
      </c>
      <c r="X7" s="3777"/>
      <c r="Y7" s="2016">
        <f t="shared" si="8"/>
        <v>4295</v>
      </c>
      <c r="Z7" s="4361">
        <f t="shared" si="9"/>
        <v>0</v>
      </c>
      <c r="AA7" s="4361">
        <f t="shared" si="10"/>
        <v>8051</v>
      </c>
      <c r="AB7" s="269"/>
      <c r="AC7" s="2015">
        <v>788</v>
      </c>
      <c r="AD7" s="2017">
        <f t="shared" si="11"/>
        <v>0</v>
      </c>
      <c r="AE7" s="2017">
        <f t="shared" si="12"/>
        <v>8839</v>
      </c>
      <c r="AF7" s="269"/>
      <c r="AG7" s="2015">
        <v>989</v>
      </c>
      <c r="AH7" s="2017">
        <f t="shared" si="13"/>
        <v>0</v>
      </c>
      <c r="AI7" s="2017">
        <f t="shared" si="14"/>
        <v>9828</v>
      </c>
      <c r="AJ7" s="269"/>
      <c r="AK7" s="2015">
        <v>1141</v>
      </c>
      <c r="AL7" s="3777"/>
      <c r="AM7" s="2016">
        <f t="shared" si="15"/>
        <v>2918</v>
      </c>
      <c r="AN7" s="2017">
        <f t="shared" si="16"/>
        <v>0</v>
      </c>
      <c r="AO7" s="2017">
        <f t="shared" si="17"/>
        <v>10969</v>
      </c>
      <c r="AP7" s="269"/>
      <c r="AQ7" s="2015">
        <v>1818</v>
      </c>
      <c r="AR7" s="2017">
        <f t="shared" si="18"/>
        <v>0</v>
      </c>
      <c r="AS7" s="2017">
        <f t="shared" si="19"/>
        <v>12787</v>
      </c>
      <c r="AT7" s="269"/>
      <c r="AU7" s="2015">
        <v>924</v>
      </c>
      <c r="AV7" s="2017">
        <f t="shared" si="20"/>
        <v>0</v>
      </c>
      <c r="AW7" s="2017">
        <f t="shared" si="21"/>
        <v>13711</v>
      </c>
      <c r="AX7" s="269"/>
      <c r="AY7" s="2015">
        <v>1124</v>
      </c>
      <c r="AZ7" s="3777"/>
      <c r="BA7" s="2016">
        <f t="shared" si="22"/>
        <v>3866</v>
      </c>
      <c r="BB7" s="4361">
        <f t="shared" si="23"/>
        <v>0</v>
      </c>
      <c r="BC7" s="4361">
        <f t="shared" si="24"/>
        <v>6784</v>
      </c>
      <c r="BD7" s="2017">
        <f t="shared" si="25"/>
        <v>0</v>
      </c>
      <c r="BE7" s="2017">
        <f t="shared" si="26"/>
        <v>14835</v>
      </c>
      <c r="BF7" s="528">
        <f t="shared" si="27"/>
        <v>0</v>
      </c>
      <c r="BG7" s="528"/>
      <c r="BI7">
        <f t="shared" si="28"/>
        <v>0</v>
      </c>
    </row>
    <row r="8" spans="2:71" ht="18" x14ac:dyDescent="0.3">
      <c r="B8" s="6238"/>
      <c r="C8" s="2028" t="s">
        <v>1239</v>
      </c>
      <c r="D8" s="2023"/>
      <c r="E8" s="2036">
        <f>SUM(E5:E7)</f>
        <v>256369</v>
      </c>
      <c r="F8" s="2036">
        <f t="shared" ref="F8:N8" si="29">SUM(F5:F7)</f>
        <v>0</v>
      </c>
      <c r="G8" s="2036">
        <f>SUM(G5:G7)</f>
        <v>276059</v>
      </c>
      <c r="H8" s="2040">
        <f t="shared" si="1"/>
        <v>0</v>
      </c>
      <c r="I8" s="3114">
        <f t="shared" si="2"/>
        <v>532428</v>
      </c>
      <c r="J8" s="2036">
        <f t="shared" si="29"/>
        <v>0</v>
      </c>
      <c r="K8" s="2036">
        <f>SUM(K5:K7)</f>
        <v>292016</v>
      </c>
      <c r="L8" s="2041">
        <f t="shared" si="3"/>
        <v>0</v>
      </c>
      <c r="M8" s="2041">
        <f t="shared" si="0"/>
        <v>824444</v>
      </c>
      <c r="N8" s="2036">
        <f t="shared" si="29"/>
        <v>0</v>
      </c>
      <c r="O8" s="2036">
        <f>SUM(O5:O7)</f>
        <v>304299</v>
      </c>
      <c r="P8" s="2040">
        <f t="shared" si="4"/>
        <v>0</v>
      </c>
      <c r="Q8" s="2040">
        <f t="shared" ref="Q8:Q64" si="30">+M8+O8</f>
        <v>1128743</v>
      </c>
      <c r="R8" s="2036">
        <f t="shared" ref="R8" si="31">SUM(R5:R7)</f>
        <v>0</v>
      </c>
      <c r="S8" s="2036">
        <f>SUM(S5:S7)</f>
        <v>293255</v>
      </c>
      <c r="T8" s="2040">
        <f t="shared" si="6"/>
        <v>0</v>
      </c>
      <c r="U8" s="2040">
        <f t="shared" si="7"/>
        <v>1421998</v>
      </c>
      <c r="V8" s="2036">
        <f t="shared" ref="V8" si="32">SUM(V5:V7)</f>
        <v>0</v>
      </c>
      <c r="W8" s="2036">
        <f>SUM(W5:W7)</f>
        <v>293403</v>
      </c>
      <c r="X8" s="3881"/>
      <c r="Y8" s="3888">
        <f t="shared" si="8"/>
        <v>890957</v>
      </c>
      <c r="Z8" s="4362">
        <f t="shared" si="9"/>
        <v>0</v>
      </c>
      <c r="AA8" s="4362">
        <f t="shared" si="10"/>
        <v>1715401</v>
      </c>
      <c r="AB8" s="2036">
        <f t="shared" ref="AB8" si="33">SUM(AB5:AB7)</f>
        <v>0</v>
      </c>
      <c r="AC8" s="2036">
        <f>SUM(AC5:AC7)</f>
        <v>250219</v>
      </c>
      <c r="AD8" s="2040">
        <f t="shared" si="11"/>
        <v>0</v>
      </c>
      <c r="AE8" s="2040">
        <f t="shared" si="12"/>
        <v>1965620</v>
      </c>
      <c r="AF8" s="2036">
        <f t="shared" ref="AF8" si="34">SUM(AF5:AF7)</f>
        <v>0</v>
      </c>
      <c r="AG8" s="2036">
        <f>SUM(AG5:AG7)</f>
        <v>286509</v>
      </c>
      <c r="AH8" s="2040">
        <f t="shared" si="13"/>
        <v>0</v>
      </c>
      <c r="AI8" s="2040">
        <f t="shared" si="14"/>
        <v>2252129</v>
      </c>
      <c r="AJ8" s="2036">
        <f t="shared" ref="AJ8" si="35">SUM(AJ5:AJ7)</f>
        <v>0</v>
      </c>
      <c r="AK8" s="2036">
        <f>SUM(AK5:AK7)</f>
        <v>281720</v>
      </c>
      <c r="AL8" s="3881"/>
      <c r="AM8" s="3888">
        <f t="shared" si="15"/>
        <v>818448</v>
      </c>
      <c r="AN8" s="2040">
        <f t="shared" si="16"/>
        <v>0</v>
      </c>
      <c r="AO8" s="2040">
        <f t="shared" si="17"/>
        <v>2533849</v>
      </c>
      <c r="AP8" s="2036">
        <f t="shared" ref="AP8" si="36">SUM(AP5:AP7)</f>
        <v>0</v>
      </c>
      <c r="AQ8" s="2036">
        <f>SUM(AQ5:AQ7)</f>
        <v>284646</v>
      </c>
      <c r="AR8" s="2040">
        <f t="shared" si="18"/>
        <v>0</v>
      </c>
      <c r="AS8" s="2040">
        <f t="shared" si="19"/>
        <v>2818495</v>
      </c>
      <c r="AT8" s="2036">
        <f t="shared" ref="AT8" si="37">SUM(AT5:AT7)</f>
        <v>0</v>
      </c>
      <c r="AU8" s="2036">
        <f>SUM(AU5:AU7)</f>
        <v>250818</v>
      </c>
      <c r="AV8" s="2040">
        <f t="shared" si="20"/>
        <v>0</v>
      </c>
      <c r="AW8" s="2040">
        <f t="shared" si="21"/>
        <v>3069313</v>
      </c>
      <c r="AX8" s="2036">
        <f t="shared" ref="AX8" si="38">SUM(AX5:AX7)</f>
        <v>0</v>
      </c>
      <c r="AY8" s="2036">
        <f>SUM(AY5:AY7)</f>
        <v>292144</v>
      </c>
      <c r="AZ8" s="3881"/>
      <c r="BA8" s="3888">
        <f t="shared" si="22"/>
        <v>827608</v>
      </c>
      <c r="BB8" s="4362">
        <f t="shared" si="23"/>
        <v>0</v>
      </c>
      <c r="BC8" s="4362">
        <f>SUM(BC5:BC7)</f>
        <v>1646056</v>
      </c>
      <c r="BD8" s="2040">
        <f t="shared" si="25"/>
        <v>0</v>
      </c>
      <c r="BE8" s="2040">
        <f t="shared" si="26"/>
        <v>3361457</v>
      </c>
      <c r="BF8" s="528">
        <f t="shared" si="27"/>
        <v>0</v>
      </c>
      <c r="BG8" s="528"/>
      <c r="BI8">
        <f t="shared" si="28"/>
        <v>0</v>
      </c>
    </row>
    <row r="9" spans="2:71" ht="18" x14ac:dyDescent="0.3">
      <c r="B9" s="6238"/>
      <c r="C9" s="2027" t="s">
        <v>786</v>
      </c>
      <c r="D9" s="1678"/>
      <c r="E9" s="2015">
        <v>17957</v>
      </c>
      <c r="F9" s="2015"/>
      <c r="G9" s="2015">
        <v>17898</v>
      </c>
      <c r="H9" s="2017">
        <f t="shared" si="1"/>
        <v>0</v>
      </c>
      <c r="I9" s="2100">
        <f t="shared" si="2"/>
        <v>35855</v>
      </c>
      <c r="J9" s="2015"/>
      <c r="K9" s="2015">
        <v>13125</v>
      </c>
      <c r="L9" s="2016">
        <f t="shared" si="3"/>
        <v>0</v>
      </c>
      <c r="M9" s="2016">
        <f t="shared" si="0"/>
        <v>48980</v>
      </c>
      <c r="N9" s="269"/>
      <c r="O9" s="2015">
        <v>14258</v>
      </c>
      <c r="P9" s="2017">
        <f t="shared" si="4"/>
        <v>0</v>
      </c>
      <c r="Q9" s="2017">
        <f t="shared" si="30"/>
        <v>63238</v>
      </c>
      <c r="R9" s="269"/>
      <c r="S9" s="2015">
        <v>11784</v>
      </c>
      <c r="T9" s="2017">
        <f t="shared" si="6"/>
        <v>0</v>
      </c>
      <c r="U9" s="2017">
        <f t="shared" si="7"/>
        <v>75022</v>
      </c>
      <c r="V9" s="269"/>
      <c r="W9" s="2015">
        <v>15189</v>
      </c>
      <c r="X9" s="3777"/>
      <c r="Y9" s="2016">
        <f t="shared" si="8"/>
        <v>41231</v>
      </c>
      <c r="Z9" s="4361">
        <f t="shared" si="9"/>
        <v>0</v>
      </c>
      <c r="AA9" s="4361">
        <f t="shared" si="10"/>
        <v>90211</v>
      </c>
      <c r="AB9" s="269"/>
      <c r="AC9" s="2015">
        <v>13084</v>
      </c>
      <c r="AD9" s="2017">
        <f t="shared" si="11"/>
        <v>0</v>
      </c>
      <c r="AE9" s="2017">
        <f t="shared" si="12"/>
        <v>103295</v>
      </c>
      <c r="AF9" s="269"/>
      <c r="AG9" s="2015">
        <v>12524</v>
      </c>
      <c r="AH9" s="2017">
        <f t="shared" si="13"/>
        <v>0</v>
      </c>
      <c r="AI9" s="2017">
        <f t="shared" si="14"/>
        <v>115819</v>
      </c>
      <c r="AJ9" s="269"/>
      <c r="AK9" s="2015">
        <v>14550</v>
      </c>
      <c r="AL9" s="3777"/>
      <c r="AM9" s="2016">
        <f t="shared" si="15"/>
        <v>40158</v>
      </c>
      <c r="AN9" s="2017">
        <f t="shared" si="16"/>
        <v>0</v>
      </c>
      <c r="AO9" s="2017">
        <f t="shared" si="17"/>
        <v>130369</v>
      </c>
      <c r="AP9" s="269"/>
      <c r="AQ9" s="2015">
        <v>11173</v>
      </c>
      <c r="AR9" s="2017">
        <f t="shared" si="18"/>
        <v>0</v>
      </c>
      <c r="AS9" s="2017">
        <f t="shared" si="19"/>
        <v>141542</v>
      </c>
      <c r="AT9" s="269"/>
      <c r="AU9" s="2015">
        <v>11241</v>
      </c>
      <c r="AV9" s="2017">
        <f t="shared" si="20"/>
        <v>0</v>
      </c>
      <c r="AW9" s="2017">
        <f t="shared" si="21"/>
        <v>152783</v>
      </c>
      <c r="AX9" s="269"/>
      <c r="AY9" s="2015">
        <v>13834</v>
      </c>
      <c r="AZ9" s="3777"/>
      <c r="BA9" s="2016">
        <f t="shared" si="22"/>
        <v>36248</v>
      </c>
      <c r="BB9" s="4361">
        <f t="shared" si="23"/>
        <v>0</v>
      </c>
      <c r="BC9" s="4361">
        <f t="shared" ref="BC9:BC24" si="39">AM9+BA9</f>
        <v>76406</v>
      </c>
      <c r="BD9" s="2017">
        <f t="shared" si="25"/>
        <v>0</v>
      </c>
      <c r="BE9" s="2017">
        <f t="shared" si="26"/>
        <v>166617</v>
      </c>
      <c r="BF9" s="528">
        <f t="shared" si="27"/>
        <v>0</v>
      </c>
      <c r="BG9" s="528"/>
      <c r="BI9">
        <f t="shared" si="28"/>
        <v>0</v>
      </c>
    </row>
    <row r="10" spans="2:71" ht="18" x14ac:dyDescent="0.3">
      <c r="B10" s="6238"/>
      <c r="C10" s="2027" t="s">
        <v>785</v>
      </c>
      <c r="D10" s="1678"/>
      <c r="E10" s="2015">
        <v>31854</v>
      </c>
      <c r="F10" s="2015"/>
      <c r="G10" s="2015">
        <v>32714</v>
      </c>
      <c r="H10" s="2017">
        <f t="shared" si="1"/>
        <v>0</v>
      </c>
      <c r="I10" s="2100">
        <f t="shared" si="2"/>
        <v>64568</v>
      </c>
      <c r="J10" s="2015"/>
      <c r="K10" s="2015">
        <v>32552</v>
      </c>
      <c r="L10" s="2016">
        <f t="shared" si="3"/>
        <v>0</v>
      </c>
      <c r="M10" s="2016">
        <f t="shared" si="0"/>
        <v>97120</v>
      </c>
      <c r="N10" s="269"/>
      <c r="O10" s="2015">
        <v>35815</v>
      </c>
      <c r="P10" s="2017">
        <f t="shared" si="4"/>
        <v>0</v>
      </c>
      <c r="Q10" s="2017">
        <f t="shared" si="30"/>
        <v>132935</v>
      </c>
      <c r="R10" s="269"/>
      <c r="S10" s="2015">
        <v>36757</v>
      </c>
      <c r="T10" s="2017">
        <f t="shared" si="6"/>
        <v>0</v>
      </c>
      <c r="U10" s="2017">
        <f t="shared" si="7"/>
        <v>169692</v>
      </c>
      <c r="V10" s="269"/>
      <c r="W10" s="2015">
        <v>34597</v>
      </c>
      <c r="X10" s="3777"/>
      <c r="Y10" s="2016">
        <f t="shared" si="8"/>
        <v>107169</v>
      </c>
      <c r="Z10" s="4361">
        <f t="shared" si="9"/>
        <v>0</v>
      </c>
      <c r="AA10" s="4361">
        <f t="shared" si="10"/>
        <v>204289</v>
      </c>
      <c r="AB10" s="269"/>
      <c r="AC10" s="2015">
        <v>30274</v>
      </c>
      <c r="AD10" s="2017">
        <f t="shared" si="11"/>
        <v>0</v>
      </c>
      <c r="AE10" s="2017">
        <f t="shared" si="12"/>
        <v>234563</v>
      </c>
      <c r="AF10" s="269"/>
      <c r="AG10" s="2015">
        <v>31941</v>
      </c>
      <c r="AH10" s="2017">
        <f t="shared" si="13"/>
        <v>0</v>
      </c>
      <c r="AI10" s="2017">
        <f t="shared" si="14"/>
        <v>266504</v>
      </c>
      <c r="AJ10" s="269"/>
      <c r="AK10" s="2015">
        <v>30174</v>
      </c>
      <c r="AL10" s="3777"/>
      <c r="AM10" s="2016">
        <f t="shared" si="15"/>
        <v>92389</v>
      </c>
      <c r="AN10" s="2017">
        <f t="shared" si="16"/>
        <v>0</v>
      </c>
      <c r="AO10" s="2017">
        <f t="shared" si="17"/>
        <v>296678</v>
      </c>
      <c r="AP10" s="269"/>
      <c r="AQ10" s="2015">
        <v>35212</v>
      </c>
      <c r="AR10" s="2017">
        <f t="shared" si="18"/>
        <v>0</v>
      </c>
      <c r="AS10" s="2017">
        <f t="shared" si="19"/>
        <v>331890</v>
      </c>
      <c r="AT10" s="269"/>
      <c r="AU10" s="2015">
        <v>33381</v>
      </c>
      <c r="AV10" s="2017">
        <f t="shared" si="20"/>
        <v>0</v>
      </c>
      <c r="AW10" s="2017">
        <f t="shared" si="21"/>
        <v>365271</v>
      </c>
      <c r="AX10" s="269"/>
      <c r="AY10" s="2015">
        <v>39754</v>
      </c>
      <c r="AZ10" s="3777"/>
      <c r="BA10" s="2016">
        <f t="shared" si="22"/>
        <v>108347</v>
      </c>
      <c r="BB10" s="4361">
        <f t="shared" si="23"/>
        <v>0</v>
      </c>
      <c r="BC10" s="4361">
        <f t="shared" si="39"/>
        <v>200736</v>
      </c>
      <c r="BD10" s="2017">
        <f t="shared" si="25"/>
        <v>0</v>
      </c>
      <c r="BE10" s="2017">
        <f t="shared" si="26"/>
        <v>405025</v>
      </c>
      <c r="BF10" s="528">
        <f t="shared" si="27"/>
        <v>0</v>
      </c>
      <c r="BG10" s="528"/>
      <c r="BI10">
        <f t="shared" si="28"/>
        <v>0</v>
      </c>
    </row>
    <row r="11" spans="2:71" ht="18" x14ac:dyDescent="0.3">
      <c r="B11" s="6238"/>
      <c r="C11" s="2027" t="s">
        <v>26</v>
      </c>
      <c r="D11" s="1678"/>
      <c r="E11" s="2015">
        <v>15008</v>
      </c>
      <c r="F11" s="2015"/>
      <c r="G11" s="2015">
        <v>14494</v>
      </c>
      <c r="H11" s="2017">
        <f t="shared" si="1"/>
        <v>0</v>
      </c>
      <c r="I11" s="2100">
        <f t="shared" si="2"/>
        <v>29502</v>
      </c>
      <c r="J11" s="2015"/>
      <c r="K11" s="2015">
        <v>13879</v>
      </c>
      <c r="L11" s="2016">
        <f t="shared" si="3"/>
        <v>0</v>
      </c>
      <c r="M11" s="2016">
        <f t="shared" si="0"/>
        <v>43381</v>
      </c>
      <c r="N11" s="269"/>
      <c r="O11" s="2015">
        <v>14787</v>
      </c>
      <c r="P11" s="2017">
        <f t="shared" si="4"/>
        <v>0</v>
      </c>
      <c r="Q11" s="2017">
        <f t="shared" si="30"/>
        <v>58168</v>
      </c>
      <c r="R11" s="269"/>
      <c r="S11" s="2015">
        <v>16050</v>
      </c>
      <c r="T11" s="2017">
        <f t="shared" si="6"/>
        <v>0</v>
      </c>
      <c r="U11" s="2017">
        <f t="shared" si="7"/>
        <v>74218</v>
      </c>
      <c r="V11" s="269"/>
      <c r="W11" s="2015">
        <v>13280</v>
      </c>
      <c r="X11" s="3777"/>
      <c r="Y11" s="2016">
        <f t="shared" si="8"/>
        <v>44117</v>
      </c>
      <c r="Z11" s="4361">
        <f t="shared" si="9"/>
        <v>0</v>
      </c>
      <c r="AA11" s="4361">
        <f t="shared" si="10"/>
        <v>87498</v>
      </c>
      <c r="AB11" s="269"/>
      <c r="AC11" s="2015">
        <v>12362</v>
      </c>
      <c r="AD11" s="2017">
        <f t="shared" si="11"/>
        <v>0</v>
      </c>
      <c r="AE11" s="2017">
        <f t="shared" si="12"/>
        <v>99860</v>
      </c>
      <c r="AF11" s="269"/>
      <c r="AG11" s="2015">
        <v>15264</v>
      </c>
      <c r="AH11" s="2017">
        <f t="shared" si="13"/>
        <v>0</v>
      </c>
      <c r="AI11" s="2017">
        <f t="shared" si="14"/>
        <v>115124</v>
      </c>
      <c r="AJ11" s="269"/>
      <c r="AK11" s="2015">
        <v>14002</v>
      </c>
      <c r="AL11" s="3777"/>
      <c r="AM11" s="2016">
        <f t="shared" si="15"/>
        <v>41628</v>
      </c>
      <c r="AN11" s="2017">
        <f t="shared" si="16"/>
        <v>0</v>
      </c>
      <c r="AO11" s="2017">
        <f t="shared" si="17"/>
        <v>129126</v>
      </c>
      <c r="AP11" s="269"/>
      <c r="AQ11" s="2015">
        <v>14102</v>
      </c>
      <c r="AR11" s="2017">
        <f t="shared" si="18"/>
        <v>0</v>
      </c>
      <c r="AS11" s="2017">
        <f t="shared" si="19"/>
        <v>143228</v>
      </c>
      <c r="AT11" s="269"/>
      <c r="AU11" s="2015">
        <v>12491</v>
      </c>
      <c r="AV11" s="2017">
        <f t="shared" si="20"/>
        <v>0</v>
      </c>
      <c r="AW11" s="2017">
        <f t="shared" si="21"/>
        <v>155719</v>
      </c>
      <c r="AX11" s="269"/>
      <c r="AY11" s="2015">
        <v>15688</v>
      </c>
      <c r="AZ11" s="3777"/>
      <c r="BA11" s="2016">
        <f t="shared" si="22"/>
        <v>42281</v>
      </c>
      <c r="BB11" s="4361">
        <f t="shared" si="23"/>
        <v>0</v>
      </c>
      <c r="BC11" s="4361">
        <f t="shared" si="39"/>
        <v>83909</v>
      </c>
      <c r="BD11" s="2017">
        <f t="shared" si="25"/>
        <v>0</v>
      </c>
      <c r="BE11" s="2017">
        <f t="shared" si="26"/>
        <v>171407</v>
      </c>
      <c r="BF11" s="528">
        <f t="shared" si="27"/>
        <v>0</v>
      </c>
      <c r="BG11" s="528"/>
      <c r="BI11">
        <f t="shared" si="28"/>
        <v>0</v>
      </c>
    </row>
    <row r="12" spans="2:71" ht="18" x14ac:dyDescent="0.3">
      <c r="B12" s="6238"/>
      <c r="C12" s="2027" t="s">
        <v>787</v>
      </c>
      <c r="D12" s="1678"/>
      <c r="E12" s="2015">
        <v>0</v>
      </c>
      <c r="F12" s="2015"/>
      <c r="G12" s="2015">
        <v>0</v>
      </c>
      <c r="H12" s="2017">
        <f t="shared" si="1"/>
        <v>0</v>
      </c>
      <c r="I12" s="2100">
        <f t="shared" si="2"/>
        <v>0</v>
      </c>
      <c r="J12" s="2015"/>
      <c r="K12" s="2015">
        <v>0</v>
      </c>
      <c r="L12" s="2016">
        <f t="shared" si="3"/>
        <v>0</v>
      </c>
      <c r="M12" s="2016">
        <f t="shared" si="0"/>
        <v>0</v>
      </c>
      <c r="N12" s="269"/>
      <c r="O12" s="2015">
        <v>0</v>
      </c>
      <c r="P12" s="2017">
        <f t="shared" si="4"/>
        <v>0</v>
      </c>
      <c r="Q12" s="2017">
        <f t="shared" si="30"/>
        <v>0</v>
      </c>
      <c r="R12" s="269"/>
      <c r="S12" s="2015">
        <v>0</v>
      </c>
      <c r="T12" s="2017">
        <f t="shared" si="6"/>
        <v>0</v>
      </c>
      <c r="U12" s="2017">
        <f t="shared" si="7"/>
        <v>0</v>
      </c>
      <c r="V12" s="269"/>
      <c r="W12" s="2015">
        <v>0</v>
      </c>
      <c r="X12" s="3777"/>
      <c r="Y12" s="2016">
        <f t="shared" si="8"/>
        <v>0</v>
      </c>
      <c r="Z12" s="4361">
        <f t="shared" si="9"/>
        <v>0</v>
      </c>
      <c r="AA12" s="4361">
        <f t="shared" si="10"/>
        <v>0</v>
      </c>
      <c r="AB12" s="269"/>
      <c r="AC12" s="2015">
        <v>0</v>
      </c>
      <c r="AD12" s="2017">
        <f t="shared" si="11"/>
        <v>0</v>
      </c>
      <c r="AE12" s="2017">
        <f t="shared" si="12"/>
        <v>0</v>
      </c>
      <c r="AF12" s="269"/>
      <c r="AG12" s="2015">
        <v>629</v>
      </c>
      <c r="AH12" s="2017">
        <f t="shared" si="13"/>
        <v>0</v>
      </c>
      <c r="AI12" s="2017">
        <f t="shared" si="14"/>
        <v>629</v>
      </c>
      <c r="AJ12" s="269"/>
      <c r="AK12" s="2015">
        <v>2070</v>
      </c>
      <c r="AL12" s="3777"/>
      <c r="AM12" s="2016">
        <f t="shared" si="15"/>
        <v>2699</v>
      </c>
      <c r="AN12" s="2017">
        <f t="shared" si="16"/>
        <v>0</v>
      </c>
      <c r="AO12" s="2017">
        <f t="shared" si="17"/>
        <v>2699</v>
      </c>
      <c r="AP12" s="269"/>
      <c r="AQ12" s="2015">
        <v>688</v>
      </c>
      <c r="AR12" s="2017">
        <f t="shared" si="18"/>
        <v>0</v>
      </c>
      <c r="AS12" s="2017">
        <f t="shared" si="19"/>
        <v>3387</v>
      </c>
      <c r="AT12" s="269"/>
      <c r="AU12" s="2015">
        <v>0</v>
      </c>
      <c r="AV12" s="2017">
        <f t="shared" si="20"/>
        <v>0</v>
      </c>
      <c r="AW12" s="2017">
        <f t="shared" si="21"/>
        <v>3387</v>
      </c>
      <c r="AX12" s="269"/>
      <c r="AY12" s="2015">
        <v>0</v>
      </c>
      <c r="AZ12" s="3777"/>
      <c r="BA12" s="2016">
        <f t="shared" si="22"/>
        <v>688</v>
      </c>
      <c r="BB12" s="4361">
        <f t="shared" si="23"/>
        <v>0</v>
      </c>
      <c r="BC12" s="4361">
        <f t="shared" si="39"/>
        <v>3387</v>
      </c>
      <c r="BD12" s="2017">
        <f t="shared" si="25"/>
        <v>0</v>
      </c>
      <c r="BE12" s="2017">
        <f t="shared" si="26"/>
        <v>3387</v>
      </c>
      <c r="BF12" s="528">
        <f t="shared" si="27"/>
        <v>0</v>
      </c>
      <c r="BG12" s="528"/>
      <c r="BI12">
        <f t="shared" si="28"/>
        <v>0</v>
      </c>
    </row>
    <row r="13" spans="2:71" ht="18" x14ac:dyDescent="0.3">
      <c r="B13" s="6238"/>
      <c r="C13" s="2027" t="s">
        <v>41</v>
      </c>
      <c r="D13" s="1678"/>
      <c r="E13" s="2015">
        <v>0</v>
      </c>
      <c r="F13" s="2015"/>
      <c r="G13" s="2015">
        <v>0</v>
      </c>
      <c r="H13" s="2017">
        <f t="shared" si="1"/>
        <v>0</v>
      </c>
      <c r="I13" s="2100">
        <f t="shared" si="2"/>
        <v>0</v>
      </c>
      <c r="J13" s="2015"/>
      <c r="K13" s="2015">
        <v>1740</v>
      </c>
      <c r="L13" s="2016">
        <f t="shared" si="3"/>
        <v>0</v>
      </c>
      <c r="M13" s="2016">
        <f t="shared" si="0"/>
        <v>1740</v>
      </c>
      <c r="N13" s="269"/>
      <c r="O13" s="2015">
        <v>2300</v>
      </c>
      <c r="P13" s="2017">
        <f t="shared" si="4"/>
        <v>0</v>
      </c>
      <c r="Q13" s="2017">
        <f t="shared" si="30"/>
        <v>4040</v>
      </c>
      <c r="R13" s="269"/>
      <c r="S13" s="2015">
        <v>3716</v>
      </c>
      <c r="T13" s="2017">
        <f t="shared" si="6"/>
        <v>0</v>
      </c>
      <c r="U13" s="2017">
        <f t="shared" si="7"/>
        <v>7756</v>
      </c>
      <c r="V13" s="269"/>
      <c r="W13" s="2015">
        <v>3244</v>
      </c>
      <c r="X13" s="3777"/>
      <c r="Y13" s="2016">
        <f t="shared" si="8"/>
        <v>9260</v>
      </c>
      <c r="Z13" s="4361">
        <f t="shared" si="9"/>
        <v>0</v>
      </c>
      <c r="AA13" s="4361">
        <f t="shared" si="10"/>
        <v>11000</v>
      </c>
      <c r="AB13" s="269"/>
      <c r="AC13" s="2015">
        <v>3998</v>
      </c>
      <c r="AD13" s="2017">
        <f t="shared" si="11"/>
        <v>0</v>
      </c>
      <c r="AE13" s="2017">
        <f t="shared" si="12"/>
        <v>14998</v>
      </c>
      <c r="AF13" s="269"/>
      <c r="AG13" s="2015">
        <v>3564</v>
      </c>
      <c r="AH13" s="2017">
        <f t="shared" si="13"/>
        <v>0</v>
      </c>
      <c r="AI13" s="2017">
        <f t="shared" si="14"/>
        <v>18562</v>
      </c>
      <c r="AJ13" s="269"/>
      <c r="AK13" s="2015">
        <v>3964</v>
      </c>
      <c r="AL13" s="3777"/>
      <c r="AM13" s="2016">
        <f t="shared" si="15"/>
        <v>11526</v>
      </c>
      <c r="AN13" s="2017">
        <f t="shared" si="16"/>
        <v>0</v>
      </c>
      <c r="AO13" s="2017">
        <f t="shared" si="17"/>
        <v>22526</v>
      </c>
      <c r="AP13" s="269"/>
      <c r="AQ13" s="2015">
        <v>3608</v>
      </c>
      <c r="AR13" s="2017">
        <f t="shared" si="18"/>
        <v>0</v>
      </c>
      <c r="AS13" s="2017">
        <f t="shared" si="19"/>
        <v>26134</v>
      </c>
      <c r="AT13" s="269"/>
      <c r="AU13" s="2015">
        <v>4151</v>
      </c>
      <c r="AV13" s="2017">
        <f t="shared" si="20"/>
        <v>0</v>
      </c>
      <c r="AW13" s="2017">
        <f t="shared" si="21"/>
        <v>30285</v>
      </c>
      <c r="AX13" s="269"/>
      <c r="AY13" s="2015">
        <v>3325</v>
      </c>
      <c r="AZ13" s="3777"/>
      <c r="BA13" s="2016">
        <f t="shared" si="22"/>
        <v>11084</v>
      </c>
      <c r="BB13" s="4361">
        <f t="shared" si="23"/>
        <v>0</v>
      </c>
      <c r="BC13" s="4361">
        <f t="shared" si="39"/>
        <v>22610</v>
      </c>
      <c r="BD13" s="2017">
        <f t="shared" si="25"/>
        <v>0</v>
      </c>
      <c r="BE13" s="2017">
        <f t="shared" si="26"/>
        <v>33610</v>
      </c>
      <c r="BF13" s="528">
        <f t="shared" si="27"/>
        <v>0</v>
      </c>
      <c r="BG13" s="528"/>
      <c r="BI13">
        <f t="shared" si="28"/>
        <v>0</v>
      </c>
    </row>
    <row r="14" spans="2:71" ht="18" x14ac:dyDescent="0.3">
      <c r="B14" s="6238"/>
      <c r="C14" s="2027" t="s">
        <v>1510</v>
      </c>
      <c r="D14" s="1678"/>
      <c r="E14" s="2015">
        <v>676</v>
      </c>
      <c r="F14" s="2015"/>
      <c r="G14" s="2015">
        <v>690</v>
      </c>
      <c r="H14" s="2017">
        <f t="shared" si="1"/>
        <v>0</v>
      </c>
      <c r="I14" s="2100">
        <f t="shared" si="2"/>
        <v>1366</v>
      </c>
      <c r="J14" s="2015"/>
      <c r="K14" s="2015">
        <v>301</v>
      </c>
      <c r="L14" s="2016">
        <f t="shared" si="3"/>
        <v>0</v>
      </c>
      <c r="M14" s="2016">
        <f t="shared" si="0"/>
        <v>1667</v>
      </c>
      <c r="N14" s="269"/>
      <c r="O14" s="2015">
        <v>1020</v>
      </c>
      <c r="P14" s="2017">
        <f t="shared" si="4"/>
        <v>0</v>
      </c>
      <c r="Q14" s="2017">
        <f t="shared" si="30"/>
        <v>2687</v>
      </c>
      <c r="R14" s="269"/>
      <c r="S14" s="2015">
        <v>600</v>
      </c>
      <c r="T14" s="2017">
        <f t="shared" si="6"/>
        <v>0</v>
      </c>
      <c r="U14" s="2017">
        <f t="shared" si="7"/>
        <v>3287</v>
      </c>
      <c r="V14" s="269"/>
      <c r="W14" s="2015">
        <v>550</v>
      </c>
      <c r="X14" s="3777"/>
      <c r="Y14" s="2016">
        <f t="shared" si="8"/>
        <v>2170</v>
      </c>
      <c r="Z14" s="4361">
        <f t="shared" si="9"/>
        <v>0</v>
      </c>
      <c r="AA14" s="4361">
        <f t="shared" si="10"/>
        <v>3837</v>
      </c>
      <c r="AB14" s="269"/>
      <c r="AC14" s="2015">
        <v>628</v>
      </c>
      <c r="AD14" s="2017">
        <f t="shared" si="11"/>
        <v>0</v>
      </c>
      <c r="AE14" s="2017">
        <f t="shared" si="12"/>
        <v>4465</v>
      </c>
      <c r="AF14" s="269"/>
      <c r="AG14" s="2015">
        <v>440</v>
      </c>
      <c r="AH14" s="2017">
        <f t="shared" si="13"/>
        <v>0</v>
      </c>
      <c r="AI14" s="2017">
        <f t="shared" si="14"/>
        <v>4905</v>
      </c>
      <c r="AJ14" s="269"/>
      <c r="AK14" s="2015">
        <v>620</v>
      </c>
      <c r="AL14" s="3777"/>
      <c r="AM14" s="2016">
        <f t="shared" si="15"/>
        <v>1688</v>
      </c>
      <c r="AN14" s="2017">
        <f t="shared" si="16"/>
        <v>0</v>
      </c>
      <c r="AO14" s="2017">
        <f t="shared" si="17"/>
        <v>5525</v>
      </c>
      <c r="AP14" s="269"/>
      <c r="AQ14" s="2015">
        <v>0</v>
      </c>
      <c r="AR14" s="2017">
        <f t="shared" si="18"/>
        <v>0</v>
      </c>
      <c r="AS14" s="2017">
        <f t="shared" si="19"/>
        <v>5525</v>
      </c>
      <c r="AT14" s="269"/>
      <c r="AU14" s="2015">
        <v>620</v>
      </c>
      <c r="AV14" s="2017">
        <f t="shared" si="20"/>
        <v>0</v>
      </c>
      <c r="AW14" s="2017">
        <f t="shared" si="21"/>
        <v>6145</v>
      </c>
      <c r="AX14" s="269"/>
      <c r="AY14" s="2015">
        <v>645</v>
      </c>
      <c r="AZ14" s="3777"/>
      <c r="BA14" s="2016">
        <f t="shared" si="22"/>
        <v>1265</v>
      </c>
      <c r="BB14" s="4361">
        <f t="shared" si="23"/>
        <v>0</v>
      </c>
      <c r="BC14" s="4361">
        <f t="shared" si="39"/>
        <v>2953</v>
      </c>
      <c r="BD14" s="2017">
        <f t="shared" si="25"/>
        <v>0</v>
      </c>
      <c r="BE14" s="2017">
        <f t="shared" si="26"/>
        <v>6790</v>
      </c>
      <c r="BF14" s="528">
        <f t="shared" si="27"/>
        <v>0</v>
      </c>
      <c r="BG14" s="528"/>
      <c r="BI14">
        <f t="shared" si="28"/>
        <v>0</v>
      </c>
    </row>
    <row r="15" spans="2:71" ht="18" x14ac:dyDescent="0.3">
      <c r="B15" s="6238"/>
      <c r="C15" s="2027" t="s">
        <v>600</v>
      </c>
      <c r="D15" s="1678"/>
      <c r="E15" s="2015">
        <v>9984</v>
      </c>
      <c r="F15" s="2015"/>
      <c r="G15" s="2015">
        <v>9999</v>
      </c>
      <c r="H15" s="2017">
        <f t="shared" si="1"/>
        <v>0</v>
      </c>
      <c r="I15" s="2100">
        <f t="shared" si="2"/>
        <v>19983</v>
      </c>
      <c r="J15" s="2015"/>
      <c r="K15" s="2015">
        <v>2890</v>
      </c>
      <c r="L15" s="2016">
        <f t="shared" si="3"/>
        <v>0</v>
      </c>
      <c r="M15" s="2016">
        <f t="shared" si="0"/>
        <v>22873</v>
      </c>
      <c r="N15" s="269"/>
      <c r="O15" s="2015">
        <v>1258</v>
      </c>
      <c r="P15" s="2017">
        <f t="shared" si="4"/>
        <v>0</v>
      </c>
      <c r="Q15" s="2017">
        <f t="shared" si="30"/>
        <v>24131</v>
      </c>
      <c r="R15" s="269"/>
      <c r="S15" s="2015">
        <v>4201</v>
      </c>
      <c r="T15" s="2017">
        <f t="shared" si="6"/>
        <v>0</v>
      </c>
      <c r="U15" s="2017">
        <f t="shared" si="7"/>
        <v>28332</v>
      </c>
      <c r="V15" s="269"/>
      <c r="W15" s="2015">
        <v>200</v>
      </c>
      <c r="X15" s="3777"/>
      <c r="Y15" s="2016">
        <f t="shared" si="8"/>
        <v>5659</v>
      </c>
      <c r="Z15" s="4361">
        <f t="shared" si="9"/>
        <v>0</v>
      </c>
      <c r="AA15" s="4361">
        <f t="shared" si="10"/>
        <v>28532</v>
      </c>
      <c r="AB15" s="269"/>
      <c r="AC15" s="2015">
        <v>1686</v>
      </c>
      <c r="AD15" s="2017">
        <f t="shared" si="11"/>
        <v>0</v>
      </c>
      <c r="AE15" s="2017">
        <f t="shared" si="12"/>
        <v>30218</v>
      </c>
      <c r="AF15" s="269"/>
      <c r="AG15" s="2015">
        <v>7527</v>
      </c>
      <c r="AH15" s="2017">
        <f t="shared" si="13"/>
        <v>0</v>
      </c>
      <c r="AI15" s="2017">
        <f t="shared" si="14"/>
        <v>37745</v>
      </c>
      <c r="AJ15" s="269"/>
      <c r="AK15" s="2015">
        <v>10404</v>
      </c>
      <c r="AL15" s="3777"/>
      <c r="AM15" s="2016">
        <f t="shared" si="15"/>
        <v>19617</v>
      </c>
      <c r="AN15" s="2017">
        <f t="shared" si="16"/>
        <v>0</v>
      </c>
      <c r="AO15" s="2017">
        <f t="shared" si="17"/>
        <v>48149</v>
      </c>
      <c r="AP15" s="269"/>
      <c r="AQ15" s="2015">
        <v>8608</v>
      </c>
      <c r="AR15" s="2017">
        <f t="shared" si="18"/>
        <v>0</v>
      </c>
      <c r="AS15" s="2017">
        <f t="shared" si="19"/>
        <v>56757</v>
      </c>
      <c r="AT15" s="269"/>
      <c r="AU15" s="2015">
        <v>6201</v>
      </c>
      <c r="AV15" s="2017">
        <f t="shared" si="20"/>
        <v>0</v>
      </c>
      <c r="AW15" s="2017">
        <f t="shared" si="21"/>
        <v>62958</v>
      </c>
      <c r="AX15" s="269"/>
      <c r="AY15" s="2015">
        <v>10593</v>
      </c>
      <c r="AZ15" s="3777"/>
      <c r="BA15" s="2016">
        <f t="shared" si="22"/>
        <v>25402</v>
      </c>
      <c r="BB15" s="4361">
        <f t="shared" si="23"/>
        <v>0</v>
      </c>
      <c r="BC15" s="4361">
        <f t="shared" si="39"/>
        <v>45019</v>
      </c>
      <c r="BD15" s="2017">
        <f t="shared" si="25"/>
        <v>0</v>
      </c>
      <c r="BE15" s="2017">
        <f t="shared" si="26"/>
        <v>73551</v>
      </c>
      <c r="BF15" s="528">
        <f t="shared" si="27"/>
        <v>0</v>
      </c>
      <c r="BG15" s="528"/>
      <c r="BI15">
        <f t="shared" si="28"/>
        <v>0</v>
      </c>
    </row>
    <row r="16" spans="2:71" ht="18" x14ac:dyDescent="0.3">
      <c r="B16" s="6238"/>
      <c r="C16" s="2027" t="s">
        <v>788</v>
      </c>
      <c r="D16" s="1678"/>
      <c r="E16" s="2015">
        <v>5650</v>
      </c>
      <c r="F16" s="2015"/>
      <c r="G16" s="2015">
        <v>5463</v>
      </c>
      <c r="H16" s="2017">
        <f t="shared" si="1"/>
        <v>0</v>
      </c>
      <c r="I16" s="2100">
        <f t="shared" si="2"/>
        <v>11113</v>
      </c>
      <c r="J16" s="2015"/>
      <c r="K16" s="2015">
        <v>6700</v>
      </c>
      <c r="L16" s="2016">
        <f t="shared" si="3"/>
        <v>0</v>
      </c>
      <c r="M16" s="2016">
        <f t="shared" si="0"/>
        <v>17813</v>
      </c>
      <c r="N16" s="269"/>
      <c r="O16" s="2015">
        <v>5501</v>
      </c>
      <c r="P16" s="2017">
        <f t="shared" si="4"/>
        <v>0</v>
      </c>
      <c r="Q16" s="2017">
        <f t="shared" si="30"/>
        <v>23314</v>
      </c>
      <c r="R16" s="269"/>
      <c r="S16" s="2015">
        <v>6298</v>
      </c>
      <c r="T16" s="2017">
        <f t="shared" si="6"/>
        <v>0</v>
      </c>
      <c r="U16" s="2017">
        <f t="shared" si="7"/>
        <v>29612</v>
      </c>
      <c r="V16" s="269"/>
      <c r="W16" s="2015">
        <v>5358</v>
      </c>
      <c r="X16" s="3777"/>
      <c r="Y16" s="2016">
        <f t="shared" si="8"/>
        <v>17157</v>
      </c>
      <c r="Z16" s="4361">
        <f t="shared" si="9"/>
        <v>0</v>
      </c>
      <c r="AA16" s="4361">
        <f t="shared" si="10"/>
        <v>34970</v>
      </c>
      <c r="AB16" s="269"/>
      <c r="AC16" s="2015">
        <v>3638</v>
      </c>
      <c r="AD16" s="2017">
        <f t="shared" si="11"/>
        <v>0</v>
      </c>
      <c r="AE16" s="2017">
        <f t="shared" si="12"/>
        <v>38608</v>
      </c>
      <c r="AF16" s="269"/>
      <c r="AG16" s="2015">
        <v>5946</v>
      </c>
      <c r="AH16" s="2017">
        <f t="shared" si="13"/>
        <v>0</v>
      </c>
      <c r="AI16" s="2017">
        <f t="shared" si="14"/>
        <v>44554</v>
      </c>
      <c r="AJ16" s="269"/>
      <c r="AK16" s="2015">
        <v>5859</v>
      </c>
      <c r="AL16" s="3777"/>
      <c r="AM16" s="2016">
        <f t="shared" si="15"/>
        <v>15443</v>
      </c>
      <c r="AN16" s="2017">
        <f t="shared" si="16"/>
        <v>0</v>
      </c>
      <c r="AO16" s="2017">
        <f t="shared" si="17"/>
        <v>50413</v>
      </c>
      <c r="AP16" s="269"/>
      <c r="AQ16" s="2015">
        <v>5778</v>
      </c>
      <c r="AR16" s="2017">
        <f t="shared" si="18"/>
        <v>0</v>
      </c>
      <c r="AS16" s="2017">
        <f t="shared" si="19"/>
        <v>56191</v>
      </c>
      <c r="AT16" s="269"/>
      <c r="AU16" s="2015">
        <v>4480</v>
      </c>
      <c r="AV16" s="2017">
        <f t="shared" si="20"/>
        <v>0</v>
      </c>
      <c r="AW16" s="2017">
        <f t="shared" si="21"/>
        <v>60671</v>
      </c>
      <c r="AX16" s="269"/>
      <c r="AY16" s="2015">
        <v>5908</v>
      </c>
      <c r="AZ16" s="3777"/>
      <c r="BA16" s="2016">
        <f t="shared" si="22"/>
        <v>16166</v>
      </c>
      <c r="BB16" s="4361">
        <f t="shared" si="23"/>
        <v>0</v>
      </c>
      <c r="BC16" s="4361">
        <f t="shared" si="39"/>
        <v>31609</v>
      </c>
      <c r="BD16" s="2017">
        <f t="shared" si="25"/>
        <v>0</v>
      </c>
      <c r="BE16" s="2017">
        <f t="shared" si="26"/>
        <v>66579</v>
      </c>
      <c r="BF16" s="528">
        <f t="shared" si="27"/>
        <v>0</v>
      </c>
      <c r="BG16" s="528"/>
      <c r="BI16">
        <f t="shared" si="28"/>
        <v>0</v>
      </c>
    </row>
    <row r="17" spans="2:73" ht="18" x14ac:dyDescent="0.3">
      <c r="B17" s="6238"/>
      <c r="C17" s="2027" t="s">
        <v>98</v>
      </c>
      <c r="D17" s="1678"/>
      <c r="E17" s="2015">
        <v>60954</v>
      </c>
      <c r="F17" s="2015"/>
      <c r="G17" s="2015">
        <v>64874</v>
      </c>
      <c r="H17" s="2017">
        <f t="shared" si="1"/>
        <v>0</v>
      </c>
      <c r="I17" s="2100">
        <f t="shared" si="2"/>
        <v>125828</v>
      </c>
      <c r="J17" s="2015"/>
      <c r="K17" s="2015">
        <v>72124</v>
      </c>
      <c r="L17" s="2016">
        <f t="shared" si="3"/>
        <v>0</v>
      </c>
      <c r="M17" s="2016">
        <f t="shared" si="0"/>
        <v>197952</v>
      </c>
      <c r="N17" s="269"/>
      <c r="O17" s="2015">
        <v>77578</v>
      </c>
      <c r="P17" s="2017">
        <f t="shared" si="4"/>
        <v>0</v>
      </c>
      <c r="Q17" s="2017">
        <f t="shared" si="30"/>
        <v>275530</v>
      </c>
      <c r="R17" s="269"/>
      <c r="S17" s="2015">
        <v>74857</v>
      </c>
      <c r="T17" s="2017">
        <f t="shared" si="6"/>
        <v>0</v>
      </c>
      <c r="U17" s="2017">
        <f t="shared" si="7"/>
        <v>350387</v>
      </c>
      <c r="V17" s="269"/>
      <c r="W17" s="2015">
        <v>77679</v>
      </c>
      <c r="X17" s="3777"/>
      <c r="Y17" s="2016">
        <f t="shared" si="8"/>
        <v>230114</v>
      </c>
      <c r="Z17" s="4361">
        <f t="shared" si="9"/>
        <v>0</v>
      </c>
      <c r="AA17" s="4361">
        <f t="shared" si="10"/>
        <v>428066</v>
      </c>
      <c r="AB17" s="269"/>
      <c r="AC17" s="2015">
        <v>62985</v>
      </c>
      <c r="AD17" s="2017">
        <f t="shared" si="11"/>
        <v>0</v>
      </c>
      <c r="AE17" s="2017">
        <f t="shared" si="12"/>
        <v>491051</v>
      </c>
      <c r="AF17" s="269"/>
      <c r="AG17" s="2015">
        <v>71795</v>
      </c>
      <c r="AH17" s="2017">
        <f t="shared" si="13"/>
        <v>0</v>
      </c>
      <c r="AI17" s="2017">
        <f t="shared" si="14"/>
        <v>562846</v>
      </c>
      <c r="AJ17" s="269"/>
      <c r="AK17" s="2015">
        <v>70956</v>
      </c>
      <c r="AL17" s="3777"/>
      <c r="AM17" s="2016">
        <f t="shared" si="15"/>
        <v>205736</v>
      </c>
      <c r="AN17" s="2017">
        <f t="shared" si="16"/>
        <v>0</v>
      </c>
      <c r="AO17" s="2017">
        <f t="shared" si="17"/>
        <v>633802</v>
      </c>
      <c r="AP17" s="269"/>
      <c r="AQ17" s="2015">
        <v>76157</v>
      </c>
      <c r="AR17" s="2017">
        <f t="shared" si="18"/>
        <v>0</v>
      </c>
      <c r="AS17" s="2017">
        <f t="shared" si="19"/>
        <v>709959</v>
      </c>
      <c r="AT17" s="269"/>
      <c r="AU17" s="2015">
        <v>65445</v>
      </c>
      <c r="AV17" s="2017">
        <f t="shared" si="20"/>
        <v>0</v>
      </c>
      <c r="AW17" s="2017">
        <f t="shared" si="21"/>
        <v>775404</v>
      </c>
      <c r="AX17" s="269"/>
      <c r="AY17" s="2015">
        <v>81524</v>
      </c>
      <c r="AZ17" s="3777"/>
      <c r="BA17" s="2016">
        <f t="shared" si="22"/>
        <v>223126</v>
      </c>
      <c r="BB17" s="4361">
        <f t="shared" si="23"/>
        <v>0</v>
      </c>
      <c r="BC17" s="4361">
        <f t="shared" si="39"/>
        <v>428862</v>
      </c>
      <c r="BD17" s="2017">
        <f t="shared" si="25"/>
        <v>0</v>
      </c>
      <c r="BE17" s="2017">
        <f t="shared" si="26"/>
        <v>856928</v>
      </c>
      <c r="BF17" s="528">
        <f t="shared" si="27"/>
        <v>0</v>
      </c>
      <c r="BG17" s="528"/>
      <c r="BI17">
        <f t="shared" si="28"/>
        <v>0</v>
      </c>
    </row>
    <row r="18" spans="2:73" ht="18" x14ac:dyDescent="0.3">
      <c r="B18" s="6238"/>
      <c r="C18" s="2027" t="s">
        <v>1293</v>
      </c>
      <c r="D18" s="1678"/>
      <c r="E18" s="2015">
        <v>621</v>
      </c>
      <c r="F18" s="2015"/>
      <c r="G18" s="2015">
        <v>1293</v>
      </c>
      <c r="H18" s="2017">
        <f t="shared" si="1"/>
        <v>0</v>
      </c>
      <c r="I18" s="2100">
        <f t="shared" si="2"/>
        <v>1914</v>
      </c>
      <c r="J18" s="2015"/>
      <c r="K18" s="2015">
        <v>901</v>
      </c>
      <c r="L18" s="2016">
        <f t="shared" si="3"/>
        <v>0</v>
      </c>
      <c r="M18" s="2016">
        <f t="shared" si="0"/>
        <v>2815</v>
      </c>
      <c r="N18" s="269"/>
      <c r="O18" s="2015">
        <v>855</v>
      </c>
      <c r="P18" s="2017">
        <f t="shared" si="4"/>
        <v>0</v>
      </c>
      <c r="Q18" s="2017">
        <f t="shared" si="30"/>
        <v>3670</v>
      </c>
      <c r="R18" s="269"/>
      <c r="S18" s="2015">
        <v>912</v>
      </c>
      <c r="T18" s="2017">
        <f t="shared" si="6"/>
        <v>0</v>
      </c>
      <c r="U18" s="2017">
        <f t="shared" si="7"/>
        <v>4582</v>
      </c>
      <c r="V18" s="269"/>
      <c r="W18" s="2015">
        <v>798</v>
      </c>
      <c r="X18" s="3777"/>
      <c r="Y18" s="2016">
        <f t="shared" si="8"/>
        <v>2565</v>
      </c>
      <c r="Z18" s="4361">
        <f t="shared" si="9"/>
        <v>0</v>
      </c>
      <c r="AA18" s="4361">
        <f t="shared" si="10"/>
        <v>5380</v>
      </c>
      <c r="AB18" s="269"/>
      <c r="AC18" s="2015">
        <v>998</v>
      </c>
      <c r="AD18" s="2017">
        <f t="shared" si="11"/>
        <v>0</v>
      </c>
      <c r="AE18" s="2017">
        <f t="shared" si="12"/>
        <v>6378</v>
      </c>
      <c r="AF18" s="269"/>
      <c r="AG18" s="2015">
        <v>1047</v>
      </c>
      <c r="AH18" s="2017">
        <f t="shared" si="13"/>
        <v>0</v>
      </c>
      <c r="AI18" s="2017">
        <f t="shared" si="14"/>
        <v>7425</v>
      </c>
      <c r="AJ18" s="269"/>
      <c r="AK18" s="2015">
        <v>1269</v>
      </c>
      <c r="AL18" s="3777"/>
      <c r="AM18" s="2016">
        <f t="shared" si="15"/>
        <v>3314</v>
      </c>
      <c r="AN18" s="2017">
        <f t="shared" si="16"/>
        <v>0</v>
      </c>
      <c r="AO18" s="2017">
        <f t="shared" si="17"/>
        <v>8694</v>
      </c>
      <c r="AP18" s="269"/>
      <c r="AQ18" s="2015">
        <v>988</v>
      </c>
      <c r="AR18" s="2017">
        <f t="shared" si="18"/>
        <v>0</v>
      </c>
      <c r="AS18" s="2017">
        <f t="shared" si="19"/>
        <v>9682</v>
      </c>
      <c r="AT18" s="269"/>
      <c r="AU18" s="2015">
        <v>655</v>
      </c>
      <c r="AV18" s="2017">
        <f t="shared" si="20"/>
        <v>0</v>
      </c>
      <c r="AW18" s="2017">
        <f t="shared" si="21"/>
        <v>10337</v>
      </c>
      <c r="AX18" s="269"/>
      <c r="AY18" s="2015">
        <v>925</v>
      </c>
      <c r="AZ18" s="3777"/>
      <c r="BA18" s="2016">
        <f t="shared" si="22"/>
        <v>2568</v>
      </c>
      <c r="BB18" s="4361">
        <f t="shared" si="23"/>
        <v>0</v>
      </c>
      <c r="BC18" s="4361">
        <f t="shared" si="39"/>
        <v>5882</v>
      </c>
      <c r="BD18" s="2017">
        <f t="shared" si="25"/>
        <v>0</v>
      </c>
      <c r="BE18" s="2017">
        <f t="shared" si="26"/>
        <v>11262</v>
      </c>
      <c r="BF18" s="528">
        <f t="shared" si="27"/>
        <v>0</v>
      </c>
      <c r="BG18" s="528"/>
      <c r="BI18">
        <f t="shared" si="28"/>
        <v>0</v>
      </c>
    </row>
    <row r="19" spans="2:73" s="146" customFormat="1" ht="18" x14ac:dyDescent="0.3">
      <c r="B19" s="6238"/>
      <c r="C19" s="2027" t="s">
        <v>177</v>
      </c>
      <c r="D19" s="1678"/>
      <c r="E19" s="2015">
        <v>713</v>
      </c>
      <c r="F19" s="2015"/>
      <c r="G19" s="2015">
        <v>513</v>
      </c>
      <c r="H19" s="2017">
        <f t="shared" si="1"/>
        <v>0</v>
      </c>
      <c r="I19" s="2100">
        <f t="shared" si="2"/>
        <v>1226</v>
      </c>
      <c r="J19" s="2015"/>
      <c r="K19" s="2015">
        <v>390</v>
      </c>
      <c r="L19" s="2016">
        <f t="shared" si="3"/>
        <v>0</v>
      </c>
      <c r="M19" s="2016">
        <f t="shared" si="0"/>
        <v>1616</v>
      </c>
      <c r="N19" s="269"/>
      <c r="O19" s="2015">
        <v>910</v>
      </c>
      <c r="P19" s="2017">
        <f t="shared" si="4"/>
        <v>0</v>
      </c>
      <c r="Q19" s="2017">
        <f t="shared" si="30"/>
        <v>2526</v>
      </c>
      <c r="R19" s="269"/>
      <c r="S19" s="2015">
        <v>712</v>
      </c>
      <c r="T19" s="2017">
        <f t="shared" si="6"/>
        <v>0</v>
      </c>
      <c r="U19" s="2017">
        <f t="shared" si="7"/>
        <v>3238</v>
      </c>
      <c r="V19" s="269"/>
      <c r="W19" s="2015">
        <v>0</v>
      </c>
      <c r="X19" s="3777"/>
      <c r="Y19" s="2016">
        <f t="shared" si="8"/>
        <v>1622</v>
      </c>
      <c r="Z19" s="4361">
        <f t="shared" si="9"/>
        <v>0</v>
      </c>
      <c r="AA19" s="4361">
        <f t="shared" si="10"/>
        <v>3238</v>
      </c>
      <c r="AB19" s="269"/>
      <c r="AC19" s="2015">
        <v>510</v>
      </c>
      <c r="AD19" s="2017">
        <f t="shared" si="11"/>
        <v>0</v>
      </c>
      <c r="AE19" s="2017">
        <f t="shared" si="12"/>
        <v>3748</v>
      </c>
      <c r="AF19" s="269"/>
      <c r="AG19" s="2015">
        <v>250</v>
      </c>
      <c r="AH19" s="2017">
        <f t="shared" si="13"/>
        <v>0</v>
      </c>
      <c r="AI19" s="2017">
        <f t="shared" si="14"/>
        <v>3998</v>
      </c>
      <c r="AJ19" s="269"/>
      <c r="AK19" s="2015">
        <v>0</v>
      </c>
      <c r="AL19" s="3777"/>
      <c r="AM19" s="2016">
        <f t="shared" si="15"/>
        <v>760</v>
      </c>
      <c r="AN19" s="2017">
        <f t="shared" si="16"/>
        <v>0</v>
      </c>
      <c r="AO19" s="2017">
        <f t="shared" si="17"/>
        <v>3998</v>
      </c>
      <c r="AP19" s="269"/>
      <c r="AQ19" s="2015">
        <v>0</v>
      </c>
      <c r="AR19" s="2017">
        <f t="shared" si="18"/>
        <v>0</v>
      </c>
      <c r="AS19" s="2017">
        <f t="shared" si="19"/>
        <v>3998</v>
      </c>
      <c r="AT19" s="269"/>
      <c r="AU19" s="2015">
        <v>0</v>
      </c>
      <c r="AV19" s="2017">
        <f t="shared" si="20"/>
        <v>0</v>
      </c>
      <c r="AW19" s="2017">
        <f t="shared" si="21"/>
        <v>3998</v>
      </c>
      <c r="AX19" s="269"/>
      <c r="AY19" s="2015">
        <v>0</v>
      </c>
      <c r="AZ19" s="3777"/>
      <c r="BA19" s="2016">
        <f t="shared" si="22"/>
        <v>0</v>
      </c>
      <c r="BB19" s="4361">
        <f t="shared" si="23"/>
        <v>0</v>
      </c>
      <c r="BC19" s="4361">
        <f t="shared" si="39"/>
        <v>760</v>
      </c>
      <c r="BD19" s="2017">
        <f t="shared" si="25"/>
        <v>0</v>
      </c>
      <c r="BE19" s="2017">
        <f t="shared" si="26"/>
        <v>3998</v>
      </c>
      <c r="BF19" s="528">
        <f t="shared" si="27"/>
        <v>0</v>
      </c>
      <c r="BG19" s="528"/>
      <c r="BH19"/>
      <c r="BI19">
        <f t="shared" si="28"/>
        <v>0</v>
      </c>
      <c r="BJ19"/>
      <c r="BK19"/>
    </row>
    <row r="20" spans="2:73" s="146" customFormat="1" ht="18" x14ac:dyDescent="0.3">
      <c r="B20" s="6238"/>
      <c r="C20" s="4808" t="s">
        <v>1639</v>
      </c>
      <c r="D20" s="4809"/>
      <c r="E20" s="4810">
        <v>338</v>
      </c>
      <c r="F20" s="4810"/>
      <c r="G20" s="4810">
        <v>315</v>
      </c>
      <c r="H20" s="4811">
        <v>0</v>
      </c>
      <c r="I20" s="2100">
        <f t="shared" si="2"/>
        <v>653</v>
      </c>
      <c r="J20" s="4810"/>
      <c r="K20" s="4810">
        <v>140</v>
      </c>
      <c r="L20" s="4812"/>
      <c r="M20" s="2016">
        <f t="shared" si="0"/>
        <v>793</v>
      </c>
      <c r="N20" s="4813"/>
      <c r="O20" s="4810">
        <v>306</v>
      </c>
      <c r="P20" s="4811"/>
      <c r="Q20" s="2017">
        <f t="shared" si="30"/>
        <v>1099</v>
      </c>
      <c r="R20" s="4813"/>
      <c r="S20" s="4810">
        <v>80</v>
      </c>
      <c r="T20" s="4811"/>
      <c r="U20" s="2017">
        <f t="shared" si="7"/>
        <v>1179</v>
      </c>
      <c r="V20" s="4813"/>
      <c r="W20" s="4810">
        <v>0</v>
      </c>
      <c r="X20" s="4810"/>
      <c r="Y20" s="2016">
        <f t="shared" ref="Y20" si="40">O20+S20+W20</f>
        <v>386</v>
      </c>
      <c r="Z20" s="4361">
        <f t="shared" ref="Z20" si="41">+T20+V20</f>
        <v>0</v>
      </c>
      <c r="AA20" s="4361">
        <f t="shared" ref="AA20" si="42">+U20+W20</f>
        <v>1179</v>
      </c>
      <c r="AB20" s="4813"/>
      <c r="AC20" s="4810">
        <v>0</v>
      </c>
      <c r="AD20" s="4811"/>
      <c r="AE20" s="2017">
        <f t="shared" si="12"/>
        <v>1179</v>
      </c>
      <c r="AF20" s="4813"/>
      <c r="AG20" s="4810">
        <v>307</v>
      </c>
      <c r="AH20" s="4811"/>
      <c r="AI20" s="2017">
        <f t="shared" si="14"/>
        <v>1486</v>
      </c>
      <c r="AJ20" s="4813"/>
      <c r="AK20" s="4810">
        <v>278</v>
      </c>
      <c r="AL20" s="4810"/>
      <c r="AM20" s="2016">
        <f t="shared" ref="AM20" si="43">AC20+AG20+AK20</f>
        <v>585</v>
      </c>
      <c r="AN20" s="2017">
        <f t="shared" ref="AN20" si="44">+AH20+AJ20</f>
        <v>0</v>
      </c>
      <c r="AO20" s="2017">
        <f t="shared" ref="AO20" si="45">+AI20+AK20</f>
        <v>1764</v>
      </c>
      <c r="AP20" s="4813"/>
      <c r="AQ20" s="4810">
        <v>440</v>
      </c>
      <c r="AR20" s="4811"/>
      <c r="AS20" s="2017">
        <f t="shared" si="19"/>
        <v>2204</v>
      </c>
      <c r="AT20" s="4813"/>
      <c r="AU20" s="4810">
        <v>228</v>
      </c>
      <c r="AV20" s="4811"/>
      <c r="AW20" s="2017">
        <f t="shared" si="21"/>
        <v>2432</v>
      </c>
      <c r="AX20" s="4813"/>
      <c r="AY20" s="4810">
        <v>1254</v>
      </c>
      <c r="AZ20" s="4810"/>
      <c r="BA20" s="2016">
        <f t="shared" ref="BA20" si="46">AQ20+AU20+AY20</f>
        <v>1922</v>
      </c>
      <c r="BB20" s="4361">
        <f t="shared" ref="BB20" si="47">+AV20+AX20</f>
        <v>0</v>
      </c>
      <c r="BC20" s="4361">
        <f t="shared" ref="BC20" si="48">AM20+BA20</f>
        <v>2507</v>
      </c>
      <c r="BD20" s="2017">
        <f t="shared" ref="BD20" si="49">+AV20+AX20</f>
        <v>0</v>
      </c>
      <c r="BE20" s="2017">
        <f t="shared" ref="BE20" si="50">+AW20+AY20</f>
        <v>3686</v>
      </c>
      <c r="BF20" s="528">
        <f t="shared" si="27"/>
        <v>0</v>
      </c>
      <c r="BG20" s="528"/>
      <c r="BH20"/>
      <c r="BI20">
        <f t="shared" si="28"/>
        <v>0</v>
      </c>
      <c r="BJ20"/>
      <c r="BK20"/>
    </row>
    <row r="21" spans="2:73" s="146" customFormat="1" ht="18" x14ac:dyDescent="0.3">
      <c r="B21" s="6238"/>
      <c r="C21" s="2027" t="s">
        <v>2023</v>
      </c>
      <c r="D21" s="2424"/>
      <c r="E21" s="2425">
        <v>0</v>
      </c>
      <c r="F21" s="2425"/>
      <c r="G21" s="2425">
        <v>1700</v>
      </c>
      <c r="H21" s="2017">
        <f t="shared" si="1"/>
        <v>0</v>
      </c>
      <c r="I21" s="2100">
        <f t="shared" si="2"/>
        <v>1700</v>
      </c>
      <c r="J21" s="2425"/>
      <c r="K21" s="2425">
        <v>0</v>
      </c>
      <c r="L21" s="2427"/>
      <c r="M21" s="2016">
        <f t="shared" si="0"/>
        <v>1700</v>
      </c>
      <c r="N21" s="2428"/>
      <c r="O21" s="2425">
        <v>0</v>
      </c>
      <c r="P21" s="2426"/>
      <c r="Q21" s="2017">
        <f t="shared" si="30"/>
        <v>1700</v>
      </c>
      <c r="R21" s="2428"/>
      <c r="S21" s="2425">
        <v>0</v>
      </c>
      <c r="T21" s="2426"/>
      <c r="U21" s="2017">
        <f t="shared" si="7"/>
        <v>1700</v>
      </c>
      <c r="V21" s="2428"/>
      <c r="W21" s="2425">
        <v>0</v>
      </c>
      <c r="X21" s="3777"/>
      <c r="Y21" s="2016">
        <f t="shared" si="8"/>
        <v>0</v>
      </c>
      <c r="Z21" s="4363"/>
      <c r="AA21" s="4361">
        <f t="shared" si="10"/>
        <v>1700</v>
      </c>
      <c r="AB21" s="2428"/>
      <c r="AC21" s="2425">
        <v>0</v>
      </c>
      <c r="AD21" s="2426"/>
      <c r="AE21" s="2017">
        <f t="shared" si="12"/>
        <v>1700</v>
      </c>
      <c r="AF21" s="2428"/>
      <c r="AG21" s="2425">
        <v>0</v>
      </c>
      <c r="AH21" s="2426"/>
      <c r="AI21" s="2017">
        <f t="shared" si="14"/>
        <v>1700</v>
      </c>
      <c r="AJ21" s="2428"/>
      <c r="AK21" s="2425">
        <v>0</v>
      </c>
      <c r="AL21" s="3777"/>
      <c r="AM21" s="2016">
        <f t="shared" si="15"/>
        <v>0</v>
      </c>
      <c r="AN21" s="2426"/>
      <c r="AO21" s="2017">
        <f t="shared" si="17"/>
        <v>1700</v>
      </c>
      <c r="AP21" s="2428"/>
      <c r="AQ21" s="2425">
        <v>0</v>
      </c>
      <c r="AR21" s="2017">
        <f t="shared" si="18"/>
        <v>0</v>
      </c>
      <c r="AS21" s="2017">
        <f t="shared" si="19"/>
        <v>1700</v>
      </c>
      <c r="AT21" s="2428"/>
      <c r="AU21" s="2425">
        <v>0</v>
      </c>
      <c r="AV21" s="2017">
        <f t="shared" si="20"/>
        <v>0</v>
      </c>
      <c r="AW21" s="2017">
        <f t="shared" si="21"/>
        <v>1700</v>
      </c>
      <c r="AX21" s="2428"/>
      <c r="AY21" s="2425">
        <v>2160</v>
      </c>
      <c r="AZ21" s="3777"/>
      <c r="BA21" s="2016">
        <f t="shared" si="22"/>
        <v>2160</v>
      </c>
      <c r="BB21" s="4363"/>
      <c r="BC21" s="4361">
        <f t="shared" si="39"/>
        <v>2160</v>
      </c>
      <c r="BD21" s="2017">
        <f t="shared" si="25"/>
        <v>0</v>
      </c>
      <c r="BE21" s="2017">
        <f t="shared" si="26"/>
        <v>3860</v>
      </c>
      <c r="BF21" s="528">
        <f t="shared" si="27"/>
        <v>0</v>
      </c>
      <c r="BG21" s="528"/>
      <c r="BH21"/>
      <c r="BI21">
        <f t="shared" si="28"/>
        <v>0</v>
      </c>
      <c r="BJ21"/>
      <c r="BK21"/>
    </row>
    <row r="22" spans="2:73" s="146" customFormat="1" ht="18" x14ac:dyDescent="0.3">
      <c r="B22" s="6234" t="s">
        <v>977</v>
      </c>
      <c r="C22" s="2029" t="s">
        <v>1536</v>
      </c>
      <c r="D22" s="2024"/>
      <c r="E22" s="265">
        <f>SUM(E8:E21)</f>
        <v>400124</v>
      </c>
      <c r="F22" s="265">
        <f>SUM(F8:F19)</f>
        <v>0</v>
      </c>
      <c r="G22" s="265">
        <f>SUM(G8:G21)</f>
        <v>426012</v>
      </c>
      <c r="H22" s="2017">
        <f t="shared" si="1"/>
        <v>0</v>
      </c>
      <c r="I22" s="2100">
        <f t="shared" si="2"/>
        <v>826136</v>
      </c>
      <c r="J22" s="265">
        <f>SUM(J8:J19)</f>
        <v>0</v>
      </c>
      <c r="K22" s="265">
        <f>SUM(K8:K21)</f>
        <v>436758</v>
      </c>
      <c r="L22" s="2016">
        <f t="shared" si="3"/>
        <v>0</v>
      </c>
      <c r="M22" s="2016">
        <f t="shared" si="0"/>
        <v>1262894</v>
      </c>
      <c r="N22" s="265">
        <f>SUM(N8:N19)</f>
        <v>0</v>
      </c>
      <c r="O22" s="265">
        <f>SUM(O8:O21)</f>
        <v>458887</v>
      </c>
      <c r="P22" s="2017">
        <f t="shared" si="4"/>
        <v>0</v>
      </c>
      <c r="Q22" s="2017">
        <f t="shared" si="30"/>
        <v>1721781</v>
      </c>
      <c r="R22" s="265">
        <f>SUM(R8:R19)</f>
        <v>0</v>
      </c>
      <c r="S22" s="265">
        <f>SUM(S8:S21)</f>
        <v>449222</v>
      </c>
      <c r="T22" s="2017">
        <f t="shared" ref="T22:T24" si="51">+P22+R22</f>
        <v>0</v>
      </c>
      <c r="U22" s="2017">
        <f t="shared" si="7"/>
        <v>2171003</v>
      </c>
      <c r="V22" s="265">
        <f>SUM(V8:V19)</f>
        <v>0</v>
      </c>
      <c r="W22" s="265">
        <f>SUM(W8:W21)</f>
        <v>444298</v>
      </c>
      <c r="X22" s="3219"/>
      <c r="Y22" s="2016">
        <f t="shared" si="8"/>
        <v>1352407</v>
      </c>
      <c r="Z22" s="4361">
        <f t="shared" ref="Z22:Z24" si="52">+T22+V22</f>
        <v>0</v>
      </c>
      <c r="AA22" s="4361">
        <f t="shared" si="10"/>
        <v>2615301</v>
      </c>
      <c r="AB22" s="265">
        <f>SUM(AB8:AB19)</f>
        <v>0</v>
      </c>
      <c r="AC22" s="265">
        <f>SUM(AC8:AC21)</f>
        <v>380382</v>
      </c>
      <c r="AD22" s="2017">
        <f t="shared" ref="AD22:AD24" si="53">+Z22+AB22</f>
        <v>0</v>
      </c>
      <c r="AE22" s="2017">
        <f t="shared" si="12"/>
        <v>2995683</v>
      </c>
      <c r="AF22" s="265">
        <f>SUM(AF8:AF19)</f>
        <v>0</v>
      </c>
      <c r="AG22" s="265">
        <f>SUM(AG8:AG21)</f>
        <v>437743</v>
      </c>
      <c r="AH22" s="2017">
        <f t="shared" ref="AH22:AH24" si="54">+AD22+AF22</f>
        <v>0</v>
      </c>
      <c r="AI22" s="2017">
        <f t="shared" si="14"/>
        <v>3433426</v>
      </c>
      <c r="AJ22" s="265">
        <f>SUM(AJ8:AJ19)</f>
        <v>0</v>
      </c>
      <c r="AK22" s="265">
        <f>SUM(AK8:AK21)</f>
        <v>435866</v>
      </c>
      <c r="AL22" s="3219"/>
      <c r="AM22" s="2016">
        <f t="shared" si="15"/>
        <v>1253991</v>
      </c>
      <c r="AN22" s="2017">
        <f t="shared" ref="AN22:AN24" si="55">+AH22+AJ22</f>
        <v>0</v>
      </c>
      <c r="AO22" s="2017">
        <f t="shared" si="17"/>
        <v>3869292</v>
      </c>
      <c r="AP22" s="265">
        <f>SUM(AP8:AP19)</f>
        <v>0</v>
      </c>
      <c r="AQ22" s="265">
        <f>SUM(AQ8:AQ21)</f>
        <v>441400</v>
      </c>
      <c r="AR22" s="2017">
        <f t="shared" ref="AR22:AR24" si="56">+AN22+AP22</f>
        <v>0</v>
      </c>
      <c r="AS22" s="2017">
        <f t="shared" si="19"/>
        <v>4310692</v>
      </c>
      <c r="AT22" s="265">
        <f>SUM(AT8:AT19)</f>
        <v>0</v>
      </c>
      <c r="AU22" s="265">
        <f>SUM(AU8:AU21)</f>
        <v>389711</v>
      </c>
      <c r="AV22" s="2017">
        <f t="shared" si="20"/>
        <v>0</v>
      </c>
      <c r="AW22" s="2017">
        <f t="shared" si="21"/>
        <v>4700403</v>
      </c>
      <c r="AX22" s="265">
        <f>SUM(AX8:AX19)</f>
        <v>0</v>
      </c>
      <c r="AY22" s="265">
        <f>SUM(AY8:AY21)</f>
        <v>467754</v>
      </c>
      <c r="AZ22" s="3219"/>
      <c r="BA22" s="2016">
        <f t="shared" si="22"/>
        <v>1298865</v>
      </c>
      <c r="BB22" s="4361">
        <f t="shared" ref="BB22:BB24" si="57">+AV22+AX22</f>
        <v>0</v>
      </c>
      <c r="BC22" s="4361">
        <f t="shared" si="39"/>
        <v>2552856</v>
      </c>
      <c r="BD22" s="2017">
        <f t="shared" si="25"/>
        <v>0</v>
      </c>
      <c r="BE22" s="2017">
        <f t="shared" si="26"/>
        <v>5168157</v>
      </c>
      <c r="BF22" s="528">
        <f t="shared" si="27"/>
        <v>0</v>
      </c>
      <c r="BG22" s="528"/>
      <c r="BH22"/>
      <c r="BI22">
        <f t="shared" si="28"/>
        <v>0</v>
      </c>
      <c r="BJ22"/>
      <c r="BK22"/>
    </row>
    <row r="23" spans="2:73" ht="18" x14ac:dyDescent="0.3">
      <c r="B23" s="6235"/>
      <c r="C23" s="2029" t="s">
        <v>1537</v>
      </c>
      <c r="D23" s="2024"/>
      <c r="E23" s="265">
        <f>+E46+E47+E48</f>
        <v>8505</v>
      </c>
      <c r="F23" s="2024"/>
      <c r="G23" s="265">
        <f>+G46+G47+G48</f>
        <v>12422</v>
      </c>
      <c r="H23" s="2017">
        <f t="shared" si="1"/>
        <v>0</v>
      </c>
      <c r="I23" s="2100">
        <f t="shared" si="2"/>
        <v>20927</v>
      </c>
      <c r="J23" s="2024"/>
      <c r="K23" s="265">
        <f>+K46+K47+K48</f>
        <v>17423</v>
      </c>
      <c r="L23" s="2016">
        <f t="shared" si="3"/>
        <v>0</v>
      </c>
      <c r="M23" s="2016">
        <f t="shared" si="0"/>
        <v>38350</v>
      </c>
      <c r="N23" s="181"/>
      <c r="O23" s="265">
        <f>+O46+O47+O48</f>
        <v>26940</v>
      </c>
      <c r="P23" s="2017">
        <f t="shared" si="4"/>
        <v>0</v>
      </c>
      <c r="Q23" s="2017">
        <f t="shared" si="30"/>
        <v>65290</v>
      </c>
      <c r="R23" s="181"/>
      <c r="S23" s="265">
        <f>+S46+S47+S48</f>
        <v>20134</v>
      </c>
      <c r="T23" s="2017">
        <f t="shared" si="51"/>
        <v>0</v>
      </c>
      <c r="U23" s="2017">
        <f t="shared" si="7"/>
        <v>85424</v>
      </c>
      <c r="V23" s="181"/>
      <c r="W23" s="265">
        <f>+W46+W47+W48</f>
        <v>25770</v>
      </c>
      <c r="X23" s="3219"/>
      <c r="Y23" s="2016">
        <f t="shared" si="8"/>
        <v>72844</v>
      </c>
      <c r="Z23" s="4361">
        <f t="shared" si="52"/>
        <v>0</v>
      </c>
      <c r="AA23" s="4361">
        <f t="shared" si="10"/>
        <v>111194</v>
      </c>
      <c r="AB23" s="181"/>
      <c r="AC23" s="265">
        <f>+AC46+AC47+AC48</f>
        <v>29022</v>
      </c>
      <c r="AD23" s="2017">
        <f t="shared" si="53"/>
        <v>0</v>
      </c>
      <c r="AE23" s="2017">
        <f t="shared" si="12"/>
        <v>140216</v>
      </c>
      <c r="AF23" s="181"/>
      <c r="AG23" s="265">
        <f>+AG46+AG47+AG48</f>
        <v>25512</v>
      </c>
      <c r="AH23" s="2017">
        <f t="shared" si="54"/>
        <v>0</v>
      </c>
      <c r="AI23" s="2017">
        <f t="shared" si="14"/>
        <v>165728</v>
      </c>
      <c r="AJ23" s="181"/>
      <c r="AK23" s="265">
        <f>+AK46+AK47+AK48</f>
        <v>22853</v>
      </c>
      <c r="AL23" s="3219"/>
      <c r="AM23" s="2016">
        <f t="shared" si="15"/>
        <v>77387</v>
      </c>
      <c r="AN23" s="2017">
        <f t="shared" si="55"/>
        <v>0</v>
      </c>
      <c r="AO23" s="2017">
        <f t="shared" si="17"/>
        <v>188581</v>
      </c>
      <c r="AP23" s="181"/>
      <c r="AQ23" s="265">
        <f>+AQ46+AQ47+AQ48</f>
        <v>24050</v>
      </c>
      <c r="AR23" s="2017">
        <f t="shared" si="56"/>
        <v>0</v>
      </c>
      <c r="AS23" s="2017">
        <f t="shared" si="19"/>
        <v>212631</v>
      </c>
      <c r="AT23" s="181"/>
      <c r="AU23" s="265">
        <f>+AU46+AU47+AU48</f>
        <v>17230</v>
      </c>
      <c r="AV23" s="2017">
        <f t="shared" si="20"/>
        <v>0</v>
      </c>
      <c r="AW23" s="2017">
        <f t="shared" si="21"/>
        <v>229861</v>
      </c>
      <c r="AX23" s="181"/>
      <c r="AY23" s="265">
        <f>+AY46+AY47+AY48</f>
        <v>12584</v>
      </c>
      <c r="AZ23" s="3219"/>
      <c r="BA23" s="2016">
        <f t="shared" si="22"/>
        <v>53864</v>
      </c>
      <c r="BB23" s="4361">
        <f t="shared" si="57"/>
        <v>0</v>
      </c>
      <c r="BC23" s="4361">
        <f t="shared" si="39"/>
        <v>131251</v>
      </c>
      <c r="BD23" s="2017">
        <f t="shared" si="25"/>
        <v>0</v>
      </c>
      <c r="BE23" s="2017">
        <f t="shared" si="26"/>
        <v>242445</v>
      </c>
      <c r="BF23" s="528">
        <f t="shared" si="27"/>
        <v>0</v>
      </c>
      <c r="BG23" s="528"/>
      <c r="BI23">
        <f t="shared" si="28"/>
        <v>0</v>
      </c>
    </row>
    <row r="24" spans="2:73" ht="18" x14ac:dyDescent="0.3">
      <c r="B24" s="6236"/>
      <c r="C24" s="4504" t="s">
        <v>1538</v>
      </c>
      <c r="D24" s="2024"/>
      <c r="E24" s="265">
        <f>SUM(E22:E23)</f>
        <v>408629</v>
      </c>
      <c r="F24" s="2024"/>
      <c r="G24" s="265">
        <f>SUM(G22:G23)</f>
        <v>438434</v>
      </c>
      <c r="H24" s="2017">
        <f t="shared" si="1"/>
        <v>0</v>
      </c>
      <c r="I24" s="2100">
        <f t="shared" si="2"/>
        <v>847063</v>
      </c>
      <c r="J24" s="265">
        <f t="shared" ref="J24:N24" si="58">SUM(J22:J23)</f>
        <v>0</v>
      </c>
      <c r="K24" s="265">
        <f>SUM(K22:K23)</f>
        <v>454181</v>
      </c>
      <c r="L24" s="2016">
        <f t="shared" si="3"/>
        <v>0</v>
      </c>
      <c r="M24" s="2016">
        <f t="shared" si="0"/>
        <v>1301244</v>
      </c>
      <c r="N24" s="265">
        <f t="shared" si="58"/>
        <v>0</v>
      </c>
      <c r="O24" s="265">
        <f>SUM(O22:O23)</f>
        <v>485827</v>
      </c>
      <c r="P24" s="2017">
        <f t="shared" si="4"/>
        <v>0</v>
      </c>
      <c r="Q24" s="2017">
        <f t="shared" si="30"/>
        <v>1787071</v>
      </c>
      <c r="R24" s="265">
        <f t="shared" ref="R24" si="59">SUM(R22:R23)</f>
        <v>0</v>
      </c>
      <c r="S24" s="265">
        <f>SUM(S22:S23)</f>
        <v>469356</v>
      </c>
      <c r="T24" s="2017">
        <f t="shared" si="51"/>
        <v>0</v>
      </c>
      <c r="U24" s="2017">
        <f t="shared" si="7"/>
        <v>2256427</v>
      </c>
      <c r="V24" s="265">
        <f t="shared" ref="V24" si="60">SUM(V22:V23)</f>
        <v>0</v>
      </c>
      <c r="W24" s="265">
        <f>SUM(W22:W23)</f>
        <v>470068</v>
      </c>
      <c r="X24" s="3219"/>
      <c r="Y24" s="2016">
        <f t="shared" si="8"/>
        <v>1425251</v>
      </c>
      <c r="Z24" s="4361">
        <f t="shared" si="52"/>
        <v>0</v>
      </c>
      <c r="AA24" s="4361">
        <f t="shared" si="10"/>
        <v>2726495</v>
      </c>
      <c r="AB24" s="265">
        <f t="shared" ref="AB24" si="61">SUM(AB22:AB23)</f>
        <v>0</v>
      </c>
      <c r="AC24" s="265">
        <f>SUM(AC22:AC23)</f>
        <v>409404</v>
      </c>
      <c r="AD24" s="2017">
        <f t="shared" si="53"/>
        <v>0</v>
      </c>
      <c r="AE24" s="2017">
        <f t="shared" si="12"/>
        <v>3135899</v>
      </c>
      <c r="AF24" s="265">
        <f t="shared" ref="AF24" si="62">SUM(AF22:AF23)</f>
        <v>0</v>
      </c>
      <c r="AG24" s="265">
        <f>SUM(AG22:AG23)</f>
        <v>463255</v>
      </c>
      <c r="AH24" s="2017">
        <f t="shared" si="54"/>
        <v>0</v>
      </c>
      <c r="AI24" s="2017">
        <f t="shared" si="14"/>
        <v>3599154</v>
      </c>
      <c r="AJ24" s="265">
        <f t="shared" ref="AJ24" si="63">SUM(AJ22:AJ23)</f>
        <v>0</v>
      </c>
      <c r="AK24" s="265">
        <f>SUM(AK22:AK23)</f>
        <v>458719</v>
      </c>
      <c r="AL24" s="3219"/>
      <c r="AM24" s="2016">
        <f t="shared" si="15"/>
        <v>1331378</v>
      </c>
      <c r="AN24" s="2017">
        <f t="shared" si="55"/>
        <v>0</v>
      </c>
      <c r="AO24" s="2017">
        <f t="shared" si="17"/>
        <v>4057873</v>
      </c>
      <c r="AP24" s="265">
        <f t="shared" ref="AP24" si="64">SUM(AP22:AP23)</f>
        <v>0</v>
      </c>
      <c r="AQ24" s="265">
        <f>SUM(AQ22:AQ23)</f>
        <v>465450</v>
      </c>
      <c r="AR24" s="2017">
        <f t="shared" si="56"/>
        <v>0</v>
      </c>
      <c r="AS24" s="2017">
        <f t="shared" si="19"/>
        <v>4523323</v>
      </c>
      <c r="AT24" s="265">
        <f t="shared" ref="AT24" si="65">SUM(AT22:AT23)</f>
        <v>0</v>
      </c>
      <c r="AU24" s="265">
        <f>SUM(AU22:AU23)</f>
        <v>406941</v>
      </c>
      <c r="AV24" s="2017">
        <f t="shared" si="20"/>
        <v>0</v>
      </c>
      <c r="AW24" s="2017">
        <f t="shared" si="21"/>
        <v>4930264</v>
      </c>
      <c r="AX24" s="265">
        <f t="shared" ref="AX24" si="66">SUM(AX22:AX23)</f>
        <v>0</v>
      </c>
      <c r="AY24" s="265">
        <f>SUM(AY22:AY23)</f>
        <v>480338</v>
      </c>
      <c r="AZ24" s="3219"/>
      <c r="BA24" s="2016">
        <f t="shared" si="22"/>
        <v>1352729</v>
      </c>
      <c r="BB24" s="4361">
        <f t="shared" si="57"/>
        <v>0</v>
      </c>
      <c r="BC24" s="4361">
        <f t="shared" si="39"/>
        <v>2684107</v>
      </c>
      <c r="BD24" s="2017">
        <f t="shared" si="25"/>
        <v>0</v>
      </c>
      <c r="BE24" s="2017">
        <f t="shared" si="26"/>
        <v>5410602</v>
      </c>
      <c r="BF24" s="528">
        <f t="shared" si="27"/>
        <v>0</v>
      </c>
      <c r="BG24" s="528"/>
      <c r="BI24">
        <f t="shared" si="28"/>
        <v>0</v>
      </c>
    </row>
    <row r="25" spans="2:73" ht="18" x14ac:dyDescent="0.35">
      <c r="B25" s="2042"/>
      <c r="C25" s="2030"/>
      <c r="D25" s="940"/>
      <c r="E25" s="2177"/>
      <c r="F25" s="2177"/>
      <c r="G25" s="2177"/>
      <c r="H25" s="2177"/>
      <c r="I25" s="2177"/>
      <c r="J25" s="2177"/>
      <c r="K25" s="2177"/>
      <c r="L25" s="2177"/>
      <c r="M25" s="2177"/>
      <c r="N25" s="2177"/>
      <c r="O25" s="2177"/>
      <c r="P25" s="2177"/>
      <c r="Q25" s="2177"/>
      <c r="R25" s="2177"/>
      <c r="S25" s="2177"/>
      <c r="T25" s="2177"/>
      <c r="U25" s="2177"/>
      <c r="V25" s="2177"/>
      <c r="W25" s="2177"/>
      <c r="X25" s="3882"/>
      <c r="Y25" s="398"/>
      <c r="Z25" s="2177"/>
      <c r="AA25" s="2177"/>
      <c r="AB25" s="2177"/>
      <c r="AC25" s="2177"/>
      <c r="AD25" s="2177"/>
      <c r="AE25" s="2177"/>
      <c r="AF25" s="2177"/>
      <c r="AG25" s="2177"/>
      <c r="AH25" s="2177"/>
      <c r="AI25" s="2177"/>
      <c r="AJ25" s="2177"/>
      <c r="AK25" s="2177"/>
      <c r="AL25" s="3882"/>
      <c r="AM25" s="398"/>
      <c r="AN25" s="2177"/>
      <c r="AO25" s="2177"/>
      <c r="AP25" s="2177"/>
      <c r="AQ25" s="2177"/>
      <c r="AR25" s="2177"/>
      <c r="AS25" s="2177"/>
      <c r="AT25" s="2177"/>
      <c r="AU25" s="2177"/>
      <c r="AV25" s="2177"/>
      <c r="AW25" s="2177"/>
      <c r="AX25" s="2177"/>
      <c r="AY25" s="2177"/>
      <c r="AZ25" s="3882"/>
      <c r="BA25" s="398"/>
      <c r="BB25" s="2177"/>
      <c r="BC25" s="2177"/>
      <c r="BD25" s="2177"/>
      <c r="BE25" s="2177"/>
      <c r="BF25" s="528">
        <f t="shared" si="27"/>
        <v>0</v>
      </c>
      <c r="BG25" s="528"/>
      <c r="BI25">
        <f t="shared" si="28"/>
        <v>0</v>
      </c>
    </row>
    <row r="26" spans="2:73" ht="18" x14ac:dyDescent="0.35">
      <c r="B26" s="2379"/>
      <c r="C26" s="2030"/>
      <c r="D26" s="940"/>
      <c r="E26" s="2177"/>
      <c r="F26" s="2177"/>
      <c r="G26" s="2177"/>
      <c r="H26" s="2177"/>
      <c r="I26" s="2177"/>
      <c r="J26" s="2177"/>
      <c r="K26" s="2177"/>
      <c r="L26" s="2177"/>
      <c r="M26" s="2177"/>
      <c r="N26" s="2177"/>
      <c r="O26" s="2177"/>
      <c r="P26" s="2177"/>
      <c r="Q26" s="2177"/>
      <c r="R26" s="2177"/>
      <c r="S26" s="2177"/>
      <c r="T26" s="2177"/>
      <c r="U26" s="2177"/>
      <c r="V26" s="2177"/>
      <c r="W26" s="2177"/>
      <c r="X26" s="3882"/>
      <c r="Y26" s="398"/>
      <c r="Z26" s="2177"/>
      <c r="AA26" s="2177"/>
      <c r="AB26" s="2177"/>
      <c r="AC26" s="2177"/>
      <c r="AD26" s="2177"/>
      <c r="AE26" s="2177"/>
      <c r="AF26" s="2177"/>
      <c r="AG26" s="2177"/>
      <c r="AH26" s="2177"/>
      <c r="AI26" s="2177"/>
      <c r="AJ26" s="2177"/>
      <c r="AK26" s="2177"/>
      <c r="AL26" s="3882"/>
      <c r="AM26" s="398"/>
      <c r="AN26" s="2177"/>
      <c r="AO26" s="2177"/>
      <c r="AP26" s="2177"/>
      <c r="AQ26" s="2177"/>
      <c r="AR26" s="2177"/>
      <c r="AS26" s="2177"/>
      <c r="AT26" s="2177"/>
      <c r="AU26" s="2177"/>
      <c r="AV26" s="2177"/>
      <c r="AW26" s="2177"/>
      <c r="AX26" s="2177"/>
      <c r="AY26" s="2177"/>
      <c r="AZ26" s="3882"/>
      <c r="BA26" s="398"/>
      <c r="BB26" s="2177"/>
      <c r="BC26" s="2177"/>
      <c r="BD26" s="2177"/>
      <c r="BE26" s="2177"/>
      <c r="BF26" s="528">
        <f t="shared" si="27"/>
        <v>0</v>
      </c>
      <c r="BG26" s="528"/>
      <c r="BI26">
        <f t="shared" si="28"/>
        <v>0</v>
      </c>
    </row>
    <row r="27" spans="2:73" ht="18" x14ac:dyDescent="0.35">
      <c r="B27" s="6237" t="s">
        <v>1539</v>
      </c>
      <c r="C27" s="2031" t="s">
        <v>1540</v>
      </c>
      <c r="D27" s="2025"/>
      <c r="E27" s="2177"/>
      <c r="F27" s="2177"/>
      <c r="G27" s="2177"/>
      <c r="H27" s="2177"/>
      <c r="I27" s="2177"/>
      <c r="J27" s="2177"/>
      <c r="K27" s="2177"/>
      <c r="L27" s="2177"/>
      <c r="M27" s="2177"/>
      <c r="N27" s="2177"/>
      <c r="O27" s="2177"/>
      <c r="P27" s="2177"/>
      <c r="Q27" s="2177"/>
      <c r="R27" s="2177"/>
      <c r="S27" s="2177"/>
      <c r="T27" s="2177"/>
      <c r="U27" s="2177"/>
      <c r="V27" s="2177"/>
      <c r="W27" s="2177"/>
      <c r="X27" s="3882"/>
      <c r="Y27" s="398"/>
      <c r="Z27" s="2177"/>
      <c r="AA27" s="2177"/>
      <c r="AB27" s="2177"/>
      <c r="AC27" s="2177"/>
      <c r="AD27" s="2177"/>
      <c r="AE27" s="2177"/>
      <c r="AF27" s="2177"/>
      <c r="AG27" s="2177"/>
      <c r="AH27" s="2177"/>
      <c r="AI27" s="2177"/>
      <c r="AJ27" s="2177"/>
      <c r="AK27" s="2177"/>
      <c r="AL27" s="3882"/>
      <c r="AM27" s="398"/>
      <c r="AN27" s="2177"/>
      <c r="AO27" s="2177"/>
      <c r="AP27" s="2177"/>
      <c r="AQ27" s="2177"/>
      <c r="AR27" s="2177"/>
      <c r="AS27" s="2177"/>
      <c r="AT27" s="2177"/>
      <c r="AU27" s="2177"/>
      <c r="AV27" s="2177"/>
      <c r="AW27" s="2177"/>
      <c r="AX27" s="2177"/>
      <c r="AY27" s="2177"/>
      <c r="AZ27" s="3882"/>
      <c r="BA27" s="398"/>
      <c r="BB27" s="2177"/>
      <c r="BC27" s="2177"/>
      <c r="BD27" s="2177"/>
      <c r="BE27" s="2177"/>
      <c r="BF27" s="528">
        <f t="shared" si="27"/>
        <v>0</v>
      </c>
      <c r="BG27" s="528"/>
      <c r="BI27">
        <f t="shared" si="28"/>
        <v>0</v>
      </c>
    </row>
    <row r="28" spans="2:73" s="146" customFormat="1" ht="18" x14ac:dyDescent="0.3">
      <c r="B28" s="6238"/>
      <c r="C28" s="2027" t="s">
        <v>999</v>
      </c>
      <c r="D28" s="1678"/>
      <c r="E28" s="2015">
        <v>60954</v>
      </c>
      <c r="F28" s="2015"/>
      <c r="G28" s="2015">
        <v>66242</v>
      </c>
      <c r="H28" s="2017">
        <f t="shared" si="1"/>
        <v>0</v>
      </c>
      <c r="I28" s="2100">
        <f t="shared" si="2"/>
        <v>127196</v>
      </c>
      <c r="J28" s="2015"/>
      <c r="K28" s="2015">
        <v>70756</v>
      </c>
      <c r="L28" s="2016">
        <f t="shared" si="3"/>
        <v>0</v>
      </c>
      <c r="M28" s="2016">
        <f>E28+G28+K28</f>
        <v>197952</v>
      </c>
      <c r="N28" s="269"/>
      <c r="O28" s="2015">
        <v>77478</v>
      </c>
      <c r="P28" s="2017">
        <f t="shared" si="4"/>
        <v>0</v>
      </c>
      <c r="Q28" s="2017">
        <f t="shared" si="30"/>
        <v>275430</v>
      </c>
      <c r="R28" s="269"/>
      <c r="S28" s="2015">
        <v>74857</v>
      </c>
      <c r="T28" s="2017">
        <f t="shared" ref="T28:T31" si="67">+P28+R28</f>
        <v>0</v>
      </c>
      <c r="U28" s="2017">
        <f t="shared" ref="U28:U31" si="68">+Q28+S28</f>
        <v>350287</v>
      </c>
      <c r="V28" s="269"/>
      <c r="W28" s="2015">
        <v>77679</v>
      </c>
      <c r="X28" s="3777"/>
      <c r="Y28" s="2016">
        <f t="shared" si="8"/>
        <v>230014</v>
      </c>
      <c r="Z28" s="4361">
        <f t="shared" ref="Z28:Z31" si="69">+T28+V28</f>
        <v>0</v>
      </c>
      <c r="AA28" s="4361">
        <f t="shared" ref="AA28:AA31" si="70">+U28+W28</f>
        <v>427966</v>
      </c>
      <c r="AB28" s="269"/>
      <c r="AC28" s="2015">
        <v>62985</v>
      </c>
      <c r="AD28" s="2017">
        <f t="shared" ref="AD28:AD31" si="71">+Z28+AB28</f>
        <v>0</v>
      </c>
      <c r="AE28" s="2017">
        <f t="shared" ref="AE28:AE31" si="72">+AA28+AC28</f>
        <v>490951</v>
      </c>
      <c r="AF28" s="269"/>
      <c r="AG28" s="2015">
        <v>71795</v>
      </c>
      <c r="AH28" s="2017">
        <f t="shared" ref="AH28:AH31" si="73">+AD28+AF28</f>
        <v>0</v>
      </c>
      <c r="AI28" s="2017">
        <f t="shared" ref="AI28:AI31" si="74">+AE28+AG28</f>
        <v>562746</v>
      </c>
      <c r="AJ28" s="269"/>
      <c r="AK28" s="2015">
        <v>70956</v>
      </c>
      <c r="AL28" s="3777"/>
      <c r="AM28" s="2016">
        <f t="shared" si="15"/>
        <v>205736</v>
      </c>
      <c r="AN28" s="2017">
        <f t="shared" ref="AN28:AN31" si="75">+AH28+AJ28</f>
        <v>0</v>
      </c>
      <c r="AO28" s="2017">
        <f t="shared" ref="AO28:AO31" si="76">+AI28+AK28</f>
        <v>633702</v>
      </c>
      <c r="AP28" s="269"/>
      <c r="AQ28" s="2015">
        <v>76157</v>
      </c>
      <c r="AR28" s="2017">
        <f t="shared" ref="AR28:AR31" si="77">+AN28+AP28</f>
        <v>0</v>
      </c>
      <c r="AS28" s="2017">
        <f t="shared" ref="AS28:AS31" si="78">+AO28+AQ28</f>
        <v>709859</v>
      </c>
      <c r="AT28" s="269"/>
      <c r="AU28" s="2015">
        <v>64445</v>
      </c>
      <c r="AV28" s="2017">
        <f t="shared" ref="AV28:AV31" si="79">+AR28+AT28</f>
        <v>0</v>
      </c>
      <c r="AW28" s="2017">
        <f t="shared" ref="AW28:AW31" si="80">+AS28+AU28</f>
        <v>774304</v>
      </c>
      <c r="AX28" s="269"/>
      <c r="AY28" s="2015">
        <v>81524</v>
      </c>
      <c r="AZ28" s="3777"/>
      <c r="BA28" s="2016">
        <f t="shared" si="22"/>
        <v>222126</v>
      </c>
      <c r="BB28" s="4361">
        <f t="shared" ref="BB28:BB31" si="81">+AV28+AX28</f>
        <v>0</v>
      </c>
      <c r="BC28" s="4361">
        <f t="shared" ref="BC28:BC31" si="82">AM28+BA28</f>
        <v>427862</v>
      </c>
      <c r="BD28" s="2017">
        <f t="shared" ref="BD28:BD31" si="83">+AV28+AX28</f>
        <v>0</v>
      </c>
      <c r="BE28" s="2017">
        <f t="shared" ref="BE28:BE31" si="84">+AW28+AY28</f>
        <v>855828</v>
      </c>
      <c r="BF28" s="528">
        <f t="shared" si="27"/>
        <v>0</v>
      </c>
      <c r="BG28" s="528"/>
      <c r="BH28"/>
      <c r="BI28">
        <f t="shared" si="28"/>
        <v>0</v>
      </c>
      <c r="BJ28"/>
      <c r="BK28"/>
    </row>
    <row r="29" spans="2:73" s="146" customFormat="1" ht="18" x14ac:dyDescent="0.3">
      <c r="B29" s="6238"/>
      <c r="C29" s="2027" t="s">
        <v>1000</v>
      </c>
      <c r="D29" s="1678"/>
      <c r="E29" s="2015">
        <v>10598</v>
      </c>
      <c r="F29" s="1678"/>
      <c r="G29" s="2015">
        <v>12006</v>
      </c>
      <c r="H29" s="2017">
        <f t="shared" si="1"/>
        <v>0</v>
      </c>
      <c r="I29" s="2100">
        <f t="shared" si="2"/>
        <v>22604</v>
      </c>
      <c r="J29" s="1678"/>
      <c r="K29" s="2015">
        <v>12596</v>
      </c>
      <c r="L29" s="2016">
        <f t="shared" si="3"/>
        <v>0</v>
      </c>
      <c r="M29" s="2533">
        <f>E29+G29+K29</f>
        <v>35200</v>
      </c>
      <c r="N29" s="181"/>
      <c r="O29" s="2015">
        <v>13988</v>
      </c>
      <c r="P29" s="2017">
        <f t="shared" si="4"/>
        <v>0</v>
      </c>
      <c r="Q29" s="2100">
        <f t="shared" si="30"/>
        <v>49188</v>
      </c>
      <c r="R29" s="181"/>
      <c r="S29" s="2015">
        <v>13411</v>
      </c>
      <c r="T29" s="2017">
        <f t="shared" si="67"/>
        <v>0</v>
      </c>
      <c r="U29" s="2100">
        <f t="shared" si="68"/>
        <v>62599</v>
      </c>
      <c r="V29" s="181"/>
      <c r="W29" s="2015">
        <v>13601</v>
      </c>
      <c r="X29" s="2686"/>
      <c r="Y29" s="2533">
        <f t="shared" si="8"/>
        <v>41000</v>
      </c>
      <c r="Z29" s="4361">
        <f t="shared" si="69"/>
        <v>0</v>
      </c>
      <c r="AA29" s="492">
        <f t="shared" si="70"/>
        <v>76200</v>
      </c>
      <c r="AB29" s="181"/>
      <c r="AC29" s="2015">
        <v>12900</v>
      </c>
      <c r="AD29" s="2017">
        <f t="shared" si="71"/>
        <v>0</v>
      </c>
      <c r="AE29" s="2100">
        <f t="shared" si="72"/>
        <v>89100</v>
      </c>
      <c r="AF29" s="181"/>
      <c r="AG29" s="2015">
        <v>12150</v>
      </c>
      <c r="AH29" s="2017">
        <f t="shared" si="73"/>
        <v>0</v>
      </c>
      <c r="AI29" s="2100">
        <f t="shared" si="74"/>
        <v>101250</v>
      </c>
      <c r="AJ29" s="181"/>
      <c r="AK29" s="2015">
        <v>11448</v>
      </c>
      <c r="AL29" s="2686"/>
      <c r="AM29" s="2533">
        <f t="shared" si="15"/>
        <v>36498</v>
      </c>
      <c r="AN29" s="2017">
        <f t="shared" si="75"/>
        <v>0</v>
      </c>
      <c r="AO29" s="2100">
        <f t="shared" si="76"/>
        <v>112698</v>
      </c>
      <c r="AP29" s="181"/>
      <c r="AQ29" s="2015">
        <v>10123</v>
      </c>
      <c r="AR29" s="2017">
        <f t="shared" si="77"/>
        <v>0</v>
      </c>
      <c r="AS29" s="2100">
        <f t="shared" si="78"/>
        <v>122821</v>
      </c>
      <c r="AT29" s="181"/>
      <c r="AU29" s="2015">
        <v>12986</v>
      </c>
      <c r="AV29" s="2017">
        <f t="shared" si="79"/>
        <v>0</v>
      </c>
      <c r="AW29" s="2100">
        <f t="shared" si="80"/>
        <v>135807</v>
      </c>
      <c r="AX29" s="181"/>
      <c r="AY29" s="2015">
        <v>12288</v>
      </c>
      <c r="AZ29" s="2686"/>
      <c r="BA29" s="2533">
        <f t="shared" si="22"/>
        <v>35397</v>
      </c>
      <c r="BB29" s="4361">
        <f t="shared" si="81"/>
        <v>0</v>
      </c>
      <c r="BC29" s="492">
        <f t="shared" si="82"/>
        <v>71895</v>
      </c>
      <c r="BD29" s="2017">
        <f t="shared" si="83"/>
        <v>0</v>
      </c>
      <c r="BE29" s="2100">
        <f t="shared" si="84"/>
        <v>148095</v>
      </c>
      <c r="BF29" s="528">
        <f t="shared" si="27"/>
        <v>0</v>
      </c>
      <c r="BG29" s="528"/>
      <c r="BH29"/>
      <c r="BI29">
        <f t="shared" si="28"/>
        <v>0</v>
      </c>
      <c r="BJ29"/>
      <c r="BK29"/>
      <c r="BL29"/>
      <c r="BM29"/>
      <c r="BN29"/>
      <c r="BO29"/>
      <c r="BP29"/>
      <c r="BQ29"/>
      <c r="BR29"/>
      <c r="BS29"/>
      <c r="BT29"/>
      <c r="BU29"/>
    </row>
    <row r="30" spans="2:73" ht="18" x14ac:dyDescent="0.3">
      <c r="B30" s="6238"/>
      <c r="C30" s="2027" t="s">
        <v>1001</v>
      </c>
      <c r="D30" s="1678"/>
      <c r="E30" s="2015">
        <v>3716</v>
      </c>
      <c r="F30" s="1678"/>
      <c r="G30" s="2015">
        <v>6799</v>
      </c>
      <c r="H30" s="2017">
        <f t="shared" si="1"/>
        <v>0</v>
      </c>
      <c r="I30" s="2100">
        <f t="shared" si="2"/>
        <v>10515</v>
      </c>
      <c r="J30" s="1678"/>
      <c r="K30" s="2015">
        <v>8611</v>
      </c>
      <c r="L30" s="2016">
        <f t="shared" si="3"/>
        <v>0</v>
      </c>
      <c r="M30" s="2016">
        <f>E30+G30+K30</f>
        <v>19126</v>
      </c>
      <c r="N30" s="181"/>
      <c r="O30" s="2015">
        <v>7621</v>
      </c>
      <c r="P30" s="2017">
        <f t="shared" si="4"/>
        <v>0</v>
      </c>
      <c r="Q30" s="2017">
        <f t="shared" si="30"/>
        <v>26747</v>
      </c>
      <c r="R30" s="181"/>
      <c r="S30" s="2015">
        <v>7950</v>
      </c>
      <c r="T30" s="2017">
        <f t="shared" si="67"/>
        <v>0</v>
      </c>
      <c r="U30" s="2017">
        <f t="shared" si="68"/>
        <v>34697</v>
      </c>
      <c r="V30" s="181"/>
      <c r="W30" s="2015">
        <v>5111</v>
      </c>
      <c r="X30" s="3777"/>
      <c r="Y30" s="2016">
        <f t="shared" si="8"/>
        <v>20682</v>
      </c>
      <c r="Z30" s="4361">
        <f t="shared" si="69"/>
        <v>0</v>
      </c>
      <c r="AA30" s="4361">
        <f t="shared" si="70"/>
        <v>39808</v>
      </c>
      <c r="AB30" s="181"/>
      <c r="AC30" s="2015">
        <v>6124</v>
      </c>
      <c r="AD30" s="2017">
        <f t="shared" si="71"/>
        <v>0</v>
      </c>
      <c r="AE30" s="2017">
        <f t="shared" si="72"/>
        <v>45932</v>
      </c>
      <c r="AF30" s="181"/>
      <c r="AG30" s="2015">
        <v>10121</v>
      </c>
      <c r="AH30" s="2017">
        <f t="shared" si="73"/>
        <v>0</v>
      </c>
      <c r="AI30" s="2017">
        <f t="shared" si="74"/>
        <v>56053</v>
      </c>
      <c r="AJ30" s="181"/>
      <c r="AK30" s="2015">
        <v>13032</v>
      </c>
      <c r="AL30" s="3777"/>
      <c r="AM30" s="2016">
        <f t="shared" si="15"/>
        <v>29277</v>
      </c>
      <c r="AN30" s="2017">
        <f t="shared" si="75"/>
        <v>0</v>
      </c>
      <c r="AO30" s="2017">
        <f t="shared" si="76"/>
        <v>69085</v>
      </c>
      <c r="AP30" s="181"/>
      <c r="AQ30" s="2015">
        <v>14778</v>
      </c>
      <c r="AR30" s="2017">
        <f t="shared" si="77"/>
        <v>0</v>
      </c>
      <c r="AS30" s="2017">
        <f t="shared" si="78"/>
        <v>83863</v>
      </c>
      <c r="AT30" s="181"/>
      <c r="AU30" s="2015">
        <v>9877</v>
      </c>
      <c r="AV30" s="2017">
        <f t="shared" si="79"/>
        <v>0</v>
      </c>
      <c r="AW30" s="2017">
        <f t="shared" si="80"/>
        <v>93740</v>
      </c>
      <c r="AX30" s="181"/>
      <c r="AY30" s="2015">
        <v>9345</v>
      </c>
      <c r="AZ30" s="3777"/>
      <c r="BA30" s="2016">
        <f t="shared" si="22"/>
        <v>34000</v>
      </c>
      <c r="BB30" s="4361">
        <f t="shared" si="81"/>
        <v>0</v>
      </c>
      <c r="BC30" s="4361">
        <f t="shared" si="82"/>
        <v>63277</v>
      </c>
      <c r="BD30" s="2017">
        <f t="shared" si="83"/>
        <v>0</v>
      </c>
      <c r="BE30" s="2017">
        <f t="shared" si="84"/>
        <v>103085</v>
      </c>
      <c r="BF30" s="528">
        <f t="shared" si="27"/>
        <v>0</v>
      </c>
      <c r="BG30" s="528"/>
      <c r="BI30">
        <f t="shared" si="28"/>
        <v>0</v>
      </c>
    </row>
    <row r="31" spans="2:73" ht="18" x14ac:dyDescent="0.3">
      <c r="B31" s="6238"/>
      <c r="C31" s="2027" t="s">
        <v>1293</v>
      </c>
      <c r="D31" s="1678"/>
      <c r="E31" s="2015">
        <v>621</v>
      </c>
      <c r="F31" s="1678"/>
      <c r="G31" s="2015">
        <v>1293</v>
      </c>
      <c r="H31" s="2017">
        <f t="shared" si="1"/>
        <v>0</v>
      </c>
      <c r="I31" s="2100">
        <f t="shared" si="2"/>
        <v>1914</v>
      </c>
      <c r="J31" s="1678"/>
      <c r="K31" s="2015">
        <v>901</v>
      </c>
      <c r="L31" s="2016">
        <f t="shared" si="3"/>
        <v>0</v>
      </c>
      <c r="M31" s="2016">
        <f>E31+G31+K31</f>
        <v>2815</v>
      </c>
      <c r="N31" s="181"/>
      <c r="O31" s="2015">
        <v>855</v>
      </c>
      <c r="P31" s="2017">
        <f t="shared" si="4"/>
        <v>0</v>
      </c>
      <c r="Q31" s="2017">
        <f t="shared" si="30"/>
        <v>3670</v>
      </c>
      <c r="R31" s="181"/>
      <c r="S31" s="2015">
        <v>912</v>
      </c>
      <c r="T31" s="2017">
        <f t="shared" si="67"/>
        <v>0</v>
      </c>
      <c r="U31" s="2017">
        <f t="shared" si="68"/>
        <v>4582</v>
      </c>
      <c r="V31" s="181"/>
      <c r="W31" s="2015">
        <v>798</v>
      </c>
      <c r="X31" s="3777"/>
      <c r="Y31" s="2016">
        <f t="shared" si="8"/>
        <v>2565</v>
      </c>
      <c r="Z31" s="4361">
        <f t="shared" si="69"/>
        <v>0</v>
      </c>
      <c r="AA31" s="4361">
        <f t="shared" si="70"/>
        <v>5380</v>
      </c>
      <c r="AB31" s="181"/>
      <c r="AC31" s="2015">
        <v>998</v>
      </c>
      <c r="AD31" s="2017">
        <f t="shared" si="71"/>
        <v>0</v>
      </c>
      <c r="AE31" s="2017">
        <f t="shared" si="72"/>
        <v>6378</v>
      </c>
      <c r="AF31" s="181"/>
      <c r="AG31" s="2015">
        <v>1097</v>
      </c>
      <c r="AH31" s="2017">
        <f t="shared" si="73"/>
        <v>0</v>
      </c>
      <c r="AI31" s="2017">
        <f t="shared" si="74"/>
        <v>7475</v>
      </c>
      <c r="AJ31" s="181"/>
      <c r="AK31" s="2015">
        <v>1269</v>
      </c>
      <c r="AL31" s="3777"/>
      <c r="AM31" s="2016">
        <f t="shared" si="15"/>
        <v>3364</v>
      </c>
      <c r="AN31" s="2017">
        <f t="shared" si="75"/>
        <v>0</v>
      </c>
      <c r="AO31" s="2017">
        <f t="shared" si="76"/>
        <v>8744</v>
      </c>
      <c r="AP31" s="181"/>
      <c r="AQ31" s="2015">
        <v>988</v>
      </c>
      <c r="AR31" s="2017">
        <f t="shared" si="77"/>
        <v>0</v>
      </c>
      <c r="AS31" s="2017">
        <f t="shared" si="78"/>
        <v>9732</v>
      </c>
      <c r="AT31" s="181"/>
      <c r="AU31" s="2015">
        <v>655</v>
      </c>
      <c r="AV31" s="2017">
        <f t="shared" si="79"/>
        <v>0</v>
      </c>
      <c r="AW31" s="2017">
        <f t="shared" si="80"/>
        <v>10387</v>
      </c>
      <c r="AX31" s="181"/>
      <c r="AY31" s="2015">
        <v>925</v>
      </c>
      <c r="AZ31" s="3777"/>
      <c r="BA31" s="2016">
        <f t="shared" si="22"/>
        <v>2568</v>
      </c>
      <c r="BB31" s="4361">
        <f t="shared" si="81"/>
        <v>0</v>
      </c>
      <c r="BC31" s="4361">
        <f t="shared" si="82"/>
        <v>5932</v>
      </c>
      <c r="BD31" s="2017">
        <f t="shared" si="83"/>
        <v>0</v>
      </c>
      <c r="BE31" s="2017">
        <f t="shared" si="84"/>
        <v>11312</v>
      </c>
      <c r="BF31" s="528">
        <f t="shared" si="27"/>
        <v>0</v>
      </c>
      <c r="BG31" s="528"/>
      <c r="BI31">
        <f t="shared" si="28"/>
        <v>0</v>
      </c>
    </row>
    <row r="32" spans="2:73" ht="18" x14ac:dyDescent="0.3">
      <c r="B32" s="6238"/>
      <c r="C32" s="2027"/>
      <c r="D32" s="1678"/>
      <c r="E32" s="1206"/>
      <c r="F32" s="1206"/>
      <c r="G32" s="1206"/>
      <c r="H32" s="398"/>
      <c r="I32" s="3398"/>
      <c r="J32" s="1206"/>
      <c r="K32" s="1206"/>
      <c r="L32" s="398"/>
      <c r="M32" s="398"/>
      <c r="N32" s="436"/>
      <c r="O32" s="1206"/>
      <c r="P32" s="398"/>
      <c r="Q32" s="398"/>
      <c r="R32" s="436"/>
      <c r="S32" s="1206"/>
      <c r="T32" s="398"/>
      <c r="U32" s="398"/>
      <c r="V32" s="436"/>
      <c r="W32" s="1206"/>
      <c r="X32" s="2685"/>
      <c r="Y32" s="398"/>
      <c r="Z32" s="398"/>
      <c r="AA32" s="398"/>
      <c r="AB32" s="436"/>
      <c r="AC32" s="1206"/>
      <c r="AD32" s="398"/>
      <c r="AE32" s="398"/>
      <c r="AF32" s="436"/>
      <c r="AG32" s="1206"/>
      <c r="AH32" s="398"/>
      <c r="AI32" s="398"/>
      <c r="AJ32" s="436"/>
      <c r="AK32" s="1206"/>
      <c r="AL32" s="2685"/>
      <c r="AM32" s="398"/>
      <c r="AN32" s="398"/>
      <c r="AO32" s="398"/>
      <c r="AP32" s="436"/>
      <c r="AQ32" s="1206"/>
      <c r="AR32" s="398"/>
      <c r="AS32" s="398"/>
      <c r="AT32" s="436"/>
      <c r="AU32" s="1206"/>
      <c r="AV32" s="398"/>
      <c r="AW32" s="398"/>
      <c r="AX32" s="436"/>
      <c r="AY32" s="1206"/>
      <c r="AZ32" s="2685"/>
      <c r="BA32" s="398"/>
      <c r="BB32" s="398"/>
      <c r="BC32" s="398"/>
      <c r="BD32" s="398"/>
      <c r="BE32" s="398"/>
      <c r="BF32" s="528">
        <f t="shared" si="27"/>
        <v>0</v>
      </c>
      <c r="BG32" s="528"/>
      <c r="BI32">
        <f t="shared" si="28"/>
        <v>0</v>
      </c>
    </row>
    <row r="33" spans="2:73" ht="18" x14ac:dyDescent="0.3">
      <c r="B33" s="6238"/>
      <c r="C33" s="2031" t="s">
        <v>1541</v>
      </c>
      <c r="D33" s="2025"/>
      <c r="E33" s="2569"/>
      <c r="F33" s="2025"/>
      <c r="G33" s="2569"/>
      <c r="H33" s="398"/>
      <c r="I33" s="3398"/>
      <c r="J33" s="2025"/>
      <c r="K33" s="2569"/>
      <c r="L33" s="398"/>
      <c r="M33" s="3398"/>
      <c r="N33" s="436"/>
      <c r="O33" s="2569"/>
      <c r="P33" s="398"/>
      <c r="Q33" s="398"/>
      <c r="R33" s="436"/>
      <c r="S33" s="2569"/>
      <c r="T33" s="398"/>
      <c r="U33" s="398"/>
      <c r="V33" s="436"/>
      <c r="W33" s="2569"/>
      <c r="X33" s="3883"/>
      <c r="Y33" s="398"/>
      <c r="Z33" s="398"/>
      <c r="AA33" s="398"/>
      <c r="AB33" s="436"/>
      <c r="AC33" s="2569"/>
      <c r="AD33" s="398"/>
      <c r="AE33" s="398"/>
      <c r="AF33" s="436"/>
      <c r="AG33" s="2569"/>
      <c r="AH33" s="398"/>
      <c r="AI33" s="398"/>
      <c r="AJ33" s="436"/>
      <c r="AK33" s="2569"/>
      <c r="AL33" s="3883"/>
      <c r="AM33" s="398"/>
      <c r="AN33" s="398"/>
      <c r="AO33" s="398"/>
      <c r="AP33" s="436"/>
      <c r="AQ33" s="2569"/>
      <c r="AR33" s="398"/>
      <c r="AS33" s="398"/>
      <c r="AT33" s="436"/>
      <c r="AU33" s="2569"/>
      <c r="AV33" s="398"/>
      <c r="AW33" s="398"/>
      <c r="AX33" s="436"/>
      <c r="AY33" s="2569"/>
      <c r="AZ33" s="3883"/>
      <c r="BA33" s="398"/>
      <c r="BB33" s="398"/>
      <c r="BC33" s="398"/>
      <c r="BD33" s="398"/>
      <c r="BE33" s="398"/>
      <c r="BF33" s="528">
        <f t="shared" si="27"/>
        <v>0</v>
      </c>
      <c r="BG33" s="528"/>
      <c r="BI33">
        <f t="shared" si="28"/>
        <v>0</v>
      </c>
    </row>
    <row r="34" spans="2:73" s="146" customFormat="1" ht="18" x14ac:dyDescent="0.3">
      <c r="B34" s="6238"/>
      <c r="C34" s="2027" t="s">
        <v>1542</v>
      </c>
      <c r="D34" s="1678"/>
      <c r="E34" s="3864">
        <f>+'COKE OVENS'!F48+'COKE OVENS'!F51</f>
        <v>6478.2927327688158</v>
      </c>
      <c r="F34" s="2037"/>
      <c r="G34" s="3864">
        <f>+'COKE OVENS'!H48+'COKE OVENS'!H51</f>
        <v>6735.5400028709173</v>
      </c>
      <c r="H34" s="2017">
        <f t="shared" si="1"/>
        <v>0</v>
      </c>
      <c r="I34" s="2100">
        <f t="shared" si="2"/>
        <v>13213.832735639733</v>
      </c>
      <c r="J34" s="2037"/>
      <c r="K34" s="3864">
        <f>+'COKE OVENS'!L48+'COKE OVENS'!L51</f>
        <v>6513.6344050280668</v>
      </c>
      <c r="L34" s="2016">
        <f t="shared" si="3"/>
        <v>0</v>
      </c>
      <c r="M34" s="2533">
        <f>E34+G34+K34</f>
        <v>19727.467140667799</v>
      </c>
      <c r="N34" s="2038"/>
      <c r="O34" s="3864">
        <f>+'COKE OVENS'!P48+'COKE OVENS'!P51</f>
        <v>6741.9473322326739</v>
      </c>
      <c r="P34" s="2017">
        <f t="shared" si="4"/>
        <v>0</v>
      </c>
      <c r="Q34" s="2100">
        <f t="shared" si="30"/>
        <v>26469.414472900473</v>
      </c>
      <c r="R34" s="2038"/>
      <c r="S34" s="3864">
        <f>+'COKE OVENS'!T48+'COKE OVENS'!T51</f>
        <v>6788.1643964847417</v>
      </c>
      <c r="T34" s="2017">
        <f t="shared" ref="T34" si="85">+P34+R34</f>
        <v>0</v>
      </c>
      <c r="U34" s="2100">
        <f t="shared" ref="U34" si="86">+Q34+S34</f>
        <v>33257.578869385216</v>
      </c>
      <c r="V34" s="2038"/>
      <c r="W34" s="3864">
        <f>+'COKE OVENS'!X48+'COKE OVENS'!X51</f>
        <v>7070.4688473453516</v>
      </c>
      <c r="X34" s="3884"/>
      <c r="Y34" s="2533">
        <f t="shared" si="8"/>
        <v>20600.58057606277</v>
      </c>
      <c r="Z34" s="4361">
        <f t="shared" ref="Z34" si="87">+T34+V34</f>
        <v>0</v>
      </c>
      <c r="AA34" s="492">
        <f t="shared" ref="AA34" si="88">+U34+W34</f>
        <v>40328.047716730565</v>
      </c>
      <c r="AB34" s="2038"/>
      <c r="AC34" s="3864">
        <f>+'COKE OVENS'!AD48+'COKE OVENS'!AD51</f>
        <v>7164.0221451495017</v>
      </c>
      <c r="AD34" s="2017">
        <f t="shared" ref="AD34" si="89">+Z34+AB34</f>
        <v>0</v>
      </c>
      <c r="AE34" s="2100">
        <f t="shared" ref="AE34" si="90">+AA34+AC34</f>
        <v>47492.069861880067</v>
      </c>
      <c r="AF34" s="2038"/>
      <c r="AG34" s="3864">
        <f>+'COKE OVENS'!AH48+'COKE OVENS'!AH51</f>
        <v>5763.2472920750388</v>
      </c>
      <c r="AH34" s="2017">
        <f t="shared" ref="AH34" si="91">+AD34+AF34</f>
        <v>0</v>
      </c>
      <c r="AI34" s="2100">
        <f t="shared" ref="AI34" si="92">+AE34+AG34</f>
        <v>53255.317153955104</v>
      </c>
      <c r="AJ34" s="2038"/>
      <c r="AK34" s="3864">
        <f>+'COKE OVENS'!AL48+'COKE OVENS'!AL51</f>
        <v>5955.1446482604897</v>
      </c>
      <c r="AL34" s="3884"/>
      <c r="AM34" s="2533">
        <f t="shared" si="15"/>
        <v>18882.41408548503</v>
      </c>
      <c r="AN34" s="2017">
        <f t="shared" ref="AN34" si="93">+AH34+AJ34</f>
        <v>0</v>
      </c>
      <c r="AO34" s="2100">
        <f t="shared" ref="AO34" si="94">+AI34+AK34</f>
        <v>59210.461802215592</v>
      </c>
      <c r="AP34" s="2038"/>
      <c r="AQ34" s="3864">
        <f>+'COKE OVENS'!AR48+'COKE OVENS'!AR51</f>
        <v>5940.0534707686529</v>
      </c>
      <c r="AR34" s="2017">
        <f t="shared" ref="AR34" si="95">+AN34+AP34</f>
        <v>0</v>
      </c>
      <c r="AS34" s="2100">
        <f t="shared" ref="AS34" si="96">+AO34+AQ34</f>
        <v>65150.515272984245</v>
      </c>
      <c r="AT34" s="2038"/>
      <c r="AU34" s="3864">
        <f>+'COKE OVENS'!AV48+'COKE OVENS'!AV51</f>
        <v>5362.1375210822534</v>
      </c>
      <c r="AV34" s="2017">
        <f t="shared" ref="AV34" si="97">+AR34+AT34</f>
        <v>0</v>
      </c>
      <c r="AW34" s="2100">
        <f t="shared" ref="AW34" si="98">+AS34+AU34</f>
        <v>70512.652794066496</v>
      </c>
      <c r="AX34" s="2038"/>
      <c r="AY34" s="3864">
        <f>+'COKE OVENS'!AZ48+'COKE OVENS'!AZ51</f>
        <v>6035.2102594471353</v>
      </c>
      <c r="AZ34" s="3884"/>
      <c r="BA34" s="2533">
        <f t="shared" si="22"/>
        <v>17337.401251298041</v>
      </c>
      <c r="BB34" s="4361">
        <f t="shared" ref="BB34" si="99">+AV34+AX34</f>
        <v>0</v>
      </c>
      <c r="BC34" s="492">
        <f>AM34+BA34</f>
        <v>36219.815336783067</v>
      </c>
      <c r="BD34" s="2017">
        <f t="shared" ref="BD34" si="100">+AV34+AX34</f>
        <v>0</v>
      </c>
      <c r="BE34" s="2100">
        <f t="shared" ref="BE34" si="101">+AW34+AY34</f>
        <v>76547.863053513633</v>
      </c>
      <c r="BF34" s="528">
        <f t="shared" si="27"/>
        <v>0</v>
      </c>
      <c r="BG34" s="528"/>
      <c r="BH34"/>
      <c r="BI34">
        <f t="shared" si="28"/>
        <v>0</v>
      </c>
      <c r="BJ34"/>
      <c r="BK34"/>
      <c r="BL34"/>
      <c r="BM34"/>
      <c r="BN34"/>
      <c r="BO34"/>
      <c r="BP34"/>
      <c r="BQ34"/>
      <c r="BR34"/>
      <c r="BS34"/>
      <c r="BT34"/>
      <c r="BU34"/>
    </row>
    <row r="35" spans="2:73" s="146" customFormat="1" ht="18" x14ac:dyDescent="0.3">
      <c r="B35" s="6238"/>
      <c r="C35" s="2027"/>
      <c r="D35" s="1678"/>
      <c r="E35" s="4502"/>
      <c r="F35" s="1206"/>
      <c r="G35" s="4502"/>
      <c r="H35" s="398"/>
      <c r="I35" s="3398"/>
      <c r="J35" s="1206"/>
      <c r="K35" s="4502"/>
      <c r="L35" s="398"/>
      <c r="M35" s="4502"/>
      <c r="N35" s="436"/>
      <c r="O35" s="4502"/>
      <c r="P35" s="398"/>
      <c r="Q35" s="398"/>
      <c r="R35" s="436"/>
      <c r="S35" s="4502"/>
      <c r="T35" s="398"/>
      <c r="U35" s="398"/>
      <c r="V35" s="436"/>
      <c r="W35" s="4502"/>
      <c r="X35" s="4503"/>
      <c r="Y35" s="398"/>
      <c r="Z35" s="398"/>
      <c r="AA35" s="398"/>
      <c r="AB35" s="436"/>
      <c r="AC35" s="4502"/>
      <c r="AD35" s="398"/>
      <c r="AE35" s="398"/>
      <c r="AF35" s="436"/>
      <c r="AG35" s="4502"/>
      <c r="AH35" s="398"/>
      <c r="AI35" s="398"/>
      <c r="AJ35" s="436"/>
      <c r="AK35" s="4502"/>
      <c r="AL35" s="4503"/>
      <c r="AM35" s="398"/>
      <c r="AN35" s="398"/>
      <c r="AO35" s="398"/>
      <c r="AP35" s="436"/>
      <c r="AQ35" s="4502"/>
      <c r="AR35" s="398"/>
      <c r="AS35" s="398"/>
      <c r="AT35" s="436"/>
      <c r="AU35" s="4502"/>
      <c r="AV35" s="398"/>
      <c r="AW35" s="398"/>
      <c r="AX35" s="436"/>
      <c r="AY35" s="4502"/>
      <c r="AZ35" s="4503"/>
      <c r="BA35" s="398"/>
      <c r="BB35" s="398"/>
      <c r="BC35" s="398"/>
      <c r="BD35" s="398"/>
      <c r="BE35" s="398"/>
      <c r="BF35" s="528">
        <f t="shared" si="27"/>
        <v>0</v>
      </c>
      <c r="BG35" s="528"/>
      <c r="BH35"/>
      <c r="BI35">
        <f t="shared" si="28"/>
        <v>0</v>
      </c>
      <c r="BJ35"/>
      <c r="BK35"/>
      <c r="BL35"/>
      <c r="BM35"/>
      <c r="BN35"/>
      <c r="BO35"/>
      <c r="BP35"/>
      <c r="BQ35"/>
      <c r="BR35"/>
      <c r="BS35"/>
      <c r="BT35"/>
      <c r="BU35"/>
    </row>
    <row r="36" spans="2:73" s="146" customFormat="1" ht="18" x14ac:dyDescent="0.3">
      <c r="B36" s="6238"/>
      <c r="C36" s="2031" t="s">
        <v>1543</v>
      </c>
      <c r="D36" s="2025"/>
      <c r="E36" s="2025"/>
      <c r="F36" s="2025"/>
      <c r="G36" s="2025"/>
      <c r="H36" s="398"/>
      <c r="I36" s="3398"/>
      <c r="J36" s="2025"/>
      <c r="K36" s="2025"/>
      <c r="L36" s="398"/>
      <c r="M36" s="398"/>
      <c r="N36" s="436"/>
      <c r="O36" s="2025"/>
      <c r="P36" s="398"/>
      <c r="Q36" s="398"/>
      <c r="R36" s="436"/>
      <c r="S36" s="2025"/>
      <c r="T36" s="398"/>
      <c r="U36" s="398"/>
      <c r="V36" s="436"/>
      <c r="W36" s="2025"/>
      <c r="X36" s="3885"/>
      <c r="Y36" s="398"/>
      <c r="Z36" s="398"/>
      <c r="AA36" s="398"/>
      <c r="AB36" s="436"/>
      <c r="AC36" s="2025"/>
      <c r="AD36" s="398"/>
      <c r="AE36" s="398"/>
      <c r="AF36" s="436"/>
      <c r="AG36" s="2025"/>
      <c r="AH36" s="398"/>
      <c r="AI36" s="398"/>
      <c r="AJ36" s="436"/>
      <c r="AK36" s="2025"/>
      <c r="AL36" s="3885"/>
      <c r="AM36" s="398"/>
      <c r="AN36" s="398"/>
      <c r="AO36" s="398"/>
      <c r="AP36" s="436"/>
      <c r="AQ36" s="2025"/>
      <c r="AR36" s="398"/>
      <c r="AS36" s="398"/>
      <c r="AT36" s="436"/>
      <c r="AU36" s="2025"/>
      <c r="AV36" s="398"/>
      <c r="AW36" s="398"/>
      <c r="AX36" s="436"/>
      <c r="AY36" s="2025"/>
      <c r="AZ36" s="3885"/>
      <c r="BA36" s="398"/>
      <c r="BB36" s="398"/>
      <c r="BC36" s="398"/>
      <c r="BD36" s="398"/>
      <c r="BE36" s="398"/>
      <c r="BF36" s="528">
        <f t="shared" si="27"/>
        <v>0</v>
      </c>
      <c r="BG36" s="528"/>
      <c r="BH36"/>
      <c r="BI36">
        <f t="shared" si="28"/>
        <v>0</v>
      </c>
      <c r="BJ36"/>
      <c r="BK36"/>
      <c r="BL36"/>
      <c r="BM36"/>
      <c r="BN36"/>
      <c r="BO36"/>
      <c r="BP36"/>
      <c r="BQ36"/>
      <c r="BR36"/>
      <c r="BS36"/>
      <c r="BT36"/>
      <c r="BU36"/>
    </row>
    <row r="37" spans="2:73" s="146" customFormat="1" ht="18" x14ac:dyDescent="0.3">
      <c r="B37" s="6238"/>
      <c r="C37" s="2027" t="s">
        <v>1544</v>
      </c>
      <c r="D37" s="1678"/>
      <c r="E37" s="2015">
        <v>200</v>
      </c>
      <c r="F37" s="1678"/>
      <c r="G37" s="2015">
        <v>1101</v>
      </c>
      <c r="H37" s="2017">
        <f t="shared" si="1"/>
        <v>0</v>
      </c>
      <c r="I37" s="2100">
        <f t="shared" si="2"/>
        <v>1301</v>
      </c>
      <c r="J37" s="1678"/>
      <c r="K37" s="2015">
        <v>2411</v>
      </c>
      <c r="L37" s="2016">
        <f t="shared" si="3"/>
        <v>0</v>
      </c>
      <c r="M37" s="2016">
        <f>E37+G37+K37</f>
        <v>3712</v>
      </c>
      <c r="N37" s="181"/>
      <c r="O37" s="2015">
        <v>2024</v>
      </c>
      <c r="P37" s="2017">
        <f t="shared" si="4"/>
        <v>0</v>
      </c>
      <c r="Q37" s="2017">
        <f t="shared" si="30"/>
        <v>5736</v>
      </c>
      <c r="R37" s="181"/>
      <c r="S37" s="2015">
        <v>1124</v>
      </c>
      <c r="T37" s="2017">
        <f t="shared" ref="T37:T39" si="102">+P37+R37</f>
        <v>0</v>
      </c>
      <c r="U37" s="2017">
        <f t="shared" ref="U37:U39" si="103">+Q37+S37</f>
        <v>6860</v>
      </c>
      <c r="V37" s="181"/>
      <c r="W37" s="2015">
        <v>1147</v>
      </c>
      <c r="X37" s="3777"/>
      <c r="Y37" s="2016">
        <f t="shared" si="8"/>
        <v>4295</v>
      </c>
      <c r="Z37" s="4361">
        <f t="shared" ref="Z37:Z39" si="104">+T37+V37</f>
        <v>0</v>
      </c>
      <c r="AA37" s="4361">
        <f t="shared" ref="AA37:AA39" si="105">+U37+W37</f>
        <v>8007</v>
      </c>
      <c r="AB37" s="181"/>
      <c r="AC37" s="2015">
        <v>788</v>
      </c>
      <c r="AD37" s="2017">
        <f t="shared" ref="AD37:AD39" si="106">+Z37+AB37</f>
        <v>0</v>
      </c>
      <c r="AE37" s="2017">
        <f t="shared" ref="AE37:AE39" si="107">+AA37+AC37</f>
        <v>8795</v>
      </c>
      <c r="AF37" s="181"/>
      <c r="AG37" s="2015">
        <v>1097</v>
      </c>
      <c r="AH37" s="2017">
        <f t="shared" ref="AH37:AH39" si="108">+AD37+AF37</f>
        <v>0</v>
      </c>
      <c r="AI37" s="2017">
        <f t="shared" ref="AI37:AI39" si="109">+AE37+AG37</f>
        <v>9892</v>
      </c>
      <c r="AJ37" s="181"/>
      <c r="AK37" s="2015">
        <v>1141</v>
      </c>
      <c r="AL37" s="3777"/>
      <c r="AM37" s="2016">
        <f t="shared" si="15"/>
        <v>3026</v>
      </c>
      <c r="AN37" s="2017">
        <f t="shared" ref="AN37:AN39" si="110">+AH37+AJ37</f>
        <v>0</v>
      </c>
      <c r="AO37" s="2017">
        <f t="shared" ref="AO37:AO39" si="111">+AI37+AK37</f>
        <v>11033</v>
      </c>
      <c r="AP37" s="181"/>
      <c r="AQ37" s="2015">
        <v>1818</v>
      </c>
      <c r="AR37" s="2017">
        <f t="shared" ref="AR37:AR39" si="112">+AN37+AP37</f>
        <v>0</v>
      </c>
      <c r="AS37" s="2017">
        <f t="shared" ref="AS37:AS39" si="113">+AO37+AQ37</f>
        <v>12851</v>
      </c>
      <c r="AT37" s="181"/>
      <c r="AU37" s="2015">
        <v>924</v>
      </c>
      <c r="AV37" s="2017">
        <f t="shared" ref="AV37:AV39" si="114">+AR37+AT37</f>
        <v>0</v>
      </c>
      <c r="AW37" s="2017">
        <f t="shared" ref="AW37:AW39" si="115">+AS37+AU37</f>
        <v>13775</v>
      </c>
      <c r="AX37" s="181"/>
      <c r="AY37" s="2015">
        <v>1124</v>
      </c>
      <c r="AZ37" s="3777"/>
      <c r="BA37" s="2016">
        <f t="shared" si="22"/>
        <v>3866</v>
      </c>
      <c r="BB37" s="4361">
        <f t="shared" ref="BB37:BB39" si="116">+AV37+AX37</f>
        <v>0</v>
      </c>
      <c r="BC37" s="492">
        <f t="shared" ref="BC37:BC39" si="117">AM37+BA37</f>
        <v>6892</v>
      </c>
      <c r="BD37" s="2017">
        <f t="shared" ref="BD37:BD39" si="118">+AV37+AX37</f>
        <v>0</v>
      </c>
      <c r="BE37" s="2017">
        <f t="shared" ref="BE37:BE39" si="119">+AW37+AY37</f>
        <v>14899</v>
      </c>
      <c r="BF37" s="528">
        <f t="shared" si="27"/>
        <v>0</v>
      </c>
      <c r="BG37" s="528"/>
      <c r="BH37"/>
      <c r="BI37">
        <f t="shared" si="28"/>
        <v>0</v>
      </c>
      <c r="BJ37"/>
      <c r="BK37"/>
      <c r="BL37"/>
      <c r="BM37"/>
      <c r="BN37"/>
      <c r="BO37"/>
      <c r="BP37"/>
      <c r="BQ37"/>
      <c r="BR37"/>
      <c r="BS37"/>
      <c r="BT37"/>
      <c r="BU37"/>
    </row>
    <row r="38" spans="2:73" ht="18" x14ac:dyDescent="0.35">
      <c r="B38" s="6238"/>
      <c r="C38" s="2032" t="s">
        <v>1545</v>
      </c>
      <c r="D38" s="1607"/>
      <c r="E38" s="2015">
        <v>9856</v>
      </c>
      <c r="F38" s="1678"/>
      <c r="G38" s="2015">
        <v>8519</v>
      </c>
      <c r="H38" s="2017">
        <f t="shared" si="1"/>
        <v>0</v>
      </c>
      <c r="I38" s="2100">
        <f t="shared" si="2"/>
        <v>18375</v>
      </c>
      <c r="J38" s="1678"/>
      <c r="K38" s="2015">
        <v>8837</v>
      </c>
      <c r="L38" s="2016">
        <f t="shared" si="3"/>
        <v>0</v>
      </c>
      <c r="M38" s="2016">
        <f>E38+G38+K38</f>
        <v>27212</v>
      </c>
      <c r="N38" s="181"/>
      <c r="O38" s="2015">
        <v>6122</v>
      </c>
      <c r="P38" s="2017">
        <f t="shared" si="4"/>
        <v>0</v>
      </c>
      <c r="Q38" s="2017">
        <f t="shared" si="30"/>
        <v>33334</v>
      </c>
      <c r="R38" s="181"/>
      <c r="S38" s="2015">
        <v>6784</v>
      </c>
      <c r="T38" s="2017">
        <f t="shared" si="102"/>
        <v>0</v>
      </c>
      <c r="U38" s="2017">
        <f t="shared" si="103"/>
        <v>40118</v>
      </c>
      <c r="V38" s="181"/>
      <c r="W38" s="2015">
        <v>13019</v>
      </c>
      <c r="X38" s="3777"/>
      <c r="Y38" s="2016">
        <f t="shared" si="8"/>
        <v>25925</v>
      </c>
      <c r="Z38" s="4361">
        <f t="shared" si="104"/>
        <v>0</v>
      </c>
      <c r="AA38" s="4361">
        <f t="shared" si="105"/>
        <v>53137</v>
      </c>
      <c r="AB38" s="181"/>
      <c r="AC38" s="2015">
        <v>7578</v>
      </c>
      <c r="AD38" s="2017">
        <f t="shared" si="106"/>
        <v>0</v>
      </c>
      <c r="AE38" s="2017">
        <f t="shared" si="107"/>
        <v>60715</v>
      </c>
      <c r="AF38" s="181"/>
      <c r="AG38" s="2015">
        <v>8256</v>
      </c>
      <c r="AH38" s="2017">
        <f t="shared" si="108"/>
        <v>0</v>
      </c>
      <c r="AI38" s="2017">
        <f t="shared" si="109"/>
        <v>68971</v>
      </c>
      <c r="AJ38" s="181"/>
      <c r="AK38" s="2015">
        <v>10799</v>
      </c>
      <c r="AL38" s="3777"/>
      <c r="AM38" s="2016">
        <f t="shared" si="15"/>
        <v>26633</v>
      </c>
      <c r="AN38" s="2017">
        <f t="shared" si="110"/>
        <v>0</v>
      </c>
      <c r="AO38" s="2017">
        <f t="shared" si="111"/>
        <v>79770</v>
      </c>
      <c r="AP38" s="181"/>
      <c r="AQ38" s="2015">
        <v>10154</v>
      </c>
      <c r="AR38" s="2017">
        <f t="shared" si="112"/>
        <v>0</v>
      </c>
      <c r="AS38" s="2017">
        <f t="shared" si="113"/>
        <v>89924</v>
      </c>
      <c r="AT38" s="181"/>
      <c r="AU38" s="2015">
        <v>9768</v>
      </c>
      <c r="AV38" s="2017">
        <f t="shared" si="114"/>
        <v>0</v>
      </c>
      <c r="AW38" s="2017">
        <f t="shared" si="115"/>
        <v>99692</v>
      </c>
      <c r="AX38" s="181"/>
      <c r="AY38" s="2015">
        <v>10693</v>
      </c>
      <c r="AZ38" s="3777"/>
      <c r="BA38" s="2016">
        <f t="shared" si="22"/>
        <v>30615</v>
      </c>
      <c r="BB38" s="4361">
        <f t="shared" si="116"/>
        <v>0</v>
      </c>
      <c r="BC38" s="492">
        <f t="shared" si="117"/>
        <v>57248</v>
      </c>
      <c r="BD38" s="2017">
        <f t="shared" si="118"/>
        <v>0</v>
      </c>
      <c r="BE38" s="2017">
        <f t="shared" si="119"/>
        <v>110385</v>
      </c>
      <c r="BF38" s="528">
        <f t="shared" si="27"/>
        <v>0</v>
      </c>
      <c r="BG38" s="528"/>
      <c r="BI38">
        <f t="shared" si="28"/>
        <v>0</v>
      </c>
    </row>
    <row r="39" spans="2:73" ht="18" x14ac:dyDescent="0.3">
      <c r="B39" s="6238"/>
      <c r="C39" s="2033" t="s">
        <v>1546</v>
      </c>
      <c r="D39" s="1206"/>
      <c r="E39" s="2015">
        <v>9717</v>
      </c>
      <c r="F39" s="1678"/>
      <c r="G39" s="2015">
        <v>6709</v>
      </c>
      <c r="H39" s="2017">
        <f t="shared" si="1"/>
        <v>0</v>
      </c>
      <c r="I39" s="2100">
        <f t="shared" si="2"/>
        <v>16426</v>
      </c>
      <c r="J39" s="1678"/>
      <c r="K39" s="2015">
        <v>6692</v>
      </c>
      <c r="L39" s="2016">
        <f t="shared" si="3"/>
        <v>0</v>
      </c>
      <c r="M39" s="2016">
        <f>E39+G39+K39</f>
        <v>23118</v>
      </c>
      <c r="N39" s="181"/>
      <c r="O39" s="2015">
        <v>5179</v>
      </c>
      <c r="P39" s="2017">
        <f t="shared" si="4"/>
        <v>0</v>
      </c>
      <c r="Q39" s="2017">
        <f t="shared" si="30"/>
        <v>28297</v>
      </c>
      <c r="R39" s="181"/>
      <c r="S39" s="2015">
        <v>6510</v>
      </c>
      <c r="T39" s="2017">
        <f t="shared" si="102"/>
        <v>0</v>
      </c>
      <c r="U39" s="2017">
        <f t="shared" si="103"/>
        <v>34807</v>
      </c>
      <c r="V39" s="181"/>
      <c r="W39" s="2015">
        <v>34414</v>
      </c>
      <c r="X39" s="3777"/>
      <c r="Y39" s="2016">
        <f t="shared" si="8"/>
        <v>46103</v>
      </c>
      <c r="Z39" s="4361">
        <f t="shared" si="104"/>
        <v>0</v>
      </c>
      <c r="AA39" s="4361">
        <f t="shared" si="105"/>
        <v>69221</v>
      </c>
      <c r="AB39" s="181"/>
      <c r="AC39" s="2015">
        <v>4130</v>
      </c>
      <c r="AD39" s="2017">
        <f t="shared" si="106"/>
        <v>0</v>
      </c>
      <c r="AE39" s="2017">
        <f t="shared" si="107"/>
        <v>73351</v>
      </c>
      <c r="AF39" s="181"/>
      <c r="AG39" s="2015">
        <v>3304</v>
      </c>
      <c r="AH39" s="2017">
        <f t="shared" si="108"/>
        <v>0</v>
      </c>
      <c r="AI39" s="2017">
        <f t="shared" si="109"/>
        <v>76655</v>
      </c>
      <c r="AJ39" s="181"/>
      <c r="AK39" s="2015">
        <v>0</v>
      </c>
      <c r="AL39" s="3777"/>
      <c r="AM39" s="2016">
        <f t="shared" si="15"/>
        <v>7434</v>
      </c>
      <c r="AN39" s="2017">
        <f t="shared" si="110"/>
        <v>0</v>
      </c>
      <c r="AO39" s="2017">
        <f t="shared" si="111"/>
        <v>76655</v>
      </c>
      <c r="AP39" s="181"/>
      <c r="AQ39" s="2015">
        <v>4233</v>
      </c>
      <c r="AR39" s="2017">
        <f t="shared" si="112"/>
        <v>0</v>
      </c>
      <c r="AS39" s="2017">
        <f t="shared" si="113"/>
        <v>80888</v>
      </c>
      <c r="AT39" s="181"/>
      <c r="AU39" s="2015">
        <v>8867</v>
      </c>
      <c r="AV39" s="2017">
        <f t="shared" si="114"/>
        <v>0</v>
      </c>
      <c r="AW39" s="2017">
        <f t="shared" si="115"/>
        <v>89755</v>
      </c>
      <c r="AX39" s="181"/>
      <c r="AY39" s="2015">
        <v>7637</v>
      </c>
      <c r="AZ39" s="3777"/>
      <c r="BA39" s="2016">
        <f t="shared" si="22"/>
        <v>20737</v>
      </c>
      <c r="BB39" s="4361">
        <f t="shared" si="116"/>
        <v>0</v>
      </c>
      <c r="BC39" s="492">
        <f t="shared" si="117"/>
        <v>28171</v>
      </c>
      <c r="BD39" s="2017">
        <f t="shared" si="118"/>
        <v>0</v>
      </c>
      <c r="BE39" s="2017">
        <f t="shared" si="119"/>
        <v>97392</v>
      </c>
      <c r="BF39" s="528">
        <f t="shared" si="27"/>
        <v>0</v>
      </c>
      <c r="BG39" s="528"/>
      <c r="BI39">
        <f t="shared" si="28"/>
        <v>0</v>
      </c>
    </row>
    <row r="40" spans="2:73" ht="18" x14ac:dyDescent="0.3">
      <c r="B40" s="6238"/>
      <c r="C40" s="2033"/>
      <c r="D40" s="1206"/>
      <c r="E40" s="1206"/>
      <c r="F40" s="1206"/>
      <c r="G40" s="1206"/>
      <c r="H40" s="398"/>
      <c r="I40" s="3398"/>
      <c r="J40" s="1206"/>
      <c r="K40" s="1206"/>
      <c r="L40" s="398"/>
      <c r="M40" s="398"/>
      <c r="N40" s="436"/>
      <c r="O40" s="1206"/>
      <c r="P40" s="398"/>
      <c r="Q40" s="398"/>
      <c r="R40" s="436"/>
      <c r="S40" s="1206"/>
      <c r="T40" s="398"/>
      <c r="U40" s="398"/>
      <c r="V40" s="436"/>
      <c r="W40" s="1206"/>
      <c r="X40" s="2685"/>
      <c r="Y40" s="398"/>
      <c r="Z40" s="398"/>
      <c r="AA40" s="398"/>
      <c r="AB40" s="436"/>
      <c r="AC40" s="1206"/>
      <c r="AD40" s="398"/>
      <c r="AE40" s="398"/>
      <c r="AF40" s="436"/>
      <c r="AG40" s="1206"/>
      <c r="AH40" s="398"/>
      <c r="AI40" s="398"/>
      <c r="AJ40" s="436"/>
      <c r="AK40" s="1206"/>
      <c r="AL40" s="2685"/>
      <c r="AM40" s="398"/>
      <c r="AN40" s="398"/>
      <c r="AO40" s="398"/>
      <c r="AP40" s="436"/>
      <c r="AQ40" s="1206"/>
      <c r="AR40" s="398"/>
      <c r="AS40" s="398"/>
      <c r="AT40" s="436"/>
      <c r="AU40" s="1206"/>
      <c r="AV40" s="398"/>
      <c r="AW40" s="398"/>
      <c r="AX40" s="436"/>
      <c r="AY40" s="1206"/>
      <c r="AZ40" s="2685"/>
      <c r="BA40" s="398"/>
      <c r="BB40" s="398"/>
      <c r="BC40" s="398"/>
      <c r="BD40" s="398"/>
      <c r="BE40" s="398"/>
      <c r="BF40" s="528">
        <f t="shared" si="27"/>
        <v>0</v>
      </c>
      <c r="BG40" s="528"/>
      <c r="BI40">
        <f t="shared" si="28"/>
        <v>0</v>
      </c>
    </row>
    <row r="41" spans="2:73" ht="18" x14ac:dyDescent="0.3">
      <c r="B41" s="6238"/>
      <c r="C41" s="2031" t="s">
        <v>1547</v>
      </c>
      <c r="D41" s="2025"/>
      <c r="E41" s="2025"/>
      <c r="F41" s="2025"/>
      <c r="G41" s="2025"/>
      <c r="H41" s="398"/>
      <c r="I41" s="3398"/>
      <c r="J41" s="2025"/>
      <c r="K41" s="2025"/>
      <c r="L41" s="398"/>
      <c r="M41" s="398"/>
      <c r="N41" s="436"/>
      <c r="O41" s="2025"/>
      <c r="P41" s="398"/>
      <c r="Q41" s="398"/>
      <c r="R41" s="436"/>
      <c r="S41" s="2025"/>
      <c r="T41" s="398"/>
      <c r="U41" s="398"/>
      <c r="V41" s="436"/>
      <c r="W41" s="2025"/>
      <c r="X41" s="3885"/>
      <c r="Y41" s="398"/>
      <c r="Z41" s="398"/>
      <c r="AA41" s="398"/>
      <c r="AB41" s="436"/>
      <c r="AC41" s="2025"/>
      <c r="AD41" s="398"/>
      <c r="AE41" s="398"/>
      <c r="AF41" s="436"/>
      <c r="AG41" s="2025"/>
      <c r="AH41" s="398"/>
      <c r="AI41" s="398"/>
      <c r="AJ41" s="436"/>
      <c r="AK41" s="2025"/>
      <c r="AL41" s="3885"/>
      <c r="AM41" s="398"/>
      <c r="AN41" s="398"/>
      <c r="AO41" s="398"/>
      <c r="AP41" s="436"/>
      <c r="AQ41" s="2025"/>
      <c r="AR41" s="398"/>
      <c r="AS41" s="398"/>
      <c r="AT41" s="436"/>
      <c r="AU41" s="2025"/>
      <c r="AV41" s="398"/>
      <c r="AW41" s="398"/>
      <c r="AX41" s="436"/>
      <c r="AY41" s="2025"/>
      <c r="AZ41" s="3885"/>
      <c r="BA41" s="398"/>
      <c r="BB41" s="398"/>
      <c r="BC41" s="398"/>
      <c r="BD41" s="398"/>
      <c r="BE41" s="398"/>
      <c r="BF41" s="528">
        <f t="shared" si="27"/>
        <v>0</v>
      </c>
      <c r="BG41" s="528"/>
      <c r="BI41">
        <f t="shared" si="28"/>
        <v>0</v>
      </c>
    </row>
    <row r="42" spans="2:73" ht="18" x14ac:dyDescent="0.35">
      <c r="B42" s="6238"/>
      <c r="C42" s="2034" t="s">
        <v>1180</v>
      </c>
      <c r="D42" s="2026"/>
      <c r="E42" s="3865">
        <f>+LDCP!F8</f>
        <v>14913</v>
      </c>
      <c r="F42" s="398"/>
      <c r="G42" s="3865">
        <f>+LDCP!H8</f>
        <v>14492</v>
      </c>
      <c r="H42" s="2017">
        <f t="shared" si="1"/>
        <v>0</v>
      </c>
      <c r="I42" s="2100">
        <f t="shared" si="2"/>
        <v>29405</v>
      </c>
      <c r="J42" s="398"/>
      <c r="K42" s="3865">
        <f>+LDCP!L8</f>
        <v>14309</v>
      </c>
      <c r="L42" s="2016">
        <f t="shared" si="3"/>
        <v>0</v>
      </c>
      <c r="M42" s="2016">
        <f>E42+G42+K42</f>
        <v>43714</v>
      </c>
      <c r="N42" s="269"/>
      <c r="O42" s="3865">
        <f>+LDCP!P8</f>
        <v>18251</v>
      </c>
      <c r="P42" s="2017">
        <f t="shared" si="4"/>
        <v>0</v>
      </c>
      <c r="Q42" s="2017">
        <f t="shared" si="30"/>
        <v>61965</v>
      </c>
      <c r="R42" s="269"/>
      <c r="S42" s="3865">
        <f>+LDCP!T8</f>
        <v>15345</v>
      </c>
      <c r="T42" s="2017">
        <f t="shared" ref="T42:T43" si="120">+P42+R42</f>
        <v>0</v>
      </c>
      <c r="U42" s="2017">
        <f t="shared" ref="U42:U43" si="121">+Q42+S42</f>
        <v>77310</v>
      </c>
      <c r="V42" s="269"/>
      <c r="W42" s="3865">
        <f>+LDCP!X8</f>
        <v>15590</v>
      </c>
      <c r="X42" s="3886"/>
      <c r="Y42" s="2016">
        <f t="shared" si="8"/>
        <v>49186</v>
      </c>
      <c r="Z42" s="4361">
        <f t="shared" ref="Z42:Z43" si="122">+T42+V42</f>
        <v>0</v>
      </c>
      <c r="AA42" s="4361">
        <f t="shared" ref="AA42:AA43" si="123">+U42+W42</f>
        <v>92900</v>
      </c>
      <c r="AB42" s="269"/>
      <c r="AC42" s="3865">
        <f>+LDCP!AD8</f>
        <v>14399</v>
      </c>
      <c r="AD42" s="2017">
        <f t="shared" ref="AD42:AD43" si="124">+Z42+AB42</f>
        <v>0</v>
      </c>
      <c r="AE42" s="2017">
        <f t="shared" ref="AE42:AE43" si="125">+AA42+AC42</f>
        <v>107299</v>
      </c>
      <c r="AF42" s="269"/>
      <c r="AG42" s="3865">
        <f>+LDCP!AH8</f>
        <v>13904</v>
      </c>
      <c r="AH42" s="2017">
        <f t="shared" ref="AH42:AH43" si="126">+AD42+AF42</f>
        <v>0</v>
      </c>
      <c r="AI42" s="2017">
        <f t="shared" ref="AI42:AI43" si="127">+AE42+AG42</f>
        <v>121203</v>
      </c>
      <c r="AJ42" s="269"/>
      <c r="AK42" s="3865">
        <f>+LDCP!AL8</f>
        <v>13680</v>
      </c>
      <c r="AL42" s="3886"/>
      <c r="AM42" s="2016">
        <f t="shared" si="15"/>
        <v>41983</v>
      </c>
      <c r="AN42" s="2017">
        <f t="shared" ref="AN42:AN43" si="128">+AH42+AJ42</f>
        <v>0</v>
      </c>
      <c r="AO42" s="2017">
        <f t="shared" ref="AO42:AO43" si="129">+AI42+AK42</f>
        <v>134883</v>
      </c>
      <c r="AP42" s="269"/>
      <c r="AQ42" s="3865">
        <f>+LDCP!AR8</f>
        <v>16886</v>
      </c>
      <c r="AR42" s="2017">
        <f t="shared" ref="AR42:AR43" si="130">+AN42+AP42</f>
        <v>0</v>
      </c>
      <c r="AS42" s="2017">
        <f t="shared" ref="AS42:AS43" si="131">+AO42+AQ42</f>
        <v>151769</v>
      </c>
      <c r="AT42" s="269"/>
      <c r="AU42" s="3865">
        <f>+LDCP!AV8</f>
        <v>13762</v>
      </c>
      <c r="AV42" s="2017">
        <f t="shared" ref="AV42:AV43" si="132">+AR42+AT42</f>
        <v>0</v>
      </c>
      <c r="AW42" s="2017">
        <f t="shared" ref="AW42:AW43" si="133">+AS42+AU42</f>
        <v>165531</v>
      </c>
      <c r="AX42" s="269"/>
      <c r="AY42" s="3865">
        <f>+LDCP!AZ8</f>
        <v>15445</v>
      </c>
      <c r="AZ42" s="3886"/>
      <c r="BA42" s="2016">
        <f t="shared" si="22"/>
        <v>46093</v>
      </c>
      <c r="BB42" s="4361">
        <f t="shared" ref="BB42:BB43" si="134">+AV42+AX42</f>
        <v>0</v>
      </c>
      <c r="BC42" s="492">
        <f t="shared" ref="BC42:BC43" si="135">AM42+BA42</f>
        <v>88076</v>
      </c>
      <c r="BD42" s="2017">
        <f t="shared" ref="BD42:BD43" si="136">+AV42+AX42</f>
        <v>0</v>
      </c>
      <c r="BE42" s="2017">
        <f t="shared" ref="BE42:BE43" si="137">+AW42+AY42</f>
        <v>180976</v>
      </c>
      <c r="BF42" s="528">
        <f t="shared" si="27"/>
        <v>0</v>
      </c>
      <c r="BG42" s="528"/>
      <c r="BI42">
        <f t="shared" si="28"/>
        <v>0</v>
      </c>
    </row>
    <row r="43" spans="2:73" ht="18" x14ac:dyDescent="0.35">
      <c r="B43" s="6239"/>
      <c r="C43" s="2034" t="s">
        <v>1181</v>
      </c>
      <c r="D43" s="2026"/>
      <c r="E43" s="3865">
        <f>+LDCP!F22</f>
        <v>5378</v>
      </c>
      <c r="F43" s="398"/>
      <c r="G43" s="3865">
        <f>+LDCP!H22</f>
        <v>3120</v>
      </c>
      <c r="H43" s="2017">
        <f t="shared" si="1"/>
        <v>0</v>
      </c>
      <c r="I43" s="2100">
        <f t="shared" si="2"/>
        <v>8498</v>
      </c>
      <c r="J43" s="398"/>
      <c r="K43" s="3865">
        <f>+LDCP!L22</f>
        <v>4718</v>
      </c>
      <c r="L43" s="2016">
        <f t="shared" si="3"/>
        <v>0</v>
      </c>
      <c r="M43" s="2016">
        <f>E43+G43+K43</f>
        <v>13216</v>
      </c>
      <c r="N43" s="269"/>
      <c r="O43" s="3865">
        <f>+LDCP!P22</f>
        <v>4945</v>
      </c>
      <c r="P43" s="2017">
        <f t="shared" si="4"/>
        <v>0</v>
      </c>
      <c r="Q43" s="2017">
        <f t="shared" si="30"/>
        <v>18161</v>
      </c>
      <c r="R43" s="269"/>
      <c r="S43" s="3865">
        <f>+LDCP!T22</f>
        <v>5736</v>
      </c>
      <c r="T43" s="2017">
        <f t="shared" si="120"/>
        <v>0</v>
      </c>
      <c r="U43" s="2017">
        <f t="shared" si="121"/>
        <v>23897</v>
      </c>
      <c r="V43" s="269"/>
      <c r="W43" s="3865">
        <f>+LDCP!X22</f>
        <v>7623</v>
      </c>
      <c r="X43" s="3886"/>
      <c r="Y43" s="2016">
        <f t="shared" si="8"/>
        <v>18304</v>
      </c>
      <c r="Z43" s="4361">
        <f t="shared" si="122"/>
        <v>0</v>
      </c>
      <c r="AA43" s="4361">
        <f t="shared" si="123"/>
        <v>31520</v>
      </c>
      <c r="AB43" s="269"/>
      <c r="AC43" s="3865">
        <f>+LDCP!AD22</f>
        <v>3494</v>
      </c>
      <c r="AD43" s="2017">
        <f t="shared" si="124"/>
        <v>0</v>
      </c>
      <c r="AE43" s="2017">
        <f t="shared" si="125"/>
        <v>35014</v>
      </c>
      <c r="AF43" s="269"/>
      <c r="AG43" s="3865">
        <f>+LDCP!AH22</f>
        <v>1815</v>
      </c>
      <c r="AH43" s="2017">
        <f t="shared" si="126"/>
        <v>0</v>
      </c>
      <c r="AI43" s="2017">
        <f t="shared" si="127"/>
        <v>36829</v>
      </c>
      <c r="AJ43" s="269"/>
      <c r="AK43" s="3865">
        <f>+LDCP!AL22</f>
        <v>0</v>
      </c>
      <c r="AL43" s="3886"/>
      <c r="AM43" s="2016">
        <f t="shared" si="15"/>
        <v>5309</v>
      </c>
      <c r="AN43" s="2017">
        <f t="shared" si="128"/>
        <v>0</v>
      </c>
      <c r="AO43" s="2017">
        <f t="shared" si="129"/>
        <v>36829</v>
      </c>
      <c r="AP43" s="269"/>
      <c r="AQ43" s="3865">
        <f>+LDCP!AR22</f>
        <v>3442</v>
      </c>
      <c r="AR43" s="2017">
        <f t="shared" si="130"/>
        <v>0</v>
      </c>
      <c r="AS43" s="2017">
        <f t="shared" si="131"/>
        <v>40271</v>
      </c>
      <c r="AT43" s="269"/>
      <c r="AU43" s="3865">
        <f>+LDCP!AV22</f>
        <v>5047</v>
      </c>
      <c r="AV43" s="2017">
        <f t="shared" si="132"/>
        <v>0</v>
      </c>
      <c r="AW43" s="2017">
        <f t="shared" si="133"/>
        <v>45318</v>
      </c>
      <c r="AX43" s="269"/>
      <c r="AY43" s="3865">
        <f>+LDCP!AZ22</f>
        <v>5187</v>
      </c>
      <c r="AZ43" s="3886"/>
      <c r="BA43" s="2016">
        <f t="shared" si="22"/>
        <v>13676</v>
      </c>
      <c r="BB43" s="4361">
        <f t="shared" si="134"/>
        <v>0</v>
      </c>
      <c r="BC43" s="492">
        <f t="shared" si="135"/>
        <v>18985</v>
      </c>
      <c r="BD43" s="2017">
        <f t="shared" si="136"/>
        <v>0</v>
      </c>
      <c r="BE43" s="2017">
        <f t="shared" si="137"/>
        <v>50505</v>
      </c>
      <c r="BF43" s="528">
        <f t="shared" si="27"/>
        <v>0</v>
      </c>
      <c r="BG43" s="528"/>
      <c r="BI43">
        <f t="shared" si="28"/>
        <v>0</v>
      </c>
    </row>
    <row r="44" spans="2:73" x14ac:dyDescent="0.3">
      <c r="C44"/>
      <c r="D44"/>
      <c r="E44"/>
      <c r="F44"/>
      <c r="G44"/>
      <c r="H44"/>
      <c r="I44"/>
      <c r="J44"/>
      <c r="K44"/>
      <c r="L44"/>
      <c r="BB44" s="448"/>
      <c r="BC44" s="448"/>
      <c r="BF44" s="528">
        <f t="shared" si="27"/>
        <v>0</v>
      </c>
      <c r="BG44" s="528"/>
      <c r="BI44">
        <f t="shared" si="28"/>
        <v>0</v>
      </c>
    </row>
    <row r="45" spans="2:73" ht="18" x14ac:dyDescent="0.3">
      <c r="B45" s="6240" t="s">
        <v>1548</v>
      </c>
      <c r="C45" s="2035" t="s">
        <v>1549</v>
      </c>
      <c r="D45" s="2022"/>
      <c r="E45" s="1008">
        <f>+E46+E47+E48</f>
        <v>8505</v>
      </c>
      <c r="F45" s="2022"/>
      <c r="G45" s="1008">
        <f>+G46+G47+G48</f>
        <v>12422</v>
      </c>
      <c r="H45" s="2017">
        <f t="shared" si="1"/>
        <v>0</v>
      </c>
      <c r="I45" s="644">
        <f t="shared" si="2"/>
        <v>20927</v>
      </c>
      <c r="J45" s="1008">
        <f t="shared" ref="J45:N45" si="138">+J46+J47+J48</f>
        <v>0</v>
      </c>
      <c r="K45" s="1008">
        <f>+K46+K47+K48</f>
        <v>17423</v>
      </c>
      <c r="L45" s="2016">
        <f t="shared" si="3"/>
        <v>0</v>
      </c>
      <c r="M45" s="2016">
        <f t="shared" ref="M45:M51" si="139">E45+G45+K45</f>
        <v>38350</v>
      </c>
      <c r="N45" s="1008">
        <f t="shared" si="138"/>
        <v>0</v>
      </c>
      <c r="O45" s="1008">
        <f>+O46+O47+O48</f>
        <v>26940</v>
      </c>
      <c r="P45" s="2017">
        <f t="shared" si="4"/>
        <v>0</v>
      </c>
      <c r="Q45" s="2100">
        <f t="shared" si="30"/>
        <v>65290</v>
      </c>
      <c r="R45" s="1008">
        <f t="shared" ref="R45" si="140">+R46+R47+R48</f>
        <v>0</v>
      </c>
      <c r="S45" s="1008">
        <f>+S46+S47+S48</f>
        <v>20134</v>
      </c>
      <c r="T45" s="2017">
        <f t="shared" ref="T45:T51" si="141">+P45+R45</f>
        <v>0</v>
      </c>
      <c r="U45" s="2100">
        <f t="shared" ref="U45:U51" si="142">+Q45+S45</f>
        <v>85424</v>
      </c>
      <c r="V45" s="1008">
        <f t="shared" ref="V45" si="143">+V46+V47+V48</f>
        <v>0</v>
      </c>
      <c r="W45" s="1008">
        <f>+W46+W47+W48</f>
        <v>25770</v>
      </c>
      <c r="X45" s="2874"/>
      <c r="Y45" s="2016">
        <f t="shared" si="8"/>
        <v>72844</v>
      </c>
      <c r="Z45" s="2017">
        <f t="shared" ref="Z45:Z51" si="144">+T45+V45</f>
        <v>0</v>
      </c>
      <c r="AA45" s="4361">
        <f t="shared" ref="AA45:AA51" si="145">+U45+W45</f>
        <v>111194</v>
      </c>
      <c r="AB45" s="1008">
        <f t="shared" ref="AB45" si="146">+AB46+AB47+AB48</f>
        <v>0</v>
      </c>
      <c r="AC45" s="1008">
        <f>+AC46+AC47+AC48</f>
        <v>29022</v>
      </c>
      <c r="AD45" s="2017">
        <f t="shared" ref="AD45:AD51" si="147">+Z45+AB45</f>
        <v>0</v>
      </c>
      <c r="AE45" s="2100">
        <f t="shared" ref="AE45:AE51" si="148">+AA45+AC45</f>
        <v>140216</v>
      </c>
      <c r="AF45" s="1008">
        <f t="shared" ref="AF45" si="149">+AF46+AF47+AF48</f>
        <v>0</v>
      </c>
      <c r="AG45" s="1008">
        <f>+AG46+AG47+AG48</f>
        <v>25512</v>
      </c>
      <c r="AH45" s="2017">
        <f t="shared" ref="AH45:AH51" si="150">+AD45+AF45</f>
        <v>0</v>
      </c>
      <c r="AI45" s="2100">
        <f t="shared" ref="AI45:AI51" si="151">+AE45+AG45</f>
        <v>165728</v>
      </c>
      <c r="AJ45" s="1008">
        <f t="shared" ref="AJ45" si="152">+AJ46+AJ47+AJ48</f>
        <v>0</v>
      </c>
      <c r="AK45" s="1008">
        <f>+AK46+AK47+AK48</f>
        <v>22853</v>
      </c>
      <c r="AL45" s="2874"/>
      <c r="AM45" s="2016">
        <f t="shared" ref="AM45:AM51" si="153">AC45+AG45+AK45</f>
        <v>77387</v>
      </c>
      <c r="AN45" s="2017">
        <f t="shared" ref="AN45:AN51" si="154">+AH45+AJ45</f>
        <v>0</v>
      </c>
      <c r="AO45" s="2100">
        <f t="shared" ref="AO45:AO51" si="155">+AI45+AK45</f>
        <v>188581</v>
      </c>
      <c r="AP45" s="1008">
        <f t="shared" ref="AP45" si="156">+AP46+AP47+AP48</f>
        <v>0</v>
      </c>
      <c r="AQ45" s="1008">
        <f>+AQ46+AQ47+AQ48</f>
        <v>24050</v>
      </c>
      <c r="AR45" s="2017">
        <f t="shared" ref="AR45:AR51" si="157">+AN45+AP45</f>
        <v>0</v>
      </c>
      <c r="AS45" s="2100">
        <f t="shared" ref="AS45:AS51" si="158">+AO45+AQ45</f>
        <v>212631</v>
      </c>
      <c r="AT45" s="1008">
        <f t="shared" ref="AT45" si="159">+AT46+AT47+AT48</f>
        <v>0</v>
      </c>
      <c r="AU45" s="1008">
        <f>+AU46+AU47+AU48</f>
        <v>17230</v>
      </c>
      <c r="AV45" s="2017">
        <f t="shared" ref="AV45:AV51" si="160">+AR45+AT45</f>
        <v>0</v>
      </c>
      <c r="AW45" s="2100">
        <f t="shared" ref="AW45:AW51" si="161">+AS45+AU45</f>
        <v>229861</v>
      </c>
      <c r="AX45" s="1008">
        <f t="shared" ref="AX45" si="162">+AX46+AX47+AX48</f>
        <v>0</v>
      </c>
      <c r="AY45" s="1008">
        <f>+AY46+AY47+AY48</f>
        <v>12584</v>
      </c>
      <c r="AZ45" s="2874"/>
      <c r="BA45" s="2016">
        <f t="shared" ref="BA45:BA51" si="163">AQ45+AU45+AY45</f>
        <v>53864</v>
      </c>
      <c r="BB45" s="4361">
        <f t="shared" ref="BB45:BB51" si="164">+AV45+AX45</f>
        <v>0</v>
      </c>
      <c r="BC45" s="492">
        <f t="shared" ref="BC45:BC51" si="165">AM45+BA45</f>
        <v>131251</v>
      </c>
      <c r="BD45" s="2017">
        <f t="shared" ref="BD45:BD51" si="166">+AV45+AX45</f>
        <v>0</v>
      </c>
      <c r="BE45" s="2100">
        <f t="shared" ref="BE45:BE51" si="167">+AW45+AY45</f>
        <v>242445</v>
      </c>
      <c r="BF45" s="528">
        <f t="shared" si="27"/>
        <v>0</v>
      </c>
      <c r="BG45" s="528"/>
      <c r="BI45">
        <f t="shared" si="28"/>
        <v>0</v>
      </c>
    </row>
    <row r="46" spans="2:73" ht="18" x14ac:dyDescent="0.3">
      <c r="B46" s="6241"/>
      <c r="C46" s="2027" t="s">
        <v>790</v>
      </c>
      <c r="D46" s="1678"/>
      <c r="E46" s="204">
        <f>+SINTER!F42</f>
        <v>3023</v>
      </c>
      <c r="F46" s="1678"/>
      <c r="G46" s="204">
        <f>+SINTER!H42</f>
        <v>3012</v>
      </c>
      <c r="H46" s="2017">
        <f t="shared" si="1"/>
        <v>0</v>
      </c>
      <c r="I46" s="2100">
        <f t="shared" si="2"/>
        <v>6035</v>
      </c>
      <c r="J46" s="1678"/>
      <c r="K46" s="204">
        <f>+SINTER!L42</f>
        <v>6321</v>
      </c>
      <c r="L46" s="2016">
        <f t="shared" si="3"/>
        <v>0</v>
      </c>
      <c r="M46" s="2016">
        <f t="shared" si="139"/>
        <v>12356</v>
      </c>
      <c r="N46" s="181"/>
      <c r="O46" s="204">
        <f>+SINTER!P42</f>
        <v>15515</v>
      </c>
      <c r="P46" s="2017">
        <f t="shared" si="4"/>
        <v>0</v>
      </c>
      <c r="Q46" s="2100">
        <f t="shared" si="30"/>
        <v>27871</v>
      </c>
      <c r="R46" s="181"/>
      <c r="S46" s="204">
        <f>+SINTER!T42</f>
        <v>12053</v>
      </c>
      <c r="T46" s="2017">
        <f t="shared" si="141"/>
        <v>0</v>
      </c>
      <c r="U46" s="2100">
        <f t="shared" si="142"/>
        <v>39924</v>
      </c>
      <c r="V46" s="181"/>
      <c r="W46" s="204">
        <f>+SINTER!X42</f>
        <v>14458</v>
      </c>
      <c r="X46" s="2686"/>
      <c r="Y46" s="2016">
        <f t="shared" si="8"/>
        <v>42026</v>
      </c>
      <c r="Z46" s="2017">
        <f t="shared" si="144"/>
        <v>0</v>
      </c>
      <c r="AA46" s="4361">
        <f t="shared" si="145"/>
        <v>54382</v>
      </c>
      <c r="AB46" s="181"/>
      <c r="AC46" s="204">
        <f>+SINTER!AD42</f>
        <v>17691</v>
      </c>
      <c r="AD46" s="2017">
        <f t="shared" si="147"/>
        <v>0</v>
      </c>
      <c r="AE46" s="2100">
        <f t="shared" si="148"/>
        <v>72073</v>
      </c>
      <c r="AF46" s="181"/>
      <c r="AG46" s="204">
        <f>+SINTER!AH42</f>
        <v>10278</v>
      </c>
      <c r="AH46" s="2017">
        <f t="shared" si="150"/>
        <v>0</v>
      </c>
      <c r="AI46" s="2100">
        <f t="shared" si="151"/>
        <v>82351</v>
      </c>
      <c r="AJ46" s="181"/>
      <c r="AK46" s="204">
        <f>+SINTER!AL42</f>
        <v>7828</v>
      </c>
      <c r="AL46" s="2686"/>
      <c r="AM46" s="2016">
        <f t="shared" si="153"/>
        <v>35797</v>
      </c>
      <c r="AN46" s="2017">
        <f t="shared" si="154"/>
        <v>0</v>
      </c>
      <c r="AO46" s="2100">
        <f t="shared" si="155"/>
        <v>90179</v>
      </c>
      <c r="AP46" s="181"/>
      <c r="AQ46" s="204">
        <f>+SINTER!AR42</f>
        <v>10781</v>
      </c>
      <c r="AR46" s="2017">
        <f t="shared" si="157"/>
        <v>0</v>
      </c>
      <c r="AS46" s="2100">
        <f t="shared" si="158"/>
        <v>100960</v>
      </c>
      <c r="AT46" s="181"/>
      <c r="AU46" s="204">
        <f>+SINTER!AV42</f>
        <v>6934</v>
      </c>
      <c r="AV46" s="2017">
        <f t="shared" si="160"/>
        <v>0</v>
      </c>
      <c r="AW46" s="2100">
        <f t="shared" si="161"/>
        <v>107894</v>
      </c>
      <c r="AX46" s="181"/>
      <c r="AY46" s="204">
        <f>+SINTER!AZ42</f>
        <v>2773</v>
      </c>
      <c r="AZ46" s="2686"/>
      <c r="BA46" s="2016">
        <f t="shared" si="163"/>
        <v>20488</v>
      </c>
      <c r="BB46" s="4361">
        <f t="shared" si="164"/>
        <v>0</v>
      </c>
      <c r="BC46" s="492">
        <f t="shared" si="165"/>
        <v>56285</v>
      </c>
      <c r="BD46" s="2017">
        <f t="shared" si="166"/>
        <v>0</v>
      </c>
      <c r="BE46" s="2100">
        <f t="shared" si="167"/>
        <v>110667</v>
      </c>
      <c r="BF46" s="528">
        <f t="shared" si="27"/>
        <v>0</v>
      </c>
      <c r="BG46" s="528"/>
      <c r="BI46">
        <f t="shared" si="28"/>
        <v>0</v>
      </c>
    </row>
    <row r="47" spans="2:73" ht="18" x14ac:dyDescent="0.3">
      <c r="B47" s="6241"/>
      <c r="C47" s="2027" t="s">
        <v>789</v>
      </c>
      <c r="D47" s="1678"/>
      <c r="E47" s="204">
        <f>+SINTER!F43</f>
        <v>599</v>
      </c>
      <c r="F47" s="1678"/>
      <c r="G47" s="204">
        <f>+SINTER!H43</f>
        <v>1342</v>
      </c>
      <c r="H47" s="2017">
        <f t="shared" si="1"/>
        <v>0</v>
      </c>
      <c r="I47" s="2100">
        <f t="shared" si="2"/>
        <v>1941</v>
      </c>
      <c r="J47" s="1678"/>
      <c r="K47" s="204">
        <f>+SINTER!L43</f>
        <v>1148</v>
      </c>
      <c r="L47" s="2016">
        <f t="shared" si="3"/>
        <v>0</v>
      </c>
      <c r="M47" s="2016">
        <f t="shared" si="139"/>
        <v>3089</v>
      </c>
      <c r="N47" s="181"/>
      <c r="O47" s="204">
        <f>+SINTER!P43</f>
        <v>872</v>
      </c>
      <c r="P47" s="2017">
        <f t="shared" si="4"/>
        <v>0</v>
      </c>
      <c r="Q47" s="2100">
        <f t="shared" si="30"/>
        <v>3961</v>
      </c>
      <c r="R47" s="181"/>
      <c r="S47" s="204">
        <f>+SINTER!T43</f>
        <v>302</v>
      </c>
      <c r="T47" s="2017">
        <f t="shared" si="141"/>
        <v>0</v>
      </c>
      <c r="U47" s="2100">
        <f t="shared" si="142"/>
        <v>4263</v>
      </c>
      <c r="V47" s="181"/>
      <c r="W47" s="204">
        <f>+SINTER!X43</f>
        <v>928</v>
      </c>
      <c r="X47" s="2686"/>
      <c r="Y47" s="2016">
        <f t="shared" si="8"/>
        <v>2102</v>
      </c>
      <c r="Z47" s="2017">
        <f t="shared" si="144"/>
        <v>0</v>
      </c>
      <c r="AA47" s="4361">
        <f t="shared" si="145"/>
        <v>5191</v>
      </c>
      <c r="AB47" s="181"/>
      <c r="AC47" s="204">
        <f>+SINTER!AD43</f>
        <v>2770</v>
      </c>
      <c r="AD47" s="2017">
        <f t="shared" si="147"/>
        <v>0</v>
      </c>
      <c r="AE47" s="2100">
        <f t="shared" si="148"/>
        <v>7961</v>
      </c>
      <c r="AF47" s="181"/>
      <c r="AG47" s="204">
        <f>+SINTER!AH43</f>
        <v>5274</v>
      </c>
      <c r="AH47" s="2017">
        <f t="shared" si="150"/>
        <v>0</v>
      </c>
      <c r="AI47" s="2100">
        <f t="shared" si="151"/>
        <v>13235</v>
      </c>
      <c r="AJ47" s="181"/>
      <c r="AK47" s="204">
        <f>+SINTER!AL43</f>
        <v>6649</v>
      </c>
      <c r="AL47" s="2686"/>
      <c r="AM47" s="2016">
        <f t="shared" si="153"/>
        <v>14693</v>
      </c>
      <c r="AN47" s="2017">
        <f t="shared" si="154"/>
        <v>0</v>
      </c>
      <c r="AO47" s="2100">
        <f t="shared" si="155"/>
        <v>19884</v>
      </c>
      <c r="AP47" s="181"/>
      <c r="AQ47" s="204">
        <f>+SINTER!AR43</f>
        <v>4936</v>
      </c>
      <c r="AR47" s="2017">
        <f t="shared" si="157"/>
        <v>0</v>
      </c>
      <c r="AS47" s="2100">
        <f t="shared" si="158"/>
        <v>24820</v>
      </c>
      <c r="AT47" s="181"/>
      <c r="AU47" s="204">
        <f>+SINTER!AV43</f>
        <v>3545</v>
      </c>
      <c r="AV47" s="2017">
        <f t="shared" si="160"/>
        <v>0</v>
      </c>
      <c r="AW47" s="2100">
        <f t="shared" si="161"/>
        <v>28365</v>
      </c>
      <c r="AX47" s="181"/>
      <c r="AY47" s="204">
        <f>+SINTER!AZ43</f>
        <v>2632</v>
      </c>
      <c r="AZ47" s="2686"/>
      <c r="BA47" s="2016">
        <f t="shared" si="163"/>
        <v>11113</v>
      </c>
      <c r="BB47" s="4361">
        <f t="shared" si="164"/>
        <v>0</v>
      </c>
      <c r="BC47" s="492">
        <f t="shared" si="165"/>
        <v>25806</v>
      </c>
      <c r="BD47" s="2017">
        <f t="shared" si="166"/>
        <v>0</v>
      </c>
      <c r="BE47" s="2100">
        <f t="shared" si="167"/>
        <v>30997</v>
      </c>
      <c r="BF47" s="528">
        <f t="shared" si="27"/>
        <v>0</v>
      </c>
      <c r="BG47" s="528"/>
      <c r="BI47">
        <f t="shared" si="28"/>
        <v>0</v>
      </c>
    </row>
    <row r="48" spans="2:73" ht="18" x14ac:dyDescent="0.3">
      <c r="B48" s="6242"/>
      <c r="C48" s="2027" t="s">
        <v>985</v>
      </c>
      <c r="D48" s="1678"/>
      <c r="E48" s="204">
        <f>+SINTER!F45</f>
        <v>4883</v>
      </c>
      <c r="F48" s="1678"/>
      <c r="G48" s="204">
        <f>+SINTER!H45</f>
        <v>8068</v>
      </c>
      <c r="H48" s="2017">
        <f t="shared" si="1"/>
        <v>0</v>
      </c>
      <c r="I48" s="2100">
        <f t="shared" si="2"/>
        <v>12951</v>
      </c>
      <c r="J48" s="1678"/>
      <c r="K48" s="204">
        <f>+SINTER!L45</f>
        <v>9954</v>
      </c>
      <c r="L48" s="2016">
        <f t="shared" si="3"/>
        <v>0</v>
      </c>
      <c r="M48" s="2016">
        <f t="shared" si="139"/>
        <v>22905</v>
      </c>
      <c r="N48" s="181"/>
      <c r="O48" s="204">
        <f>+SINTER!P45</f>
        <v>10553</v>
      </c>
      <c r="P48" s="2017">
        <f t="shared" si="4"/>
        <v>0</v>
      </c>
      <c r="Q48" s="2100">
        <f t="shared" si="30"/>
        <v>33458</v>
      </c>
      <c r="R48" s="181"/>
      <c r="S48" s="204">
        <f>+SINTER!T45</f>
        <v>7779</v>
      </c>
      <c r="T48" s="2017">
        <f t="shared" si="141"/>
        <v>0</v>
      </c>
      <c r="U48" s="2100">
        <f t="shared" si="142"/>
        <v>41237</v>
      </c>
      <c r="V48" s="181"/>
      <c r="W48" s="204">
        <f>+SINTER!X45</f>
        <v>10384</v>
      </c>
      <c r="X48" s="2686"/>
      <c r="Y48" s="2016">
        <f t="shared" si="8"/>
        <v>28716</v>
      </c>
      <c r="Z48" s="2017">
        <f t="shared" si="144"/>
        <v>0</v>
      </c>
      <c r="AA48" s="4361">
        <f t="shared" si="145"/>
        <v>51621</v>
      </c>
      <c r="AB48" s="181"/>
      <c r="AC48" s="204">
        <f>+SINTER!AD45</f>
        <v>8561</v>
      </c>
      <c r="AD48" s="2017">
        <f t="shared" si="147"/>
        <v>0</v>
      </c>
      <c r="AE48" s="2100">
        <f t="shared" si="148"/>
        <v>60182</v>
      </c>
      <c r="AF48" s="181"/>
      <c r="AG48" s="204">
        <f>+SINTER!AH45</f>
        <v>9960</v>
      </c>
      <c r="AH48" s="2017">
        <f t="shared" si="150"/>
        <v>0</v>
      </c>
      <c r="AI48" s="2100">
        <f t="shared" si="151"/>
        <v>70142</v>
      </c>
      <c r="AJ48" s="181"/>
      <c r="AK48" s="204">
        <f>+SINTER!AL45</f>
        <v>8376</v>
      </c>
      <c r="AL48" s="2686"/>
      <c r="AM48" s="2016">
        <f t="shared" si="153"/>
        <v>26897</v>
      </c>
      <c r="AN48" s="2017">
        <f t="shared" si="154"/>
        <v>0</v>
      </c>
      <c r="AO48" s="2100">
        <f t="shared" si="155"/>
        <v>78518</v>
      </c>
      <c r="AP48" s="181"/>
      <c r="AQ48" s="204">
        <f>+SINTER!AR45</f>
        <v>8333</v>
      </c>
      <c r="AR48" s="2017">
        <f t="shared" si="157"/>
        <v>0</v>
      </c>
      <c r="AS48" s="2100">
        <f t="shared" si="158"/>
        <v>86851</v>
      </c>
      <c r="AT48" s="181"/>
      <c r="AU48" s="204">
        <f>+SINTER!AV45</f>
        <v>6751</v>
      </c>
      <c r="AV48" s="2017">
        <f t="shared" si="160"/>
        <v>0</v>
      </c>
      <c r="AW48" s="2100">
        <f t="shared" si="161"/>
        <v>93602</v>
      </c>
      <c r="AX48" s="181"/>
      <c r="AY48" s="204">
        <f>+SINTER!AZ45</f>
        <v>7179</v>
      </c>
      <c r="AZ48" s="2686"/>
      <c r="BA48" s="2016">
        <f t="shared" si="163"/>
        <v>22263</v>
      </c>
      <c r="BB48" s="4361">
        <f t="shared" si="164"/>
        <v>0</v>
      </c>
      <c r="BC48" s="492">
        <f t="shared" si="165"/>
        <v>49160</v>
      </c>
      <c r="BD48" s="2017">
        <f t="shared" si="166"/>
        <v>0</v>
      </c>
      <c r="BE48" s="2100">
        <f t="shared" si="167"/>
        <v>100781</v>
      </c>
      <c r="BF48" s="528">
        <f t="shared" si="27"/>
        <v>0</v>
      </c>
      <c r="BG48" s="528"/>
      <c r="BI48">
        <f t="shared" si="28"/>
        <v>0</v>
      </c>
    </row>
    <row r="49" spans="2:67" ht="18" x14ac:dyDescent="0.3">
      <c r="B49" s="6240" t="s">
        <v>978</v>
      </c>
      <c r="C49" s="2029" t="s">
        <v>1550</v>
      </c>
      <c r="D49" s="2024"/>
      <c r="E49" s="616">
        <f>+SINTER!F21</f>
        <v>394721</v>
      </c>
      <c r="F49" s="2024"/>
      <c r="G49" s="616">
        <f>+SINTER!H21</f>
        <v>431104</v>
      </c>
      <c r="H49" s="2017">
        <f t="shared" si="1"/>
        <v>0</v>
      </c>
      <c r="I49" s="644">
        <f t="shared" si="2"/>
        <v>825825</v>
      </c>
      <c r="J49" s="2024"/>
      <c r="K49" s="616">
        <f>+SINTER!L21</f>
        <v>441570</v>
      </c>
      <c r="L49" s="2016">
        <f t="shared" si="3"/>
        <v>0</v>
      </c>
      <c r="M49" s="2533">
        <f t="shared" si="139"/>
        <v>1267395</v>
      </c>
      <c r="N49" s="181"/>
      <c r="O49" s="616">
        <f>+SINTER!P21</f>
        <v>470314</v>
      </c>
      <c r="P49" s="2017">
        <f t="shared" si="4"/>
        <v>0</v>
      </c>
      <c r="Q49" s="2100">
        <f t="shared" si="30"/>
        <v>1737709</v>
      </c>
      <c r="R49" s="181"/>
      <c r="S49" s="616">
        <f>+SINTER!T21</f>
        <v>459502</v>
      </c>
      <c r="T49" s="2017">
        <f t="shared" si="141"/>
        <v>0</v>
      </c>
      <c r="U49" s="2100">
        <f t="shared" si="142"/>
        <v>2197211</v>
      </c>
      <c r="V49" s="181"/>
      <c r="W49" s="616">
        <f>+SINTER!X21</f>
        <v>440393</v>
      </c>
      <c r="X49" s="2548"/>
      <c r="Y49" s="2016">
        <f t="shared" si="8"/>
        <v>1370209</v>
      </c>
      <c r="Z49" s="2017">
        <f t="shared" si="144"/>
        <v>0</v>
      </c>
      <c r="AA49" s="4361">
        <f t="shared" si="145"/>
        <v>2637604</v>
      </c>
      <c r="AB49" s="181"/>
      <c r="AC49" s="616">
        <f>+SINTER!AD21</f>
        <v>360664</v>
      </c>
      <c r="AD49" s="2017">
        <f t="shared" si="147"/>
        <v>0</v>
      </c>
      <c r="AE49" s="2100">
        <f t="shared" si="148"/>
        <v>2998268</v>
      </c>
      <c r="AF49" s="181"/>
      <c r="AG49" s="616">
        <f>+SINTER!AH21</f>
        <v>437318</v>
      </c>
      <c r="AH49" s="2017">
        <f t="shared" si="150"/>
        <v>0</v>
      </c>
      <c r="AI49" s="2100">
        <f t="shared" si="151"/>
        <v>3435586</v>
      </c>
      <c r="AJ49" s="181"/>
      <c r="AK49" s="616">
        <f>+SINTER!AL21</f>
        <v>435350</v>
      </c>
      <c r="AL49" s="2548"/>
      <c r="AM49" s="2533">
        <f t="shared" si="153"/>
        <v>1233332</v>
      </c>
      <c r="AN49" s="2017">
        <f t="shared" si="154"/>
        <v>0</v>
      </c>
      <c r="AO49" s="2100">
        <f t="shared" si="155"/>
        <v>3870936</v>
      </c>
      <c r="AP49" s="181"/>
      <c r="AQ49" s="616">
        <f>+SINTER!AR21</f>
        <v>443510</v>
      </c>
      <c r="AR49" s="2017">
        <f t="shared" si="157"/>
        <v>0</v>
      </c>
      <c r="AS49" s="2100">
        <f t="shared" si="158"/>
        <v>4314446</v>
      </c>
      <c r="AT49" s="181"/>
      <c r="AU49" s="616">
        <f>+SINTER!AV21</f>
        <v>381651.88</v>
      </c>
      <c r="AV49" s="2017">
        <f t="shared" si="160"/>
        <v>0</v>
      </c>
      <c r="AW49" s="2100">
        <f t="shared" si="161"/>
        <v>4696097.88</v>
      </c>
      <c r="AX49" s="181"/>
      <c r="AY49" s="616">
        <f>+SINTER!AZ21</f>
        <v>476035</v>
      </c>
      <c r="AZ49" s="2548"/>
      <c r="BA49" s="2016">
        <f t="shared" si="163"/>
        <v>1301196.8799999999</v>
      </c>
      <c r="BB49" s="4361">
        <f t="shared" si="164"/>
        <v>0</v>
      </c>
      <c r="BC49" s="492">
        <f t="shared" si="165"/>
        <v>2534528.88</v>
      </c>
      <c r="BD49" s="2017">
        <f t="shared" si="166"/>
        <v>0</v>
      </c>
      <c r="BE49" s="2100">
        <f t="shared" si="167"/>
        <v>5172132.88</v>
      </c>
      <c r="BF49" s="528">
        <f t="shared" si="27"/>
        <v>0</v>
      </c>
      <c r="BG49" s="528"/>
      <c r="BI49">
        <f t="shared" si="28"/>
        <v>0</v>
      </c>
    </row>
    <row r="50" spans="2:67" ht="18" x14ac:dyDescent="0.3">
      <c r="B50" s="6241"/>
      <c r="C50" s="2029" t="s">
        <v>1551</v>
      </c>
      <c r="D50" s="2024"/>
      <c r="E50" s="265">
        <f t="shared" ref="E50:N50" si="168">SUM(E46:E48)</f>
        <v>8505</v>
      </c>
      <c r="F50" s="265">
        <f t="shared" si="168"/>
        <v>0</v>
      </c>
      <c r="G50" s="265">
        <f t="shared" ref="G50" si="169">SUM(G46:G48)</f>
        <v>12422</v>
      </c>
      <c r="H50" s="2017">
        <f t="shared" si="1"/>
        <v>0</v>
      </c>
      <c r="I50" s="644">
        <f t="shared" si="2"/>
        <v>20927</v>
      </c>
      <c r="J50" s="265">
        <f t="shared" si="168"/>
        <v>0</v>
      </c>
      <c r="K50" s="265">
        <f t="shared" si="168"/>
        <v>17423</v>
      </c>
      <c r="L50" s="2016">
        <f t="shared" si="3"/>
        <v>0</v>
      </c>
      <c r="M50" s="2533">
        <f t="shared" si="139"/>
        <v>38350</v>
      </c>
      <c r="N50" s="265">
        <f t="shared" si="168"/>
        <v>0</v>
      </c>
      <c r="O50" s="265">
        <f t="shared" ref="O50" si="170">SUM(O46:O48)</f>
        <v>26940</v>
      </c>
      <c r="P50" s="2017">
        <f t="shared" si="4"/>
        <v>0</v>
      </c>
      <c r="Q50" s="2100">
        <f t="shared" si="30"/>
        <v>65290</v>
      </c>
      <c r="R50" s="265">
        <f t="shared" ref="R50:S50" si="171">SUM(R46:R48)</f>
        <v>0</v>
      </c>
      <c r="S50" s="265">
        <f t="shared" si="171"/>
        <v>20134</v>
      </c>
      <c r="T50" s="2017">
        <f t="shared" si="141"/>
        <v>0</v>
      </c>
      <c r="U50" s="2100">
        <f t="shared" si="142"/>
        <v>85424</v>
      </c>
      <c r="V50" s="265">
        <f t="shared" ref="V50:W50" si="172">SUM(V46:V48)</f>
        <v>0</v>
      </c>
      <c r="W50" s="265">
        <f t="shared" si="172"/>
        <v>25770</v>
      </c>
      <c r="X50" s="3219"/>
      <c r="Y50" s="2016">
        <f t="shared" si="8"/>
        <v>72844</v>
      </c>
      <c r="Z50" s="2017">
        <f t="shared" si="144"/>
        <v>0</v>
      </c>
      <c r="AA50" s="4361">
        <f t="shared" si="145"/>
        <v>111194</v>
      </c>
      <c r="AB50" s="265">
        <f t="shared" ref="AB50:AC50" si="173">SUM(AB46:AB48)</f>
        <v>0</v>
      </c>
      <c r="AC50" s="265">
        <f t="shared" si="173"/>
        <v>29022</v>
      </c>
      <c r="AD50" s="2017">
        <f t="shared" si="147"/>
        <v>0</v>
      </c>
      <c r="AE50" s="2100">
        <f t="shared" si="148"/>
        <v>140216</v>
      </c>
      <c r="AF50" s="265">
        <f t="shared" ref="AF50:AG50" si="174">SUM(AF46:AF48)</f>
        <v>0</v>
      </c>
      <c r="AG50" s="265">
        <f t="shared" si="174"/>
        <v>25512</v>
      </c>
      <c r="AH50" s="2017">
        <f t="shared" si="150"/>
        <v>0</v>
      </c>
      <c r="AI50" s="2100">
        <f t="shared" si="151"/>
        <v>165728</v>
      </c>
      <c r="AJ50" s="265">
        <f t="shared" ref="AJ50:AK50" si="175">SUM(AJ46:AJ48)</f>
        <v>0</v>
      </c>
      <c r="AK50" s="265">
        <f t="shared" si="175"/>
        <v>22853</v>
      </c>
      <c r="AL50" s="3219"/>
      <c r="AM50" s="2533">
        <f t="shared" si="153"/>
        <v>77387</v>
      </c>
      <c r="AN50" s="2017">
        <f t="shared" si="154"/>
        <v>0</v>
      </c>
      <c r="AO50" s="2100">
        <f t="shared" si="155"/>
        <v>188581</v>
      </c>
      <c r="AP50" s="265">
        <f t="shared" ref="AP50:AQ50" si="176">SUM(AP46:AP48)</f>
        <v>0</v>
      </c>
      <c r="AQ50" s="265">
        <f t="shared" si="176"/>
        <v>24050</v>
      </c>
      <c r="AR50" s="2017">
        <f t="shared" si="157"/>
        <v>0</v>
      </c>
      <c r="AS50" s="2100">
        <f t="shared" si="158"/>
        <v>212631</v>
      </c>
      <c r="AT50" s="265">
        <f t="shared" ref="AT50:AU50" si="177">SUM(AT46:AT48)</f>
        <v>0</v>
      </c>
      <c r="AU50" s="265">
        <f t="shared" si="177"/>
        <v>17230</v>
      </c>
      <c r="AV50" s="2017">
        <f t="shared" si="160"/>
        <v>0</v>
      </c>
      <c r="AW50" s="2100">
        <f t="shared" si="161"/>
        <v>229861</v>
      </c>
      <c r="AX50" s="265">
        <f t="shared" ref="AX50:AY50" si="178">SUM(AX46:AX48)</f>
        <v>0</v>
      </c>
      <c r="AY50" s="265">
        <f t="shared" si="178"/>
        <v>12584</v>
      </c>
      <c r="AZ50" s="3219"/>
      <c r="BA50" s="2016">
        <f t="shared" si="163"/>
        <v>53864</v>
      </c>
      <c r="BB50" s="4361">
        <f t="shared" si="164"/>
        <v>0</v>
      </c>
      <c r="BC50" s="492">
        <f t="shared" si="165"/>
        <v>131251</v>
      </c>
      <c r="BD50" s="2017">
        <f t="shared" si="166"/>
        <v>0</v>
      </c>
      <c r="BE50" s="2100">
        <f t="shared" si="167"/>
        <v>242445</v>
      </c>
      <c r="BF50" s="528">
        <f t="shared" si="27"/>
        <v>0</v>
      </c>
      <c r="BG50" s="528"/>
      <c r="BI50">
        <f t="shared" si="28"/>
        <v>0</v>
      </c>
    </row>
    <row r="51" spans="2:67" ht="18" x14ac:dyDescent="0.3">
      <c r="B51" s="6242"/>
      <c r="C51" s="2029" t="s">
        <v>1552</v>
      </c>
      <c r="D51" s="2024"/>
      <c r="E51" s="265">
        <f t="shared" ref="E51:N51" si="179">SUM(E49:E50)</f>
        <v>403226</v>
      </c>
      <c r="F51" s="265">
        <f t="shared" si="179"/>
        <v>0</v>
      </c>
      <c r="G51" s="616">
        <f t="shared" ref="G51" si="180">SUM(G49:G50)</f>
        <v>443526</v>
      </c>
      <c r="H51" s="2017">
        <f t="shared" si="1"/>
        <v>0</v>
      </c>
      <c r="I51" s="644">
        <f t="shared" si="2"/>
        <v>846752</v>
      </c>
      <c r="J51" s="265">
        <f t="shared" si="179"/>
        <v>0</v>
      </c>
      <c r="K51" s="616">
        <f t="shared" si="179"/>
        <v>458993</v>
      </c>
      <c r="L51" s="2016">
        <f t="shared" si="3"/>
        <v>0</v>
      </c>
      <c r="M51" s="2533">
        <f t="shared" si="139"/>
        <v>1305745</v>
      </c>
      <c r="N51" s="265">
        <f t="shared" si="179"/>
        <v>0</v>
      </c>
      <c r="O51" s="616">
        <f t="shared" ref="O51" si="181">SUM(O49:O50)</f>
        <v>497254</v>
      </c>
      <c r="P51" s="2017">
        <f t="shared" si="4"/>
        <v>0</v>
      </c>
      <c r="Q51" s="2100">
        <f t="shared" si="30"/>
        <v>1802999</v>
      </c>
      <c r="R51" s="265">
        <f t="shared" ref="R51:S51" si="182">SUM(R49:R50)</f>
        <v>0</v>
      </c>
      <c r="S51" s="616">
        <f t="shared" si="182"/>
        <v>479636</v>
      </c>
      <c r="T51" s="2017">
        <f t="shared" si="141"/>
        <v>0</v>
      </c>
      <c r="U51" s="2100">
        <f t="shared" si="142"/>
        <v>2282635</v>
      </c>
      <c r="V51" s="265">
        <f t="shared" ref="V51:W51" si="183">SUM(V49:V50)</f>
        <v>0</v>
      </c>
      <c r="W51" s="616">
        <f t="shared" si="183"/>
        <v>466163</v>
      </c>
      <c r="X51" s="2548"/>
      <c r="Y51" s="2016">
        <f t="shared" si="8"/>
        <v>1443053</v>
      </c>
      <c r="Z51" s="2017">
        <f t="shared" si="144"/>
        <v>0</v>
      </c>
      <c r="AA51" s="4361">
        <f t="shared" si="145"/>
        <v>2748798</v>
      </c>
      <c r="AB51" s="265">
        <f t="shared" ref="AB51:AC51" si="184">SUM(AB49:AB50)</f>
        <v>0</v>
      </c>
      <c r="AC51" s="616">
        <f t="shared" si="184"/>
        <v>389686</v>
      </c>
      <c r="AD51" s="2017">
        <f t="shared" si="147"/>
        <v>0</v>
      </c>
      <c r="AE51" s="2100">
        <f t="shared" si="148"/>
        <v>3138484</v>
      </c>
      <c r="AF51" s="265">
        <f t="shared" ref="AF51:AG51" si="185">SUM(AF49:AF50)</f>
        <v>0</v>
      </c>
      <c r="AG51" s="616">
        <f t="shared" si="185"/>
        <v>462830</v>
      </c>
      <c r="AH51" s="2017">
        <f t="shared" si="150"/>
        <v>0</v>
      </c>
      <c r="AI51" s="2100">
        <f t="shared" si="151"/>
        <v>3601314</v>
      </c>
      <c r="AJ51" s="265">
        <f t="shared" ref="AJ51:AK51" si="186">SUM(AJ49:AJ50)</f>
        <v>0</v>
      </c>
      <c r="AK51" s="616">
        <f t="shared" si="186"/>
        <v>458203</v>
      </c>
      <c r="AL51" s="2548"/>
      <c r="AM51" s="2533">
        <f t="shared" si="153"/>
        <v>1310719</v>
      </c>
      <c r="AN51" s="2017">
        <f t="shared" si="154"/>
        <v>0</v>
      </c>
      <c r="AO51" s="2100">
        <f t="shared" si="155"/>
        <v>4059517</v>
      </c>
      <c r="AP51" s="265">
        <f t="shared" ref="AP51:AQ51" si="187">SUM(AP49:AP50)</f>
        <v>0</v>
      </c>
      <c r="AQ51" s="616">
        <f t="shared" si="187"/>
        <v>467560</v>
      </c>
      <c r="AR51" s="2017">
        <f t="shared" si="157"/>
        <v>0</v>
      </c>
      <c r="AS51" s="2100">
        <f t="shared" si="158"/>
        <v>4527077</v>
      </c>
      <c r="AT51" s="265">
        <f t="shared" ref="AT51:AU51" si="188">SUM(AT49:AT50)</f>
        <v>0</v>
      </c>
      <c r="AU51" s="616">
        <f t="shared" si="188"/>
        <v>398881.88</v>
      </c>
      <c r="AV51" s="2017">
        <f t="shared" si="160"/>
        <v>0</v>
      </c>
      <c r="AW51" s="2100">
        <f t="shared" si="161"/>
        <v>4925958.88</v>
      </c>
      <c r="AX51" s="265">
        <f t="shared" ref="AX51:AY51" si="189">SUM(AX49:AX50)</f>
        <v>0</v>
      </c>
      <c r="AY51" s="616">
        <f t="shared" si="189"/>
        <v>488619</v>
      </c>
      <c r="AZ51" s="2548"/>
      <c r="BA51" s="2016">
        <f t="shared" si="163"/>
        <v>1355060.88</v>
      </c>
      <c r="BB51" s="4361">
        <f t="shared" si="164"/>
        <v>0</v>
      </c>
      <c r="BC51" s="492">
        <f t="shared" si="165"/>
        <v>2665779.88</v>
      </c>
      <c r="BD51" s="2017">
        <f t="shared" si="166"/>
        <v>0</v>
      </c>
      <c r="BE51" s="2100">
        <f t="shared" si="167"/>
        <v>5414577.8799999999</v>
      </c>
      <c r="BF51" s="528">
        <f t="shared" si="27"/>
        <v>0</v>
      </c>
      <c r="BG51" s="528"/>
      <c r="BI51">
        <f t="shared" si="28"/>
        <v>0</v>
      </c>
    </row>
    <row r="52" spans="2:67" ht="18" x14ac:dyDescent="0.35">
      <c r="B52" s="2042"/>
      <c r="C52" s="2034"/>
      <c r="D52" s="2026"/>
      <c r="E52" s="2568"/>
      <c r="F52" s="2568"/>
      <c r="G52" s="2568"/>
      <c r="H52" s="2568"/>
      <c r="I52" s="2568"/>
      <c r="J52" s="2568"/>
      <c r="K52" s="2568"/>
      <c r="L52" s="2568"/>
      <c r="M52" s="2568"/>
      <c r="N52" s="2568"/>
      <c r="O52" s="2568"/>
      <c r="P52" s="2568"/>
      <c r="Q52" s="2568"/>
      <c r="R52" s="2568"/>
      <c r="S52" s="2568"/>
      <c r="T52" s="2568"/>
      <c r="U52" s="2568"/>
      <c r="V52" s="2568"/>
      <c r="W52" s="2568"/>
      <c r="X52" s="3887"/>
      <c r="Y52" s="2016"/>
      <c r="Z52" s="2568"/>
      <c r="AA52" s="2568"/>
      <c r="AB52" s="2568"/>
      <c r="AC52" s="2568"/>
      <c r="AD52" s="2568"/>
      <c r="AE52" s="2568"/>
      <c r="AF52" s="2568"/>
      <c r="AG52" s="2568"/>
      <c r="AH52" s="2568"/>
      <c r="AI52" s="2568"/>
      <c r="AJ52" s="2568"/>
      <c r="AK52" s="2568"/>
      <c r="AL52" s="3887"/>
      <c r="AM52" s="2016"/>
      <c r="AN52" s="2568"/>
      <c r="AO52" s="2568"/>
      <c r="AP52" s="2568"/>
      <c r="AQ52" s="2568"/>
      <c r="AR52" s="2568"/>
      <c r="AS52" s="2568"/>
      <c r="AT52" s="2568"/>
      <c r="AU52" s="2568"/>
      <c r="AV52" s="2568"/>
      <c r="AW52" s="2568"/>
      <c r="AX52" s="2568"/>
      <c r="AY52" s="2568"/>
      <c r="AZ52" s="3887"/>
      <c r="BA52" s="2016"/>
      <c r="BB52" s="4398"/>
      <c r="BC52" s="4398"/>
      <c r="BD52" s="2568"/>
      <c r="BE52" s="2568"/>
      <c r="BF52" s="528">
        <f t="shared" si="27"/>
        <v>0</v>
      </c>
      <c r="BG52" s="528"/>
      <c r="BI52">
        <f t="shared" si="28"/>
        <v>0</v>
      </c>
    </row>
    <row r="53" spans="2:67" ht="18" x14ac:dyDescent="0.3">
      <c r="B53" s="6231" t="s">
        <v>1553</v>
      </c>
      <c r="C53" s="2031" t="s">
        <v>1426</v>
      </c>
      <c r="D53" s="2025"/>
      <c r="E53" s="2569"/>
      <c r="F53" s="2569"/>
      <c r="G53" s="2569"/>
      <c r="H53" s="2569"/>
      <c r="I53" s="2569"/>
      <c r="J53" s="2569"/>
      <c r="K53" s="2569"/>
      <c r="L53" s="2569"/>
      <c r="M53" s="2569"/>
      <c r="N53" s="2569"/>
      <c r="O53" s="2569"/>
      <c r="P53" s="2569">
        <f t="shared" ref="P53" si="190">+P50-P52</f>
        <v>0</v>
      </c>
      <c r="Q53" s="2569"/>
      <c r="R53" s="2569"/>
      <c r="S53" s="2569"/>
      <c r="T53" s="2569">
        <f t="shared" ref="T53" si="191">+T50-T52</f>
        <v>0</v>
      </c>
      <c r="U53" s="2569"/>
      <c r="V53" s="2569"/>
      <c r="W53" s="2569"/>
      <c r="X53" s="3883"/>
      <c r="Y53" s="2016"/>
      <c r="Z53" s="2569"/>
      <c r="AA53" s="2569"/>
      <c r="AB53" s="2569"/>
      <c r="AC53" s="2569"/>
      <c r="AD53" s="2569">
        <f t="shared" ref="AD53" si="192">+AD50-AD52</f>
        <v>0</v>
      </c>
      <c r="AE53" s="2569"/>
      <c r="AF53" s="2569"/>
      <c r="AG53" s="2569"/>
      <c r="AH53" s="2569">
        <f t="shared" ref="AH53" si="193">+AH50-AH52</f>
        <v>0</v>
      </c>
      <c r="AI53" s="2569"/>
      <c r="AJ53" s="2569"/>
      <c r="AK53" s="2569"/>
      <c r="AL53" s="3883"/>
      <c r="AM53" s="2016"/>
      <c r="AN53" s="2569">
        <f t="shared" ref="AN53" si="194">+AN50-AN52</f>
        <v>0</v>
      </c>
      <c r="AO53" s="2569"/>
      <c r="AP53" s="2569"/>
      <c r="AQ53" s="2569"/>
      <c r="AR53" s="2569"/>
      <c r="AS53" s="2569"/>
      <c r="AT53" s="2569"/>
      <c r="AU53" s="2569"/>
      <c r="AV53" s="2569"/>
      <c r="AW53" s="2569"/>
      <c r="AX53" s="2569"/>
      <c r="AY53" s="2569"/>
      <c r="AZ53" s="3883"/>
      <c r="BA53" s="2016"/>
      <c r="BB53" s="4399"/>
      <c r="BC53" s="4399"/>
      <c r="BD53" s="2569"/>
      <c r="BE53" s="2569"/>
      <c r="BF53" s="528">
        <f t="shared" si="27"/>
        <v>0</v>
      </c>
      <c r="BG53" s="528"/>
      <c r="BI53">
        <f t="shared" si="28"/>
        <v>0</v>
      </c>
    </row>
    <row r="54" spans="2:67" ht="18" x14ac:dyDescent="0.3">
      <c r="B54" s="6231"/>
      <c r="C54" s="2027" t="s">
        <v>1554</v>
      </c>
      <c r="D54" s="1678"/>
      <c r="E54" s="2015">
        <v>66237</v>
      </c>
      <c r="F54" s="1678"/>
      <c r="G54" s="2015">
        <v>66237</v>
      </c>
      <c r="H54" s="2017">
        <f t="shared" si="1"/>
        <v>0</v>
      </c>
      <c r="I54" s="2100">
        <f t="shared" si="2"/>
        <v>132474</v>
      </c>
      <c r="J54" s="1678"/>
      <c r="K54" s="2015">
        <v>75651</v>
      </c>
      <c r="L54" s="2016">
        <f t="shared" si="3"/>
        <v>0</v>
      </c>
      <c r="M54" s="2016">
        <f t="shared" ref="M54:M62" si="195">E54+G54+K54</f>
        <v>208125</v>
      </c>
      <c r="N54" s="181"/>
      <c r="O54" s="2015">
        <v>80235</v>
      </c>
      <c r="P54" s="2017">
        <f t="shared" si="4"/>
        <v>0</v>
      </c>
      <c r="Q54" s="2017">
        <f t="shared" si="30"/>
        <v>288360</v>
      </c>
      <c r="R54" s="181"/>
      <c r="S54" s="2015">
        <v>57375</v>
      </c>
      <c r="T54" s="2017">
        <f t="shared" ref="T54:T61" si="196">+P54+R54</f>
        <v>0</v>
      </c>
      <c r="U54" s="2017">
        <f t="shared" ref="U54:U62" si="197">+Q54+S54</f>
        <v>345735</v>
      </c>
      <c r="V54" s="181"/>
      <c r="W54" s="2015">
        <v>51110</v>
      </c>
      <c r="X54" s="3777"/>
      <c r="Y54" s="2016">
        <f t="shared" si="8"/>
        <v>188720</v>
      </c>
      <c r="Z54" s="2017">
        <f t="shared" ref="Z54:Z61" si="198">+T54+V54</f>
        <v>0</v>
      </c>
      <c r="AA54" s="4361">
        <f t="shared" ref="AA54:AA61" si="199">+U54+W54</f>
        <v>396845</v>
      </c>
      <c r="AB54" s="181"/>
      <c r="AC54" s="2015">
        <v>50456</v>
      </c>
      <c r="AD54" s="2017">
        <f t="shared" ref="AD54:AD61" si="200">+Z54+AB54</f>
        <v>0</v>
      </c>
      <c r="AE54" s="2017">
        <f t="shared" ref="AE54:AE62" si="201">+AA54+AC54</f>
        <v>447301</v>
      </c>
      <c r="AF54" s="181"/>
      <c r="AG54" s="2015">
        <v>57451</v>
      </c>
      <c r="AH54" s="2017">
        <f t="shared" ref="AH54:AH61" si="202">+AD54+AF54</f>
        <v>0</v>
      </c>
      <c r="AI54" s="2017">
        <f t="shared" ref="AI54:AI62" si="203">+AE54+AG54</f>
        <v>504752</v>
      </c>
      <c r="AJ54" s="181"/>
      <c r="AK54" s="2015">
        <v>81924</v>
      </c>
      <c r="AL54" s="3777"/>
      <c r="AM54" s="2016">
        <f t="shared" ref="AM54:AM62" si="204">AC54+AG54+AK54</f>
        <v>189831</v>
      </c>
      <c r="AN54" s="2017">
        <f t="shared" ref="AN54:AN61" si="205">+AH54+AJ54</f>
        <v>0</v>
      </c>
      <c r="AO54" s="2017">
        <f t="shared" ref="AO54:AO62" si="206">+AI54+AK54</f>
        <v>586676</v>
      </c>
      <c r="AP54" s="181"/>
      <c r="AQ54" s="2015">
        <v>83700</v>
      </c>
      <c r="AR54" s="2017">
        <f t="shared" ref="AR54:AR61" si="207">+AN54+AP54</f>
        <v>0</v>
      </c>
      <c r="AS54" s="2017">
        <f t="shared" ref="AS54:AS62" si="208">+AO54+AQ54</f>
        <v>670376</v>
      </c>
      <c r="AT54" s="181"/>
      <c r="AU54" s="2015">
        <v>52667</v>
      </c>
      <c r="AV54" s="2017">
        <f t="shared" ref="AV54:AV61" si="209">+AR54+AT54</f>
        <v>0</v>
      </c>
      <c r="AW54" s="2017">
        <f t="shared" ref="AW54:AW62" si="210">+AS54+AU54</f>
        <v>723043</v>
      </c>
      <c r="AX54" s="181"/>
      <c r="AY54" s="2015">
        <v>61570</v>
      </c>
      <c r="AZ54" s="3777"/>
      <c r="BA54" s="2016">
        <f t="shared" ref="BA54:BA62" si="211">AQ54+AU54+AY54</f>
        <v>197937</v>
      </c>
      <c r="BB54" s="4361">
        <f t="shared" ref="BB54:BB62" si="212">+AV54+AX54</f>
        <v>0</v>
      </c>
      <c r="BC54" s="492">
        <f t="shared" ref="BC54:BC62" si="213">AM54+BA54</f>
        <v>387768</v>
      </c>
      <c r="BD54" s="2017">
        <f t="shared" ref="BD54:BD61" si="214">+AV54+AX54</f>
        <v>0</v>
      </c>
      <c r="BE54" s="2017">
        <f t="shared" ref="BE54:BE62" si="215">+AW54+AY54</f>
        <v>784613</v>
      </c>
      <c r="BF54" s="528">
        <f t="shared" si="27"/>
        <v>0</v>
      </c>
      <c r="BG54" s="528"/>
      <c r="BI54">
        <f t="shared" si="28"/>
        <v>0</v>
      </c>
    </row>
    <row r="55" spans="2:67" ht="18" x14ac:dyDescent="0.3">
      <c r="B55" s="6231"/>
      <c r="C55" s="2027" t="s">
        <v>1555</v>
      </c>
      <c r="D55" s="1678"/>
      <c r="E55" s="2015">
        <v>241</v>
      </c>
      <c r="F55" s="1678"/>
      <c r="G55" s="2015">
        <v>241</v>
      </c>
      <c r="H55" s="2017">
        <f t="shared" si="1"/>
        <v>0</v>
      </c>
      <c r="I55" s="2100">
        <f t="shared" si="2"/>
        <v>482</v>
      </c>
      <c r="J55" s="1678"/>
      <c r="K55" s="2015">
        <v>1325</v>
      </c>
      <c r="L55" s="2016">
        <f t="shared" si="3"/>
        <v>0</v>
      </c>
      <c r="M55" s="2016">
        <f t="shared" si="195"/>
        <v>1807</v>
      </c>
      <c r="N55" s="181"/>
      <c r="O55" s="2015">
        <v>406</v>
      </c>
      <c r="P55" s="2017">
        <f t="shared" si="4"/>
        <v>0</v>
      </c>
      <c r="Q55" s="2017">
        <f t="shared" si="30"/>
        <v>2213</v>
      </c>
      <c r="R55" s="181"/>
      <c r="S55" s="2015">
        <v>1422</v>
      </c>
      <c r="T55" s="2017">
        <f t="shared" si="196"/>
        <v>0</v>
      </c>
      <c r="U55" s="2017">
        <f t="shared" si="197"/>
        <v>3635</v>
      </c>
      <c r="V55" s="181"/>
      <c r="W55" s="2015">
        <v>706</v>
      </c>
      <c r="X55" s="3777"/>
      <c r="Y55" s="2016">
        <f t="shared" si="8"/>
        <v>2534</v>
      </c>
      <c r="Z55" s="2017">
        <f t="shared" si="198"/>
        <v>0</v>
      </c>
      <c r="AA55" s="4361">
        <f t="shared" si="199"/>
        <v>4341</v>
      </c>
      <c r="AB55" s="181"/>
      <c r="AC55" s="2015">
        <v>1243</v>
      </c>
      <c r="AD55" s="2017">
        <f t="shared" si="200"/>
        <v>0</v>
      </c>
      <c r="AE55" s="2017">
        <f t="shared" si="201"/>
        <v>5584</v>
      </c>
      <c r="AF55" s="181"/>
      <c r="AG55" s="2015">
        <v>443</v>
      </c>
      <c r="AH55" s="2017">
        <f t="shared" si="202"/>
        <v>0</v>
      </c>
      <c r="AI55" s="2017">
        <f t="shared" si="203"/>
        <v>6027</v>
      </c>
      <c r="AJ55" s="181"/>
      <c r="AK55" s="2015">
        <v>766</v>
      </c>
      <c r="AL55" s="3777"/>
      <c r="AM55" s="2016">
        <f t="shared" si="204"/>
        <v>2452</v>
      </c>
      <c r="AN55" s="2017">
        <f t="shared" si="205"/>
        <v>0</v>
      </c>
      <c r="AO55" s="2017">
        <f t="shared" si="206"/>
        <v>6793</v>
      </c>
      <c r="AP55" s="181"/>
      <c r="AQ55" s="2015">
        <v>4283</v>
      </c>
      <c r="AR55" s="2017">
        <f t="shared" si="207"/>
        <v>0</v>
      </c>
      <c r="AS55" s="2017">
        <f t="shared" si="208"/>
        <v>11076</v>
      </c>
      <c r="AT55" s="181"/>
      <c r="AU55" s="2015">
        <v>3004</v>
      </c>
      <c r="AV55" s="2017">
        <f t="shared" si="209"/>
        <v>0</v>
      </c>
      <c r="AW55" s="2017">
        <f t="shared" si="210"/>
        <v>14080</v>
      </c>
      <c r="AX55" s="181"/>
      <c r="AY55" s="2015">
        <v>95</v>
      </c>
      <c r="AZ55" s="3777"/>
      <c r="BA55" s="2016">
        <f t="shared" si="211"/>
        <v>7382</v>
      </c>
      <c r="BB55" s="4361">
        <f t="shared" si="212"/>
        <v>0</v>
      </c>
      <c r="BC55" s="492">
        <f t="shared" si="213"/>
        <v>9834</v>
      </c>
      <c r="BD55" s="2017">
        <f t="shared" si="214"/>
        <v>0</v>
      </c>
      <c r="BE55" s="2017">
        <f t="shared" si="215"/>
        <v>14175</v>
      </c>
      <c r="BF55" s="528">
        <f t="shared" si="27"/>
        <v>0</v>
      </c>
      <c r="BG55" s="528"/>
      <c r="BI55">
        <f t="shared" si="28"/>
        <v>0</v>
      </c>
    </row>
    <row r="56" spans="2:67" ht="18" x14ac:dyDescent="0.3">
      <c r="B56" s="6231"/>
      <c r="C56" s="2027" t="s">
        <v>1556</v>
      </c>
      <c r="D56" s="1678"/>
      <c r="E56" s="2015">
        <v>0</v>
      </c>
      <c r="F56" s="1678"/>
      <c r="G56" s="2015">
        <v>0</v>
      </c>
      <c r="H56" s="2017">
        <f t="shared" si="1"/>
        <v>0</v>
      </c>
      <c r="I56" s="2100">
        <f t="shared" si="2"/>
        <v>0</v>
      </c>
      <c r="J56" s="1678"/>
      <c r="K56" s="2015">
        <v>0</v>
      </c>
      <c r="L56" s="2016">
        <f t="shared" si="3"/>
        <v>0</v>
      </c>
      <c r="M56" s="2016">
        <f t="shared" si="195"/>
        <v>0</v>
      </c>
      <c r="N56" s="181"/>
      <c r="O56" s="2015">
        <v>0</v>
      </c>
      <c r="P56" s="2017">
        <f t="shared" si="4"/>
        <v>0</v>
      </c>
      <c r="Q56" s="2017">
        <f t="shared" si="30"/>
        <v>0</v>
      </c>
      <c r="R56" s="181"/>
      <c r="S56" s="2015">
        <v>0</v>
      </c>
      <c r="T56" s="2017">
        <f t="shared" si="196"/>
        <v>0</v>
      </c>
      <c r="U56" s="2017">
        <f t="shared" si="197"/>
        <v>0</v>
      </c>
      <c r="V56" s="181"/>
      <c r="W56" s="2015">
        <v>0</v>
      </c>
      <c r="X56" s="3777"/>
      <c r="Y56" s="2016">
        <f t="shared" si="8"/>
        <v>0</v>
      </c>
      <c r="Z56" s="2017">
        <f t="shared" si="198"/>
        <v>0</v>
      </c>
      <c r="AA56" s="4361">
        <f t="shared" si="199"/>
        <v>0</v>
      </c>
      <c r="AB56" s="181"/>
      <c r="AC56" s="2015">
        <v>0</v>
      </c>
      <c r="AD56" s="2017">
        <f t="shared" si="200"/>
        <v>0</v>
      </c>
      <c r="AE56" s="2017">
        <f t="shared" si="201"/>
        <v>0</v>
      </c>
      <c r="AF56" s="181"/>
      <c r="AG56" s="2015">
        <v>0</v>
      </c>
      <c r="AH56" s="2017">
        <f t="shared" si="202"/>
        <v>0</v>
      </c>
      <c r="AI56" s="2017">
        <f t="shared" si="203"/>
        <v>0</v>
      </c>
      <c r="AJ56" s="181"/>
      <c r="AK56" s="2015">
        <v>0</v>
      </c>
      <c r="AL56" s="3777"/>
      <c r="AM56" s="2016">
        <f t="shared" si="204"/>
        <v>0</v>
      </c>
      <c r="AN56" s="2017">
        <f t="shared" si="205"/>
        <v>0</v>
      </c>
      <c r="AO56" s="2017">
        <f t="shared" si="206"/>
        <v>0</v>
      </c>
      <c r="AP56" s="181"/>
      <c r="AQ56" s="2015">
        <v>809</v>
      </c>
      <c r="AR56" s="2017">
        <f t="shared" si="207"/>
        <v>0</v>
      </c>
      <c r="AS56" s="2017">
        <f t="shared" si="208"/>
        <v>809</v>
      </c>
      <c r="AT56" s="181"/>
      <c r="AU56" s="2015">
        <v>231</v>
      </c>
      <c r="AV56" s="2017">
        <f t="shared" si="209"/>
        <v>0</v>
      </c>
      <c r="AW56" s="2017">
        <f t="shared" si="210"/>
        <v>1040</v>
      </c>
      <c r="AX56" s="181"/>
      <c r="AY56" s="2015">
        <v>509</v>
      </c>
      <c r="AZ56" s="3777"/>
      <c r="BA56" s="2016">
        <f t="shared" si="211"/>
        <v>1549</v>
      </c>
      <c r="BB56" s="4361">
        <f t="shared" si="212"/>
        <v>0</v>
      </c>
      <c r="BC56" s="492">
        <f t="shared" si="213"/>
        <v>1549</v>
      </c>
      <c r="BD56" s="2017">
        <f t="shared" si="214"/>
        <v>0</v>
      </c>
      <c r="BE56" s="2017">
        <f t="shared" si="215"/>
        <v>1549</v>
      </c>
      <c r="BF56" s="528">
        <f t="shared" si="27"/>
        <v>0</v>
      </c>
      <c r="BG56" s="528"/>
      <c r="BI56">
        <f t="shared" si="28"/>
        <v>0</v>
      </c>
    </row>
    <row r="57" spans="2:67" ht="18" x14ac:dyDescent="0.3">
      <c r="B57" s="6231"/>
      <c r="C57" s="2027" t="s">
        <v>1557</v>
      </c>
      <c r="D57" s="1678"/>
      <c r="E57" s="2015">
        <v>71697</v>
      </c>
      <c r="F57" s="1678"/>
      <c r="G57" s="2015">
        <v>72348</v>
      </c>
      <c r="H57" s="2017">
        <f t="shared" si="1"/>
        <v>0</v>
      </c>
      <c r="I57" s="2100">
        <f t="shared" si="2"/>
        <v>144045</v>
      </c>
      <c r="J57" s="1678"/>
      <c r="K57" s="2015">
        <v>66338</v>
      </c>
      <c r="L57" s="2016">
        <f t="shared" si="3"/>
        <v>0</v>
      </c>
      <c r="M57" s="2016">
        <f t="shared" si="195"/>
        <v>210383</v>
      </c>
      <c r="N57" s="181"/>
      <c r="O57" s="2015">
        <v>55130</v>
      </c>
      <c r="P57" s="2017">
        <f t="shared" si="4"/>
        <v>0</v>
      </c>
      <c r="Q57" s="2017">
        <f t="shared" si="30"/>
        <v>265513</v>
      </c>
      <c r="R57" s="181"/>
      <c r="S57" s="2015">
        <v>68594</v>
      </c>
      <c r="T57" s="2017">
        <f t="shared" si="196"/>
        <v>0</v>
      </c>
      <c r="U57" s="2017">
        <f t="shared" si="197"/>
        <v>334107</v>
      </c>
      <c r="V57" s="181"/>
      <c r="W57" s="2015">
        <v>71031</v>
      </c>
      <c r="X57" s="3777"/>
      <c r="Y57" s="2016">
        <f t="shared" si="8"/>
        <v>194755</v>
      </c>
      <c r="Z57" s="2017">
        <f t="shared" si="198"/>
        <v>0</v>
      </c>
      <c r="AA57" s="4361">
        <f t="shared" si="199"/>
        <v>405138</v>
      </c>
      <c r="AB57" s="181"/>
      <c r="AC57" s="2015">
        <v>56395</v>
      </c>
      <c r="AD57" s="2017">
        <f t="shared" si="200"/>
        <v>0</v>
      </c>
      <c r="AE57" s="2017">
        <f t="shared" si="201"/>
        <v>461533</v>
      </c>
      <c r="AF57" s="181"/>
      <c r="AG57" s="2015">
        <v>56395</v>
      </c>
      <c r="AH57" s="2017">
        <f t="shared" si="202"/>
        <v>0</v>
      </c>
      <c r="AI57" s="2017">
        <f t="shared" si="203"/>
        <v>517928</v>
      </c>
      <c r="AJ57" s="181"/>
      <c r="AK57" s="2015">
        <v>74128</v>
      </c>
      <c r="AL57" s="3777"/>
      <c r="AM57" s="2016">
        <f t="shared" si="204"/>
        <v>186918</v>
      </c>
      <c r="AN57" s="2017">
        <f t="shared" si="205"/>
        <v>0</v>
      </c>
      <c r="AO57" s="2017">
        <f t="shared" si="206"/>
        <v>592056</v>
      </c>
      <c r="AP57" s="181"/>
      <c r="AQ57" s="2015">
        <v>56821</v>
      </c>
      <c r="AR57" s="2017">
        <f t="shared" si="207"/>
        <v>0</v>
      </c>
      <c r="AS57" s="2017">
        <f t="shared" si="208"/>
        <v>648877</v>
      </c>
      <c r="AT57" s="181"/>
      <c r="AU57" s="2015">
        <v>47844</v>
      </c>
      <c r="AV57" s="2017">
        <f t="shared" si="209"/>
        <v>0</v>
      </c>
      <c r="AW57" s="2017">
        <f t="shared" si="210"/>
        <v>696721</v>
      </c>
      <c r="AX57" s="181"/>
      <c r="AY57" s="2015">
        <v>64087</v>
      </c>
      <c r="AZ57" s="3777"/>
      <c r="BA57" s="2016">
        <f t="shared" si="211"/>
        <v>168752</v>
      </c>
      <c r="BB57" s="4361">
        <f t="shared" si="212"/>
        <v>0</v>
      </c>
      <c r="BC57" s="492">
        <f t="shared" si="213"/>
        <v>355670</v>
      </c>
      <c r="BD57" s="2017">
        <f t="shared" si="214"/>
        <v>0</v>
      </c>
      <c r="BE57" s="2017">
        <f t="shared" si="215"/>
        <v>760808</v>
      </c>
      <c r="BF57" s="528">
        <f t="shared" si="27"/>
        <v>0</v>
      </c>
      <c r="BG57" s="528"/>
      <c r="BI57">
        <f t="shared" si="28"/>
        <v>0</v>
      </c>
    </row>
    <row r="58" spans="2:67" ht="18" x14ac:dyDescent="0.3">
      <c r="B58" s="6231"/>
      <c r="C58" s="2027" t="s">
        <v>1558</v>
      </c>
      <c r="D58" s="1678"/>
      <c r="E58" s="2015">
        <v>15002</v>
      </c>
      <c r="F58" s="1678"/>
      <c r="G58" s="2015">
        <v>7844</v>
      </c>
      <c r="H58" s="2017">
        <f t="shared" si="1"/>
        <v>0</v>
      </c>
      <c r="I58" s="2100">
        <f t="shared" si="2"/>
        <v>22846</v>
      </c>
      <c r="J58" s="1678"/>
      <c r="K58" s="2015">
        <v>8636</v>
      </c>
      <c r="L58" s="2016">
        <f t="shared" si="3"/>
        <v>0</v>
      </c>
      <c r="M58" s="2016">
        <f t="shared" si="195"/>
        <v>31482</v>
      </c>
      <c r="N58" s="181"/>
      <c r="O58" s="2015">
        <v>7057</v>
      </c>
      <c r="P58" s="2017">
        <f t="shared" si="4"/>
        <v>0</v>
      </c>
      <c r="Q58" s="2017">
        <f t="shared" si="30"/>
        <v>38539</v>
      </c>
      <c r="R58" s="181"/>
      <c r="S58" s="2015">
        <v>11629</v>
      </c>
      <c r="T58" s="2017">
        <f t="shared" si="196"/>
        <v>0</v>
      </c>
      <c r="U58" s="2017">
        <f t="shared" si="197"/>
        <v>50168</v>
      </c>
      <c r="V58" s="181"/>
      <c r="W58" s="2015">
        <v>2789</v>
      </c>
      <c r="X58" s="3777"/>
      <c r="Y58" s="2016">
        <f t="shared" si="8"/>
        <v>21475</v>
      </c>
      <c r="Z58" s="2017">
        <f t="shared" si="198"/>
        <v>0</v>
      </c>
      <c r="AA58" s="4361">
        <f t="shared" si="199"/>
        <v>52957</v>
      </c>
      <c r="AB58" s="181"/>
      <c r="AC58" s="2015">
        <v>3151</v>
      </c>
      <c r="AD58" s="2017">
        <f t="shared" si="200"/>
        <v>0</v>
      </c>
      <c r="AE58" s="2017">
        <f t="shared" si="201"/>
        <v>56108</v>
      </c>
      <c r="AF58" s="181"/>
      <c r="AG58" s="2015">
        <v>0</v>
      </c>
      <c r="AH58" s="2017">
        <f t="shared" si="202"/>
        <v>0</v>
      </c>
      <c r="AI58" s="2017">
        <f t="shared" si="203"/>
        <v>56108</v>
      </c>
      <c r="AJ58" s="181"/>
      <c r="AK58" s="2015">
        <v>7118</v>
      </c>
      <c r="AL58" s="3777"/>
      <c r="AM58" s="2016">
        <f t="shared" si="204"/>
        <v>10269</v>
      </c>
      <c r="AN58" s="2017">
        <f t="shared" si="205"/>
        <v>0</v>
      </c>
      <c r="AO58" s="2017">
        <f t="shared" si="206"/>
        <v>63226</v>
      </c>
      <c r="AP58" s="181"/>
      <c r="AQ58" s="2015">
        <v>8655</v>
      </c>
      <c r="AR58" s="2017">
        <f t="shared" si="207"/>
        <v>0</v>
      </c>
      <c r="AS58" s="2017">
        <f t="shared" si="208"/>
        <v>71881</v>
      </c>
      <c r="AT58" s="181"/>
      <c r="AU58" s="2015">
        <v>18895</v>
      </c>
      <c r="AV58" s="2017">
        <f t="shared" si="209"/>
        <v>0</v>
      </c>
      <c r="AW58" s="2017">
        <f t="shared" si="210"/>
        <v>90776</v>
      </c>
      <c r="AX58" s="181"/>
      <c r="AY58" s="2015">
        <v>24850</v>
      </c>
      <c r="AZ58" s="3777"/>
      <c r="BA58" s="2016">
        <f t="shared" si="211"/>
        <v>52400</v>
      </c>
      <c r="BB58" s="4361">
        <f t="shared" si="212"/>
        <v>0</v>
      </c>
      <c r="BC58" s="492">
        <f t="shared" si="213"/>
        <v>62669</v>
      </c>
      <c r="BD58" s="2017">
        <f t="shared" si="214"/>
        <v>0</v>
      </c>
      <c r="BE58" s="2017">
        <f t="shared" si="215"/>
        <v>115626</v>
      </c>
      <c r="BF58" s="528">
        <f t="shared" si="27"/>
        <v>0</v>
      </c>
      <c r="BG58" s="528"/>
      <c r="BI58">
        <f t="shared" si="28"/>
        <v>0</v>
      </c>
    </row>
    <row r="59" spans="2:67" ht="18" x14ac:dyDescent="0.3">
      <c r="B59" s="6231"/>
      <c r="C59" s="2027" t="s">
        <v>1559</v>
      </c>
      <c r="D59" s="1678"/>
      <c r="E59" s="2015">
        <v>0</v>
      </c>
      <c r="F59" s="1678"/>
      <c r="G59" s="2015">
        <v>0</v>
      </c>
      <c r="H59" s="2017">
        <f t="shared" si="1"/>
        <v>0</v>
      </c>
      <c r="I59" s="2100">
        <f t="shared" si="2"/>
        <v>0</v>
      </c>
      <c r="J59" s="1678"/>
      <c r="K59" s="2015">
        <v>0</v>
      </c>
      <c r="L59" s="2016">
        <f t="shared" si="3"/>
        <v>0</v>
      </c>
      <c r="M59" s="2016">
        <f t="shared" si="195"/>
        <v>0</v>
      </c>
      <c r="N59" s="181"/>
      <c r="O59" s="2015">
        <v>0</v>
      </c>
      <c r="P59" s="2017">
        <f t="shared" si="4"/>
        <v>0</v>
      </c>
      <c r="Q59" s="2017">
        <f t="shared" si="30"/>
        <v>0</v>
      </c>
      <c r="R59" s="181"/>
      <c r="S59" s="2015">
        <v>0</v>
      </c>
      <c r="T59" s="2017">
        <f t="shared" si="196"/>
        <v>0</v>
      </c>
      <c r="U59" s="2017">
        <f t="shared" si="197"/>
        <v>0</v>
      </c>
      <c r="V59" s="181"/>
      <c r="W59" s="2015">
        <v>0</v>
      </c>
      <c r="X59" s="3777"/>
      <c r="Y59" s="2016">
        <f t="shared" si="8"/>
        <v>0</v>
      </c>
      <c r="Z59" s="2017">
        <f t="shared" si="198"/>
        <v>0</v>
      </c>
      <c r="AA59" s="4361">
        <f t="shared" si="199"/>
        <v>0</v>
      </c>
      <c r="AB59" s="181"/>
      <c r="AC59" s="2015">
        <v>0</v>
      </c>
      <c r="AD59" s="2017">
        <f t="shared" si="200"/>
        <v>0</v>
      </c>
      <c r="AE59" s="2017">
        <f t="shared" si="201"/>
        <v>0</v>
      </c>
      <c r="AF59" s="181"/>
      <c r="AG59" s="2015">
        <v>0</v>
      </c>
      <c r="AH59" s="2017">
        <f t="shared" si="202"/>
        <v>0</v>
      </c>
      <c r="AI59" s="2017">
        <f t="shared" si="203"/>
        <v>0</v>
      </c>
      <c r="AJ59" s="181"/>
      <c r="AK59" s="2015">
        <v>0</v>
      </c>
      <c r="AL59" s="3777"/>
      <c r="AM59" s="2016">
        <f t="shared" si="204"/>
        <v>0</v>
      </c>
      <c r="AN59" s="2017">
        <f t="shared" si="205"/>
        <v>0</v>
      </c>
      <c r="AO59" s="2017">
        <f t="shared" si="206"/>
        <v>0</v>
      </c>
      <c r="AP59" s="181"/>
      <c r="AQ59" s="2015">
        <v>0</v>
      </c>
      <c r="AR59" s="2017">
        <f t="shared" si="207"/>
        <v>0</v>
      </c>
      <c r="AS59" s="2017">
        <f t="shared" si="208"/>
        <v>0</v>
      </c>
      <c r="AT59" s="181"/>
      <c r="AU59" s="2015">
        <v>0</v>
      </c>
      <c r="AV59" s="2017">
        <f t="shared" si="209"/>
        <v>0</v>
      </c>
      <c r="AW59" s="2017">
        <f t="shared" si="210"/>
        <v>0</v>
      </c>
      <c r="AX59" s="181"/>
      <c r="AY59" s="2015">
        <v>0</v>
      </c>
      <c r="AZ59" s="3777"/>
      <c r="BA59" s="2016">
        <f t="shared" si="211"/>
        <v>0</v>
      </c>
      <c r="BB59" s="4361">
        <f t="shared" si="212"/>
        <v>0</v>
      </c>
      <c r="BC59" s="492">
        <f t="shared" si="213"/>
        <v>0</v>
      </c>
      <c r="BD59" s="2017">
        <f t="shared" si="214"/>
        <v>0</v>
      </c>
      <c r="BE59" s="2017">
        <f t="shared" si="215"/>
        <v>0</v>
      </c>
      <c r="BF59" s="528">
        <f t="shared" si="27"/>
        <v>0</v>
      </c>
      <c r="BG59" s="528"/>
      <c r="BI59">
        <f t="shared" si="28"/>
        <v>0</v>
      </c>
    </row>
    <row r="60" spans="2:67" ht="18" x14ac:dyDescent="0.3">
      <c r="B60" s="6231"/>
      <c r="C60" s="2027" t="s">
        <v>1560</v>
      </c>
      <c r="D60" s="1678"/>
      <c r="E60" s="3865">
        <f>+LDCP!F7</f>
        <v>53260</v>
      </c>
      <c r="F60" s="1678"/>
      <c r="G60" s="3865">
        <f>+LDCP!H7</f>
        <v>57968</v>
      </c>
      <c r="H60" s="2017">
        <f t="shared" si="1"/>
        <v>0</v>
      </c>
      <c r="I60" s="2100">
        <f t="shared" si="2"/>
        <v>111228</v>
      </c>
      <c r="J60" s="1678"/>
      <c r="K60" s="3865">
        <f>+LDCP!L7</f>
        <v>59622</v>
      </c>
      <c r="L60" s="2016">
        <f t="shared" si="3"/>
        <v>0</v>
      </c>
      <c r="M60" s="2016">
        <f t="shared" si="195"/>
        <v>170850</v>
      </c>
      <c r="N60" s="181"/>
      <c r="O60" s="3865">
        <f>+LDCP!P7</f>
        <v>66125</v>
      </c>
      <c r="P60" s="2017">
        <f t="shared" si="4"/>
        <v>0</v>
      </c>
      <c r="Q60" s="2017">
        <f t="shared" si="30"/>
        <v>236975</v>
      </c>
      <c r="R60" s="181"/>
      <c r="S60" s="3865">
        <f>+LDCP!T7</f>
        <v>59020</v>
      </c>
      <c r="T60" s="2017">
        <f t="shared" si="196"/>
        <v>0</v>
      </c>
      <c r="U60" s="2017">
        <f t="shared" si="197"/>
        <v>295995</v>
      </c>
      <c r="V60" s="181"/>
      <c r="W60" s="3865">
        <f>+LDCP!X7</f>
        <v>57997</v>
      </c>
      <c r="X60" s="3886"/>
      <c r="Y60" s="2016">
        <f t="shared" si="8"/>
        <v>183142</v>
      </c>
      <c r="Z60" s="2017">
        <f t="shared" si="198"/>
        <v>0</v>
      </c>
      <c r="AA60" s="4361">
        <f t="shared" si="199"/>
        <v>353992</v>
      </c>
      <c r="AB60" s="181"/>
      <c r="AC60" s="3865">
        <f>+LDCP!AD7</f>
        <v>47901</v>
      </c>
      <c r="AD60" s="2017">
        <f t="shared" si="200"/>
        <v>0</v>
      </c>
      <c r="AE60" s="2017">
        <f t="shared" si="201"/>
        <v>401893</v>
      </c>
      <c r="AF60" s="181"/>
      <c r="AG60" s="3865">
        <f>+LDCP!AH7</f>
        <v>54250</v>
      </c>
      <c r="AH60" s="2017">
        <f t="shared" si="202"/>
        <v>0</v>
      </c>
      <c r="AI60" s="2017">
        <f t="shared" si="203"/>
        <v>456143</v>
      </c>
      <c r="AJ60" s="181"/>
      <c r="AK60" s="3865">
        <f>+LDCP!AL7</f>
        <v>55839</v>
      </c>
      <c r="AL60" s="3886"/>
      <c r="AM60" s="2016">
        <f t="shared" si="204"/>
        <v>157990</v>
      </c>
      <c r="AN60" s="2017">
        <f t="shared" si="205"/>
        <v>0</v>
      </c>
      <c r="AO60" s="2017">
        <f t="shared" si="206"/>
        <v>511982</v>
      </c>
      <c r="AP60" s="181"/>
      <c r="AQ60" s="3865">
        <f>+LDCP!AR7</f>
        <v>62540</v>
      </c>
      <c r="AR60" s="2017">
        <f t="shared" si="207"/>
        <v>0</v>
      </c>
      <c r="AS60" s="2017">
        <f t="shared" si="208"/>
        <v>574522</v>
      </c>
      <c r="AT60" s="181"/>
      <c r="AU60" s="3865">
        <f>+LDCP!AV7</f>
        <v>51931</v>
      </c>
      <c r="AV60" s="2017">
        <f t="shared" si="209"/>
        <v>0</v>
      </c>
      <c r="AW60" s="2017">
        <f t="shared" si="210"/>
        <v>626453</v>
      </c>
      <c r="AX60" s="181"/>
      <c r="AY60" s="3865">
        <f>+LDCP!AZ7</f>
        <v>56061</v>
      </c>
      <c r="AZ60" s="3886"/>
      <c r="BA60" s="2016">
        <f t="shared" si="211"/>
        <v>170532</v>
      </c>
      <c r="BB60" s="4361">
        <f t="shared" si="212"/>
        <v>0</v>
      </c>
      <c r="BC60" s="492">
        <f t="shared" si="213"/>
        <v>328522</v>
      </c>
      <c r="BD60" s="2017">
        <f t="shared" si="214"/>
        <v>0</v>
      </c>
      <c r="BE60" s="2017">
        <f t="shared" si="215"/>
        <v>682514</v>
      </c>
      <c r="BF60" s="528">
        <f t="shared" si="27"/>
        <v>0</v>
      </c>
      <c r="BG60" s="528"/>
      <c r="BI60">
        <f t="shared" si="28"/>
        <v>0</v>
      </c>
    </row>
    <row r="61" spans="2:67" ht="18" x14ac:dyDescent="0.3">
      <c r="B61" s="6231"/>
      <c r="C61" s="2027" t="s">
        <v>1561</v>
      </c>
      <c r="D61" s="1678"/>
      <c r="E61" s="3865">
        <f>+LDCP!F21</f>
        <v>15819</v>
      </c>
      <c r="F61" s="1678"/>
      <c r="G61" s="3865">
        <f>+LDCP!H21</f>
        <v>14184</v>
      </c>
      <c r="H61" s="2017">
        <f t="shared" si="1"/>
        <v>0</v>
      </c>
      <c r="I61" s="2100">
        <f t="shared" si="2"/>
        <v>30003</v>
      </c>
      <c r="J61" s="1678"/>
      <c r="K61" s="3865">
        <f>+LDCP!L21</f>
        <v>15520</v>
      </c>
      <c r="L61" s="2016">
        <f t="shared" si="3"/>
        <v>0</v>
      </c>
      <c r="M61" s="2016">
        <f t="shared" si="195"/>
        <v>45523</v>
      </c>
      <c r="N61" s="181"/>
      <c r="O61" s="3865">
        <f>+LDCP!P21</f>
        <v>16160</v>
      </c>
      <c r="P61" s="2017">
        <f t="shared" si="4"/>
        <v>0</v>
      </c>
      <c r="Q61" s="2017">
        <f t="shared" si="30"/>
        <v>61683</v>
      </c>
      <c r="R61" s="181"/>
      <c r="S61" s="3865">
        <f>+LDCP!T21</f>
        <v>15934</v>
      </c>
      <c r="T61" s="2017">
        <f t="shared" si="196"/>
        <v>0</v>
      </c>
      <c r="U61" s="2017">
        <f t="shared" si="197"/>
        <v>77617</v>
      </c>
      <c r="V61" s="181"/>
      <c r="W61" s="3865">
        <f>+LDCP!X21</f>
        <v>17396</v>
      </c>
      <c r="X61" s="3886"/>
      <c r="Y61" s="2016">
        <f t="shared" si="8"/>
        <v>49490</v>
      </c>
      <c r="Z61" s="2017">
        <f t="shared" si="198"/>
        <v>0</v>
      </c>
      <c r="AA61" s="4361">
        <f t="shared" si="199"/>
        <v>95013</v>
      </c>
      <c r="AB61" s="181"/>
      <c r="AC61" s="3865">
        <f>+LDCP!AD21</f>
        <v>11392</v>
      </c>
      <c r="AD61" s="2017">
        <f t="shared" si="200"/>
        <v>0</v>
      </c>
      <c r="AE61" s="2017">
        <f t="shared" si="201"/>
        <v>106405</v>
      </c>
      <c r="AF61" s="181"/>
      <c r="AG61" s="3865">
        <f>+LDCP!AH21</f>
        <v>10726</v>
      </c>
      <c r="AH61" s="2017">
        <f t="shared" si="202"/>
        <v>0</v>
      </c>
      <c r="AI61" s="2017">
        <f t="shared" si="203"/>
        <v>117131</v>
      </c>
      <c r="AJ61" s="181"/>
      <c r="AK61" s="3865">
        <f>+LDCP!AL21</f>
        <v>0</v>
      </c>
      <c r="AL61" s="3886"/>
      <c r="AM61" s="2016">
        <f t="shared" si="204"/>
        <v>22118</v>
      </c>
      <c r="AN61" s="2017">
        <f t="shared" si="205"/>
        <v>0</v>
      </c>
      <c r="AO61" s="2017">
        <f t="shared" si="206"/>
        <v>117131</v>
      </c>
      <c r="AP61" s="181"/>
      <c r="AQ61" s="3865">
        <f>+LDCP!AR21</f>
        <v>9304</v>
      </c>
      <c r="AR61" s="2017">
        <f t="shared" si="207"/>
        <v>0</v>
      </c>
      <c r="AS61" s="2017">
        <f t="shared" si="208"/>
        <v>126435</v>
      </c>
      <c r="AT61" s="181"/>
      <c r="AU61" s="3865">
        <f>+LDCP!AV21</f>
        <v>13642</v>
      </c>
      <c r="AV61" s="2017">
        <f t="shared" si="209"/>
        <v>0</v>
      </c>
      <c r="AW61" s="2017">
        <f t="shared" si="210"/>
        <v>140077</v>
      </c>
      <c r="AX61" s="181"/>
      <c r="AY61" s="3865">
        <f>+LDCP!AZ21</f>
        <v>14879</v>
      </c>
      <c r="AZ61" s="3886"/>
      <c r="BA61" s="2016">
        <f t="shared" si="211"/>
        <v>37825</v>
      </c>
      <c r="BB61" s="4361">
        <f t="shared" si="212"/>
        <v>0</v>
      </c>
      <c r="BC61" s="492">
        <f t="shared" si="213"/>
        <v>59943</v>
      </c>
      <c r="BD61" s="2017">
        <f t="shared" si="214"/>
        <v>0</v>
      </c>
      <c r="BE61" s="2017">
        <f t="shared" si="215"/>
        <v>154956</v>
      </c>
      <c r="BF61" s="528">
        <f t="shared" si="27"/>
        <v>0</v>
      </c>
      <c r="BG61" s="528"/>
      <c r="BI61">
        <f t="shared" si="28"/>
        <v>0</v>
      </c>
    </row>
    <row r="62" spans="2:67" ht="18" x14ac:dyDescent="0.3">
      <c r="B62" s="3896"/>
      <c r="C62" s="2027" t="s">
        <v>1822</v>
      </c>
      <c r="D62" s="1678"/>
      <c r="E62" s="2015">
        <v>541</v>
      </c>
      <c r="F62" s="1678"/>
      <c r="G62" s="2015">
        <v>640</v>
      </c>
      <c r="H62" s="2017"/>
      <c r="I62" s="2100">
        <f t="shared" si="2"/>
        <v>1181</v>
      </c>
      <c r="J62" s="1678"/>
      <c r="K62" s="2015">
        <v>703</v>
      </c>
      <c r="L62" s="2016"/>
      <c r="M62" s="2016">
        <f t="shared" si="195"/>
        <v>1884</v>
      </c>
      <c r="N62" s="181"/>
      <c r="O62" s="2015">
        <v>341</v>
      </c>
      <c r="P62" s="2017"/>
      <c r="Q62" s="2017">
        <f t="shared" si="30"/>
        <v>2225</v>
      </c>
      <c r="R62" s="181"/>
      <c r="S62" s="2015">
        <v>766</v>
      </c>
      <c r="T62" s="2017"/>
      <c r="U62" s="2017">
        <f t="shared" si="197"/>
        <v>2991</v>
      </c>
      <c r="V62" s="181"/>
      <c r="W62" s="2015">
        <v>423</v>
      </c>
      <c r="X62" s="3777"/>
      <c r="Y62" s="2016">
        <f t="shared" ref="Y62" si="216">O62+S62+W62</f>
        <v>1530</v>
      </c>
      <c r="Z62" s="2017">
        <f t="shared" ref="Z62" si="217">+T62+V62</f>
        <v>0</v>
      </c>
      <c r="AA62" s="4361">
        <f t="shared" ref="AA62" si="218">+U62+W62</f>
        <v>3414</v>
      </c>
      <c r="AB62" s="181"/>
      <c r="AC62" s="2015">
        <v>464</v>
      </c>
      <c r="AD62" s="2017"/>
      <c r="AE62" s="2017">
        <f t="shared" si="201"/>
        <v>3878</v>
      </c>
      <c r="AF62" s="181"/>
      <c r="AG62" s="2015">
        <v>305</v>
      </c>
      <c r="AH62" s="2017"/>
      <c r="AI62" s="2017">
        <f t="shared" si="203"/>
        <v>4183</v>
      </c>
      <c r="AJ62" s="181"/>
      <c r="AK62" s="2015">
        <v>877</v>
      </c>
      <c r="AL62" s="3777"/>
      <c r="AM62" s="2016">
        <f t="shared" si="204"/>
        <v>1646</v>
      </c>
      <c r="AN62" s="2017"/>
      <c r="AO62" s="2017">
        <f t="shared" si="206"/>
        <v>5060</v>
      </c>
      <c r="AP62" s="181"/>
      <c r="AQ62" s="2015">
        <v>566</v>
      </c>
      <c r="AR62" s="2017"/>
      <c r="AS62" s="2017">
        <f t="shared" si="208"/>
        <v>5626</v>
      </c>
      <c r="AT62" s="181"/>
      <c r="AU62" s="2015">
        <v>989</v>
      </c>
      <c r="AV62" s="2017"/>
      <c r="AW62" s="2017">
        <f t="shared" si="210"/>
        <v>6615</v>
      </c>
      <c r="AX62" s="181"/>
      <c r="AY62" s="2015">
        <v>1910</v>
      </c>
      <c r="AZ62" s="3777"/>
      <c r="BA62" s="2016">
        <f t="shared" si="211"/>
        <v>3465</v>
      </c>
      <c r="BB62" s="4361">
        <f t="shared" si="212"/>
        <v>0</v>
      </c>
      <c r="BC62" s="492">
        <f t="shared" si="213"/>
        <v>5111</v>
      </c>
      <c r="BD62" s="2017"/>
      <c r="BE62" s="2017">
        <f t="shared" si="215"/>
        <v>8525</v>
      </c>
      <c r="BF62" s="528">
        <f t="shared" si="27"/>
        <v>0</v>
      </c>
      <c r="BG62" s="528"/>
      <c r="BI62">
        <f t="shared" si="28"/>
        <v>0</v>
      </c>
    </row>
    <row r="63" spans="2:67" s="146" customFormat="1" ht="18" x14ac:dyDescent="0.3">
      <c r="B63" s="436"/>
      <c r="C63" s="4320"/>
      <c r="D63" s="436"/>
      <c r="E63" s="398"/>
      <c r="F63" s="1206"/>
      <c r="G63" s="398"/>
      <c r="H63" s="398"/>
      <c r="I63" s="3398"/>
      <c r="J63" s="1206"/>
      <c r="K63" s="398"/>
      <c r="L63" s="398"/>
      <c r="M63" s="398"/>
      <c r="N63" s="436"/>
      <c r="O63" s="398"/>
      <c r="P63" s="398"/>
      <c r="Q63" s="398"/>
      <c r="R63" s="436"/>
      <c r="S63" s="398"/>
      <c r="T63" s="398"/>
      <c r="U63" s="398"/>
      <c r="V63" s="436"/>
      <c r="W63" s="398"/>
      <c r="X63" s="2687"/>
      <c r="Y63" s="398"/>
      <c r="Z63" s="398"/>
      <c r="AA63" s="398"/>
      <c r="AB63" s="436"/>
      <c r="AC63" s="398"/>
      <c r="AD63" s="398"/>
      <c r="AE63" s="398"/>
      <c r="AF63" s="436"/>
      <c r="AG63" s="398"/>
      <c r="AH63" s="398"/>
      <c r="AI63" s="398"/>
      <c r="AJ63" s="436"/>
      <c r="AK63" s="398"/>
      <c r="AL63" s="2687"/>
      <c r="AM63" s="398"/>
      <c r="AN63" s="398"/>
      <c r="AO63" s="398"/>
      <c r="AP63" s="436"/>
      <c r="AQ63" s="398"/>
      <c r="AR63" s="398"/>
      <c r="AS63" s="398"/>
      <c r="AT63" s="436"/>
      <c r="AU63" s="398"/>
      <c r="AV63" s="398"/>
      <c r="AW63" s="398"/>
      <c r="AX63" s="436"/>
      <c r="AY63" s="398"/>
      <c r="AZ63"/>
      <c r="BA63"/>
      <c r="BB63"/>
      <c r="BC63"/>
      <c r="BD63"/>
      <c r="BE63"/>
      <c r="BF63" s="528">
        <f t="shared" si="27"/>
        <v>0</v>
      </c>
      <c r="BG63" s="528"/>
      <c r="BH63"/>
      <c r="BI63">
        <f t="shared" si="28"/>
        <v>0</v>
      </c>
      <c r="BJ63"/>
      <c r="BK63"/>
      <c r="BL63"/>
      <c r="BM63"/>
      <c r="BN63"/>
      <c r="BO63"/>
    </row>
    <row r="64" spans="2:67" ht="18" x14ac:dyDescent="0.35">
      <c r="B64" s="1037" t="s">
        <v>1529</v>
      </c>
      <c r="C64" s="2021"/>
      <c r="D64" s="181"/>
      <c r="E64" s="2015">
        <v>10029</v>
      </c>
      <c r="F64" s="1678"/>
      <c r="G64" s="2015">
        <v>10177</v>
      </c>
      <c r="H64" s="2017">
        <f t="shared" si="1"/>
        <v>0</v>
      </c>
      <c r="I64" s="2100">
        <f t="shared" si="2"/>
        <v>20206</v>
      </c>
      <c r="J64" s="1678"/>
      <c r="K64" s="2015">
        <v>9397</v>
      </c>
      <c r="L64" s="2016">
        <f t="shared" si="3"/>
        <v>0</v>
      </c>
      <c r="M64" s="2016">
        <f>E64+G64+K64</f>
        <v>29603</v>
      </c>
      <c r="N64" s="181"/>
      <c r="O64" s="2015">
        <v>10586</v>
      </c>
      <c r="P64" s="2017">
        <f t="shared" si="4"/>
        <v>0</v>
      </c>
      <c r="Q64" s="2017">
        <f t="shared" si="30"/>
        <v>40189</v>
      </c>
      <c r="R64" s="181"/>
      <c r="S64" s="2015">
        <v>10058</v>
      </c>
      <c r="T64" s="2017">
        <f t="shared" ref="T64" si="219">+P64+R64</f>
        <v>0</v>
      </c>
      <c r="U64" s="2017">
        <f t="shared" ref="U64" si="220">+Q64+S64</f>
        <v>50247</v>
      </c>
      <c r="V64" s="181"/>
      <c r="W64" s="2015">
        <v>10349</v>
      </c>
      <c r="X64" s="3777"/>
      <c r="Y64" s="2016">
        <f t="shared" si="8"/>
        <v>30993</v>
      </c>
      <c r="Z64" s="2017">
        <f t="shared" ref="Z64" si="221">+T64+V64</f>
        <v>0</v>
      </c>
      <c r="AA64" s="4361">
        <f t="shared" ref="AA64" si="222">+U64+W64</f>
        <v>60596</v>
      </c>
      <c r="AB64" s="181"/>
      <c r="AC64" s="2015">
        <v>10113</v>
      </c>
      <c r="AD64" s="2017">
        <f t="shared" ref="AD64" si="223">+Z64+AB64</f>
        <v>0</v>
      </c>
      <c r="AE64" s="2017">
        <f t="shared" ref="AE64" si="224">+AA64+AC64</f>
        <v>70709</v>
      </c>
      <c r="AF64" s="181"/>
      <c r="AG64" s="2015">
        <v>8738</v>
      </c>
      <c r="AH64" s="2017">
        <f t="shared" ref="AH64" si="225">+AD64+AF64</f>
        <v>0</v>
      </c>
      <c r="AI64" s="2017">
        <f t="shared" ref="AI64" si="226">+AE64+AG64</f>
        <v>79447</v>
      </c>
      <c r="AJ64" s="181"/>
      <c r="AK64" s="2015">
        <v>10023</v>
      </c>
      <c r="AL64" s="3777"/>
      <c r="AM64" s="2016">
        <f t="shared" ref="AM64" si="227">AC64+AG64+AK64</f>
        <v>28874</v>
      </c>
      <c r="AN64" s="2017">
        <f t="shared" ref="AN64" si="228">+AH64+AJ64</f>
        <v>0</v>
      </c>
      <c r="AO64" s="2017">
        <f t="shared" ref="AO64" si="229">+AI64+AK64</f>
        <v>89470</v>
      </c>
      <c r="AP64" s="181"/>
      <c r="AQ64" s="2015">
        <v>9272</v>
      </c>
      <c r="AR64" s="2017">
        <f t="shared" ref="AR64" si="230">+AN64+AP64</f>
        <v>0</v>
      </c>
      <c r="AS64" s="2017">
        <f t="shared" ref="AS64" si="231">+AO64+AQ64</f>
        <v>98742</v>
      </c>
      <c r="AT64" s="181"/>
      <c r="AU64" s="2015">
        <v>8617</v>
      </c>
      <c r="AV64" s="2017">
        <f t="shared" ref="AV64" si="232">+AR64+AT64</f>
        <v>0</v>
      </c>
      <c r="AW64" s="2017">
        <f t="shared" ref="AW64" si="233">+AS64+AU64</f>
        <v>107359</v>
      </c>
      <c r="AX64" s="181"/>
      <c r="AY64" s="2015">
        <v>9338</v>
      </c>
      <c r="AZ64" s="3777"/>
      <c r="BA64" s="2016">
        <f t="shared" ref="BA64" si="234">AQ64+AU64+AY64</f>
        <v>27227</v>
      </c>
      <c r="BB64" s="4361">
        <f t="shared" ref="BB64" si="235">+AV64+AX64</f>
        <v>0</v>
      </c>
      <c r="BC64" s="492">
        <f>AM64+BA64</f>
        <v>56101</v>
      </c>
      <c r="BD64" s="2017">
        <f t="shared" ref="BD64" si="236">+AV64+AX64</f>
        <v>0</v>
      </c>
      <c r="BE64" s="2017">
        <f t="shared" ref="BE64" si="237">+AW64+AY64</f>
        <v>116697</v>
      </c>
      <c r="BF64" s="528">
        <f t="shared" si="27"/>
        <v>0</v>
      </c>
      <c r="BG64" s="528"/>
      <c r="BI64">
        <f t="shared" si="28"/>
        <v>0</v>
      </c>
    </row>
    <row r="65" spans="3:61" x14ac:dyDescent="0.3">
      <c r="C65"/>
      <c r="D65"/>
      <c r="E65"/>
      <c r="F65"/>
      <c r="G65"/>
      <c r="H65"/>
      <c r="I65"/>
      <c r="J65"/>
      <c r="K65"/>
      <c r="L65"/>
      <c r="BF65" s="528">
        <f t="shared" si="27"/>
        <v>0</v>
      </c>
      <c r="BG65" s="528"/>
      <c r="BI65">
        <f t="shared" si="28"/>
        <v>0</v>
      </c>
    </row>
    <row r="66" spans="3:61" ht="18" x14ac:dyDescent="0.35">
      <c r="C66" s="1037" t="s">
        <v>1562</v>
      </c>
      <c r="D66"/>
      <c r="E66" s="2015">
        <v>83.21</v>
      </c>
      <c r="F66" s="1678"/>
      <c r="G66" s="2474">
        <v>83.46</v>
      </c>
      <c r="H66" s="2475"/>
      <c r="I66" s="2475">
        <v>83.334999999999994</v>
      </c>
      <c r="J66" s="4919"/>
      <c r="K66" s="2474">
        <v>83.46</v>
      </c>
      <c r="L66" s="2016"/>
      <c r="M66" s="399">
        <v>83.376666666666665</v>
      </c>
      <c r="N66" s="181"/>
      <c r="O66" s="2474">
        <v>83.55</v>
      </c>
      <c r="P66" s="2017"/>
      <c r="Q66" s="2475">
        <v>83.42</v>
      </c>
      <c r="R66" s="181"/>
      <c r="S66" s="2474">
        <v>84.05</v>
      </c>
      <c r="T66" s="2017"/>
      <c r="U66" s="2475">
        <v>83.546000000000006</v>
      </c>
      <c r="V66" s="181"/>
      <c r="W66" s="2474">
        <v>84</v>
      </c>
      <c r="X66" s="3777"/>
      <c r="Y66" s="399">
        <f>+AVERAGE(O66,S66,W66)</f>
        <v>83.86666666666666</v>
      </c>
      <c r="Z66" s="2017"/>
      <c r="AA66" s="493">
        <f>+AVERAGE(M66,Y66)</f>
        <v>83.62166666666667</v>
      </c>
      <c r="AB66" s="181"/>
      <c r="AC66" s="2474">
        <v>84.35</v>
      </c>
      <c r="AD66" s="2017"/>
      <c r="AE66" s="2475">
        <v>83.72571428571429</v>
      </c>
      <c r="AF66" s="181"/>
      <c r="AG66" s="2474">
        <v>83.71</v>
      </c>
      <c r="AH66" s="2017"/>
      <c r="AI66" s="2475">
        <v>83.72375000000001</v>
      </c>
      <c r="AJ66" s="181"/>
      <c r="AK66" s="2474">
        <v>83.16</v>
      </c>
      <c r="AL66" s="3777"/>
      <c r="AM66" s="399">
        <f>+AVERAGE(AC66,AG66,AK66)</f>
        <v>83.74</v>
      </c>
      <c r="AN66" s="2017"/>
      <c r="AO66" s="2475">
        <v>83.661111111111111</v>
      </c>
      <c r="AP66" s="181"/>
      <c r="AQ66" s="2474">
        <v>83.66</v>
      </c>
      <c r="AR66" s="2017"/>
      <c r="AS66" s="2475">
        <v>83.661000000000001</v>
      </c>
      <c r="AT66" s="181"/>
      <c r="AU66" s="2474">
        <v>83.51</v>
      </c>
      <c r="AV66" s="2017"/>
      <c r="AW66" s="2475">
        <v>83.647272727272721</v>
      </c>
      <c r="AX66" s="181"/>
      <c r="AY66" s="2474">
        <v>83.57</v>
      </c>
      <c r="AZ66" s="3777"/>
      <c r="BA66" s="399">
        <f>+AVERAGE(AQ66,AU66,AY66)</f>
        <v>83.58</v>
      </c>
      <c r="BB66" s="4361"/>
      <c r="BC66" s="4485">
        <f>+AVERAGE(AM66,BA66)</f>
        <v>83.66</v>
      </c>
      <c r="BD66" s="2017"/>
      <c r="BE66" s="2475">
        <f>+AVERAGE(AA66,BC66)</f>
        <v>83.640833333333333</v>
      </c>
      <c r="BF66" s="528"/>
      <c r="BG66" s="528"/>
    </row>
    <row r="67" spans="3:61" ht="18" x14ac:dyDescent="0.35">
      <c r="C67" s="1037" t="s">
        <v>1563</v>
      </c>
      <c r="D67"/>
      <c r="E67" s="2015">
        <v>89.53</v>
      </c>
      <c r="F67" s="1678"/>
      <c r="G67" s="2015">
        <v>89.73</v>
      </c>
      <c r="H67" s="2017"/>
      <c r="I67" s="344">
        <v>89.63</v>
      </c>
      <c r="J67" s="1678"/>
      <c r="K67" s="2015">
        <v>89.39</v>
      </c>
      <c r="L67" s="2016"/>
      <c r="M67" s="399">
        <v>89.55</v>
      </c>
      <c r="N67" s="181"/>
      <c r="O67" s="2015">
        <v>89.7</v>
      </c>
      <c r="P67" s="2017"/>
      <c r="Q67" s="2475">
        <v>89.587499999999991</v>
      </c>
      <c r="R67" s="181"/>
      <c r="S67" s="2015">
        <v>89.49</v>
      </c>
      <c r="T67" s="2017"/>
      <c r="U67" s="2475">
        <v>89.567999999999998</v>
      </c>
      <c r="V67" s="181"/>
      <c r="W67" s="2015">
        <v>89.5</v>
      </c>
      <c r="X67" s="3777"/>
      <c r="Y67" s="399">
        <f>+AVERAGE(O67,S67,W67)</f>
        <v>89.563333333333333</v>
      </c>
      <c r="Z67" s="2017"/>
      <c r="AA67" s="493">
        <f>+AVERAGE(M67,Y67)</f>
        <v>89.556666666666672</v>
      </c>
      <c r="AB67" s="181"/>
      <c r="AC67" s="2474">
        <v>89.18</v>
      </c>
      <c r="AD67" s="2475"/>
      <c r="AE67" s="2475">
        <v>89.502857142857138</v>
      </c>
      <c r="AF67" s="5122"/>
      <c r="AG67" s="2474">
        <v>89.17</v>
      </c>
      <c r="AH67" s="2475"/>
      <c r="AI67" s="2475">
        <v>89.461249999999993</v>
      </c>
      <c r="AJ67" s="181"/>
      <c r="AK67" s="2474">
        <v>89.59</v>
      </c>
      <c r="AL67" s="3777"/>
      <c r="AM67" s="399">
        <f>+AVERAGE(AC67,AG67,AK67)</f>
        <v>89.313333333333347</v>
      </c>
      <c r="AN67" s="2017"/>
      <c r="AO67" s="2475">
        <v>89.475555555555559</v>
      </c>
      <c r="AP67" s="181"/>
      <c r="AQ67" s="2474">
        <v>90.26</v>
      </c>
      <c r="AR67" s="2017"/>
      <c r="AS67" s="2475">
        <v>89.554000000000002</v>
      </c>
      <c r="AT67" s="181"/>
      <c r="AU67" s="2474">
        <v>90.18</v>
      </c>
      <c r="AV67" s="2017"/>
      <c r="AW67" s="2475">
        <v>89.61090909090909</v>
      </c>
      <c r="AX67" s="181"/>
      <c r="AY67" s="2474">
        <v>89.93</v>
      </c>
      <c r="AZ67" s="3777"/>
      <c r="BA67" s="399">
        <f>+AVERAGE(AQ67,AU67,AY67)</f>
        <v>90.123333333333335</v>
      </c>
      <c r="BB67" s="4361"/>
      <c r="BC67" s="4485">
        <f>+AVERAGE(AM67,BA67)</f>
        <v>89.718333333333334</v>
      </c>
      <c r="BD67" s="2017"/>
      <c r="BE67" s="2475">
        <f>+AVERAGE(AA67,BC67)</f>
        <v>89.637500000000003</v>
      </c>
      <c r="BF67" s="528"/>
      <c r="BG67" s="528"/>
    </row>
  </sheetData>
  <mergeCells count="30">
    <mergeCell ref="B53:B61"/>
    <mergeCell ref="D3:E3"/>
    <mergeCell ref="F3:G3"/>
    <mergeCell ref="H3:I3"/>
    <mergeCell ref="B22:B24"/>
    <mergeCell ref="B27:B43"/>
    <mergeCell ref="B45:B48"/>
    <mergeCell ref="B49:B51"/>
    <mergeCell ref="B4:B21"/>
    <mergeCell ref="J3:K3"/>
    <mergeCell ref="L3:M3"/>
    <mergeCell ref="V3:W3"/>
    <mergeCell ref="Z3:AA3"/>
    <mergeCell ref="R3:S3"/>
    <mergeCell ref="T3:U3"/>
    <mergeCell ref="N3:O3"/>
    <mergeCell ref="P3:Q3"/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</mergeCells>
  <printOptions horizontalCentered="1" verticalCentered="1"/>
  <pageMargins left="0" right="0" top="0" bottom="0" header="0" footer="0"/>
  <pageSetup paperSize="9"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9" tint="-0.499984740745262"/>
    <pageSetUpPr fitToPage="1"/>
  </sheetPr>
  <dimension ref="A1:BO165"/>
  <sheetViews>
    <sheetView zoomScaleNormal="100" workbookViewId="0">
      <pane xSplit="3" ySplit="4" topLeftCell="D99" activePane="bottomRight" state="frozen"/>
      <selection pane="topRight" activeCell="D1" sqref="D1"/>
      <selection pane="bottomLeft" activeCell="A5" sqref="A5"/>
      <selection pane="bottomRight" activeCell="B155" sqref="B155"/>
    </sheetView>
  </sheetViews>
  <sheetFormatPr defaultColWidth="8.88671875" defaultRowHeight="14.4" x14ac:dyDescent="0.3"/>
  <cols>
    <col min="1" max="1" width="2.109375" customWidth="1"/>
    <col min="2" max="2" width="68.6640625" bestFit="1" customWidth="1"/>
    <col min="3" max="3" width="12.33203125" bestFit="1" customWidth="1"/>
    <col min="4" max="4" width="13.6640625" style="92" bestFit="1" customWidth="1"/>
    <col min="5" max="5" width="9.88671875" style="86" customWidth="1"/>
    <col min="6" max="6" width="9.88671875" style="92" bestFit="1" customWidth="1"/>
    <col min="7" max="7" width="9.33203125" style="86" customWidth="1"/>
    <col min="8" max="8" width="9.88671875" style="92" customWidth="1"/>
    <col min="9" max="9" width="10" style="86" hidden="1" customWidth="1"/>
    <col min="10" max="10" width="10" style="92" hidden="1" customWidth="1"/>
    <col min="11" max="11" width="9.33203125" style="200" bestFit="1" customWidth="1"/>
    <col min="12" max="12" width="9.88671875" style="92" customWidth="1"/>
    <col min="13" max="13" width="10.5546875" style="86" customWidth="1"/>
    <col min="14" max="14" width="10" customWidth="1"/>
    <col min="15" max="15" width="9.88671875" style="200" customWidth="1"/>
    <col min="16" max="16" width="9.88671875" customWidth="1"/>
    <col min="17" max="17" width="10" style="86" hidden="1" customWidth="1"/>
    <col min="18" max="18" width="10" hidden="1" customWidth="1"/>
    <col min="19" max="19" width="9.88671875" style="86" customWidth="1"/>
    <col min="20" max="20" width="9.88671875" customWidth="1"/>
    <col min="21" max="21" width="10" style="86" hidden="1" customWidth="1"/>
    <col min="22" max="22" width="13" hidden="1" customWidth="1"/>
    <col min="23" max="23" width="9.88671875" style="86" customWidth="1"/>
    <col min="24" max="24" width="9.88671875" customWidth="1"/>
    <col min="25" max="25" width="13" style="86" customWidth="1"/>
    <col min="26" max="26" width="15.109375" customWidth="1"/>
    <col min="27" max="27" width="13" style="86" customWidth="1"/>
    <col min="28" max="28" width="15.109375" customWidth="1"/>
    <col min="29" max="29" width="8.88671875" customWidth="1"/>
    <col min="30" max="30" width="10" customWidth="1"/>
    <col min="31" max="31" width="9.44140625" hidden="1" customWidth="1"/>
    <col min="32" max="32" width="9" hidden="1" customWidth="1"/>
    <col min="33" max="34" width="8.88671875" customWidth="1"/>
    <col min="35" max="35" width="9.44140625" hidden="1" customWidth="1"/>
    <col min="36" max="36" width="12.33203125" hidden="1" customWidth="1"/>
    <col min="37" max="38" width="8.88671875" customWidth="1"/>
    <col min="39" max="39" width="9.44140625" customWidth="1"/>
    <col min="40" max="40" width="9.33203125" customWidth="1"/>
    <col min="41" max="42" width="10.33203125" hidden="1" customWidth="1"/>
    <col min="43" max="44" width="8.88671875" customWidth="1"/>
    <col min="45" max="45" width="10" hidden="1" customWidth="1"/>
    <col min="46" max="46" width="12" hidden="1" customWidth="1"/>
    <col min="47" max="47" width="9" customWidth="1"/>
    <col min="48" max="48" width="12" bestFit="1" customWidth="1"/>
    <col min="49" max="49" width="10" hidden="1" customWidth="1"/>
    <col min="50" max="50" width="12" hidden="1" customWidth="1"/>
    <col min="51" max="52" width="9" bestFit="1" customWidth="1"/>
    <col min="53" max="53" width="9.44140625" customWidth="1"/>
    <col min="54" max="54" width="9" bestFit="1" customWidth="1"/>
    <col min="55" max="55" width="10" customWidth="1"/>
    <col min="56" max="56" width="9" bestFit="1" customWidth="1"/>
    <col min="57" max="58" width="10" bestFit="1" customWidth="1"/>
    <col min="59" max="59" width="11.109375" hidden="1" customWidth="1"/>
    <col min="60" max="60" width="15" hidden="1" customWidth="1"/>
    <col min="61" max="61" width="0" hidden="1" customWidth="1"/>
  </cols>
  <sheetData>
    <row r="1" spans="1:66" ht="22.8" x14ac:dyDescent="0.4">
      <c r="A1" s="146"/>
      <c r="B1" s="1256" t="s">
        <v>111</v>
      </c>
      <c r="C1" s="1257"/>
      <c r="D1" s="1421">
        <f>+D74/24</f>
        <v>330.75000000000006</v>
      </c>
      <c r="E1" s="1258">
        <f>+E74/24</f>
        <v>28.174999999999997</v>
      </c>
      <c r="F1" s="1258">
        <f t="shared" ref="F1:R1" si="0">+F74/24</f>
        <v>24.311666666666667</v>
      </c>
      <c r="G1" s="1258">
        <f t="shared" si="0"/>
        <v>29.155000000000001</v>
      </c>
      <c r="H1" s="1258">
        <f t="shared" si="0"/>
        <v>26.942916666666665</v>
      </c>
      <c r="I1" s="1258">
        <f t="shared" si="0"/>
        <v>57.330000000000005</v>
      </c>
      <c r="J1" s="1258">
        <f t="shared" si="0"/>
        <v>51.254583333333336</v>
      </c>
      <c r="K1" s="1259">
        <f t="shared" si="0"/>
        <v>28.174999999999997</v>
      </c>
      <c r="L1" s="1258">
        <f t="shared" si="0"/>
        <v>28.435416666666669</v>
      </c>
      <c r="M1" s="1258">
        <f t="shared" si="0"/>
        <v>85.504999999999995</v>
      </c>
      <c r="N1" s="1258">
        <f t="shared" si="0"/>
        <v>79.69</v>
      </c>
      <c r="O1" s="1259">
        <f t="shared" si="0"/>
        <v>29.155000000000001</v>
      </c>
      <c r="P1" s="1258">
        <f t="shared" si="0"/>
        <v>29.734166666666667</v>
      </c>
      <c r="Q1" s="1258">
        <f t="shared" si="0"/>
        <v>114.66000000000001</v>
      </c>
      <c r="R1" s="1258">
        <f t="shared" si="0"/>
        <v>109.42416666666666</v>
      </c>
      <c r="S1" s="1258">
        <f>+S74/24</f>
        <v>29.155000000000001</v>
      </c>
      <c r="T1" s="1258">
        <f>+T74/24</f>
        <v>28.982083333333335</v>
      </c>
      <c r="U1" s="1258">
        <f>+U74/24</f>
        <v>143.81500000000003</v>
      </c>
      <c r="V1" s="1258">
        <f>+V74/24</f>
        <v>138.40625</v>
      </c>
      <c r="W1" s="1258">
        <f t="shared" ref="W1:AF1" si="1">+W74/24</f>
        <v>15.924999999999999</v>
      </c>
      <c r="X1" s="1258">
        <f t="shared" si="1"/>
        <v>28.558333333333334</v>
      </c>
      <c r="Y1" s="1258">
        <f>+O1+S1+W1</f>
        <v>74.234999999999999</v>
      </c>
      <c r="Z1" s="1258">
        <f>+P1+T1+X1</f>
        <v>87.274583333333339</v>
      </c>
      <c r="AA1" s="1258">
        <f t="shared" si="1"/>
        <v>159.74</v>
      </c>
      <c r="AB1" s="1258">
        <f t="shared" si="1"/>
        <v>166.96458333333334</v>
      </c>
      <c r="AC1" s="1258">
        <f t="shared" si="1"/>
        <v>29.155000000000001</v>
      </c>
      <c r="AD1" s="1258">
        <f t="shared" si="1"/>
        <v>22.749166666666667</v>
      </c>
      <c r="AE1" s="1258">
        <f t="shared" si="1"/>
        <v>188.89500000000001</v>
      </c>
      <c r="AF1" s="1258">
        <f t="shared" si="1"/>
        <v>189.71375</v>
      </c>
      <c r="AG1" s="1258">
        <f t="shared" ref="AG1:AL1" si="2">+AG74/24</f>
        <v>28.174999999999997</v>
      </c>
      <c r="AH1" s="1258">
        <f t="shared" si="2"/>
        <v>26.732083333333335</v>
      </c>
      <c r="AI1" s="1258">
        <f t="shared" si="2"/>
        <v>217.07000000000002</v>
      </c>
      <c r="AJ1" s="1258">
        <f t="shared" si="2"/>
        <v>216.44583333333333</v>
      </c>
      <c r="AK1" s="1258">
        <f t="shared" si="2"/>
        <v>29.155000000000001</v>
      </c>
      <c r="AL1" s="1258">
        <f t="shared" si="2"/>
        <v>26.346249999999998</v>
      </c>
      <c r="AM1" s="1258">
        <f>+AC1+AG1+AK1</f>
        <v>86.484999999999999</v>
      </c>
      <c r="AN1" s="1258">
        <f>+AD1+AH1+AL1</f>
        <v>75.827500000000001</v>
      </c>
      <c r="AO1" s="1258">
        <f>AI1+AK1</f>
        <v>246.22500000000002</v>
      </c>
      <c r="AP1" s="1258">
        <f>AJ1+AL1</f>
        <v>242.79208333333332</v>
      </c>
      <c r="AQ1" s="1258">
        <f t="shared" ref="AQ1:AT1" si="3">+AQ74/24</f>
        <v>29.155000000000001</v>
      </c>
      <c r="AR1" s="1258">
        <f t="shared" si="3"/>
        <v>28.592500000000001</v>
      </c>
      <c r="AS1" s="1258">
        <f t="shared" si="3"/>
        <v>275.38000000000005</v>
      </c>
      <c r="AT1" s="1258">
        <f t="shared" si="3"/>
        <v>271.38458333333335</v>
      </c>
      <c r="AU1" s="1258">
        <f t="shared" ref="AU1:AX1" si="4">+AU74/24</f>
        <v>26.215</v>
      </c>
      <c r="AV1" s="1258">
        <f t="shared" si="4"/>
        <v>24.425416666666667</v>
      </c>
      <c r="AW1" s="1258">
        <f t="shared" si="4"/>
        <v>301.59500000000003</v>
      </c>
      <c r="AX1" s="1258">
        <f t="shared" si="4"/>
        <v>295.81</v>
      </c>
      <c r="AY1" s="1258">
        <f t="shared" ref="AY1:BF1" si="5">+AY74/24</f>
        <v>29.155000000000001</v>
      </c>
      <c r="AZ1" s="1258">
        <f t="shared" si="5"/>
        <v>28.0625</v>
      </c>
      <c r="BA1" s="1258">
        <f>+AQ1+AU1+AY1</f>
        <v>84.525000000000006</v>
      </c>
      <c r="BB1" s="1258">
        <f>+AR1+AV1+AZ1</f>
        <v>81.080416666666665</v>
      </c>
      <c r="BC1" s="1258">
        <f t="shared" ref="BC1:BD1" si="6">+BC74/24</f>
        <v>171.01000000000002</v>
      </c>
      <c r="BD1" s="1258">
        <f t="shared" si="6"/>
        <v>156.90791666666667</v>
      </c>
      <c r="BE1" s="1258">
        <f t="shared" si="5"/>
        <v>330.75000000000006</v>
      </c>
      <c r="BF1" s="1258">
        <f t="shared" si="5"/>
        <v>323.8725</v>
      </c>
    </row>
    <row r="2" spans="1:66" x14ac:dyDescent="0.3">
      <c r="B2" s="4"/>
      <c r="C2" s="4"/>
      <c r="D2" s="95">
        <v>365</v>
      </c>
      <c r="E2" s="33">
        <v>30</v>
      </c>
      <c r="F2" s="33">
        <v>30</v>
      </c>
      <c r="G2" s="33">
        <v>31</v>
      </c>
      <c r="H2" s="33">
        <v>31</v>
      </c>
      <c r="I2" s="33">
        <f>+E2+G2</f>
        <v>61</v>
      </c>
      <c r="J2" s="33">
        <f>+F2+H2</f>
        <v>61</v>
      </c>
      <c r="K2" s="442">
        <v>30</v>
      </c>
      <c r="L2" s="33">
        <v>30</v>
      </c>
      <c r="M2" s="33">
        <f>+I2+K2</f>
        <v>91</v>
      </c>
      <c r="N2" s="33">
        <f>+J2+L2</f>
        <v>91</v>
      </c>
      <c r="O2" s="442">
        <v>31</v>
      </c>
      <c r="P2" s="33">
        <v>31</v>
      </c>
      <c r="Q2" s="33">
        <f>+M2+O2</f>
        <v>122</v>
      </c>
      <c r="R2" s="33">
        <f>+N2+P2</f>
        <v>122</v>
      </c>
      <c r="S2" s="33">
        <v>31</v>
      </c>
      <c r="T2" s="33">
        <v>31</v>
      </c>
      <c r="U2" s="33">
        <f>+Q2+S2</f>
        <v>153</v>
      </c>
      <c r="V2" s="33">
        <f>+R2+T2</f>
        <v>153</v>
      </c>
      <c r="W2" s="33">
        <v>30</v>
      </c>
      <c r="X2" s="33">
        <v>30</v>
      </c>
      <c r="Y2" s="33">
        <f>+O2+S2+W2</f>
        <v>92</v>
      </c>
      <c r="Z2" s="33">
        <f>+P2+T2+X2</f>
        <v>92</v>
      </c>
      <c r="AA2" s="33">
        <f>+U2+W2</f>
        <v>183</v>
      </c>
      <c r="AB2" s="33">
        <f>+V2+X2</f>
        <v>183</v>
      </c>
      <c r="AC2" s="33">
        <v>31</v>
      </c>
      <c r="AD2" s="33">
        <v>31</v>
      </c>
      <c r="AE2" s="33">
        <f>+AA2+AC2</f>
        <v>214</v>
      </c>
      <c r="AF2" s="33">
        <f>+AB2+AD2</f>
        <v>214</v>
      </c>
      <c r="AG2" s="33">
        <v>30</v>
      </c>
      <c r="AH2" s="33">
        <v>30</v>
      </c>
      <c r="AI2" s="33">
        <f>+AE2+AG2</f>
        <v>244</v>
      </c>
      <c r="AJ2" s="33">
        <f>+AF2+AH2</f>
        <v>244</v>
      </c>
      <c r="AK2" s="33">
        <v>31</v>
      </c>
      <c r="AL2" s="33">
        <v>31</v>
      </c>
      <c r="AM2" s="33">
        <f>+AC2+AG2+AK2</f>
        <v>92</v>
      </c>
      <c r="AN2" s="33">
        <f>+AD2+AH2+AL2</f>
        <v>92</v>
      </c>
      <c r="AO2" s="1258">
        <f>AI2+AK2</f>
        <v>275</v>
      </c>
      <c r="AP2" s="1258">
        <f>AJ2+AL2</f>
        <v>275</v>
      </c>
      <c r="AQ2" s="33">
        <v>31</v>
      </c>
      <c r="AR2" s="33">
        <v>31</v>
      </c>
      <c r="AS2" s="33">
        <f>+AO2+AQ2</f>
        <v>306</v>
      </c>
      <c r="AT2" s="33">
        <f>+AP2+AR2</f>
        <v>306</v>
      </c>
      <c r="AU2" s="33">
        <v>28</v>
      </c>
      <c r="AV2" s="33">
        <v>28</v>
      </c>
      <c r="AW2" s="33">
        <f>+AS2+AU2</f>
        <v>334</v>
      </c>
      <c r="AX2" s="33">
        <f>+AT2+AV2</f>
        <v>334</v>
      </c>
      <c r="AY2" s="33">
        <v>31</v>
      </c>
      <c r="AZ2" s="33">
        <v>31</v>
      </c>
      <c r="BA2" s="33">
        <f>+AQ2+AU2+AY2</f>
        <v>90</v>
      </c>
      <c r="BB2" s="33">
        <f>+AR2+AV2+AZ2</f>
        <v>90</v>
      </c>
      <c r="BC2" s="33">
        <f>+AM2+BA2</f>
        <v>182</v>
      </c>
      <c r="BD2" s="33">
        <f>+AN2+BB2</f>
        <v>182</v>
      </c>
      <c r="BE2" s="33">
        <f>+AW2+AY2</f>
        <v>365</v>
      </c>
      <c r="BF2" s="33">
        <f>+AX2+AZ2</f>
        <v>365</v>
      </c>
    </row>
    <row r="3" spans="1:66" x14ac:dyDescent="0.3">
      <c r="B3" s="6250" t="s">
        <v>171</v>
      </c>
      <c r="C3" s="6245" t="s">
        <v>172</v>
      </c>
      <c r="D3" s="6133" t="s">
        <v>1963</v>
      </c>
      <c r="E3" s="6245" t="s">
        <v>1962</v>
      </c>
      <c r="F3" s="6245"/>
      <c r="G3" s="6245" t="s">
        <v>2013</v>
      </c>
      <c r="H3" s="6245"/>
      <c r="I3" s="6244" t="s">
        <v>14</v>
      </c>
      <c r="J3" s="6244"/>
      <c r="K3" s="6245" t="s">
        <v>2043</v>
      </c>
      <c r="L3" s="6245"/>
      <c r="M3" s="6246" t="s">
        <v>637</v>
      </c>
      <c r="N3" s="6246"/>
      <c r="O3" s="6245" t="s">
        <v>2065</v>
      </c>
      <c r="P3" s="6245"/>
      <c r="Q3" s="6244" t="s">
        <v>17</v>
      </c>
      <c r="R3" s="6244"/>
      <c r="S3" s="6245" t="s">
        <v>2068</v>
      </c>
      <c r="T3" s="6245"/>
      <c r="U3" s="6244" t="s">
        <v>18</v>
      </c>
      <c r="V3" s="6244"/>
      <c r="W3" s="6245" t="s">
        <v>2110</v>
      </c>
      <c r="X3" s="6245"/>
      <c r="Y3" s="6246" t="s">
        <v>660</v>
      </c>
      <c r="Z3" s="6246"/>
      <c r="AA3" s="6247" t="s">
        <v>657</v>
      </c>
      <c r="AB3" s="6247"/>
      <c r="AC3" s="6245" t="s">
        <v>2135</v>
      </c>
      <c r="AD3" s="6245"/>
      <c r="AE3" s="6244" t="s">
        <v>24</v>
      </c>
      <c r="AF3" s="6244"/>
      <c r="AG3" s="6245" t="s">
        <v>2238</v>
      </c>
      <c r="AH3" s="6245"/>
      <c r="AI3" s="6244" t="s">
        <v>27</v>
      </c>
      <c r="AJ3" s="6244"/>
      <c r="AK3" s="6245" t="s">
        <v>2262</v>
      </c>
      <c r="AL3" s="6245"/>
      <c r="AM3" s="6246" t="s">
        <v>662</v>
      </c>
      <c r="AN3" s="6246"/>
      <c r="AO3" s="6244" t="s">
        <v>1613</v>
      </c>
      <c r="AP3" s="6244"/>
      <c r="AQ3" s="6245" t="s">
        <v>2274</v>
      </c>
      <c r="AR3" s="6245"/>
      <c r="AS3" s="6244" t="s">
        <v>28</v>
      </c>
      <c r="AT3" s="6244"/>
      <c r="AU3" s="6245" t="s">
        <v>2311</v>
      </c>
      <c r="AV3" s="6245"/>
      <c r="AW3" s="6244" t="s">
        <v>30</v>
      </c>
      <c r="AX3" s="6244"/>
      <c r="AY3" s="6245" t="s">
        <v>2329</v>
      </c>
      <c r="AZ3" s="6245"/>
      <c r="BA3" s="6246" t="s">
        <v>663</v>
      </c>
      <c r="BB3" s="6246"/>
      <c r="BC3" s="6247" t="s">
        <v>670</v>
      </c>
      <c r="BD3" s="6247"/>
      <c r="BE3" s="6244" t="s">
        <v>2041</v>
      </c>
      <c r="BF3" s="6244"/>
    </row>
    <row r="4" spans="1:66" x14ac:dyDescent="0.3">
      <c r="B4" s="6250"/>
      <c r="C4" s="6245"/>
      <c r="D4" s="6133"/>
      <c r="E4" s="543" t="s">
        <v>173</v>
      </c>
      <c r="F4" s="543" t="s">
        <v>174</v>
      </c>
      <c r="G4" s="543" t="s">
        <v>173</v>
      </c>
      <c r="H4" s="543" t="s">
        <v>174</v>
      </c>
      <c r="I4" s="186" t="s">
        <v>173</v>
      </c>
      <c r="J4" s="186" t="s">
        <v>174</v>
      </c>
      <c r="K4" s="1526" t="s">
        <v>173</v>
      </c>
      <c r="L4" s="543" t="s">
        <v>174</v>
      </c>
      <c r="M4" s="187" t="s">
        <v>173</v>
      </c>
      <c r="N4" s="187" t="s">
        <v>174</v>
      </c>
      <c r="O4" s="1526" t="s">
        <v>173</v>
      </c>
      <c r="P4" s="543" t="s">
        <v>174</v>
      </c>
      <c r="Q4" s="186" t="s">
        <v>173</v>
      </c>
      <c r="R4" s="186" t="s">
        <v>174</v>
      </c>
      <c r="S4" s="543" t="s">
        <v>173</v>
      </c>
      <c r="T4" s="543" t="s">
        <v>174</v>
      </c>
      <c r="U4" s="186" t="s">
        <v>173</v>
      </c>
      <c r="V4" s="186" t="s">
        <v>174</v>
      </c>
      <c r="W4" s="543" t="s">
        <v>173</v>
      </c>
      <c r="X4" s="543" t="s">
        <v>174</v>
      </c>
      <c r="Y4" s="187" t="s">
        <v>173</v>
      </c>
      <c r="Z4" s="187" t="s">
        <v>174</v>
      </c>
      <c r="AA4" s="1260" t="s">
        <v>173</v>
      </c>
      <c r="AB4" s="1260" t="s">
        <v>174</v>
      </c>
      <c r="AC4" s="543" t="s">
        <v>173</v>
      </c>
      <c r="AD4" s="543" t="s">
        <v>174</v>
      </c>
      <c r="AE4" s="186" t="s">
        <v>173</v>
      </c>
      <c r="AF4" s="186" t="s">
        <v>174</v>
      </c>
      <c r="AG4" s="543" t="s">
        <v>173</v>
      </c>
      <c r="AH4" s="543" t="s">
        <v>174</v>
      </c>
      <c r="AI4" s="186" t="s">
        <v>173</v>
      </c>
      <c r="AJ4" s="186" t="s">
        <v>174</v>
      </c>
      <c r="AK4" s="543" t="s">
        <v>173</v>
      </c>
      <c r="AL4" s="543" t="s">
        <v>174</v>
      </c>
      <c r="AM4" s="187" t="s">
        <v>173</v>
      </c>
      <c r="AN4" s="187" t="s">
        <v>174</v>
      </c>
      <c r="AO4" s="186" t="s">
        <v>173</v>
      </c>
      <c r="AP4" s="186" t="s">
        <v>174</v>
      </c>
      <c r="AQ4" s="543" t="s">
        <v>173</v>
      </c>
      <c r="AR4" s="543" t="s">
        <v>174</v>
      </c>
      <c r="AS4" s="186" t="s">
        <v>173</v>
      </c>
      <c r="AT4" s="186" t="s">
        <v>174</v>
      </c>
      <c r="AU4" s="543" t="s">
        <v>173</v>
      </c>
      <c r="AV4" s="543" t="s">
        <v>174</v>
      </c>
      <c r="AW4" s="186" t="s">
        <v>173</v>
      </c>
      <c r="AX4" s="186" t="s">
        <v>174</v>
      </c>
      <c r="AY4" s="543" t="s">
        <v>173</v>
      </c>
      <c r="AZ4" s="543" t="s">
        <v>174</v>
      </c>
      <c r="BA4" s="187" t="s">
        <v>173</v>
      </c>
      <c r="BB4" s="187" t="s">
        <v>174</v>
      </c>
      <c r="BC4" s="1260" t="s">
        <v>173</v>
      </c>
      <c r="BD4" s="1260" t="s">
        <v>174</v>
      </c>
      <c r="BE4" s="186" t="s">
        <v>173</v>
      </c>
      <c r="BF4" s="186" t="s">
        <v>174</v>
      </c>
    </row>
    <row r="5" spans="1:66" ht="17.399999999999999" x14ac:dyDescent="0.3">
      <c r="A5" s="146"/>
      <c r="B5" s="1261" t="s">
        <v>926</v>
      </c>
      <c r="C5" s="1261"/>
      <c r="D5" s="246"/>
      <c r="E5" s="1261"/>
      <c r="F5" s="1261"/>
      <c r="G5" s="1261"/>
      <c r="H5" s="1261"/>
      <c r="I5" s="1261"/>
      <c r="J5" s="1261"/>
      <c r="K5" s="1261"/>
      <c r="L5" s="1261"/>
      <c r="M5" s="1261"/>
      <c r="N5" s="1261"/>
      <c r="O5" s="1261"/>
      <c r="P5" s="1261"/>
      <c r="Q5" s="1261"/>
      <c r="R5" s="1261"/>
      <c r="S5" s="1261"/>
      <c r="T5" s="1719"/>
      <c r="U5" s="1261"/>
      <c r="V5" s="1261"/>
      <c r="W5" s="1261"/>
      <c r="X5" s="1261"/>
      <c r="Y5" s="1261"/>
      <c r="Z5" s="1261"/>
      <c r="AA5" s="1261"/>
      <c r="AB5" s="1261"/>
      <c r="AC5" s="1261"/>
      <c r="AD5" s="1261"/>
      <c r="AE5" s="1261"/>
      <c r="AF5" s="1261"/>
      <c r="AG5" s="1261"/>
      <c r="AH5" s="1261"/>
      <c r="AI5" s="1261"/>
      <c r="AJ5" s="1261"/>
      <c r="AK5" s="1261"/>
      <c r="AL5" s="1261"/>
      <c r="AM5" s="1261"/>
      <c r="AN5" s="1261"/>
      <c r="AO5" s="1261"/>
      <c r="AP5" s="1261"/>
      <c r="AQ5" s="1261"/>
      <c r="AR5" s="1261"/>
      <c r="AS5" s="1261"/>
      <c r="AT5" s="1261"/>
      <c r="AU5" s="1261"/>
      <c r="AV5" s="1261"/>
      <c r="AW5" s="1261"/>
      <c r="AX5" s="1261"/>
      <c r="AY5" s="1261"/>
      <c r="AZ5" s="1261"/>
      <c r="BA5" s="1261"/>
      <c r="BB5" s="1261"/>
      <c r="BC5" s="1261"/>
      <c r="BD5" s="1261"/>
      <c r="BE5" s="1261"/>
      <c r="BF5" s="1261"/>
    </row>
    <row r="6" spans="1:66" x14ac:dyDescent="0.3">
      <c r="B6" s="1262" t="s">
        <v>37</v>
      </c>
      <c r="C6" s="63" t="s">
        <v>50</v>
      </c>
      <c r="D6" s="1185">
        <v>3420111.9433620959</v>
      </c>
      <c r="E6" s="1263">
        <v>291765.43036840716</v>
      </c>
      <c r="F6" s="1263">
        <v>252779</v>
      </c>
      <c r="G6" s="1263">
        <v>300530.10291530337</v>
      </c>
      <c r="H6" s="1263">
        <v>279294</v>
      </c>
      <c r="I6" s="1264">
        <f>+E6+G6</f>
        <v>592295.53328371048</v>
      </c>
      <c r="J6" s="1264">
        <f>+F6+H6</f>
        <v>532073</v>
      </c>
      <c r="K6" s="1263">
        <v>291765.43036840716</v>
      </c>
      <c r="L6" s="1263">
        <v>294702</v>
      </c>
      <c r="M6" s="1266">
        <f>+K6+G6+E6</f>
        <v>884060.96365211764</v>
      </c>
      <c r="N6" s="1266">
        <f>+L6+H6+F6</f>
        <v>826775</v>
      </c>
      <c r="O6" s="1263">
        <v>295052.18257349316</v>
      </c>
      <c r="P6" s="1263">
        <v>311810</v>
      </c>
      <c r="Q6" s="1264">
        <f>+M6+O6</f>
        <v>1179113.1462256107</v>
      </c>
      <c r="R6" s="1264">
        <f>+N6+P6</f>
        <v>1138585</v>
      </c>
      <c r="S6" s="1263">
        <v>295052.18257349316</v>
      </c>
      <c r="T6" s="1263">
        <v>299997</v>
      </c>
      <c r="U6" s="1264">
        <f>+Q6+S6</f>
        <v>1474165.3287991039</v>
      </c>
      <c r="V6" s="1264">
        <f>+R6+T6</f>
        <v>1438582</v>
      </c>
      <c r="W6" s="1263">
        <v>162788.71665538964</v>
      </c>
      <c r="X6" s="1263">
        <v>293194</v>
      </c>
      <c r="Y6" s="1266">
        <f>+O6+S6+W6</f>
        <v>752893.08180237596</v>
      </c>
      <c r="Z6" s="1266">
        <f>+P6+T6+X6</f>
        <v>905001</v>
      </c>
      <c r="AA6" s="1205">
        <f>M6+Y6</f>
        <v>1636954.0454544937</v>
      </c>
      <c r="AB6" s="1205">
        <f>N6+Z6</f>
        <v>1731776</v>
      </c>
      <c r="AC6" s="1263">
        <v>300530.10291530337</v>
      </c>
      <c r="AD6" s="1263">
        <v>236018</v>
      </c>
      <c r="AE6" s="1264">
        <f>+AA6+AC6</f>
        <v>1937484.148369797</v>
      </c>
      <c r="AF6" s="1264">
        <f>+AB6+AD6</f>
        <v>1967794</v>
      </c>
      <c r="AG6" s="1263">
        <v>294901.07939664274</v>
      </c>
      <c r="AH6" s="1263">
        <v>286007</v>
      </c>
      <c r="AI6" s="1264">
        <f>+AE6+AG6</f>
        <v>2232385.2277664398</v>
      </c>
      <c r="AJ6" s="1264">
        <f>+AF6+AH6</f>
        <v>2253801</v>
      </c>
      <c r="AK6" s="1263">
        <v>303665.7519435389</v>
      </c>
      <c r="AL6" s="1263">
        <v>281356</v>
      </c>
      <c r="AM6" s="1266">
        <f>+AC6+AG6+AK6</f>
        <v>899096.93425548496</v>
      </c>
      <c r="AN6" s="1266">
        <f>+AD6+AH6+AL6</f>
        <v>803381</v>
      </c>
      <c r="AO6" s="1264">
        <f>AI6+AK6</f>
        <v>2536050.9797099787</v>
      </c>
      <c r="AP6" s="1264">
        <f>AJ6+AL6</f>
        <v>2535157</v>
      </c>
      <c r="AQ6" s="1263">
        <v>304912.43918875139</v>
      </c>
      <c r="AR6" s="1263">
        <v>285935</v>
      </c>
      <c r="AS6" s="1264">
        <f>+AO6+AQ6</f>
        <v>2840963.4188987301</v>
      </c>
      <c r="AT6" s="1264">
        <f>+AP6+AR6</f>
        <v>2821092</v>
      </c>
      <c r="AU6" s="1263">
        <v>274236.0852746148</v>
      </c>
      <c r="AV6" s="1263">
        <v>245579.88</v>
      </c>
      <c r="AW6" s="1264">
        <f>+AS6+AU6</f>
        <v>3115199.5041733449</v>
      </c>
      <c r="AX6" s="1264">
        <f>+AT6+AV6</f>
        <v>3066671.88</v>
      </c>
      <c r="AY6" s="1263">
        <v>304912.43918875139</v>
      </c>
      <c r="AZ6" s="1263">
        <v>295911</v>
      </c>
      <c r="BA6" s="1266">
        <f>+AQ6+AU6+AY6</f>
        <v>884060.96365211764</v>
      </c>
      <c r="BB6" s="1266">
        <f>+AR6+AV6+AZ6</f>
        <v>827425.88</v>
      </c>
      <c r="BC6" s="1205">
        <f>AM6+BA6</f>
        <v>1783157.8979076026</v>
      </c>
      <c r="BD6" s="1205">
        <f t="shared" ref="BD6" si="7">AN6+BB6</f>
        <v>1630806.88</v>
      </c>
      <c r="BE6" s="1264">
        <f>+AW6+AY6</f>
        <v>3420111.9433620963</v>
      </c>
      <c r="BF6" s="1264">
        <f>+AX6+AZ6</f>
        <v>3362582.88</v>
      </c>
      <c r="BG6" s="26">
        <f>AY6+AU6+AQ6+AK6+AG6+AC6+W6+S6+O6+K6+G6+E6-BE6</f>
        <v>0</v>
      </c>
      <c r="BH6" s="26">
        <f>AZ6+AV6+AR6+AL6+AH6+AD6+X6+T6+P6+L6+H6+F6-BF6</f>
        <v>0</v>
      </c>
      <c r="BI6" s="26"/>
      <c r="BJ6" s="26"/>
      <c r="BK6" s="26"/>
      <c r="BL6" s="26"/>
      <c r="BM6" s="26"/>
      <c r="BN6" s="26"/>
    </row>
    <row r="7" spans="1:66" x14ac:dyDescent="0.3">
      <c r="B7" s="1262" t="s">
        <v>38</v>
      </c>
      <c r="C7" s="63" t="s">
        <v>50</v>
      </c>
      <c r="D7" s="1185">
        <v>198321.58971355701</v>
      </c>
      <c r="E7" s="1263">
        <v>16918.564343025799</v>
      </c>
      <c r="F7" s="148">
        <v>17706</v>
      </c>
      <c r="G7" s="1263">
        <v>17426.800278458504</v>
      </c>
      <c r="H7" s="148">
        <v>18108</v>
      </c>
      <c r="I7" s="1264">
        <f t="shared" ref="I7:I20" si="8">+E7+G7</f>
        <v>34345.364621484303</v>
      </c>
      <c r="J7" s="1264">
        <f t="shared" ref="J7:J20" si="9">+F7+H7</f>
        <v>35814</v>
      </c>
      <c r="K7" s="1263">
        <v>16918.564343025799</v>
      </c>
      <c r="L7" s="148">
        <v>13246</v>
      </c>
      <c r="M7" s="1266">
        <f t="shared" ref="M7:M20" si="10">+K7+G7+E7</f>
        <v>51263.928964510102</v>
      </c>
      <c r="N7" s="1266">
        <f t="shared" ref="N7:N20" si="11">+L7+H7+F7</f>
        <v>49060</v>
      </c>
      <c r="O7" s="1263">
        <v>17109.152818813061</v>
      </c>
      <c r="P7" s="1263">
        <v>14610</v>
      </c>
      <c r="Q7" s="1264">
        <f t="shared" ref="Q7:Q20" si="12">+M7+O7</f>
        <v>68373.08178332317</v>
      </c>
      <c r="R7" s="1264">
        <f t="shared" ref="R7:R20" si="13">+N7+P7</f>
        <v>63670</v>
      </c>
      <c r="S7" s="1263">
        <v>17109.152818813061</v>
      </c>
      <c r="T7" s="1263">
        <v>11983</v>
      </c>
      <c r="U7" s="1264">
        <f t="shared" ref="U7:U20" si="14">+Q7+S7</f>
        <v>85482.234602136232</v>
      </c>
      <c r="V7" s="1264">
        <f t="shared" ref="V7:V20" si="15">+R7+T7</f>
        <v>75653</v>
      </c>
      <c r="W7" s="1263">
        <v>9439.6082962096843</v>
      </c>
      <c r="X7" s="148">
        <v>12979</v>
      </c>
      <c r="Y7" s="1266">
        <f t="shared" ref="Y7:Y20" si="16">+O7+S7+W7</f>
        <v>43657.913933835807</v>
      </c>
      <c r="Z7" s="1266">
        <f t="shared" ref="Z7:Z20" si="17">+P7+T7+X7</f>
        <v>39572</v>
      </c>
      <c r="AA7" s="1205">
        <f t="shared" ref="AA7:AA20" si="18">M7+Y7</f>
        <v>94921.842898345902</v>
      </c>
      <c r="AB7" s="1205">
        <f t="shared" ref="AB7:AB20" si="19">N7+Z7</f>
        <v>88632</v>
      </c>
      <c r="AC7" s="1263">
        <v>17426.800278458504</v>
      </c>
      <c r="AD7" s="1263">
        <v>12341</v>
      </c>
      <c r="AE7" s="1264">
        <f t="shared" ref="AE7:AE20" si="20">+AA7+AC7</f>
        <v>112348.64317680441</v>
      </c>
      <c r="AF7" s="1264">
        <f t="shared" ref="AF7:AF13" si="21">+AB7+AD7</f>
        <v>100973</v>
      </c>
      <c r="AG7" s="1263">
        <v>17100.390818404881</v>
      </c>
      <c r="AH7" s="1263">
        <v>14520</v>
      </c>
      <c r="AI7" s="1264">
        <f t="shared" ref="AI7:AI20" si="22">+AE7+AG7</f>
        <v>129449.03399520929</v>
      </c>
      <c r="AJ7" s="1264">
        <f t="shared" ref="AJ7:AJ20" si="23">+AF7+AH7</f>
        <v>115493</v>
      </c>
      <c r="AK7" s="1263">
        <v>17608.626753837594</v>
      </c>
      <c r="AL7" s="1263">
        <v>14536</v>
      </c>
      <c r="AM7" s="1266">
        <f t="shared" ref="AM7:AM20" si="24">+AC7+AG7+AK7</f>
        <v>52135.817850700987</v>
      </c>
      <c r="AN7" s="1266">
        <f t="shared" ref="AN7:AN20" si="25">+AD7+AH7+AL7</f>
        <v>41397</v>
      </c>
      <c r="AO7" s="1264">
        <f t="shared" ref="AO7:AO20" si="26">AI7+AK7</f>
        <v>147057.66074904689</v>
      </c>
      <c r="AP7" s="1264">
        <f t="shared" ref="AP7:AP20" si="27">AJ7+AL7</f>
        <v>130029</v>
      </c>
      <c r="AQ7" s="1263">
        <v>17680.918246174861</v>
      </c>
      <c r="AR7" s="1263">
        <v>11224</v>
      </c>
      <c r="AS7" s="1264">
        <f t="shared" ref="AS7:AS20" si="28">+AO7+AQ7</f>
        <v>164738.57899522176</v>
      </c>
      <c r="AT7" s="1264">
        <f t="shared" ref="AT7:AT20" si="29">+AP7+AR7</f>
        <v>141253</v>
      </c>
      <c r="AU7" s="1263">
        <v>15902.092472160377</v>
      </c>
      <c r="AV7" s="1263">
        <v>11013</v>
      </c>
      <c r="AW7" s="1264">
        <f t="shared" ref="AW7:AW18" si="30">+AS7+AU7</f>
        <v>180640.67146738214</v>
      </c>
      <c r="AX7" s="1264">
        <f t="shared" ref="AX7:AX18" si="31">+AT7+AV7</f>
        <v>152266</v>
      </c>
      <c r="AY7" s="1263">
        <v>17680.918246174861</v>
      </c>
      <c r="AZ7" s="1263">
        <v>14012</v>
      </c>
      <c r="BA7" s="1266">
        <f t="shared" ref="BA7:BA20" si="32">+AQ7+AU7+AY7</f>
        <v>51263.928964510094</v>
      </c>
      <c r="BB7" s="1266">
        <f t="shared" ref="BB7:BB20" si="33">+AR7+AV7+AZ7</f>
        <v>36249</v>
      </c>
      <c r="BC7" s="1205">
        <f t="shared" ref="BC7:BC20" si="34">AM7+BA7</f>
        <v>103399.74681521108</v>
      </c>
      <c r="BD7" s="1205">
        <f t="shared" ref="BD7:BD20" si="35">AN7+BB7</f>
        <v>77646</v>
      </c>
      <c r="BE7" s="1264">
        <f t="shared" ref="BE7:BE15" si="36">+AW7+AY7</f>
        <v>198321.58971355701</v>
      </c>
      <c r="BF7" s="1264">
        <f>+AX7+AZ7</f>
        <v>166278</v>
      </c>
      <c r="BG7" s="26">
        <f t="shared" ref="BG7:BG68" si="37">AY7+AU7+AQ7+AK7+AG7+AC7+W7+S7+O7+K7+G7+E7-BE7</f>
        <v>0</v>
      </c>
      <c r="BH7" s="26">
        <f t="shared" ref="BH7:BH68" si="38">AZ7+AV7+AR7+AL7+AH7+AD7+X7+T7+P7+L7+H7+F7-BF7</f>
        <v>0</v>
      </c>
      <c r="BI7" s="26"/>
      <c r="BJ7" s="26"/>
      <c r="BK7" s="26"/>
      <c r="BL7" s="26"/>
      <c r="BM7" s="26"/>
      <c r="BN7" s="26"/>
    </row>
    <row r="8" spans="1:66" x14ac:dyDescent="0.3">
      <c r="B8" s="1262" t="s">
        <v>39</v>
      </c>
      <c r="C8" s="63" t="s">
        <v>50</v>
      </c>
      <c r="D8" s="1185">
        <v>413882.72462458618</v>
      </c>
      <c r="E8" s="1263">
        <v>35307.812513713536</v>
      </c>
      <c r="F8" s="148">
        <v>31408</v>
      </c>
      <c r="G8" s="1263">
        <v>36368.463923440693</v>
      </c>
      <c r="H8" s="148">
        <v>33097</v>
      </c>
      <c r="I8" s="1264">
        <f t="shared" si="8"/>
        <v>71676.276437154229</v>
      </c>
      <c r="J8" s="1264">
        <f t="shared" si="9"/>
        <v>64505</v>
      </c>
      <c r="K8" s="1263">
        <v>35307.812513713536</v>
      </c>
      <c r="L8" s="148">
        <v>32851</v>
      </c>
      <c r="M8" s="1266">
        <f t="shared" si="10"/>
        <v>106984.08895086776</v>
      </c>
      <c r="N8" s="1266">
        <f t="shared" si="11"/>
        <v>97356</v>
      </c>
      <c r="O8" s="1263">
        <v>35705.556792361218</v>
      </c>
      <c r="P8" s="148">
        <v>36699</v>
      </c>
      <c r="Q8" s="1264">
        <f t="shared" si="12"/>
        <v>142689.64574322899</v>
      </c>
      <c r="R8" s="1264">
        <f t="shared" si="13"/>
        <v>134055</v>
      </c>
      <c r="S8" s="1263">
        <v>35705.556792361218</v>
      </c>
      <c r="T8" s="1263">
        <v>37500</v>
      </c>
      <c r="U8" s="1264">
        <f t="shared" si="14"/>
        <v>178395.20253559022</v>
      </c>
      <c r="V8" s="1264">
        <f t="shared" si="15"/>
        <v>171555</v>
      </c>
      <c r="W8" s="1263">
        <v>19699.7755346101</v>
      </c>
      <c r="X8" s="148">
        <v>35093</v>
      </c>
      <c r="Y8" s="1266">
        <f t="shared" si="16"/>
        <v>91110.88911933254</v>
      </c>
      <c r="Z8" s="1266">
        <f t="shared" si="17"/>
        <v>109292</v>
      </c>
      <c r="AA8" s="1205">
        <f t="shared" si="18"/>
        <v>198094.9780702003</v>
      </c>
      <c r="AB8" s="1205">
        <f t="shared" si="19"/>
        <v>206648</v>
      </c>
      <c r="AC8" s="1263">
        <v>36368.463923440693</v>
      </c>
      <c r="AD8" s="148">
        <v>28556</v>
      </c>
      <c r="AE8" s="1264">
        <f t="shared" si="20"/>
        <v>234463.441993641</v>
      </c>
      <c r="AF8" s="1264">
        <f t="shared" si="21"/>
        <v>235204</v>
      </c>
      <c r="AG8" s="1263">
        <v>35687.27113517515</v>
      </c>
      <c r="AH8" s="148">
        <v>31931</v>
      </c>
      <c r="AI8" s="1264">
        <f t="shared" si="22"/>
        <v>270150.71312881616</v>
      </c>
      <c r="AJ8" s="1264">
        <f t="shared" si="23"/>
        <v>267135</v>
      </c>
      <c r="AK8" s="1263">
        <v>36747.9225449023</v>
      </c>
      <c r="AL8" s="148">
        <v>30144</v>
      </c>
      <c r="AM8" s="1266">
        <f t="shared" si="24"/>
        <v>108803.65760351814</v>
      </c>
      <c r="AN8" s="1266">
        <f t="shared" si="25"/>
        <v>90631</v>
      </c>
      <c r="AO8" s="1264">
        <f t="shared" si="26"/>
        <v>306898.63567371847</v>
      </c>
      <c r="AP8" s="1264">
        <f t="shared" si="27"/>
        <v>297279</v>
      </c>
      <c r="AQ8" s="1263">
        <v>36898.789628304265</v>
      </c>
      <c r="AR8" s="148">
        <v>35371</v>
      </c>
      <c r="AS8" s="1264">
        <f t="shared" si="28"/>
        <v>343797.42530202272</v>
      </c>
      <c r="AT8" s="1264">
        <f t="shared" si="29"/>
        <v>332650</v>
      </c>
      <c r="AU8" s="1263">
        <v>33186.509694259221</v>
      </c>
      <c r="AV8" s="1263">
        <v>32409</v>
      </c>
      <c r="AW8" s="1264">
        <f t="shared" si="30"/>
        <v>376983.93499628193</v>
      </c>
      <c r="AX8" s="1264">
        <f t="shared" si="31"/>
        <v>365059</v>
      </c>
      <c r="AY8" s="1263">
        <v>36898.789628304265</v>
      </c>
      <c r="AZ8" s="275">
        <v>40267</v>
      </c>
      <c r="BA8" s="1266">
        <f t="shared" si="32"/>
        <v>106984.08895086775</v>
      </c>
      <c r="BB8" s="1266">
        <f t="shared" si="33"/>
        <v>108047</v>
      </c>
      <c r="BC8" s="1205">
        <f t="shared" si="34"/>
        <v>215787.74655438587</v>
      </c>
      <c r="BD8" s="1205">
        <f t="shared" si="35"/>
        <v>198678</v>
      </c>
      <c r="BE8" s="1264">
        <f t="shared" si="36"/>
        <v>413882.72462458618</v>
      </c>
      <c r="BF8" s="1264">
        <f>+AX8+AZ8</f>
        <v>405326</v>
      </c>
      <c r="BG8" s="26">
        <f t="shared" si="37"/>
        <v>0</v>
      </c>
      <c r="BH8" s="26">
        <f t="shared" si="38"/>
        <v>0</v>
      </c>
      <c r="BI8" s="26"/>
      <c r="BJ8" s="26"/>
      <c r="BK8" s="26"/>
      <c r="BL8" s="26"/>
      <c r="BM8" s="26"/>
      <c r="BN8" s="26"/>
    </row>
    <row r="9" spans="1:66" x14ac:dyDescent="0.3">
      <c r="B9" s="1262" t="s">
        <v>40</v>
      </c>
      <c r="C9" s="63" t="s">
        <v>50</v>
      </c>
      <c r="D9" s="1185">
        <v>193929.83655187924</v>
      </c>
      <c r="E9" s="1263">
        <v>16543.909427482569</v>
      </c>
      <c r="F9" s="148">
        <v>14998</v>
      </c>
      <c r="G9" s="1263">
        <v>17040.890679148677</v>
      </c>
      <c r="H9" s="148">
        <v>14764</v>
      </c>
      <c r="I9" s="1264">
        <f t="shared" si="8"/>
        <v>33584.800106631243</v>
      </c>
      <c r="J9" s="1264">
        <f t="shared" si="9"/>
        <v>29762</v>
      </c>
      <c r="K9" s="1263">
        <v>16543.909427482569</v>
      </c>
      <c r="L9" s="148">
        <v>14107</v>
      </c>
      <c r="M9" s="1266">
        <f t="shared" si="10"/>
        <v>50128.709534113812</v>
      </c>
      <c r="N9" s="1266">
        <f t="shared" si="11"/>
        <v>43869</v>
      </c>
      <c r="O9" s="1263">
        <v>16730.277396857357</v>
      </c>
      <c r="P9" s="148">
        <v>15252</v>
      </c>
      <c r="Q9" s="1264">
        <f t="shared" si="12"/>
        <v>66858.986930971165</v>
      </c>
      <c r="R9" s="1264">
        <f t="shared" si="13"/>
        <v>59121</v>
      </c>
      <c r="S9" s="1263">
        <v>16730.277396857357</v>
      </c>
      <c r="T9" s="148">
        <v>16545</v>
      </c>
      <c r="U9" s="1264">
        <f t="shared" si="14"/>
        <v>83589.264327828525</v>
      </c>
      <c r="V9" s="1264">
        <f t="shared" si="15"/>
        <v>75666</v>
      </c>
      <c r="W9" s="1263">
        <v>9230.571904156981</v>
      </c>
      <c r="X9" s="148">
        <v>13797</v>
      </c>
      <c r="Y9" s="1266">
        <f t="shared" si="16"/>
        <v>42691.126697871696</v>
      </c>
      <c r="Z9" s="1266">
        <f t="shared" si="17"/>
        <v>45594</v>
      </c>
      <c r="AA9" s="1205">
        <f t="shared" si="18"/>
        <v>92819.836231985508</v>
      </c>
      <c r="AB9" s="1205">
        <f t="shared" si="19"/>
        <v>89463</v>
      </c>
      <c r="AC9" s="1263">
        <v>17040.890679148677</v>
      </c>
      <c r="AD9" s="148">
        <v>11749</v>
      </c>
      <c r="AE9" s="1264">
        <f t="shared" si="20"/>
        <v>109860.72691113419</v>
      </c>
      <c r="AF9" s="1264">
        <f t="shared" si="21"/>
        <v>101212</v>
      </c>
      <c r="AG9" s="1263">
        <v>16721.709427482569</v>
      </c>
      <c r="AH9" s="148">
        <v>14310</v>
      </c>
      <c r="AI9" s="1264">
        <f t="shared" si="22"/>
        <v>126582.43633861675</v>
      </c>
      <c r="AJ9" s="1264">
        <f t="shared" si="23"/>
        <v>115522</v>
      </c>
      <c r="AK9" s="1263">
        <v>17218.690679148676</v>
      </c>
      <c r="AL9" s="148">
        <v>13988</v>
      </c>
      <c r="AM9" s="1266">
        <f t="shared" si="24"/>
        <v>50981.290785779922</v>
      </c>
      <c r="AN9" s="1266">
        <f t="shared" si="25"/>
        <v>40047</v>
      </c>
      <c r="AO9" s="1264">
        <f t="shared" si="26"/>
        <v>143801.12701776542</v>
      </c>
      <c r="AP9" s="1264">
        <f t="shared" si="27"/>
        <v>129510</v>
      </c>
      <c r="AQ9" s="1263">
        <v>17289.381304981736</v>
      </c>
      <c r="AR9" s="148">
        <v>14166</v>
      </c>
      <c r="AS9" s="1264">
        <f t="shared" si="28"/>
        <v>161090.50832274716</v>
      </c>
      <c r="AT9" s="1264">
        <f t="shared" si="29"/>
        <v>143676</v>
      </c>
      <c r="AU9" s="1263">
        <v>15549.946924150338</v>
      </c>
      <c r="AV9" s="1263">
        <v>12237</v>
      </c>
      <c r="AW9" s="1264">
        <f t="shared" si="30"/>
        <v>176640.4552468975</v>
      </c>
      <c r="AX9" s="1264">
        <f t="shared" si="31"/>
        <v>155913</v>
      </c>
      <c r="AY9" s="1263">
        <v>17289.381304981736</v>
      </c>
      <c r="AZ9" s="1263">
        <v>15890</v>
      </c>
      <c r="BA9" s="1266">
        <f t="shared" si="32"/>
        <v>50128.709534113805</v>
      </c>
      <c r="BB9" s="1266">
        <f t="shared" si="33"/>
        <v>42293</v>
      </c>
      <c r="BC9" s="1205">
        <f t="shared" si="34"/>
        <v>101110.00031989373</v>
      </c>
      <c r="BD9" s="1205">
        <f t="shared" si="35"/>
        <v>82340</v>
      </c>
      <c r="BE9" s="1264">
        <f t="shared" si="36"/>
        <v>193929.83655187924</v>
      </c>
      <c r="BF9" s="1264">
        <f t="shared" ref="BF9:BF12" si="39">+AX9+AZ9</f>
        <v>171803</v>
      </c>
      <c r="BG9" s="26">
        <f t="shared" si="37"/>
        <v>0</v>
      </c>
      <c r="BH9" s="26">
        <f t="shared" si="38"/>
        <v>0</v>
      </c>
      <c r="BI9" s="26"/>
      <c r="BJ9" s="26"/>
      <c r="BK9" s="26"/>
      <c r="BL9" s="26"/>
      <c r="BM9" s="26"/>
      <c r="BN9" s="26"/>
    </row>
    <row r="10" spans="1:66" ht="15" customHeight="1" x14ac:dyDescent="0.3">
      <c r="B10" s="1262" t="s">
        <v>1431</v>
      </c>
      <c r="C10" s="63" t="s">
        <v>50</v>
      </c>
      <c r="D10" s="1185">
        <v>1745.1503851687673</v>
      </c>
      <c r="E10" s="1263">
        <v>148.87657527543368</v>
      </c>
      <c r="F10" s="148">
        <v>703</v>
      </c>
      <c r="G10" s="1263">
        <v>153.34884750639981</v>
      </c>
      <c r="H10" s="148">
        <v>519</v>
      </c>
      <c r="I10" s="1264">
        <f t="shared" si="8"/>
        <v>302.22542278183346</v>
      </c>
      <c r="J10" s="1264">
        <f t="shared" si="9"/>
        <v>1222</v>
      </c>
      <c r="K10" s="1263">
        <v>148.87657527543368</v>
      </c>
      <c r="L10" s="148">
        <v>394</v>
      </c>
      <c r="M10" s="1266">
        <f t="shared" si="10"/>
        <v>451.10199805726711</v>
      </c>
      <c r="N10" s="1266">
        <f t="shared" si="11"/>
        <v>1616</v>
      </c>
      <c r="O10" s="1263">
        <v>150.55367736204596</v>
      </c>
      <c r="P10" s="148">
        <v>932</v>
      </c>
      <c r="Q10" s="1264">
        <f t="shared" si="12"/>
        <v>601.65567541931307</v>
      </c>
      <c r="R10" s="1264">
        <f t="shared" si="13"/>
        <v>2548</v>
      </c>
      <c r="S10" s="1263">
        <v>150.55367736204596</v>
      </c>
      <c r="T10" s="148">
        <v>728</v>
      </c>
      <c r="U10" s="1264">
        <f t="shared" si="14"/>
        <v>752.20935278135903</v>
      </c>
      <c r="V10" s="1264">
        <f t="shared" si="15"/>
        <v>3276</v>
      </c>
      <c r="W10" s="1263">
        <v>83.064764041907608</v>
      </c>
      <c r="X10" s="148">
        <v>0</v>
      </c>
      <c r="Y10" s="1266">
        <f t="shared" si="16"/>
        <v>384.17211876599953</v>
      </c>
      <c r="Z10" s="1266">
        <f t="shared" si="17"/>
        <v>1660</v>
      </c>
      <c r="AA10" s="1205">
        <f t="shared" si="18"/>
        <v>835.2741168232667</v>
      </c>
      <c r="AB10" s="1205">
        <f t="shared" si="19"/>
        <v>3276</v>
      </c>
      <c r="AC10" s="1263">
        <v>153.34884750639981</v>
      </c>
      <c r="AD10" s="148">
        <v>481</v>
      </c>
      <c r="AE10" s="1264">
        <f t="shared" si="20"/>
        <v>988.6229643296665</v>
      </c>
      <c r="AF10" s="1264">
        <f t="shared" si="21"/>
        <v>3757</v>
      </c>
      <c r="AG10" s="1263">
        <v>150.47657527543367</v>
      </c>
      <c r="AH10" s="148">
        <v>250</v>
      </c>
      <c r="AI10" s="1264">
        <f t="shared" si="22"/>
        <v>1139.0995396051003</v>
      </c>
      <c r="AJ10" s="1264">
        <f t="shared" si="23"/>
        <v>4007</v>
      </c>
      <c r="AK10" s="1263">
        <v>154.94884750639983</v>
      </c>
      <c r="AL10" s="148">
        <v>0</v>
      </c>
      <c r="AM10" s="1266">
        <f t="shared" si="24"/>
        <v>458.77427028823331</v>
      </c>
      <c r="AN10" s="1266">
        <f t="shared" si="25"/>
        <v>731</v>
      </c>
      <c r="AO10" s="1264">
        <f t="shared" si="26"/>
        <v>1294.0483871115002</v>
      </c>
      <c r="AP10" s="1264">
        <f t="shared" si="27"/>
        <v>4007</v>
      </c>
      <c r="AQ10" s="1263">
        <v>155.58498362188288</v>
      </c>
      <c r="AR10" s="148">
        <v>0</v>
      </c>
      <c r="AS10" s="1264">
        <f t="shared" si="28"/>
        <v>1449.6333707333831</v>
      </c>
      <c r="AT10" s="1264">
        <f t="shared" si="29"/>
        <v>4007</v>
      </c>
      <c r="AU10" s="1263">
        <v>139.9320308135014</v>
      </c>
      <c r="AV10" s="1263">
        <v>0</v>
      </c>
      <c r="AW10" s="1264">
        <f t="shared" si="30"/>
        <v>1589.5654015468845</v>
      </c>
      <c r="AX10" s="1264">
        <f t="shared" si="31"/>
        <v>4007</v>
      </c>
      <c r="AY10" s="1263">
        <v>155.58498362188288</v>
      </c>
      <c r="BA10" s="1266">
        <f t="shared" si="32"/>
        <v>451.10199805726717</v>
      </c>
      <c r="BB10" s="1266">
        <f t="shared" si="33"/>
        <v>0</v>
      </c>
      <c r="BC10" s="1205">
        <f t="shared" si="34"/>
        <v>909.87626834550042</v>
      </c>
      <c r="BD10" s="1205">
        <f t="shared" si="35"/>
        <v>731</v>
      </c>
      <c r="BE10" s="1264">
        <f t="shared" si="36"/>
        <v>1745.1503851687673</v>
      </c>
      <c r="BF10" s="1264">
        <f t="shared" si="39"/>
        <v>4007</v>
      </c>
      <c r="BG10" s="26">
        <f t="shared" si="37"/>
        <v>0</v>
      </c>
      <c r="BH10" s="26">
        <f t="shared" si="38"/>
        <v>0</v>
      </c>
      <c r="BI10" s="26"/>
      <c r="BJ10" s="26"/>
      <c r="BK10" s="26"/>
      <c r="BL10" s="26"/>
      <c r="BM10" s="26"/>
      <c r="BN10" s="26"/>
    </row>
    <row r="11" spans="1:66" ht="15.75" customHeight="1" x14ac:dyDescent="0.3">
      <c r="B11" s="1262" t="s">
        <v>556</v>
      </c>
      <c r="C11" s="63" t="s">
        <v>50</v>
      </c>
      <c r="D11" s="1185">
        <v>63523.474020143127</v>
      </c>
      <c r="E11" s="1263">
        <v>5419.1073400257865</v>
      </c>
      <c r="F11" s="148">
        <v>5571</v>
      </c>
      <c r="G11" s="1263">
        <v>5581.8980492329538</v>
      </c>
      <c r="H11" s="148">
        <v>5527</v>
      </c>
      <c r="I11" s="1264">
        <f t="shared" si="8"/>
        <v>11001.00538925874</v>
      </c>
      <c r="J11" s="1264">
        <f t="shared" si="9"/>
        <v>11098</v>
      </c>
      <c r="K11" s="1263">
        <v>5419.1073400257865</v>
      </c>
      <c r="L11" s="148">
        <v>6762</v>
      </c>
      <c r="M11" s="1266">
        <f t="shared" si="10"/>
        <v>16420.112729284527</v>
      </c>
      <c r="N11" s="1266">
        <f t="shared" si="11"/>
        <v>17860</v>
      </c>
      <c r="O11" s="1263">
        <v>5480.153855978474</v>
      </c>
      <c r="P11" s="148">
        <v>5637</v>
      </c>
      <c r="Q11" s="1264">
        <f t="shared" si="12"/>
        <v>21900.266585263002</v>
      </c>
      <c r="R11" s="1264">
        <f t="shared" si="13"/>
        <v>23497</v>
      </c>
      <c r="S11" s="1263">
        <v>5480.153855978474</v>
      </c>
      <c r="T11" s="1263">
        <v>6443</v>
      </c>
      <c r="U11" s="1264">
        <f t="shared" si="14"/>
        <v>27380.420441241477</v>
      </c>
      <c r="V11" s="1264">
        <f t="shared" si="15"/>
        <v>29940</v>
      </c>
      <c r="W11" s="1263">
        <v>3023.5574111254364</v>
      </c>
      <c r="X11" s="1263">
        <v>5359</v>
      </c>
      <c r="Y11" s="1266">
        <f t="shared" si="16"/>
        <v>13983.865123082385</v>
      </c>
      <c r="Z11" s="1266">
        <f t="shared" si="17"/>
        <v>17439</v>
      </c>
      <c r="AA11" s="1205">
        <f t="shared" si="18"/>
        <v>30403.977852366912</v>
      </c>
      <c r="AB11" s="1205">
        <f t="shared" si="19"/>
        <v>35299</v>
      </c>
      <c r="AC11" s="1263">
        <v>5581.8980492329538</v>
      </c>
      <c r="AD11" s="1263">
        <v>3432</v>
      </c>
      <c r="AE11" s="1264">
        <f t="shared" si="20"/>
        <v>35985.875901599866</v>
      </c>
      <c r="AF11" s="1264">
        <f t="shared" si="21"/>
        <v>38731</v>
      </c>
      <c r="AG11" s="1263">
        <v>5477.3473400257863</v>
      </c>
      <c r="AH11" s="148">
        <v>5944</v>
      </c>
      <c r="AI11" s="1264">
        <f t="shared" si="22"/>
        <v>41463.223241625652</v>
      </c>
      <c r="AJ11" s="1264">
        <f t="shared" si="23"/>
        <v>44675</v>
      </c>
      <c r="AK11" s="1263">
        <v>5640.1380492329545</v>
      </c>
      <c r="AL11" s="148">
        <v>5853</v>
      </c>
      <c r="AM11" s="1266">
        <f t="shared" si="24"/>
        <v>16699.383438491695</v>
      </c>
      <c r="AN11" s="1266">
        <f t="shared" si="25"/>
        <v>15229</v>
      </c>
      <c r="AO11" s="1264">
        <f t="shared" si="26"/>
        <v>47103.361290858607</v>
      </c>
      <c r="AP11" s="1264">
        <f t="shared" si="27"/>
        <v>50528</v>
      </c>
      <c r="AQ11" s="1263">
        <v>5663.2934038365374</v>
      </c>
      <c r="AR11" s="148">
        <v>5804</v>
      </c>
      <c r="AS11" s="1264">
        <f t="shared" si="28"/>
        <v>52766.654694695142</v>
      </c>
      <c r="AT11" s="1264">
        <f t="shared" si="29"/>
        <v>56332</v>
      </c>
      <c r="AU11" s="1263">
        <v>5093.5259216114509</v>
      </c>
      <c r="AV11" s="1263">
        <v>4389</v>
      </c>
      <c r="AW11" s="1264">
        <f t="shared" si="30"/>
        <v>57860.180616306592</v>
      </c>
      <c r="AX11" s="1264">
        <f t="shared" si="31"/>
        <v>60721</v>
      </c>
      <c r="AY11" s="1263">
        <v>5663.2934038365374</v>
      </c>
      <c r="AZ11" s="1263">
        <v>5984</v>
      </c>
      <c r="BA11" s="1266">
        <f t="shared" si="32"/>
        <v>16420.112729284527</v>
      </c>
      <c r="BB11" s="1266">
        <f t="shared" si="33"/>
        <v>16177</v>
      </c>
      <c r="BC11" s="1205">
        <f t="shared" si="34"/>
        <v>33119.496167776218</v>
      </c>
      <c r="BD11" s="1205">
        <f t="shared" si="35"/>
        <v>31406</v>
      </c>
      <c r="BE11" s="1264">
        <f t="shared" si="36"/>
        <v>63523.474020143127</v>
      </c>
      <c r="BF11" s="1264">
        <f t="shared" si="39"/>
        <v>66705</v>
      </c>
      <c r="BG11" s="26">
        <f t="shared" si="37"/>
        <v>0</v>
      </c>
      <c r="BH11" s="26">
        <f t="shared" si="38"/>
        <v>0</v>
      </c>
      <c r="BI11" s="26"/>
      <c r="BJ11" s="26"/>
      <c r="BK11" s="26"/>
      <c r="BL11" s="26"/>
      <c r="BM11" s="26"/>
      <c r="BN11" s="26"/>
    </row>
    <row r="12" spans="1:66" x14ac:dyDescent="0.3">
      <c r="B12" s="1262" t="s">
        <v>41</v>
      </c>
      <c r="C12" s="63" t="s">
        <v>50</v>
      </c>
      <c r="D12" s="1185">
        <v>45437.560985585827</v>
      </c>
      <c r="E12" s="1263">
        <v>3876.220941124509</v>
      </c>
      <c r="F12" s="148">
        <v>0</v>
      </c>
      <c r="G12" s="1263">
        <v>3992.6631365740518</v>
      </c>
      <c r="H12" s="1263">
        <v>0</v>
      </c>
      <c r="I12" s="1264">
        <f t="shared" si="8"/>
        <v>7868.8840776985608</v>
      </c>
      <c r="J12" s="1264">
        <f t="shared" si="9"/>
        <v>0</v>
      </c>
      <c r="K12" s="1263">
        <v>3876.220941124509</v>
      </c>
      <c r="L12" s="1263">
        <v>1756</v>
      </c>
      <c r="M12" s="1266">
        <f t="shared" si="10"/>
        <v>11745.105018823069</v>
      </c>
      <c r="N12" s="1266">
        <f t="shared" si="11"/>
        <v>1756</v>
      </c>
      <c r="O12" s="1263">
        <v>3919.8867644180868</v>
      </c>
      <c r="P12" s="1263">
        <v>2357</v>
      </c>
      <c r="Q12" s="1264">
        <f t="shared" si="12"/>
        <v>15664.991783241156</v>
      </c>
      <c r="R12" s="1264">
        <f t="shared" si="13"/>
        <v>4113</v>
      </c>
      <c r="S12" s="1263">
        <v>3919.8867644180868</v>
      </c>
      <c r="T12" s="1263">
        <v>3801</v>
      </c>
      <c r="U12" s="1264">
        <f t="shared" si="14"/>
        <v>19584.878547659242</v>
      </c>
      <c r="V12" s="1264">
        <f t="shared" si="15"/>
        <v>7914</v>
      </c>
      <c r="W12" s="1263">
        <v>2162.7134910453456</v>
      </c>
      <c r="X12" s="1263">
        <v>3261</v>
      </c>
      <c r="Y12" s="1266">
        <f t="shared" si="16"/>
        <v>10002.487019881519</v>
      </c>
      <c r="Z12" s="1266">
        <f t="shared" si="17"/>
        <v>9419</v>
      </c>
      <c r="AA12" s="1205">
        <f t="shared" si="18"/>
        <v>21747.592038704588</v>
      </c>
      <c r="AB12" s="1205">
        <f t="shared" si="19"/>
        <v>11175</v>
      </c>
      <c r="AC12" s="1263">
        <v>3992.6631365740518</v>
      </c>
      <c r="AD12" s="1263">
        <v>3784</v>
      </c>
      <c r="AE12" s="1264">
        <f t="shared" si="20"/>
        <v>25740.255175278638</v>
      </c>
      <c r="AF12" s="1264">
        <f t="shared" si="21"/>
        <v>14959</v>
      </c>
      <c r="AG12" s="1263">
        <v>3917.8792980172916</v>
      </c>
      <c r="AH12" s="1263">
        <v>3563</v>
      </c>
      <c r="AI12" s="1264">
        <f t="shared" si="22"/>
        <v>29658.13447329593</v>
      </c>
      <c r="AJ12" s="1264">
        <f t="shared" si="23"/>
        <v>18522</v>
      </c>
      <c r="AK12" s="1263">
        <v>4034.321493466834</v>
      </c>
      <c r="AL12" s="1263">
        <v>3960</v>
      </c>
      <c r="AM12" s="1266">
        <f t="shared" si="24"/>
        <v>11944.863928058177</v>
      </c>
      <c r="AN12" s="1266">
        <f t="shared" si="25"/>
        <v>11307</v>
      </c>
      <c r="AO12" s="1264">
        <f t="shared" si="26"/>
        <v>33692.455966762762</v>
      </c>
      <c r="AP12" s="1264">
        <f t="shared" si="27"/>
        <v>22482</v>
      </c>
      <c r="AQ12" s="1263">
        <v>4050.8842342988223</v>
      </c>
      <c r="AR12" s="1263">
        <v>3624</v>
      </c>
      <c r="AS12" s="1264">
        <f t="shared" si="28"/>
        <v>37743.340201061583</v>
      </c>
      <c r="AT12" s="1264">
        <f t="shared" si="29"/>
        <v>26106</v>
      </c>
      <c r="AU12" s="1263">
        <v>3643.3365502254233</v>
      </c>
      <c r="AV12" s="1263">
        <v>4361</v>
      </c>
      <c r="AW12" s="1264">
        <f t="shared" si="30"/>
        <v>41386.676751287006</v>
      </c>
      <c r="AX12" s="1264">
        <f t="shared" si="31"/>
        <v>30467</v>
      </c>
      <c r="AY12" s="1263">
        <v>4050.8842342988223</v>
      </c>
      <c r="AZ12" s="1263">
        <v>3368</v>
      </c>
      <c r="BA12" s="1266">
        <f t="shared" si="32"/>
        <v>11745.105018823067</v>
      </c>
      <c r="BB12" s="1266">
        <f t="shared" si="33"/>
        <v>11353</v>
      </c>
      <c r="BC12" s="1205">
        <f t="shared" si="34"/>
        <v>23689.968946881243</v>
      </c>
      <c r="BD12" s="1205">
        <f t="shared" si="35"/>
        <v>22660</v>
      </c>
      <c r="BE12" s="1264">
        <f t="shared" si="36"/>
        <v>45437.560985585827</v>
      </c>
      <c r="BF12" s="1264">
        <f t="shared" si="39"/>
        <v>33835</v>
      </c>
      <c r="BG12" s="26">
        <f t="shared" si="37"/>
        <v>0</v>
      </c>
      <c r="BH12" s="26">
        <f t="shared" si="38"/>
        <v>0</v>
      </c>
      <c r="BI12" s="26"/>
      <c r="BJ12" s="26"/>
      <c r="BK12" s="26"/>
      <c r="BL12" s="26"/>
      <c r="BM12" s="26"/>
      <c r="BN12" s="26"/>
    </row>
    <row r="13" spans="1:66" x14ac:dyDescent="0.3">
      <c r="B13" s="1262" t="s">
        <v>1499</v>
      </c>
      <c r="C13" s="63" t="s">
        <v>50</v>
      </c>
      <c r="D13" s="1185">
        <v>0</v>
      </c>
      <c r="E13" s="1263">
        <v>0</v>
      </c>
      <c r="F13" s="148">
        <v>667</v>
      </c>
      <c r="G13" s="1263">
        <v>0</v>
      </c>
      <c r="H13" s="1263">
        <v>698</v>
      </c>
      <c r="I13" s="1264">
        <f t="shared" si="8"/>
        <v>0</v>
      </c>
      <c r="J13" s="1264">
        <f t="shared" si="9"/>
        <v>1365</v>
      </c>
      <c r="K13" s="1263">
        <v>0</v>
      </c>
      <c r="L13" s="1263">
        <v>0</v>
      </c>
      <c r="M13" s="1266">
        <f t="shared" ref="M13" si="40">+K13+G13+E13</f>
        <v>0</v>
      </c>
      <c r="N13" s="1266">
        <f t="shared" si="11"/>
        <v>1365</v>
      </c>
      <c r="O13" s="1263">
        <v>0</v>
      </c>
      <c r="P13" s="1263">
        <v>1045</v>
      </c>
      <c r="Q13" s="1264">
        <f t="shared" ref="Q13" si="41">+M13+O13</f>
        <v>0</v>
      </c>
      <c r="R13" s="1264">
        <f t="shared" ref="R13" si="42">+N13+P13</f>
        <v>2410</v>
      </c>
      <c r="S13" s="1263">
        <v>0</v>
      </c>
      <c r="T13" s="1263">
        <v>614</v>
      </c>
      <c r="U13" s="1264">
        <f t="shared" si="14"/>
        <v>0</v>
      </c>
      <c r="V13" s="1264">
        <f t="shared" si="15"/>
        <v>3024</v>
      </c>
      <c r="W13" s="1263">
        <v>0</v>
      </c>
      <c r="X13" s="1263">
        <v>562</v>
      </c>
      <c r="Y13" s="1266">
        <f t="shared" si="16"/>
        <v>0</v>
      </c>
      <c r="Z13" s="1266">
        <f t="shared" si="17"/>
        <v>2221</v>
      </c>
      <c r="AA13" s="1205">
        <f t="shared" si="18"/>
        <v>0</v>
      </c>
      <c r="AB13" s="1205">
        <f t="shared" si="19"/>
        <v>3586</v>
      </c>
      <c r="AC13" s="1263">
        <v>0</v>
      </c>
      <c r="AD13" s="1263">
        <v>592</v>
      </c>
      <c r="AE13" s="1264">
        <f t="shared" si="20"/>
        <v>0</v>
      </c>
      <c r="AF13" s="1264">
        <f t="shared" si="21"/>
        <v>4178</v>
      </c>
      <c r="AG13" s="1263">
        <v>0</v>
      </c>
      <c r="AH13" s="1263">
        <v>440</v>
      </c>
      <c r="AI13" s="1264">
        <f t="shared" si="22"/>
        <v>0</v>
      </c>
      <c r="AJ13" s="1264">
        <f t="shared" si="23"/>
        <v>4618</v>
      </c>
      <c r="AK13" s="1263">
        <v>0</v>
      </c>
      <c r="AL13" s="1263">
        <v>619</v>
      </c>
      <c r="AM13" s="1266">
        <f t="shared" si="24"/>
        <v>0</v>
      </c>
      <c r="AN13" s="1266">
        <f t="shared" si="25"/>
        <v>1651</v>
      </c>
      <c r="AO13" s="1264">
        <f t="shared" si="26"/>
        <v>0</v>
      </c>
      <c r="AP13" s="1264">
        <f t="shared" si="27"/>
        <v>5237</v>
      </c>
      <c r="AQ13" s="1263">
        <v>0</v>
      </c>
      <c r="AR13" s="1263">
        <v>0</v>
      </c>
      <c r="AS13" s="1264">
        <f t="shared" si="28"/>
        <v>0</v>
      </c>
      <c r="AT13" s="1264">
        <f t="shared" si="29"/>
        <v>5237</v>
      </c>
      <c r="AU13" s="1263">
        <v>0</v>
      </c>
      <c r="AV13" s="1263">
        <v>607</v>
      </c>
      <c r="AW13" s="1264">
        <f t="shared" si="30"/>
        <v>0</v>
      </c>
      <c r="AX13" s="1264">
        <f t="shared" si="31"/>
        <v>5844</v>
      </c>
      <c r="AY13" s="1263">
        <v>0</v>
      </c>
      <c r="AZ13" s="1263">
        <v>653</v>
      </c>
      <c r="BA13" s="1266">
        <f t="shared" si="32"/>
        <v>0</v>
      </c>
      <c r="BB13" s="1266">
        <f t="shared" si="33"/>
        <v>1260</v>
      </c>
      <c r="BC13" s="1205">
        <f t="shared" si="34"/>
        <v>0</v>
      </c>
      <c r="BD13" s="1205">
        <f t="shared" si="35"/>
        <v>2911</v>
      </c>
      <c r="BE13" s="1264">
        <f t="shared" si="36"/>
        <v>0</v>
      </c>
      <c r="BF13" s="1264">
        <f t="shared" ref="BF13:BF15" si="43">+AX13+AZ13</f>
        <v>6497</v>
      </c>
      <c r="BG13" s="26">
        <f t="shared" si="37"/>
        <v>0</v>
      </c>
      <c r="BH13" s="26">
        <f t="shared" si="38"/>
        <v>0</v>
      </c>
      <c r="BI13" s="26"/>
      <c r="BJ13" s="26"/>
      <c r="BK13" s="26"/>
      <c r="BL13" s="26"/>
      <c r="BM13" s="26"/>
      <c r="BN13" s="26"/>
    </row>
    <row r="14" spans="1:66" x14ac:dyDescent="0.3">
      <c r="B14" s="1262" t="s">
        <v>42</v>
      </c>
      <c r="C14" s="63" t="s">
        <v>50</v>
      </c>
      <c r="D14" s="1185">
        <v>0</v>
      </c>
      <c r="E14" s="1263">
        <v>0</v>
      </c>
      <c r="F14" s="148">
        <v>0</v>
      </c>
      <c r="G14" s="1263">
        <v>0</v>
      </c>
      <c r="H14" s="1263">
        <v>0</v>
      </c>
      <c r="I14" s="1264">
        <f t="shared" si="8"/>
        <v>0</v>
      </c>
      <c r="J14" s="1264">
        <f t="shared" si="9"/>
        <v>0</v>
      </c>
      <c r="K14" s="1263">
        <v>0</v>
      </c>
      <c r="L14" s="1263">
        <v>0</v>
      </c>
      <c r="M14" s="1266">
        <f t="shared" si="10"/>
        <v>0</v>
      </c>
      <c r="N14" s="1266">
        <f t="shared" si="11"/>
        <v>0</v>
      </c>
      <c r="O14" s="1263">
        <v>0</v>
      </c>
      <c r="P14" s="1263"/>
      <c r="Q14" s="1264">
        <f t="shared" si="12"/>
        <v>0</v>
      </c>
      <c r="R14" s="1264">
        <f t="shared" si="13"/>
        <v>0</v>
      </c>
      <c r="S14" s="1263">
        <v>0</v>
      </c>
      <c r="T14" s="1263">
        <v>0</v>
      </c>
      <c r="U14" s="1264">
        <f t="shared" si="14"/>
        <v>0</v>
      </c>
      <c r="V14" s="1264">
        <f t="shared" si="15"/>
        <v>0</v>
      </c>
      <c r="W14" s="1263">
        <v>0</v>
      </c>
      <c r="X14" s="1263">
        <v>0</v>
      </c>
      <c r="Y14" s="1266">
        <f t="shared" si="16"/>
        <v>0</v>
      </c>
      <c r="Z14" s="1266">
        <f t="shared" si="17"/>
        <v>0</v>
      </c>
      <c r="AA14" s="1205">
        <f t="shared" si="18"/>
        <v>0</v>
      </c>
      <c r="AB14" s="1205">
        <f t="shared" si="19"/>
        <v>0</v>
      </c>
      <c r="AC14" s="1263">
        <v>0</v>
      </c>
      <c r="AD14" s="1263">
        <v>0</v>
      </c>
      <c r="AE14" s="1264">
        <f t="shared" si="20"/>
        <v>0</v>
      </c>
      <c r="AF14" s="1264">
        <f t="shared" ref="AF14:AF20" si="44">+AB14+AD14</f>
        <v>0</v>
      </c>
      <c r="AG14" s="1263">
        <v>0</v>
      </c>
      <c r="AH14" s="1263">
        <v>629</v>
      </c>
      <c r="AI14" s="1264">
        <f t="shared" si="22"/>
        <v>0</v>
      </c>
      <c r="AJ14" s="1264">
        <f t="shared" si="23"/>
        <v>629</v>
      </c>
      <c r="AK14" s="1263">
        <v>0</v>
      </c>
      <c r="AL14" s="1263">
        <v>2068</v>
      </c>
      <c r="AM14" s="1266">
        <f t="shared" si="24"/>
        <v>0</v>
      </c>
      <c r="AN14" s="1266">
        <f t="shared" si="25"/>
        <v>2697</v>
      </c>
      <c r="AO14" s="1264">
        <f t="shared" si="26"/>
        <v>0</v>
      </c>
      <c r="AP14" s="1264">
        <f t="shared" si="27"/>
        <v>2697</v>
      </c>
      <c r="AQ14" s="1263">
        <v>0</v>
      </c>
      <c r="AR14" s="1263">
        <v>691</v>
      </c>
      <c r="AS14" s="1264">
        <f t="shared" si="28"/>
        <v>0</v>
      </c>
      <c r="AT14" s="1264">
        <f t="shared" si="29"/>
        <v>3388</v>
      </c>
      <c r="AU14" s="1263">
        <v>0</v>
      </c>
      <c r="AV14" s="1263">
        <v>0</v>
      </c>
      <c r="AW14" s="1264">
        <f t="shared" si="30"/>
        <v>0</v>
      </c>
      <c r="AX14" s="1264">
        <f t="shared" si="31"/>
        <v>3388</v>
      </c>
      <c r="AY14" s="1263">
        <v>0</v>
      </c>
      <c r="AZ14" s="1263">
        <v>0</v>
      </c>
      <c r="BA14" s="1266">
        <f t="shared" si="32"/>
        <v>0</v>
      </c>
      <c r="BB14" s="1266">
        <f t="shared" si="33"/>
        <v>691</v>
      </c>
      <c r="BC14" s="1205">
        <f t="shared" si="34"/>
        <v>0</v>
      </c>
      <c r="BD14" s="1205">
        <f t="shared" si="35"/>
        <v>3388</v>
      </c>
      <c r="BE14" s="1264">
        <f t="shared" si="36"/>
        <v>0</v>
      </c>
      <c r="BF14" s="1264">
        <f t="shared" si="43"/>
        <v>3388</v>
      </c>
      <c r="BG14" s="26">
        <f t="shared" si="37"/>
        <v>0</v>
      </c>
      <c r="BH14" s="26">
        <f t="shared" si="38"/>
        <v>0</v>
      </c>
      <c r="BI14" s="26"/>
      <c r="BJ14" s="26"/>
      <c r="BK14" s="26"/>
      <c r="BL14" s="26"/>
      <c r="BM14" s="26"/>
      <c r="BN14" s="26"/>
    </row>
    <row r="15" spans="1:66" ht="15" customHeight="1" x14ac:dyDescent="0.3">
      <c r="B15" s="1262" t="s">
        <v>600</v>
      </c>
      <c r="C15" s="63" t="s">
        <v>50</v>
      </c>
      <c r="D15" s="1185">
        <v>43628.759629219181</v>
      </c>
      <c r="E15" s="1263">
        <v>3721.9143818858424</v>
      </c>
      <c r="F15" s="1263">
        <v>9844</v>
      </c>
      <c r="G15" s="1263">
        <v>3833.7211876599958</v>
      </c>
      <c r="H15" s="1263">
        <v>10116</v>
      </c>
      <c r="I15" s="1264">
        <f t="shared" si="8"/>
        <v>7555.6355695458387</v>
      </c>
      <c r="J15" s="1264">
        <f t="shared" si="9"/>
        <v>19960</v>
      </c>
      <c r="K15" s="1263">
        <v>3721.9143818858424</v>
      </c>
      <c r="L15" s="1263">
        <v>3220</v>
      </c>
      <c r="M15" s="1266">
        <f t="shared" si="10"/>
        <v>11277.549951431682</v>
      </c>
      <c r="N15" s="1266">
        <f t="shared" si="11"/>
        <v>23180</v>
      </c>
      <c r="O15" s="1263">
        <v>3763.8419340511496</v>
      </c>
      <c r="P15" s="1263">
        <v>1289</v>
      </c>
      <c r="Q15" s="1264">
        <f t="shared" si="12"/>
        <v>15041.391885482832</v>
      </c>
      <c r="R15" s="1264">
        <f t="shared" si="13"/>
        <v>24469</v>
      </c>
      <c r="S15" s="1263">
        <v>3763.8419340511496</v>
      </c>
      <c r="T15" s="1263">
        <v>4298</v>
      </c>
      <c r="U15" s="1264">
        <f t="shared" si="14"/>
        <v>18805.23381953398</v>
      </c>
      <c r="V15" s="1264">
        <f t="shared" si="15"/>
        <v>28767</v>
      </c>
      <c r="W15" s="1263">
        <v>2076.61910104769</v>
      </c>
      <c r="X15" s="1263">
        <v>187</v>
      </c>
      <c r="Y15" s="1266">
        <f t="shared" si="16"/>
        <v>9604.3029691499887</v>
      </c>
      <c r="Z15" s="1266">
        <f t="shared" si="17"/>
        <v>5774</v>
      </c>
      <c r="AA15" s="1205">
        <f t="shared" si="18"/>
        <v>20881.85292058167</v>
      </c>
      <c r="AB15" s="1205">
        <f t="shared" si="19"/>
        <v>28954</v>
      </c>
      <c r="AC15" s="1263">
        <v>3833.7211876599958</v>
      </c>
      <c r="AD15" s="1263">
        <v>1590</v>
      </c>
      <c r="AE15" s="1264">
        <f t="shared" si="20"/>
        <v>24715.574108241664</v>
      </c>
      <c r="AF15" s="1264">
        <f t="shared" si="44"/>
        <v>30544</v>
      </c>
      <c r="AG15" s="1263">
        <v>3761.9143818858424</v>
      </c>
      <c r="AH15" s="1263">
        <v>6525</v>
      </c>
      <c r="AI15" s="1264">
        <f t="shared" si="22"/>
        <v>28477.488490127507</v>
      </c>
      <c r="AJ15" s="1264">
        <f t="shared" si="23"/>
        <v>37069</v>
      </c>
      <c r="AK15" s="1263">
        <v>3873.7211876599958</v>
      </c>
      <c r="AL15" s="1263">
        <v>10394</v>
      </c>
      <c r="AM15" s="1266">
        <f t="shared" si="24"/>
        <v>11469.356757205835</v>
      </c>
      <c r="AN15" s="1266">
        <f t="shared" si="25"/>
        <v>18509</v>
      </c>
      <c r="AO15" s="1264">
        <f t="shared" si="26"/>
        <v>32351.209677787505</v>
      </c>
      <c r="AP15" s="1264">
        <f t="shared" si="27"/>
        <v>47463</v>
      </c>
      <c r="AQ15" s="1263">
        <v>3889.6245905470719</v>
      </c>
      <c r="AR15" s="1263">
        <v>8647</v>
      </c>
      <c r="AS15" s="1264">
        <f t="shared" si="28"/>
        <v>36240.834268334576</v>
      </c>
      <c r="AT15" s="1264">
        <f t="shared" si="29"/>
        <v>56110</v>
      </c>
      <c r="AU15" s="1263">
        <v>3498.3007703375347</v>
      </c>
      <c r="AV15" s="1263">
        <v>6075</v>
      </c>
      <c r="AW15" s="1264">
        <f t="shared" si="30"/>
        <v>39739.13503867211</v>
      </c>
      <c r="AX15" s="1264">
        <f t="shared" si="31"/>
        <v>62185</v>
      </c>
      <c r="AY15" s="1263">
        <v>3889.6245905470719</v>
      </c>
      <c r="AZ15" s="1263">
        <v>10730</v>
      </c>
      <c r="BA15" s="1266">
        <f t="shared" si="32"/>
        <v>11277.549951431678</v>
      </c>
      <c r="BB15" s="1266">
        <f t="shared" si="33"/>
        <v>25452</v>
      </c>
      <c r="BC15" s="1205">
        <f t="shared" si="34"/>
        <v>22746.906708637514</v>
      </c>
      <c r="BD15" s="1205">
        <f t="shared" si="35"/>
        <v>43961</v>
      </c>
      <c r="BE15" s="1264">
        <f t="shared" si="36"/>
        <v>43628.759629219181</v>
      </c>
      <c r="BF15" s="1264">
        <f t="shared" si="43"/>
        <v>72915</v>
      </c>
      <c r="BG15" s="26">
        <f t="shared" si="37"/>
        <v>0</v>
      </c>
      <c r="BH15" s="26">
        <f t="shared" si="38"/>
        <v>0</v>
      </c>
      <c r="BI15" s="26"/>
      <c r="BJ15" s="26"/>
      <c r="BK15" s="26"/>
      <c r="BL15" s="26"/>
      <c r="BM15" s="26"/>
      <c r="BN15" s="26"/>
    </row>
    <row r="16" spans="1:66" ht="15" customHeight="1" x14ac:dyDescent="0.3">
      <c r="B16" s="2645" t="s">
        <v>1639</v>
      </c>
      <c r="C16" s="63" t="s">
        <v>50</v>
      </c>
      <c r="D16" s="2537">
        <v>3054.013174045343</v>
      </c>
      <c r="E16" s="2646">
        <v>260.53400673200895</v>
      </c>
      <c r="F16" s="2646">
        <v>333</v>
      </c>
      <c r="G16" s="2646">
        <v>268.36048313619972</v>
      </c>
      <c r="H16" s="2646">
        <v>319</v>
      </c>
      <c r="I16" s="1264">
        <f t="shared" ref="I16" si="45">+E16+G16</f>
        <v>528.89448986820867</v>
      </c>
      <c r="J16" s="1264">
        <f t="shared" ref="J16" si="46">+F16+H16</f>
        <v>652</v>
      </c>
      <c r="K16" s="2646">
        <v>260.53400673200895</v>
      </c>
      <c r="L16" s="2646">
        <v>141</v>
      </c>
      <c r="M16" s="1266">
        <f t="shared" ref="M16" si="47">+K16+G16+E16</f>
        <v>789.42849660021761</v>
      </c>
      <c r="N16" s="1266">
        <f t="shared" ref="N16" si="48">+L16+H16+F16</f>
        <v>793</v>
      </c>
      <c r="O16" s="2646">
        <v>263.46893538358046</v>
      </c>
      <c r="P16" s="2646">
        <v>314</v>
      </c>
      <c r="Q16" s="1264">
        <f t="shared" ref="Q16:Q17" si="49">+M16+O16</f>
        <v>1052.897431983798</v>
      </c>
      <c r="R16" s="1264">
        <f t="shared" ref="R16:R17" si="50">+N16+P16</f>
        <v>1107</v>
      </c>
      <c r="S16" s="2646">
        <v>263.46893538358046</v>
      </c>
      <c r="T16" s="2646">
        <v>82</v>
      </c>
      <c r="U16" s="1264">
        <f t="shared" si="14"/>
        <v>1316.3663673673784</v>
      </c>
      <c r="V16" s="1264">
        <f t="shared" si="15"/>
        <v>1189</v>
      </c>
      <c r="W16" s="2646">
        <v>145.36333707333827</v>
      </c>
      <c r="X16" s="2646">
        <v>0</v>
      </c>
      <c r="Y16" s="1266">
        <f t="shared" ref="Y16:Y17" si="51">+O16+S16+W16</f>
        <v>672.30120784049916</v>
      </c>
      <c r="Z16" s="1266">
        <f t="shared" ref="Z16:Z17" si="52">+P16+T16+X16</f>
        <v>396</v>
      </c>
      <c r="AA16" s="1205">
        <f t="shared" ref="AA16:AA17" si="53">M16+Y16</f>
        <v>1461.7297044407169</v>
      </c>
      <c r="AB16" s="1205">
        <f t="shared" ref="AB16:AB17" si="54">N16+Z16</f>
        <v>1189</v>
      </c>
      <c r="AC16" s="2646">
        <v>268.36048313619972</v>
      </c>
      <c r="AD16" s="2646">
        <v>0</v>
      </c>
      <c r="AE16" s="1264">
        <f t="shared" ref="AE16:AE17" si="55">+AA16+AC16</f>
        <v>1730.0901875769166</v>
      </c>
      <c r="AF16" s="1264">
        <f t="shared" ref="AF16:AF17" si="56">+AB16+AD16</f>
        <v>1189</v>
      </c>
      <c r="AG16" s="2646">
        <v>263.33400673200896</v>
      </c>
      <c r="AH16" s="2646">
        <v>307</v>
      </c>
      <c r="AI16" s="1264">
        <f t="shared" si="22"/>
        <v>1993.4241943089255</v>
      </c>
      <c r="AJ16" s="1264">
        <f t="shared" si="23"/>
        <v>1496</v>
      </c>
      <c r="AK16" s="2646">
        <v>271.16048313619973</v>
      </c>
      <c r="AL16" s="2646">
        <v>278</v>
      </c>
      <c r="AM16" s="1266">
        <f t="shared" si="24"/>
        <v>802.85497300440829</v>
      </c>
      <c r="AN16" s="1266">
        <f t="shared" si="25"/>
        <v>585</v>
      </c>
      <c r="AO16" s="1264">
        <f t="shared" ref="AO16" si="57">AI16+AK16</f>
        <v>2264.5846774451252</v>
      </c>
      <c r="AP16" s="1264">
        <f t="shared" ref="AP16" si="58">AJ16+AL16</f>
        <v>1774</v>
      </c>
      <c r="AQ16" s="2646">
        <v>272.27372133829505</v>
      </c>
      <c r="AR16" s="2646">
        <v>442</v>
      </c>
      <c r="AS16" s="1264">
        <f t="shared" ref="AS16" si="59">+AO16+AQ16</f>
        <v>2536.8583987834204</v>
      </c>
      <c r="AT16" s="1264">
        <f t="shared" ref="AT16" si="60">+AP16+AR16</f>
        <v>2216</v>
      </c>
      <c r="AU16" s="2646">
        <v>244.88105392362738</v>
      </c>
      <c r="AV16" s="2646">
        <v>223</v>
      </c>
      <c r="AW16" s="1264">
        <f t="shared" si="30"/>
        <v>2781.7394527070478</v>
      </c>
      <c r="AX16" s="1264">
        <f t="shared" si="31"/>
        <v>2439</v>
      </c>
      <c r="AY16" s="2646">
        <v>272.27372133829505</v>
      </c>
      <c r="AZ16" s="2646">
        <v>1270</v>
      </c>
      <c r="BA16" s="1266">
        <f t="shared" si="32"/>
        <v>789.42849660021739</v>
      </c>
      <c r="BB16" s="1266">
        <f t="shared" si="33"/>
        <v>1935</v>
      </c>
      <c r="BC16" s="1205">
        <f t="shared" si="34"/>
        <v>1592.2834696046257</v>
      </c>
      <c r="BD16" s="1205">
        <f t="shared" si="35"/>
        <v>2520</v>
      </c>
      <c r="BE16" s="1264">
        <f t="shared" ref="BE16" si="61">+AW16+AY16</f>
        <v>3054.013174045343</v>
      </c>
      <c r="BF16" s="1264">
        <f t="shared" ref="BF16" si="62">+AX16+AZ16</f>
        <v>3709</v>
      </c>
      <c r="BG16" s="26">
        <f t="shared" si="37"/>
        <v>0</v>
      </c>
      <c r="BH16" s="26">
        <f t="shared" si="38"/>
        <v>0</v>
      </c>
      <c r="BI16" s="26"/>
      <c r="BJ16" s="26"/>
      <c r="BK16" s="26"/>
      <c r="BL16" s="26"/>
      <c r="BM16" s="26"/>
      <c r="BN16" s="26"/>
    </row>
    <row r="17" spans="2:66" ht="15" customHeight="1" x14ac:dyDescent="0.3">
      <c r="B17" s="4793" t="s">
        <v>2016</v>
      </c>
      <c r="C17" s="4794" t="s">
        <v>50</v>
      </c>
      <c r="D17" s="4795"/>
      <c r="E17" s="4796">
        <v>0</v>
      </c>
      <c r="F17" s="4796"/>
      <c r="G17" s="4796">
        <v>0</v>
      </c>
      <c r="H17" s="4796">
        <v>1720</v>
      </c>
      <c r="I17" s="1264">
        <f t="shared" ref="I17" si="63">+E17+G17</f>
        <v>0</v>
      </c>
      <c r="J17" s="1264">
        <f t="shared" ref="J17" si="64">+F17+H17</f>
        <v>1720</v>
      </c>
      <c r="K17" s="4796">
        <v>0</v>
      </c>
      <c r="L17" s="4796">
        <v>0</v>
      </c>
      <c r="M17" s="1266">
        <f t="shared" ref="M17:M19" si="65">+K17+G17+E17</f>
        <v>0</v>
      </c>
      <c r="N17" s="1266">
        <f t="shared" ref="N17:N19" si="66">+L17+H17+F17</f>
        <v>1720</v>
      </c>
      <c r="O17" s="4796">
        <v>0</v>
      </c>
      <c r="P17" s="4796"/>
      <c r="Q17" s="1264">
        <f t="shared" si="49"/>
        <v>0</v>
      </c>
      <c r="R17" s="1264">
        <f t="shared" si="50"/>
        <v>1720</v>
      </c>
      <c r="S17" s="4796">
        <v>0</v>
      </c>
      <c r="T17" s="4796">
        <v>0</v>
      </c>
      <c r="U17" s="1264">
        <f t="shared" ref="U17" si="67">+Q17+S17</f>
        <v>0</v>
      </c>
      <c r="V17" s="1264">
        <f t="shared" ref="V17" si="68">+R17+T17</f>
        <v>1720</v>
      </c>
      <c r="W17" s="4796">
        <v>0</v>
      </c>
      <c r="X17" s="4796">
        <v>0</v>
      </c>
      <c r="Y17" s="4798">
        <f t="shared" si="51"/>
        <v>0</v>
      </c>
      <c r="Z17" s="1266">
        <f t="shared" si="52"/>
        <v>0</v>
      </c>
      <c r="AA17" s="4799">
        <f t="shared" si="53"/>
        <v>0</v>
      </c>
      <c r="AB17" s="1205">
        <f t="shared" si="54"/>
        <v>1720</v>
      </c>
      <c r="AC17" s="4796">
        <v>0</v>
      </c>
      <c r="AD17" s="4796">
        <v>0</v>
      </c>
      <c r="AE17" s="1264">
        <f t="shared" si="55"/>
        <v>0</v>
      </c>
      <c r="AF17" s="1264">
        <f t="shared" si="56"/>
        <v>1720</v>
      </c>
      <c r="AG17" s="4796">
        <v>0</v>
      </c>
      <c r="AH17" s="4796"/>
      <c r="AI17" s="4797">
        <f t="shared" si="22"/>
        <v>0</v>
      </c>
      <c r="AJ17" s="1264">
        <f t="shared" si="23"/>
        <v>1720</v>
      </c>
      <c r="AK17" s="4796">
        <v>0</v>
      </c>
      <c r="AL17" s="4796">
        <v>0</v>
      </c>
      <c r="AM17" s="1266">
        <f t="shared" si="24"/>
        <v>0</v>
      </c>
      <c r="AN17" s="1266">
        <f t="shared" si="25"/>
        <v>0</v>
      </c>
      <c r="AO17" s="1264">
        <f t="shared" ref="AO17" si="69">AI17+AK17</f>
        <v>0</v>
      </c>
      <c r="AP17" s="1264">
        <f t="shared" ref="AP17" si="70">AJ17+AL17</f>
        <v>1720</v>
      </c>
      <c r="AQ17" s="4796">
        <v>0</v>
      </c>
      <c r="AR17" s="4796">
        <v>0</v>
      </c>
      <c r="AS17" s="1264">
        <f t="shared" ref="AS17" si="71">+AO17+AQ17</f>
        <v>0</v>
      </c>
      <c r="AT17" s="1264">
        <f t="shared" ref="AT17" si="72">+AP17+AR17</f>
        <v>1720</v>
      </c>
      <c r="AU17" s="5392">
        <v>0</v>
      </c>
      <c r="AV17" s="4796">
        <v>0</v>
      </c>
      <c r="AW17" s="1264">
        <f t="shared" si="30"/>
        <v>0</v>
      </c>
      <c r="AX17" s="1264">
        <f t="shared" si="31"/>
        <v>1720</v>
      </c>
      <c r="AY17" s="5454">
        <v>0</v>
      </c>
      <c r="AZ17" s="4796">
        <v>2188</v>
      </c>
      <c r="BA17" s="1266">
        <f t="shared" si="32"/>
        <v>0</v>
      </c>
      <c r="BB17" s="1266">
        <f t="shared" si="33"/>
        <v>2188</v>
      </c>
      <c r="BC17" s="1205">
        <f t="shared" si="34"/>
        <v>0</v>
      </c>
      <c r="BD17" s="1205">
        <f t="shared" si="35"/>
        <v>2188</v>
      </c>
      <c r="BE17" s="1264">
        <f t="shared" ref="BE17:BE20" si="73">+AW17+AY17</f>
        <v>0</v>
      </c>
      <c r="BF17" s="1264">
        <f t="shared" ref="BF17:BF20" si="74">+AX17+AZ17</f>
        <v>3908</v>
      </c>
      <c r="BG17" s="26">
        <f t="shared" si="37"/>
        <v>0</v>
      </c>
      <c r="BH17" s="26">
        <f t="shared" si="38"/>
        <v>0</v>
      </c>
      <c r="BI17" s="26"/>
      <c r="BJ17" s="26"/>
      <c r="BK17" s="26"/>
      <c r="BL17" s="26"/>
      <c r="BM17" s="26"/>
      <c r="BN17" s="26"/>
    </row>
    <row r="18" spans="2:66" ht="15" customHeight="1" x14ac:dyDescent="0.3">
      <c r="B18" s="5452" t="s">
        <v>2338</v>
      </c>
      <c r="C18" s="4794" t="s">
        <v>50</v>
      </c>
      <c r="D18" s="5453"/>
      <c r="E18" s="5454"/>
      <c r="F18" s="5454"/>
      <c r="G18" s="5454"/>
      <c r="H18" s="5454"/>
      <c r="I18" s="5455"/>
      <c r="J18" s="5455"/>
      <c r="K18" s="5454"/>
      <c r="L18" s="5454"/>
      <c r="M18" s="5456"/>
      <c r="N18" s="5456"/>
      <c r="O18" s="5454"/>
      <c r="P18" s="5454"/>
      <c r="Q18" s="5455"/>
      <c r="R18" s="5455"/>
      <c r="S18" s="5454"/>
      <c r="T18" s="5454"/>
      <c r="U18" s="5455"/>
      <c r="V18" s="5455"/>
      <c r="W18" s="5454"/>
      <c r="X18" s="5454"/>
      <c r="Y18" s="5456"/>
      <c r="Z18" s="5456"/>
      <c r="AA18" s="5457"/>
      <c r="AB18" s="5457"/>
      <c r="AC18" s="5454"/>
      <c r="AD18" s="5454"/>
      <c r="AE18" s="5455"/>
      <c r="AF18" s="5455"/>
      <c r="AG18" s="5454"/>
      <c r="AH18" s="5454"/>
      <c r="AI18" s="5455"/>
      <c r="AJ18" s="5455"/>
      <c r="AK18" s="5454"/>
      <c r="AL18" s="5454"/>
      <c r="AM18" s="1266">
        <f t="shared" si="24"/>
        <v>0</v>
      </c>
      <c r="AN18" s="1266">
        <f t="shared" si="25"/>
        <v>0</v>
      </c>
      <c r="AO18" s="5455"/>
      <c r="AP18" s="5455"/>
      <c r="AQ18" s="5454"/>
      <c r="AR18" s="5454"/>
      <c r="AS18" s="5455"/>
      <c r="AT18" s="5455"/>
      <c r="AU18" s="5392"/>
      <c r="AV18" s="5454"/>
      <c r="AW18" s="1264">
        <f t="shared" si="30"/>
        <v>0</v>
      </c>
      <c r="AX18" s="1264">
        <f t="shared" si="31"/>
        <v>0</v>
      </c>
      <c r="AY18" s="5392"/>
      <c r="AZ18" s="5454">
        <v>2250</v>
      </c>
      <c r="BA18" s="1266">
        <f t="shared" si="32"/>
        <v>0</v>
      </c>
      <c r="BB18" s="1266">
        <f t="shared" si="33"/>
        <v>2250</v>
      </c>
      <c r="BC18" s="1205">
        <f t="shared" si="34"/>
        <v>0</v>
      </c>
      <c r="BD18" s="1205">
        <f t="shared" si="35"/>
        <v>2250</v>
      </c>
      <c r="BE18" s="1264">
        <f t="shared" si="73"/>
        <v>0</v>
      </c>
      <c r="BF18" s="1264">
        <v>2250</v>
      </c>
      <c r="BG18" s="26">
        <f t="shared" si="37"/>
        <v>0</v>
      </c>
      <c r="BH18" s="26">
        <f t="shared" si="38"/>
        <v>0</v>
      </c>
      <c r="BI18" s="26"/>
      <c r="BJ18" s="26"/>
      <c r="BK18" s="26"/>
      <c r="BL18" s="26"/>
      <c r="BM18" s="26"/>
      <c r="BN18" s="26"/>
    </row>
    <row r="19" spans="2:66" ht="15.9" customHeight="1" x14ac:dyDescent="0.3">
      <c r="B19" s="1262" t="s">
        <v>98</v>
      </c>
      <c r="C19" s="63" t="s">
        <v>50</v>
      </c>
      <c r="D19" s="1185">
        <v>742117.67332594562</v>
      </c>
      <c r="E19" s="1263">
        <v>63394.45887394523</v>
      </c>
      <c r="F19" s="1263">
        <v>60100</v>
      </c>
      <c r="G19" s="1263">
        <v>65406.981377879973</v>
      </c>
      <c r="H19" s="1263">
        <v>65634</v>
      </c>
      <c r="I19" s="1264">
        <f t="shared" si="8"/>
        <v>128801.4402518252</v>
      </c>
      <c r="J19" s="1264">
        <f t="shared" si="9"/>
        <v>125734</v>
      </c>
      <c r="K19" s="1263">
        <v>63394.45887394523</v>
      </c>
      <c r="L19" s="1263">
        <v>73482</v>
      </c>
      <c r="M19" s="1266">
        <f t="shared" si="65"/>
        <v>192195.89912577043</v>
      </c>
      <c r="N19" s="1266">
        <f t="shared" si="66"/>
        <v>199216</v>
      </c>
      <c r="O19" s="1263">
        <v>64149.154812920722</v>
      </c>
      <c r="P19" s="1263">
        <v>79493</v>
      </c>
      <c r="Q19" s="1264">
        <f t="shared" ref="Q19" si="75">+M19+O19</f>
        <v>256345.05393869116</v>
      </c>
      <c r="R19" s="1264">
        <f t="shared" ref="R19" si="76">+N19+P19</f>
        <v>278709</v>
      </c>
      <c r="S19" s="1263">
        <v>64149.154812920722</v>
      </c>
      <c r="T19" s="1263">
        <v>76578</v>
      </c>
      <c r="U19" s="1264">
        <f t="shared" si="14"/>
        <v>320494.20875161188</v>
      </c>
      <c r="V19" s="1264">
        <f t="shared" si="15"/>
        <v>355287</v>
      </c>
      <c r="W19" s="1263">
        <v>35219.143818858458</v>
      </c>
      <c r="X19" s="1263">
        <v>75174</v>
      </c>
      <c r="Y19" s="1266">
        <f t="shared" si="16"/>
        <v>163517.4534446999</v>
      </c>
      <c r="Z19" s="1266">
        <f t="shared" si="17"/>
        <v>231245</v>
      </c>
      <c r="AA19" s="1205">
        <f t="shared" si="18"/>
        <v>355713.35257047031</v>
      </c>
      <c r="AB19" s="1205">
        <f t="shared" si="19"/>
        <v>430461</v>
      </c>
      <c r="AC19" s="1263">
        <v>65406.981377879973</v>
      </c>
      <c r="AD19" s="1263">
        <v>61180</v>
      </c>
      <c r="AE19" s="1264">
        <f t="shared" si="20"/>
        <v>421120.33394835028</v>
      </c>
      <c r="AF19" s="1264">
        <f t="shared" si="44"/>
        <v>491641</v>
      </c>
      <c r="AG19" s="1263">
        <v>63394.45887394523</v>
      </c>
      <c r="AH19" s="1263">
        <v>71795</v>
      </c>
      <c r="AI19" s="1264">
        <f t="shared" si="22"/>
        <v>484514.79282229551</v>
      </c>
      <c r="AJ19" s="1264">
        <f t="shared" si="23"/>
        <v>563436</v>
      </c>
      <c r="AK19" s="1263">
        <v>65406.981377879973</v>
      </c>
      <c r="AL19" s="1263">
        <v>70886</v>
      </c>
      <c r="AM19" s="1266">
        <f t="shared" si="24"/>
        <v>194208.42162970518</v>
      </c>
      <c r="AN19" s="1266">
        <f t="shared" si="25"/>
        <v>203861</v>
      </c>
      <c r="AO19" s="1264">
        <f t="shared" si="26"/>
        <v>549921.77420017542</v>
      </c>
      <c r="AP19" s="1264">
        <f t="shared" si="27"/>
        <v>634322</v>
      </c>
      <c r="AQ19" s="1263">
        <v>66413.242629847315</v>
      </c>
      <c r="AR19" s="1263">
        <v>76614</v>
      </c>
      <c r="AS19" s="1264">
        <f t="shared" si="28"/>
        <v>616335.01683002268</v>
      </c>
      <c r="AT19" s="1264">
        <f t="shared" si="29"/>
        <v>710936</v>
      </c>
      <c r="AU19" s="4796">
        <v>59369.413866075687</v>
      </c>
      <c r="AV19" s="1263">
        <v>64116</v>
      </c>
      <c r="AW19" s="4797">
        <f t="shared" ref="AW19:AW20" si="77">+AS19+AU19</f>
        <v>675704.43069609837</v>
      </c>
      <c r="AX19" s="4797">
        <f t="shared" ref="AX19:AX20" si="78">+AT19+AV19</f>
        <v>775052</v>
      </c>
      <c r="AY19" s="4796">
        <v>66413.242629847315</v>
      </c>
      <c r="AZ19" s="1263">
        <v>82575</v>
      </c>
      <c r="BA19" s="1266">
        <f t="shared" si="32"/>
        <v>192195.89912577032</v>
      </c>
      <c r="BB19" s="1266">
        <f t="shared" si="33"/>
        <v>223305</v>
      </c>
      <c r="BC19" s="1205">
        <f t="shared" si="34"/>
        <v>386404.32075547549</v>
      </c>
      <c r="BD19" s="1205">
        <f t="shared" si="35"/>
        <v>427166</v>
      </c>
      <c r="BE19" s="1264">
        <f t="shared" si="73"/>
        <v>742117.67332594562</v>
      </c>
      <c r="BF19" s="1264">
        <f t="shared" si="74"/>
        <v>857627</v>
      </c>
      <c r="BG19" s="26">
        <f t="shared" si="37"/>
        <v>0</v>
      </c>
      <c r="BH19" s="26">
        <f t="shared" si="38"/>
        <v>0</v>
      </c>
      <c r="BI19" s="26"/>
      <c r="BJ19" s="26"/>
      <c r="BK19" s="26"/>
      <c r="BL19" s="26"/>
      <c r="BM19" s="26"/>
      <c r="BN19" s="26"/>
    </row>
    <row r="20" spans="2:66" ht="15.9" customHeight="1" x14ac:dyDescent="0.3">
      <c r="B20" s="1262" t="s">
        <v>1309</v>
      </c>
      <c r="C20" s="63" t="s">
        <v>50</v>
      </c>
      <c r="D20" s="1185">
        <v>12373.714108690103</v>
      </c>
      <c r="E20" s="1263">
        <v>1057.0236844555791</v>
      </c>
      <c r="F20" s="1263">
        <v>612</v>
      </c>
      <c r="G20" s="1263">
        <v>1090.5988309179249</v>
      </c>
      <c r="H20" s="1263">
        <v>1308</v>
      </c>
      <c r="I20" s="1264">
        <f t="shared" si="8"/>
        <v>2147.622515373504</v>
      </c>
      <c r="J20" s="1264">
        <f t="shared" si="9"/>
        <v>1920</v>
      </c>
      <c r="K20" s="1263">
        <v>1057.0236844555791</v>
      </c>
      <c r="L20" s="1263">
        <v>909</v>
      </c>
      <c r="M20" s="1266">
        <f t="shared" si="10"/>
        <v>3204.6461998290833</v>
      </c>
      <c r="N20" s="1266">
        <f t="shared" si="11"/>
        <v>2829</v>
      </c>
      <c r="O20" s="1263">
        <v>1069.6143643789533</v>
      </c>
      <c r="P20" s="1263">
        <v>876</v>
      </c>
      <c r="Q20" s="1264">
        <f t="shared" si="12"/>
        <v>4274.2605642080362</v>
      </c>
      <c r="R20" s="1264">
        <f t="shared" si="13"/>
        <v>3705</v>
      </c>
      <c r="S20" s="1263">
        <v>1069.6143643789533</v>
      </c>
      <c r="T20" s="1263">
        <v>933</v>
      </c>
      <c r="U20" s="1264">
        <f t="shared" si="14"/>
        <v>5343.874928586989</v>
      </c>
      <c r="V20" s="1264">
        <f t="shared" si="15"/>
        <v>4638</v>
      </c>
      <c r="W20" s="1263">
        <v>587.20900562605334</v>
      </c>
      <c r="X20" s="1263">
        <v>787</v>
      </c>
      <c r="Y20" s="1266">
        <f t="shared" si="16"/>
        <v>2726.4377343839597</v>
      </c>
      <c r="Z20" s="1266">
        <f t="shared" si="17"/>
        <v>2596</v>
      </c>
      <c r="AA20" s="1205">
        <f t="shared" si="18"/>
        <v>5931.083934213043</v>
      </c>
      <c r="AB20" s="1205">
        <f t="shared" si="19"/>
        <v>5425</v>
      </c>
      <c r="AC20" s="1263">
        <v>1090.5988309179249</v>
      </c>
      <c r="AD20" s="1263">
        <v>941</v>
      </c>
      <c r="AE20" s="1264">
        <f t="shared" si="20"/>
        <v>7021.6827651309677</v>
      </c>
      <c r="AF20" s="1264">
        <f t="shared" si="44"/>
        <v>6366</v>
      </c>
      <c r="AG20" s="1263">
        <v>1056.9049986338748</v>
      </c>
      <c r="AH20" s="1263">
        <v>1097</v>
      </c>
      <c r="AI20" s="1264">
        <f t="shared" si="22"/>
        <v>8078.5877637648427</v>
      </c>
      <c r="AJ20" s="1264">
        <f t="shared" si="23"/>
        <v>7463</v>
      </c>
      <c r="AK20" s="1263">
        <v>1090.4801450962204</v>
      </c>
      <c r="AL20" s="1263">
        <v>1268</v>
      </c>
      <c r="AM20" s="1266">
        <f t="shared" si="24"/>
        <v>3237.9839746480202</v>
      </c>
      <c r="AN20" s="1266">
        <f t="shared" si="25"/>
        <v>3306</v>
      </c>
      <c r="AO20" s="1264">
        <f t="shared" si="26"/>
        <v>9169.0679088610632</v>
      </c>
      <c r="AP20" s="1264">
        <f t="shared" si="27"/>
        <v>8731</v>
      </c>
      <c r="AQ20" s="1263">
        <v>1107.3864041490904</v>
      </c>
      <c r="AR20" s="1263">
        <v>992</v>
      </c>
      <c r="AS20" s="1264">
        <f t="shared" si="28"/>
        <v>10276.454313010154</v>
      </c>
      <c r="AT20" s="1264">
        <f t="shared" si="29"/>
        <v>9723</v>
      </c>
      <c r="AU20" s="1263">
        <v>989.87339153085861</v>
      </c>
      <c r="AV20" s="1263">
        <v>642</v>
      </c>
      <c r="AW20" s="4797">
        <f t="shared" si="77"/>
        <v>11266.327704541012</v>
      </c>
      <c r="AX20" s="4797">
        <f t="shared" si="78"/>
        <v>10365</v>
      </c>
      <c r="AY20" s="1263">
        <v>1107.3864041490904</v>
      </c>
      <c r="AZ20" s="1263">
        <v>937</v>
      </c>
      <c r="BA20" s="1266">
        <f t="shared" si="32"/>
        <v>3204.6461998290397</v>
      </c>
      <c r="BB20" s="1266">
        <f t="shared" si="33"/>
        <v>2571</v>
      </c>
      <c r="BC20" s="1205">
        <f t="shared" si="34"/>
        <v>6442.6301744770599</v>
      </c>
      <c r="BD20" s="1205">
        <f t="shared" si="35"/>
        <v>5877</v>
      </c>
      <c r="BE20" s="1264">
        <f t="shared" si="73"/>
        <v>12373.714108690103</v>
      </c>
      <c r="BF20" s="1264">
        <f t="shared" si="74"/>
        <v>11302</v>
      </c>
      <c r="BG20" s="26">
        <f t="shared" si="37"/>
        <v>0</v>
      </c>
      <c r="BH20" s="26">
        <f t="shared" si="38"/>
        <v>0</v>
      </c>
      <c r="BI20" s="26"/>
      <c r="BJ20" s="26"/>
      <c r="BK20" s="26"/>
      <c r="BL20" s="26"/>
      <c r="BM20" s="26"/>
      <c r="BN20" s="26"/>
    </row>
    <row r="21" spans="2:66" ht="15.6" x14ac:dyDescent="0.3">
      <c r="B21" s="1268" t="s">
        <v>21</v>
      </c>
      <c r="C21" s="1269" t="s">
        <v>50</v>
      </c>
      <c r="D21" s="197">
        <f>SUM(D6:D20)</f>
        <v>5138126.439880915</v>
      </c>
      <c r="E21" s="197">
        <f t="shared" ref="E21:AD21" si="79">SUM(E6:E20)</f>
        <v>438413.85245607345</v>
      </c>
      <c r="F21" s="197">
        <f t="shared" si="79"/>
        <v>394721</v>
      </c>
      <c r="G21" s="197">
        <f t="shared" ref="G21:H21" si="80">SUM(G6:G20)</f>
        <v>451693.82970925875</v>
      </c>
      <c r="H21" s="197">
        <f t="shared" si="80"/>
        <v>431104</v>
      </c>
      <c r="I21" s="197">
        <f t="shared" si="79"/>
        <v>890107.68216533202</v>
      </c>
      <c r="J21" s="197">
        <f t="shared" si="79"/>
        <v>825825</v>
      </c>
      <c r="K21" s="197">
        <f t="shared" si="79"/>
        <v>438413.85245607345</v>
      </c>
      <c r="L21" s="197">
        <f t="shared" si="79"/>
        <v>441570</v>
      </c>
      <c r="M21" s="1480">
        <f t="shared" si="79"/>
        <v>1328521.5346214054</v>
      </c>
      <c r="N21" s="1480">
        <f t="shared" si="79"/>
        <v>1267395</v>
      </c>
      <c r="O21" s="197">
        <f t="shared" ref="O21:P21" si="81">SUM(O6:O20)</f>
        <v>443393.84392601775</v>
      </c>
      <c r="P21" s="197">
        <f t="shared" si="81"/>
        <v>470314</v>
      </c>
      <c r="Q21" s="197">
        <f t="shared" si="79"/>
        <v>1771915.3785474235</v>
      </c>
      <c r="R21" s="197">
        <f t="shared" si="79"/>
        <v>1737709</v>
      </c>
      <c r="S21" s="197">
        <f t="shared" si="79"/>
        <v>443393.84392601775</v>
      </c>
      <c r="T21" s="197">
        <f t="shared" si="79"/>
        <v>459502</v>
      </c>
      <c r="U21" s="197">
        <f t="shared" ref="U21:X21" si="82">SUM(U6:U20)</f>
        <v>2215309.2224734412</v>
      </c>
      <c r="V21" s="197">
        <f t="shared" si="82"/>
        <v>2197211</v>
      </c>
      <c r="W21" s="197">
        <f t="shared" si="82"/>
        <v>244456.34331918461</v>
      </c>
      <c r="X21" s="197">
        <f t="shared" si="82"/>
        <v>440393</v>
      </c>
      <c r="Y21" s="197">
        <f t="shared" si="79"/>
        <v>1131244.0311712201</v>
      </c>
      <c r="Z21" s="197">
        <f t="shared" si="79"/>
        <v>1370209</v>
      </c>
      <c r="AA21" s="197">
        <f t="shared" si="79"/>
        <v>2459765.5657926262</v>
      </c>
      <c r="AB21" s="197">
        <f t="shared" si="79"/>
        <v>2637604</v>
      </c>
      <c r="AC21" s="197">
        <f t="shared" si="79"/>
        <v>451693.82970925875</v>
      </c>
      <c r="AD21" s="197">
        <f t="shared" si="79"/>
        <v>360664</v>
      </c>
      <c r="AE21" s="197">
        <f t="shared" ref="AE21:AH21" si="83">SUM(AE6:AE20)</f>
        <v>2911459.3955018846</v>
      </c>
      <c r="AF21" s="197">
        <f t="shared" si="83"/>
        <v>2998268</v>
      </c>
      <c r="AG21" s="197">
        <f t="shared" si="83"/>
        <v>442432.76625222078</v>
      </c>
      <c r="AH21" s="197">
        <f t="shared" si="83"/>
        <v>437318</v>
      </c>
      <c r="AI21" s="197">
        <f t="shared" ref="AI21:AL21" si="84">SUM(AI6:AI20)</f>
        <v>3353892.1617541052</v>
      </c>
      <c r="AJ21" s="197">
        <f t="shared" si="84"/>
        <v>3435586</v>
      </c>
      <c r="AK21" s="197">
        <f t="shared" si="84"/>
        <v>455712.74350540602</v>
      </c>
      <c r="AL21" s="197">
        <f t="shared" si="84"/>
        <v>435350</v>
      </c>
      <c r="AM21" s="197">
        <f t="shared" ref="AM21:AN21" si="85">SUM(AM6:AM20)</f>
        <v>1349839.3394668857</v>
      </c>
      <c r="AN21" s="197">
        <f t="shared" si="85"/>
        <v>1233332</v>
      </c>
      <c r="AO21" s="197">
        <f t="shared" ref="AO21:AT21" si="86">SUM(AO6:AO20)</f>
        <v>3809604.9052595119</v>
      </c>
      <c r="AP21" s="197">
        <f t="shared" si="86"/>
        <v>3870936</v>
      </c>
      <c r="AQ21" s="197">
        <f t="shared" si="86"/>
        <v>458333.81833585131</v>
      </c>
      <c r="AR21" s="197">
        <f t="shared" si="86"/>
        <v>443510</v>
      </c>
      <c r="AS21" s="197">
        <f t="shared" si="86"/>
        <v>4267938.7235953622</v>
      </c>
      <c r="AT21" s="197">
        <f t="shared" si="86"/>
        <v>4314446</v>
      </c>
      <c r="AU21" s="197">
        <f>SUM(AU6:AU20)</f>
        <v>411853.8979497028</v>
      </c>
      <c r="AV21" s="197">
        <f t="shared" ref="AV21:AX21" si="87">SUM(AV6:AV20)</f>
        <v>381651.88</v>
      </c>
      <c r="AW21" s="197">
        <f t="shared" si="87"/>
        <v>4679792.6215450652</v>
      </c>
      <c r="AX21" s="197">
        <f t="shared" si="87"/>
        <v>4696097.88</v>
      </c>
      <c r="AY21" s="197">
        <f>SUM(AY6:AY20)</f>
        <v>458333.81833585131</v>
      </c>
      <c r="AZ21" s="197">
        <f t="shared" ref="AZ21" si="88">SUM(AZ6:AZ20)</f>
        <v>476035</v>
      </c>
      <c r="BA21" s="197">
        <f t="shared" ref="BA21:BF21" si="89">SUM(BA6:BA20)</f>
        <v>1328521.5346214049</v>
      </c>
      <c r="BB21" s="197">
        <f t="shared" si="89"/>
        <v>1301196.8799999999</v>
      </c>
      <c r="BC21" s="197">
        <f t="shared" si="89"/>
        <v>2678360.8740882915</v>
      </c>
      <c r="BD21" s="197">
        <f t="shared" si="89"/>
        <v>2534528.88</v>
      </c>
      <c r="BE21" s="197">
        <f t="shared" si="89"/>
        <v>5138126.439880915</v>
      </c>
      <c r="BF21" s="197">
        <f t="shared" si="89"/>
        <v>5172132.88</v>
      </c>
      <c r="BG21" s="26">
        <f t="shared" si="37"/>
        <v>0</v>
      </c>
      <c r="BH21" s="26">
        <f t="shared" si="38"/>
        <v>0</v>
      </c>
      <c r="BI21" s="26"/>
      <c r="BJ21" s="26"/>
      <c r="BK21" s="26"/>
      <c r="BL21" s="26"/>
      <c r="BM21" s="26"/>
      <c r="BN21" s="26"/>
    </row>
    <row r="22" spans="2:66" ht="17.399999999999999" x14ac:dyDescent="0.3">
      <c r="B22" s="1261" t="s">
        <v>927</v>
      </c>
      <c r="C22" s="1261"/>
      <c r="D22" s="4334"/>
      <c r="E22" s="1261"/>
      <c r="F22" s="1261"/>
      <c r="G22" s="1261"/>
      <c r="H22" s="1261"/>
      <c r="I22" s="1261"/>
      <c r="J22" s="1261"/>
      <c r="K22" s="1261"/>
      <c r="L22" s="1261"/>
      <c r="M22" s="2383"/>
      <c r="N22" s="1261"/>
      <c r="O22" s="1261"/>
      <c r="P22" s="1261"/>
      <c r="Q22" s="1261"/>
      <c r="R22" s="1261"/>
      <c r="S22" s="1261"/>
      <c r="T22" s="1261"/>
      <c r="U22" s="1261"/>
      <c r="V22" s="1261"/>
      <c r="W22" s="1261"/>
      <c r="X22" s="1261"/>
      <c r="Y22" s="1261"/>
      <c r="Z22" s="1261"/>
      <c r="AA22" s="1261"/>
      <c r="AB22" s="1261"/>
      <c r="AC22" s="1261"/>
      <c r="AD22" s="1261"/>
      <c r="AE22" s="1261"/>
      <c r="AF22" s="1261"/>
      <c r="AG22" s="1261"/>
      <c r="AH22" s="1261"/>
      <c r="AI22" s="1261"/>
      <c r="AJ22" s="1261"/>
      <c r="AK22" s="1261"/>
      <c r="AL22" s="1261"/>
      <c r="AM22" s="1261"/>
      <c r="AN22" s="1261"/>
      <c r="AO22" s="1261"/>
      <c r="AP22" s="1261"/>
      <c r="AQ22" s="1261"/>
      <c r="AR22" s="1261"/>
      <c r="AS22" s="1261"/>
      <c r="AT22" s="1261"/>
      <c r="AU22" s="1261"/>
      <c r="AV22" s="1261"/>
      <c r="AW22" s="1261"/>
      <c r="AX22" s="1261"/>
      <c r="AY22" s="1261"/>
      <c r="AZ22" s="1261"/>
      <c r="BA22" s="1261"/>
      <c r="BB22" s="1261"/>
      <c r="BC22" s="1261"/>
      <c r="BD22" s="1261"/>
      <c r="BE22" s="1261"/>
      <c r="BF22" s="1261"/>
      <c r="BG22" s="26">
        <f t="shared" si="37"/>
        <v>0</v>
      </c>
      <c r="BH22" s="26">
        <f t="shared" si="38"/>
        <v>0</v>
      </c>
      <c r="BI22" s="26"/>
      <c r="BJ22" s="26"/>
      <c r="BK22" s="26"/>
      <c r="BL22" s="26"/>
      <c r="BM22" s="26"/>
      <c r="BN22" s="26"/>
    </row>
    <row r="23" spans="2:66" x14ac:dyDescent="0.3">
      <c r="B23" s="1262" t="s">
        <v>37</v>
      </c>
      <c r="C23" s="63" t="s">
        <v>219</v>
      </c>
      <c r="D23" s="1118">
        <f t="shared" ref="D23:L23" si="90">+D6/D$67*1000</f>
        <v>783.91225705888928</v>
      </c>
      <c r="E23" s="1118">
        <f t="shared" si="90"/>
        <v>783.9122570588894</v>
      </c>
      <c r="F23" s="1263">
        <f t="shared" si="90"/>
        <v>785.44262498834792</v>
      </c>
      <c r="G23" s="1118">
        <f t="shared" si="90"/>
        <v>783.91225705888951</v>
      </c>
      <c r="H23" s="1263">
        <f t="shared" si="90"/>
        <v>786.06609514052673</v>
      </c>
      <c r="I23" s="1264">
        <f t="shared" si="90"/>
        <v>783.9122570588894</v>
      </c>
      <c r="J23" s="1264">
        <f t="shared" si="90"/>
        <v>785.76977150823473</v>
      </c>
      <c r="K23" s="1118">
        <f t="shared" si="90"/>
        <v>783.9122570588894</v>
      </c>
      <c r="L23" s="1263">
        <f t="shared" si="90"/>
        <v>783.21117058313894</v>
      </c>
      <c r="M23" s="1266">
        <f>+$D$23</f>
        <v>783.91225705888928</v>
      </c>
      <c r="N23" s="1266">
        <f t="shared" ref="N23:P34" si="91">+N6/N$67*1000</f>
        <v>784.85584909959084</v>
      </c>
      <c r="O23" s="1118">
        <f t="shared" si="91"/>
        <v>783.9122570588894</v>
      </c>
      <c r="P23" s="1263">
        <f t="shared" si="91"/>
        <v>783.52095688008853</v>
      </c>
      <c r="Q23" s="1264">
        <f>+$D$23</f>
        <v>783.91225705888928</v>
      </c>
      <c r="R23" s="1264">
        <f t="shared" ref="R23:T34" si="92">+R6/R$67*1000</f>
        <v>784.48982685324893</v>
      </c>
      <c r="S23" s="1118">
        <f t="shared" si="92"/>
        <v>783.9122570588894</v>
      </c>
      <c r="T23" s="1263">
        <f t="shared" si="92"/>
        <v>782.91607838634161</v>
      </c>
      <c r="U23" s="1264">
        <f>+$D$23</f>
        <v>783.91225705888928</v>
      </c>
      <c r="V23" s="1264">
        <f t="shared" ref="V23:X34" si="93">+V6/V$67*1000</f>
        <v>784.16112079862671</v>
      </c>
      <c r="W23" s="1118">
        <f t="shared" si="93"/>
        <v>783.9122570588894</v>
      </c>
      <c r="X23" s="1263">
        <f t="shared" si="93"/>
        <v>782.30127219945359</v>
      </c>
      <c r="Y23" s="1266">
        <f>+$D$23</f>
        <v>783.91225705888928</v>
      </c>
      <c r="Z23" s="1266">
        <f t="shared" ref="Z23:Z34" si="94">+Z6/Z$67*1000</f>
        <v>782.92498721800678</v>
      </c>
      <c r="AA23" s="1205">
        <f>+$D$23</f>
        <v>783.91225705888928</v>
      </c>
      <c r="AB23" s="1205">
        <f t="shared" ref="AB23:AD34" si="95">+AB6/AB$67*1000</f>
        <v>783.84562218551935</v>
      </c>
      <c r="AC23" s="1118">
        <f t="shared" si="95"/>
        <v>783.91225705888951</v>
      </c>
      <c r="AD23" s="1263">
        <f t="shared" si="95"/>
        <v>782.94763939385905</v>
      </c>
      <c r="AE23" s="1264">
        <f>+$D$23</f>
        <v>783.91225705888928</v>
      </c>
      <c r="AF23" s="1264">
        <f t="shared" ref="AF23:AH34" si="96">+AF6/AF$67*1000</f>
        <v>783.73780907215723</v>
      </c>
      <c r="AG23" s="1118">
        <f t="shared" si="96"/>
        <v>783.9122570588894</v>
      </c>
      <c r="AH23" s="1263">
        <f t="shared" si="96"/>
        <v>781.00031130019715</v>
      </c>
      <c r="AI23" s="1264">
        <f>+$D$23</f>
        <v>783.91225705888928</v>
      </c>
      <c r="AJ23" s="1264">
        <f t="shared" ref="AJ23:AL34" si="97">+AJ6/AJ$67*1000</f>
        <v>783.38935838083376</v>
      </c>
      <c r="AK23" s="1118">
        <f t="shared" si="97"/>
        <v>783.9122570588894</v>
      </c>
      <c r="AL23" s="1263">
        <f t="shared" si="97"/>
        <v>779.99961187980466</v>
      </c>
      <c r="AM23" s="1266">
        <f>+$D$23</f>
        <v>783.91225705888928</v>
      </c>
      <c r="AN23" s="1266">
        <f t="shared" ref="AN23:AN34" si="98">+AN6/AN$67*1000</f>
        <v>781.22012861167264</v>
      </c>
      <c r="AO23" s="1264">
        <f>+$D$23</f>
        <v>783.91225705888928</v>
      </c>
      <c r="AP23" s="1264">
        <f t="shared" ref="AP23:AR34" si="99">+AP6/AP$67*1000</f>
        <v>783.01170584056581</v>
      </c>
      <c r="AQ23" s="1118">
        <f t="shared" si="99"/>
        <v>783.9122570588894</v>
      </c>
      <c r="AR23" s="1263">
        <f t="shared" si="99"/>
        <v>780.00709258552024</v>
      </c>
      <c r="AS23" s="1264">
        <f>+$D$23</f>
        <v>783.91225705888928</v>
      </c>
      <c r="AT23" s="1264">
        <f t="shared" ref="AT23:AV34" si="100">+AT6/AT$67*1000</f>
        <v>782.7061160620151</v>
      </c>
      <c r="AU23" s="1118">
        <f t="shared" si="100"/>
        <v>783.9122570588894</v>
      </c>
      <c r="AV23" s="1263">
        <f t="shared" si="100"/>
        <v>780</v>
      </c>
      <c r="AW23" s="1264">
        <f>+$D$23</f>
        <v>783.91225705888928</v>
      </c>
      <c r="AX23" s="1264">
        <f>+AX6/AX$67*1000</f>
        <v>782.48871814787265</v>
      </c>
      <c r="AY23" s="1263">
        <f>+AY6/AY$67*1000</f>
        <v>783.9122570588894</v>
      </c>
      <c r="AZ23" s="1263">
        <f>+AZ6/AZ$67*1000</f>
        <v>779.06578767231485</v>
      </c>
      <c r="BA23" s="1266">
        <f>+$D$23</f>
        <v>783.91225705888928</v>
      </c>
      <c r="BB23" s="1266">
        <f t="shared" ref="BB23:BB37" si="101">+BB6/BB$67*1000</f>
        <v>779.66809076809125</v>
      </c>
      <c r="BC23" s="1205">
        <f>+$D$23</f>
        <v>783.91225705888928</v>
      </c>
      <c r="BD23" s="1205">
        <f t="shared" ref="BD23:BD37" si="102">+BD6/BD$67*1000</f>
        <v>780.4318965018058</v>
      </c>
      <c r="BE23" s="1264">
        <f>+$D$23</f>
        <v>783.91225705888928</v>
      </c>
      <c r="BF23" s="1279">
        <f t="shared" ref="BF23:BF37" si="103">+BF6/BF$67*1000</f>
        <v>782.18628996728035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3">
      <c r="B24" s="1262" t="s">
        <v>38</v>
      </c>
      <c r="C24" s="63" t="s">
        <v>219</v>
      </c>
      <c r="D24" s="1118">
        <f t="shared" ref="D24:L24" si="104">+D7/D$67*1000</f>
        <v>45.456618844771484</v>
      </c>
      <c r="E24" s="1118">
        <f t="shared" si="104"/>
        <v>45.456618844771484</v>
      </c>
      <c r="F24" s="1263">
        <f t="shared" si="104"/>
        <v>55.016623683311067</v>
      </c>
      <c r="G24" s="1118">
        <f t="shared" si="104"/>
        <v>45.456618844771477</v>
      </c>
      <c r="H24" s="1263">
        <f t="shared" si="104"/>
        <v>50.964520722982442</v>
      </c>
      <c r="I24" s="1264">
        <f t="shared" si="104"/>
        <v>45.456618844771477</v>
      </c>
      <c r="J24" s="1264">
        <f t="shared" si="104"/>
        <v>52.89040901680017</v>
      </c>
      <c r="K24" s="1118">
        <f t="shared" si="104"/>
        <v>45.456618844771484</v>
      </c>
      <c r="L24" s="1263">
        <f t="shared" si="104"/>
        <v>35.203070103169495</v>
      </c>
      <c r="M24" s="1266">
        <f>+$D$24</f>
        <v>45.456618844771484</v>
      </c>
      <c r="N24" s="1266">
        <f t="shared" si="91"/>
        <v>46.572559592181584</v>
      </c>
      <c r="O24" s="1118">
        <f t="shared" si="91"/>
        <v>45.456618844771477</v>
      </c>
      <c r="P24" s="1263">
        <f t="shared" si="91"/>
        <v>36.712232385164334</v>
      </c>
      <c r="Q24" s="1264">
        <f>+$D$24</f>
        <v>45.456618844771484</v>
      </c>
      <c r="R24" s="1264">
        <f t="shared" si="92"/>
        <v>43.868896284200446</v>
      </c>
      <c r="S24" s="1118">
        <f t="shared" si="92"/>
        <v>45.456618844771477</v>
      </c>
      <c r="T24" s="1263">
        <f t="shared" si="92"/>
        <v>31.272590616917942</v>
      </c>
      <c r="U24" s="1264">
        <f>+$D$24</f>
        <v>45.456618844771484</v>
      </c>
      <c r="V24" s="1264">
        <f t="shared" si="93"/>
        <v>41.237928231952374</v>
      </c>
      <c r="W24" s="1118">
        <f t="shared" si="93"/>
        <v>45.456618844771484</v>
      </c>
      <c r="X24" s="1263">
        <f t="shared" si="93"/>
        <v>34.630613900273218</v>
      </c>
      <c r="Y24" s="1266">
        <f>+$D$24</f>
        <v>45.456618844771484</v>
      </c>
      <c r="Z24" s="1266">
        <f t="shared" si="94"/>
        <v>34.23411421002956</v>
      </c>
      <c r="AA24" s="1205">
        <f>+$D$24</f>
        <v>45.456618844771484</v>
      </c>
      <c r="AB24" s="1205">
        <f t="shared" si="95"/>
        <v>40.117085111207771</v>
      </c>
      <c r="AC24" s="1118">
        <f t="shared" si="95"/>
        <v>45.456618844771477</v>
      </c>
      <c r="AD24" s="1263">
        <f t="shared" si="95"/>
        <v>40.939067434516069</v>
      </c>
      <c r="AE24" s="1264">
        <f>+$D$24</f>
        <v>45.456618844771484</v>
      </c>
      <c r="AF24" s="1264">
        <f t="shared" si="96"/>
        <v>40.21577349836565</v>
      </c>
      <c r="AG24" s="1118">
        <f t="shared" si="96"/>
        <v>45.456618844771469</v>
      </c>
      <c r="AH24" s="1263">
        <f t="shared" si="96"/>
        <v>39.64981458523345</v>
      </c>
      <c r="AI24" s="1264">
        <f>+$D$24</f>
        <v>45.456618844771484</v>
      </c>
      <c r="AJ24" s="1264">
        <f t="shared" si="97"/>
        <v>40.143733704740413</v>
      </c>
      <c r="AK24" s="1118">
        <f t="shared" si="97"/>
        <v>45.456618844771484</v>
      </c>
      <c r="AL24" s="1263">
        <f t="shared" si="97"/>
        <v>40.297965418490598</v>
      </c>
      <c r="AM24" s="1266">
        <f>+$D$24</f>
        <v>45.456618844771484</v>
      </c>
      <c r="AN24" s="1266">
        <f t="shared" si="98"/>
        <v>40.255084031284547</v>
      </c>
      <c r="AO24" s="1264">
        <f>+$D$24</f>
        <v>45.456618844771484</v>
      </c>
      <c r="AP24" s="1264">
        <f t="shared" si="99"/>
        <v>40.160916700126634</v>
      </c>
      <c r="AQ24" s="1118">
        <f t="shared" si="99"/>
        <v>45.456618844771477</v>
      </c>
      <c r="AR24" s="1263">
        <f t="shared" si="99"/>
        <v>30.618146107261715</v>
      </c>
      <c r="AS24" s="1264">
        <f>+$D$24</f>
        <v>45.456618844771484</v>
      </c>
      <c r="AT24" s="1264">
        <f t="shared" si="100"/>
        <v>39.19035147102889</v>
      </c>
      <c r="AU24" s="1118">
        <f t="shared" si="100"/>
        <v>45.456618844771484</v>
      </c>
      <c r="AV24" s="1263">
        <f t="shared" si="100"/>
        <v>34.979005609091431</v>
      </c>
      <c r="AW24" s="1264">
        <f>+$D$24</f>
        <v>45.456618844771484</v>
      </c>
      <c r="AX24" s="1264">
        <f t="shared" ref="AX24:AX34" si="105">+AX7/AX$67*1000</f>
        <v>38.852029763778965</v>
      </c>
      <c r="AY24" s="1263">
        <f t="shared" ref="AY24:AY37" si="106">+AY7/AY$67*1000</f>
        <v>45.456618844771477</v>
      </c>
      <c r="AZ24" s="1263">
        <f t="shared" ref="AZ24:AZ37" si="107">+AZ7/AZ$67*1000</f>
        <v>36.890381962361914</v>
      </c>
      <c r="BA24" s="1266">
        <f>+$D$24</f>
        <v>45.456618844771484</v>
      </c>
      <c r="BB24" s="1266">
        <f t="shared" si="101"/>
        <v>34.156761717741468</v>
      </c>
      <c r="BC24" s="1205">
        <f>+$D$24</f>
        <v>45.456618844771484</v>
      </c>
      <c r="BD24" s="1205">
        <f t="shared" si="102"/>
        <v>37.157934381402178</v>
      </c>
      <c r="BE24" s="1279">
        <f>+$D$24</f>
        <v>45.456618844771484</v>
      </c>
      <c r="BF24" s="1279">
        <f t="shared" si="103"/>
        <v>38.678711146944117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3">
      <c r="B25" s="1262" t="s">
        <v>39</v>
      </c>
      <c r="C25" s="63" t="s">
        <v>219</v>
      </c>
      <c r="D25" s="1118">
        <f t="shared" ref="D25:L25" si="108">+D8/D$67*1000</f>
        <v>94.864655365402456</v>
      </c>
      <c r="E25" s="1118">
        <f t="shared" si="108"/>
        <v>94.86465536540247</v>
      </c>
      <c r="F25" s="1263">
        <f t="shared" si="108"/>
        <v>97.591896342789667</v>
      </c>
      <c r="G25" s="1118">
        <f t="shared" si="108"/>
        <v>94.86465536540247</v>
      </c>
      <c r="H25" s="1263">
        <f t="shared" si="108"/>
        <v>93.150692642398383</v>
      </c>
      <c r="I25" s="1264">
        <f t="shared" si="108"/>
        <v>94.86465536540247</v>
      </c>
      <c r="J25" s="1264">
        <f t="shared" si="108"/>
        <v>95.261513196758116</v>
      </c>
      <c r="K25" s="1118">
        <f t="shared" si="108"/>
        <v>94.86465536540247</v>
      </c>
      <c r="L25" s="1263">
        <f t="shared" si="108"/>
        <v>87.306058882622779</v>
      </c>
      <c r="M25" s="1266">
        <f>+$D$25</f>
        <v>94.864655365402456</v>
      </c>
      <c r="N25" s="1266">
        <f t="shared" si="91"/>
        <v>92.419855516845303</v>
      </c>
      <c r="O25" s="1118">
        <f t="shared" si="91"/>
        <v>94.864655365402484</v>
      </c>
      <c r="P25" s="1263">
        <f t="shared" si="91"/>
        <v>92.217810835259826</v>
      </c>
      <c r="Q25" s="1264">
        <f>+$D$25</f>
        <v>94.864655365402456</v>
      </c>
      <c r="R25" s="1264">
        <f t="shared" si="92"/>
        <v>92.364455652245809</v>
      </c>
      <c r="S25" s="1118">
        <f t="shared" si="92"/>
        <v>94.864655365402484</v>
      </c>
      <c r="T25" s="1263">
        <f t="shared" si="92"/>
        <v>97.865488453177235</v>
      </c>
      <c r="U25" s="1264">
        <f>+$D$25</f>
        <v>94.864655365402456</v>
      </c>
      <c r="V25" s="1264">
        <f t="shared" si="93"/>
        <v>93.513446629117027</v>
      </c>
      <c r="W25" s="1118">
        <f t="shared" si="93"/>
        <v>94.864655365402484</v>
      </c>
      <c r="X25" s="1263">
        <f t="shared" si="93"/>
        <v>93.635267247267763</v>
      </c>
      <c r="Y25" s="1266">
        <f>+$D$25</f>
        <v>94.864655365402456</v>
      </c>
      <c r="Z25" s="1266">
        <f t="shared" si="94"/>
        <v>94.5495504458342</v>
      </c>
      <c r="AA25" s="1205">
        <f>+$D$25</f>
        <v>94.864655365402456</v>
      </c>
      <c r="AB25" s="1205">
        <f t="shared" si="95"/>
        <v>93.534111879015072</v>
      </c>
      <c r="AC25" s="1118">
        <f t="shared" si="95"/>
        <v>94.86465536540247</v>
      </c>
      <c r="AD25" s="1263">
        <f t="shared" si="95"/>
        <v>94.729439239935246</v>
      </c>
      <c r="AE25" s="1264">
        <f>+$D$25</f>
        <v>94.864655365402456</v>
      </c>
      <c r="AF25" s="1264">
        <f t="shared" si="96"/>
        <v>93.677624611624836</v>
      </c>
      <c r="AG25" s="1118">
        <f t="shared" si="96"/>
        <v>94.864655365402484</v>
      </c>
      <c r="AH25" s="1263">
        <f t="shared" si="96"/>
        <v>87.194092942223776</v>
      </c>
      <c r="AI25" s="1264">
        <f>+$D$25</f>
        <v>94.864655365402456</v>
      </c>
      <c r="AJ25" s="1264">
        <f t="shared" si="97"/>
        <v>92.852348655033893</v>
      </c>
      <c r="AK25" s="1118">
        <f t="shared" si="97"/>
        <v>94.86465536540247</v>
      </c>
      <c r="AL25" s="1263">
        <f t="shared" si="97"/>
        <v>83.567822617981605</v>
      </c>
      <c r="AM25" s="1266">
        <f>+$D$25</f>
        <v>94.864655365402456</v>
      </c>
      <c r="AN25" s="1266">
        <f t="shared" si="98"/>
        <v>88.130988256138139</v>
      </c>
      <c r="AO25" s="1264">
        <f>+$D$25</f>
        <v>94.864655365402456</v>
      </c>
      <c r="AP25" s="1264">
        <f t="shared" si="99"/>
        <v>91.817957191833713</v>
      </c>
      <c r="AQ25" s="1118">
        <f t="shared" si="99"/>
        <v>94.864655365402456</v>
      </c>
      <c r="AR25" s="1263">
        <f t="shared" si="99"/>
        <v>96.489170167494123</v>
      </c>
      <c r="AS25" s="1264">
        <f>+$D$25</f>
        <v>94.864655365402456</v>
      </c>
      <c r="AT25" s="1264">
        <f t="shared" si="100"/>
        <v>92.293051594215754</v>
      </c>
      <c r="AU25" s="1118">
        <f t="shared" si="100"/>
        <v>94.864655365402484</v>
      </c>
      <c r="AV25" s="1263">
        <f t="shared" si="100"/>
        <v>102.93603857123802</v>
      </c>
      <c r="AW25" s="1264">
        <f>+$D$25</f>
        <v>94.864655365402456</v>
      </c>
      <c r="AX25" s="1264">
        <f t="shared" si="105"/>
        <v>93.148064134707582</v>
      </c>
      <c r="AY25" s="1263">
        <f t="shared" si="106"/>
        <v>94.864655365402456</v>
      </c>
      <c r="AZ25" s="1263">
        <f t="shared" si="107"/>
        <v>106.01377465589688</v>
      </c>
      <c r="BA25" s="1266">
        <f>+$D$25</f>
        <v>94.864655365402456</v>
      </c>
      <c r="BB25" s="1266">
        <f t="shared" si="101"/>
        <v>101.81068811048063</v>
      </c>
      <c r="BC25" s="1205">
        <f>+$D$25</f>
        <v>94.864655365402456</v>
      </c>
      <c r="BD25" s="1205">
        <f t="shared" si="102"/>
        <v>95.078485524408492</v>
      </c>
      <c r="BE25" s="1279">
        <f>+$D$25</f>
        <v>94.864655365402456</v>
      </c>
      <c r="BF25" s="1279">
        <f t="shared" si="103"/>
        <v>94.284795789859587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3">
      <c r="B26" s="1262" t="s">
        <v>40</v>
      </c>
      <c r="C26" s="63" t="s">
        <v>219</v>
      </c>
      <c r="D26" s="1118">
        <f t="shared" ref="D26:L26" si="109">+D9/D$67*1000</f>
        <v>44.449999999999996</v>
      </c>
      <c r="E26" s="1118">
        <f t="shared" si="109"/>
        <v>44.45</v>
      </c>
      <c r="F26" s="1263">
        <f t="shared" si="109"/>
        <v>46.602243420439365</v>
      </c>
      <c r="G26" s="1118">
        <f t="shared" si="109"/>
        <v>44.449999999999989</v>
      </c>
      <c r="H26" s="1263">
        <f t="shared" si="109"/>
        <v>41.552914952182064</v>
      </c>
      <c r="I26" s="1264">
        <f t="shared" si="109"/>
        <v>44.449999999999989</v>
      </c>
      <c r="J26" s="1264">
        <f t="shared" si="109"/>
        <v>43.952765766404383</v>
      </c>
      <c r="K26" s="1118">
        <f t="shared" si="109"/>
        <v>44.45</v>
      </c>
      <c r="L26" s="1263">
        <f t="shared" si="109"/>
        <v>37.491296236253369</v>
      </c>
      <c r="M26" s="1266">
        <f>+$D$26</f>
        <v>44.449999999999996</v>
      </c>
      <c r="N26" s="1266">
        <f t="shared" si="91"/>
        <v>41.64475370463542</v>
      </c>
      <c r="O26" s="1118">
        <f t="shared" si="91"/>
        <v>44.449999999999996</v>
      </c>
      <c r="P26" s="1263">
        <f t="shared" si="91"/>
        <v>38.325459845210574</v>
      </c>
      <c r="Q26" s="1264">
        <f>+$D$26</f>
        <v>44.449999999999996</v>
      </c>
      <c r="R26" s="1264">
        <f t="shared" si="92"/>
        <v>40.734616259120692</v>
      </c>
      <c r="S26" s="1118">
        <f t="shared" si="92"/>
        <v>44.449999999999996</v>
      </c>
      <c r="T26" s="1263">
        <f t="shared" si="92"/>
        <v>43.178253505541797</v>
      </c>
      <c r="U26" s="1264">
        <f>+$D$26</f>
        <v>44.449999999999996</v>
      </c>
      <c r="V26" s="1264">
        <f t="shared" si="93"/>
        <v>41.245014442241661</v>
      </c>
      <c r="W26" s="1118">
        <f t="shared" si="93"/>
        <v>44.449999999999996</v>
      </c>
      <c r="X26" s="1263">
        <f t="shared" si="93"/>
        <v>36.8132044057377</v>
      </c>
      <c r="Y26" s="1266">
        <f>+$D$26</f>
        <v>44.449999999999996</v>
      </c>
      <c r="Z26" s="1266">
        <f t="shared" si="94"/>
        <v>39.44380378277792</v>
      </c>
      <c r="AA26" s="1205">
        <f>+$D$26</f>
        <v>44.449999999999996</v>
      </c>
      <c r="AB26" s="1205">
        <f t="shared" si="95"/>
        <v>40.493216731022443</v>
      </c>
      <c r="AC26" s="1118">
        <f t="shared" si="95"/>
        <v>44.449999999999989</v>
      </c>
      <c r="AD26" s="1263">
        <f t="shared" si="95"/>
        <v>38.975212972054884</v>
      </c>
      <c r="AE26" s="1264">
        <f>+$D$26</f>
        <v>44.449999999999996</v>
      </c>
      <c r="AF26" s="1264">
        <f t="shared" si="96"/>
        <v>40.31096300314524</v>
      </c>
      <c r="AG26" s="1118">
        <f t="shared" si="96"/>
        <v>44.449999999999996</v>
      </c>
      <c r="AH26" s="1263">
        <f t="shared" si="96"/>
        <v>39.076366853628826</v>
      </c>
      <c r="AI26" s="1264">
        <f>+$D$26</f>
        <v>44.449999999999996</v>
      </c>
      <c r="AJ26" s="1264">
        <f t="shared" si="97"/>
        <v>40.153813694674319</v>
      </c>
      <c r="AK26" s="1118">
        <f t="shared" si="97"/>
        <v>44.449999999999989</v>
      </c>
      <c r="AL26" s="1263">
        <f t="shared" si="97"/>
        <v>38.77875208268069</v>
      </c>
      <c r="AM26" s="1266">
        <f>+$D$26</f>
        <v>44.449999999999996</v>
      </c>
      <c r="AN26" s="1266">
        <f t="shared" si="98"/>
        <v>38.942323120053445</v>
      </c>
      <c r="AO26" s="1264">
        <f>+$D$26</f>
        <v>44.449999999999996</v>
      </c>
      <c r="AP26" s="1264">
        <f t="shared" si="99"/>
        <v>40.000617722457299</v>
      </c>
      <c r="AQ26" s="1118">
        <f t="shared" si="99"/>
        <v>44.449999999999996</v>
      </c>
      <c r="AR26" s="1263">
        <f t="shared" si="99"/>
        <v>38.643679415134493</v>
      </c>
      <c r="AS26" s="1264">
        <f>+$D$26</f>
        <v>44.449999999999996</v>
      </c>
      <c r="AT26" s="1264">
        <f t="shared" si="100"/>
        <v>39.862607788518091</v>
      </c>
      <c r="AU26" s="1118">
        <f t="shared" si="100"/>
        <v>44.449999999999989</v>
      </c>
      <c r="AV26" s="1263">
        <f t="shared" si="100"/>
        <v>38.866620506533351</v>
      </c>
      <c r="AW26" s="1264">
        <f>+$D$26</f>
        <v>44.449999999999996</v>
      </c>
      <c r="AX26" s="1264">
        <f t="shared" si="105"/>
        <v>39.782594384564312</v>
      </c>
      <c r="AY26" s="1263">
        <f t="shared" si="106"/>
        <v>44.449999999999996</v>
      </c>
      <c r="AZ26" s="1263">
        <f t="shared" si="107"/>
        <v>41.834725191402427</v>
      </c>
      <c r="BA26" s="1266">
        <f>+$D$26</f>
        <v>44.449999999999996</v>
      </c>
      <c r="BB26" s="1266">
        <f t="shared" si="101"/>
        <v>39.851911041089132</v>
      </c>
      <c r="BC26" s="1205">
        <f>+$D$26</f>
        <v>44.449999999999996</v>
      </c>
      <c r="BD26" s="1205">
        <f t="shared" si="102"/>
        <v>39.404274746473163</v>
      </c>
      <c r="BE26" s="1279">
        <f>+$D$26</f>
        <v>44.449999999999996</v>
      </c>
      <c r="BF26" s="1279">
        <f t="shared" si="103"/>
        <v>39.963907499359145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3">
      <c r="B27" s="1262" t="s">
        <v>1431</v>
      </c>
      <c r="C27" s="63" t="s">
        <v>219</v>
      </c>
      <c r="D27" s="1118">
        <f t="shared" ref="D27:L27" si="110">+D10/D$67*1000</f>
        <v>0.4</v>
      </c>
      <c r="E27" s="1118">
        <f t="shared" si="110"/>
        <v>0.39999999999999997</v>
      </c>
      <c r="F27" s="1263">
        <f t="shared" si="110"/>
        <v>2.1843830593791753</v>
      </c>
      <c r="G27" s="1118">
        <f t="shared" si="110"/>
        <v>0.39999999999999997</v>
      </c>
      <c r="H27" s="1263">
        <f t="shared" si="110"/>
        <v>1.4607127377528104</v>
      </c>
      <c r="I27" s="1264">
        <f t="shared" si="110"/>
        <v>0.39999999999999991</v>
      </c>
      <c r="J27" s="1264">
        <f t="shared" si="110"/>
        <v>1.8046596252451503</v>
      </c>
      <c r="K27" s="1118">
        <f t="shared" si="110"/>
        <v>0.39999999999999997</v>
      </c>
      <c r="L27" s="1263">
        <f t="shared" si="110"/>
        <v>1.0471092873810042</v>
      </c>
      <c r="M27" s="1266">
        <f>+M10/M$67*1000</f>
        <v>0.39999999999999986</v>
      </c>
      <c r="N27" s="1277">
        <f t="shared" si="91"/>
        <v>1.5340655585194749</v>
      </c>
      <c r="O27" s="1118">
        <f t="shared" si="91"/>
        <v>0.39999999999999997</v>
      </c>
      <c r="P27" s="1263">
        <f t="shared" si="91"/>
        <v>2.3419439139612024</v>
      </c>
      <c r="Q27" s="1264">
        <f>+$D$27</f>
        <v>0.4</v>
      </c>
      <c r="R27" s="1279">
        <f t="shared" si="92"/>
        <v>1.7555826563867241</v>
      </c>
      <c r="S27" s="1118">
        <f t="shared" si="92"/>
        <v>0.39999999999999997</v>
      </c>
      <c r="T27" s="1263">
        <f t="shared" si="92"/>
        <v>1.8998953491710142</v>
      </c>
      <c r="U27" s="1264">
        <f>+$D$27</f>
        <v>0.4</v>
      </c>
      <c r="V27" s="1279">
        <f t="shared" si="93"/>
        <v>1.7857249929001624</v>
      </c>
      <c r="W27" s="1118">
        <f t="shared" si="93"/>
        <v>0.40000000000000008</v>
      </c>
      <c r="X27" s="1263">
        <f t="shared" si="93"/>
        <v>0</v>
      </c>
      <c r="Y27" s="1266">
        <f>+$D$27</f>
        <v>0.4</v>
      </c>
      <c r="Z27" s="1266">
        <f t="shared" si="94"/>
        <v>1.4360818151382055</v>
      </c>
      <c r="AA27" s="1205">
        <f>+$D$27</f>
        <v>0.4</v>
      </c>
      <c r="AB27" s="1205">
        <f t="shared" si="95"/>
        <v>1.4828004651177527</v>
      </c>
      <c r="AC27" s="1118">
        <f t="shared" si="95"/>
        <v>0.39999999999999997</v>
      </c>
      <c r="AD27" s="1263">
        <f t="shared" si="95"/>
        <v>1.5956317507497146</v>
      </c>
      <c r="AE27" s="1264">
        <f>+$D$27</f>
        <v>0.4</v>
      </c>
      <c r="AF27" s="1264">
        <f t="shared" si="96"/>
        <v>1.4963471525393892</v>
      </c>
      <c r="AG27" s="1118">
        <f t="shared" si="96"/>
        <v>0.39999999999999997</v>
      </c>
      <c r="AH27" s="1263">
        <f t="shared" si="96"/>
        <v>0.68267587095787607</v>
      </c>
      <c r="AI27" s="1264">
        <f>+$D$27</f>
        <v>0.4</v>
      </c>
      <c r="AJ27" s="1264">
        <f t="shared" si="97"/>
        <v>1.3927765401790135</v>
      </c>
      <c r="AK27" s="1118">
        <f t="shared" si="97"/>
        <v>0.4</v>
      </c>
      <c r="AL27" s="1263">
        <f t="shared" si="97"/>
        <v>0</v>
      </c>
      <c r="AM27" s="1266">
        <f>+$D$27</f>
        <v>0.4</v>
      </c>
      <c r="AN27" s="1266">
        <f t="shared" si="98"/>
        <v>0.71083572304439946</v>
      </c>
      <c r="AO27" s="1264">
        <f>+$D$27</f>
        <v>0.4</v>
      </c>
      <c r="AP27" s="1264">
        <f t="shared" si="99"/>
        <v>1.2376069432004202</v>
      </c>
      <c r="AQ27" s="1118">
        <f t="shared" si="99"/>
        <v>0.39999999999999997</v>
      </c>
      <c r="AR27" s="1263">
        <f t="shared" si="99"/>
        <v>0</v>
      </c>
      <c r="AS27" s="1264">
        <f>+$D$27</f>
        <v>0.4</v>
      </c>
      <c r="AT27" s="1264">
        <f t="shared" si="100"/>
        <v>1.1117338275605668</v>
      </c>
      <c r="AU27" s="1118">
        <f t="shared" si="100"/>
        <v>0.40000000000000008</v>
      </c>
      <c r="AV27" s="1263">
        <f t="shared" si="100"/>
        <v>0</v>
      </c>
      <c r="AW27" s="1279">
        <f>+$D$27</f>
        <v>0.4</v>
      </c>
      <c r="AX27" s="1264">
        <f t="shared" si="105"/>
        <v>1.0224218358889201</v>
      </c>
      <c r="AY27" s="1263">
        <f t="shared" si="106"/>
        <v>0.39999999999999997</v>
      </c>
      <c r="AZ27" s="1263">
        <f t="shared" si="107"/>
        <v>0</v>
      </c>
      <c r="BA27" s="1277">
        <f>+$D$27</f>
        <v>0.4</v>
      </c>
      <c r="BB27" s="1266">
        <f t="shared" si="101"/>
        <v>0</v>
      </c>
      <c r="BC27" s="1205">
        <f>+$D$27</f>
        <v>0.4</v>
      </c>
      <c r="BD27" s="1205">
        <f t="shared" si="102"/>
        <v>0.3498242025707054</v>
      </c>
      <c r="BE27" s="1279">
        <f>+$D$27</f>
        <v>0.4</v>
      </c>
      <c r="BF27" s="1279">
        <f t="shared" si="103"/>
        <v>0.93208720074697238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3">
      <c r="B28" s="1262" t="s">
        <v>556</v>
      </c>
      <c r="C28" s="63" t="s">
        <v>219</v>
      </c>
      <c r="D28" s="1118">
        <f t="shared" ref="D28:L28" si="111">+D11/D$67*1000</f>
        <v>14.559999999999999</v>
      </c>
      <c r="E28" s="1118">
        <f t="shared" si="111"/>
        <v>14.56</v>
      </c>
      <c r="F28" s="1263">
        <f t="shared" si="111"/>
        <v>17.310381257185469</v>
      </c>
      <c r="G28" s="1118">
        <f t="shared" si="111"/>
        <v>14.56</v>
      </c>
      <c r="H28" s="1263">
        <f t="shared" si="111"/>
        <v>15.555605590673954</v>
      </c>
      <c r="I28" s="1264">
        <f t="shared" si="111"/>
        <v>14.56</v>
      </c>
      <c r="J28" s="1264">
        <f t="shared" si="111"/>
        <v>16.389617447602845</v>
      </c>
      <c r="K28" s="1118">
        <f t="shared" si="111"/>
        <v>14.56</v>
      </c>
      <c r="L28" s="1263">
        <f t="shared" si="111"/>
        <v>17.970946703731855</v>
      </c>
      <c r="M28" s="1266">
        <f>+$D$28</f>
        <v>14.559999999999999</v>
      </c>
      <c r="N28" s="1266">
        <f t="shared" si="91"/>
        <v>16.954462175221423</v>
      </c>
      <c r="O28" s="1118">
        <f t="shared" si="91"/>
        <v>14.560000000000002</v>
      </c>
      <c r="P28" s="1263">
        <f t="shared" si="91"/>
        <v>14.164740174891948</v>
      </c>
      <c r="Q28" s="1264">
        <f>+$D$28</f>
        <v>14.559999999999999</v>
      </c>
      <c r="R28" s="1264">
        <f t="shared" si="92"/>
        <v>16.189531270454811</v>
      </c>
      <c r="S28" s="1118">
        <f t="shared" si="92"/>
        <v>14.560000000000002</v>
      </c>
      <c r="T28" s="1263">
        <f t="shared" si="92"/>
        <v>16.814595789435224</v>
      </c>
      <c r="U28" s="1264">
        <f>+$D$28</f>
        <v>14.559999999999999</v>
      </c>
      <c r="V28" s="1264">
        <f t="shared" si="93"/>
        <v>16.320087389325661</v>
      </c>
      <c r="W28" s="1118">
        <f t="shared" si="93"/>
        <v>14.56</v>
      </c>
      <c r="X28" s="1263">
        <f t="shared" si="93"/>
        <v>14.298902834699454</v>
      </c>
      <c r="Y28" s="1266">
        <f>+$D$28</f>
        <v>14.559999999999999</v>
      </c>
      <c r="Z28" s="1266">
        <f t="shared" si="94"/>
        <v>15.086645044695883</v>
      </c>
      <c r="AA28" s="1205">
        <f>+$D$28</f>
        <v>14.559999999999999</v>
      </c>
      <c r="AB28" s="1205">
        <f t="shared" si="95"/>
        <v>15.977220274173247</v>
      </c>
      <c r="AC28" s="1118">
        <f t="shared" si="95"/>
        <v>14.56</v>
      </c>
      <c r="AD28" s="1263">
        <f t="shared" si="95"/>
        <v>11.385048167511478</v>
      </c>
      <c r="AE28" s="1264">
        <f>+$D$28</f>
        <v>14.559999999999999</v>
      </c>
      <c r="AF28" s="1264">
        <f t="shared" si="96"/>
        <v>15.425877446101433</v>
      </c>
      <c r="AG28" s="1118">
        <f t="shared" si="96"/>
        <v>14.56</v>
      </c>
      <c r="AH28" s="1263">
        <f t="shared" si="96"/>
        <v>16.231301507894461</v>
      </c>
      <c r="AI28" s="1264">
        <f>+$D$28</f>
        <v>14.559999999999999</v>
      </c>
      <c r="AJ28" s="1264">
        <f t="shared" si="97"/>
        <v>15.528398286123643</v>
      </c>
      <c r="AK28" s="1118">
        <f t="shared" si="97"/>
        <v>14.560000000000002</v>
      </c>
      <c r="AL28" s="1263">
        <f t="shared" si="97"/>
        <v>16.22619644980913</v>
      </c>
      <c r="AM28" s="1266">
        <f>+$D$28</f>
        <v>14.559999999999999</v>
      </c>
      <c r="AN28" s="1266">
        <f t="shared" si="98"/>
        <v>14.80891549417669</v>
      </c>
      <c r="AO28" s="1264">
        <f>+$D$28</f>
        <v>14.559999999999999</v>
      </c>
      <c r="AP28" s="1264">
        <f t="shared" si="99"/>
        <v>15.606140161225561</v>
      </c>
      <c r="AQ28" s="1118">
        <f t="shared" si="99"/>
        <v>14.56</v>
      </c>
      <c r="AR28" s="1263">
        <f t="shared" si="99"/>
        <v>15.832833215123577</v>
      </c>
      <c r="AS28" s="1264">
        <f>+$D$28</f>
        <v>14.559999999999999</v>
      </c>
      <c r="AT28" s="1264">
        <f t="shared" si="100"/>
        <v>15.629196399835749</v>
      </c>
      <c r="AU28" s="1118">
        <f t="shared" si="100"/>
        <v>14.560000000000002</v>
      </c>
      <c r="AV28" s="1263">
        <f t="shared" si="100"/>
        <v>13.940148517052782</v>
      </c>
      <c r="AW28" s="1264">
        <f>+$D$28</f>
        <v>14.559999999999999</v>
      </c>
      <c r="AX28" s="1264">
        <f t="shared" si="105"/>
        <v>15.493505439733248</v>
      </c>
      <c r="AY28" s="1263">
        <f t="shared" si="106"/>
        <v>14.56</v>
      </c>
      <c r="AZ28" s="1263">
        <f t="shared" si="107"/>
        <v>15.754499404993838</v>
      </c>
      <c r="BA28" s="1266">
        <f>+$D$28</f>
        <v>14.559999999999999</v>
      </c>
      <c r="BB28" s="1266">
        <f t="shared" si="101"/>
        <v>15.243287657808592</v>
      </c>
      <c r="BC28" s="1205">
        <f>+$D$28</f>
        <v>14.559999999999999</v>
      </c>
      <c r="BD28" s="1205">
        <f t="shared" si="102"/>
        <v>15.029519707162207</v>
      </c>
      <c r="BE28" s="1279">
        <f>+$D$28</f>
        <v>14.559999999999999</v>
      </c>
      <c r="BF28" s="1279">
        <f t="shared" si="103"/>
        <v>15.516565192370052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3">
      <c r="B29" s="1262" t="s">
        <v>41</v>
      </c>
      <c r="C29" s="63" t="s">
        <v>219</v>
      </c>
      <c r="D29" s="1118">
        <f t="shared" ref="D29:L29" si="112">+D12/D$67*1000</f>
        <v>10.41458922319562</v>
      </c>
      <c r="E29" s="1118">
        <f t="shared" si="112"/>
        <v>10.414589223195621</v>
      </c>
      <c r="F29" s="1263">
        <f t="shared" si="112"/>
        <v>0</v>
      </c>
      <c r="G29" s="1118">
        <f t="shared" si="112"/>
        <v>10.414589223195623</v>
      </c>
      <c r="H29" s="1263">
        <f t="shared" si="112"/>
        <v>0</v>
      </c>
      <c r="I29" s="1264">
        <f t="shared" si="112"/>
        <v>10.414589223195621</v>
      </c>
      <c r="J29" s="1279">
        <f t="shared" si="112"/>
        <v>0</v>
      </c>
      <c r="K29" s="1118">
        <f t="shared" si="112"/>
        <v>10.414589223195621</v>
      </c>
      <c r="L29" s="1263">
        <f t="shared" si="112"/>
        <v>4.6668119508655925</v>
      </c>
      <c r="M29" s="1277">
        <f>+$D$29</f>
        <v>10.41458922319562</v>
      </c>
      <c r="N29" s="1277">
        <f t="shared" si="91"/>
        <v>1.6669672776981421</v>
      </c>
      <c r="O29" s="1118">
        <f t="shared" si="91"/>
        <v>10.414589223195621</v>
      </c>
      <c r="P29" s="1263">
        <f t="shared" si="91"/>
        <v>5.9227057995778472</v>
      </c>
      <c r="Q29" s="1279">
        <f>+$D$29</f>
        <v>10.41458922319562</v>
      </c>
      <c r="R29" s="1279">
        <f t="shared" si="92"/>
        <v>2.8338742016164038</v>
      </c>
      <c r="S29" s="1118">
        <f t="shared" si="92"/>
        <v>10.414589223195621</v>
      </c>
      <c r="T29" s="1263">
        <f t="shared" si="92"/>
        <v>9.9196459096140455</v>
      </c>
      <c r="U29" s="1279">
        <f>+$D$29</f>
        <v>10.41458922319562</v>
      </c>
      <c r="V29" s="1279">
        <f t="shared" si="93"/>
        <v>4.3138667868778642</v>
      </c>
      <c r="W29" s="1118">
        <f t="shared" si="93"/>
        <v>10.414589223195623</v>
      </c>
      <c r="X29" s="1263">
        <f t="shared" si="93"/>
        <v>8.7010117827868854</v>
      </c>
      <c r="Y29" s="1277">
        <f>+$D$29</f>
        <v>10.41458922319562</v>
      </c>
      <c r="Z29" s="1277">
        <f t="shared" si="94"/>
        <v>8.1484666366185294</v>
      </c>
      <c r="AA29" s="1205">
        <f>+$D$29</f>
        <v>10.41458922319562</v>
      </c>
      <c r="AB29" s="1205">
        <f t="shared" si="95"/>
        <v>5.0580876671828099</v>
      </c>
      <c r="AC29" s="1118">
        <f t="shared" si="95"/>
        <v>10.414589223195623</v>
      </c>
      <c r="AD29" s="1263">
        <f t="shared" si="95"/>
        <v>12.552745415461372</v>
      </c>
      <c r="AE29" s="1264">
        <f>+$D$29</f>
        <v>10.41458922319562</v>
      </c>
      <c r="AF29" s="1279">
        <f t="shared" si="96"/>
        <v>5.9579071213299768</v>
      </c>
      <c r="AG29" s="1118">
        <f t="shared" si="96"/>
        <v>10.414589223195623</v>
      </c>
      <c r="AH29" s="1263">
        <f t="shared" si="96"/>
        <v>9.729496512891652</v>
      </c>
      <c r="AI29" s="1264">
        <f>+$D$29</f>
        <v>10.41458922319562</v>
      </c>
      <c r="AJ29" s="1279">
        <f t="shared" si="97"/>
        <v>6.4379852950326155</v>
      </c>
      <c r="AK29" s="1118">
        <f t="shared" si="97"/>
        <v>10.414589223195623</v>
      </c>
      <c r="AL29" s="1263">
        <f t="shared" si="97"/>
        <v>10.978256952202997</v>
      </c>
      <c r="AM29" s="1277">
        <f>+$D$29</f>
        <v>10.41458922319562</v>
      </c>
      <c r="AN29" s="1277">
        <f t="shared" si="98"/>
        <v>10.995101943177874</v>
      </c>
      <c r="AO29" s="1264">
        <f>+$D$29</f>
        <v>10.41458922319562</v>
      </c>
      <c r="AP29" s="1279">
        <f t="shared" si="99"/>
        <v>6.9438181425085705</v>
      </c>
      <c r="AQ29" s="1118">
        <f t="shared" si="99"/>
        <v>10.414589223195621</v>
      </c>
      <c r="AR29" s="1263">
        <f t="shared" si="99"/>
        <v>9.8859730481750248</v>
      </c>
      <c r="AS29" s="1264">
        <f>+$D$29</f>
        <v>10.41458922319562</v>
      </c>
      <c r="AT29" s="1279">
        <f t="shared" si="100"/>
        <v>7.2430554784866876</v>
      </c>
      <c r="AU29" s="188">
        <f t="shared" si="100"/>
        <v>10.414589223195623</v>
      </c>
      <c r="AV29" s="1263">
        <f t="shared" si="100"/>
        <v>13.851216150117835</v>
      </c>
      <c r="AW29" s="1264">
        <f>+$D$29</f>
        <v>10.41458922319562</v>
      </c>
      <c r="AX29" s="1279">
        <f t="shared" si="105"/>
        <v>7.7739271460014292</v>
      </c>
      <c r="AY29" s="1263">
        <f t="shared" si="106"/>
        <v>10.414589223195621</v>
      </c>
      <c r="AZ29" s="1263">
        <f t="shared" si="107"/>
        <v>8.8671714565540185</v>
      </c>
      <c r="BA29" s="1277">
        <f>+$D$29</f>
        <v>10.41458922319562</v>
      </c>
      <c r="BB29" s="1277">
        <f t="shared" si="101"/>
        <v>10.697721751814363</v>
      </c>
      <c r="BC29" s="1205">
        <f>+$D$29</f>
        <v>10.41458922319562</v>
      </c>
      <c r="BD29" s="1205">
        <f t="shared" si="102"/>
        <v>10.844071724011197</v>
      </c>
      <c r="BE29" s="1279">
        <f>+$D$29</f>
        <v>10.41458922319562</v>
      </c>
      <c r="BF29" s="1279">
        <f t="shared" si="103"/>
        <v>7.8705192007171974</v>
      </c>
      <c r="BG29" s="26"/>
      <c r="BH29" s="26"/>
      <c r="BI29" s="26"/>
      <c r="BJ29" s="26"/>
      <c r="BK29" s="26"/>
      <c r="BL29" s="26"/>
      <c r="BM29" s="26"/>
      <c r="BN29" s="26"/>
    </row>
    <row r="30" spans="2:66" x14ac:dyDescent="0.3">
      <c r="B30" s="1262" t="s">
        <v>1499</v>
      </c>
      <c r="C30" s="63" t="s">
        <v>219</v>
      </c>
      <c r="D30" s="1118">
        <f t="shared" ref="D30:L30" si="113">+D13/D$67*1000</f>
        <v>0</v>
      </c>
      <c r="E30" s="1118">
        <f t="shared" si="113"/>
        <v>0</v>
      </c>
      <c r="F30" s="1263">
        <f t="shared" si="113"/>
        <v>2.0725227604635985</v>
      </c>
      <c r="G30" s="1118">
        <f t="shared" si="113"/>
        <v>0</v>
      </c>
      <c r="H30" s="1263">
        <f t="shared" si="113"/>
        <v>1.9645038361299836</v>
      </c>
      <c r="I30" s="1264">
        <f t="shared" si="113"/>
        <v>0</v>
      </c>
      <c r="J30" s="1279">
        <f t="shared" si="113"/>
        <v>2.0158431984121359</v>
      </c>
      <c r="K30" s="1118">
        <f t="shared" si="113"/>
        <v>0</v>
      </c>
      <c r="L30" s="1263">
        <f t="shared" si="113"/>
        <v>0</v>
      </c>
      <c r="M30" s="1277">
        <f>+$D$30</f>
        <v>0</v>
      </c>
      <c r="N30" s="1277">
        <f t="shared" si="91"/>
        <v>1.295791761992007</v>
      </c>
      <c r="O30" s="1118">
        <f t="shared" si="91"/>
        <v>0</v>
      </c>
      <c r="P30" s="1263">
        <f t="shared" si="91"/>
        <v>2.6258920494522062</v>
      </c>
      <c r="Q30" s="1279">
        <f>+$D$30</f>
        <v>0</v>
      </c>
      <c r="R30" s="1279">
        <f t="shared" si="92"/>
        <v>1.6605000792354809</v>
      </c>
      <c r="S30" s="1118">
        <f t="shared" si="92"/>
        <v>0</v>
      </c>
      <c r="T30" s="1263">
        <f t="shared" si="92"/>
        <v>1.6023842642733552</v>
      </c>
      <c r="U30" s="1279">
        <f>+$D$30</f>
        <v>0</v>
      </c>
      <c r="V30" s="1279">
        <f t="shared" si="93"/>
        <v>1.6483615319078424</v>
      </c>
      <c r="W30" s="1118">
        <f t="shared" si="93"/>
        <v>0</v>
      </c>
      <c r="X30" s="1263">
        <f t="shared" si="93"/>
        <v>1.4995303961748634</v>
      </c>
      <c r="Y30" s="1277">
        <f>+$D$30</f>
        <v>0</v>
      </c>
      <c r="Z30" s="1277">
        <f t="shared" si="94"/>
        <v>1.9214082598927438</v>
      </c>
      <c r="AA30" s="1205">
        <f>+$D$30</f>
        <v>0</v>
      </c>
      <c r="AB30" s="1280">
        <f t="shared" si="95"/>
        <v>1.6231143064445241</v>
      </c>
      <c r="AC30" s="188">
        <f t="shared" si="95"/>
        <v>0</v>
      </c>
      <c r="AD30" s="1276">
        <f t="shared" si="95"/>
        <v>1.9638544624611876</v>
      </c>
      <c r="AE30" s="1279">
        <f>+$D$30</f>
        <v>0</v>
      </c>
      <c r="AF30" s="1279">
        <f t="shared" si="96"/>
        <v>1.6640240626323044</v>
      </c>
      <c r="AG30" s="188">
        <f t="shared" si="96"/>
        <v>0</v>
      </c>
      <c r="AH30" s="1276">
        <f t="shared" si="96"/>
        <v>1.201509532885862</v>
      </c>
      <c r="AI30" s="1264">
        <f>+$D$30</f>
        <v>0</v>
      </c>
      <c r="AJ30" s="1279">
        <f t="shared" si="97"/>
        <v>1.6051515005107773</v>
      </c>
      <c r="AK30" s="188">
        <f t="shared" si="97"/>
        <v>0</v>
      </c>
      <c r="AL30" s="1276">
        <f t="shared" si="97"/>
        <v>1.7160457205590041</v>
      </c>
      <c r="AM30" s="1277">
        <f>+$D$30</f>
        <v>0</v>
      </c>
      <c r="AN30" s="1277">
        <f t="shared" si="98"/>
        <v>1.6054579736611541</v>
      </c>
      <c r="AO30" s="1264">
        <f>+$D$30</f>
        <v>0</v>
      </c>
      <c r="AP30" s="1279">
        <f t="shared" si="99"/>
        <v>1.6175062544398802</v>
      </c>
      <c r="AQ30" s="188">
        <f t="shared" si="99"/>
        <v>0</v>
      </c>
      <c r="AR30" s="1276">
        <f t="shared" si="99"/>
        <v>0</v>
      </c>
      <c r="AS30" s="1264">
        <f>+$D$30</f>
        <v>0</v>
      </c>
      <c r="AT30" s="1279">
        <f t="shared" si="100"/>
        <v>1.4529947728811301</v>
      </c>
      <c r="AU30" s="1118">
        <f t="shared" si="100"/>
        <v>0</v>
      </c>
      <c r="AV30" s="1263">
        <f t="shared" si="100"/>
        <v>1.9279266689111501</v>
      </c>
      <c r="AW30" s="1279">
        <f>+$D$30</f>
        <v>0</v>
      </c>
      <c r="AX30" s="1279">
        <f t="shared" si="105"/>
        <v>1.4911487918479784</v>
      </c>
      <c r="AY30" s="1263">
        <f t="shared" si="106"/>
        <v>0</v>
      </c>
      <c r="AZ30" s="1263">
        <f t="shared" si="107"/>
        <v>1.7191992164874628</v>
      </c>
      <c r="BA30" s="1277">
        <f>+$D$30</f>
        <v>0</v>
      </c>
      <c r="BB30" s="1277">
        <f t="shared" si="101"/>
        <v>1.1872746769387914</v>
      </c>
      <c r="BC30" s="1205">
        <f>+$D$30</f>
        <v>0</v>
      </c>
      <c r="BD30" s="1205">
        <f t="shared" si="102"/>
        <v>1.3930755864340949</v>
      </c>
      <c r="BE30" s="1279">
        <f>+$D$30</f>
        <v>0</v>
      </c>
      <c r="BF30" s="1279">
        <f t="shared" si="103"/>
        <v>1.511297864550307</v>
      </c>
      <c r="BG30" s="26"/>
      <c r="BH30" s="26"/>
      <c r="BI30" s="26"/>
      <c r="BJ30" s="26"/>
      <c r="BK30" s="26"/>
      <c r="BL30" s="26"/>
      <c r="BM30" s="26"/>
      <c r="BN30" s="26"/>
    </row>
    <row r="31" spans="2:66" x14ac:dyDescent="0.3">
      <c r="B31" s="1262" t="s">
        <v>42</v>
      </c>
      <c r="C31" s="63" t="s">
        <v>219</v>
      </c>
      <c r="D31" s="1118">
        <f t="shared" ref="D31:L31" si="114">+D14/D$67*1000</f>
        <v>0</v>
      </c>
      <c r="E31" s="1118">
        <f t="shared" si="114"/>
        <v>0</v>
      </c>
      <c r="F31" s="1263">
        <f t="shared" si="114"/>
        <v>0</v>
      </c>
      <c r="G31" s="1118">
        <f t="shared" si="114"/>
        <v>0</v>
      </c>
      <c r="H31" s="1263">
        <f t="shared" si="114"/>
        <v>0</v>
      </c>
      <c r="I31" s="1264">
        <f t="shared" si="114"/>
        <v>0</v>
      </c>
      <c r="J31" s="1279">
        <f t="shared" si="114"/>
        <v>0</v>
      </c>
      <c r="K31" s="1118">
        <f t="shared" si="114"/>
        <v>0</v>
      </c>
      <c r="L31" s="1263">
        <f t="shared" si="114"/>
        <v>0</v>
      </c>
      <c r="M31" s="1277">
        <f>+$D$31</f>
        <v>0</v>
      </c>
      <c r="N31" s="1277">
        <f t="shared" si="91"/>
        <v>0</v>
      </c>
      <c r="O31" s="1118">
        <f t="shared" si="91"/>
        <v>0</v>
      </c>
      <c r="P31" s="1263">
        <f t="shared" si="91"/>
        <v>0</v>
      </c>
      <c r="Q31" s="1279">
        <f>+$D$31</f>
        <v>0</v>
      </c>
      <c r="R31" s="1279">
        <f t="shared" si="92"/>
        <v>0</v>
      </c>
      <c r="S31" s="1118">
        <f t="shared" si="92"/>
        <v>0</v>
      </c>
      <c r="T31" s="1263">
        <f t="shared" si="92"/>
        <v>0</v>
      </c>
      <c r="U31" s="1279">
        <f>+$D$31</f>
        <v>0</v>
      </c>
      <c r="V31" s="1279">
        <f t="shared" si="93"/>
        <v>0</v>
      </c>
      <c r="W31" s="1118">
        <f t="shared" si="93"/>
        <v>0</v>
      </c>
      <c r="X31" s="1263">
        <f t="shared" si="93"/>
        <v>0</v>
      </c>
      <c r="Y31" s="1277">
        <f>+$D$31</f>
        <v>0</v>
      </c>
      <c r="Z31" s="1277">
        <f t="shared" si="94"/>
        <v>0</v>
      </c>
      <c r="AA31" s="1205">
        <f>+$D$31</f>
        <v>0</v>
      </c>
      <c r="AB31" s="1205">
        <f t="shared" si="95"/>
        <v>0</v>
      </c>
      <c r="AC31" s="1118">
        <f t="shared" si="95"/>
        <v>0</v>
      </c>
      <c r="AD31" s="1263">
        <f t="shared" si="95"/>
        <v>0</v>
      </c>
      <c r="AE31" s="1264">
        <f>+$D$31</f>
        <v>0</v>
      </c>
      <c r="AF31" s="1279">
        <f t="shared" si="96"/>
        <v>0</v>
      </c>
      <c r="AG31" s="1118">
        <f t="shared" si="96"/>
        <v>0</v>
      </c>
      <c r="AH31" s="1263">
        <f t="shared" si="96"/>
        <v>1.7176124913300164</v>
      </c>
      <c r="AI31" s="1264">
        <f>+$D$31</f>
        <v>0</v>
      </c>
      <c r="AJ31" s="1279">
        <f t="shared" si="97"/>
        <v>0.21863150580798593</v>
      </c>
      <c r="AK31" s="1118">
        <f t="shared" si="97"/>
        <v>0</v>
      </c>
      <c r="AL31" s="1263">
        <f t="shared" si="97"/>
        <v>5.73308974170601</v>
      </c>
      <c r="AM31" s="1277">
        <f>+$D$31</f>
        <v>0</v>
      </c>
      <c r="AN31" s="1277">
        <f t="shared" si="98"/>
        <v>2.6226045759928116</v>
      </c>
      <c r="AO31" s="1264">
        <f>+$D$31</f>
        <v>0</v>
      </c>
      <c r="AP31" s="1279">
        <f t="shared" si="99"/>
        <v>0.8329987336689626</v>
      </c>
      <c r="AQ31" s="1118">
        <f t="shared" si="99"/>
        <v>0</v>
      </c>
      <c r="AR31" s="1263">
        <f t="shared" si="99"/>
        <v>1.8849909978722243</v>
      </c>
      <c r="AS31" s="1264">
        <f>+$D$31</f>
        <v>0</v>
      </c>
      <c r="AT31" s="1279">
        <f t="shared" si="100"/>
        <v>0.93999356320818583</v>
      </c>
      <c r="AU31" s="188">
        <f t="shared" si="100"/>
        <v>0</v>
      </c>
      <c r="AV31" s="1263">
        <f t="shared" si="100"/>
        <v>0</v>
      </c>
      <c r="AW31" s="1264">
        <f>+$D$31</f>
        <v>0</v>
      </c>
      <c r="AX31" s="1279">
        <f t="shared" si="105"/>
        <v>0.86447845769694565</v>
      </c>
      <c r="AY31" s="1263">
        <f t="shared" si="106"/>
        <v>0</v>
      </c>
      <c r="AZ31" s="1263">
        <f t="shared" si="107"/>
        <v>0</v>
      </c>
      <c r="BA31" s="1277">
        <f>+$D$31</f>
        <v>0</v>
      </c>
      <c r="BB31" s="1277">
        <f t="shared" si="101"/>
        <v>0.65111650933706733</v>
      </c>
      <c r="BC31" s="1205">
        <f>+$D$31</f>
        <v>0</v>
      </c>
      <c r="BD31" s="1205">
        <f t="shared" si="102"/>
        <v>1.6213466461142954</v>
      </c>
      <c r="BE31" s="1279">
        <f>+$D$31</f>
        <v>0</v>
      </c>
      <c r="BF31" s="1279">
        <f t="shared" si="103"/>
        <v>0.7880986863316054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3">
      <c r="B32" s="1262" t="s">
        <v>600</v>
      </c>
      <c r="C32" s="63" t="s">
        <v>219</v>
      </c>
      <c r="D32" s="1118">
        <f t="shared" ref="D32:L32" si="115">+D15/D$67*1000</f>
        <v>10</v>
      </c>
      <c r="E32" s="1118">
        <f t="shared" si="115"/>
        <v>10</v>
      </c>
      <c r="F32" s="1263">
        <f t="shared" si="115"/>
        <v>30.587577292359317</v>
      </c>
      <c r="G32" s="1118">
        <f t="shared" si="115"/>
        <v>10</v>
      </c>
      <c r="H32" s="1263">
        <f t="shared" si="115"/>
        <v>28.471233246835123</v>
      </c>
      <c r="I32" s="1264">
        <f t="shared" si="115"/>
        <v>10</v>
      </c>
      <c r="J32" s="1264">
        <f t="shared" si="115"/>
        <v>29.477091751140094</v>
      </c>
      <c r="K32" s="1118">
        <f t="shared" si="115"/>
        <v>10</v>
      </c>
      <c r="L32" s="1263">
        <f t="shared" si="115"/>
        <v>8.5575936684437401</v>
      </c>
      <c r="M32" s="1266">
        <f>+$D$32</f>
        <v>10</v>
      </c>
      <c r="N32" s="1266">
        <f t="shared" si="91"/>
        <v>22.004727504010784</v>
      </c>
      <c r="O32" s="1118">
        <f t="shared" si="91"/>
        <v>10</v>
      </c>
      <c r="P32" s="1263">
        <f t="shared" si="91"/>
        <v>3.2390189968841088</v>
      </c>
      <c r="Q32" s="1264">
        <f>+$D$32</f>
        <v>10</v>
      </c>
      <c r="R32" s="1264">
        <f t="shared" si="92"/>
        <v>16.859243335607047</v>
      </c>
      <c r="S32" s="1118">
        <f t="shared" si="92"/>
        <v>10</v>
      </c>
      <c r="T32" s="1263">
        <f t="shared" si="92"/>
        <v>11.216689849913488</v>
      </c>
      <c r="U32" s="1264">
        <f>+$D$32</f>
        <v>10</v>
      </c>
      <c r="V32" s="1264">
        <f t="shared" si="93"/>
        <v>15.680693183992359</v>
      </c>
      <c r="W32" s="1118">
        <f t="shared" si="93"/>
        <v>10</v>
      </c>
      <c r="X32" s="1263">
        <f t="shared" si="93"/>
        <v>0.49895406420765026</v>
      </c>
      <c r="Y32" s="1266">
        <f>+$D$32</f>
        <v>10</v>
      </c>
      <c r="Z32" s="1266">
        <f t="shared" si="94"/>
        <v>4.9951424100048181</v>
      </c>
      <c r="AA32" s="1205">
        <f>+$D$32</f>
        <v>10</v>
      </c>
      <c r="AB32" s="1205">
        <f t="shared" si="95"/>
        <v>13.105312779920455</v>
      </c>
      <c r="AC32" s="1118">
        <f t="shared" si="95"/>
        <v>10</v>
      </c>
      <c r="AD32" s="1263">
        <f t="shared" si="95"/>
        <v>5.2745415461373106</v>
      </c>
      <c r="AE32" s="1264">
        <f>+$D$32</f>
        <v>10</v>
      </c>
      <c r="AF32" s="1264">
        <f t="shared" si="96"/>
        <v>12.165139054342056</v>
      </c>
      <c r="AG32" s="1118">
        <f t="shared" si="96"/>
        <v>10</v>
      </c>
      <c r="AH32" s="1263">
        <f t="shared" si="96"/>
        <v>17.81784023200057</v>
      </c>
      <c r="AI32" s="1264">
        <f>+$D$32</f>
        <v>10</v>
      </c>
      <c r="AJ32" s="1264">
        <f t="shared" si="97"/>
        <v>12.884660236559984</v>
      </c>
      <c r="AK32" s="1118">
        <f t="shared" si="97"/>
        <v>10</v>
      </c>
      <c r="AL32" s="1263">
        <f t="shared" si="97"/>
        <v>28.81515221242373</v>
      </c>
      <c r="AM32" s="1266">
        <f>+$D$32</f>
        <v>10</v>
      </c>
      <c r="AN32" s="1266">
        <f t="shared" si="98"/>
        <v>17.998438300723379</v>
      </c>
      <c r="AO32" s="1264">
        <f>+$D$32</f>
        <v>10</v>
      </c>
      <c r="AP32" s="1264">
        <f t="shared" si="99"/>
        <v>14.65948049541341</v>
      </c>
      <c r="AQ32" s="1118">
        <f t="shared" si="99"/>
        <v>9.9999999999999982</v>
      </c>
      <c r="AR32" s="1263">
        <f t="shared" si="99"/>
        <v>23.588302689726664</v>
      </c>
      <c r="AS32" s="1264">
        <f>+$D$32</f>
        <v>10</v>
      </c>
      <c r="AT32" s="1264">
        <f t="shared" si="100"/>
        <v>15.567602960924233</v>
      </c>
      <c r="AU32" s="1118">
        <f t="shared" si="100"/>
        <v>10</v>
      </c>
      <c r="AV32" s="1263">
        <f t="shared" si="100"/>
        <v>19.295147468921314</v>
      </c>
      <c r="AW32" s="1264">
        <f>+$D$32</f>
        <v>10</v>
      </c>
      <c r="AX32" s="1264">
        <f t="shared" si="105"/>
        <v>15.86705811448777</v>
      </c>
      <c r="AY32" s="1263">
        <f t="shared" si="106"/>
        <v>9.9999999999999982</v>
      </c>
      <c r="AZ32" s="1263">
        <f t="shared" si="107"/>
        <v>28.249628779342228</v>
      </c>
      <c r="BA32" s="1266">
        <f>+$D$32</f>
        <v>10</v>
      </c>
      <c r="BB32" s="1266">
        <f t="shared" si="101"/>
        <v>23.982948474163585</v>
      </c>
      <c r="BC32" s="1205">
        <f>+$D$32</f>
        <v>10</v>
      </c>
      <c r="BD32" s="1205">
        <f t="shared" si="102"/>
        <v>21.037786277990122</v>
      </c>
      <c r="BE32" s="1279">
        <f>+$D$32</f>
        <v>10</v>
      </c>
      <c r="BF32" s="1279">
        <f t="shared" si="103"/>
        <v>16.961102631012103</v>
      </c>
      <c r="BG32" s="26"/>
      <c r="BH32" s="26"/>
      <c r="BI32" s="26"/>
      <c r="BJ32" s="26"/>
      <c r="BK32" s="26"/>
      <c r="BL32" s="26"/>
      <c r="BM32" s="26"/>
      <c r="BN32" s="26"/>
    </row>
    <row r="33" spans="2:67" ht="15" customHeight="1" x14ac:dyDescent="0.3">
      <c r="B33" s="2645" t="s">
        <v>1639</v>
      </c>
      <c r="C33" s="63" t="s">
        <v>219</v>
      </c>
      <c r="D33" s="1118">
        <f t="shared" ref="D33:L33" si="116">+D16/D$67*1000</f>
        <v>0.7</v>
      </c>
      <c r="E33" s="1118">
        <f t="shared" si="116"/>
        <v>0.7</v>
      </c>
      <c r="F33" s="1263">
        <f t="shared" si="116"/>
        <v>1.034707764969083</v>
      </c>
      <c r="G33" s="1118">
        <f t="shared" si="116"/>
        <v>0.70000000000000007</v>
      </c>
      <c r="H33" s="1263">
        <f t="shared" si="116"/>
        <v>0.89781765576714156</v>
      </c>
      <c r="I33" s="1264">
        <f t="shared" si="116"/>
        <v>0.7</v>
      </c>
      <c r="J33" s="1264">
        <f t="shared" si="116"/>
        <v>0.96287894898513748</v>
      </c>
      <c r="K33" s="1118">
        <f t="shared" si="116"/>
        <v>0.7</v>
      </c>
      <c r="L33" s="1263">
        <f t="shared" si="116"/>
        <v>0.37472692771756749</v>
      </c>
      <c r="M33" s="2648">
        <f>+M16/M$67*1000</f>
        <v>0.69999999999999984</v>
      </c>
      <c r="N33" s="1266">
        <f t="shared" si="91"/>
        <v>0.75279330934773736</v>
      </c>
      <c r="O33" s="1118">
        <f t="shared" si="91"/>
        <v>0.7</v>
      </c>
      <c r="P33" s="1263">
        <f t="shared" si="91"/>
        <v>0.78902402251482562</v>
      </c>
      <c r="Q33" s="2647">
        <f>+Q16/Q$67*1000</f>
        <v>0.69999999999999984</v>
      </c>
      <c r="R33" s="1264">
        <f t="shared" si="92"/>
        <v>0.7627276297567126</v>
      </c>
      <c r="S33" s="1118">
        <f t="shared" si="92"/>
        <v>0.7</v>
      </c>
      <c r="T33" s="1263">
        <f t="shared" si="92"/>
        <v>0.21399920141761422</v>
      </c>
      <c r="U33" s="2647">
        <f>+U16/U$67*1000</f>
        <v>0.69999999999999973</v>
      </c>
      <c r="V33" s="1264">
        <f t="shared" si="93"/>
        <v>0.64811569492011389</v>
      </c>
      <c r="W33" s="1118">
        <f t="shared" si="93"/>
        <v>0.69999999999999984</v>
      </c>
      <c r="X33" s="1263">
        <f t="shared" si="93"/>
        <v>0</v>
      </c>
      <c r="Y33" s="2648">
        <f>+Y16/Y$67*1000</f>
        <v>0.69999999999999984</v>
      </c>
      <c r="Z33" s="1266">
        <f t="shared" si="94"/>
        <v>0.34258337276790929</v>
      </c>
      <c r="AA33" s="2650">
        <f>+AA16/AA$67*1000</f>
        <v>0.69999999999999984</v>
      </c>
      <c r="AB33" s="1205">
        <f t="shared" si="95"/>
        <v>0.53817147528235898</v>
      </c>
      <c r="AC33" s="1118">
        <f t="shared" si="95"/>
        <v>0.70000000000000007</v>
      </c>
      <c r="AD33" s="1263">
        <f t="shared" si="95"/>
        <v>0</v>
      </c>
      <c r="AE33" s="2647">
        <f>+AE16/AE$67*1000</f>
        <v>0.7</v>
      </c>
      <c r="AF33" s="1264">
        <f t="shared" si="96"/>
        <v>0.4735578292172834</v>
      </c>
      <c r="AG33" s="1118">
        <f t="shared" si="96"/>
        <v>0.7</v>
      </c>
      <c r="AH33" s="1263">
        <f t="shared" si="96"/>
        <v>0.83832596953627192</v>
      </c>
      <c r="AI33" s="2647">
        <f>+AI16/AI$67*1000</f>
        <v>0.7</v>
      </c>
      <c r="AJ33" s="1264">
        <f t="shared" si="97"/>
        <v>0.51998844624602059</v>
      </c>
      <c r="AK33" s="1118">
        <f t="shared" si="97"/>
        <v>0.70000000000000007</v>
      </c>
      <c r="AL33" s="1263">
        <f t="shared" si="97"/>
        <v>0.77069581634152362</v>
      </c>
      <c r="AM33" s="2648">
        <f>+AM16/AM$67*1000</f>
        <v>0.69999999999999984</v>
      </c>
      <c r="AN33" s="1266">
        <f t="shared" si="98"/>
        <v>0.56886306153347976</v>
      </c>
      <c r="AO33" s="2647">
        <f>+AO16/AO$67*1000</f>
        <v>0.7</v>
      </c>
      <c r="AP33" s="1264">
        <f t="shared" si="99"/>
        <v>0.54791981962504244</v>
      </c>
      <c r="AQ33" s="1118">
        <f t="shared" si="99"/>
        <v>0.69999999999999984</v>
      </c>
      <c r="AR33" s="1263">
        <f t="shared" si="99"/>
        <v>1.2057395384363576</v>
      </c>
      <c r="AS33" s="1264">
        <f>+AS16/AS$67*1000</f>
        <v>0.70000000000000007</v>
      </c>
      <c r="AT33" s="1264">
        <f t="shared" si="100"/>
        <v>0.61482459742306372</v>
      </c>
      <c r="AU33" s="1118">
        <f t="shared" si="100"/>
        <v>0.69999999999999984</v>
      </c>
      <c r="AV33" s="1263">
        <f t="shared" si="100"/>
        <v>0.70828277951760543</v>
      </c>
      <c r="AW33" s="1264">
        <f>+AW16/AW$67*1000</f>
        <v>0.70000000000000007</v>
      </c>
      <c r="AX33" s="1264">
        <f t="shared" si="105"/>
        <v>0.62233263232669733</v>
      </c>
      <c r="AY33" s="1263">
        <f t="shared" si="106"/>
        <v>0.69999999999999984</v>
      </c>
      <c r="AZ33" s="1263">
        <f t="shared" si="107"/>
        <v>3.343618690565203</v>
      </c>
      <c r="BA33" s="1266">
        <f>+BA16/BA$67*1000</f>
        <v>0.69999999999999984</v>
      </c>
      <c r="BB33" s="1266">
        <f t="shared" si="101"/>
        <v>1.8233146824417152</v>
      </c>
      <c r="BC33" s="1205">
        <f>+BC16/BC$67*1000</f>
        <v>0.69999999999999984</v>
      </c>
      <c r="BD33" s="1205">
        <f t="shared" si="102"/>
        <v>1.2059603152916247</v>
      </c>
      <c r="BE33" s="1279">
        <f>+BE16/BE$67*1000</f>
        <v>0.7</v>
      </c>
      <c r="BF33" s="1279">
        <f t="shared" si="103"/>
        <v>0.86276801287010751</v>
      </c>
      <c r="BG33" s="26"/>
      <c r="BH33" s="26"/>
      <c r="BI33" s="26"/>
      <c r="BJ33" s="26"/>
      <c r="BK33" s="26"/>
      <c r="BL33" s="26"/>
      <c r="BM33" s="26"/>
      <c r="BN33" s="26"/>
    </row>
    <row r="34" spans="2:67" ht="15" customHeight="1" x14ac:dyDescent="0.3">
      <c r="B34" s="4793" t="s">
        <v>2016</v>
      </c>
      <c r="C34" s="4794" t="s">
        <v>219</v>
      </c>
      <c r="D34" s="1118">
        <f t="shared" ref="D34:L34" si="117">+D17/D$67*1000</f>
        <v>0</v>
      </c>
      <c r="E34" s="1118">
        <f t="shared" si="117"/>
        <v>0</v>
      </c>
      <c r="F34" s="1263">
        <f t="shared" si="117"/>
        <v>0</v>
      </c>
      <c r="G34" s="1118">
        <f t="shared" si="117"/>
        <v>0</v>
      </c>
      <c r="H34" s="1263">
        <f t="shared" si="117"/>
        <v>4.8408977050767508</v>
      </c>
      <c r="I34" s="1264">
        <f t="shared" si="117"/>
        <v>0</v>
      </c>
      <c r="J34" s="1264">
        <f t="shared" si="117"/>
        <v>2.5401101108196875</v>
      </c>
      <c r="K34" s="1118">
        <f t="shared" si="117"/>
        <v>0</v>
      </c>
      <c r="L34" s="1263">
        <f t="shared" si="117"/>
        <v>0</v>
      </c>
      <c r="M34" s="2648">
        <f>+M17/M$67*1000</f>
        <v>0</v>
      </c>
      <c r="N34" s="1266">
        <f t="shared" si="91"/>
        <v>1.6327925499093421</v>
      </c>
      <c r="O34" s="1118">
        <f t="shared" si="91"/>
        <v>0</v>
      </c>
      <c r="P34" s="1263">
        <f t="shared" si="91"/>
        <v>0</v>
      </c>
      <c r="Q34" s="2647">
        <f>+Q17/Q$67*1000</f>
        <v>0</v>
      </c>
      <c r="R34" s="1264">
        <f t="shared" si="92"/>
        <v>1.1850871934792644</v>
      </c>
      <c r="S34" s="1118">
        <f t="shared" si="92"/>
        <v>0</v>
      </c>
      <c r="T34" s="1263">
        <f t="shared" si="92"/>
        <v>0</v>
      </c>
      <c r="U34" s="2647">
        <f>+U17/U$67*1000</f>
        <v>0</v>
      </c>
      <c r="V34" s="1264">
        <f t="shared" si="93"/>
        <v>0.93756013058250287</v>
      </c>
      <c r="W34" s="1118">
        <f t="shared" si="93"/>
        <v>0</v>
      </c>
      <c r="X34" s="1263">
        <f t="shared" si="93"/>
        <v>0</v>
      </c>
      <c r="Y34" s="2648">
        <f>+Y17/Y$67*1000</f>
        <v>0</v>
      </c>
      <c r="Z34" s="1266">
        <f t="shared" si="94"/>
        <v>0</v>
      </c>
      <c r="AA34" s="2650">
        <f>+AA17/AA$67*1000</f>
        <v>0</v>
      </c>
      <c r="AB34" s="1205">
        <f t="shared" si="95"/>
        <v>0.77851550671628045</v>
      </c>
      <c r="AC34" s="1118">
        <f t="shared" si="95"/>
        <v>0</v>
      </c>
      <c r="AD34" s="1263">
        <f t="shared" si="95"/>
        <v>0</v>
      </c>
      <c r="AE34" s="2647">
        <f>+AE17/AE$67*1000</f>
        <v>0</v>
      </c>
      <c r="AF34" s="1264">
        <f t="shared" si="96"/>
        <v>0.68504580845561602</v>
      </c>
      <c r="AG34" s="1118">
        <f t="shared" si="96"/>
        <v>0</v>
      </c>
      <c r="AH34" s="1263">
        <f t="shared" si="96"/>
        <v>0</v>
      </c>
      <c r="AI34" s="2647">
        <f>+AI17/AI$67*1000</f>
        <v>0</v>
      </c>
      <c r="AJ34" s="1264">
        <f t="shared" si="97"/>
        <v>0.59784767883900769</v>
      </c>
      <c r="AK34" s="1118">
        <f t="shared" si="97"/>
        <v>0</v>
      </c>
      <c r="AL34" s="1263">
        <f t="shared" si="97"/>
        <v>0</v>
      </c>
      <c r="AM34" s="2648">
        <f>+AM17/AM$67*1000</f>
        <v>0</v>
      </c>
      <c r="AN34" s="1266">
        <f t="shared" si="98"/>
        <v>0</v>
      </c>
      <c r="AO34" s="2647">
        <f>+AO17/AO$67*1000</f>
        <v>0</v>
      </c>
      <c r="AP34" s="1264">
        <f t="shared" si="99"/>
        <v>0.53124131327794422</v>
      </c>
      <c r="AQ34" s="1118">
        <f t="shared" si="99"/>
        <v>0</v>
      </c>
      <c r="AR34" s="1263">
        <f t="shared" si="99"/>
        <v>0</v>
      </c>
      <c r="AS34" s="1264">
        <f>+AS17/AS$67*1000</f>
        <v>0</v>
      </c>
      <c r="AT34" s="1264">
        <f t="shared" si="100"/>
        <v>0.47721042760273896</v>
      </c>
      <c r="AU34" s="1118">
        <f t="shared" si="100"/>
        <v>0</v>
      </c>
      <c r="AV34" s="1263">
        <f t="shared" si="100"/>
        <v>0</v>
      </c>
      <c r="AW34" s="1264">
        <f>+AW17/AW$67*1000</f>
        <v>0</v>
      </c>
      <c r="AX34" s="1264">
        <f t="shared" si="105"/>
        <v>0.43887336105039748</v>
      </c>
      <c r="AY34" s="1263">
        <f t="shared" si="106"/>
        <v>0</v>
      </c>
      <c r="AZ34" s="1263">
        <f t="shared" si="107"/>
        <v>5.7605021220131221</v>
      </c>
      <c r="BA34" s="1266">
        <f>+BA17/BA$67*1000</f>
        <v>0</v>
      </c>
      <c r="BB34" s="1266">
        <f t="shared" si="101"/>
        <v>2.0617118993191075</v>
      </c>
      <c r="BC34" s="1205">
        <f>+BC17/BC$67*1000</f>
        <v>0</v>
      </c>
      <c r="BD34" s="1205">
        <f t="shared" si="102"/>
        <v>1.04707982930876</v>
      </c>
      <c r="BE34" s="1279">
        <f>+BE17/BE$67*1000</f>
        <v>0</v>
      </c>
      <c r="BF34" s="1279">
        <f t="shared" si="103"/>
        <v>0.90905834302949051</v>
      </c>
      <c r="BG34" s="26"/>
      <c r="BH34" s="26"/>
      <c r="BI34" s="26"/>
      <c r="BJ34" s="26"/>
      <c r="BK34" s="26"/>
      <c r="BL34" s="26"/>
      <c r="BM34" s="26"/>
      <c r="BN34" s="26"/>
    </row>
    <row r="35" spans="2:67" ht="15" customHeight="1" x14ac:dyDescent="0.3">
      <c r="B35" s="5452" t="s">
        <v>2338</v>
      </c>
      <c r="C35" s="4794" t="s">
        <v>219</v>
      </c>
      <c r="D35" s="5458"/>
      <c r="E35" s="5458"/>
      <c r="F35" s="5454"/>
      <c r="G35" s="5458"/>
      <c r="H35" s="5454"/>
      <c r="I35" s="5455"/>
      <c r="J35" s="5455"/>
      <c r="K35" s="5458"/>
      <c r="L35" s="5454"/>
      <c r="M35" s="5456"/>
      <c r="N35" s="5456"/>
      <c r="O35" s="5458"/>
      <c r="P35" s="5454"/>
      <c r="Q35" s="5455"/>
      <c r="R35" s="5455"/>
      <c r="S35" s="5458"/>
      <c r="T35" s="5454"/>
      <c r="U35" s="5455"/>
      <c r="V35" s="5455"/>
      <c r="W35" s="5458"/>
      <c r="X35" s="5454"/>
      <c r="Y35" s="5456"/>
      <c r="Z35" s="5456"/>
      <c r="AA35" s="5457"/>
      <c r="AB35" s="5457"/>
      <c r="AC35" s="5458"/>
      <c r="AD35" s="5454"/>
      <c r="AE35" s="5455"/>
      <c r="AF35" s="5455"/>
      <c r="AG35" s="5458"/>
      <c r="AH35" s="5454"/>
      <c r="AI35" s="5455"/>
      <c r="AJ35" s="5455"/>
      <c r="AK35" s="5458"/>
      <c r="AL35" s="5454"/>
      <c r="AM35" s="5456"/>
      <c r="AN35" s="5456"/>
      <c r="AO35" s="5455"/>
      <c r="AP35" s="5455"/>
      <c r="AQ35" s="5458"/>
      <c r="AR35" s="5454"/>
      <c r="AS35" s="5455"/>
      <c r="AT35" s="5455"/>
      <c r="AU35" s="1118">
        <f t="shared" ref="AU35:AV37" si="118">+AU18/AU$67*1000</f>
        <v>0</v>
      </c>
      <c r="AV35" s="1263">
        <f t="shared" si="118"/>
        <v>0</v>
      </c>
      <c r="AW35" s="5455"/>
      <c r="AX35" s="5455"/>
      <c r="AY35" s="1263">
        <f t="shared" si="106"/>
        <v>0</v>
      </c>
      <c r="AZ35" s="1263">
        <f t="shared" si="107"/>
        <v>5.9237339006076439</v>
      </c>
      <c r="BA35" s="1266">
        <f>+BA18/BA$67*1000</f>
        <v>0</v>
      </c>
      <c r="BB35" s="1266">
        <f>+BB18/BB$67*1000</f>
        <v>2.1201333516764129</v>
      </c>
      <c r="BC35" s="1205">
        <f>+BC18/BC$67*1000</f>
        <v>0</v>
      </c>
      <c r="BD35" s="1280">
        <f>+BD18/BD$67*1000</f>
        <v>1.0767502815103793</v>
      </c>
      <c r="BE35" s="1279">
        <f>+BE18/BE$67*1000</f>
        <v>0</v>
      </c>
      <c r="BF35" s="1279">
        <f>+BF18/BF$67*1000</f>
        <v>0.52338312994277214</v>
      </c>
      <c r="BG35" s="26"/>
      <c r="BH35" s="26"/>
      <c r="BI35" s="26"/>
      <c r="BJ35" s="26"/>
      <c r="BK35" s="26"/>
      <c r="BL35" s="26"/>
      <c r="BM35" s="26"/>
      <c r="BN35" s="26"/>
    </row>
    <row r="36" spans="2:67" x14ac:dyDescent="0.3">
      <c r="B36" s="1262" t="s">
        <v>98</v>
      </c>
      <c r="C36" s="63" t="s">
        <v>219</v>
      </c>
      <c r="D36" s="1118">
        <f t="shared" ref="D36:L36" si="119">+D19/D$67*1000</f>
        <v>170.09827454020316</v>
      </c>
      <c r="E36" s="1118">
        <f t="shared" si="119"/>
        <v>170.3275582653896</v>
      </c>
      <c r="F36" s="1263">
        <f t="shared" si="119"/>
        <v>186.74455457850416</v>
      </c>
      <c r="G36" s="1118">
        <f t="shared" si="119"/>
        <v>170.60964576248358</v>
      </c>
      <c r="H36" s="1263">
        <f t="shared" si="119"/>
        <v>184.72527905523688</v>
      </c>
      <c r="I36" s="1264">
        <f t="shared" si="119"/>
        <v>170.47068915152471</v>
      </c>
      <c r="J36" s="1264">
        <f t="shared" si="119"/>
        <v>185.68500271732711</v>
      </c>
      <c r="K36" s="1118">
        <f t="shared" si="119"/>
        <v>170.3275582653896</v>
      </c>
      <c r="L36" s="1263">
        <f t="shared" si="119"/>
        <v>195.28853973434252</v>
      </c>
      <c r="M36" s="1266">
        <f>+$D$36</f>
        <v>170.09827454020316</v>
      </c>
      <c r="N36" s="1266">
        <f t="shared" ref="N36:AT36" si="120">+N19/N$67*1000</f>
        <v>189.11534919926714</v>
      </c>
      <c r="O36" s="1118">
        <f t="shared" si="120"/>
        <v>170.43530503385097</v>
      </c>
      <c r="P36" s="1263">
        <f t="shared" si="120"/>
        <v>199.75123127952557</v>
      </c>
      <c r="Q36" s="1264">
        <f t="shared" si="120"/>
        <v>170.42641790757546</v>
      </c>
      <c r="R36" s="1264">
        <f t="shared" si="120"/>
        <v>192.03166663221646</v>
      </c>
      <c r="S36" s="1118">
        <f t="shared" si="120"/>
        <v>170.43530503385097</v>
      </c>
      <c r="T36" s="1263">
        <f t="shared" si="120"/>
        <v>199.84915666046416</v>
      </c>
      <c r="U36" s="1264">
        <f t="shared" si="120"/>
        <v>170.4281966537942</v>
      </c>
      <c r="V36" s="1264">
        <f t="shared" si="120"/>
        <v>193.66449192689868</v>
      </c>
      <c r="W36" s="1118">
        <f t="shared" si="120"/>
        <v>169.59847764614028</v>
      </c>
      <c r="X36" s="1263">
        <f t="shared" si="120"/>
        <v>200.57953381147541</v>
      </c>
      <c r="Y36" s="1266">
        <f t="shared" si="120"/>
        <v>170.25436824508225</v>
      </c>
      <c r="Z36" s="1266">
        <f t="shared" si="120"/>
        <v>200.05225261544237</v>
      </c>
      <c r="AA36" s="1205">
        <f t="shared" si="120"/>
        <v>170.34568432376534</v>
      </c>
      <c r="AB36" s="1205">
        <f t="shared" si="120"/>
        <v>194.83753693988186</v>
      </c>
      <c r="AC36" s="1118">
        <f t="shared" si="120"/>
        <v>170.60964576248358</v>
      </c>
      <c r="AD36" s="1263">
        <f t="shared" si="120"/>
        <v>202.95374326583689</v>
      </c>
      <c r="AE36" s="1264">
        <f t="shared" si="120"/>
        <v>170.38662832757072</v>
      </c>
      <c r="AF36" s="1264">
        <f t="shared" si="120"/>
        <v>195.81198041565554</v>
      </c>
      <c r="AG36" s="1118">
        <f t="shared" si="120"/>
        <v>168.51648506196378</v>
      </c>
      <c r="AH36" s="1263">
        <f t="shared" si="120"/>
        <v>196.05085662168287</v>
      </c>
      <c r="AI36" s="1264">
        <f t="shared" si="120"/>
        <v>170.13957989668424</v>
      </c>
      <c r="AJ36" s="1264">
        <f t="shared" si="120"/>
        <v>195.84238649670647</v>
      </c>
      <c r="AK36" s="1118">
        <f t="shared" si="120"/>
        <v>168.84793254155306</v>
      </c>
      <c r="AL36" s="1263">
        <f t="shared" si="120"/>
        <v>196.51634401865195</v>
      </c>
      <c r="AM36" s="1266">
        <f t="shared" si="120"/>
        <v>169.32808503640814</v>
      </c>
      <c r="AN36" s="1266">
        <f t="shared" si="120"/>
        <v>198.23759416628499</v>
      </c>
      <c r="AO36" s="1264">
        <f t="shared" si="120"/>
        <v>169.98491854780761</v>
      </c>
      <c r="AP36" s="1264">
        <f t="shared" si="120"/>
        <v>195.91747227970475</v>
      </c>
      <c r="AQ36" s="1118">
        <f t="shared" si="120"/>
        <v>170.74460808184665</v>
      </c>
      <c r="AR36" s="1263">
        <f t="shared" si="120"/>
        <v>208.99667194064051</v>
      </c>
      <c r="AS36" s="1264">
        <f t="shared" si="120"/>
        <v>170.06645384224649</v>
      </c>
      <c r="AT36" s="1264">
        <f t="shared" si="120"/>
        <v>197.24771660359349</v>
      </c>
      <c r="AU36" s="1118">
        <f t="shared" si="118"/>
        <v>169.70928963419979</v>
      </c>
      <c r="AV36" s="1263">
        <f t="shared" si="118"/>
        <v>203.64241565717845</v>
      </c>
      <c r="AW36" s="1264">
        <f>+AW19/AW$67*1000</f>
        <v>170.03501209539087</v>
      </c>
      <c r="AX36" s="1264">
        <f>+AX19/AX$67*1000</f>
        <v>197.76143966792594</v>
      </c>
      <c r="AY36" s="1263">
        <f t="shared" si="106"/>
        <v>170.74460808184665</v>
      </c>
      <c r="AZ36" s="1263">
        <f t="shared" si="107"/>
        <v>217.40103415230053</v>
      </c>
      <c r="BA36" s="1266">
        <f>+BA19/BA$67*1000</f>
        <v>170.42345186098788</v>
      </c>
      <c r="BB36" s="1266">
        <f t="shared" si="101"/>
        <v>210.41616804271175</v>
      </c>
      <c r="BC36" s="1205">
        <f>+BC19/BC$67*1000</f>
        <v>169.87115026446608</v>
      </c>
      <c r="BD36" s="1205">
        <f t="shared" si="102"/>
        <v>204.42271588962782</v>
      </c>
      <c r="BE36" s="1279">
        <f>+BE19/BE$67*1000</f>
        <v>170.09827454020316</v>
      </c>
      <c r="BF36" s="1279">
        <f t="shared" si="103"/>
        <v>199.49666825930214</v>
      </c>
      <c r="BG36" s="26"/>
      <c r="BH36" s="26"/>
      <c r="BI36" s="26"/>
      <c r="BJ36" s="26"/>
      <c r="BK36" s="26"/>
      <c r="BL36" s="26"/>
      <c r="BM36" s="26"/>
      <c r="BN36" s="26"/>
    </row>
    <row r="37" spans="2:67" x14ac:dyDescent="0.3">
      <c r="B37" s="1262" t="s">
        <v>1309</v>
      </c>
      <c r="C37" s="63" t="s">
        <v>219</v>
      </c>
      <c r="D37" s="1120">
        <f t="shared" ref="D37:L37" si="121">+D20/D$67*1000</f>
        <v>2.8361370375524362</v>
      </c>
      <c r="E37" s="1120">
        <f t="shared" si="121"/>
        <v>2.84</v>
      </c>
      <c r="F37" s="1263">
        <f t="shared" si="121"/>
        <v>1.9016250815648013</v>
      </c>
      <c r="G37" s="1120">
        <f t="shared" si="121"/>
        <v>2.8447525981502015</v>
      </c>
      <c r="H37" s="1263">
        <f t="shared" si="121"/>
        <v>3.6813338361862731</v>
      </c>
      <c r="I37" s="1264">
        <f t="shared" si="121"/>
        <v>2.8424114630803921</v>
      </c>
      <c r="J37" s="1279">
        <f t="shared" si="121"/>
        <v>2.8354717516126744</v>
      </c>
      <c r="K37" s="1120">
        <f t="shared" si="121"/>
        <v>2.84</v>
      </c>
      <c r="L37" s="1263">
        <f t="shared" si="121"/>
        <v>2.4157927467749567</v>
      </c>
      <c r="M37" s="1283">
        <f>D37</f>
        <v>2.8361370375524362</v>
      </c>
      <c r="N37" s="1266">
        <f>+N20/N$67*1000</f>
        <v>2.6855640254032145</v>
      </c>
      <c r="O37" s="1118">
        <f>+O20/O$67*1000</f>
        <v>2.8418153129711574</v>
      </c>
      <c r="P37" s="1263">
        <f>+P20/P$67*1000</f>
        <v>2.2012262538948635</v>
      </c>
      <c r="Q37" s="1275">
        <f>+$D$37</f>
        <v>2.8361370375524362</v>
      </c>
      <c r="R37" s="1264">
        <f>+R20/R$67*1000</f>
        <v>2.552760495256206</v>
      </c>
      <c r="S37" s="1118">
        <f>+S20/S$67*1000</f>
        <v>2.8418153129711574</v>
      </c>
      <c r="T37" s="1263">
        <f>+T20/T$67*1000</f>
        <v>2.4348933527150494</v>
      </c>
      <c r="U37" s="1275">
        <f>+$D$37</f>
        <v>2.8361370375524362</v>
      </c>
      <c r="V37" s="1275">
        <f t="shared" ref="V37:AT37" si="122">+V20/V$67*1000</f>
        <v>2.5281417939777024</v>
      </c>
      <c r="W37" s="1118">
        <f t="shared" si="122"/>
        <v>2.8277164807440918</v>
      </c>
      <c r="X37" s="1263">
        <f t="shared" si="122"/>
        <v>2.0998761953551912</v>
      </c>
      <c r="Y37" s="1283">
        <f t="shared" si="122"/>
        <v>2.8387668976515616</v>
      </c>
      <c r="Z37" s="1283">
        <f t="shared" si="122"/>
        <v>2.2458243325896277</v>
      </c>
      <c r="AA37" s="1284">
        <f t="shared" si="122"/>
        <v>2.8403053870603694</v>
      </c>
      <c r="AB37" s="1284">
        <f t="shared" si="122"/>
        <v>2.4554922232185006</v>
      </c>
      <c r="AC37" s="188">
        <f t="shared" si="122"/>
        <v>2.8447525981502015</v>
      </c>
      <c r="AD37" s="1276">
        <f t="shared" si="122"/>
        <v>3.1215997452296915</v>
      </c>
      <c r="AE37" s="1275">
        <f t="shared" si="122"/>
        <v>2.8409952098946043</v>
      </c>
      <c r="AF37" s="1275">
        <f t="shared" si="122"/>
        <v>2.5354660561793323</v>
      </c>
      <c r="AG37" s="188">
        <f t="shared" si="122"/>
        <v>2.8094871157169981</v>
      </c>
      <c r="AH37" s="1276">
        <f t="shared" si="122"/>
        <v>2.9955817217631608</v>
      </c>
      <c r="AI37" s="1275">
        <f t="shared" si="122"/>
        <v>2.8368329484411885</v>
      </c>
      <c r="AJ37" s="1275">
        <f t="shared" si="122"/>
        <v>2.5940332716136707</v>
      </c>
      <c r="AK37" s="188">
        <f t="shared" si="122"/>
        <v>2.8150713287523628</v>
      </c>
      <c r="AL37" s="1276">
        <f t="shared" si="122"/>
        <v>3.515260054392273</v>
      </c>
      <c r="AM37" s="1266">
        <f t="shared" si="122"/>
        <v>2.8231609175586043</v>
      </c>
      <c r="AN37" s="1266">
        <f t="shared" si="122"/>
        <v>3.2148056092815112</v>
      </c>
      <c r="AO37" s="1275">
        <f t="shared" si="122"/>
        <v>2.8342272206150581</v>
      </c>
      <c r="AP37" s="1264">
        <f t="shared" si="122"/>
        <v>2.6966673873428668</v>
      </c>
      <c r="AQ37" s="188">
        <f t="shared" si="122"/>
        <v>2.8470264375651158</v>
      </c>
      <c r="AR37" s="1276">
        <f t="shared" si="122"/>
        <v>2.7060941677123682</v>
      </c>
      <c r="AS37" s="1275">
        <f t="shared" si="122"/>
        <v>2.8356009237870126</v>
      </c>
      <c r="AT37" s="1264">
        <f t="shared" si="122"/>
        <v>2.6976261555705991</v>
      </c>
      <c r="AU37" s="188">
        <f t="shared" si="118"/>
        <v>2.8295834364046129</v>
      </c>
      <c r="AV37" s="1276">
        <f t="shared" si="118"/>
        <v>2.0390921275798326</v>
      </c>
      <c r="AW37" s="1275">
        <f>+AW20/AW$67*1000</f>
        <v>2.8350711945736098</v>
      </c>
      <c r="AX37" s="1264">
        <f>+AX20/AX$67*1000</f>
        <v>2.6447223181903312</v>
      </c>
      <c r="AY37" s="1263">
        <f t="shared" si="106"/>
        <v>2.8470264375651158</v>
      </c>
      <c r="AZ37" s="1276">
        <f t="shared" si="107"/>
        <v>2.4669060732752723</v>
      </c>
      <c r="BA37" s="1266">
        <f>+BA20/BA$67*1000</f>
        <v>2.8416156112190056</v>
      </c>
      <c r="BB37" s="1266">
        <f t="shared" si="101"/>
        <v>2.4226057098489147</v>
      </c>
      <c r="BC37" s="1205">
        <f>+BC20/BC$67*1000</f>
        <v>2.832310457417337</v>
      </c>
      <c r="BD37" s="1205">
        <f t="shared" si="102"/>
        <v>2.8124717353051101</v>
      </c>
      <c r="BE37" s="1279">
        <f>+BE20/BE$67*1000</f>
        <v>2.8361370375524362</v>
      </c>
      <c r="BF37" s="1279">
        <f t="shared" si="103"/>
        <v>2.6290116153836491</v>
      </c>
      <c r="BG37" s="26"/>
      <c r="BH37" s="26"/>
      <c r="BI37" s="26"/>
      <c r="BJ37" s="26"/>
      <c r="BK37" s="26"/>
      <c r="BL37" s="26"/>
      <c r="BM37" s="26"/>
      <c r="BN37" s="26"/>
    </row>
    <row r="38" spans="2:67" ht="15.6" x14ac:dyDescent="0.3">
      <c r="B38" s="1268" t="s">
        <v>21</v>
      </c>
      <c r="C38" s="1269" t="s">
        <v>219</v>
      </c>
      <c r="D38" s="197">
        <f t="shared" ref="D38:AI38" si="123">SUM(D23:D37)</f>
        <v>1177.6925320700143</v>
      </c>
      <c r="E38" s="197">
        <f t="shared" si="123"/>
        <v>1177.9256787576485</v>
      </c>
      <c r="F38" s="197">
        <f t="shared" si="123"/>
        <v>1226.4891402293135</v>
      </c>
      <c r="G38" s="197">
        <f t="shared" si="123"/>
        <v>1178.212518852893</v>
      </c>
      <c r="H38" s="197">
        <f t="shared" si="123"/>
        <v>1213.3316071217484</v>
      </c>
      <c r="I38" s="197">
        <f t="shared" si="123"/>
        <v>1178.071221106864</v>
      </c>
      <c r="J38" s="197">
        <f t="shared" si="123"/>
        <v>1219.5851350393423</v>
      </c>
      <c r="K38" s="197">
        <f t="shared" si="123"/>
        <v>1177.9256787576485</v>
      </c>
      <c r="L38" s="197">
        <f t="shared" si="123"/>
        <v>1173.5331168244418</v>
      </c>
      <c r="M38" s="197">
        <f t="shared" si="123"/>
        <v>1177.6925320700143</v>
      </c>
      <c r="N38" s="197">
        <f t="shared" si="123"/>
        <v>1203.1355312746227</v>
      </c>
      <c r="O38" s="197">
        <f t="shared" si="123"/>
        <v>1178.0352408390813</v>
      </c>
      <c r="P38" s="197">
        <f t="shared" si="123"/>
        <v>1181.812242436426</v>
      </c>
      <c r="Q38" s="197">
        <f t="shared" si="123"/>
        <v>1178.0206754373867</v>
      </c>
      <c r="R38" s="197">
        <f t="shared" si="123"/>
        <v>1197.288768542825</v>
      </c>
      <c r="S38" s="197">
        <f t="shared" si="123"/>
        <v>1178.0352408390813</v>
      </c>
      <c r="T38" s="197">
        <f t="shared" si="123"/>
        <v>1199.1836713389825</v>
      </c>
      <c r="U38" s="197">
        <f t="shared" si="123"/>
        <v>1178.0224541836055</v>
      </c>
      <c r="V38" s="197">
        <f t="shared" si="123"/>
        <v>1197.6845535333207</v>
      </c>
      <c r="W38" s="197">
        <f t="shared" si="123"/>
        <v>1177.1843146191436</v>
      </c>
      <c r="X38" s="197">
        <f t="shared" si="123"/>
        <v>1175.0581668374316</v>
      </c>
      <c r="Y38" s="197">
        <f t="shared" si="123"/>
        <v>1177.8512556349926</v>
      </c>
      <c r="Z38" s="197">
        <f t="shared" si="123"/>
        <v>1185.3808601437984</v>
      </c>
      <c r="AA38" s="197">
        <f t="shared" si="123"/>
        <v>1177.9441102030846</v>
      </c>
      <c r="AB38" s="197">
        <f t="shared" si="123"/>
        <v>1193.8462875447026</v>
      </c>
      <c r="AC38" s="197">
        <f t="shared" si="123"/>
        <v>1178.212518852893</v>
      </c>
      <c r="AD38" s="197">
        <f t="shared" si="123"/>
        <v>1196.438523393753</v>
      </c>
      <c r="AE38" s="197">
        <f t="shared" si="123"/>
        <v>1177.9857440297242</v>
      </c>
      <c r="AF38" s="197">
        <f t="shared" si="123"/>
        <v>1194.1575151317461</v>
      </c>
      <c r="AG38" s="197">
        <f t="shared" si="123"/>
        <v>1176.08409266994</v>
      </c>
      <c r="AH38" s="197">
        <f t="shared" si="123"/>
        <v>1194.1857861422259</v>
      </c>
      <c r="AI38" s="197">
        <f t="shared" si="123"/>
        <v>1177.7345333373844</v>
      </c>
      <c r="AJ38" s="197">
        <f t="shared" ref="AJ38:BF38" si="124">SUM(AJ23:AJ37)</f>
        <v>1194.1611136929014</v>
      </c>
      <c r="AK38" s="197">
        <f t="shared" si="124"/>
        <v>1176.4211243625643</v>
      </c>
      <c r="AL38" s="197">
        <f t="shared" si="124"/>
        <v>1206.9151929650441</v>
      </c>
      <c r="AM38" s="793">
        <f t="shared" si="124"/>
        <v>1176.9093664462257</v>
      </c>
      <c r="AN38" s="793">
        <f t="shared" si="124"/>
        <v>1199.3111408670252</v>
      </c>
      <c r="AO38" s="251">
        <f t="shared" si="124"/>
        <v>1177.5772662606814</v>
      </c>
      <c r="AP38" s="251">
        <f t="shared" si="124"/>
        <v>1195.5820489853907</v>
      </c>
      <c r="AQ38" s="197">
        <f t="shared" si="124"/>
        <v>1178.3497550116708</v>
      </c>
      <c r="AR38" s="197">
        <f t="shared" si="124"/>
        <v>1209.8586938730973</v>
      </c>
      <c r="AS38" s="197">
        <f t="shared" si="124"/>
        <v>1177.6601752582924</v>
      </c>
      <c r="AT38" s="197">
        <f t="shared" si="124"/>
        <v>1197.0340817028641</v>
      </c>
      <c r="AU38" s="197">
        <f t="shared" si="124"/>
        <v>1177.2969935628637</v>
      </c>
      <c r="AV38" s="197">
        <f t="shared" si="124"/>
        <v>1212.1858940561417</v>
      </c>
      <c r="AW38" s="197">
        <f t="shared" si="124"/>
        <v>1177.6282037822234</v>
      </c>
      <c r="AX38" s="197">
        <f t="shared" si="124"/>
        <v>1198.2513141960733</v>
      </c>
      <c r="AY38" s="197">
        <f t="shared" si="124"/>
        <v>1178.3497550116708</v>
      </c>
      <c r="AZ38" s="197">
        <f t="shared" si="124"/>
        <v>1253.2909632781154</v>
      </c>
      <c r="BA38" s="197">
        <f t="shared" si="124"/>
        <v>1178.0231879644657</v>
      </c>
      <c r="BB38" s="197">
        <f t="shared" si="124"/>
        <v>1226.0937343934627</v>
      </c>
      <c r="BC38" s="197">
        <f t="shared" si="124"/>
        <v>1177.4615812141424</v>
      </c>
      <c r="BD38" s="197">
        <f t="shared" si="124"/>
        <v>1212.9131933494159</v>
      </c>
      <c r="BE38" s="197">
        <f t="shared" si="124"/>
        <v>1177.6925320700143</v>
      </c>
      <c r="BF38" s="197">
        <f t="shared" si="124"/>
        <v>1203.1142645396997</v>
      </c>
      <c r="BG38" s="26"/>
      <c r="BH38" s="26"/>
      <c r="BI38" s="26"/>
      <c r="BJ38" s="26"/>
      <c r="BK38" s="26"/>
      <c r="BL38" s="26"/>
      <c r="BM38" s="26"/>
      <c r="BN38" s="26"/>
    </row>
    <row r="39" spans="2:67" ht="15.6" x14ac:dyDescent="0.3">
      <c r="B39" s="1268"/>
      <c r="C39" s="1269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  <c r="AR39" s="197"/>
      <c r="AS39" s="197"/>
      <c r="AT39" s="197"/>
      <c r="AU39" s="197"/>
      <c r="AV39" s="197"/>
      <c r="AW39" s="197"/>
      <c r="AX39" s="197"/>
      <c r="AY39" s="197"/>
      <c r="AZ39" s="197"/>
      <c r="BA39" s="197"/>
      <c r="BB39" s="197"/>
      <c r="BC39" s="197"/>
      <c r="BD39" s="197"/>
      <c r="BE39" s="197"/>
      <c r="BF39" s="197"/>
      <c r="BG39" s="26"/>
      <c r="BH39" s="26"/>
      <c r="BI39" s="26"/>
      <c r="BJ39" s="26"/>
      <c r="BK39" s="26"/>
      <c r="BL39" s="26"/>
      <c r="BM39" s="26"/>
      <c r="BN39" s="26"/>
    </row>
    <row r="40" spans="2:67" ht="17.399999999999999" x14ac:dyDescent="0.3">
      <c r="B40" s="1261" t="s">
        <v>928</v>
      </c>
      <c r="C40" s="1261"/>
      <c r="D40" s="246"/>
      <c r="E40" s="1261"/>
      <c r="F40" s="1261"/>
      <c r="G40" s="1261"/>
      <c r="H40" s="1261"/>
      <c r="I40" s="1261"/>
      <c r="J40" s="1261"/>
      <c r="K40" s="1261"/>
      <c r="L40" s="1261"/>
      <c r="M40" s="1261"/>
      <c r="N40" s="1261"/>
      <c r="O40" s="1261"/>
      <c r="P40" s="1261"/>
      <c r="Q40" s="1261"/>
      <c r="R40" s="1261"/>
      <c r="S40" s="1261"/>
      <c r="T40" s="1261"/>
      <c r="U40" s="1261"/>
      <c r="V40" s="1261"/>
      <c r="W40" s="1261"/>
      <c r="X40" s="1261"/>
      <c r="Y40" s="1261"/>
      <c r="Z40" s="1261"/>
      <c r="AA40" s="1261"/>
      <c r="AB40" s="1261"/>
      <c r="AC40" s="1261"/>
      <c r="AD40" s="1261"/>
      <c r="AE40" s="1261"/>
      <c r="AF40" s="1261"/>
      <c r="AG40" s="1261"/>
      <c r="AH40" s="1261"/>
      <c r="AI40" s="1261"/>
      <c r="AJ40" s="1261"/>
      <c r="AK40" s="1261"/>
      <c r="AL40" s="1261"/>
      <c r="AM40" s="1261"/>
      <c r="AN40" s="1261"/>
      <c r="AO40" s="1261"/>
      <c r="AP40" s="1261"/>
      <c r="AQ40" s="1261"/>
      <c r="AR40" s="1261"/>
      <c r="AS40" s="1261"/>
      <c r="AT40" s="1261"/>
      <c r="AU40" s="2383"/>
      <c r="AV40" s="2383"/>
      <c r="AW40" s="2383"/>
      <c r="AX40" s="2383"/>
      <c r="AY40" s="2383"/>
      <c r="AZ40" s="2383"/>
      <c r="BA40" s="1261"/>
      <c r="BB40" s="1261"/>
      <c r="BC40" s="1261"/>
      <c r="BD40" s="1261"/>
      <c r="BE40" s="1261"/>
      <c r="BF40" s="1261"/>
      <c r="BG40" s="26"/>
      <c r="BH40" s="26"/>
      <c r="BI40" s="26"/>
      <c r="BJ40" s="26"/>
      <c r="BK40" s="26"/>
      <c r="BL40" s="26"/>
      <c r="BM40" s="26"/>
      <c r="BN40" s="26"/>
    </row>
    <row r="41" spans="2:67" x14ac:dyDescent="0.3">
      <c r="B41" s="1262" t="s">
        <v>43</v>
      </c>
      <c r="C41" s="63" t="s">
        <v>50</v>
      </c>
      <c r="D41" s="1118">
        <v>5138143.293506925</v>
      </c>
      <c r="E41" s="1263">
        <f>+E21</f>
        <v>438413.85245607345</v>
      </c>
      <c r="F41" s="1263">
        <f>+F21</f>
        <v>394721</v>
      </c>
      <c r="G41" s="1263">
        <f>+G21</f>
        <v>451693.82970925875</v>
      </c>
      <c r="H41" s="1263">
        <f>+H21</f>
        <v>431104</v>
      </c>
      <c r="I41" s="1264">
        <f>+E41+G41</f>
        <v>890107.68216533214</v>
      </c>
      <c r="J41" s="1264">
        <f>+F41+H41</f>
        <v>825825</v>
      </c>
      <c r="K41" s="1263">
        <f>+K21</f>
        <v>438413.85245607345</v>
      </c>
      <c r="L41" s="1263">
        <f>+L21</f>
        <v>441570</v>
      </c>
      <c r="M41" s="1266">
        <f t="shared" ref="M41:M50" si="125">+K41+G41+E41</f>
        <v>1328521.5346214056</v>
      </c>
      <c r="N41" s="1266">
        <f t="shared" ref="N41:N50" si="126">+L41+H41+F41</f>
        <v>1267395</v>
      </c>
      <c r="O41" s="1263">
        <f>+O21</f>
        <v>443393.84392601775</v>
      </c>
      <c r="P41" s="1263">
        <f>+P21</f>
        <v>470314</v>
      </c>
      <c r="Q41" s="1264">
        <f>+M41+O41</f>
        <v>1771915.3785474235</v>
      </c>
      <c r="R41" s="1265">
        <f>+N41+P41</f>
        <v>1737709</v>
      </c>
      <c r="S41" s="1263">
        <f>+S21</f>
        <v>443393.84392601775</v>
      </c>
      <c r="T41" s="1263">
        <f>+T21</f>
        <v>459502</v>
      </c>
      <c r="U41" s="1264">
        <f>+Q41+S41</f>
        <v>2215309.2224734412</v>
      </c>
      <c r="V41" s="1265">
        <f>+R41+T41</f>
        <v>2197211</v>
      </c>
      <c r="W41" s="1263">
        <f>+W21</f>
        <v>244456.34331918461</v>
      </c>
      <c r="X41" s="1263">
        <f>+X21</f>
        <v>440393</v>
      </c>
      <c r="Y41" s="1266">
        <f t="shared" ref="Y41:Y50" si="127">+O41+S41+W41</f>
        <v>1131244.0311712201</v>
      </c>
      <c r="Z41" s="1266">
        <f t="shared" ref="Z41:Z50" si="128">+P41+T41+X41</f>
        <v>1370209</v>
      </c>
      <c r="AA41" s="1205">
        <f>M41+Y41</f>
        <v>2459765.5657926258</v>
      </c>
      <c r="AB41" s="1205">
        <f>N41+Z41</f>
        <v>2637604</v>
      </c>
      <c r="AC41" s="1263">
        <f>+AC21</f>
        <v>451693.82970925875</v>
      </c>
      <c r="AD41" s="1263">
        <f>+AD21</f>
        <v>360664</v>
      </c>
      <c r="AE41" s="1264">
        <f>+AA41+AC41</f>
        <v>2911459.3955018846</v>
      </c>
      <c r="AF41" s="1264">
        <f>+AB41+AD41</f>
        <v>2998268</v>
      </c>
      <c r="AG41" s="1263">
        <f>+AG21</f>
        <v>442432.76625222078</v>
      </c>
      <c r="AH41" s="1263">
        <f>+AH21</f>
        <v>437318</v>
      </c>
      <c r="AI41" s="1264">
        <f>+AE41+AG41</f>
        <v>3353892.1617541052</v>
      </c>
      <c r="AJ41" s="1264">
        <f>+AF41+AH41</f>
        <v>3435586</v>
      </c>
      <c r="AK41" s="1263">
        <f>+AK21</f>
        <v>455712.74350540602</v>
      </c>
      <c r="AL41" s="1263">
        <f>+AL21</f>
        <v>435350</v>
      </c>
      <c r="AM41" s="1266">
        <f t="shared" ref="AM41:AM50" si="129">+AC41+AG41+AK41</f>
        <v>1349839.3394668854</v>
      </c>
      <c r="AN41" s="1266">
        <f t="shared" ref="AN41:AN50" si="130">+AD41+AH41+AL41</f>
        <v>1233332</v>
      </c>
      <c r="AO41" s="1264">
        <f t="shared" ref="AO41:AP41" si="131">AI41+AK41</f>
        <v>3809604.9052595114</v>
      </c>
      <c r="AP41" s="1264">
        <f t="shared" si="131"/>
        <v>3870936</v>
      </c>
      <c r="AQ41" s="1263">
        <f>+AQ21</f>
        <v>458333.81833585131</v>
      </c>
      <c r="AR41" s="1263">
        <f>+AR21</f>
        <v>443510</v>
      </c>
      <c r="AS41" s="1264">
        <f>+AO41+AQ41</f>
        <v>4267938.7235953631</v>
      </c>
      <c r="AT41" s="1264">
        <f>+AP41+AR41</f>
        <v>4314446</v>
      </c>
      <c r="AU41" s="1263">
        <f>+AU21</f>
        <v>411853.8979497028</v>
      </c>
      <c r="AV41" s="1263">
        <f>+AV21</f>
        <v>381651.88</v>
      </c>
      <c r="AW41" s="1264">
        <f>+AS41+AU41</f>
        <v>4679792.6215450661</v>
      </c>
      <c r="AX41" s="1264">
        <f>+AT41+AV41</f>
        <v>4696097.88</v>
      </c>
      <c r="AY41" s="1263">
        <f>+AY21</f>
        <v>458333.81833585131</v>
      </c>
      <c r="AZ41" s="1263">
        <f>+AZ21</f>
        <v>476035</v>
      </c>
      <c r="BA41" s="1266">
        <f t="shared" ref="BA41:BA50" si="132">+AQ41+AU41+AY41</f>
        <v>1328521.5346214054</v>
      </c>
      <c r="BB41" s="1266">
        <f t="shared" ref="BB41:BB50" si="133">+AR41+AV41+AZ41</f>
        <v>1301196.8799999999</v>
      </c>
      <c r="BC41" s="1205">
        <f t="shared" ref="BC41:BC50" si="134">AM41+BA41</f>
        <v>2678360.8740882911</v>
      </c>
      <c r="BD41" s="1205">
        <f t="shared" ref="BD41:BD50" si="135">AN41+BB41</f>
        <v>2534528.88</v>
      </c>
      <c r="BE41" s="1264">
        <f>+AW41+AY41</f>
        <v>5138126.4398809178</v>
      </c>
      <c r="BF41" s="1264">
        <f>+AX41+AZ41</f>
        <v>5172132.88</v>
      </c>
      <c r="BG41" s="26">
        <f t="shared" si="37"/>
        <v>0</v>
      </c>
      <c r="BH41" s="26">
        <f t="shared" si="38"/>
        <v>0</v>
      </c>
      <c r="BI41" s="26"/>
      <c r="BJ41" s="26"/>
      <c r="BK41" s="26"/>
      <c r="BL41" s="26"/>
      <c r="BM41" s="26"/>
      <c r="BN41" s="26"/>
      <c r="BO41" s="26"/>
    </row>
    <row r="42" spans="2:67" x14ac:dyDescent="0.3">
      <c r="B42" s="1262" t="s">
        <v>70</v>
      </c>
      <c r="C42" s="63" t="s">
        <v>50</v>
      </c>
      <c r="D42" s="1185">
        <v>84994.967020095864</v>
      </c>
      <c r="E42" s="1263">
        <v>7250.8132898682006</v>
      </c>
      <c r="F42" s="148">
        <v>3023</v>
      </c>
      <c r="G42" s="1263">
        <v>7468.6286907679323</v>
      </c>
      <c r="H42" s="148">
        <v>3012</v>
      </c>
      <c r="I42" s="1264">
        <f t="shared" ref="I42:I50" si="136">+E42+G42</f>
        <v>14719.441980636133</v>
      </c>
      <c r="J42" s="1264">
        <f t="shared" ref="J42:J50" si="137">+F42+H42</f>
        <v>6035</v>
      </c>
      <c r="K42" s="1263">
        <v>7250.8132898682006</v>
      </c>
      <c r="L42" s="148">
        <v>6321</v>
      </c>
      <c r="M42" s="1266">
        <f t="shared" si="125"/>
        <v>21970.255270504334</v>
      </c>
      <c r="N42" s="1266">
        <f>+L42+H42+F42</f>
        <v>12356</v>
      </c>
      <c r="O42" s="1263">
        <v>7332.4940652055993</v>
      </c>
      <c r="P42" s="148">
        <v>15515</v>
      </c>
      <c r="Q42" s="1264">
        <f t="shared" ref="Q42:Q50" si="138">+M42+O42</f>
        <v>29302.749335709934</v>
      </c>
      <c r="R42" s="1265">
        <f t="shared" ref="R42:R50" si="139">+N42+P42</f>
        <v>27871</v>
      </c>
      <c r="S42" s="1263">
        <v>7332.4940652055993</v>
      </c>
      <c r="T42" s="148">
        <v>12053</v>
      </c>
      <c r="U42" s="1264">
        <f t="shared" ref="U42:U50" si="140">+Q42+S42</f>
        <v>36635.243400915533</v>
      </c>
      <c r="V42" s="1265">
        <f t="shared" ref="V42:V50" si="141">+R42+T42</f>
        <v>39924</v>
      </c>
      <c r="W42" s="1263">
        <v>4045.5464126612937</v>
      </c>
      <c r="X42" s="148">
        <v>14458</v>
      </c>
      <c r="Y42" s="1266">
        <f t="shared" si="127"/>
        <v>18710.534543072492</v>
      </c>
      <c r="Z42" s="1266">
        <f t="shared" si="128"/>
        <v>42026</v>
      </c>
      <c r="AA42" s="1205">
        <f t="shared" ref="AA42:AA50" si="142">M42+Y42</f>
        <v>40680.789813576826</v>
      </c>
      <c r="AB42" s="1205">
        <f t="shared" ref="AB42:AB50" si="143">N42+Z42</f>
        <v>54382</v>
      </c>
      <c r="AC42" s="1263">
        <v>7468.6286907679323</v>
      </c>
      <c r="AD42" s="148">
        <v>17691</v>
      </c>
      <c r="AE42" s="1264">
        <f t="shared" ref="AE42:AE48" si="144">+AA42+AC42</f>
        <v>48149.418504344758</v>
      </c>
      <c r="AF42" s="1265">
        <f t="shared" ref="AF42:AF48" si="145">+AB42+AD42</f>
        <v>72073</v>
      </c>
      <c r="AG42" s="1263">
        <v>7328.738922173522</v>
      </c>
      <c r="AH42" s="148">
        <v>10278</v>
      </c>
      <c r="AI42" s="1264">
        <f t="shared" ref="AI42:AI50" si="146">+AE42+AG42</f>
        <v>55478.157426518279</v>
      </c>
      <c r="AJ42" s="1265">
        <f t="shared" ref="AJ42:AJ50" si="147">+AF42+AH42</f>
        <v>82351</v>
      </c>
      <c r="AK42" s="1263">
        <v>7546.5543230732546</v>
      </c>
      <c r="AL42" s="148">
        <v>7828</v>
      </c>
      <c r="AM42" s="1266">
        <f t="shared" si="129"/>
        <v>22343.921936014711</v>
      </c>
      <c r="AN42" s="1266">
        <f t="shared" si="130"/>
        <v>35797</v>
      </c>
      <c r="AO42" s="1264">
        <f t="shared" ref="AO42:AO50" si="148">AI42+AK42</f>
        <v>63024.71174959153</v>
      </c>
      <c r="AP42" s="1264">
        <f t="shared" ref="AP42:AP50" si="149">AJ42+AL42</f>
        <v>90179</v>
      </c>
      <c r="AQ42" s="1263">
        <v>7577.5363912177982</v>
      </c>
      <c r="AR42" s="148">
        <v>10781</v>
      </c>
      <c r="AS42" s="1264">
        <f t="shared" ref="AS42:AS50" si="150">+AO42+AQ42</f>
        <v>70602.24814080933</v>
      </c>
      <c r="AT42" s="1265">
        <f t="shared" ref="AT42:AT50" si="151">+AP42+AR42</f>
        <v>100960</v>
      </c>
      <c r="AU42" s="1263">
        <v>6815.1824880687336</v>
      </c>
      <c r="AV42" s="148">
        <v>6934</v>
      </c>
      <c r="AW42" s="1264">
        <f t="shared" ref="AW42:AW50" si="152">+AS42+AU42</f>
        <v>77417.430628878064</v>
      </c>
      <c r="AX42" s="1265">
        <f t="shared" ref="AX42:AX50" si="153">+AT42+AV42</f>
        <v>107894</v>
      </c>
      <c r="AY42" s="1263">
        <v>7577.5363912177982</v>
      </c>
      <c r="AZ42" s="148">
        <v>2773</v>
      </c>
      <c r="BA42" s="1266">
        <f t="shared" si="132"/>
        <v>21970.255270504327</v>
      </c>
      <c r="BB42" s="1266">
        <f t="shared" si="133"/>
        <v>20488</v>
      </c>
      <c r="BC42" s="1205">
        <f t="shared" si="134"/>
        <v>44314.177206519038</v>
      </c>
      <c r="BD42" s="1205">
        <f t="shared" si="135"/>
        <v>56285</v>
      </c>
      <c r="BE42" s="1264">
        <f t="shared" ref="BE42:BE50" si="154">+AW42+AY42</f>
        <v>84994.967020095864</v>
      </c>
      <c r="BF42" s="1264">
        <f t="shared" ref="BF42:BF50" si="155">+AX42+AZ42</f>
        <v>110667</v>
      </c>
      <c r="BG42" s="26">
        <f t="shared" si="37"/>
        <v>0</v>
      </c>
      <c r="BH42" s="26">
        <f t="shared" si="38"/>
        <v>0</v>
      </c>
      <c r="BI42" s="26"/>
      <c r="BJ42" s="26"/>
      <c r="BK42" s="26"/>
      <c r="BL42" s="26"/>
      <c r="BM42" s="26"/>
      <c r="BN42" s="26"/>
    </row>
    <row r="43" spans="2:67" x14ac:dyDescent="0.3">
      <c r="B43" s="1262" t="s">
        <v>673</v>
      </c>
      <c r="C43" s="63" t="s">
        <v>50</v>
      </c>
      <c r="D43" s="1185">
        <v>21783.301296030866</v>
      </c>
      <c r="E43" s="1263">
        <v>1858.3059217743978</v>
      </c>
      <c r="F43" s="148">
        <v>599</v>
      </c>
      <c r="G43" s="1263">
        <v>1914.1296801810902</v>
      </c>
      <c r="H43" s="148">
        <v>1342</v>
      </c>
      <c r="I43" s="1264">
        <f t="shared" si="136"/>
        <v>3772.435601955488</v>
      </c>
      <c r="J43" s="1264">
        <f t="shared" si="137"/>
        <v>1941</v>
      </c>
      <c r="K43" s="1263">
        <v>1858.3059217743978</v>
      </c>
      <c r="L43" s="148">
        <v>1148</v>
      </c>
      <c r="M43" s="1266">
        <f t="shared" si="125"/>
        <v>5630.7415237298856</v>
      </c>
      <c r="N43" s="1266">
        <f t="shared" si="126"/>
        <v>3089</v>
      </c>
      <c r="O43" s="1263">
        <v>1879.2398311769073</v>
      </c>
      <c r="P43" s="148">
        <v>872</v>
      </c>
      <c r="Q43" s="1264">
        <f t="shared" si="138"/>
        <v>7509.9813549067931</v>
      </c>
      <c r="R43" s="1265">
        <f t="shared" si="139"/>
        <v>3961</v>
      </c>
      <c r="S43" s="1263">
        <v>1879.2398311769073</v>
      </c>
      <c r="T43" s="148">
        <v>302</v>
      </c>
      <c r="U43" s="1264">
        <f t="shared" si="140"/>
        <v>9389.2211860836996</v>
      </c>
      <c r="V43" s="1265">
        <f t="shared" si="141"/>
        <v>4263</v>
      </c>
      <c r="W43" s="1263">
        <v>1036.830291295269</v>
      </c>
      <c r="X43" s="148">
        <v>928</v>
      </c>
      <c r="Y43" s="1266">
        <f t="shared" si="127"/>
        <v>4795.3099536490836</v>
      </c>
      <c r="Z43" s="1266">
        <f t="shared" si="128"/>
        <v>2102</v>
      </c>
      <c r="AA43" s="1205">
        <f t="shared" si="142"/>
        <v>10426.051477378969</v>
      </c>
      <c r="AB43" s="1205">
        <f t="shared" si="143"/>
        <v>5191</v>
      </c>
      <c r="AC43" s="1263">
        <v>1914.1296801810902</v>
      </c>
      <c r="AD43" s="148">
        <v>2770</v>
      </c>
      <c r="AE43" s="1264">
        <f t="shared" si="144"/>
        <v>12340.181157560059</v>
      </c>
      <c r="AF43" s="1265">
        <f t="shared" si="145"/>
        <v>7961</v>
      </c>
      <c r="AG43" s="1263">
        <v>1878.2774281671143</v>
      </c>
      <c r="AH43" s="148">
        <v>5274</v>
      </c>
      <c r="AI43" s="1264">
        <f t="shared" si="146"/>
        <v>14218.458585727172</v>
      </c>
      <c r="AJ43" s="1265">
        <f t="shared" si="147"/>
        <v>13235</v>
      </c>
      <c r="AK43" s="1263">
        <v>1934.1011865738067</v>
      </c>
      <c r="AL43" s="148">
        <v>6649</v>
      </c>
      <c r="AM43" s="1266">
        <f t="shared" si="129"/>
        <v>5726.5082949220114</v>
      </c>
      <c r="AN43" s="1266">
        <f t="shared" si="130"/>
        <v>14693</v>
      </c>
      <c r="AO43" s="1264">
        <f t="shared" si="148"/>
        <v>16152.55977230098</v>
      </c>
      <c r="AP43" s="1264">
        <f t="shared" si="149"/>
        <v>19884</v>
      </c>
      <c r="AQ43" s="1263">
        <v>1942.0415593844364</v>
      </c>
      <c r="AR43" s="148">
        <v>4936</v>
      </c>
      <c r="AS43" s="1264">
        <f t="shared" si="150"/>
        <v>18094.601331685415</v>
      </c>
      <c r="AT43" s="1265">
        <f t="shared" si="151"/>
        <v>24820</v>
      </c>
      <c r="AU43" s="1263">
        <v>1746.6584049610126</v>
      </c>
      <c r="AV43" s="148">
        <v>3545</v>
      </c>
      <c r="AW43" s="1264">
        <f t="shared" si="152"/>
        <v>19841.259736646429</v>
      </c>
      <c r="AX43" s="1265">
        <f t="shared" si="153"/>
        <v>28365</v>
      </c>
      <c r="AY43" s="1263">
        <v>1942.0415593844364</v>
      </c>
      <c r="AZ43" s="148">
        <v>2632</v>
      </c>
      <c r="BA43" s="1266">
        <f t="shared" si="132"/>
        <v>5630.7415237298856</v>
      </c>
      <c r="BB43" s="1266">
        <f t="shared" si="133"/>
        <v>11113</v>
      </c>
      <c r="BC43" s="1205">
        <f t="shared" si="134"/>
        <v>11357.249818651897</v>
      </c>
      <c r="BD43" s="1205">
        <f t="shared" si="135"/>
        <v>25806</v>
      </c>
      <c r="BE43" s="1264">
        <f t="shared" si="154"/>
        <v>21783.301296030866</v>
      </c>
      <c r="BF43" s="1264">
        <f t="shared" si="155"/>
        <v>30997</v>
      </c>
      <c r="BG43" s="26">
        <f t="shared" si="37"/>
        <v>0</v>
      </c>
      <c r="BH43" s="26">
        <f t="shared" si="38"/>
        <v>0</v>
      </c>
      <c r="BI43" s="26"/>
      <c r="BJ43" s="26"/>
      <c r="BK43" s="26"/>
      <c r="BL43" s="26"/>
      <c r="BM43" s="26"/>
      <c r="BN43" s="26"/>
    </row>
    <row r="44" spans="2:67" x14ac:dyDescent="0.3">
      <c r="B44" s="1262" t="s">
        <v>44</v>
      </c>
      <c r="C44" s="63" t="s">
        <v>50</v>
      </c>
      <c r="D44" s="1185">
        <v>97984.437251772499</v>
      </c>
      <c r="E44" s="1263">
        <v>8358.9285899414353</v>
      </c>
      <c r="F44" s="148">
        <v>6869</v>
      </c>
      <c r="G44" s="1263">
        <v>8610.0319226468109</v>
      </c>
      <c r="H44" s="148">
        <v>7400</v>
      </c>
      <c r="I44" s="1264">
        <f t="shared" si="136"/>
        <v>16968.960512588244</v>
      </c>
      <c r="J44" s="1264">
        <f t="shared" si="137"/>
        <v>14269</v>
      </c>
      <c r="K44" s="1263">
        <v>8358.9285899414353</v>
      </c>
      <c r="L44" s="148">
        <v>8277</v>
      </c>
      <c r="M44" s="1266">
        <f t="shared" si="125"/>
        <v>25327.88910252968</v>
      </c>
      <c r="N44" s="1266">
        <f t="shared" si="126"/>
        <v>22546</v>
      </c>
      <c r="O44" s="1263">
        <v>8453.0923397059505</v>
      </c>
      <c r="P44" s="148">
        <v>7984</v>
      </c>
      <c r="Q44" s="1264">
        <f t="shared" si="138"/>
        <v>33780.981442235628</v>
      </c>
      <c r="R44" s="1265">
        <f t="shared" si="139"/>
        <v>30530</v>
      </c>
      <c r="S44" s="1263">
        <v>8453.0923397059505</v>
      </c>
      <c r="T44" s="148">
        <v>7337</v>
      </c>
      <c r="U44" s="1264">
        <f t="shared" si="140"/>
        <v>42234.073781941581</v>
      </c>
      <c r="V44" s="1265">
        <f t="shared" si="141"/>
        <v>37867</v>
      </c>
      <c r="W44" s="1263">
        <v>4663.8124881773347</v>
      </c>
      <c r="X44" s="148">
        <v>7087</v>
      </c>
      <c r="Y44" s="1266">
        <f t="shared" si="127"/>
        <v>21569.997167589238</v>
      </c>
      <c r="Z44" s="1266">
        <f t="shared" si="128"/>
        <v>22408</v>
      </c>
      <c r="AA44" s="1205">
        <f t="shared" si="142"/>
        <v>46897.886270118921</v>
      </c>
      <c r="AB44" s="1205">
        <f t="shared" si="143"/>
        <v>44954</v>
      </c>
      <c r="AC44" s="1263">
        <v>8610.0319226468109</v>
      </c>
      <c r="AD44" s="148">
        <v>4824</v>
      </c>
      <c r="AE44" s="1264">
        <f t="shared" si="144"/>
        <v>55507.918192765734</v>
      </c>
      <c r="AF44" s="1265">
        <f t="shared" si="145"/>
        <v>49778</v>
      </c>
      <c r="AG44" s="1263">
        <v>8448.7633118858575</v>
      </c>
      <c r="AH44" s="148">
        <v>7057</v>
      </c>
      <c r="AI44" s="1264">
        <f t="shared" si="146"/>
        <v>63956.681504651591</v>
      </c>
      <c r="AJ44" s="1265">
        <f t="shared" si="147"/>
        <v>56835</v>
      </c>
      <c r="AK44" s="1263">
        <v>8699.8666445912331</v>
      </c>
      <c r="AL44" s="148">
        <v>7476</v>
      </c>
      <c r="AM44" s="1266">
        <f t="shared" si="129"/>
        <v>25758.661879123902</v>
      </c>
      <c r="AN44" s="1266">
        <f t="shared" si="130"/>
        <v>19357</v>
      </c>
      <c r="AO44" s="1264">
        <f t="shared" si="148"/>
        <v>72656.548149242823</v>
      </c>
      <c r="AP44" s="1264">
        <f t="shared" si="149"/>
        <v>64311</v>
      </c>
      <c r="AQ44" s="1263">
        <v>8735.583588999496</v>
      </c>
      <c r="AR44" s="148">
        <v>7478</v>
      </c>
      <c r="AS44" s="1264">
        <f t="shared" si="150"/>
        <v>81392.131738242315</v>
      </c>
      <c r="AT44" s="1265">
        <f t="shared" si="151"/>
        <v>71789</v>
      </c>
      <c r="AU44" s="1263">
        <v>7856.7219245306842</v>
      </c>
      <c r="AV44" s="148">
        <v>6008</v>
      </c>
      <c r="AW44" s="1264">
        <f t="shared" si="152"/>
        <v>89248.853662773006</v>
      </c>
      <c r="AX44" s="1265">
        <f t="shared" si="153"/>
        <v>77797</v>
      </c>
      <c r="AY44" s="1263">
        <v>8735.583588999496</v>
      </c>
      <c r="AZ44" s="148">
        <v>6683</v>
      </c>
      <c r="BA44" s="1266">
        <f t="shared" si="132"/>
        <v>25327.889102529676</v>
      </c>
      <c r="BB44" s="1266">
        <f t="shared" si="133"/>
        <v>20169</v>
      </c>
      <c r="BC44" s="1205">
        <f t="shared" si="134"/>
        <v>51086.550981653578</v>
      </c>
      <c r="BD44" s="1205">
        <f t="shared" si="135"/>
        <v>39526</v>
      </c>
      <c r="BE44" s="1264">
        <f t="shared" si="154"/>
        <v>97984.437251772499</v>
      </c>
      <c r="BF44" s="1264">
        <f t="shared" si="155"/>
        <v>84480</v>
      </c>
      <c r="BG44" s="26">
        <f t="shared" si="37"/>
        <v>0</v>
      </c>
      <c r="BH44" s="26">
        <f t="shared" si="38"/>
        <v>0</v>
      </c>
      <c r="BI44" s="26"/>
      <c r="BJ44" s="26"/>
      <c r="BK44" s="26"/>
      <c r="BL44" s="26"/>
      <c r="BM44" s="26"/>
      <c r="BN44" s="26"/>
    </row>
    <row r="45" spans="2:67" x14ac:dyDescent="0.3">
      <c r="B45" s="1262" t="s">
        <v>71</v>
      </c>
      <c r="C45" s="63" t="s">
        <v>50</v>
      </c>
      <c r="D45" s="1185">
        <v>83112.787093662555</v>
      </c>
      <c r="E45" s="1263">
        <v>7090.2468974925305</v>
      </c>
      <c r="F45" s="148">
        <v>4883</v>
      </c>
      <c r="G45" s="1263">
        <v>7303.2388624922933</v>
      </c>
      <c r="H45" s="148">
        <v>8068</v>
      </c>
      <c r="I45" s="1264">
        <f t="shared" si="136"/>
        <v>14393.485759984824</v>
      </c>
      <c r="J45" s="1264">
        <f t="shared" si="137"/>
        <v>12951</v>
      </c>
      <c r="K45" s="1263">
        <v>7090.2468974925305</v>
      </c>
      <c r="L45" s="148">
        <v>9954</v>
      </c>
      <c r="M45" s="1266">
        <f t="shared" si="125"/>
        <v>21483.732657477354</v>
      </c>
      <c r="N45" s="1266">
        <f t="shared" si="126"/>
        <v>22905</v>
      </c>
      <c r="O45" s="1263">
        <v>7170.1188843674408</v>
      </c>
      <c r="P45" s="148">
        <v>10553</v>
      </c>
      <c r="Q45" s="1264">
        <f t="shared" si="138"/>
        <v>28653.851541844793</v>
      </c>
      <c r="R45" s="1265">
        <f t="shared" si="139"/>
        <v>33458</v>
      </c>
      <c r="S45" s="1263">
        <v>7170.1188843674408</v>
      </c>
      <c r="T45" s="148">
        <v>7779</v>
      </c>
      <c r="U45" s="1264">
        <f t="shared" si="140"/>
        <v>35823.970426212232</v>
      </c>
      <c r="V45" s="1265">
        <f t="shared" si="141"/>
        <v>41237</v>
      </c>
      <c r="W45" s="1263">
        <v>3955.95938749585</v>
      </c>
      <c r="X45" s="148">
        <v>10384</v>
      </c>
      <c r="Y45" s="1266">
        <f t="shared" si="127"/>
        <v>18296.19715623073</v>
      </c>
      <c r="Z45" s="1266">
        <f t="shared" si="128"/>
        <v>28716</v>
      </c>
      <c r="AA45" s="1205">
        <f t="shared" si="142"/>
        <v>39779.929813708084</v>
      </c>
      <c r="AB45" s="1205">
        <f t="shared" si="143"/>
        <v>51621</v>
      </c>
      <c r="AC45" s="1263">
        <v>7303.2388624922933</v>
      </c>
      <c r="AD45" s="148">
        <v>8561</v>
      </c>
      <c r="AE45" s="1264">
        <f t="shared" si="144"/>
        <v>47083.168676200381</v>
      </c>
      <c r="AF45" s="1265">
        <f t="shared" si="145"/>
        <v>60182</v>
      </c>
      <c r="AG45" s="1263">
        <v>7166.4468974925312</v>
      </c>
      <c r="AH45" s="148">
        <v>9960</v>
      </c>
      <c r="AI45" s="1264">
        <f t="shared" si="146"/>
        <v>54249.615573692914</v>
      </c>
      <c r="AJ45" s="1265">
        <f t="shared" si="147"/>
        <v>70142</v>
      </c>
      <c r="AK45" s="1263">
        <v>7379.4388624922931</v>
      </c>
      <c r="AL45" s="148">
        <v>8376</v>
      </c>
      <c r="AM45" s="1266">
        <f t="shared" si="129"/>
        <v>21849.124622477117</v>
      </c>
      <c r="AN45" s="1266">
        <f t="shared" si="130"/>
        <v>26897</v>
      </c>
      <c r="AO45" s="1264">
        <f t="shared" si="148"/>
        <v>61629.054436185208</v>
      </c>
      <c r="AP45" s="1264">
        <f t="shared" si="149"/>
        <v>78518</v>
      </c>
      <c r="AQ45" s="1263">
        <v>7409.7348449921737</v>
      </c>
      <c r="AR45" s="148">
        <v>8333</v>
      </c>
      <c r="AS45" s="1264">
        <f t="shared" si="150"/>
        <v>69038.789281177378</v>
      </c>
      <c r="AT45" s="1265">
        <f t="shared" si="151"/>
        <v>86851</v>
      </c>
      <c r="AU45" s="1263">
        <v>6664.2629674930049</v>
      </c>
      <c r="AV45" s="148">
        <v>6751</v>
      </c>
      <c r="AW45" s="1264">
        <f t="shared" si="152"/>
        <v>75703.052248670385</v>
      </c>
      <c r="AX45" s="1265">
        <f t="shared" si="153"/>
        <v>93602</v>
      </c>
      <c r="AY45" s="1263">
        <v>7409.7348449921737</v>
      </c>
      <c r="AZ45" s="148">
        <v>7179</v>
      </c>
      <c r="BA45" s="1266">
        <f t="shared" si="132"/>
        <v>21483.732657477354</v>
      </c>
      <c r="BB45" s="1266">
        <f t="shared" si="133"/>
        <v>22263</v>
      </c>
      <c r="BC45" s="1205">
        <f t="shared" si="134"/>
        <v>43332.857279954471</v>
      </c>
      <c r="BD45" s="1205">
        <f t="shared" si="135"/>
        <v>49160</v>
      </c>
      <c r="BE45" s="1264">
        <f t="shared" si="154"/>
        <v>83112.787093662555</v>
      </c>
      <c r="BF45" s="1264">
        <f t="shared" si="155"/>
        <v>100781</v>
      </c>
      <c r="BG45" s="26">
        <f t="shared" si="37"/>
        <v>0</v>
      </c>
      <c r="BH45" s="26">
        <f t="shared" si="38"/>
        <v>0</v>
      </c>
      <c r="BI45" s="26"/>
      <c r="BJ45" s="26"/>
      <c r="BK45" s="26"/>
      <c r="BL45" s="26"/>
      <c r="BM45" s="26"/>
      <c r="BN45" s="26"/>
    </row>
    <row r="46" spans="2:67" x14ac:dyDescent="0.3">
      <c r="B46" s="1262" t="s">
        <v>67</v>
      </c>
      <c r="C46" s="63" t="s">
        <v>50</v>
      </c>
      <c r="D46" s="1185">
        <v>392658.83666297258</v>
      </c>
      <c r="E46" s="1263">
        <v>33497.229436972579</v>
      </c>
      <c r="F46" s="148">
        <v>25746.400000000001</v>
      </c>
      <c r="G46" s="1263">
        <v>34503.490688939957</v>
      </c>
      <c r="H46" s="148">
        <v>28424.48</v>
      </c>
      <c r="I46" s="1264">
        <f t="shared" si="136"/>
        <v>68000.720125912543</v>
      </c>
      <c r="J46" s="1264">
        <f t="shared" si="137"/>
        <v>54170.880000000005</v>
      </c>
      <c r="K46" s="1263">
        <v>33497.229436972579</v>
      </c>
      <c r="L46" s="148">
        <v>30101.920000000002</v>
      </c>
      <c r="M46" s="1266">
        <f t="shared" si="125"/>
        <v>101497.94956288513</v>
      </c>
      <c r="N46" s="1266">
        <f t="shared" si="126"/>
        <v>84272.8</v>
      </c>
      <c r="O46" s="1263">
        <v>33874.577406460347</v>
      </c>
      <c r="P46" s="148">
        <v>31836.799999999999</v>
      </c>
      <c r="Q46" s="1264">
        <f t="shared" si="138"/>
        <v>135372.52696934546</v>
      </c>
      <c r="R46" s="1264">
        <f t="shared" si="139"/>
        <v>116109.6</v>
      </c>
      <c r="S46" s="1263">
        <v>33874.577406460347</v>
      </c>
      <c r="T46" s="148">
        <v>30654.32</v>
      </c>
      <c r="U46" s="1264">
        <f t="shared" si="140"/>
        <v>169247.10437580582</v>
      </c>
      <c r="V46" s="1264">
        <f t="shared" si="141"/>
        <v>146763.92000000001</v>
      </c>
      <c r="W46" s="1263">
        <v>18689.571909429207</v>
      </c>
      <c r="X46" s="148">
        <v>29982.720000000001</v>
      </c>
      <c r="Y46" s="1266">
        <f t="shared" si="127"/>
        <v>86438.726722349908</v>
      </c>
      <c r="Z46" s="1266">
        <f t="shared" si="128"/>
        <v>92473.84</v>
      </c>
      <c r="AA46" s="1205">
        <f t="shared" si="142"/>
        <v>187936.67628523504</v>
      </c>
      <c r="AB46" s="1205">
        <f t="shared" si="143"/>
        <v>176746.64</v>
      </c>
      <c r="AC46" s="1263">
        <v>34503.490688939957</v>
      </c>
      <c r="AD46" s="148">
        <v>24115.84</v>
      </c>
      <c r="AE46" s="1264">
        <f t="shared" si="144"/>
        <v>222440.16697417499</v>
      </c>
      <c r="AF46" s="1264">
        <f t="shared" si="145"/>
        <v>200862.48</v>
      </c>
      <c r="AG46" s="1263">
        <v>33857.229436972579</v>
      </c>
      <c r="AH46" s="148">
        <v>29296.48</v>
      </c>
      <c r="AI46" s="1264">
        <f t="shared" si="146"/>
        <v>256297.39641114758</v>
      </c>
      <c r="AJ46" s="1264">
        <f t="shared" si="147"/>
        <v>230158.96000000002</v>
      </c>
      <c r="AK46" s="1263">
        <v>34863.490688939957</v>
      </c>
      <c r="AL46" s="148">
        <v>28857.040000000001</v>
      </c>
      <c r="AM46" s="1266">
        <f t="shared" si="129"/>
        <v>103224.2108148525</v>
      </c>
      <c r="AN46" s="1266">
        <f t="shared" si="130"/>
        <v>82269.36</v>
      </c>
      <c r="AO46" s="1264">
        <f t="shared" si="148"/>
        <v>291160.88710008754</v>
      </c>
      <c r="AP46" s="1264">
        <f t="shared" si="149"/>
        <v>259016.00000000003</v>
      </c>
      <c r="AQ46" s="1263">
        <v>35006.62131492365</v>
      </c>
      <c r="AR46" s="148">
        <v>29326.400000000001</v>
      </c>
      <c r="AS46" s="1264">
        <f t="shared" si="150"/>
        <v>326167.50841501117</v>
      </c>
      <c r="AT46" s="1264">
        <f t="shared" si="151"/>
        <v>288342.40000000002</v>
      </c>
      <c r="AU46" s="1263">
        <v>31484.706933037811</v>
      </c>
      <c r="AV46" s="148">
        <v>25187.68</v>
      </c>
      <c r="AW46" s="1264">
        <f t="shared" si="152"/>
        <v>357652.21534804895</v>
      </c>
      <c r="AX46" s="1264">
        <f t="shared" si="153"/>
        <v>313530.08</v>
      </c>
      <c r="AY46" s="1263">
        <v>35006.62131492365</v>
      </c>
      <c r="AZ46" s="148">
        <v>30386.240000000002</v>
      </c>
      <c r="BA46" s="1266">
        <f t="shared" si="132"/>
        <v>101497.9495628851</v>
      </c>
      <c r="BB46" s="1266">
        <f t="shared" si="133"/>
        <v>84900.32</v>
      </c>
      <c r="BC46" s="1205">
        <f t="shared" si="134"/>
        <v>204722.1603777376</v>
      </c>
      <c r="BD46" s="1205">
        <f t="shared" si="135"/>
        <v>167169.68</v>
      </c>
      <c r="BE46" s="1264">
        <f t="shared" si="154"/>
        <v>392658.83666297258</v>
      </c>
      <c r="BF46" s="1264">
        <f t="shared" si="155"/>
        <v>343916.32</v>
      </c>
      <c r="BG46" s="26">
        <f t="shared" si="37"/>
        <v>0</v>
      </c>
      <c r="BH46" s="26">
        <f t="shared" si="38"/>
        <v>0</v>
      </c>
      <c r="BI46" s="26"/>
      <c r="BJ46" s="26"/>
      <c r="BK46" s="26"/>
      <c r="BL46" s="26"/>
      <c r="BM46" s="26"/>
      <c r="BN46" s="26"/>
    </row>
    <row r="47" spans="2:67" x14ac:dyDescent="0.3">
      <c r="B47" s="1262" t="s">
        <v>97</v>
      </c>
      <c r="C47" s="63" t="s">
        <v>50</v>
      </c>
      <c r="D47" s="1185">
        <v>654431.39443828771</v>
      </c>
      <c r="E47" s="1263">
        <v>55828.715728287636</v>
      </c>
      <c r="F47" s="1263">
        <v>52915</v>
      </c>
      <c r="G47" s="1263">
        <v>57505.817814899936</v>
      </c>
      <c r="H47" s="1263">
        <v>60214</v>
      </c>
      <c r="I47" s="1264">
        <f t="shared" si="136"/>
        <v>113334.53354318757</v>
      </c>
      <c r="J47" s="1264">
        <f t="shared" si="137"/>
        <v>113129</v>
      </c>
      <c r="K47" s="1263">
        <v>55828.715728287636</v>
      </c>
      <c r="L47" s="1263">
        <v>80586</v>
      </c>
      <c r="M47" s="1266">
        <f t="shared" si="125"/>
        <v>169163.24927147522</v>
      </c>
      <c r="N47" s="1266">
        <f t="shared" si="126"/>
        <v>193715</v>
      </c>
      <c r="O47" s="1263">
        <v>56457.629010767239</v>
      </c>
      <c r="P47" s="1263">
        <v>75199</v>
      </c>
      <c r="Q47" s="1264">
        <f t="shared" si="138"/>
        <v>225620.87828224245</v>
      </c>
      <c r="R47" s="1264">
        <f t="shared" si="139"/>
        <v>268914</v>
      </c>
      <c r="S47" s="1263">
        <v>56457.629010767239</v>
      </c>
      <c r="T47" s="1263">
        <v>57997</v>
      </c>
      <c r="U47" s="1264">
        <f t="shared" si="140"/>
        <v>282078.50729300966</v>
      </c>
      <c r="V47" s="1264">
        <f t="shared" si="141"/>
        <v>326911</v>
      </c>
      <c r="W47" s="1263">
        <v>31149.28651571535</v>
      </c>
      <c r="X47" s="1263">
        <v>61535</v>
      </c>
      <c r="Y47" s="1266">
        <f t="shared" si="127"/>
        <v>144064.54453724984</v>
      </c>
      <c r="Z47" s="1266">
        <f t="shared" si="128"/>
        <v>194731</v>
      </c>
      <c r="AA47" s="1205">
        <f t="shared" si="142"/>
        <v>313227.79380872508</v>
      </c>
      <c r="AB47" s="1205">
        <f t="shared" si="143"/>
        <v>388446</v>
      </c>
      <c r="AC47" s="1263">
        <v>57505.817814899936</v>
      </c>
      <c r="AD47" s="1263">
        <v>44951</v>
      </c>
      <c r="AE47" s="1264">
        <f t="shared" si="144"/>
        <v>370733.61162362504</v>
      </c>
      <c r="AF47" s="1265">
        <f t="shared" si="145"/>
        <v>433397</v>
      </c>
      <c r="AG47" s="1263">
        <v>56428.715728287636</v>
      </c>
      <c r="AH47" s="1263">
        <v>54117</v>
      </c>
      <c r="AI47" s="1264">
        <f t="shared" si="146"/>
        <v>427162.32735191268</v>
      </c>
      <c r="AJ47" s="1265">
        <f t="shared" si="147"/>
        <v>487514</v>
      </c>
      <c r="AK47" s="1263">
        <v>58105.817814899936</v>
      </c>
      <c r="AL47" s="1263">
        <v>52676</v>
      </c>
      <c r="AM47" s="1266">
        <f t="shared" si="129"/>
        <v>172040.3513580875</v>
      </c>
      <c r="AN47" s="1266">
        <f t="shared" si="130"/>
        <v>151744</v>
      </c>
      <c r="AO47" s="1264">
        <f t="shared" si="148"/>
        <v>485268.14516681264</v>
      </c>
      <c r="AP47" s="1264">
        <f t="shared" si="149"/>
        <v>540190</v>
      </c>
      <c r="AQ47" s="1263">
        <v>58344.368858206079</v>
      </c>
      <c r="AR47" s="1263">
        <v>59609</v>
      </c>
      <c r="AS47" s="1264">
        <f t="shared" si="150"/>
        <v>543612.51402501867</v>
      </c>
      <c r="AT47" s="1265">
        <f t="shared" si="151"/>
        <v>599799</v>
      </c>
      <c r="AU47" s="1263">
        <v>52474.511555063014</v>
      </c>
      <c r="AV47" s="1263">
        <v>60065</v>
      </c>
      <c r="AW47" s="1264">
        <f t="shared" si="152"/>
        <v>596087.02558008162</v>
      </c>
      <c r="AX47" s="1265">
        <f t="shared" si="153"/>
        <v>659864</v>
      </c>
      <c r="AY47" s="1263">
        <v>58344.368858206079</v>
      </c>
      <c r="AZ47" s="1263">
        <v>65994</v>
      </c>
      <c r="BA47" s="1266">
        <f t="shared" si="132"/>
        <v>169163.24927147519</v>
      </c>
      <c r="BB47" s="1266">
        <f t="shared" si="133"/>
        <v>185668</v>
      </c>
      <c r="BC47" s="1205">
        <f t="shared" si="134"/>
        <v>341203.60062956269</v>
      </c>
      <c r="BD47" s="1205">
        <f t="shared" si="135"/>
        <v>337412</v>
      </c>
      <c r="BE47" s="1264">
        <f t="shared" si="154"/>
        <v>654431.39443828771</v>
      </c>
      <c r="BF47" s="1264">
        <f t="shared" si="155"/>
        <v>725858</v>
      </c>
      <c r="BG47" s="26">
        <f t="shared" si="37"/>
        <v>0</v>
      </c>
      <c r="BH47" s="26">
        <f t="shared" si="38"/>
        <v>0</v>
      </c>
      <c r="BI47" s="26"/>
      <c r="BJ47" s="26"/>
      <c r="BK47" s="26"/>
      <c r="BL47" s="26"/>
      <c r="BM47" s="26"/>
      <c r="BN47" s="26"/>
    </row>
    <row r="48" spans="2:67" x14ac:dyDescent="0.3">
      <c r="B48" s="1262" t="s">
        <v>688</v>
      </c>
      <c r="C48" s="63" t="s">
        <v>50</v>
      </c>
      <c r="D48" s="1185">
        <v>30540.131740453427</v>
      </c>
      <c r="E48" s="1263">
        <v>2605.3400673200899</v>
      </c>
      <c r="F48" s="1263">
        <v>800</v>
      </c>
      <c r="G48" s="1263">
        <v>2683.6048313619967</v>
      </c>
      <c r="H48" s="1263">
        <v>1000</v>
      </c>
      <c r="I48" s="1264">
        <f t="shared" si="136"/>
        <v>5288.9448986820862</v>
      </c>
      <c r="J48" s="1264">
        <f t="shared" si="137"/>
        <v>1800</v>
      </c>
      <c r="K48" s="1263">
        <v>2605.3400673200899</v>
      </c>
      <c r="L48" s="1263">
        <v>800</v>
      </c>
      <c r="M48" s="1266">
        <f t="shared" si="125"/>
        <v>7894.2849660021766</v>
      </c>
      <c r="N48" s="1266">
        <f t="shared" si="126"/>
        <v>2600</v>
      </c>
      <c r="O48" s="1263">
        <v>2634.6893538358045</v>
      </c>
      <c r="P48" s="1263">
        <v>0</v>
      </c>
      <c r="Q48" s="1264">
        <f t="shared" si="138"/>
        <v>10528.97431983798</v>
      </c>
      <c r="R48" s="1264">
        <f t="shared" si="139"/>
        <v>2600</v>
      </c>
      <c r="S48" s="1263">
        <v>2634.6893538358045</v>
      </c>
      <c r="T48" s="1263">
        <v>750</v>
      </c>
      <c r="U48" s="1264">
        <f t="shared" si="140"/>
        <v>13163.663673673786</v>
      </c>
      <c r="V48" s="1264">
        <f t="shared" si="141"/>
        <v>3350</v>
      </c>
      <c r="W48" s="1263">
        <v>1453.6333707333829</v>
      </c>
      <c r="X48" s="1263">
        <v>0</v>
      </c>
      <c r="Y48" s="1266">
        <f t="shared" si="127"/>
        <v>6723.0120784049923</v>
      </c>
      <c r="Z48" s="1266">
        <f t="shared" si="128"/>
        <v>750</v>
      </c>
      <c r="AA48" s="1205">
        <f t="shared" si="142"/>
        <v>14617.297044407169</v>
      </c>
      <c r="AB48" s="1205">
        <f t="shared" si="143"/>
        <v>3350</v>
      </c>
      <c r="AC48" s="1263">
        <v>2683.6048313619967</v>
      </c>
      <c r="AD48" s="1263">
        <v>0</v>
      </c>
      <c r="AE48" s="1264">
        <f t="shared" si="144"/>
        <v>17300.901875769167</v>
      </c>
      <c r="AF48" s="1265">
        <f t="shared" si="145"/>
        <v>3350</v>
      </c>
      <c r="AG48" s="1263">
        <v>2633.3400673200899</v>
      </c>
      <c r="AH48" s="1263">
        <v>2500</v>
      </c>
      <c r="AI48" s="1264">
        <f t="shared" si="146"/>
        <v>19934.241943089255</v>
      </c>
      <c r="AJ48" s="1265">
        <f t="shared" si="147"/>
        <v>5850</v>
      </c>
      <c r="AK48" s="1263">
        <v>2711.6048313619967</v>
      </c>
      <c r="AL48" s="1263">
        <v>0</v>
      </c>
      <c r="AM48" s="1266">
        <f t="shared" si="129"/>
        <v>8028.5497300440829</v>
      </c>
      <c r="AN48" s="1266">
        <f t="shared" si="130"/>
        <v>2500</v>
      </c>
      <c r="AO48" s="1264">
        <f t="shared" si="148"/>
        <v>22645.846774451253</v>
      </c>
      <c r="AP48" s="1264">
        <f t="shared" si="149"/>
        <v>5850</v>
      </c>
      <c r="AQ48" s="1263">
        <v>2722.7372133829504</v>
      </c>
      <c r="AR48" s="1263">
        <v>2000</v>
      </c>
      <c r="AS48" s="1264">
        <f t="shared" si="150"/>
        <v>25368.583987834201</v>
      </c>
      <c r="AT48" s="1265">
        <f t="shared" si="151"/>
        <v>7850</v>
      </c>
      <c r="AU48" s="1263">
        <v>2448.8105392362741</v>
      </c>
      <c r="AV48" s="1263">
        <v>0</v>
      </c>
      <c r="AW48" s="1264">
        <f t="shared" si="152"/>
        <v>27817.394527070475</v>
      </c>
      <c r="AX48" s="1265">
        <f t="shared" si="153"/>
        <v>7850</v>
      </c>
      <c r="AY48" s="1263">
        <v>2722.7372133829504</v>
      </c>
      <c r="AZ48" s="1263">
        <v>0</v>
      </c>
      <c r="BA48" s="1266">
        <f t="shared" si="132"/>
        <v>7894.2849660021748</v>
      </c>
      <c r="BB48" s="1266">
        <f t="shared" si="133"/>
        <v>2000</v>
      </c>
      <c r="BC48" s="1205">
        <f t="shared" si="134"/>
        <v>15922.834696046259</v>
      </c>
      <c r="BD48" s="1205">
        <f t="shared" si="135"/>
        <v>4500</v>
      </c>
      <c r="BE48" s="1264">
        <f t="shared" si="154"/>
        <v>30540.131740453427</v>
      </c>
      <c r="BF48" s="1264">
        <f t="shared" si="155"/>
        <v>7850</v>
      </c>
      <c r="BG48" s="26">
        <f t="shared" si="37"/>
        <v>0</v>
      </c>
      <c r="BH48" s="26">
        <f t="shared" si="38"/>
        <v>0</v>
      </c>
      <c r="BI48" s="26"/>
      <c r="BJ48" s="26"/>
      <c r="BK48" s="26"/>
      <c r="BL48" s="26"/>
      <c r="BM48" s="26"/>
      <c r="BN48" s="26"/>
    </row>
    <row r="49" spans="2:66" x14ac:dyDescent="0.3">
      <c r="B49" s="2645" t="s">
        <v>1823</v>
      </c>
      <c r="C49" s="3138" t="s">
        <v>50</v>
      </c>
      <c r="D49" s="2537">
        <v>26177.255777531504</v>
      </c>
      <c r="E49" s="2646">
        <v>2233.1486291315055</v>
      </c>
      <c r="F49" s="2646">
        <v>540.59</v>
      </c>
      <c r="G49" s="2646">
        <v>2300.2327125959973</v>
      </c>
      <c r="H49" s="2646">
        <v>696</v>
      </c>
      <c r="I49" s="1264">
        <f t="shared" ref="I49" si="156">+E49+G49</f>
        <v>4533.3813417275032</v>
      </c>
      <c r="J49" s="1264">
        <f t="shared" ref="J49" si="157">+F49+H49</f>
        <v>1236.5900000000001</v>
      </c>
      <c r="K49" s="2646">
        <v>2233.1486291315055</v>
      </c>
      <c r="L49" s="2646">
        <v>687</v>
      </c>
      <c r="M49" s="1266">
        <f t="shared" ref="M49" si="158">+K49+G49+E49</f>
        <v>6766.5299708590082</v>
      </c>
      <c r="N49" s="1266">
        <f t="shared" ref="N49" si="159">+L49+H49+F49</f>
        <v>1923.5900000000001</v>
      </c>
      <c r="O49" s="2646">
        <v>2258.3051604306893</v>
      </c>
      <c r="P49" s="2646">
        <v>341</v>
      </c>
      <c r="Q49" s="1264">
        <f t="shared" ref="Q49" si="160">+M49+O49</f>
        <v>9024.8351312896975</v>
      </c>
      <c r="R49" s="1264">
        <f t="shared" ref="R49" si="161">+N49+P49</f>
        <v>2264.59</v>
      </c>
      <c r="S49" s="2646">
        <v>2258.3051604306893</v>
      </c>
      <c r="T49" s="2646">
        <v>766</v>
      </c>
      <c r="U49" s="1264">
        <f t="shared" ref="U49" si="162">+Q49+S49</f>
        <v>11283.140291720387</v>
      </c>
      <c r="V49" s="1264">
        <f t="shared" ref="V49" si="163">+R49+T49</f>
        <v>3030.59</v>
      </c>
      <c r="W49" s="2646">
        <v>1245.9714606286138</v>
      </c>
      <c r="X49" s="2646">
        <v>423</v>
      </c>
      <c r="Y49" s="1266">
        <f t="shared" ref="Y49" si="164">+O49+S49+W49</f>
        <v>5762.5817814899929</v>
      </c>
      <c r="Z49" s="1266">
        <f t="shared" ref="Z49" si="165">+P49+T49+X49</f>
        <v>1530</v>
      </c>
      <c r="AA49" s="1205">
        <f t="shared" ref="AA49" si="166">M49+Y49</f>
        <v>12529.111752349001</v>
      </c>
      <c r="AB49" s="1205">
        <f t="shared" ref="AB49" si="167">N49+Z49</f>
        <v>3453.59</v>
      </c>
      <c r="AC49" s="2646">
        <v>2300.2327125959973</v>
      </c>
      <c r="AD49" s="2646">
        <v>464</v>
      </c>
      <c r="AE49" s="1264">
        <f t="shared" ref="AE49:AE50" si="168">+AA49+AC49</f>
        <v>14829.344464944999</v>
      </c>
      <c r="AF49" s="1264">
        <f t="shared" ref="AF49:AF50" si="169">+AB49+AD49</f>
        <v>3917.59</v>
      </c>
      <c r="AG49" s="2646">
        <v>2257.1486291315055</v>
      </c>
      <c r="AH49" s="2646">
        <v>305</v>
      </c>
      <c r="AI49" s="1264">
        <f t="shared" si="146"/>
        <v>17086.493094076504</v>
      </c>
      <c r="AJ49" s="1264">
        <f t="shared" si="147"/>
        <v>4222.59</v>
      </c>
      <c r="AK49" s="2646">
        <v>2324.2327125959973</v>
      </c>
      <c r="AL49" s="2646">
        <v>771</v>
      </c>
      <c r="AM49" s="2648">
        <f t="shared" si="129"/>
        <v>6881.6140543235006</v>
      </c>
      <c r="AN49" s="1266">
        <f t="shared" si="130"/>
        <v>1540</v>
      </c>
      <c r="AO49" s="2647">
        <f t="shared" si="148"/>
        <v>19410.725806672501</v>
      </c>
      <c r="AP49" s="1264">
        <f t="shared" si="149"/>
        <v>4993.59</v>
      </c>
      <c r="AQ49" s="2646">
        <v>2333.7747543282435</v>
      </c>
      <c r="AR49" s="2646">
        <v>1464</v>
      </c>
      <c r="AS49" s="1264">
        <f t="shared" ref="AS49" si="170">+AO49+AQ49</f>
        <v>21744.500561000743</v>
      </c>
      <c r="AT49" s="1264">
        <f t="shared" ref="AT49" si="171">+AP49+AR49</f>
        <v>6457.59</v>
      </c>
      <c r="AU49" s="2646">
        <v>2098.9804622025204</v>
      </c>
      <c r="AV49" s="2646">
        <v>989</v>
      </c>
      <c r="AW49" s="1264">
        <f t="shared" si="152"/>
        <v>23843.481023203261</v>
      </c>
      <c r="AX49" s="1264">
        <f t="shared" si="153"/>
        <v>7446.59</v>
      </c>
      <c r="AY49" s="2646">
        <v>2333.7747543282435</v>
      </c>
      <c r="AZ49" s="2646">
        <v>840</v>
      </c>
      <c r="BA49" s="1266">
        <f t="shared" ref="BA49" si="172">+AQ49+AU49+AY49</f>
        <v>6766.5299708590082</v>
      </c>
      <c r="BB49" s="1266">
        <f t="shared" ref="BB49" si="173">+AR49+AV49+AZ49</f>
        <v>3293</v>
      </c>
      <c r="BC49" s="1205">
        <f t="shared" ref="BC49" si="174">AM49+BA49</f>
        <v>13648.144025182508</v>
      </c>
      <c r="BD49" s="1205">
        <f t="shared" ref="BD49" si="175">AN49+BB49</f>
        <v>4833</v>
      </c>
      <c r="BE49" s="1264">
        <f t="shared" ref="BE49" si="176">+AW49+AY49</f>
        <v>26177.255777531504</v>
      </c>
      <c r="BF49" s="1264">
        <f t="shared" ref="BF49" si="177">+AX49+AZ49</f>
        <v>8286.59</v>
      </c>
      <c r="BG49" s="26">
        <f t="shared" si="37"/>
        <v>0</v>
      </c>
      <c r="BH49" s="26">
        <f t="shared" si="38"/>
        <v>0</v>
      </c>
      <c r="BI49" s="26"/>
      <c r="BJ49" s="26"/>
      <c r="BK49" s="26"/>
      <c r="BL49" s="26"/>
      <c r="BM49" s="26"/>
      <c r="BN49" s="26"/>
    </row>
    <row r="50" spans="2:66" x14ac:dyDescent="0.3">
      <c r="B50" s="1262" t="s">
        <v>68</v>
      </c>
      <c r="C50" s="63" t="s">
        <v>50</v>
      </c>
      <c r="D50" s="1185">
        <v>174515.03851687672</v>
      </c>
      <c r="E50" s="1263">
        <v>14887.65752754337</v>
      </c>
      <c r="F50" s="1263">
        <v>12873.2</v>
      </c>
      <c r="G50" s="1263">
        <v>15334.884750639983</v>
      </c>
      <c r="H50" s="1263">
        <v>14212.24</v>
      </c>
      <c r="I50" s="1264">
        <f t="shared" si="136"/>
        <v>30222.542278183355</v>
      </c>
      <c r="J50" s="1264">
        <f t="shared" si="137"/>
        <v>27085.440000000002</v>
      </c>
      <c r="K50" s="1263">
        <v>14887.65752754337</v>
      </c>
      <c r="L50" s="1263">
        <v>15050.960000000001</v>
      </c>
      <c r="M50" s="1266">
        <f t="shared" si="125"/>
        <v>45110.199805726726</v>
      </c>
      <c r="N50" s="1266">
        <f t="shared" si="126"/>
        <v>42136.4</v>
      </c>
      <c r="O50" s="1263">
        <v>15055.367736204598</v>
      </c>
      <c r="P50" s="1263">
        <v>15918.4</v>
      </c>
      <c r="Q50" s="1264">
        <f t="shared" si="138"/>
        <v>60165.567541931327</v>
      </c>
      <c r="R50" s="1264">
        <f t="shared" si="139"/>
        <v>58054.8</v>
      </c>
      <c r="S50" s="1263">
        <v>15055.367736204598</v>
      </c>
      <c r="T50" s="1263">
        <v>15327.16</v>
      </c>
      <c r="U50" s="1264">
        <f t="shared" si="140"/>
        <v>75220.935278135919</v>
      </c>
      <c r="V50" s="1264">
        <f t="shared" si="141"/>
        <v>73381.960000000006</v>
      </c>
      <c r="W50" s="1263">
        <v>8306.4764041907601</v>
      </c>
      <c r="X50" s="1263">
        <v>14991.36</v>
      </c>
      <c r="Y50" s="1266">
        <f t="shared" si="127"/>
        <v>38417.211876599955</v>
      </c>
      <c r="Z50" s="1266">
        <f t="shared" si="128"/>
        <v>46236.92</v>
      </c>
      <c r="AA50" s="1205">
        <f t="shared" si="142"/>
        <v>83527.411682326681</v>
      </c>
      <c r="AB50" s="1205">
        <f t="shared" si="143"/>
        <v>88373.32</v>
      </c>
      <c r="AC50" s="1263">
        <v>15334.884750639983</v>
      </c>
      <c r="AD50" s="1263">
        <v>12057.92</v>
      </c>
      <c r="AE50" s="1264">
        <f t="shared" si="168"/>
        <v>98862.296432966657</v>
      </c>
      <c r="AF50" s="1264">
        <f t="shared" si="169"/>
        <v>100431.24</v>
      </c>
      <c r="AG50" s="1263">
        <v>15047.65752754337</v>
      </c>
      <c r="AH50" s="1263">
        <v>14648.24</v>
      </c>
      <c r="AI50" s="1264">
        <f t="shared" si="146"/>
        <v>113909.95396051003</v>
      </c>
      <c r="AJ50" s="1264">
        <f t="shared" si="147"/>
        <v>115079.48000000001</v>
      </c>
      <c r="AK50" s="1263">
        <v>15494.884750639983</v>
      </c>
      <c r="AL50" s="1263">
        <v>14428.52</v>
      </c>
      <c r="AM50" s="1266">
        <f t="shared" si="129"/>
        <v>45877.427028823338</v>
      </c>
      <c r="AN50" s="1266">
        <f t="shared" si="130"/>
        <v>41134.68</v>
      </c>
      <c r="AO50" s="1264">
        <f t="shared" si="148"/>
        <v>129404.83871115002</v>
      </c>
      <c r="AP50" s="1264">
        <f t="shared" si="149"/>
        <v>129508.00000000001</v>
      </c>
      <c r="AQ50" s="1263">
        <v>15558.498362188288</v>
      </c>
      <c r="AR50" s="1263">
        <v>14663.2</v>
      </c>
      <c r="AS50" s="1264">
        <f t="shared" si="150"/>
        <v>144963.33707333831</v>
      </c>
      <c r="AT50" s="1264">
        <f t="shared" si="151"/>
        <v>144171.20000000001</v>
      </c>
      <c r="AU50" s="2646">
        <v>13993.203081350139</v>
      </c>
      <c r="AV50" s="1263">
        <v>12593.84</v>
      </c>
      <c r="AW50" s="1264">
        <f t="shared" si="152"/>
        <v>158956.54015468844</v>
      </c>
      <c r="AX50" s="1264">
        <f t="shared" si="153"/>
        <v>156765.04</v>
      </c>
      <c r="AY50" s="2646">
        <v>15558.498362188288</v>
      </c>
      <c r="AZ50" s="1263">
        <v>15193.12</v>
      </c>
      <c r="BA50" s="1266">
        <f t="shared" si="132"/>
        <v>45110.199805726712</v>
      </c>
      <c r="BB50" s="1266">
        <f t="shared" si="133"/>
        <v>42450.16</v>
      </c>
      <c r="BC50" s="1205">
        <f t="shared" si="134"/>
        <v>90987.626834550058</v>
      </c>
      <c r="BD50" s="1205">
        <f t="shared" si="135"/>
        <v>83584.84</v>
      </c>
      <c r="BE50" s="1264">
        <f t="shared" si="154"/>
        <v>174515.03851687672</v>
      </c>
      <c r="BF50" s="1264">
        <f t="shared" si="155"/>
        <v>171958.16</v>
      </c>
      <c r="BG50" s="26">
        <f t="shared" si="37"/>
        <v>0</v>
      </c>
      <c r="BH50" s="26">
        <f t="shared" si="38"/>
        <v>0</v>
      </c>
      <c r="BI50" s="26"/>
      <c r="BJ50" s="26"/>
      <c r="BK50" s="26"/>
      <c r="BL50" s="26"/>
      <c r="BM50" s="26"/>
      <c r="BN50" s="26"/>
    </row>
    <row r="51" spans="2:66" ht="15.6" x14ac:dyDescent="0.3">
      <c r="B51" s="1268" t="s">
        <v>21</v>
      </c>
      <c r="C51" s="1269" t="s">
        <v>50</v>
      </c>
      <c r="D51" s="197">
        <f t="shared" ref="D51:R51" si="178">SUM(D41:D50)</f>
        <v>6704341.4433046086</v>
      </c>
      <c r="E51" s="1270">
        <f t="shared" si="178"/>
        <v>572024.23854440509</v>
      </c>
      <c r="F51" s="1270">
        <f t="shared" si="178"/>
        <v>502970.19000000006</v>
      </c>
      <c r="G51" s="1270">
        <f t="shared" ref="G51:H51" si="179">SUM(G41:G50)</f>
        <v>589317.88966378476</v>
      </c>
      <c r="H51" s="1270">
        <f t="shared" si="179"/>
        <v>555472.72</v>
      </c>
      <c r="I51" s="1271">
        <f t="shared" si="178"/>
        <v>1161342.12820819</v>
      </c>
      <c r="J51" s="1271">
        <f t="shared" si="178"/>
        <v>1058442.9099999999</v>
      </c>
      <c r="K51" s="1270">
        <f t="shared" ref="K51:L51" si="180">SUM(K41:K50)</f>
        <v>572024.23854440509</v>
      </c>
      <c r="L51" s="1270">
        <f t="shared" si="180"/>
        <v>594495.87999999989</v>
      </c>
      <c r="M51" s="1273">
        <f t="shared" si="178"/>
        <v>1733366.3667525952</v>
      </c>
      <c r="N51" s="1273">
        <f t="shared" si="178"/>
        <v>1652938.79</v>
      </c>
      <c r="O51" s="1270">
        <f t="shared" ref="O51:P51" si="181">SUM(O41:O50)</f>
        <v>578509.35771417245</v>
      </c>
      <c r="P51" s="1270">
        <f t="shared" si="181"/>
        <v>628533.20000000007</v>
      </c>
      <c r="Q51" s="1271">
        <f t="shared" si="178"/>
        <v>2311875.7244667681</v>
      </c>
      <c r="R51" s="1271">
        <f t="shared" si="178"/>
        <v>2281471.9899999998</v>
      </c>
      <c r="S51" s="1270">
        <f t="shared" ref="S51:T51" si="182">SUM(S41:S50)</f>
        <v>578509.35771417245</v>
      </c>
      <c r="T51" s="1270">
        <f t="shared" si="182"/>
        <v>592467.4800000001</v>
      </c>
      <c r="U51" s="1271">
        <f t="shared" ref="U51:X51" si="183">SUM(U41:U50)</f>
        <v>2890385.0821809391</v>
      </c>
      <c r="V51" s="1271">
        <f t="shared" si="183"/>
        <v>2873939.4699999997</v>
      </c>
      <c r="W51" s="1270">
        <f t="shared" si="183"/>
        <v>319003.43155951163</v>
      </c>
      <c r="X51" s="1270">
        <f t="shared" si="183"/>
        <v>580182.07999999996</v>
      </c>
      <c r="Y51" s="1273">
        <f t="shared" ref="Y51:AD51" si="184">SUM(Y41:Y50)</f>
        <v>1476022.1469878561</v>
      </c>
      <c r="Z51" s="1273">
        <f t="shared" si="184"/>
        <v>1801182.76</v>
      </c>
      <c r="AA51" s="1274">
        <f t="shared" si="184"/>
        <v>3209388.513740452</v>
      </c>
      <c r="AB51" s="1274">
        <f t="shared" si="184"/>
        <v>3454121.55</v>
      </c>
      <c r="AC51" s="1270">
        <f t="shared" si="184"/>
        <v>589317.88966378476</v>
      </c>
      <c r="AD51" s="1270">
        <f t="shared" si="184"/>
        <v>476098.76</v>
      </c>
      <c r="AE51" s="1271">
        <f t="shared" ref="AE51:AH51" si="185">SUM(AE41:AE50)</f>
        <v>3798706.4034042363</v>
      </c>
      <c r="AF51" s="1271">
        <f t="shared" si="185"/>
        <v>3930220.31</v>
      </c>
      <c r="AG51" s="1270">
        <f t="shared" si="185"/>
        <v>577479.08420119493</v>
      </c>
      <c r="AH51" s="1270">
        <f t="shared" si="185"/>
        <v>570753.72</v>
      </c>
      <c r="AI51" s="1271">
        <f t="shared" ref="AI51:AL51" si="186">SUM(AI41:AI50)</f>
        <v>4376185.4876054311</v>
      </c>
      <c r="AJ51" s="1271">
        <f t="shared" si="186"/>
        <v>4500974.03</v>
      </c>
      <c r="AK51" s="1270">
        <f t="shared" si="186"/>
        <v>594772.73532057449</v>
      </c>
      <c r="AL51" s="1270">
        <f t="shared" si="186"/>
        <v>562411.56000000006</v>
      </c>
      <c r="AM51" s="1273">
        <f t="shared" ref="AM51:AN51" si="187">SUM(AM41:AM50)</f>
        <v>1761569.7091855542</v>
      </c>
      <c r="AN51" s="1273">
        <f t="shared" si="187"/>
        <v>1609264.04</v>
      </c>
      <c r="AO51" s="1271">
        <f t="shared" ref="AO51:AT51" si="188">SUM(AO41:AO50)</f>
        <v>4970958.2229260057</v>
      </c>
      <c r="AP51" s="1271">
        <f t="shared" si="188"/>
        <v>5063385.59</v>
      </c>
      <c r="AQ51" s="1270">
        <f t="shared" si="188"/>
        <v>597964.71522347443</v>
      </c>
      <c r="AR51" s="1270">
        <f t="shared" si="188"/>
        <v>582100.6</v>
      </c>
      <c r="AS51" s="1271">
        <f t="shared" si="188"/>
        <v>5568922.9381494801</v>
      </c>
      <c r="AT51" s="1271">
        <f t="shared" si="188"/>
        <v>5645486.1900000004</v>
      </c>
      <c r="AU51" s="1270">
        <f t="shared" ref="AU51:AX51" si="189">SUM(AU41:AU50)</f>
        <v>537436.93630564597</v>
      </c>
      <c r="AV51" s="1270">
        <f t="shared" si="189"/>
        <v>503725.4</v>
      </c>
      <c r="AW51" s="1271">
        <f t="shared" si="189"/>
        <v>6106359.874455126</v>
      </c>
      <c r="AX51" s="1271">
        <f t="shared" si="189"/>
        <v>6149211.5899999999</v>
      </c>
      <c r="AY51" s="1270">
        <f t="shared" ref="AY51:AZ51" si="190">SUM(AY41:AY50)</f>
        <v>597964.71522347443</v>
      </c>
      <c r="AZ51" s="1270">
        <f t="shared" si="190"/>
        <v>607715.36</v>
      </c>
      <c r="BA51" s="1273">
        <f t="shared" ref="BA51:BF51" si="191">SUM(BA41:BA50)</f>
        <v>1733366.3667525949</v>
      </c>
      <c r="BB51" s="1273">
        <f t="shared" si="191"/>
        <v>1693541.3599999999</v>
      </c>
      <c r="BC51" s="1274">
        <f t="shared" si="191"/>
        <v>3494936.0759381484</v>
      </c>
      <c r="BD51" s="1274">
        <f t="shared" si="191"/>
        <v>3302805.4</v>
      </c>
      <c r="BE51" s="1271">
        <f t="shared" si="191"/>
        <v>6704324.5896786014</v>
      </c>
      <c r="BF51" s="1271">
        <f t="shared" si="191"/>
        <v>6756926.9500000002</v>
      </c>
      <c r="BG51" s="26">
        <f t="shared" si="37"/>
        <v>0</v>
      </c>
      <c r="BH51" s="26">
        <f t="shared" si="38"/>
        <v>0</v>
      </c>
      <c r="BI51" s="26"/>
      <c r="BJ51" s="26"/>
      <c r="BK51" s="26"/>
      <c r="BL51" s="26"/>
      <c r="BM51" s="26"/>
      <c r="BN51" s="26"/>
    </row>
    <row r="52" spans="2:66" ht="17.399999999999999" x14ac:dyDescent="0.3">
      <c r="B52" s="1261" t="s">
        <v>929</v>
      </c>
      <c r="C52" s="1261"/>
      <c r="D52" s="246"/>
      <c r="E52" s="1261"/>
      <c r="F52" s="1261"/>
      <c r="G52" s="1261"/>
      <c r="H52" s="1261"/>
      <c r="I52" s="1261"/>
      <c r="J52" s="1261"/>
      <c r="K52" s="1261"/>
      <c r="L52" s="1261"/>
      <c r="M52" s="1261"/>
      <c r="N52" s="2383"/>
      <c r="O52" s="1261"/>
      <c r="P52" s="1261"/>
      <c r="Q52" s="1261"/>
      <c r="R52" s="1261"/>
      <c r="S52" s="1261"/>
      <c r="T52" s="1261"/>
      <c r="U52" s="1261"/>
      <c r="V52" s="1261"/>
      <c r="W52" s="1261"/>
      <c r="X52" s="1261"/>
      <c r="Y52" s="1261"/>
      <c r="Z52" s="1261"/>
      <c r="AA52" s="1261"/>
      <c r="AB52" s="1261"/>
      <c r="AC52" s="1261"/>
      <c r="AD52" s="1261"/>
      <c r="AE52" s="1261"/>
      <c r="AF52" s="1261"/>
      <c r="AG52" s="1261"/>
      <c r="AH52" s="1261"/>
      <c r="AI52" s="1261"/>
      <c r="AJ52" s="1261"/>
      <c r="AK52" s="1261"/>
      <c r="AL52" s="1261"/>
      <c r="AM52" s="1261"/>
      <c r="AN52" s="1261"/>
      <c r="AO52" s="1261"/>
      <c r="AP52" s="1261"/>
      <c r="AQ52" s="1261"/>
      <c r="AR52" s="1261"/>
      <c r="AS52" s="1261"/>
      <c r="AT52" s="1261"/>
      <c r="AU52" s="1261"/>
      <c r="AV52" s="1261"/>
      <c r="AW52" s="1261"/>
      <c r="AX52" s="1261"/>
      <c r="AY52" s="1261"/>
      <c r="AZ52" s="1261"/>
      <c r="BA52" s="1261"/>
      <c r="BB52" s="1261"/>
      <c r="BC52" s="1261"/>
      <c r="BD52" s="1261"/>
      <c r="BE52" s="1261"/>
      <c r="BF52" s="1261"/>
      <c r="BG52" s="26">
        <f t="shared" si="37"/>
        <v>0</v>
      </c>
      <c r="BH52" s="26">
        <f t="shared" si="38"/>
        <v>0</v>
      </c>
      <c r="BI52" s="26"/>
      <c r="BJ52" s="26"/>
      <c r="BK52" s="26"/>
      <c r="BL52" s="26"/>
      <c r="BM52" s="26"/>
      <c r="BN52" s="26"/>
    </row>
    <row r="53" spans="2:66" x14ac:dyDescent="0.3">
      <c r="B53" s="1262" t="s">
        <v>43</v>
      </c>
      <c r="C53" s="63" t="s">
        <v>219</v>
      </c>
      <c r="D53" s="1185">
        <f>+D38</f>
        <v>1177.6925320700143</v>
      </c>
      <c r="E53" s="1263">
        <f t="shared" ref="E53:AD53" si="192">+E38</f>
        <v>1177.9256787576485</v>
      </c>
      <c r="F53" s="1263">
        <f t="shared" si="192"/>
        <v>1226.4891402293135</v>
      </c>
      <c r="G53" s="1263">
        <f t="shared" ref="G53:H53" si="193">+G38</f>
        <v>1178.212518852893</v>
      </c>
      <c r="H53" s="1263">
        <f t="shared" si="193"/>
        <v>1213.3316071217484</v>
      </c>
      <c r="I53" s="1264">
        <f t="shared" si="192"/>
        <v>1178.071221106864</v>
      </c>
      <c r="J53" s="1264">
        <f t="shared" si="192"/>
        <v>1219.5851350393423</v>
      </c>
      <c r="K53" s="1263">
        <f t="shared" si="192"/>
        <v>1177.9256787576485</v>
      </c>
      <c r="L53" s="1263">
        <f t="shared" si="192"/>
        <v>1173.5331168244418</v>
      </c>
      <c r="M53" s="1266">
        <f t="shared" si="192"/>
        <v>1177.6925320700143</v>
      </c>
      <c r="N53" s="1266">
        <f t="shared" si="192"/>
        <v>1203.1355312746227</v>
      </c>
      <c r="O53" s="1263">
        <f t="shared" ref="O53:P53" si="194">+O38</f>
        <v>1178.0352408390813</v>
      </c>
      <c r="P53" s="1263">
        <f t="shared" si="194"/>
        <v>1181.812242436426</v>
      </c>
      <c r="Q53" s="1264">
        <f t="shared" si="192"/>
        <v>1178.0206754373867</v>
      </c>
      <c r="R53" s="1264">
        <f t="shared" si="192"/>
        <v>1197.288768542825</v>
      </c>
      <c r="S53" s="1263">
        <f t="shared" si="192"/>
        <v>1178.0352408390813</v>
      </c>
      <c r="T53" s="1263">
        <f t="shared" si="192"/>
        <v>1199.1836713389825</v>
      </c>
      <c r="U53" s="1264">
        <f t="shared" ref="U53:X53" si="195">+U38</f>
        <v>1178.0224541836055</v>
      </c>
      <c r="V53" s="1264">
        <f t="shared" si="195"/>
        <v>1197.6845535333207</v>
      </c>
      <c r="W53" s="1263">
        <f t="shared" si="195"/>
        <v>1177.1843146191436</v>
      </c>
      <c r="X53" s="1263">
        <f t="shared" si="195"/>
        <v>1175.0581668374316</v>
      </c>
      <c r="Y53" s="1266">
        <f t="shared" si="192"/>
        <v>1177.8512556349926</v>
      </c>
      <c r="Z53" s="1266">
        <f t="shared" ref="Z53" si="196">+Z38</f>
        <v>1185.3808601437984</v>
      </c>
      <c r="AA53" s="1205">
        <f t="shared" si="192"/>
        <v>1177.9441102030846</v>
      </c>
      <c r="AB53" s="1205">
        <f t="shared" si="192"/>
        <v>1193.8462875447026</v>
      </c>
      <c r="AC53" s="1263">
        <f t="shared" si="192"/>
        <v>1178.212518852893</v>
      </c>
      <c r="AD53" s="1263">
        <f t="shared" si="192"/>
        <v>1196.438523393753</v>
      </c>
      <c r="AE53" s="1264">
        <f t="shared" ref="AE53:AH53" si="197">+AE38</f>
        <v>1177.9857440297242</v>
      </c>
      <c r="AF53" s="1264">
        <f t="shared" si="197"/>
        <v>1194.1575151317461</v>
      </c>
      <c r="AG53" s="1263">
        <f t="shared" si="197"/>
        <v>1176.08409266994</v>
      </c>
      <c r="AH53" s="1263">
        <f t="shared" si="197"/>
        <v>1194.1857861422259</v>
      </c>
      <c r="AI53" s="1264">
        <f t="shared" ref="AI53:AL53" si="198">+AI38</f>
        <v>1177.7345333373844</v>
      </c>
      <c r="AJ53" s="1264">
        <f t="shared" si="198"/>
        <v>1194.1611136929014</v>
      </c>
      <c r="AK53" s="1263">
        <f t="shared" si="198"/>
        <v>1176.4211243625643</v>
      </c>
      <c r="AL53" s="1263">
        <f t="shared" si="198"/>
        <v>1206.9151929650441</v>
      </c>
      <c r="AM53" s="1266">
        <f t="shared" ref="AM53:AN53" si="199">+AM38</f>
        <v>1176.9093664462257</v>
      </c>
      <c r="AN53" s="1266">
        <f t="shared" si="199"/>
        <v>1199.3111408670252</v>
      </c>
      <c r="AO53" s="1264">
        <f t="shared" ref="AO53:AT53" si="200">+AO38</f>
        <v>1177.5772662606814</v>
      </c>
      <c r="AP53" s="1264">
        <f t="shared" si="200"/>
        <v>1195.5820489853907</v>
      </c>
      <c r="AQ53" s="1263">
        <f t="shared" si="200"/>
        <v>1178.3497550116708</v>
      </c>
      <c r="AR53" s="1263">
        <f t="shared" si="200"/>
        <v>1209.8586938730973</v>
      </c>
      <c r="AS53" s="1264">
        <f t="shared" si="200"/>
        <v>1177.6601752582924</v>
      </c>
      <c r="AT53" s="1264">
        <f t="shared" si="200"/>
        <v>1197.0340817028641</v>
      </c>
      <c r="AU53" s="1263">
        <f t="shared" ref="AU53:AX53" si="201">+AU38</f>
        <v>1177.2969935628637</v>
      </c>
      <c r="AV53" s="1263">
        <f t="shared" si="201"/>
        <v>1212.1858940561417</v>
      </c>
      <c r="AW53" s="1264">
        <f t="shared" si="201"/>
        <v>1177.6282037822234</v>
      </c>
      <c r="AX53" s="1264">
        <f t="shared" si="201"/>
        <v>1198.2513141960733</v>
      </c>
      <c r="AY53" s="1263">
        <f t="shared" ref="AY53:AZ53" si="202">+AY38</f>
        <v>1178.3497550116708</v>
      </c>
      <c r="AZ53" s="1263">
        <f t="shared" si="202"/>
        <v>1253.2909632781154</v>
      </c>
      <c r="BA53" s="1266">
        <f t="shared" ref="BA53:BF53" si="203">+BA38</f>
        <v>1178.0231879644657</v>
      </c>
      <c r="BB53" s="1266">
        <f t="shared" si="203"/>
        <v>1226.0937343934627</v>
      </c>
      <c r="BC53" s="1205">
        <f t="shared" si="203"/>
        <v>1177.4615812141424</v>
      </c>
      <c r="BD53" s="1205">
        <f t="shared" si="203"/>
        <v>1212.9131933494159</v>
      </c>
      <c r="BE53" s="1279">
        <f t="shared" si="203"/>
        <v>1177.6925320700143</v>
      </c>
      <c r="BF53" s="1279">
        <f t="shared" si="203"/>
        <v>1203.1142645396997</v>
      </c>
      <c r="BG53" s="26"/>
      <c r="BH53" s="26"/>
      <c r="BI53" s="26"/>
      <c r="BJ53" s="26"/>
      <c r="BK53" s="26"/>
      <c r="BL53" s="26"/>
      <c r="BM53" s="26"/>
      <c r="BN53" s="26"/>
    </row>
    <row r="54" spans="2:66" x14ac:dyDescent="0.3">
      <c r="B54" s="1262" t="s">
        <v>70</v>
      </c>
      <c r="C54" s="63" t="s">
        <v>219</v>
      </c>
      <c r="D54" s="1185">
        <f t="shared" ref="D54:D61" si="204">D42/$D$67*1000</f>
        <v>19.481408076330638</v>
      </c>
      <c r="E54" s="1276">
        <f t="shared" ref="E54" si="205">+E42/E$67*1000</f>
        <v>19.481408076330638</v>
      </c>
      <c r="F54" s="1276">
        <f t="shared" ref="F54:G54" si="206">+F42/F$67*1000</f>
        <v>9.393157878382997</v>
      </c>
      <c r="G54" s="1276">
        <f t="shared" si="206"/>
        <v>19.481408076330638</v>
      </c>
      <c r="H54" s="1276">
        <f t="shared" ref="H54" si="207">+H42/H$67*1000</f>
        <v>8.4771999347041707</v>
      </c>
      <c r="I54" s="1279">
        <f>+I42/I$67*1000</f>
        <v>19.481408076330638</v>
      </c>
      <c r="J54" s="1279">
        <f>+J42/J$67*1000</f>
        <v>8.9125375109283809</v>
      </c>
      <c r="K54" s="1276">
        <f t="shared" ref="K54:M62" si="208">+K42/K$67*1000</f>
        <v>19.481408076330638</v>
      </c>
      <c r="L54" s="1276">
        <f>+L42/L$67*1000</f>
        <v>16.798928440444993</v>
      </c>
      <c r="M54" s="1277">
        <f>+$D$54</f>
        <v>19.481408076330638</v>
      </c>
      <c r="N54" s="1277">
        <f t="shared" ref="N54:Q62" si="209">+N42/N$67*1000</f>
        <v>11.729526015511528</v>
      </c>
      <c r="O54" s="1276">
        <f t="shared" si="209"/>
        <v>19.481408076330638</v>
      </c>
      <c r="P54" s="1276">
        <f>+P42/P$67*1000</f>
        <v>38.986330284450702</v>
      </c>
      <c r="Q54" s="1279">
        <f>+$D$54</f>
        <v>19.481408076330638</v>
      </c>
      <c r="R54" s="1279">
        <f t="shared" ref="R54:U62" si="210">+R42/R$67*1000</f>
        <v>19.203235563639868</v>
      </c>
      <c r="S54" s="1276">
        <f t="shared" si="210"/>
        <v>19.481408076330638</v>
      </c>
      <c r="T54" s="1276">
        <f>+T42/T$67*1000</f>
        <v>31.455272862030537</v>
      </c>
      <c r="U54" s="1279">
        <f>+$D$54</f>
        <v>19.481408076330638</v>
      </c>
      <c r="V54" s="1279">
        <f t="shared" ref="V54:W54" si="211">+V42/V$67*1000</f>
        <v>21.762296891497584</v>
      </c>
      <c r="W54" s="1276">
        <f t="shared" si="211"/>
        <v>19.481408076330638</v>
      </c>
      <c r="X54" s="1276">
        <f>+X42/X$67*1000</f>
        <v>38.576886953551913</v>
      </c>
      <c r="Y54" s="1277">
        <f>+$D$54</f>
        <v>19.481408076330638</v>
      </c>
      <c r="Z54" s="1277">
        <f t="shared" ref="Z54:AA61" si="212">+Z42/Z$67*1000</f>
        <v>36.357092989757973</v>
      </c>
      <c r="AA54" s="1205">
        <f>+$D$54</f>
        <v>19.481408076330638</v>
      </c>
      <c r="AB54" s="1280">
        <f t="shared" ref="AB54:AF61" si="213">+AB42/AB$67*1000</f>
        <v>24.614668771072534</v>
      </c>
      <c r="AC54" s="1276">
        <f t="shared" si="213"/>
        <v>19.481408076330638</v>
      </c>
      <c r="AD54" s="1276">
        <f>+AD42/AD$67*1000</f>
        <v>58.686738674663623</v>
      </c>
      <c r="AE54" s="1264">
        <f>+$D$54</f>
        <v>19.481408076330638</v>
      </c>
      <c r="AF54" s="1279">
        <f t="shared" ref="AF54:AH60" si="214">+AF42/AF$67*1000</f>
        <v>28.705410786524194</v>
      </c>
      <c r="AG54" s="1276">
        <f t="shared" si="214"/>
        <v>19.481408076330634</v>
      </c>
      <c r="AH54" s="1276">
        <f>+AH42/AH$67*1000</f>
        <v>28.066170406820206</v>
      </c>
      <c r="AI54" s="1264">
        <f>+$D$54</f>
        <v>19.481408076330638</v>
      </c>
      <c r="AJ54" s="1279">
        <f t="shared" ref="AJ54:AK54" si="215">+AJ42/AJ$67*1000</f>
        <v>28.62404313957623</v>
      </c>
      <c r="AK54" s="1276">
        <f t="shared" si="215"/>
        <v>19.481408076330638</v>
      </c>
      <c r="AL54" s="1276">
        <f>+AL42/AL$67*1000</f>
        <v>21.701463490364915</v>
      </c>
      <c r="AM54" s="1277">
        <f>+$D$54</f>
        <v>19.481408076330638</v>
      </c>
      <c r="AN54" s="1277">
        <f t="shared" ref="AN54:AN60" si="216">+AN42/AN$67*1000</f>
        <v>34.809557288399958</v>
      </c>
      <c r="AO54" s="1264">
        <f>+$D$54</f>
        <v>19.481408076330638</v>
      </c>
      <c r="AP54" s="1279">
        <f t="shared" ref="AP54:AT61" si="217">+AP42/AP$67*1000</f>
        <v>27.852796738425425</v>
      </c>
      <c r="AQ54" s="1276">
        <f t="shared" si="217"/>
        <v>19.481408076330634</v>
      </c>
      <c r="AR54" s="1276">
        <f>+AR42/AR$67*1000</f>
        <v>29.409678651317584</v>
      </c>
      <c r="AS54" s="1264">
        <f>+$D$54</f>
        <v>19.481408076330638</v>
      </c>
      <c r="AT54" s="1279">
        <f t="shared" ref="AT54:AV60" si="218">+AT42/AT$67*1000</f>
        <v>28.011142308588678</v>
      </c>
      <c r="AU54" s="1276">
        <f t="shared" si="218"/>
        <v>19.481408076330638</v>
      </c>
      <c r="AV54" s="1276">
        <f t="shared" si="218"/>
        <v>22.023465440246976</v>
      </c>
      <c r="AW54" s="1264">
        <f>+$D$54</f>
        <v>19.481408076330638</v>
      </c>
      <c r="AX54" s="1279">
        <f t="shared" ref="AX54:AZ54" si="219">+AX42/AX$67*1000</f>
        <v>27.530117684402082</v>
      </c>
      <c r="AY54" s="1276">
        <f t="shared" si="219"/>
        <v>19.481408076330634</v>
      </c>
      <c r="AZ54" s="1276">
        <f t="shared" si="219"/>
        <v>7.3006729361711091</v>
      </c>
      <c r="BA54" s="1277">
        <f>+$D$54</f>
        <v>19.481408076330638</v>
      </c>
      <c r="BB54" s="1277">
        <f t="shared" ref="BB54:BC61" si="220">+BB42/BB$67*1000</f>
        <v>19.305463159620601</v>
      </c>
      <c r="BC54" s="1205">
        <f>+$D$54</f>
        <v>19.481408076330638</v>
      </c>
      <c r="BD54" s="1280">
        <f t="shared" ref="BD54:BE61" si="221">+BD42/BD$67*1000</f>
        <v>26.935506486582973</v>
      </c>
      <c r="BE54" s="1279">
        <f>+$D$54</f>
        <v>19.481408076330638</v>
      </c>
      <c r="BF54" s="1279">
        <f t="shared" ref="BF54:BF61" si="222">+BF42/BF$67*1000</f>
        <v>25.742773707278563</v>
      </c>
      <c r="BG54" s="26"/>
      <c r="BH54" s="26"/>
      <c r="BI54" s="26"/>
      <c r="BJ54" s="26"/>
      <c r="BK54" s="26"/>
      <c r="BL54" s="26"/>
      <c r="BM54" s="26"/>
      <c r="BN54" s="26"/>
    </row>
    <row r="55" spans="2:66" x14ac:dyDescent="0.3">
      <c r="B55" s="1262" t="s">
        <v>673</v>
      </c>
      <c r="C55" s="63" t="s">
        <v>219</v>
      </c>
      <c r="D55" s="1185">
        <f t="shared" si="204"/>
        <v>4.9928765981790804</v>
      </c>
      <c r="E55" s="1276">
        <f t="shared" ref="E55" si="223">+E43/E$67*1000</f>
        <v>4.9928765981790804</v>
      </c>
      <c r="F55" s="1276">
        <f t="shared" ref="F55:G55" si="224">+F43/F$67*1000</f>
        <v>1.8612310847341764</v>
      </c>
      <c r="G55" s="1276">
        <f t="shared" si="224"/>
        <v>4.9928765981790804</v>
      </c>
      <c r="H55" s="1276">
        <f t="shared" ref="H55" si="225">+H43/H$67*1000</f>
        <v>3.7770260001238367</v>
      </c>
      <c r="I55" s="1279">
        <f t="shared" ref="I55" si="226">+I43/I$67*1000</f>
        <v>4.9928765981790795</v>
      </c>
      <c r="J55" s="1279">
        <f t="shared" ref="J55:K61" si="227">+J43/J$67*1000</f>
        <v>2.8664847238959381</v>
      </c>
      <c r="K55" s="1276">
        <f t="shared" si="227"/>
        <v>4.9928765981790804</v>
      </c>
      <c r="L55" s="1276">
        <f t="shared" si="208"/>
        <v>3.0509681774451596</v>
      </c>
      <c r="M55" s="1277">
        <f>+$D$55</f>
        <v>4.9928765981790804</v>
      </c>
      <c r="N55" s="1277">
        <f t="shared" si="209"/>
        <v>2.932381503877882</v>
      </c>
      <c r="O55" s="1276">
        <f t="shared" si="209"/>
        <v>4.9928765981790804</v>
      </c>
      <c r="P55" s="1276">
        <f t="shared" si="209"/>
        <v>2.191174992461554</v>
      </c>
      <c r="Q55" s="1264">
        <f>+$D$55</f>
        <v>4.9928765981790804</v>
      </c>
      <c r="R55" s="1279">
        <f t="shared" si="210"/>
        <v>2.7291455659135853</v>
      </c>
      <c r="S55" s="1276">
        <f t="shared" si="210"/>
        <v>4.9928765981790804</v>
      </c>
      <c r="T55" s="1276">
        <f t="shared" si="210"/>
        <v>0.78814340034292063</v>
      </c>
      <c r="U55" s="1264">
        <f>+$D$55</f>
        <v>4.9928765981790804</v>
      </c>
      <c r="V55" s="1279">
        <f t="shared" ref="V55:X55" si="228">+V43/V$67*1000</f>
        <v>2.3237318817867498</v>
      </c>
      <c r="W55" s="1276">
        <f t="shared" si="228"/>
        <v>4.9928765981790804</v>
      </c>
      <c r="X55" s="1276">
        <f t="shared" si="228"/>
        <v>2.4760928961748636</v>
      </c>
      <c r="Y55" s="1277">
        <f>+$D$55</f>
        <v>4.9928765981790804</v>
      </c>
      <c r="Z55" s="1277">
        <f t="shared" si="212"/>
        <v>1.8184602261569327</v>
      </c>
      <c r="AA55" s="1205">
        <f>+$D$55</f>
        <v>4.9928765981790804</v>
      </c>
      <c r="AB55" s="1280">
        <f t="shared" si="213"/>
        <v>2.3495779042815186</v>
      </c>
      <c r="AC55" s="1276">
        <f t="shared" si="213"/>
        <v>4.9928765981790804</v>
      </c>
      <c r="AD55" s="1276">
        <f t="shared" si="213"/>
        <v>9.1889811841511637</v>
      </c>
      <c r="AE55" s="1264">
        <f>+$D$55</f>
        <v>4.9928765981790804</v>
      </c>
      <c r="AF55" s="1279">
        <f t="shared" si="214"/>
        <v>3.1707265587878832</v>
      </c>
      <c r="AG55" s="1276">
        <f t="shared" si="214"/>
        <v>4.9928765981790804</v>
      </c>
      <c r="AH55" s="1276">
        <f t="shared" si="214"/>
        <v>14.401730173727355</v>
      </c>
      <c r="AI55" s="1264">
        <f>+$D$55</f>
        <v>4.9928765981790804</v>
      </c>
      <c r="AJ55" s="1279">
        <f t="shared" ref="AJ55:AL55" si="229">+AJ43/AJ$67*1000</f>
        <v>4.6002988543222472</v>
      </c>
      <c r="AK55" s="1276">
        <f t="shared" si="229"/>
        <v>4.9928765981790804</v>
      </c>
      <c r="AL55" s="1276">
        <f t="shared" si="229"/>
        <v>18.432936988686297</v>
      </c>
      <c r="AM55" s="1277">
        <f>+$D$55</f>
        <v>4.9928765981790804</v>
      </c>
      <c r="AN55" s="1277">
        <f t="shared" si="216"/>
        <v>14.28770079164345</v>
      </c>
      <c r="AO55" s="1264">
        <f>+$D$55</f>
        <v>4.9928765981790804</v>
      </c>
      <c r="AP55" s="1279">
        <f t="shared" si="217"/>
        <v>6.1413966704759551</v>
      </c>
      <c r="AQ55" s="1276">
        <f t="shared" si="217"/>
        <v>4.9928765981790795</v>
      </c>
      <c r="AR55" s="1276">
        <f t="shared" si="217"/>
        <v>13.465000818375252</v>
      </c>
      <c r="AS55" s="1264">
        <f>+$D$55</f>
        <v>4.9928765981790804</v>
      </c>
      <c r="AT55" s="1279">
        <f t="shared" si="218"/>
        <v>6.8862574494767337</v>
      </c>
      <c r="AU55" s="1276">
        <f t="shared" si="218"/>
        <v>4.9928765981790804</v>
      </c>
      <c r="AV55" s="1276">
        <f t="shared" si="218"/>
        <v>11.259472885156553</v>
      </c>
      <c r="AW55" s="1264">
        <f>+$D$55</f>
        <v>4.9928765981790804</v>
      </c>
      <c r="AX55" s="1279">
        <f t="shared" ref="AX55:AZ55" si="230">+AX43/AX$67*1000</f>
        <v>7.2375830733689099</v>
      </c>
      <c r="AY55" s="1276">
        <f t="shared" si="230"/>
        <v>4.9928765981790795</v>
      </c>
      <c r="AZ55" s="1276">
        <f t="shared" si="230"/>
        <v>6.9294522783996966</v>
      </c>
      <c r="BA55" s="1277">
        <f>+$D$55</f>
        <v>4.9928765981790804</v>
      </c>
      <c r="BB55" s="1277">
        <f t="shared" si="220"/>
        <v>10.471574194302212</v>
      </c>
      <c r="BC55" s="1205">
        <f>+$D$55</f>
        <v>4.9928765981790804</v>
      </c>
      <c r="BD55" s="1280">
        <f t="shared" si="221"/>
        <v>12.349607895403041</v>
      </c>
      <c r="BE55" s="1279">
        <f>+$D$55</f>
        <v>4.9928765981790804</v>
      </c>
      <c r="BF55" s="1279">
        <f t="shared" si="222"/>
        <v>7.210358612816048</v>
      </c>
      <c r="BG55" s="26"/>
      <c r="BH55" s="26"/>
      <c r="BI55" s="26"/>
      <c r="BJ55" s="26"/>
      <c r="BK55" s="26"/>
      <c r="BL55" s="26"/>
      <c r="BM55" s="26"/>
      <c r="BN55" s="26"/>
    </row>
    <row r="56" spans="2:66" x14ac:dyDescent="0.3">
      <c r="B56" s="1262" t="s">
        <v>44</v>
      </c>
      <c r="C56" s="63" t="s">
        <v>219</v>
      </c>
      <c r="D56" s="1185">
        <f t="shared" si="204"/>
        <v>22.45868048610533</v>
      </c>
      <c r="E56" s="1276">
        <f t="shared" ref="E56" si="231">+E44/E$67*1000</f>
        <v>22.45868048610533</v>
      </c>
      <c r="F56" s="1276">
        <f t="shared" ref="F56:G56" si="232">+F44/F$67*1000</f>
        <v>21.343566479197094</v>
      </c>
      <c r="G56" s="1276">
        <f t="shared" si="232"/>
        <v>22.458680486105333</v>
      </c>
      <c r="H56" s="1276">
        <f t="shared" ref="H56" si="233">+H44/H$67*1000</f>
        <v>20.827118033469741</v>
      </c>
      <c r="I56" s="1279">
        <f t="shared" ref="I56" si="234">+I44/I$67*1000</f>
        <v>22.45868048610533</v>
      </c>
      <c r="J56" s="1279">
        <f t="shared" si="227"/>
        <v>21.072576262375652</v>
      </c>
      <c r="K56" s="1276">
        <f t="shared" si="227"/>
        <v>22.45868048610533</v>
      </c>
      <c r="L56" s="1276">
        <f t="shared" si="208"/>
        <v>21.997267948356782</v>
      </c>
      <c r="M56" s="1277">
        <f>+$D$56</f>
        <v>22.45868048610533</v>
      </c>
      <c r="N56" s="1277">
        <f t="shared" si="209"/>
        <v>21.40287257573025</v>
      </c>
      <c r="O56" s="1276">
        <f t="shared" si="209"/>
        <v>22.458680486105333</v>
      </c>
      <c r="P56" s="1276">
        <f t="shared" si="209"/>
        <v>20.06231782088652</v>
      </c>
      <c r="Q56" s="1279">
        <f>+$D$56</f>
        <v>22.45868048610533</v>
      </c>
      <c r="R56" s="1279">
        <f t="shared" si="210"/>
        <v>21.035297684256943</v>
      </c>
      <c r="S56" s="1276">
        <f t="shared" si="210"/>
        <v>22.458680486105333</v>
      </c>
      <c r="T56" s="1276">
        <f t="shared" si="210"/>
        <v>19.147709034158968</v>
      </c>
      <c r="U56" s="1279">
        <f>+$D$56</f>
        <v>22.45868048610533</v>
      </c>
      <c r="V56" s="1279">
        <f t="shared" ref="V56:X56" si="235">+V44/V$67*1000</f>
        <v>20.641040386492808</v>
      </c>
      <c r="W56" s="1276">
        <f t="shared" si="235"/>
        <v>22.45868048610533</v>
      </c>
      <c r="X56" s="1276">
        <f t="shared" si="235"/>
        <v>18.909558572404372</v>
      </c>
      <c r="Y56" s="1277">
        <f>+$D$56</f>
        <v>22.45868048610533</v>
      </c>
      <c r="Z56" s="1277">
        <f t="shared" si="212"/>
        <v>19.385374285311393</v>
      </c>
      <c r="AA56" s="1205">
        <f>+$D$56</f>
        <v>22.45868048610533</v>
      </c>
      <c r="AB56" s="1280">
        <f t="shared" si="213"/>
        <v>20.347317493560272</v>
      </c>
      <c r="AC56" s="1276">
        <f t="shared" si="213"/>
        <v>22.458680486105333</v>
      </c>
      <c r="AD56" s="1276">
        <f t="shared" si="213"/>
        <v>16.002760011676973</v>
      </c>
      <c r="AE56" s="1264">
        <f>+$D$56</f>
        <v>22.45868048610533</v>
      </c>
      <c r="AF56" s="1279">
        <f t="shared" si="214"/>
        <v>19.825703635641659</v>
      </c>
      <c r="AG56" s="1276">
        <f t="shared" si="214"/>
        <v>22.458680486105333</v>
      </c>
      <c r="AH56" s="1276">
        <f t="shared" si="214"/>
        <v>19.270574485398928</v>
      </c>
      <c r="AI56" s="1264">
        <f>+$D$56</f>
        <v>22.45868048610533</v>
      </c>
      <c r="AJ56" s="1279">
        <f t="shared" ref="AJ56:AL56" si="236">+AJ44/AJ$67*1000</f>
        <v>19.75504234117151</v>
      </c>
      <c r="AK56" s="1276">
        <f t="shared" si="236"/>
        <v>22.458680486105333</v>
      </c>
      <c r="AL56" s="1276">
        <f t="shared" si="236"/>
        <v>20.725618427946873</v>
      </c>
      <c r="AM56" s="1277">
        <f>+$D$56</f>
        <v>22.45868048610533</v>
      </c>
      <c r="AN56" s="1277">
        <f t="shared" si="216"/>
        <v>18.823046636074473</v>
      </c>
      <c r="AO56" s="1264">
        <f>+$D$56</f>
        <v>22.45868048610533</v>
      </c>
      <c r="AP56" s="1279">
        <f t="shared" si="217"/>
        <v>19.863174475708064</v>
      </c>
      <c r="AQ56" s="1276">
        <f t="shared" si="217"/>
        <v>22.45868048610533</v>
      </c>
      <c r="AR56" s="1276">
        <f t="shared" si="217"/>
        <v>20.399367123138195</v>
      </c>
      <c r="AS56" s="1264">
        <f>+$D$56</f>
        <v>22.45868048610533</v>
      </c>
      <c r="AT56" s="1279">
        <f t="shared" si="218"/>
        <v>19.917708946030828</v>
      </c>
      <c r="AU56" s="1276">
        <f t="shared" si="218"/>
        <v>22.458680486105333</v>
      </c>
      <c r="AV56" s="1276">
        <f t="shared" si="218"/>
        <v>19.082345019469837</v>
      </c>
      <c r="AW56" s="1264">
        <f>+$D$56</f>
        <v>22.45868048610533</v>
      </c>
      <c r="AX56" s="1279">
        <f t="shared" ref="AX56:AZ56" si="237">+AX44/AX$67*1000</f>
        <v>19.850599342812657</v>
      </c>
      <c r="AY56" s="1276">
        <f t="shared" si="237"/>
        <v>22.45868048610533</v>
      </c>
      <c r="AZ56" s="1276">
        <f t="shared" si="237"/>
        <v>17.594806070115951</v>
      </c>
      <c r="BA56" s="1277">
        <f>+$D$56</f>
        <v>22.45868048610533</v>
      </c>
      <c r="BB56" s="1277">
        <f t="shared" si="220"/>
        <v>19.004875364427367</v>
      </c>
      <c r="BC56" s="1205">
        <f>+$D$56</f>
        <v>22.45868048610533</v>
      </c>
      <c r="BD56" s="1280">
        <f t="shared" si="221"/>
        <v>18.915391834212997</v>
      </c>
      <c r="BE56" s="1279">
        <f>+$D$56</f>
        <v>22.45868048610533</v>
      </c>
      <c r="BF56" s="1279">
        <f t="shared" si="222"/>
        <v>19.651291918917948</v>
      </c>
      <c r="BG56" s="26"/>
      <c r="BH56" s="26"/>
      <c r="BI56" s="26"/>
      <c r="BJ56" s="26"/>
      <c r="BK56" s="26"/>
      <c r="BL56" s="26"/>
      <c r="BM56" s="26"/>
      <c r="BN56" s="26"/>
    </row>
    <row r="57" spans="2:66" x14ac:dyDescent="0.3">
      <c r="B57" s="1262" t="s">
        <v>71</v>
      </c>
      <c r="C57" s="63" t="s">
        <v>219</v>
      </c>
      <c r="D57" s="1185">
        <f t="shared" si="204"/>
        <v>19.05</v>
      </c>
      <c r="E57" s="1276">
        <f t="shared" ref="E57" si="238">+E45/E$67*1000</f>
        <v>19.05</v>
      </c>
      <c r="F57" s="1276">
        <f t="shared" ref="F57:G57" si="239">+F45/F$67*1000</f>
        <v>15.172606655687785</v>
      </c>
      <c r="G57" s="1276">
        <f t="shared" si="239"/>
        <v>19.050000000000004</v>
      </c>
      <c r="H57" s="1276">
        <f t="shared" ref="H57" si="240">+H45/H$67*1000</f>
        <v>22.707187607301876</v>
      </c>
      <c r="I57" s="1279">
        <f t="shared" ref="I57" si="241">+I45/I$67*1000</f>
        <v>19.05</v>
      </c>
      <c r="J57" s="1279">
        <f t="shared" si="227"/>
        <v>19.126143049549871</v>
      </c>
      <c r="K57" s="1276">
        <f t="shared" si="227"/>
        <v>19.05</v>
      </c>
      <c r="L57" s="1276">
        <f t="shared" si="208"/>
        <v>26.454126514189127</v>
      </c>
      <c r="M57" s="1277">
        <f>+$D$57</f>
        <v>19.05</v>
      </c>
      <c r="N57" s="1277">
        <f t="shared" si="209"/>
        <v>21.743670555624117</v>
      </c>
      <c r="O57" s="1276">
        <f t="shared" si="209"/>
        <v>19.050000000000004</v>
      </c>
      <c r="P57" s="1276">
        <f t="shared" si="209"/>
        <v>26.517740476429793</v>
      </c>
      <c r="Q57" s="1279">
        <f>+$D$57</f>
        <v>19.05</v>
      </c>
      <c r="R57" s="1279">
        <f t="shared" si="210"/>
        <v>23.052701929900714</v>
      </c>
      <c r="S57" s="1276">
        <f t="shared" si="210"/>
        <v>19.050000000000004</v>
      </c>
      <c r="T57" s="1276">
        <f t="shared" si="210"/>
        <v>20.301216924727086</v>
      </c>
      <c r="U57" s="1279">
        <f>+$D$57</f>
        <v>19.05</v>
      </c>
      <c r="V57" s="1279">
        <f t="shared" ref="V57:X57" si="242">+V45/V$67*1000</f>
        <v>22.478004130715508</v>
      </c>
      <c r="W57" s="1276">
        <f t="shared" si="242"/>
        <v>19.050000000000004</v>
      </c>
      <c r="X57" s="1276">
        <f t="shared" si="242"/>
        <v>27.706625683060111</v>
      </c>
      <c r="Y57" s="1277">
        <f>+$D$57</f>
        <v>19.05</v>
      </c>
      <c r="Z57" s="1277">
        <f t="shared" si="212"/>
        <v>24.842485182836572</v>
      </c>
      <c r="AA57" s="1205">
        <f>+$D$57</f>
        <v>19.05</v>
      </c>
      <c r="AB57" s="1280">
        <f t="shared" si="213"/>
        <v>23.364970332675068</v>
      </c>
      <c r="AC57" s="1276">
        <f t="shared" si="213"/>
        <v>19.050000000000004</v>
      </c>
      <c r="AD57" s="1276">
        <f t="shared" si="213"/>
        <v>28.39959130596322</v>
      </c>
      <c r="AE57" s="1264">
        <f>+$D$57</f>
        <v>19.05</v>
      </c>
      <c r="AF57" s="1279">
        <f t="shared" si="214"/>
        <v>23.969434211904581</v>
      </c>
      <c r="AG57" s="1276">
        <f t="shared" si="214"/>
        <v>19.050000000000004</v>
      </c>
      <c r="AH57" s="1276">
        <f t="shared" si="214"/>
        <v>27.197806698961784</v>
      </c>
      <c r="AI57" s="1264">
        <f>+$D$57</f>
        <v>19.05</v>
      </c>
      <c r="AJ57" s="1279">
        <f t="shared" ref="AJ57:AL57" si="243">+AJ45/AJ$67*1000</f>
        <v>24.380367377398645</v>
      </c>
      <c r="AK57" s="1276">
        <f t="shared" si="243"/>
        <v>19.050000000000004</v>
      </c>
      <c r="AL57" s="1276">
        <f t="shared" si="243"/>
        <v>23.220676826174827</v>
      </c>
      <c r="AM57" s="1277">
        <f>+$D$57</f>
        <v>19.05</v>
      </c>
      <c r="AN57" s="1277">
        <f t="shared" si="216"/>
        <v>26.15505942917266</v>
      </c>
      <c r="AO57" s="1264">
        <f>+$D$57</f>
        <v>19.05</v>
      </c>
      <c r="AP57" s="1279">
        <f t="shared" si="217"/>
        <v>24.251165951138152</v>
      </c>
      <c r="AQ57" s="1276">
        <f t="shared" si="217"/>
        <v>19.05</v>
      </c>
      <c r="AR57" s="1276">
        <f t="shared" si="217"/>
        <v>22.731736592285447</v>
      </c>
      <c r="AS57" s="1264">
        <f>+$D$57</f>
        <v>19.05</v>
      </c>
      <c r="AT57" s="1279">
        <f t="shared" si="218"/>
        <v>24.096629562631097</v>
      </c>
      <c r="AU57" s="1276">
        <f t="shared" si="218"/>
        <v>19.050000000000004</v>
      </c>
      <c r="AV57" s="1276">
        <f t="shared" si="218"/>
        <v>21.442228899207866</v>
      </c>
      <c r="AW57" s="1264">
        <f>+$D$57</f>
        <v>19.05</v>
      </c>
      <c r="AX57" s="1279">
        <f t="shared" ref="AX57:AZ57" si="244">+AX45/AX$67*1000</f>
        <v>23.883386244790291</v>
      </c>
      <c r="AY57" s="1276">
        <f t="shared" si="244"/>
        <v>19.05</v>
      </c>
      <c r="AZ57" s="1276">
        <f t="shared" si="244"/>
        <v>18.900660298872122</v>
      </c>
      <c r="BA57" s="1277">
        <f>+$D$57</f>
        <v>19.05</v>
      </c>
      <c r="BB57" s="1277">
        <f t="shared" si="220"/>
        <v>20.978012803720883</v>
      </c>
      <c r="BC57" s="1205">
        <f>+$D$57</f>
        <v>19.05</v>
      </c>
      <c r="BD57" s="1280">
        <f t="shared" si="221"/>
        <v>23.525797261800108</v>
      </c>
      <c r="BE57" s="1279">
        <f>+$D$57</f>
        <v>19.05</v>
      </c>
      <c r="BF57" s="1279">
        <f t="shared" si="222"/>
        <v>23.443144541672229</v>
      </c>
      <c r="BG57" s="26"/>
      <c r="BH57" s="26"/>
      <c r="BI57" s="26"/>
      <c r="BJ57" s="26"/>
      <c r="BK57" s="26"/>
      <c r="BL57" s="26"/>
      <c r="BM57" s="26"/>
      <c r="BN57" s="26"/>
    </row>
    <row r="58" spans="2:66" x14ac:dyDescent="0.3">
      <c r="B58" s="1262" t="s">
        <v>67</v>
      </c>
      <c r="C58" s="63" t="s">
        <v>219</v>
      </c>
      <c r="D58" s="1185">
        <f t="shared" si="204"/>
        <v>89.999999999999986</v>
      </c>
      <c r="E58" s="1276">
        <f t="shared" ref="E58" si="245">+E46/E$67*1000</f>
        <v>90</v>
      </c>
      <c r="F58" s="1276">
        <f t="shared" ref="F58:G58" si="246">+F46/F$67*1000</f>
        <v>80</v>
      </c>
      <c r="G58" s="1276">
        <f t="shared" si="246"/>
        <v>90</v>
      </c>
      <c r="H58" s="1276">
        <f t="shared" ref="H58" si="247">+H46/H$67*1000</f>
        <v>80</v>
      </c>
      <c r="I58" s="1279">
        <f t="shared" ref="I58" si="248">+I46/I$67*1000</f>
        <v>90</v>
      </c>
      <c r="J58" s="1279">
        <f t="shared" si="227"/>
        <v>80</v>
      </c>
      <c r="K58" s="1276">
        <f t="shared" si="227"/>
        <v>90</v>
      </c>
      <c r="L58" s="1276">
        <f t="shared" si="208"/>
        <v>80</v>
      </c>
      <c r="M58" s="1277">
        <f>+$D$58</f>
        <v>89.999999999999986</v>
      </c>
      <c r="N58" s="1277">
        <f t="shared" si="209"/>
        <v>80</v>
      </c>
      <c r="O58" s="1276">
        <f t="shared" si="209"/>
        <v>90.000000000000014</v>
      </c>
      <c r="P58" s="1276">
        <f t="shared" si="209"/>
        <v>80</v>
      </c>
      <c r="Q58" s="1264">
        <f>+$D$58</f>
        <v>89.999999999999986</v>
      </c>
      <c r="R58" s="1279">
        <f t="shared" si="210"/>
        <v>80</v>
      </c>
      <c r="S58" s="1276">
        <f t="shared" si="210"/>
        <v>90.000000000000014</v>
      </c>
      <c r="T58" s="1276">
        <f t="shared" si="210"/>
        <v>80</v>
      </c>
      <c r="U58" s="1264">
        <f>+$D$58</f>
        <v>89.999999999999986</v>
      </c>
      <c r="V58" s="1279">
        <f t="shared" ref="V58:X58" si="249">+V46/V$67*1000</f>
        <v>80</v>
      </c>
      <c r="W58" s="1276">
        <f t="shared" si="249"/>
        <v>90</v>
      </c>
      <c r="X58" s="1276">
        <f t="shared" si="249"/>
        <v>80</v>
      </c>
      <c r="Y58" s="1277">
        <f>+$D$58</f>
        <v>89.999999999999986</v>
      </c>
      <c r="Z58" s="1277">
        <f t="shared" si="212"/>
        <v>80</v>
      </c>
      <c r="AA58" s="1205">
        <f>+$D$58</f>
        <v>89.999999999999986</v>
      </c>
      <c r="AB58" s="1280">
        <f t="shared" si="213"/>
        <v>80</v>
      </c>
      <c r="AC58" s="1276">
        <f t="shared" si="213"/>
        <v>90</v>
      </c>
      <c r="AD58" s="1276">
        <f t="shared" si="213"/>
        <v>80</v>
      </c>
      <c r="AE58" s="1264">
        <f>+$D$58</f>
        <v>89.999999999999986</v>
      </c>
      <c r="AF58" s="1279">
        <f t="shared" si="214"/>
        <v>80</v>
      </c>
      <c r="AG58" s="1276">
        <f t="shared" si="214"/>
        <v>90</v>
      </c>
      <c r="AH58" s="1276">
        <f t="shared" si="214"/>
        <v>80</v>
      </c>
      <c r="AI58" s="1264">
        <f>+$D$58</f>
        <v>89.999999999999986</v>
      </c>
      <c r="AJ58" s="1279">
        <f t="shared" ref="AJ58:AL58" si="250">+AJ46/AJ$67*1000</f>
        <v>80</v>
      </c>
      <c r="AK58" s="1276">
        <f t="shared" si="250"/>
        <v>90</v>
      </c>
      <c r="AL58" s="1276">
        <f t="shared" si="250"/>
        <v>80</v>
      </c>
      <c r="AM58" s="1277">
        <f>+$D$58</f>
        <v>89.999999999999986</v>
      </c>
      <c r="AN58" s="1277">
        <f t="shared" si="216"/>
        <v>80</v>
      </c>
      <c r="AO58" s="1264">
        <f>+$D$58</f>
        <v>89.999999999999986</v>
      </c>
      <c r="AP58" s="1279">
        <f t="shared" si="217"/>
        <v>80.000000000000014</v>
      </c>
      <c r="AQ58" s="1276">
        <f t="shared" si="217"/>
        <v>90</v>
      </c>
      <c r="AR58" s="1276">
        <f t="shared" si="217"/>
        <v>80</v>
      </c>
      <c r="AS58" s="1264">
        <f>+$D$58</f>
        <v>89.999999999999986</v>
      </c>
      <c r="AT58" s="1279">
        <f t="shared" si="218"/>
        <v>80</v>
      </c>
      <c r="AU58" s="1276">
        <f t="shared" si="218"/>
        <v>90</v>
      </c>
      <c r="AV58" s="1276">
        <f t="shared" si="218"/>
        <v>80</v>
      </c>
      <c r="AW58" s="1264">
        <f>+$D$58</f>
        <v>89.999999999999986</v>
      </c>
      <c r="AX58" s="1279">
        <f t="shared" ref="AX58:AZ58" si="251">+AX46/AX$67*1000</f>
        <v>80</v>
      </c>
      <c r="AY58" s="1276">
        <f t="shared" si="251"/>
        <v>90</v>
      </c>
      <c r="AZ58" s="1276">
        <f t="shared" si="251"/>
        <v>80</v>
      </c>
      <c r="BA58" s="1277">
        <f>+$D$58</f>
        <v>89.999999999999986</v>
      </c>
      <c r="BB58" s="1277">
        <f t="shared" si="220"/>
        <v>80</v>
      </c>
      <c r="BC58" s="1205">
        <f>+$D$58</f>
        <v>89.999999999999986</v>
      </c>
      <c r="BD58" s="1280">
        <f t="shared" si="221"/>
        <v>80</v>
      </c>
      <c r="BE58" s="1279">
        <f>+$D$58</f>
        <v>89.999999999999986</v>
      </c>
      <c r="BF58" s="1279">
        <f t="shared" si="222"/>
        <v>80</v>
      </c>
      <c r="BG58" s="26"/>
      <c r="BH58" s="26"/>
      <c r="BI58" s="26"/>
      <c r="BJ58" s="26"/>
      <c r="BK58" s="26"/>
      <c r="BL58" s="26"/>
      <c r="BM58" s="26"/>
      <c r="BN58" s="26"/>
    </row>
    <row r="59" spans="2:66" x14ac:dyDescent="0.3">
      <c r="B59" s="1262" t="s">
        <v>97</v>
      </c>
      <c r="C59" s="63" t="s">
        <v>219</v>
      </c>
      <c r="D59" s="1185">
        <f t="shared" si="204"/>
        <v>150</v>
      </c>
      <c r="E59" s="1276">
        <f t="shared" ref="E59" si="252">+E47/E$67*1000</f>
        <v>150</v>
      </c>
      <c r="F59" s="1276">
        <f t="shared" ref="F59:G59" si="253">+F47/F$67*1000</f>
        <v>164.41910325327035</v>
      </c>
      <c r="G59" s="1276">
        <f t="shared" si="253"/>
        <v>150</v>
      </c>
      <c r="H59" s="1276">
        <f t="shared" ref="H59" si="254">+H47/H$67*1000</f>
        <v>169.47082233342528</v>
      </c>
      <c r="I59" s="1279">
        <f t="shared" ref="I59" si="255">+I47/I$67*1000</f>
        <v>150</v>
      </c>
      <c r="J59" s="1279">
        <f t="shared" si="227"/>
        <v>167.06983530634909</v>
      </c>
      <c r="K59" s="1276">
        <f t="shared" si="227"/>
        <v>150</v>
      </c>
      <c r="L59" s="1276">
        <f t="shared" si="208"/>
        <v>214.16839856062336</v>
      </c>
      <c r="M59" s="1277">
        <f>+$D$59</f>
        <v>150</v>
      </c>
      <c r="N59" s="1277">
        <f t="shared" si="209"/>
        <v>183.89326093353964</v>
      </c>
      <c r="O59" s="1276">
        <f t="shared" si="209"/>
        <v>150</v>
      </c>
      <c r="P59" s="1276">
        <f t="shared" si="209"/>
        <v>188.96120213086743</v>
      </c>
      <c r="Q59" s="1264">
        <f>+$D$59</f>
        <v>150</v>
      </c>
      <c r="R59" s="1279">
        <f t="shared" si="210"/>
        <v>185.28287066702495</v>
      </c>
      <c r="S59" s="1276">
        <f t="shared" si="210"/>
        <v>150</v>
      </c>
      <c r="T59" s="1276">
        <f t="shared" si="210"/>
        <v>151.35745956850454</v>
      </c>
      <c r="U59" s="1264">
        <f>+$D$59</f>
        <v>150</v>
      </c>
      <c r="V59" s="1279">
        <f t="shared" ref="V59:X59" si="256">+V47/V$67*1000</f>
        <v>178.19693014468407</v>
      </c>
      <c r="W59" s="1276">
        <f t="shared" si="256"/>
        <v>150</v>
      </c>
      <c r="X59" s="1276">
        <f t="shared" si="256"/>
        <v>164.18790556693989</v>
      </c>
      <c r="Y59" s="1277">
        <f>+$D$59</f>
        <v>150</v>
      </c>
      <c r="Z59" s="1277">
        <f t="shared" si="212"/>
        <v>168.46364333956501</v>
      </c>
      <c r="AA59" s="1205">
        <f>+$D$59</f>
        <v>150</v>
      </c>
      <c r="AB59" s="1280">
        <f t="shared" si="213"/>
        <v>175.82048518715828</v>
      </c>
      <c r="AC59" s="1276">
        <f t="shared" si="213"/>
        <v>150</v>
      </c>
      <c r="AD59" s="1276">
        <f t="shared" si="213"/>
        <v>149.1169289562379</v>
      </c>
      <c r="AE59" s="1264">
        <f>+$D$59</f>
        <v>150</v>
      </c>
      <c r="AF59" s="1279">
        <f t="shared" si="214"/>
        <v>172.61441758560383</v>
      </c>
      <c r="AG59" s="1276">
        <f t="shared" si="214"/>
        <v>150</v>
      </c>
      <c r="AH59" s="1276">
        <f t="shared" si="214"/>
        <v>147.77748043450953</v>
      </c>
      <c r="AI59" s="1264">
        <f>+$D$59</f>
        <v>150</v>
      </c>
      <c r="AJ59" s="1279">
        <f t="shared" ref="AJ59:AL59" si="257">+AJ47/AJ$67*1000</f>
        <v>169.45297284972091</v>
      </c>
      <c r="AK59" s="1276">
        <f t="shared" si="257"/>
        <v>150</v>
      </c>
      <c r="AL59" s="1276">
        <f t="shared" si="257"/>
        <v>146.03299576117303</v>
      </c>
      <c r="AM59" s="1277">
        <f>+$D$59</f>
        <v>150</v>
      </c>
      <c r="AN59" s="1277">
        <f t="shared" si="216"/>
        <v>147.55821608433564</v>
      </c>
      <c r="AO59" s="1264">
        <f>+$D$59</f>
        <v>150</v>
      </c>
      <c r="AP59" s="1279">
        <f t="shared" si="217"/>
        <v>166.84374710442597</v>
      </c>
      <c r="AQ59" s="1276">
        <f t="shared" si="217"/>
        <v>149.99999999999997</v>
      </c>
      <c r="AR59" s="1276">
        <f t="shared" si="217"/>
        <v>162.60843472093404</v>
      </c>
      <c r="AS59" s="1264">
        <f>+$D$59</f>
        <v>150</v>
      </c>
      <c r="AT59" s="1279">
        <f>+AT47/AT$67*1000</f>
        <v>166.41298678238095</v>
      </c>
      <c r="AU59" s="1276">
        <f t="shared" si="218"/>
        <v>150</v>
      </c>
      <c r="AV59" s="1276">
        <f t="shared" si="218"/>
        <v>190.77580785526894</v>
      </c>
      <c r="AW59" s="1264">
        <f>+$D$59</f>
        <v>150</v>
      </c>
      <c r="AX59" s="1279">
        <f t="shared" ref="AX59:AZ59" si="258">+AX47/AX$67*1000</f>
        <v>168.37019274195316</v>
      </c>
      <c r="AY59" s="1276">
        <f t="shared" si="258"/>
        <v>149.99999999999997</v>
      </c>
      <c r="AZ59" s="1276">
        <f t="shared" si="258"/>
        <v>173.74706446075592</v>
      </c>
      <c r="BA59" s="1277">
        <f>+$D$59</f>
        <v>150</v>
      </c>
      <c r="BB59" s="1277">
        <f t="shared" si="220"/>
        <v>174.95151961735834</v>
      </c>
      <c r="BC59" s="1205">
        <f>+$D$59</f>
        <v>150</v>
      </c>
      <c r="BD59" s="1280">
        <f t="shared" si="221"/>
        <v>161.47042932665781</v>
      </c>
      <c r="BE59" s="1279">
        <f>+$D$59</f>
        <v>150</v>
      </c>
      <c r="BF59" s="1279">
        <f t="shared" si="222"/>
        <v>168.84525863733361</v>
      </c>
      <c r="BG59" s="26"/>
      <c r="BH59" s="26"/>
      <c r="BI59" s="26"/>
      <c r="BJ59" s="26"/>
      <c r="BK59" s="26"/>
      <c r="BL59" s="26"/>
      <c r="BM59" s="26"/>
      <c r="BN59" s="26"/>
    </row>
    <row r="60" spans="2:66" x14ac:dyDescent="0.3">
      <c r="B60" s="1262" t="s">
        <v>688</v>
      </c>
      <c r="C60" s="63" t="s">
        <v>219</v>
      </c>
      <c r="D60" s="1185">
        <f t="shared" si="204"/>
        <v>7</v>
      </c>
      <c r="E60" s="1276">
        <f t="shared" ref="E60:I61" si="259">+E48/E$67*1000</f>
        <v>7.0000000000000009</v>
      </c>
      <c r="F60" s="1276">
        <f t="shared" ref="F60:G61" si="260">+F48/F$67*1000</f>
        <v>2.4857844203461457</v>
      </c>
      <c r="G60" s="1276">
        <f t="shared" si="260"/>
        <v>6.9999999999999991</v>
      </c>
      <c r="H60" s="1276">
        <f t="shared" ref="H60" si="261">+H48/H$67*1000</f>
        <v>2.8144754099283431</v>
      </c>
      <c r="I60" s="1279">
        <f t="shared" ref="I60" si="262">+I48/I$67*1000</f>
        <v>6.9999999999999991</v>
      </c>
      <c r="J60" s="1279">
        <f t="shared" si="227"/>
        <v>2.6582547671368824</v>
      </c>
      <c r="K60" s="1276">
        <f t="shared" si="227"/>
        <v>7.0000000000000009</v>
      </c>
      <c r="L60" s="1276">
        <f t="shared" si="208"/>
        <v>2.1261102281847801</v>
      </c>
      <c r="M60" s="1277">
        <f>+$D$60</f>
        <v>7</v>
      </c>
      <c r="N60" s="1277">
        <f t="shared" si="209"/>
        <v>2.46817478474668</v>
      </c>
      <c r="O60" s="1276">
        <f t="shared" si="209"/>
        <v>7</v>
      </c>
      <c r="P60" s="1276">
        <f t="shared" si="209"/>
        <v>0</v>
      </c>
      <c r="Q60" s="1279">
        <f>+$D$60</f>
        <v>7</v>
      </c>
      <c r="R60" s="1279">
        <f t="shared" si="210"/>
        <v>1.7914108738640044</v>
      </c>
      <c r="S60" s="1276">
        <f t="shared" si="210"/>
        <v>7</v>
      </c>
      <c r="T60" s="1276">
        <f t="shared" si="210"/>
        <v>1.9573097690635446</v>
      </c>
      <c r="U60" s="1279">
        <f>+$D$60</f>
        <v>7</v>
      </c>
      <c r="V60" s="1279">
        <f t="shared" ref="V60:Y61" si="263">+V48/V$67*1000</f>
        <v>1.826061882239177</v>
      </c>
      <c r="W60" s="1276">
        <f t="shared" si="263"/>
        <v>7</v>
      </c>
      <c r="X60" s="1276">
        <f t="shared" si="263"/>
        <v>0</v>
      </c>
      <c r="Y60" s="1277">
        <f>+$D$60</f>
        <v>7</v>
      </c>
      <c r="Z60" s="1277">
        <f t="shared" si="212"/>
        <v>0.64883214539376755</v>
      </c>
      <c r="AA60" s="1205">
        <f>+$D$60</f>
        <v>7</v>
      </c>
      <c r="AB60" s="1280">
        <f t="shared" si="213"/>
        <v>1.516294736918337</v>
      </c>
      <c r="AC60" s="1276">
        <f t="shared" si="213"/>
        <v>6.9999999999999991</v>
      </c>
      <c r="AD60" s="1276">
        <f t="shared" si="213"/>
        <v>0</v>
      </c>
      <c r="AE60" s="1264">
        <f>+$D$60</f>
        <v>7</v>
      </c>
      <c r="AF60" s="1279">
        <f t="shared" si="214"/>
        <v>1.3342461967013453</v>
      </c>
      <c r="AG60" s="1276">
        <f t="shared" si="214"/>
        <v>7.0000000000000009</v>
      </c>
      <c r="AH60" s="1276">
        <f t="shared" si="214"/>
        <v>6.8267587095787619</v>
      </c>
      <c r="AI60" s="1264">
        <f>+$D$60</f>
        <v>7</v>
      </c>
      <c r="AJ60" s="1279">
        <f t="shared" ref="AJ60:AL60" si="264">+AJ48/AJ$67*1000</f>
        <v>2.0333772797722061</v>
      </c>
      <c r="AK60" s="1276">
        <f t="shared" si="264"/>
        <v>6.9999999999999991</v>
      </c>
      <c r="AL60" s="1276">
        <f t="shared" si="264"/>
        <v>0</v>
      </c>
      <c r="AM60" s="1277">
        <f>+$D$60</f>
        <v>7</v>
      </c>
      <c r="AN60" s="1277">
        <f t="shared" si="216"/>
        <v>2.4310387245020504</v>
      </c>
      <c r="AO60" s="1264">
        <f>+$D$60</f>
        <v>7</v>
      </c>
      <c r="AP60" s="1279">
        <f t="shared" si="217"/>
        <v>1.8068381876023103</v>
      </c>
      <c r="AQ60" s="1276">
        <f t="shared" si="217"/>
        <v>6.9999999999999982</v>
      </c>
      <c r="AR60" s="1276">
        <f t="shared" si="217"/>
        <v>5.4558350155491295</v>
      </c>
      <c r="AS60" s="1264">
        <f>+$D$60</f>
        <v>7</v>
      </c>
      <c r="AT60" s="1279">
        <f t="shared" si="218"/>
        <v>2.1779661957450585</v>
      </c>
      <c r="AU60" s="1276">
        <f t="shared" si="218"/>
        <v>7</v>
      </c>
      <c r="AV60" s="1276">
        <f t="shared" si="218"/>
        <v>0</v>
      </c>
      <c r="AW60" s="1264">
        <f>+$D$60</f>
        <v>7</v>
      </c>
      <c r="AX60" s="1279">
        <f t="shared" ref="AX60:AZ60" si="265">+AX48/AX$67*1000</f>
        <v>2.0029976071195468</v>
      </c>
      <c r="AY60" s="1276">
        <f t="shared" si="265"/>
        <v>6.9999999999999982</v>
      </c>
      <c r="AZ60" s="1276">
        <f t="shared" si="265"/>
        <v>0</v>
      </c>
      <c r="BA60" s="1277">
        <f>+$D$60</f>
        <v>7</v>
      </c>
      <c r="BB60" s="1277">
        <f t="shared" si="220"/>
        <v>1.8845629792679226</v>
      </c>
      <c r="BC60" s="1205">
        <f>+$D$60</f>
        <v>7</v>
      </c>
      <c r="BD60" s="1280">
        <f t="shared" si="221"/>
        <v>2.1535005630207587</v>
      </c>
      <c r="BE60" s="1279">
        <f>+$D$60</f>
        <v>7</v>
      </c>
      <c r="BF60" s="1279">
        <f t="shared" si="222"/>
        <v>1.8260255866892272</v>
      </c>
      <c r="BG60" s="26"/>
      <c r="BH60" s="26"/>
      <c r="BI60" s="26"/>
      <c r="BJ60" s="26"/>
      <c r="BK60" s="26"/>
      <c r="BL60" s="26"/>
      <c r="BM60" s="26"/>
      <c r="BN60" s="26"/>
    </row>
    <row r="61" spans="2:66" x14ac:dyDescent="0.3">
      <c r="B61" s="2645" t="s">
        <v>1823</v>
      </c>
      <c r="C61" s="3138" t="s">
        <v>219</v>
      </c>
      <c r="D61" s="1185">
        <f t="shared" si="204"/>
        <v>5.9999999999999982</v>
      </c>
      <c r="E61" s="1276">
        <f t="shared" si="259"/>
        <v>6</v>
      </c>
      <c r="F61" s="1276">
        <f t="shared" si="260"/>
        <v>1.6797377497436536</v>
      </c>
      <c r="G61" s="1276">
        <f t="shared" si="260"/>
        <v>6</v>
      </c>
      <c r="H61" s="1276">
        <f t="shared" ref="H61" si="266">+H49/H$67*1000</f>
        <v>1.958874885310127</v>
      </c>
      <c r="I61" s="1279">
        <f t="shared" si="259"/>
        <v>6</v>
      </c>
      <c r="J61" s="1279">
        <f t="shared" si="227"/>
        <v>1.8262062569409987</v>
      </c>
      <c r="K61" s="1276">
        <f t="shared" si="227"/>
        <v>6</v>
      </c>
      <c r="L61" s="1276">
        <f t="shared" si="208"/>
        <v>1.8257971584536801</v>
      </c>
      <c r="M61" s="1277">
        <f t="shared" si="208"/>
        <v>5.9999999999999991</v>
      </c>
      <c r="N61" s="1277">
        <f t="shared" si="209"/>
        <v>1.8260601285349485</v>
      </c>
      <c r="O61" s="1276">
        <f t="shared" si="209"/>
        <v>5.9999999999999991</v>
      </c>
      <c r="P61" s="1276">
        <f t="shared" si="209"/>
        <v>0.85687003718966726</v>
      </c>
      <c r="Q61" s="1279">
        <f t="shared" si="209"/>
        <v>5.9999999999999991</v>
      </c>
      <c r="R61" s="1279">
        <f t="shared" si="210"/>
        <v>1.5603119810937254</v>
      </c>
      <c r="S61" s="1276">
        <f t="shared" si="210"/>
        <v>5.9999999999999991</v>
      </c>
      <c r="T61" s="1276">
        <f t="shared" si="210"/>
        <v>1.999065710803567</v>
      </c>
      <c r="U61" s="1279">
        <f t="shared" si="210"/>
        <v>5.9999999999999982</v>
      </c>
      <c r="V61" s="1279">
        <f t="shared" si="263"/>
        <v>1.6519536954314114</v>
      </c>
      <c r="W61" s="1276">
        <f t="shared" si="263"/>
        <v>5.9999999999999991</v>
      </c>
      <c r="X61" s="1276">
        <f t="shared" si="263"/>
        <v>1.1286501024590165</v>
      </c>
      <c r="Y61" s="3868">
        <f t="shared" si="263"/>
        <v>5.9999999999999991</v>
      </c>
      <c r="Z61" s="1277">
        <f t="shared" si="212"/>
        <v>1.3236175766032858</v>
      </c>
      <c r="AA61" s="2650">
        <f t="shared" si="212"/>
        <v>5.9999999999999982</v>
      </c>
      <c r="AB61" s="1280">
        <f t="shared" si="213"/>
        <v>1.5631821911862087</v>
      </c>
      <c r="AC61" s="1276">
        <f t="shared" si="213"/>
        <v>6</v>
      </c>
      <c r="AD61" s="1276">
        <f t="shared" si="213"/>
        <v>1.5392372813884982</v>
      </c>
      <c r="AE61" s="2647">
        <f t="shared" si="213"/>
        <v>6</v>
      </c>
      <c r="AF61" s="3140">
        <f t="shared" si="213"/>
        <v>1.5603073306672308</v>
      </c>
      <c r="AG61" s="1276">
        <f t="shared" ref="AG61:AH61" si="267">+AG49/AG$67*1000</f>
        <v>6</v>
      </c>
      <c r="AH61" s="1276">
        <f t="shared" si="267"/>
        <v>0.83286456256860886</v>
      </c>
      <c r="AI61" s="2647">
        <f t="shared" ref="AI61" si="268">+AI49/AI$67*1000</f>
        <v>6</v>
      </c>
      <c r="AJ61" s="3140">
        <f t="shared" ref="AJ61:AO61" si="269">+AJ49/AJ$67*1000</f>
        <v>1.467712575691166</v>
      </c>
      <c r="AK61" s="1276">
        <f t="shared" si="269"/>
        <v>6</v>
      </c>
      <c r="AL61" s="1276">
        <f t="shared" si="269"/>
        <v>2.1374333611486138</v>
      </c>
      <c r="AM61" s="3868">
        <f t="shared" si="269"/>
        <v>6</v>
      </c>
      <c r="AN61" s="3868">
        <f t="shared" si="269"/>
        <v>1.4975198542932631</v>
      </c>
      <c r="AO61" s="2647">
        <f t="shared" si="269"/>
        <v>6</v>
      </c>
      <c r="AP61" s="3140">
        <f t="shared" si="217"/>
        <v>1.5423263427741916</v>
      </c>
      <c r="AQ61" s="1276">
        <f t="shared" si="217"/>
        <v>6</v>
      </c>
      <c r="AR61" s="1276">
        <f t="shared" si="217"/>
        <v>3.9936712313819629</v>
      </c>
      <c r="AS61" s="2647">
        <f t="shared" si="217"/>
        <v>6</v>
      </c>
      <c r="AT61" s="3140">
        <f t="shared" si="217"/>
        <v>1.7916449332460298</v>
      </c>
      <c r="AU61" s="1276">
        <f t="shared" ref="AU61:AW61" si="270">+AU49/AU$67*1000</f>
        <v>5.9999999999999991</v>
      </c>
      <c r="AV61" s="1276">
        <f t="shared" si="270"/>
        <v>3.1412182463807703</v>
      </c>
      <c r="AW61" s="2647">
        <f t="shared" si="270"/>
        <v>5.9999999999999991</v>
      </c>
      <c r="AX61" s="3140">
        <f t="shared" ref="AX61:BA61" si="271">+AX49/AX$67*1000</f>
        <v>1.9000639428280692</v>
      </c>
      <c r="AY61" s="1276">
        <f t="shared" si="271"/>
        <v>6</v>
      </c>
      <c r="AZ61" s="1276">
        <f t="shared" si="271"/>
        <v>2.2115273228935202</v>
      </c>
      <c r="BA61" s="3868">
        <f t="shared" si="271"/>
        <v>6.0000000000000009</v>
      </c>
      <c r="BB61" s="1277">
        <f t="shared" si="220"/>
        <v>3.1029329453646346</v>
      </c>
      <c r="BC61" s="2650">
        <f t="shared" si="220"/>
        <v>6</v>
      </c>
      <c r="BD61" s="1280">
        <f t="shared" si="221"/>
        <v>2.3128596046842942</v>
      </c>
      <c r="BE61" s="3140">
        <f t="shared" si="221"/>
        <v>5.9999999999999982</v>
      </c>
      <c r="BF61" s="1279">
        <f t="shared" si="222"/>
        <v>1.9275828492233227</v>
      </c>
      <c r="BG61" s="26"/>
      <c r="BH61" s="26"/>
      <c r="BI61" s="26"/>
      <c r="BJ61" s="26"/>
      <c r="BK61" s="26"/>
      <c r="BL61" s="26"/>
      <c r="BM61" s="26"/>
      <c r="BN61" s="26"/>
    </row>
    <row r="62" spans="2:66" x14ac:dyDescent="0.3">
      <c r="B62" s="1262" t="s">
        <v>68</v>
      </c>
      <c r="C62" s="63" t="s">
        <v>219</v>
      </c>
      <c r="D62" s="1185">
        <f>D50/$D$67*1000</f>
        <v>40</v>
      </c>
      <c r="E62" s="1263">
        <f t="shared" ref="E62" si="272">+E50/E$67*1000</f>
        <v>40</v>
      </c>
      <c r="F62" s="1263">
        <f t="shared" ref="F62:G62" si="273">+F50/F$67*1000</f>
        <v>40</v>
      </c>
      <c r="G62" s="1263">
        <f t="shared" si="273"/>
        <v>40</v>
      </c>
      <c r="H62" s="1263">
        <f t="shared" ref="H62" si="274">+H50/H$67*1000</f>
        <v>40</v>
      </c>
      <c r="I62" s="1264">
        <f t="shared" ref="I62" si="275">+I50/I$67*1000</f>
        <v>40</v>
      </c>
      <c r="J62" s="1264">
        <f>+J50/J$67*1000</f>
        <v>40</v>
      </c>
      <c r="K62" s="1263">
        <f t="shared" ref="K62" si="276">+K50/K$67*1000</f>
        <v>40</v>
      </c>
      <c r="L62" s="1263">
        <f t="shared" si="208"/>
        <v>40</v>
      </c>
      <c r="M62" s="1266">
        <f>+$D$62</f>
        <v>40</v>
      </c>
      <c r="N62" s="1266">
        <f t="shared" si="209"/>
        <v>40</v>
      </c>
      <c r="O62" s="1263">
        <f t="shared" si="209"/>
        <v>40</v>
      </c>
      <c r="P62" s="1263">
        <f t="shared" si="209"/>
        <v>40</v>
      </c>
      <c r="Q62" s="1264">
        <f>+$D$62</f>
        <v>40</v>
      </c>
      <c r="R62" s="1264">
        <f t="shared" si="210"/>
        <v>40</v>
      </c>
      <c r="S62" s="1263">
        <f t="shared" si="210"/>
        <v>40</v>
      </c>
      <c r="T62" s="1263">
        <f t="shared" si="210"/>
        <v>40</v>
      </c>
      <c r="U62" s="1264">
        <f>+$D$62</f>
        <v>40</v>
      </c>
      <c r="V62" s="1264">
        <f t="shared" ref="V62:X62" si="277">+V50/V$67*1000</f>
        <v>40</v>
      </c>
      <c r="W62" s="1263">
        <f t="shared" si="277"/>
        <v>40</v>
      </c>
      <c r="X62" s="1263">
        <f t="shared" si="277"/>
        <v>40</v>
      </c>
      <c r="Y62" s="1266">
        <f>+$D$62</f>
        <v>40</v>
      </c>
      <c r="Z62" s="1277">
        <f>+Z50/Z$67*1000</f>
        <v>40</v>
      </c>
      <c r="AA62" s="1205">
        <f>+$D$62</f>
        <v>40</v>
      </c>
      <c r="AB62" s="1280">
        <f>+AB50/AB$67*1000</f>
        <v>40</v>
      </c>
      <c r="AC62" s="1263">
        <f t="shared" ref="AC62:AD62" si="278">+AC50/AC$67*1000</f>
        <v>40</v>
      </c>
      <c r="AD62" s="1263">
        <f t="shared" si="278"/>
        <v>40</v>
      </c>
      <c r="AE62" s="1264">
        <f>+$D$62</f>
        <v>40</v>
      </c>
      <c r="AF62" s="1264">
        <f>+AF50/AF$67*1000</f>
        <v>40</v>
      </c>
      <c r="AG62" s="1263">
        <f t="shared" ref="AG62:AH62" si="279">+AG50/AG$67*1000</f>
        <v>40</v>
      </c>
      <c r="AH62" s="1263">
        <f t="shared" si="279"/>
        <v>40</v>
      </c>
      <c r="AI62" s="1264">
        <f>+$D$62</f>
        <v>40</v>
      </c>
      <c r="AJ62" s="1264">
        <f>+AJ50/AJ$67*1000</f>
        <v>40</v>
      </c>
      <c r="AK62" s="1263">
        <f t="shared" ref="AK62:AL62" si="280">+AK50/AK$67*1000</f>
        <v>40</v>
      </c>
      <c r="AL62" s="1263">
        <f t="shared" si="280"/>
        <v>40</v>
      </c>
      <c r="AM62" s="1266">
        <f>+$D$62</f>
        <v>40</v>
      </c>
      <c r="AN62" s="1277">
        <f>+AN50/AN$67*1000</f>
        <v>40</v>
      </c>
      <c r="AO62" s="1264">
        <f>+$D$62</f>
        <v>40</v>
      </c>
      <c r="AP62" s="1264">
        <f>+AP50/AP$67*1000</f>
        <v>40.000000000000007</v>
      </c>
      <c r="AQ62" s="1263">
        <f t="shared" ref="AQ62:AR62" si="281">+AQ50/AQ$67*1000</f>
        <v>39.999999999999993</v>
      </c>
      <c r="AR62" s="1263">
        <f t="shared" si="281"/>
        <v>40</v>
      </c>
      <c r="AS62" s="1264">
        <f>+$D$62</f>
        <v>40</v>
      </c>
      <c r="AT62" s="1264">
        <f>+AT50/AT$67*1000</f>
        <v>40</v>
      </c>
      <c r="AU62" s="1263">
        <f t="shared" ref="AU62:AV62" si="282">+AU50/AU$67*1000</f>
        <v>40</v>
      </c>
      <c r="AV62" s="1263">
        <f t="shared" si="282"/>
        <v>40</v>
      </c>
      <c r="AW62" s="1264">
        <f>+$D$62</f>
        <v>40</v>
      </c>
      <c r="AX62" s="1264">
        <f>+AX50/AX$67*1000</f>
        <v>40</v>
      </c>
      <c r="AY62" s="1263">
        <f t="shared" ref="AY62:AZ62" si="283">+AY50/AY$67*1000</f>
        <v>39.999999999999993</v>
      </c>
      <c r="AZ62" s="1263">
        <f t="shared" si="283"/>
        <v>40</v>
      </c>
      <c r="BA62" s="1266">
        <f>+$D$62</f>
        <v>40</v>
      </c>
      <c r="BB62" s="1277">
        <f>+BB50/BB$67*1000</f>
        <v>40</v>
      </c>
      <c r="BC62" s="1205">
        <f>+$D$62</f>
        <v>40</v>
      </c>
      <c r="BD62" s="1280">
        <f>+BD50/BD$67*1000</f>
        <v>40</v>
      </c>
      <c r="BE62" s="1279">
        <f>+$D$62</f>
        <v>40</v>
      </c>
      <c r="BF62" s="1279">
        <f>+BF50/BF$67*1000</f>
        <v>40</v>
      </c>
      <c r="BG62" s="26"/>
      <c r="BH62" s="26"/>
      <c r="BI62" s="26"/>
      <c r="BJ62" s="26"/>
      <c r="BK62" s="26"/>
      <c r="BL62" s="26"/>
      <c r="BM62" s="26"/>
      <c r="BN62" s="26"/>
    </row>
    <row r="63" spans="2:66" ht="15.6" x14ac:dyDescent="0.3">
      <c r="B63" s="1268" t="s">
        <v>21</v>
      </c>
      <c r="C63" s="1269" t="s">
        <v>219</v>
      </c>
      <c r="D63" s="197">
        <f t="shared" ref="D63:AB63" si="284">SUM(D53:D62)</f>
        <v>1536.6754972306292</v>
      </c>
      <c r="E63" s="1270">
        <f t="shared" si="284"/>
        <v>1536.9086439182634</v>
      </c>
      <c r="F63" s="1270">
        <f t="shared" si="284"/>
        <v>1562.8443277506756</v>
      </c>
      <c r="G63" s="1270">
        <f t="shared" ref="G63:H63" si="285">SUM(G53:G62)</f>
        <v>1537.1954840135079</v>
      </c>
      <c r="H63" s="1270">
        <f t="shared" si="285"/>
        <v>1563.3643113260118</v>
      </c>
      <c r="I63" s="1271">
        <f t="shared" si="284"/>
        <v>1537.0541862674788</v>
      </c>
      <c r="J63" s="1271">
        <f t="shared" si="284"/>
        <v>1563.1171729165189</v>
      </c>
      <c r="K63" s="1270">
        <f t="shared" ref="K63:L63" si="286">SUM(K53:K62)</f>
        <v>1536.9086439182634</v>
      </c>
      <c r="L63" s="1270">
        <f t="shared" si="286"/>
        <v>1579.9547138521398</v>
      </c>
      <c r="M63" s="1273">
        <f t="shared" si="284"/>
        <v>1536.6754972306292</v>
      </c>
      <c r="N63" s="1273">
        <f t="shared" si="284"/>
        <v>1569.1314777721875</v>
      </c>
      <c r="O63" s="1270">
        <f t="shared" ref="O63:P63" si="287">SUM(O53:O62)</f>
        <v>1537.0182059996962</v>
      </c>
      <c r="P63" s="1270">
        <f t="shared" si="287"/>
        <v>1579.3878781787118</v>
      </c>
      <c r="Q63" s="1271">
        <f t="shared" si="284"/>
        <v>1537.0036405980015</v>
      </c>
      <c r="R63" s="1271">
        <f t="shared" si="284"/>
        <v>1571.9437428085187</v>
      </c>
      <c r="S63" s="1270">
        <f t="shared" ref="S63:T63" si="288">SUM(S53:S62)</f>
        <v>1537.0182059996962</v>
      </c>
      <c r="T63" s="1270">
        <f t="shared" si="288"/>
        <v>1546.1898486086136</v>
      </c>
      <c r="U63" s="1271">
        <f t="shared" ref="U63:X63" si="289">SUM(U53:U62)</f>
        <v>1537.0054193442204</v>
      </c>
      <c r="V63" s="1271">
        <f t="shared" si="289"/>
        <v>1566.5645725461677</v>
      </c>
      <c r="W63" s="1270">
        <f t="shared" si="289"/>
        <v>1536.1672797797585</v>
      </c>
      <c r="X63" s="1270">
        <f t="shared" si="289"/>
        <v>1548.0438866120217</v>
      </c>
      <c r="Y63" s="1273">
        <f t="shared" si="284"/>
        <v>1536.8342207956075</v>
      </c>
      <c r="Z63" s="1273">
        <f t="shared" si="284"/>
        <v>1558.2203658894234</v>
      </c>
      <c r="AA63" s="1274">
        <f t="shared" si="284"/>
        <v>1536.9270753636995</v>
      </c>
      <c r="AB63" s="1274">
        <f t="shared" si="284"/>
        <v>1563.4227841615545</v>
      </c>
      <c r="AC63" s="1270">
        <f t="shared" ref="AC63:AD63" si="290">SUM(AC53:AC62)</f>
        <v>1537.1954840135079</v>
      </c>
      <c r="AD63" s="1270">
        <f t="shared" si="290"/>
        <v>1579.3727608078345</v>
      </c>
      <c r="AE63" s="1271">
        <f t="shared" ref="AE63:AH63" si="291">SUM(AE53:AE62)</f>
        <v>1536.968709190339</v>
      </c>
      <c r="AF63" s="1271">
        <f t="shared" si="291"/>
        <v>1565.337761437577</v>
      </c>
      <c r="AG63" s="1270">
        <f t="shared" si="291"/>
        <v>1535.0670578305549</v>
      </c>
      <c r="AH63" s="1270">
        <f t="shared" si="291"/>
        <v>1558.5591716137912</v>
      </c>
      <c r="AI63" s="1271">
        <f t="shared" ref="AI63:AL63" si="292">SUM(AI53:AI62)</f>
        <v>1536.7174984979993</v>
      </c>
      <c r="AJ63" s="1271">
        <f t="shared" si="292"/>
        <v>1564.4749281105544</v>
      </c>
      <c r="AK63" s="1270">
        <f t="shared" si="292"/>
        <v>1535.4040895231792</v>
      </c>
      <c r="AL63" s="1270">
        <f t="shared" si="292"/>
        <v>1559.1663178205388</v>
      </c>
      <c r="AM63" s="1273">
        <f t="shared" ref="AM63:AN63" si="293">SUM(AM53:AM62)</f>
        <v>1535.8923316068406</v>
      </c>
      <c r="AN63" s="1273">
        <f t="shared" si="293"/>
        <v>1564.8732796754466</v>
      </c>
      <c r="AO63" s="1271">
        <f t="shared" ref="AO63:AT63" si="294">SUM(AO53:AO62)</f>
        <v>1536.5602314212963</v>
      </c>
      <c r="AP63" s="1271">
        <f t="shared" si="294"/>
        <v>1563.8834944559408</v>
      </c>
      <c r="AQ63" s="1270">
        <f t="shared" si="294"/>
        <v>1537.3327201722857</v>
      </c>
      <c r="AR63" s="1270">
        <f t="shared" si="294"/>
        <v>1587.9224180260792</v>
      </c>
      <c r="AS63" s="1271">
        <f t="shared" si="294"/>
        <v>1536.6431404189073</v>
      </c>
      <c r="AT63" s="1271">
        <f t="shared" si="294"/>
        <v>1566.3284178809636</v>
      </c>
      <c r="AU63" s="1270">
        <f t="shared" ref="AU63:AX63" si="295">SUM(AU53:AU62)</f>
        <v>1536.2799587234786</v>
      </c>
      <c r="AV63" s="1270">
        <f t="shared" si="295"/>
        <v>1599.9104324018729</v>
      </c>
      <c r="AW63" s="1271">
        <f t="shared" si="295"/>
        <v>1536.6111689428383</v>
      </c>
      <c r="AX63" s="1271">
        <f t="shared" si="295"/>
        <v>1569.026254833348</v>
      </c>
      <c r="AY63" s="1270">
        <f t="shared" ref="AY63:AZ63" si="296">SUM(AY53:AY62)</f>
        <v>1537.3327201722857</v>
      </c>
      <c r="AZ63" s="1270">
        <f t="shared" si="296"/>
        <v>1599.9751466453235</v>
      </c>
      <c r="BA63" s="1273">
        <f t="shared" ref="BA63:BD63" si="297">SUM(BA53:BA62)</f>
        <v>1537.0061531250806</v>
      </c>
      <c r="BB63" s="1273">
        <f t="shared" si="297"/>
        <v>1595.7926754575249</v>
      </c>
      <c r="BC63" s="1274">
        <f t="shared" si="297"/>
        <v>1536.4445463747572</v>
      </c>
      <c r="BD63" s="1274">
        <f t="shared" si="297"/>
        <v>1580.5762863217778</v>
      </c>
      <c r="BE63" s="5586">
        <f t="shared" ref="BE63:BF63" si="298">SUM(BE53:BE62)</f>
        <v>1536.6754972306292</v>
      </c>
      <c r="BF63" s="5586">
        <f t="shared" si="298"/>
        <v>1571.7607003936305</v>
      </c>
      <c r="BG63" s="26"/>
      <c r="BH63" s="26"/>
      <c r="BI63" s="26"/>
      <c r="BJ63" s="26"/>
      <c r="BK63" s="26"/>
      <c r="BL63" s="26"/>
      <c r="BM63" s="26"/>
      <c r="BN63" s="26"/>
    </row>
    <row r="64" spans="2:66" ht="17.399999999999999" x14ac:dyDescent="0.3">
      <c r="B64" s="1261" t="s">
        <v>220</v>
      </c>
      <c r="C64" s="1261"/>
      <c r="D64" s="246"/>
      <c r="E64" s="1261"/>
      <c r="F64" s="1261"/>
      <c r="G64" s="1261"/>
      <c r="H64" s="1261"/>
      <c r="I64" s="1261"/>
      <c r="J64" s="1261"/>
      <c r="K64" s="1261"/>
      <c r="L64" s="1261"/>
      <c r="M64" s="1261"/>
      <c r="N64" s="1261"/>
      <c r="O64" s="1261"/>
      <c r="P64" s="1261"/>
      <c r="Q64" s="1261"/>
      <c r="R64" s="1261"/>
      <c r="S64" s="1261"/>
      <c r="T64" s="1261"/>
      <c r="U64" s="1261"/>
      <c r="V64" s="1261"/>
      <c r="W64" s="1261"/>
      <c r="X64" s="1261"/>
      <c r="Y64" s="1261"/>
      <c r="Z64" s="1261"/>
      <c r="AA64" s="1261"/>
      <c r="AB64" s="1261"/>
      <c r="AC64" s="1261"/>
      <c r="AD64" s="1261"/>
      <c r="AE64" s="1261"/>
      <c r="AF64" s="1261"/>
      <c r="AG64" s="1261"/>
      <c r="AH64" s="1261"/>
      <c r="AI64" s="1261"/>
      <c r="AJ64" s="1261"/>
      <c r="AK64" s="1261"/>
      <c r="AL64" s="1261"/>
      <c r="AM64" s="1261"/>
      <c r="AN64" s="1261"/>
      <c r="AO64" s="1261"/>
      <c r="AP64" s="1261"/>
      <c r="AQ64" s="1261"/>
      <c r="AR64" s="1261"/>
      <c r="AS64" s="1261"/>
      <c r="AT64" s="1261"/>
      <c r="AU64" s="1261"/>
      <c r="AV64" s="1261"/>
      <c r="AW64" s="1261"/>
      <c r="AX64" s="1261"/>
      <c r="AY64" s="1261"/>
      <c r="AZ64" s="1261"/>
      <c r="BA64" s="1261"/>
      <c r="BB64" s="1261"/>
      <c r="BC64" s="1261"/>
      <c r="BD64" s="1261"/>
      <c r="BE64" s="1261"/>
      <c r="BF64" s="1261"/>
      <c r="BG64" s="26">
        <f t="shared" si="37"/>
        <v>0</v>
      </c>
      <c r="BH64" s="26">
        <f t="shared" si="38"/>
        <v>0</v>
      </c>
      <c r="BI64" s="26"/>
      <c r="BJ64" s="26"/>
      <c r="BK64" s="26"/>
      <c r="BL64" s="26"/>
      <c r="BM64" s="26"/>
      <c r="BN64" s="26"/>
    </row>
    <row r="65" spans="2:66" x14ac:dyDescent="0.3">
      <c r="B65" s="1262" t="s">
        <v>45</v>
      </c>
      <c r="C65" s="63" t="s">
        <v>50</v>
      </c>
      <c r="D65" s="1185">
        <v>2181437.9814609592</v>
      </c>
      <c r="E65" s="1263">
        <v>186095.71909429212</v>
      </c>
      <c r="F65" s="1263">
        <v>164970</v>
      </c>
      <c r="G65" s="1263">
        <v>191686.05938299978</v>
      </c>
      <c r="H65" s="1263">
        <v>184098</v>
      </c>
      <c r="I65" s="1264">
        <f>+E65+G65</f>
        <v>377781.77847729193</v>
      </c>
      <c r="J65" s="1264">
        <f>+F65+H65</f>
        <v>349068</v>
      </c>
      <c r="K65" s="1263">
        <v>186095.71909429212</v>
      </c>
      <c r="L65" s="1263">
        <v>197042</v>
      </c>
      <c r="M65" s="1266">
        <f>+K65+G65+E65</f>
        <v>563877.49757158407</v>
      </c>
      <c r="N65" s="1266">
        <f>+L65+H65+F65</f>
        <v>546110</v>
      </c>
      <c r="O65" s="1263">
        <v>188192.09670255746</v>
      </c>
      <c r="P65" s="1263">
        <v>207709</v>
      </c>
      <c r="Q65" s="1264">
        <f>+M65+O65</f>
        <v>752069.59427414159</v>
      </c>
      <c r="R65" s="1264">
        <f>+N65+P65</f>
        <v>753819</v>
      </c>
      <c r="S65" s="1263">
        <v>188192.09670255746</v>
      </c>
      <c r="T65" s="1263">
        <v>192174</v>
      </c>
      <c r="U65" s="1264">
        <f>+Q65+S65</f>
        <v>940261.69097669912</v>
      </c>
      <c r="V65" s="1264">
        <f>+R65+T65</f>
        <v>945993</v>
      </c>
      <c r="W65" s="1263">
        <v>103830.9550523845</v>
      </c>
      <c r="X65" s="1263">
        <v>186581</v>
      </c>
      <c r="Y65" s="1266">
        <f>+O65+S65+W65</f>
        <v>480215.14845749945</v>
      </c>
      <c r="Z65" s="1266">
        <f>+P65+T65+X65</f>
        <v>586464</v>
      </c>
      <c r="AA65" s="1205">
        <f>+U65+W65</f>
        <v>1044092.6460290836</v>
      </c>
      <c r="AB65" s="1205">
        <f>+N65+Z65</f>
        <v>1132574</v>
      </c>
      <c r="AC65" s="1263">
        <v>191686.05938299978</v>
      </c>
      <c r="AD65" s="1263">
        <v>147112</v>
      </c>
      <c r="AE65" s="1264">
        <f>+AA65+AC65</f>
        <v>1235778.7054120833</v>
      </c>
      <c r="AF65" s="1264">
        <f>+AB65+AD65</f>
        <v>1279686</v>
      </c>
      <c r="AG65" s="1263">
        <v>188095.71909429212</v>
      </c>
      <c r="AH65" s="1263">
        <v>187626</v>
      </c>
      <c r="AI65" s="1264">
        <f>+AE65+AG65</f>
        <v>1423874.4245063753</v>
      </c>
      <c r="AJ65" s="1264">
        <f>+AF65+AH65</f>
        <v>1467312</v>
      </c>
      <c r="AK65" s="1263">
        <v>193686.05938299978</v>
      </c>
      <c r="AL65" s="1263">
        <v>193365</v>
      </c>
      <c r="AM65" s="1266">
        <f>+AC65+AG65+AK65</f>
        <v>573467.83786029171</v>
      </c>
      <c r="AN65" s="1266">
        <f>+AD65+AH65+AL65</f>
        <v>528103</v>
      </c>
      <c r="AO65" s="1264">
        <f>AI65+AK65</f>
        <v>1617560.4838893751</v>
      </c>
      <c r="AP65" s="1264">
        <f>AJ65+AL65</f>
        <v>1660677</v>
      </c>
      <c r="AQ65" s="1263">
        <v>194481.22952735363</v>
      </c>
      <c r="AR65" s="1263">
        <v>188026</v>
      </c>
      <c r="AS65" s="1264">
        <f>+AO65+AQ65</f>
        <v>1812041.7134167287</v>
      </c>
      <c r="AT65" s="1264">
        <f>+AP65+AR65</f>
        <v>1848703</v>
      </c>
      <c r="AU65" s="1263">
        <v>174915.03851687672</v>
      </c>
      <c r="AV65" s="1263">
        <v>159714</v>
      </c>
      <c r="AW65" s="1264">
        <f>+AS65+AU65</f>
        <v>1986956.7519336054</v>
      </c>
      <c r="AX65" s="1264">
        <f>+AT65+AV65</f>
        <v>2008417</v>
      </c>
      <c r="AY65" s="1263">
        <v>194481.22952735363</v>
      </c>
      <c r="AZ65" s="1263">
        <v>201867</v>
      </c>
      <c r="BA65" s="1266">
        <f>+AQ65+AU65+AY65</f>
        <v>563877.49757158395</v>
      </c>
      <c r="BB65" s="1266">
        <f>+AR65+AV65+AZ65</f>
        <v>549607</v>
      </c>
      <c r="BC65" s="1205">
        <f t="shared" ref="BC65:BC66" si="299">AM65+BA65</f>
        <v>1137345.3354318757</v>
      </c>
      <c r="BD65" s="1205">
        <f t="shared" ref="BD65:BD66" si="300">AN65+BB65</f>
        <v>1077710</v>
      </c>
      <c r="BE65" s="1264">
        <f>+AW65+AY65</f>
        <v>2181437.9814609592</v>
      </c>
      <c r="BF65" s="1264">
        <f>+AX65+AZ65</f>
        <v>2210284</v>
      </c>
      <c r="BG65" s="26">
        <f t="shared" si="37"/>
        <v>0</v>
      </c>
      <c r="BH65" s="26">
        <f t="shared" si="38"/>
        <v>0</v>
      </c>
      <c r="BI65" s="26"/>
      <c r="BJ65" s="26"/>
      <c r="BK65" s="26"/>
      <c r="BL65" s="26"/>
      <c r="BM65" s="26"/>
      <c r="BN65" s="26"/>
    </row>
    <row r="66" spans="2:66" x14ac:dyDescent="0.3">
      <c r="B66" s="1262" t="s">
        <v>94</v>
      </c>
      <c r="C66" s="63" t="s">
        <v>50</v>
      </c>
      <c r="D66" s="1185">
        <v>2181437.9814609592</v>
      </c>
      <c r="E66" s="1263">
        <v>186095.71909429212</v>
      </c>
      <c r="F66" s="1263">
        <v>156860</v>
      </c>
      <c r="G66" s="1263">
        <v>191686.05938299978</v>
      </c>
      <c r="H66" s="1263">
        <v>171208</v>
      </c>
      <c r="I66" s="1264">
        <f>+E66+G66</f>
        <v>377781.77847729193</v>
      </c>
      <c r="J66" s="1264">
        <f>+F66+H66</f>
        <v>328068</v>
      </c>
      <c r="K66" s="1263">
        <v>186095.71909429212</v>
      </c>
      <c r="L66" s="1263">
        <v>179232</v>
      </c>
      <c r="M66" s="1266">
        <f>+K66+G66+E66</f>
        <v>563877.49757158407</v>
      </c>
      <c r="N66" s="1266">
        <f>+L66+H66+F66</f>
        <v>507300</v>
      </c>
      <c r="O66" s="1263">
        <v>188192.09670255746</v>
      </c>
      <c r="P66" s="1263">
        <v>190251</v>
      </c>
      <c r="Q66" s="1264">
        <f>+M66+O66</f>
        <v>752069.59427414159</v>
      </c>
      <c r="R66" s="1264">
        <f>+N66+P66</f>
        <v>697551</v>
      </c>
      <c r="S66" s="1263">
        <v>188192.09670255746</v>
      </c>
      <c r="T66" s="1263">
        <v>191005</v>
      </c>
      <c r="U66" s="1264">
        <f>+Q66+S66</f>
        <v>940261.69097669912</v>
      </c>
      <c r="V66" s="1264">
        <f>+R66+T66</f>
        <v>888556</v>
      </c>
      <c r="W66" s="1263">
        <v>103830.9550523845</v>
      </c>
      <c r="X66" s="1263">
        <v>188203</v>
      </c>
      <c r="Y66" s="1266">
        <f>+O66+S66+W66</f>
        <v>480215.14845749945</v>
      </c>
      <c r="Z66" s="1266">
        <f>+P66+T66+X66</f>
        <v>569459</v>
      </c>
      <c r="AA66" s="1205">
        <f>+U66+W66</f>
        <v>1044092.6460290836</v>
      </c>
      <c r="AB66" s="1205">
        <f>+N66+Z66</f>
        <v>1076759</v>
      </c>
      <c r="AC66" s="1263">
        <v>191686.05938299978</v>
      </c>
      <c r="AD66" s="1263">
        <v>154336</v>
      </c>
      <c r="AE66" s="1264">
        <f>+AA66+AC66</f>
        <v>1235778.7054120833</v>
      </c>
      <c r="AF66" s="1264">
        <f>+AB66+AD66</f>
        <v>1231095</v>
      </c>
      <c r="AG66" s="1263">
        <v>188095.71909429212</v>
      </c>
      <c r="AH66" s="1263">
        <v>178580</v>
      </c>
      <c r="AI66" s="1264">
        <f>+AE66+AG66</f>
        <v>1423874.4245063753</v>
      </c>
      <c r="AJ66" s="1264">
        <f>+AF66+AH66</f>
        <v>1409675</v>
      </c>
      <c r="AK66" s="1263">
        <v>193686.05938299978</v>
      </c>
      <c r="AL66" s="1263">
        <v>167348</v>
      </c>
      <c r="AM66" s="1266">
        <f>+AC66+AG66+AK66</f>
        <v>573467.83786029171</v>
      </c>
      <c r="AN66" s="1266">
        <f>+AD66+AH66+AL66</f>
        <v>500264</v>
      </c>
      <c r="AO66" s="1264">
        <f>AI66+AK66</f>
        <v>1617560.4838893751</v>
      </c>
      <c r="AP66" s="1264">
        <f>AJ66+AL66</f>
        <v>1577023</v>
      </c>
      <c r="AQ66" s="1263">
        <v>194481.22952735363</v>
      </c>
      <c r="AR66" s="1263">
        <v>178554</v>
      </c>
      <c r="AS66" s="1264">
        <f>+AO66+AQ66</f>
        <v>1812041.7134167287</v>
      </c>
      <c r="AT66" s="1264">
        <f>+AP66+AR66</f>
        <v>1755577</v>
      </c>
      <c r="AU66" s="1263">
        <v>174915.03851687672</v>
      </c>
      <c r="AV66" s="1263">
        <v>155132</v>
      </c>
      <c r="AW66" s="1264">
        <f>+AS66+AU66</f>
        <v>1986956.7519336054</v>
      </c>
      <c r="AX66" s="1264">
        <f>+AT66+AV66</f>
        <v>1910709</v>
      </c>
      <c r="AY66" s="1263">
        <v>194481.22952735363</v>
      </c>
      <c r="AZ66" s="1263">
        <v>177961</v>
      </c>
      <c r="BA66" s="1266">
        <f>+AQ66+AU66+AY66</f>
        <v>563877.49757158395</v>
      </c>
      <c r="BB66" s="1266">
        <f>+AR66+AV66+AZ66</f>
        <v>511647</v>
      </c>
      <c r="BC66" s="1205">
        <f t="shared" si="299"/>
        <v>1137345.3354318757</v>
      </c>
      <c r="BD66" s="1205">
        <f t="shared" si="300"/>
        <v>1011911</v>
      </c>
      <c r="BE66" s="1264">
        <f>+AW66+AY66</f>
        <v>2181437.9814609592</v>
      </c>
      <c r="BF66" s="1264">
        <f>+AX66+AZ66</f>
        <v>2088670</v>
      </c>
      <c r="BG66" s="26">
        <f t="shared" si="37"/>
        <v>0</v>
      </c>
      <c r="BH66" s="26">
        <f t="shared" si="38"/>
        <v>0</v>
      </c>
      <c r="BI66" s="26"/>
      <c r="BJ66" s="26"/>
      <c r="BK66" s="26"/>
      <c r="BL66" s="26"/>
      <c r="BM66" s="26"/>
      <c r="BN66" s="26"/>
    </row>
    <row r="67" spans="2:66" ht="15.6" x14ac:dyDescent="0.3">
      <c r="B67" s="1268" t="s">
        <v>21</v>
      </c>
      <c r="C67" s="1269" t="s">
        <v>50</v>
      </c>
      <c r="D67" s="197">
        <f t="shared" ref="D67:R67" si="301">SUM(D65:D66)</f>
        <v>4362875.9629219184</v>
      </c>
      <c r="E67" s="1270">
        <f t="shared" si="301"/>
        <v>372191.43818858423</v>
      </c>
      <c r="F67" s="1270">
        <f t="shared" si="301"/>
        <v>321830</v>
      </c>
      <c r="G67" s="1270">
        <f t="shared" ref="G67:H67" si="302">SUM(G65:G66)</f>
        <v>383372.11876599956</v>
      </c>
      <c r="H67" s="1270">
        <f t="shared" si="302"/>
        <v>355306</v>
      </c>
      <c r="I67" s="1271">
        <f t="shared" si="301"/>
        <v>755563.55695458385</v>
      </c>
      <c r="J67" s="1271">
        <f t="shared" si="301"/>
        <v>677136</v>
      </c>
      <c r="K67" s="1270">
        <f t="shared" ref="K67" si="303">SUM(K65:K66)</f>
        <v>372191.43818858423</v>
      </c>
      <c r="L67" s="1270">
        <f>SUM(L65:L66)</f>
        <v>376274</v>
      </c>
      <c r="M67" s="1273">
        <f t="shared" si="301"/>
        <v>1127754.9951431681</v>
      </c>
      <c r="N67" s="1273">
        <f t="shared" si="301"/>
        <v>1053410</v>
      </c>
      <c r="O67" s="1270">
        <f t="shared" ref="O67" si="304">SUM(O65:O66)</f>
        <v>376384.19340511493</v>
      </c>
      <c r="P67" s="1270">
        <f>SUM(P65:P66)</f>
        <v>397960</v>
      </c>
      <c r="Q67" s="1271">
        <f t="shared" si="301"/>
        <v>1504139.1885482832</v>
      </c>
      <c r="R67" s="1271">
        <f t="shared" si="301"/>
        <v>1451370</v>
      </c>
      <c r="S67" s="1270">
        <f t="shared" ref="S67" si="305">SUM(S65:S66)</f>
        <v>376384.19340511493</v>
      </c>
      <c r="T67" s="1270">
        <f>SUM(T65:T66)</f>
        <v>383179</v>
      </c>
      <c r="U67" s="1271">
        <f t="shared" ref="U67:W67" si="306">SUM(U65:U66)</f>
        <v>1880523.3819533982</v>
      </c>
      <c r="V67" s="1271">
        <f t="shared" si="306"/>
        <v>1834549</v>
      </c>
      <c r="W67" s="1270">
        <f t="shared" si="306"/>
        <v>207661.91010476899</v>
      </c>
      <c r="X67" s="1270">
        <f>SUM(X65:X66)</f>
        <v>374784</v>
      </c>
      <c r="Y67" s="1273">
        <f t="shared" ref="Y67:AC67" si="307">SUM(Y65:Y66)</f>
        <v>960430.29691499891</v>
      </c>
      <c r="Z67" s="1273">
        <f t="shared" si="307"/>
        <v>1155923</v>
      </c>
      <c r="AA67" s="1274">
        <f t="shared" si="307"/>
        <v>2088185.2920581673</v>
      </c>
      <c r="AB67" s="1274">
        <f t="shared" si="307"/>
        <v>2209333</v>
      </c>
      <c r="AC67" s="1270">
        <f t="shared" si="307"/>
        <v>383372.11876599956</v>
      </c>
      <c r="AD67" s="1270">
        <f>SUM(AD65:AD66)</f>
        <v>301448</v>
      </c>
      <c r="AE67" s="1271">
        <f t="shared" ref="AE67:AG67" si="308">SUM(AE65:AE66)</f>
        <v>2471557.4108241666</v>
      </c>
      <c r="AF67" s="1271">
        <f t="shared" si="308"/>
        <v>2510781</v>
      </c>
      <c r="AG67" s="1270">
        <f t="shared" si="308"/>
        <v>376191.43818858423</v>
      </c>
      <c r="AH67" s="1270">
        <f>SUM(AH65:AH66)</f>
        <v>366206</v>
      </c>
      <c r="AI67" s="1271">
        <f t="shared" ref="AI67:AK67" si="309">SUM(AI65:AI66)</f>
        <v>2847748.8490127507</v>
      </c>
      <c r="AJ67" s="1271">
        <f t="shared" si="309"/>
        <v>2876987</v>
      </c>
      <c r="AK67" s="1270">
        <f t="shared" si="309"/>
        <v>387372.11876599956</v>
      </c>
      <c r="AL67" s="1270">
        <f>SUM(AL65:AL66)</f>
        <v>360713</v>
      </c>
      <c r="AM67" s="1273">
        <f t="shared" ref="AM67:AN67" si="310">SUM(AM65:AM66)</f>
        <v>1146935.6757205834</v>
      </c>
      <c r="AN67" s="1273">
        <f t="shared" si="310"/>
        <v>1028367</v>
      </c>
      <c r="AO67" s="1271">
        <f t="shared" ref="AO67:AT67" si="311">SUM(AO65:AO66)</f>
        <v>3235120.9677787502</v>
      </c>
      <c r="AP67" s="1271">
        <f t="shared" si="311"/>
        <v>3237700</v>
      </c>
      <c r="AQ67" s="1270">
        <f t="shared" si="311"/>
        <v>388962.45905470726</v>
      </c>
      <c r="AR67" s="1270">
        <f>SUM(AR65:AR66)</f>
        <v>366580</v>
      </c>
      <c r="AS67" s="1271">
        <f t="shared" si="311"/>
        <v>3624083.4268334573</v>
      </c>
      <c r="AT67" s="1271">
        <f t="shared" si="311"/>
        <v>3604280</v>
      </c>
      <c r="AU67" s="1270">
        <f t="shared" ref="AU67:AX67" si="312">SUM(AU65:AU66)</f>
        <v>349830.07703375345</v>
      </c>
      <c r="AV67" s="1270">
        <f t="shared" si="312"/>
        <v>314846</v>
      </c>
      <c r="AW67" s="1271">
        <f t="shared" si="312"/>
        <v>3973913.5038672108</v>
      </c>
      <c r="AX67" s="1271">
        <f t="shared" si="312"/>
        <v>3919126</v>
      </c>
      <c r="AY67" s="1270">
        <f t="shared" ref="AY67:AZ67" si="313">SUM(AY65:AY66)</f>
        <v>388962.45905470726</v>
      </c>
      <c r="AZ67" s="1270">
        <f t="shared" si="313"/>
        <v>379828</v>
      </c>
      <c r="BA67" s="1273">
        <f t="shared" ref="BA67:BF67" si="314">SUM(BA65:BA66)</f>
        <v>1127754.9951431679</v>
      </c>
      <c r="BB67" s="1273">
        <f t="shared" si="314"/>
        <v>1061254</v>
      </c>
      <c r="BC67" s="1274">
        <f t="shared" si="314"/>
        <v>2274690.6708637513</v>
      </c>
      <c r="BD67" s="1274">
        <f t="shared" si="314"/>
        <v>2089621</v>
      </c>
      <c r="BE67" s="1271">
        <f t="shared" si="314"/>
        <v>4362875.9629219184</v>
      </c>
      <c r="BF67" s="1271">
        <f t="shared" si="314"/>
        <v>4298954</v>
      </c>
      <c r="BG67" s="26">
        <f t="shared" si="37"/>
        <v>0</v>
      </c>
      <c r="BH67" s="26">
        <f t="shared" si="38"/>
        <v>0</v>
      </c>
      <c r="BI67" s="26"/>
      <c r="BJ67" s="26"/>
      <c r="BK67" s="26"/>
      <c r="BL67" s="26"/>
      <c r="BM67" s="26"/>
      <c r="BN67" s="26"/>
    </row>
    <row r="68" spans="2:66" ht="15.6" x14ac:dyDescent="0.3">
      <c r="B68" s="6248" t="s">
        <v>89</v>
      </c>
      <c r="C68" s="1269" t="s">
        <v>50</v>
      </c>
      <c r="D68" s="197">
        <f>+D67*D69/1000</f>
        <v>654431.39443828771</v>
      </c>
      <c r="E68" s="1270">
        <f>+E69*E67/1000</f>
        <v>55828.715728287636</v>
      </c>
      <c r="F68" s="1270">
        <v>48274.5</v>
      </c>
      <c r="G68" s="1270">
        <f>+G69*G67/1000</f>
        <v>57505.817814899936</v>
      </c>
      <c r="H68" s="1270">
        <v>53295.9</v>
      </c>
      <c r="I68" s="1271">
        <f>+E68+G68</f>
        <v>113334.53354318757</v>
      </c>
      <c r="J68" s="1271">
        <f>+F68+H68</f>
        <v>101570.4</v>
      </c>
      <c r="K68" s="1270">
        <f>+K69*K67/1000</f>
        <v>55828.715728287636</v>
      </c>
      <c r="L68" s="1270">
        <v>56441.1</v>
      </c>
      <c r="M68" s="1480">
        <f>+K68+G68+E68</f>
        <v>169163.24927147522</v>
      </c>
      <c r="N68" s="1480">
        <f>+L68+H68+F68</f>
        <v>158011.5</v>
      </c>
      <c r="O68" s="1270">
        <f>+O69*O67/1000</f>
        <v>56457.629010767239</v>
      </c>
      <c r="P68" s="1270">
        <v>59694</v>
      </c>
      <c r="Q68" s="1271">
        <f>+M68+O68</f>
        <v>225620.87828224245</v>
      </c>
      <c r="R68" s="1271">
        <f>+N68+P68</f>
        <v>217705.5</v>
      </c>
      <c r="S68" s="1270">
        <f>+S69*S67/1000</f>
        <v>56457.629010767239</v>
      </c>
      <c r="T68" s="1270">
        <v>57476.85</v>
      </c>
      <c r="U68" s="1271">
        <f>+Q68+S68</f>
        <v>282078.50729300966</v>
      </c>
      <c r="V68" s="1271">
        <f>+R68+T68</f>
        <v>275182.34999999998</v>
      </c>
      <c r="W68" s="1270">
        <f>+W69*W67/1000</f>
        <v>31149.28651571535</v>
      </c>
      <c r="X68" s="1270">
        <v>56217.599999999999</v>
      </c>
      <c r="Y68" s="1480">
        <f>+O68+S68+W68</f>
        <v>144064.54453724984</v>
      </c>
      <c r="Z68" s="1480">
        <f>+P68+T68+X68</f>
        <v>173388.45</v>
      </c>
      <c r="AA68" s="1274">
        <f>+U68+W68</f>
        <v>313227.79380872502</v>
      </c>
      <c r="AB68" s="1274">
        <f>+N68+Z68</f>
        <v>331399.95</v>
      </c>
      <c r="AC68" s="1270">
        <f>+AC69*AC67/1000</f>
        <v>57505.817814899936</v>
      </c>
      <c r="AD68" s="1270">
        <v>45217.2</v>
      </c>
      <c r="AE68" s="1271">
        <f>+AA68+AC68</f>
        <v>370733.61162362498</v>
      </c>
      <c r="AF68" s="1271">
        <f>+AB68+AD68</f>
        <v>376617.15</v>
      </c>
      <c r="AG68" s="1270">
        <f>+AG69*AG67/1000</f>
        <v>56428.715728287636</v>
      </c>
      <c r="AH68" s="1270">
        <v>54930.9</v>
      </c>
      <c r="AI68" s="1271">
        <f>+AE68+AG68</f>
        <v>427162.32735191262</v>
      </c>
      <c r="AJ68" s="1271">
        <f>+AF68+AH68</f>
        <v>431548.05000000005</v>
      </c>
      <c r="AK68" s="1270">
        <f>+AK69*AK67/1000</f>
        <v>58105.817814899936</v>
      </c>
      <c r="AL68" s="1270">
        <v>54106.95</v>
      </c>
      <c r="AM68" s="1480">
        <f>+AC68+AG68+AK68</f>
        <v>172040.3513580875</v>
      </c>
      <c r="AN68" s="1480">
        <f>+AD68+AH68+AL68</f>
        <v>154255.04999999999</v>
      </c>
      <c r="AO68" s="1271">
        <f>AI68+AK68</f>
        <v>485268.14516681258</v>
      </c>
      <c r="AP68" s="1271">
        <f>AJ68+AL68</f>
        <v>485655.00000000006</v>
      </c>
      <c r="AQ68" s="1270">
        <f>+AQ69*AQ67/1000</f>
        <v>58344.368858206086</v>
      </c>
      <c r="AR68" s="1270">
        <v>54987</v>
      </c>
      <c r="AS68" s="1271">
        <f>+AO68+AQ68</f>
        <v>543612.51402501867</v>
      </c>
      <c r="AT68" s="1271">
        <f>+AP68+AR68</f>
        <v>540642</v>
      </c>
      <c r="AU68" s="1270">
        <f>+AU69*AU67/1000</f>
        <v>52474.511555063014</v>
      </c>
      <c r="AV68" s="1270">
        <v>47226.9</v>
      </c>
      <c r="AW68" s="1271">
        <f>+AS68+AU68</f>
        <v>596087.02558008162</v>
      </c>
      <c r="AX68" s="1271">
        <f>+AT68+AV68</f>
        <v>587868.9</v>
      </c>
      <c r="AY68" s="1270">
        <f>+AY69*AY67/1000</f>
        <v>58344.368858206086</v>
      </c>
      <c r="AZ68" s="1270">
        <v>56974.2</v>
      </c>
      <c r="BA68" s="1480">
        <f>+AQ68+AU68+AY68</f>
        <v>169163.24927147519</v>
      </c>
      <c r="BB68" s="1480">
        <f>+AR68+AV68+AZ68</f>
        <v>159188.09999999998</v>
      </c>
      <c r="BC68" s="1274">
        <f t="shared" ref="BC68:BD68" si="315">AM68+BA68</f>
        <v>341203.60062956269</v>
      </c>
      <c r="BD68" s="1274">
        <f t="shared" si="315"/>
        <v>313443.14999999997</v>
      </c>
      <c r="BE68" s="1271">
        <f>+AW68+AY68</f>
        <v>654431.39443828771</v>
      </c>
      <c r="BF68" s="1271">
        <f>+AX68+AZ68</f>
        <v>644843.1</v>
      </c>
      <c r="BG68" s="26">
        <f t="shared" si="37"/>
        <v>0</v>
      </c>
      <c r="BH68" s="26">
        <f t="shared" si="38"/>
        <v>0</v>
      </c>
      <c r="BI68" s="26"/>
      <c r="BJ68" s="26"/>
      <c r="BK68" s="26"/>
      <c r="BL68" s="26"/>
      <c r="BM68" s="26"/>
      <c r="BN68" s="26"/>
    </row>
    <row r="69" spans="2:66" ht="16.2" thickBot="1" x14ac:dyDescent="0.35">
      <c r="B69" s="6249"/>
      <c r="C69" s="3151" t="s">
        <v>219</v>
      </c>
      <c r="D69" s="3152">
        <v>150</v>
      </c>
      <c r="E69" s="3151">
        <v>150</v>
      </c>
      <c r="F69" s="2746">
        <f>+F68/F67*1000</f>
        <v>150</v>
      </c>
      <c r="G69" s="3151">
        <v>150</v>
      </c>
      <c r="H69" s="2746">
        <f>+H68/H67*1000</f>
        <v>150</v>
      </c>
      <c r="I69" s="3153">
        <f>+I68/I67*1000</f>
        <v>150</v>
      </c>
      <c r="J69" s="3153">
        <f>+J68/J67*1000</f>
        <v>150</v>
      </c>
      <c r="K69" s="3151">
        <v>150</v>
      </c>
      <c r="L69" s="2746">
        <f>+L68/L67*1000</f>
        <v>150</v>
      </c>
      <c r="M69" s="1479">
        <f>+M68/M67*1000</f>
        <v>150</v>
      </c>
      <c r="N69" s="1479">
        <f>+N68/N67*1000</f>
        <v>150</v>
      </c>
      <c r="O69" s="3151">
        <v>150</v>
      </c>
      <c r="P69" s="2746">
        <f>+P68/P67*1000</f>
        <v>150</v>
      </c>
      <c r="Q69" s="1272">
        <f>+Q68/Q67*1000</f>
        <v>150</v>
      </c>
      <c r="R69" s="1272">
        <f>+R68/R67*1000</f>
        <v>150</v>
      </c>
      <c r="S69" s="3151">
        <v>150</v>
      </c>
      <c r="T69" s="2746">
        <f>+T68/T67*1000</f>
        <v>150</v>
      </c>
      <c r="U69" s="1272">
        <f>+U68/U67*1000</f>
        <v>149.99999999999997</v>
      </c>
      <c r="V69" s="1272">
        <f>+V68/V67*1000</f>
        <v>150</v>
      </c>
      <c r="W69" s="3151">
        <v>150</v>
      </c>
      <c r="X69" s="2746">
        <f>+X68/X67*1000</f>
        <v>150</v>
      </c>
      <c r="Y69" s="1479">
        <f>+Y68/Y67*1000</f>
        <v>150</v>
      </c>
      <c r="Z69" s="1479">
        <f>+Z68/Z67*1000</f>
        <v>150.00000000000003</v>
      </c>
      <c r="AA69" s="1274">
        <f>+AA68/AA67*1000</f>
        <v>149.99999999999997</v>
      </c>
      <c r="AB69" s="1274">
        <f>+AB68/AB67*1000</f>
        <v>150</v>
      </c>
      <c r="AC69" s="3151">
        <v>150</v>
      </c>
      <c r="AD69" s="2746">
        <f>+AD68/AD67*1000</f>
        <v>150</v>
      </c>
      <c r="AE69" s="1272">
        <f>+AE68/AE67*1000</f>
        <v>150</v>
      </c>
      <c r="AF69" s="1272">
        <f>+AF68/AF67*1000</f>
        <v>150.00000000000003</v>
      </c>
      <c r="AG69" s="3151">
        <v>150</v>
      </c>
      <c r="AH69" s="2746">
        <f>+AH68/AH67*1000</f>
        <v>150</v>
      </c>
      <c r="AI69" s="1272">
        <f>+AI68/AI67*1000</f>
        <v>150</v>
      </c>
      <c r="AJ69" s="1272">
        <f>+AJ68/AJ67*1000</f>
        <v>150.00000000000003</v>
      </c>
      <c r="AK69" s="3151">
        <v>150</v>
      </c>
      <c r="AL69" s="2746">
        <f>+AL68/AL67*1000</f>
        <v>150</v>
      </c>
      <c r="AM69" s="1479">
        <f>+AM68/AM67*1000</f>
        <v>150</v>
      </c>
      <c r="AN69" s="1479">
        <f>+AN68/AN67*1000</f>
        <v>150</v>
      </c>
      <c r="AO69" s="1272">
        <f>+AO68/AO67*1000</f>
        <v>150.00000000000003</v>
      </c>
      <c r="AP69" s="1272">
        <f>+AP68/AP67*1000</f>
        <v>150.00000000000003</v>
      </c>
      <c r="AQ69" s="3151">
        <v>150</v>
      </c>
      <c r="AR69" s="2746">
        <f>+AR68/AR67*1000</f>
        <v>150</v>
      </c>
      <c r="AS69" s="1272">
        <f>+AS68/AS67*1000</f>
        <v>150.00000000000003</v>
      </c>
      <c r="AT69" s="1272">
        <f>+AT68/AT67*1000</f>
        <v>150</v>
      </c>
      <c r="AU69" s="3151">
        <v>150</v>
      </c>
      <c r="AV69" s="2746">
        <f>+AV68/AV67*1000</f>
        <v>150</v>
      </c>
      <c r="AW69" s="1272">
        <f>+AW68/AW67*1000</f>
        <v>150</v>
      </c>
      <c r="AX69" s="1272">
        <f>+AX68/AX67*1000</f>
        <v>150</v>
      </c>
      <c r="AY69" s="3151">
        <v>150</v>
      </c>
      <c r="AZ69" s="2746">
        <f>+AZ68/AZ67*1000</f>
        <v>150</v>
      </c>
      <c r="BA69" s="1479">
        <f t="shared" ref="BA69:BF69" si="316">+BA68/BA67*1000</f>
        <v>150</v>
      </c>
      <c r="BB69" s="1479">
        <f t="shared" si="316"/>
        <v>149.99999999999997</v>
      </c>
      <c r="BC69" s="1274">
        <f t="shared" si="316"/>
        <v>150</v>
      </c>
      <c r="BD69" s="1274">
        <f t="shared" si="316"/>
        <v>150</v>
      </c>
      <c r="BE69" s="1272">
        <f t="shared" si="316"/>
        <v>150</v>
      </c>
      <c r="BF69" s="1272">
        <f t="shared" si="316"/>
        <v>150</v>
      </c>
      <c r="BG69" s="26"/>
      <c r="BH69" s="26"/>
      <c r="BI69" s="26"/>
      <c r="BJ69" s="26"/>
      <c r="BK69" s="26"/>
      <c r="BL69" s="26"/>
      <c r="BM69" s="26"/>
      <c r="BN69" s="26"/>
    </row>
    <row r="70" spans="2:66" ht="17.399999999999999" x14ac:dyDescent="0.3">
      <c r="B70" s="3133" t="s">
        <v>46</v>
      </c>
      <c r="C70" s="3134"/>
      <c r="D70" s="2413"/>
      <c r="E70" s="3135"/>
      <c r="F70" s="3135"/>
      <c r="G70" s="3135"/>
      <c r="H70" s="3135"/>
      <c r="I70" s="3134"/>
      <c r="J70" s="3136"/>
      <c r="K70" s="3135"/>
      <c r="L70" s="3135"/>
      <c r="M70" s="1261"/>
      <c r="N70" s="1261"/>
      <c r="O70" s="3135"/>
      <c r="P70" s="3135"/>
      <c r="Q70" s="1261"/>
      <c r="R70" s="1261"/>
      <c r="S70" s="3135"/>
      <c r="T70" s="3135"/>
      <c r="U70" s="1261"/>
      <c r="V70" s="1261"/>
      <c r="W70" s="3135"/>
      <c r="X70" s="3135"/>
      <c r="Y70" s="1261"/>
      <c r="Z70" s="1261"/>
      <c r="AA70" s="1261"/>
      <c r="AB70" s="1261"/>
      <c r="AC70" s="3135"/>
      <c r="AD70" s="3135"/>
      <c r="AE70" s="1261"/>
      <c r="AF70" s="1261"/>
      <c r="AG70" s="3135"/>
      <c r="AH70" s="3135"/>
      <c r="AI70" s="1261"/>
      <c r="AJ70" s="1261"/>
      <c r="AK70" s="3135"/>
      <c r="AL70" s="3135"/>
      <c r="AM70" s="1261"/>
      <c r="AN70" s="1261"/>
      <c r="AO70" s="1261"/>
      <c r="AP70" s="1261"/>
      <c r="AQ70" s="3135"/>
      <c r="AR70" s="3135"/>
      <c r="AS70" s="1261"/>
      <c r="AT70" s="1261"/>
      <c r="AU70" s="3135"/>
      <c r="AV70" s="3135"/>
      <c r="AW70" s="1261"/>
      <c r="AX70" s="1261"/>
      <c r="AY70" s="3135"/>
      <c r="AZ70" s="3135"/>
      <c r="BA70" s="1261"/>
      <c r="BB70" s="1261"/>
      <c r="BC70" s="1261"/>
      <c r="BD70" s="1261"/>
      <c r="BE70" s="1261"/>
      <c r="BF70" s="1261"/>
      <c r="BG70" s="26"/>
      <c r="BH70" s="26"/>
      <c r="BI70" s="26"/>
      <c r="BJ70" s="26"/>
      <c r="BK70" s="26"/>
      <c r="BL70" s="26"/>
      <c r="BM70" s="26"/>
      <c r="BN70" s="26"/>
    </row>
    <row r="71" spans="2:66" x14ac:dyDescent="0.3">
      <c r="B71" s="3137" t="s">
        <v>88</v>
      </c>
      <c r="C71" s="3138" t="s">
        <v>221</v>
      </c>
      <c r="D71" s="2546">
        <f>+D2*24</f>
        <v>8760</v>
      </c>
      <c r="E71" s="3138">
        <f>+E2*24</f>
        <v>720</v>
      </c>
      <c r="F71" s="3138">
        <f>+F2*24</f>
        <v>720</v>
      </c>
      <c r="G71" s="3138">
        <f>+G2*24</f>
        <v>744</v>
      </c>
      <c r="H71" s="3138">
        <f>+H2*24</f>
        <v>744</v>
      </c>
      <c r="I71" s="3154">
        <f>+E71+G71</f>
        <v>1464</v>
      </c>
      <c r="J71" s="3143">
        <f>+F71+H71</f>
        <v>1464</v>
      </c>
      <c r="K71" s="3138">
        <f>+K2*24</f>
        <v>720</v>
      </c>
      <c r="L71" s="3138">
        <f>+L2*24</f>
        <v>720</v>
      </c>
      <c r="M71" s="1266">
        <f>+K71+G71+E71</f>
        <v>2184</v>
      </c>
      <c r="N71" s="1266">
        <f>+L71+H71+F71</f>
        <v>2184</v>
      </c>
      <c r="O71" s="3138">
        <f>+O2*24</f>
        <v>744</v>
      </c>
      <c r="P71" s="3138">
        <f>+P2*24</f>
        <v>744</v>
      </c>
      <c r="Q71" s="1265">
        <f>+M71+O71</f>
        <v>2928</v>
      </c>
      <c r="R71" s="1265">
        <f>+N71+P71</f>
        <v>2928</v>
      </c>
      <c r="S71" s="3138">
        <f>+S2*24</f>
        <v>744</v>
      </c>
      <c r="T71" s="3138">
        <f>+T2*24</f>
        <v>744</v>
      </c>
      <c r="U71" s="1265">
        <f>+Q71+S71</f>
        <v>3672</v>
      </c>
      <c r="V71" s="1265">
        <f>+R71+T71</f>
        <v>3672</v>
      </c>
      <c r="W71" s="3138">
        <f>+W2*24</f>
        <v>720</v>
      </c>
      <c r="X71" s="3138">
        <f>+X2*24</f>
        <v>720</v>
      </c>
      <c r="Y71" s="1266">
        <f>+O71+S71+W71</f>
        <v>2208</v>
      </c>
      <c r="Z71" s="1266">
        <f>+P71+T71+X71</f>
        <v>2208</v>
      </c>
      <c r="AA71" s="1205">
        <f>M71+Y71</f>
        <v>4392</v>
      </c>
      <c r="AB71" s="1205">
        <f>N71+Z71</f>
        <v>4392</v>
      </c>
      <c r="AC71" s="3138">
        <f>+AC2*24</f>
        <v>744</v>
      </c>
      <c r="AD71" s="3138">
        <f>+AD2*24</f>
        <v>744</v>
      </c>
      <c r="AE71" s="1265">
        <f>+AA71+AC71</f>
        <v>5136</v>
      </c>
      <c r="AF71" s="1265">
        <f>+AB71+AD71</f>
        <v>5136</v>
      </c>
      <c r="AG71" s="3138">
        <f>+AG2*24</f>
        <v>720</v>
      </c>
      <c r="AH71" s="3138">
        <f>+AH2*24</f>
        <v>720</v>
      </c>
      <c r="AI71" s="1265">
        <f>+AE71+AG71</f>
        <v>5856</v>
      </c>
      <c r="AJ71" s="1265">
        <f>+AF71+AH71</f>
        <v>5856</v>
      </c>
      <c r="AK71" s="3138">
        <f>+AK2*24</f>
        <v>744</v>
      </c>
      <c r="AL71" s="3138">
        <f>+AL2*24</f>
        <v>744</v>
      </c>
      <c r="AM71" s="1266">
        <f>+AC71+AG71+AK71</f>
        <v>2208</v>
      </c>
      <c r="AN71" s="1266">
        <f>+AD71+AH71+AL71</f>
        <v>2208</v>
      </c>
      <c r="AO71" s="1264">
        <f>AI71+AK71</f>
        <v>6600</v>
      </c>
      <c r="AP71" s="1264">
        <f>AJ71+AL71</f>
        <v>6600</v>
      </c>
      <c r="AQ71" s="3138">
        <f>+AQ2*24</f>
        <v>744</v>
      </c>
      <c r="AR71" s="3138">
        <f>+AR2*24</f>
        <v>744</v>
      </c>
      <c r="AS71" s="1265">
        <f>+AO71+AQ71</f>
        <v>7344</v>
      </c>
      <c r="AT71" s="1265">
        <f>+AP71+AR71</f>
        <v>7344</v>
      </c>
      <c r="AU71" s="3138">
        <f>+AU2*24</f>
        <v>672</v>
      </c>
      <c r="AV71" s="3138">
        <f>+AV2*24</f>
        <v>672</v>
      </c>
      <c r="AW71" s="1265">
        <f>+AS71+AU71</f>
        <v>8016</v>
      </c>
      <c r="AX71" s="1265">
        <f>+AT71+AV71</f>
        <v>8016</v>
      </c>
      <c r="AY71" s="3138">
        <f>+AY2*24</f>
        <v>744</v>
      </c>
      <c r="AZ71" s="3138">
        <f>+AZ2*24</f>
        <v>744</v>
      </c>
      <c r="BA71" s="1266">
        <f>+AQ71+AU71+AY71</f>
        <v>2160</v>
      </c>
      <c r="BB71" s="1266">
        <f>+AR71+AV71+AZ71</f>
        <v>2160</v>
      </c>
      <c r="BC71" s="1205">
        <f t="shared" ref="BC71:BC72" si="317">AM71+BA71</f>
        <v>4368</v>
      </c>
      <c r="BD71" s="1205">
        <f t="shared" ref="BD71:BD72" si="318">AN71+BB71</f>
        <v>4368</v>
      </c>
      <c r="BE71" s="1265">
        <f>+AW71+AY71</f>
        <v>8760</v>
      </c>
      <c r="BF71" s="1265">
        <f>+AX71+AZ71</f>
        <v>8760</v>
      </c>
      <c r="BG71" s="26">
        <f t="shared" ref="BG71:BG82" si="319">AY71+AU71+AQ71+AK71+AG71+AC71+W71+S71+O71+K71+G71+E71-BE71</f>
        <v>0</v>
      </c>
      <c r="BH71" s="26">
        <f t="shared" ref="BH71:BH82" si="320">AZ71+AV71+AR71+AL71+AH71+AD71+X71+T71+P71+L71+H71+F71-BF71</f>
        <v>0</v>
      </c>
      <c r="BI71" s="26"/>
      <c r="BJ71" s="26"/>
      <c r="BK71" s="26"/>
      <c r="BL71" s="26"/>
      <c r="BM71" s="26"/>
      <c r="BN71" s="26"/>
    </row>
    <row r="72" spans="2:66" x14ac:dyDescent="0.3">
      <c r="B72" s="3137" t="s">
        <v>222</v>
      </c>
      <c r="C72" s="3138" t="s">
        <v>221</v>
      </c>
      <c r="D72" s="2546">
        <v>8100</v>
      </c>
      <c r="E72" s="2646">
        <v>690</v>
      </c>
      <c r="F72" s="2646">
        <v>702.5</v>
      </c>
      <c r="G72" s="2646">
        <v>714</v>
      </c>
      <c r="H72" s="2646">
        <v>727</v>
      </c>
      <c r="I72" s="2647">
        <f>+E72+G72</f>
        <v>1404</v>
      </c>
      <c r="J72" s="3155">
        <f>+F72+H72</f>
        <v>1429.5</v>
      </c>
      <c r="K72" s="2646">
        <v>690</v>
      </c>
      <c r="L72" s="2646">
        <v>704</v>
      </c>
      <c r="M72" s="1266">
        <f>+K72+G72+E72</f>
        <v>2094</v>
      </c>
      <c r="N72" s="1266">
        <f>+L72+H72+F72</f>
        <v>2133.5</v>
      </c>
      <c r="O72" s="2646">
        <v>714</v>
      </c>
      <c r="P72" s="2646">
        <v>726.75</v>
      </c>
      <c r="Q72" s="1264">
        <f>+M72+O72</f>
        <v>2808</v>
      </c>
      <c r="R72" s="1264">
        <f>+N72+P72</f>
        <v>2860.25</v>
      </c>
      <c r="S72" s="2646">
        <v>714</v>
      </c>
      <c r="T72" s="2646">
        <v>728.91499999999996</v>
      </c>
      <c r="U72" s="1264">
        <f>+Q72+S72</f>
        <v>3522</v>
      </c>
      <c r="V72" s="1264">
        <f>+R72+T72</f>
        <v>3589.165</v>
      </c>
      <c r="W72" s="2646">
        <v>390</v>
      </c>
      <c r="X72" s="2646">
        <v>706.6</v>
      </c>
      <c r="Y72" s="1266">
        <f>+O72+S72+W72</f>
        <v>1818</v>
      </c>
      <c r="Z72" s="1266">
        <f>+P72+T72+X72</f>
        <v>2162.2649999999999</v>
      </c>
      <c r="AA72" s="1205">
        <f>M72+Y72</f>
        <v>3912</v>
      </c>
      <c r="AB72" s="1205">
        <f>N72+Z72</f>
        <v>4295.7649999999994</v>
      </c>
      <c r="AC72" s="2646">
        <v>714</v>
      </c>
      <c r="AD72" s="2646">
        <v>583.5</v>
      </c>
      <c r="AE72" s="1264">
        <f>+AA72+AC72</f>
        <v>4626</v>
      </c>
      <c r="AF72" s="1264">
        <f>+AB72+AD72</f>
        <v>4879.2649999999994</v>
      </c>
      <c r="AG72" s="2646">
        <v>690</v>
      </c>
      <c r="AH72" s="2646">
        <v>697.5</v>
      </c>
      <c r="AI72" s="1264">
        <f>+AE72+AG72</f>
        <v>5316</v>
      </c>
      <c r="AJ72" s="1264">
        <f>+AF72+AH72</f>
        <v>5576.7649999999994</v>
      </c>
      <c r="AK72" s="2646">
        <v>714</v>
      </c>
      <c r="AL72" s="2646">
        <v>726</v>
      </c>
      <c r="AM72" s="1266">
        <f>+AC72+AG72+AK72</f>
        <v>2118</v>
      </c>
      <c r="AN72" s="1266">
        <f>+AD72+AH72+AL72</f>
        <v>2007</v>
      </c>
      <c r="AO72" s="1264">
        <f>AI72+AK72</f>
        <v>6030</v>
      </c>
      <c r="AP72" s="1264">
        <f>AJ72+AL72</f>
        <v>6302.7649999999994</v>
      </c>
      <c r="AQ72" s="2646">
        <v>714</v>
      </c>
      <c r="AR72" s="2646">
        <v>723</v>
      </c>
      <c r="AS72" s="1264">
        <f>+AO72+AQ72</f>
        <v>6744</v>
      </c>
      <c r="AT72" s="1279">
        <f>+AP72+AR72</f>
        <v>7025.7649999999994</v>
      </c>
      <c r="AU72" s="2646">
        <v>642</v>
      </c>
      <c r="AV72" s="2646">
        <v>656</v>
      </c>
      <c r="AW72" s="1264">
        <f>+AS72+AU72</f>
        <v>7386</v>
      </c>
      <c r="AX72" s="1264">
        <f>+AT72+AV72</f>
        <v>7681.7649999999994</v>
      </c>
      <c r="AY72" s="2646">
        <v>714</v>
      </c>
      <c r="AZ72" s="2646">
        <v>724.25</v>
      </c>
      <c r="BA72" s="1266">
        <f>+AQ72+AU72+AY72</f>
        <v>2070</v>
      </c>
      <c r="BB72" s="1266">
        <f>+AR72+AV72+AZ72</f>
        <v>2103.25</v>
      </c>
      <c r="BC72" s="1205">
        <f t="shared" si="317"/>
        <v>4188</v>
      </c>
      <c r="BD72" s="1205">
        <f t="shared" si="318"/>
        <v>4110.25</v>
      </c>
      <c r="BE72" s="1264">
        <f>+AW72+AY72</f>
        <v>8100</v>
      </c>
      <c r="BF72" s="1264">
        <f>+AX72+AZ72</f>
        <v>8406.0149999999994</v>
      </c>
      <c r="BG72" s="26">
        <f t="shared" si="319"/>
        <v>0</v>
      </c>
      <c r="BH72" s="26">
        <f t="shared" si="320"/>
        <v>0</v>
      </c>
      <c r="BI72" s="26"/>
      <c r="BJ72" s="26"/>
      <c r="BK72" s="26"/>
      <c r="BL72" s="26"/>
      <c r="BM72" s="26"/>
      <c r="BN72" s="26"/>
    </row>
    <row r="73" spans="2:66" x14ac:dyDescent="0.3">
      <c r="B73" s="3137" t="s">
        <v>223</v>
      </c>
      <c r="C73" s="3138" t="s">
        <v>49</v>
      </c>
      <c r="D73" s="2794">
        <f t="shared" ref="D73:T73" si="321">+D72/D71*100</f>
        <v>92.465753424657535</v>
      </c>
      <c r="E73" s="3139">
        <f t="shared" si="321"/>
        <v>95.833333333333343</v>
      </c>
      <c r="F73" s="2646">
        <f t="shared" si="321"/>
        <v>97.569444444444443</v>
      </c>
      <c r="G73" s="3139">
        <f t="shared" ref="G73:H73" si="322">+G72/G71*100</f>
        <v>95.967741935483872</v>
      </c>
      <c r="H73" s="2646">
        <f t="shared" si="322"/>
        <v>97.715053763440864</v>
      </c>
      <c r="I73" s="3140">
        <f t="shared" si="321"/>
        <v>95.901639344262293</v>
      </c>
      <c r="J73" s="3141">
        <f t="shared" si="321"/>
        <v>97.643442622950815</v>
      </c>
      <c r="K73" s="3139">
        <f t="shared" si="321"/>
        <v>95.833333333333343</v>
      </c>
      <c r="L73" s="2646">
        <f t="shared" si="321"/>
        <v>97.777777777777771</v>
      </c>
      <c r="M73" s="1277">
        <f t="shared" si="321"/>
        <v>95.879120879120876</v>
      </c>
      <c r="N73" s="1277">
        <f t="shared" si="321"/>
        <v>97.687728937728934</v>
      </c>
      <c r="O73" s="3139">
        <f t="shared" ref="O73:P73" si="323">+O72/O71*100</f>
        <v>95.967741935483872</v>
      </c>
      <c r="P73" s="2646">
        <f t="shared" si="323"/>
        <v>97.681451612903231</v>
      </c>
      <c r="Q73" s="1279">
        <f t="shared" si="321"/>
        <v>95.901639344262293</v>
      </c>
      <c r="R73" s="1279">
        <f t="shared" si="321"/>
        <v>97.686133879781423</v>
      </c>
      <c r="S73" s="3139">
        <f t="shared" si="321"/>
        <v>95.967741935483872</v>
      </c>
      <c r="T73" s="2646">
        <f t="shared" si="321"/>
        <v>97.972446236559136</v>
      </c>
      <c r="U73" s="1279">
        <f t="shared" ref="U73:X73" si="324">+U72/U71*100</f>
        <v>95.915032679738559</v>
      </c>
      <c r="V73" s="1279">
        <f t="shared" si="324"/>
        <v>97.744144880174289</v>
      </c>
      <c r="W73" s="3139">
        <f t="shared" si="324"/>
        <v>54.166666666666664</v>
      </c>
      <c r="X73" s="2646">
        <f t="shared" si="324"/>
        <v>98.138888888888886</v>
      </c>
      <c r="Y73" s="1277">
        <f t="shared" ref="Y73:AF73" si="325">+Y72/Y71*100</f>
        <v>82.33695652173914</v>
      </c>
      <c r="Z73" s="1277">
        <f t="shared" si="325"/>
        <v>97.92866847826086</v>
      </c>
      <c r="AA73" s="1205">
        <f t="shared" si="325"/>
        <v>89.071038251366119</v>
      </c>
      <c r="AB73" s="1280">
        <f t="shared" si="325"/>
        <v>97.808857012750437</v>
      </c>
      <c r="AC73" s="3139">
        <f t="shared" si="325"/>
        <v>95.967741935483872</v>
      </c>
      <c r="AD73" s="2646">
        <f t="shared" si="325"/>
        <v>78.427419354838719</v>
      </c>
      <c r="AE73" s="1279">
        <f t="shared" si="325"/>
        <v>90.070093457943926</v>
      </c>
      <c r="AF73" s="1279">
        <f t="shared" si="325"/>
        <v>95.001265576323974</v>
      </c>
      <c r="AG73" s="3139">
        <f t="shared" ref="AG73:AH73" si="326">+AG72/AG71*100</f>
        <v>95.833333333333343</v>
      </c>
      <c r="AH73" s="2646">
        <f t="shared" si="326"/>
        <v>96.875</v>
      </c>
      <c r="AI73" s="1279">
        <f t="shared" ref="AI73:AL73" si="327">+AI72/AI71*100</f>
        <v>90.778688524590166</v>
      </c>
      <c r="AJ73" s="1279">
        <f t="shared" si="327"/>
        <v>95.231642759562831</v>
      </c>
      <c r="AK73" s="3139">
        <f t="shared" si="327"/>
        <v>95.967741935483872</v>
      </c>
      <c r="AL73" s="2646">
        <f t="shared" si="327"/>
        <v>97.58064516129032</v>
      </c>
      <c r="AM73" s="1277">
        <f t="shared" ref="AM73:AN73" si="328">+AM72/AM71*100</f>
        <v>95.923913043478265</v>
      </c>
      <c r="AN73" s="1277">
        <f t="shared" si="328"/>
        <v>90.896739130434781</v>
      </c>
      <c r="AO73" s="1279">
        <f t="shared" ref="AO73:AT73" si="329">+AO72/AO71*100</f>
        <v>91.363636363636374</v>
      </c>
      <c r="AP73" s="1279">
        <f t="shared" si="329"/>
        <v>95.496439393939383</v>
      </c>
      <c r="AQ73" s="3139">
        <f t="shared" si="329"/>
        <v>95.967741935483872</v>
      </c>
      <c r="AR73" s="2646">
        <f t="shared" si="329"/>
        <v>97.177419354838719</v>
      </c>
      <c r="AS73" s="1279">
        <f t="shared" si="329"/>
        <v>91.830065359477118</v>
      </c>
      <c r="AT73" s="1279">
        <f t="shared" si="329"/>
        <v>95.66673474945533</v>
      </c>
      <c r="AU73" s="3139">
        <f t="shared" ref="AU73:AX73" si="330">+AU72/AU71*100</f>
        <v>95.535714285714292</v>
      </c>
      <c r="AV73" s="2854">
        <f t="shared" si="330"/>
        <v>97.61904761904762</v>
      </c>
      <c r="AW73" s="1279">
        <f t="shared" si="330"/>
        <v>92.140718562874241</v>
      </c>
      <c r="AX73" s="1279">
        <f t="shared" si="330"/>
        <v>95.830401696606785</v>
      </c>
      <c r="AY73" s="3139">
        <f t="shared" ref="AY73:AZ73" si="331">+AY72/AY71*100</f>
        <v>95.967741935483872</v>
      </c>
      <c r="AZ73" s="2854">
        <f t="shared" si="331"/>
        <v>97.34543010752688</v>
      </c>
      <c r="BA73" s="1277">
        <f t="shared" ref="BA73:BF73" si="332">+BA72/BA71*100</f>
        <v>95.833333333333343</v>
      </c>
      <c r="BB73" s="1277">
        <f t="shared" si="332"/>
        <v>97.372685185185176</v>
      </c>
      <c r="BC73" s="1205">
        <f t="shared" si="332"/>
        <v>95.879120879120876</v>
      </c>
      <c r="BD73" s="1280">
        <f t="shared" si="332"/>
        <v>94.099130036630044</v>
      </c>
      <c r="BE73" s="1279">
        <f t="shared" si="332"/>
        <v>92.465753424657535</v>
      </c>
      <c r="BF73" s="1279">
        <f t="shared" si="332"/>
        <v>95.959075342465752</v>
      </c>
      <c r="BG73" s="26"/>
      <c r="BH73" s="26"/>
      <c r="BI73" s="26"/>
      <c r="BJ73" s="26"/>
      <c r="BK73" s="26"/>
      <c r="BL73" s="26"/>
      <c r="BM73" s="26"/>
      <c r="BN73" s="26"/>
    </row>
    <row r="74" spans="2:66" x14ac:dyDescent="0.3">
      <c r="B74" s="3137" t="s">
        <v>224</v>
      </c>
      <c r="C74" s="3138" t="s">
        <v>221</v>
      </c>
      <c r="D74" s="2537">
        <v>7938.0000000000009</v>
      </c>
      <c r="E74" s="2649">
        <v>676.19999999999993</v>
      </c>
      <c r="F74" s="2646">
        <v>583.48</v>
      </c>
      <c r="G74" s="2649">
        <v>699.72</v>
      </c>
      <c r="H74" s="2646">
        <v>646.63</v>
      </c>
      <c r="I74" s="2647">
        <f>+E74+G74</f>
        <v>1375.92</v>
      </c>
      <c r="J74" s="3155">
        <f>+F74+H74</f>
        <v>1230.1100000000001</v>
      </c>
      <c r="K74" s="2649">
        <v>676.19999999999993</v>
      </c>
      <c r="L74" s="2646">
        <v>682.45</v>
      </c>
      <c r="M74" s="1266">
        <f>+K74+G74+E74</f>
        <v>2052.12</v>
      </c>
      <c r="N74" s="1266">
        <f>+L74+H74+F74</f>
        <v>1912.56</v>
      </c>
      <c r="O74" s="2649">
        <v>699.72</v>
      </c>
      <c r="P74" s="2646">
        <v>713.62</v>
      </c>
      <c r="Q74" s="1264">
        <f>+M74+O74</f>
        <v>2751.84</v>
      </c>
      <c r="R74" s="1264">
        <f>+N74+P74</f>
        <v>2626.18</v>
      </c>
      <c r="S74" s="2649">
        <v>699.72</v>
      </c>
      <c r="T74" s="2646">
        <v>695.57</v>
      </c>
      <c r="U74" s="1264">
        <f>+Q74+S74</f>
        <v>3451.5600000000004</v>
      </c>
      <c r="V74" s="1264">
        <f>+R74+T74</f>
        <v>3321.75</v>
      </c>
      <c r="W74" s="2649">
        <v>382.2</v>
      </c>
      <c r="X74" s="2646">
        <v>685.4</v>
      </c>
      <c r="Y74" s="1266">
        <f>+O74+S74+W74</f>
        <v>1781.64</v>
      </c>
      <c r="Z74" s="1266">
        <f>+P74+T74+X74</f>
        <v>2094.59</v>
      </c>
      <c r="AA74" s="1205">
        <f>M74+Y74</f>
        <v>3833.76</v>
      </c>
      <c r="AB74" s="1205">
        <f>N74+Z74</f>
        <v>4007.15</v>
      </c>
      <c r="AC74" s="2649">
        <v>699.72</v>
      </c>
      <c r="AD74" s="2646">
        <v>545.98</v>
      </c>
      <c r="AE74" s="1264">
        <f>+AA74+AC74</f>
        <v>4533.4800000000005</v>
      </c>
      <c r="AF74" s="1264">
        <f>+AB74+AD74</f>
        <v>4553.13</v>
      </c>
      <c r="AG74" s="2649">
        <v>676.19999999999993</v>
      </c>
      <c r="AH74" s="2646">
        <v>641.57000000000005</v>
      </c>
      <c r="AI74" s="1264">
        <f>+AE74+AG74</f>
        <v>5209.68</v>
      </c>
      <c r="AJ74" s="1264">
        <f>+AF74+AH74</f>
        <v>5194.7</v>
      </c>
      <c r="AK74" s="2649">
        <v>699.72</v>
      </c>
      <c r="AL74" s="2646">
        <v>632.30999999999995</v>
      </c>
      <c r="AM74" s="1266">
        <f>+AC74+AG74+AK74</f>
        <v>2075.6400000000003</v>
      </c>
      <c r="AN74" s="1266">
        <f>+AD74+AH74+AL74</f>
        <v>1819.8600000000001</v>
      </c>
      <c r="AO74" s="1264">
        <f>AI74+AK74</f>
        <v>5909.4000000000005</v>
      </c>
      <c r="AP74" s="1264">
        <f>AJ74+AL74</f>
        <v>5827.01</v>
      </c>
      <c r="AQ74" s="2649">
        <v>699.72</v>
      </c>
      <c r="AR74" s="2854">
        <v>686.22</v>
      </c>
      <c r="AS74" s="1264">
        <f>+AO74+AQ74</f>
        <v>6609.1200000000008</v>
      </c>
      <c r="AT74" s="1264">
        <f>+AP74+AR74</f>
        <v>6513.2300000000005</v>
      </c>
      <c r="AU74" s="2649">
        <v>629.16</v>
      </c>
      <c r="AV74" s="2646">
        <v>586.21</v>
      </c>
      <c r="AW74" s="1264">
        <f>+AS74+AU74</f>
        <v>7238.2800000000007</v>
      </c>
      <c r="AX74" s="1264">
        <f>+AT74+AV74</f>
        <v>7099.4400000000005</v>
      </c>
      <c r="AY74" s="2649">
        <v>699.72</v>
      </c>
      <c r="AZ74" s="2646">
        <v>673.5</v>
      </c>
      <c r="BA74" s="1266">
        <f>+AQ74+AU74+AY74</f>
        <v>2028.6000000000001</v>
      </c>
      <c r="BB74" s="1266">
        <f>+AR74+AV74+AZ74</f>
        <v>1945.93</v>
      </c>
      <c r="BC74" s="1205">
        <f t="shared" ref="BC74" si="333">AM74+BA74</f>
        <v>4104.2400000000007</v>
      </c>
      <c r="BD74" s="1205">
        <f t="shared" ref="BD74" si="334">AN74+BB74</f>
        <v>3765.79</v>
      </c>
      <c r="BE74" s="1264">
        <f>+AW74+AY74</f>
        <v>7938.0000000000009</v>
      </c>
      <c r="BF74" s="1264">
        <f>+AX74+AZ74</f>
        <v>7772.9400000000005</v>
      </c>
      <c r="BG74" s="26">
        <f t="shared" si="319"/>
        <v>0</v>
      </c>
      <c r="BH74" s="26">
        <f t="shared" si="320"/>
        <v>0</v>
      </c>
      <c r="BI74" s="26"/>
      <c r="BJ74" s="26"/>
      <c r="BK74" s="26"/>
      <c r="BL74" s="26"/>
      <c r="BM74" s="26"/>
      <c r="BN74" s="26"/>
    </row>
    <row r="75" spans="2:66" x14ac:dyDescent="0.3">
      <c r="B75" s="3137" t="s">
        <v>225</v>
      </c>
      <c r="C75" s="3138" t="s">
        <v>49</v>
      </c>
      <c r="D75" s="2537">
        <f t="shared" ref="D75:T75" si="335">+D74/D72*100</f>
        <v>98.000000000000014</v>
      </c>
      <c r="E75" s="3139">
        <f t="shared" si="335"/>
        <v>97.999999999999986</v>
      </c>
      <c r="F75" s="3139">
        <f t="shared" si="335"/>
        <v>83.057651245551597</v>
      </c>
      <c r="G75" s="3139">
        <f t="shared" ref="G75:H75" si="336">+G74/G72*100</f>
        <v>98.000000000000014</v>
      </c>
      <c r="H75" s="3139">
        <f t="shared" si="336"/>
        <v>88.944979367262718</v>
      </c>
      <c r="I75" s="3140">
        <f t="shared" si="335"/>
        <v>98.000000000000014</v>
      </c>
      <c r="J75" s="3141">
        <f t="shared" si="335"/>
        <v>86.051766351871294</v>
      </c>
      <c r="K75" s="3139">
        <f t="shared" si="335"/>
        <v>97.999999999999986</v>
      </c>
      <c r="L75" s="3139">
        <f t="shared" si="335"/>
        <v>96.938920454545467</v>
      </c>
      <c r="M75" s="1277">
        <f t="shared" si="335"/>
        <v>98</v>
      </c>
      <c r="N75" s="1277">
        <f t="shared" si="335"/>
        <v>89.644246543238808</v>
      </c>
      <c r="O75" s="3139">
        <f t="shared" ref="O75:P75" si="337">+O74/O72*100</f>
        <v>98.000000000000014</v>
      </c>
      <c r="P75" s="3139">
        <f t="shared" si="337"/>
        <v>98.19332645338838</v>
      </c>
      <c r="Q75" s="1279">
        <f t="shared" si="335"/>
        <v>98.000000000000014</v>
      </c>
      <c r="R75" s="1279">
        <f t="shared" si="335"/>
        <v>91.816449611047972</v>
      </c>
      <c r="S75" s="3139">
        <f t="shared" si="335"/>
        <v>98.000000000000014</v>
      </c>
      <c r="T75" s="3139">
        <f t="shared" si="335"/>
        <v>95.425392535480825</v>
      </c>
      <c r="U75" s="1279">
        <f t="shared" ref="U75:X75" si="338">+U74/U72*100</f>
        <v>98.000000000000014</v>
      </c>
      <c r="V75" s="1279">
        <f t="shared" si="338"/>
        <v>92.549381262772826</v>
      </c>
      <c r="W75" s="3139">
        <f t="shared" si="338"/>
        <v>98</v>
      </c>
      <c r="X75" s="3139">
        <f t="shared" si="338"/>
        <v>96.999716954429658</v>
      </c>
      <c r="Y75" s="1277">
        <f t="shared" ref="Y75:AF75" si="339">+Y74/Y72*100</f>
        <v>98.000000000000014</v>
      </c>
      <c r="Z75" s="1277">
        <f t="shared" si="339"/>
        <v>96.870180112058435</v>
      </c>
      <c r="AA75" s="1280">
        <f t="shared" si="339"/>
        <v>98.000000000000014</v>
      </c>
      <c r="AB75" s="1280">
        <f t="shared" si="339"/>
        <v>93.281406222174638</v>
      </c>
      <c r="AC75" s="3139">
        <f t="shared" si="339"/>
        <v>98.000000000000014</v>
      </c>
      <c r="AD75" s="3139">
        <f t="shared" si="339"/>
        <v>93.569837189374468</v>
      </c>
      <c r="AE75" s="1279">
        <f t="shared" si="339"/>
        <v>98.000000000000014</v>
      </c>
      <c r="AF75" s="1279">
        <f t="shared" si="339"/>
        <v>93.315899013478472</v>
      </c>
      <c r="AG75" s="3139">
        <f t="shared" ref="AG75:AH75" si="340">+AG74/AG72*100</f>
        <v>97.999999999999986</v>
      </c>
      <c r="AH75" s="3139">
        <f t="shared" si="340"/>
        <v>91.981362007168471</v>
      </c>
      <c r="AI75" s="1279">
        <f t="shared" ref="AI75:AL75" si="341">+AI74/AI72*100</f>
        <v>98.000000000000014</v>
      </c>
      <c r="AJ75" s="1279">
        <f t="shared" si="341"/>
        <v>93.148985119509248</v>
      </c>
      <c r="AK75" s="3139">
        <f t="shared" si="341"/>
        <v>98.000000000000014</v>
      </c>
      <c r="AL75" s="3139">
        <f t="shared" si="341"/>
        <v>87.095041322314032</v>
      </c>
      <c r="AM75" s="1277">
        <f t="shared" ref="AM75:AN75" si="342">+AM74/AM72*100</f>
        <v>98.000000000000014</v>
      </c>
      <c r="AN75" s="1277">
        <f t="shared" si="342"/>
        <v>90.675635276532134</v>
      </c>
      <c r="AO75" s="1279">
        <f t="shared" ref="AO75:AT75" si="343">+AO74/AO72*100</f>
        <v>98.000000000000014</v>
      </c>
      <c r="AP75" s="1279">
        <f t="shared" si="343"/>
        <v>92.451646221935931</v>
      </c>
      <c r="AQ75" s="3139">
        <f t="shared" si="343"/>
        <v>98.000000000000014</v>
      </c>
      <c r="AR75" s="3139">
        <f t="shared" si="343"/>
        <v>94.912863070539416</v>
      </c>
      <c r="AS75" s="1279">
        <f t="shared" si="343"/>
        <v>98.000000000000014</v>
      </c>
      <c r="AT75" s="1279">
        <f t="shared" si="343"/>
        <v>92.704922524451078</v>
      </c>
      <c r="AU75" s="3139">
        <f t="shared" ref="AU75:AX75" si="344">+AU74/AU72*100</f>
        <v>98</v>
      </c>
      <c r="AV75" s="3139">
        <f t="shared" si="344"/>
        <v>89.361280487804891</v>
      </c>
      <c r="AW75" s="1279">
        <f t="shared" si="344"/>
        <v>98.000000000000014</v>
      </c>
      <c r="AX75" s="1279">
        <f t="shared" si="344"/>
        <v>92.419385388644415</v>
      </c>
      <c r="AY75" s="3139">
        <f t="shared" ref="AY75:AZ75" si="345">+AY74/AY72*100</f>
        <v>98.000000000000014</v>
      </c>
      <c r="AZ75" s="3139">
        <f t="shared" si="345"/>
        <v>92.992751121850191</v>
      </c>
      <c r="BA75" s="1277">
        <f t="shared" ref="BA75:BF75" si="346">+BA74/BA72*100</f>
        <v>98.000000000000014</v>
      </c>
      <c r="BB75" s="1277">
        <f t="shared" si="346"/>
        <v>92.520147390942583</v>
      </c>
      <c r="BC75" s="1280">
        <f t="shared" si="346"/>
        <v>98.000000000000014</v>
      </c>
      <c r="BD75" s="1280">
        <f t="shared" si="346"/>
        <v>91.619487865701601</v>
      </c>
      <c r="BE75" s="1279">
        <f t="shared" si="346"/>
        <v>98.000000000000014</v>
      </c>
      <c r="BF75" s="1279">
        <f t="shared" si="346"/>
        <v>92.468785744493687</v>
      </c>
      <c r="BG75" s="26"/>
      <c r="BH75" s="26"/>
      <c r="BI75" s="26"/>
      <c r="BJ75" s="26"/>
      <c r="BK75" s="26"/>
      <c r="BL75" s="26"/>
      <c r="BM75" s="26"/>
      <c r="BN75" s="26"/>
    </row>
    <row r="76" spans="2:66" x14ac:dyDescent="0.3">
      <c r="B76" s="3137" t="s">
        <v>226</v>
      </c>
      <c r="C76" s="3138" t="s">
        <v>1471</v>
      </c>
      <c r="D76" s="2537">
        <f t="shared" ref="D76:J76" si="347">+D67/D74</f>
        <v>549.61904294808744</v>
      </c>
      <c r="E76" s="2646">
        <f>+E67/E74</f>
        <v>550.41620554360293</v>
      </c>
      <c r="F76" s="2646">
        <f>+F67/F74</f>
        <v>551.56989099883458</v>
      </c>
      <c r="G76" s="2646">
        <f>+G67/G74</f>
        <v>547.89361282512937</v>
      </c>
      <c r="H76" s="2646">
        <f>+H67/H74</f>
        <v>549.47342375083122</v>
      </c>
      <c r="I76" s="2647">
        <f t="shared" si="347"/>
        <v>549.13334856284075</v>
      </c>
      <c r="J76" s="3155">
        <f t="shared" si="347"/>
        <v>550.4678443391241</v>
      </c>
      <c r="K76" s="2646">
        <f>+K67/K74</f>
        <v>550.41620554360293</v>
      </c>
      <c r="L76" s="2646">
        <f>+L67/L74</f>
        <v>551.3576086160158</v>
      </c>
      <c r="M76" s="1266">
        <f t="shared" ref="M76:R76" si="348">+M67/M74</f>
        <v>549.55606647913783</v>
      </c>
      <c r="N76" s="1266">
        <f t="shared" si="348"/>
        <v>550.78533483916851</v>
      </c>
      <c r="O76" s="2646">
        <f>+O67/O74</f>
        <v>537.90686761149448</v>
      </c>
      <c r="P76" s="2646">
        <f>+P67/P74</f>
        <v>557.66374260811074</v>
      </c>
      <c r="Q76" s="1264">
        <f t="shared" si="348"/>
        <v>546.59398386108319</v>
      </c>
      <c r="R76" s="1264">
        <f t="shared" si="348"/>
        <v>552.65442582001242</v>
      </c>
      <c r="S76" s="2646">
        <f>+S67/S74</f>
        <v>537.90686761149448</v>
      </c>
      <c r="T76" s="2646">
        <f>+T67/T74</f>
        <v>550.88488577713235</v>
      </c>
      <c r="U76" s="1264">
        <f t="shared" ref="U76:V76" si="349">+U67/U74</f>
        <v>544.83288192973555</v>
      </c>
      <c r="V76" s="1264">
        <f t="shared" si="349"/>
        <v>552.28388650560703</v>
      </c>
      <c r="W76" s="2646">
        <f>+W67/W74</f>
        <v>543.33309812864729</v>
      </c>
      <c r="X76" s="2646">
        <f>+X67/X74</f>
        <v>546.81062153487017</v>
      </c>
      <c r="Y76" s="1266">
        <f t="shared" ref="Y76:AB76" si="350">+Y67/Y74</f>
        <v>539.07091046170876</v>
      </c>
      <c r="Z76" s="1266">
        <f t="shared" si="350"/>
        <v>551.86122343752231</v>
      </c>
      <c r="AA76" s="1205">
        <f t="shared" si="350"/>
        <v>544.68336360600745</v>
      </c>
      <c r="AB76" s="1205">
        <f t="shared" si="350"/>
        <v>551.34771595772554</v>
      </c>
      <c r="AC76" s="2646">
        <f>+AC67/AC74</f>
        <v>547.89361282512937</v>
      </c>
      <c r="AD76" s="2646">
        <f>+AD67/AD74</f>
        <v>552.12278838052669</v>
      </c>
      <c r="AE76" s="1264">
        <f t="shared" ref="AE76:AF76" si="351">+AE67/AE74</f>
        <v>545.17884954255146</v>
      </c>
      <c r="AF76" s="1264">
        <f t="shared" si="351"/>
        <v>551.44065730607292</v>
      </c>
      <c r="AG76" s="2646">
        <f>+AG67/AG74</f>
        <v>556.33161518572058</v>
      </c>
      <c r="AH76" s="2646">
        <f>+AH67/AH74</f>
        <v>570.79663949374185</v>
      </c>
      <c r="AI76" s="1264">
        <f t="shared" ref="AI76:AJ76" si="352">+AI67/AI74</f>
        <v>546.62644327727435</v>
      </c>
      <c r="AJ76" s="1264">
        <f t="shared" si="352"/>
        <v>553.83121258205483</v>
      </c>
      <c r="AK76" s="2646">
        <f>+AK67/AK74</f>
        <v>553.61018516835236</v>
      </c>
      <c r="AL76" s="2646">
        <f>+AL67/AL74</f>
        <v>570.46859926301977</v>
      </c>
      <c r="AM76" s="1266">
        <f t="shared" ref="AM76:AP76" si="353">+AM67/AM74</f>
        <v>552.5696535625558</v>
      </c>
      <c r="AN76" s="1266">
        <f t="shared" si="353"/>
        <v>565.08028090072855</v>
      </c>
      <c r="AO76" s="1264">
        <f t="shared" si="353"/>
        <v>547.45337390915324</v>
      </c>
      <c r="AP76" s="1264">
        <f t="shared" si="353"/>
        <v>555.63659578411568</v>
      </c>
      <c r="AQ76" s="2646">
        <f>+AQ67/AQ74</f>
        <v>555.88300899603735</v>
      </c>
      <c r="AR76" s="2646">
        <f>+AR67/AR74</f>
        <v>534.20185946198012</v>
      </c>
      <c r="AS76" s="1264">
        <f t="shared" ref="AS76:AT76" si="354">+AS67/AS74</f>
        <v>548.34583527511336</v>
      </c>
      <c r="AT76" s="1264">
        <f t="shared" si="354"/>
        <v>553.37827775159167</v>
      </c>
      <c r="AU76" s="2646">
        <f>+AU67/AU74</f>
        <v>556.02720616973977</v>
      </c>
      <c r="AV76" s="2646">
        <f>+AV67/AV74</f>
        <v>537.08739189027824</v>
      </c>
      <c r="AW76" s="1264">
        <f t="shared" ref="AW76:AX76" si="355">+AW67/AW74</f>
        <v>549.0135092683912</v>
      </c>
      <c r="AX76" s="1264">
        <f t="shared" si="355"/>
        <v>552.0331181050899</v>
      </c>
      <c r="AY76" s="2646">
        <f>+AY67/AY74</f>
        <v>555.88300899603735</v>
      </c>
      <c r="AZ76" s="2646">
        <f>+AZ67/AZ74</f>
        <v>563.96139569413515</v>
      </c>
      <c r="BA76" s="1266">
        <f t="shared" ref="BA76:BD76" si="356">+BA67/BA74</f>
        <v>555.92773101802618</v>
      </c>
      <c r="BB76" s="1266">
        <f t="shared" si="356"/>
        <v>545.37110790213421</v>
      </c>
      <c r="BC76" s="1205">
        <f t="shared" si="356"/>
        <v>554.22944829341145</v>
      </c>
      <c r="BD76" s="1205">
        <f t="shared" si="356"/>
        <v>554.89578547927522</v>
      </c>
      <c r="BE76" s="1264">
        <f t="shared" ref="BE76:BF76" si="357">+BE67/BE74</f>
        <v>549.61904294808744</v>
      </c>
      <c r="BF76" s="1264">
        <f t="shared" si="357"/>
        <v>553.0666646082434</v>
      </c>
      <c r="BG76" s="26"/>
      <c r="BH76" s="26"/>
      <c r="BI76" s="26"/>
      <c r="BJ76" s="26"/>
      <c r="BK76" s="26"/>
      <c r="BL76" s="26"/>
      <c r="BM76" s="26"/>
      <c r="BN76" s="26"/>
    </row>
    <row r="77" spans="2:66" ht="15" thickBot="1" x14ac:dyDescent="0.35">
      <c r="B77" s="3137" t="s">
        <v>227</v>
      </c>
      <c r="C77" s="3138" t="s">
        <v>49</v>
      </c>
      <c r="D77" s="2537">
        <f t="shared" ref="D77:AD77" si="358">+(1000/(D53+D54+D55+D56+D57))*100</f>
        <v>80.406826557792868</v>
      </c>
      <c r="E77" s="2646">
        <f t="shared" si="358"/>
        <v>80.391755848728508</v>
      </c>
      <c r="F77" s="2646">
        <f t="shared" si="358"/>
        <v>78.47693827040078</v>
      </c>
      <c r="G77" s="2646">
        <f t="shared" ref="G77:H77" si="359">+(1000/(G53+G54+G55+G56+G57))*100</f>
        <v>80.373222122155141</v>
      </c>
      <c r="H77" s="2646">
        <f t="shared" si="359"/>
        <v>78.794746809897859</v>
      </c>
      <c r="I77" s="2647">
        <f t="shared" si="358"/>
        <v>80.382350788134744</v>
      </c>
      <c r="J77" s="3155">
        <f t="shared" si="358"/>
        <v>78.643378036075774</v>
      </c>
      <c r="K77" s="2646">
        <f t="shared" si="358"/>
        <v>80.391755848728508</v>
      </c>
      <c r="L77" s="2646">
        <f t="shared" si="358"/>
        <v>80.526034198643188</v>
      </c>
      <c r="M77" s="1266">
        <f t="shared" si="358"/>
        <v>80.406826557792868</v>
      </c>
      <c r="N77" s="1266">
        <f t="shared" si="358"/>
        <v>79.305664195571595</v>
      </c>
      <c r="O77" s="2646">
        <f t="shared" ref="O77:P77" si="360">+(1000/(O53+O54+O55+O56+O57))*100</f>
        <v>80.384675656446476</v>
      </c>
      <c r="P77" s="2646">
        <f t="shared" si="360"/>
        <v>78.766838598838547</v>
      </c>
      <c r="Q77" s="1264">
        <f t="shared" si="358"/>
        <v>80.385616839456574</v>
      </c>
      <c r="R77" s="1264">
        <f t="shared" si="358"/>
        <v>79.157188132830186</v>
      </c>
      <c r="S77" s="2646">
        <f t="shared" si="358"/>
        <v>80.384675656446476</v>
      </c>
      <c r="T77" s="2646">
        <f t="shared" si="358"/>
        <v>78.685881968815536</v>
      </c>
      <c r="U77" s="1264">
        <f t="shared" ref="U77:X77" si="361">+(1000/(U53+U54+U55+U56+U57))*100</f>
        <v>80.385501899754715</v>
      </c>
      <c r="V77" s="1264">
        <f t="shared" si="361"/>
        <v>79.058281354637927</v>
      </c>
      <c r="W77" s="2646">
        <f t="shared" si="361"/>
        <v>80.439697558413997</v>
      </c>
      <c r="X77" s="2646">
        <f t="shared" si="361"/>
        <v>79.193660855784486</v>
      </c>
      <c r="Y77" s="1266">
        <f t="shared" si="358"/>
        <v>80.396565979697755</v>
      </c>
      <c r="Z77" s="1266">
        <f t="shared" si="358"/>
        <v>78.877772932885975</v>
      </c>
      <c r="AA77" s="1205">
        <f t="shared" si="358"/>
        <v>80.390564672580979</v>
      </c>
      <c r="AB77" s="1205">
        <f t="shared" si="358"/>
        <v>79.081214080562617</v>
      </c>
      <c r="AC77" s="2646">
        <f t="shared" si="358"/>
        <v>80.373222122155141</v>
      </c>
      <c r="AD77" s="2646">
        <f t="shared" si="358"/>
        <v>76.410737370408839</v>
      </c>
      <c r="AE77" s="1264">
        <f t="shared" ref="AE77:AH77" si="362">+(1000/(AE53+AE54+AE55+AE56+AE57))*100</f>
        <v>80.387874117096501</v>
      </c>
      <c r="AF77" s="1264">
        <f t="shared" si="362"/>
        <v>78.750773932631617</v>
      </c>
      <c r="AG77" s="2646">
        <f t="shared" si="362"/>
        <v>80.510950974470006</v>
      </c>
      <c r="AH77" s="2646">
        <f t="shared" si="362"/>
        <v>77.934907754417551</v>
      </c>
      <c r="AI77" s="1264">
        <f t="shared" ref="AI77:AL77" si="363">+(1000/(AI53+AI54+AI55+AI56+AI57))*100</f>
        <v>80.404111159300271</v>
      </c>
      <c r="AJ77" s="1264">
        <f t="shared" si="363"/>
        <v>78.645976421408761</v>
      </c>
      <c r="AK77" s="2646">
        <f t="shared" si="363"/>
        <v>80.489110461942275</v>
      </c>
      <c r="AL77" s="2646">
        <f t="shared" si="363"/>
        <v>77.459580526500019</v>
      </c>
      <c r="AM77" s="1266">
        <f t="shared" ref="AM77:AN77" si="364">+(1000/(AM53+AM54+AM55+AM56+AM57))*100</f>
        <v>80.457492139095947</v>
      </c>
      <c r="AN77" s="1266">
        <f t="shared" si="364"/>
        <v>77.316408987155611</v>
      </c>
      <c r="AO77" s="1264">
        <f t="shared" ref="AO77:AT77" si="365">+(1000/(AO53+AO54+AO55+AO56+AO57))*100</f>
        <v>80.414279480220657</v>
      </c>
      <c r="AP77" s="1264">
        <f t="shared" si="365"/>
        <v>78.512003895409819</v>
      </c>
      <c r="AQ77" s="2646">
        <f t="shared" si="365"/>
        <v>80.364357843257849</v>
      </c>
      <c r="AR77" s="2646">
        <f t="shared" si="365"/>
        <v>77.168563357036689</v>
      </c>
      <c r="AS77" s="1264">
        <f t="shared" si="365"/>
        <v>80.408918563500549</v>
      </c>
      <c r="AT77" s="1264">
        <f t="shared" si="365"/>
        <v>78.37323374936345</v>
      </c>
      <c r="AU77" s="2646">
        <f t="shared" ref="AU77:AZ77" si="366">+(1000/(AU53+AU54+AU55+AU56+AU57))*100</f>
        <v>80.432407277499834</v>
      </c>
      <c r="AV77" s="2646">
        <f t="shared" si="366"/>
        <v>77.760896370143897</v>
      </c>
      <c r="AW77" s="1264">
        <f t="shared" si="366"/>
        <v>80.410985762541372</v>
      </c>
      <c r="AX77" s="1264">
        <f t="shared" si="366"/>
        <v>78.323685127500653</v>
      </c>
      <c r="AY77" s="2646">
        <f t="shared" ref="AY77" si="367">+(1000/(AY53+AY54+AY55+AY56+AY57))*100</f>
        <v>80.364357843257849</v>
      </c>
      <c r="AZ77" s="2646">
        <f t="shared" si="366"/>
        <v>76.686142999624479</v>
      </c>
      <c r="BA77" s="1266">
        <f t="shared" ref="BA77:BF77" si="368">+(1000/(BA53+BA54+BA55+BA56+BA57))*100</f>
        <v>80.385454484118895</v>
      </c>
      <c r="BB77" s="1266">
        <f t="shared" si="368"/>
        <v>77.169207521872636</v>
      </c>
      <c r="BC77" s="1205">
        <f t="shared" si="368"/>
        <v>80.421760899228204</v>
      </c>
      <c r="BD77" s="1205">
        <f t="shared" si="368"/>
        <v>77.241579795035975</v>
      </c>
      <c r="BE77" s="1264">
        <f t="shared" si="368"/>
        <v>80.406826557792868</v>
      </c>
      <c r="BF77" s="1264">
        <f t="shared" si="368"/>
        <v>78.176191155129303</v>
      </c>
      <c r="BG77" s="26"/>
      <c r="BH77" s="26"/>
      <c r="BI77" s="26"/>
      <c r="BJ77" s="26"/>
      <c r="BK77" s="26"/>
      <c r="BL77" s="26"/>
      <c r="BM77" s="26"/>
      <c r="BN77" s="26"/>
    </row>
    <row r="78" spans="2:66" ht="15" hidden="1" thickBot="1" x14ac:dyDescent="0.35">
      <c r="B78" s="3145" t="s">
        <v>437</v>
      </c>
      <c r="C78" s="3146" t="s">
        <v>49</v>
      </c>
      <c r="D78" s="1431">
        <f t="shared" ref="D78:Z78" si="369">+D47/D67*100</f>
        <v>15</v>
      </c>
      <c r="E78" s="3156">
        <f t="shared" si="369"/>
        <v>15</v>
      </c>
      <c r="F78" s="3156">
        <f t="shared" si="369"/>
        <v>16.441910325327036</v>
      </c>
      <c r="G78" s="3156">
        <f t="shared" ref="G78:H78" si="370">+G47/G67*100</f>
        <v>15</v>
      </c>
      <c r="H78" s="3156">
        <f t="shared" si="370"/>
        <v>16.947082233342528</v>
      </c>
      <c r="I78" s="3157">
        <f t="shared" si="369"/>
        <v>15</v>
      </c>
      <c r="J78" s="3158">
        <f t="shared" si="369"/>
        <v>16.706983530634908</v>
      </c>
      <c r="K78" s="3156">
        <f t="shared" si="369"/>
        <v>15</v>
      </c>
      <c r="L78" s="3156">
        <f t="shared" si="369"/>
        <v>21.416839856062335</v>
      </c>
      <c r="M78" s="1277">
        <f t="shared" si="369"/>
        <v>15</v>
      </c>
      <c r="N78" s="1277">
        <f t="shared" si="369"/>
        <v>18.389326093353965</v>
      </c>
      <c r="O78" s="3156">
        <f t="shared" ref="O78:P78" si="371">+O47/O67*100</f>
        <v>15</v>
      </c>
      <c r="P78" s="3156">
        <f t="shared" si="371"/>
        <v>18.896120213086743</v>
      </c>
      <c r="Q78" s="1279">
        <f t="shared" si="369"/>
        <v>15</v>
      </c>
      <c r="R78" s="1279">
        <f t="shared" si="369"/>
        <v>18.528287066702497</v>
      </c>
      <c r="S78" s="3156">
        <f t="shared" si="369"/>
        <v>15</v>
      </c>
      <c r="T78" s="3156">
        <f t="shared" si="369"/>
        <v>15.135745956850455</v>
      </c>
      <c r="U78" s="1279">
        <f t="shared" ref="U78:X78" si="372">+U47/U67*100</f>
        <v>14.999999999999996</v>
      </c>
      <c r="V78" s="1279">
        <f t="shared" si="372"/>
        <v>17.819693014468406</v>
      </c>
      <c r="W78" s="3156">
        <f t="shared" si="372"/>
        <v>15</v>
      </c>
      <c r="X78" s="3156">
        <f t="shared" si="372"/>
        <v>16.418790556693988</v>
      </c>
      <c r="Y78" s="1277">
        <f t="shared" si="369"/>
        <v>15</v>
      </c>
      <c r="Z78" s="1277">
        <f t="shared" si="369"/>
        <v>16.846364333956501</v>
      </c>
      <c r="AA78" s="1280">
        <f t="shared" ref="AA78:AF78" si="373">+AA47/AA67*100</f>
        <v>15</v>
      </c>
      <c r="AB78" s="1280">
        <f t="shared" si="373"/>
        <v>17.58204851871583</v>
      </c>
      <c r="AC78" s="3156">
        <f t="shared" si="373"/>
        <v>15</v>
      </c>
      <c r="AD78" s="3156">
        <f t="shared" si="373"/>
        <v>14.911692895623791</v>
      </c>
      <c r="AE78" s="1279">
        <f t="shared" si="373"/>
        <v>15.000000000000002</v>
      </c>
      <c r="AF78" s="1279">
        <f t="shared" si="373"/>
        <v>17.261441758560384</v>
      </c>
      <c r="AG78" s="3156">
        <f t="shared" ref="AG78:AH78" si="374">+AG47/AG67*100</f>
        <v>15</v>
      </c>
      <c r="AH78" s="3156">
        <f t="shared" si="374"/>
        <v>14.777748043450952</v>
      </c>
      <c r="AI78" s="1279">
        <f t="shared" ref="AI78:AL78" si="375">+AI47/AI67*100</f>
        <v>15.000000000000002</v>
      </c>
      <c r="AJ78" s="1279">
        <f t="shared" si="375"/>
        <v>16.945297284972092</v>
      </c>
      <c r="AK78" s="3156">
        <f t="shared" si="375"/>
        <v>15</v>
      </c>
      <c r="AL78" s="3156">
        <f t="shared" si="375"/>
        <v>14.603299576117301</v>
      </c>
      <c r="AM78" s="1277">
        <f t="shared" ref="AM78:AN78" si="376">+AM47/AM67*100</f>
        <v>15</v>
      </c>
      <c r="AN78" s="1277">
        <f t="shared" si="376"/>
        <v>14.755821608433564</v>
      </c>
      <c r="AO78" s="1279">
        <f t="shared" ref="AO78:AT78" si="377">+AO47/AO67*100</f>
        <v>15.000000000000002</v>
      </c>
      <c r="AP78" s="1279">
        <f t="shared" si="377"/>
        <v>16.684374710442597</v>
      </c>
      <c r="AQ78" s="3156">
        <f t="shared" si="377"/>
        <v>14.999999999999996</v>
      </c>
      <c r="AR78" s="3156">
        <f t="shared" si="377"/>
        <v>16.260843472093402</v>
      </c>
      <c r="AS78" s="1279">
        <f t="shared" si="377"/>
        <v>15.000000000000002</v>
      </c>
      <c r="AT78" s="1279">
        <f t="shared" si="377"/>
        <v>16.641298678238094</v>
      </c>
      <c r="AU78" s="3156">
        <f t="shared" ref="AU78:AX78" si="378">+AU47/AU67*100</f>
        <v>15</v>
      </c>
      <c r="AV78" s="3156">
        <f t="shared" si="378"/>
        <v>19.077580785526894</v>
      </c>
      <c r="AW78" s="1279">
        <f t="shared" si="378"/>
        <v>15</v>
      </c>
      <c r="AX78" s="1279">
        <f t="shared" si="378"/>
        <v>16.837019274195317</v>
      </c>
      <c r="AY78" s="3156">
        <f t="shared" ref="AY78:AZ78" si="379">+AY47/AY67*100</f>
        <v>14.999999999999996</v>
      </c>
      <c r="AZ78" s="3156">
        <f t="shared" si="379"/>
        <v>17.374706446075592</v>
      </c>
      <c r="BA78" s="1277">
        <f t="shared" ref="BA78:BF78" si="380">+BA47/BA67*100</f>
        <v>15</v>
      </c>
      <c r="BB78" s="1277">
        <f t="shared" si="380"/>
        <v>17.495151961735832</v>
      </c>
      <c r="BC78" s="1280">
        <f t="shared" si="380"/>
        <v>15</v>
      </c>
      <c r="BD78" s="1280">
        <f t="shared" si="380"/>
        <v>16.14704293266578</v>
      </c>
      <c r="BE78" s="1279">
        <f t="shared" si="380"/>
        <v>15</v>
      </c>
      <c r="BF78" s="1279">
        <f t="shared" si="380"/>
        <v>16.884525863733362</v>
      </c>
      <c r="BG78" s="26">
        <f t="shared" si="319"/>
        <v>165</v>
      </c>
      <c r="BH78" s="26">
        <f t="shared" si="320"/>
        <v>185.37783449651764</v>
      </c>
      <c r="BI78" s="26"/>
      <c r="BJ78" s="26"/>
      <c r="BK78" s="26"/>
      <c r="BL78" s="26"/>
      <c r="BM78" s="26"/>
      <c r="BN78" s="26"/>
    </row>
    <row r="79" spans="2:66" ht="17.399999999999999" x14ac:dyDescent="0.3">
      <c r="B79" s="3133" t="s">
        <v>47</v>
      </c>
      <c r="C79" s="3134"/>
      <c r="D79" s="2413"/>
      <c r="E79" s="3135"/>
      <c r="F79" s="3135"/>
      <c r="G79" s="3135"/>
      <c r="H79" s="3135"/>
      <c r="I79" s="3134"/>
      <c r="J79" s="3136"/>
      <c r="K79" s="3135"/>
      <c r="L79" s="3135"/>
      <c r="M79" s="1261"/>
      <c r="N79" s="1261"/>
      <c r="O79" s="3135"/>
      <c r="P79" s="3135"/>
      <c r="Q79" s="1261"/>
      <c r="R79" s="1261"/>
      <c r="S79" s="3135"/>
      <c r="T79" s="3135"/>
      <c r="U79" s="1261"/>
      <c r="V79" s="1261"/>
      <c r="W79" s="3135"/>
      <c r="X79" s="3135"/>
      <c r="Y79" s="1261"/>
      <c r="Z79" s="1261"/>
      <c r="AA79" s="1261"/>
      <c r="AB79" s="1261"/>
      <c r="AC79" s="3135"/>
      <c r="AD79" s="3135"/>
      <c r="AE79" s="1261"/>
      <c r="AF79" s="1261"/>
      <c r="AG79" s="3135"/>
      <c r="AH79" s="3135"/>
      <c r="AI79" s="1261"/>
      <c r="AJ79" s="1261"/>
      <c r="AK79" s="3135"/>
      <c r="AL79" s="3135"/>
      <c r="AM79" s="1261"/>
      <c r="AN79" s="1261"/>
      <c r="AO79" s="1261"/>
      <c r="AP79" s="1261"/>
      <c r="AQ79" s="3135"/>
      <c r="AR79" s="3135"/>
      <c r="AS79" s="1261"/>
      <c r="AT79" s="1261"/>
      <c r="AU79" s="3135"/>
      <c r="AV79" s="3135"/>
      <c r="AW79" s="1261"/>
      <c r="AX79" s="1261"/>
      <c r="AY79" s="3135"/>
      <c r="AZ79" s="3135"/>
      <c r="BA79" s="1261"/>
      <c r="BB79" s="1261"/>
      <c r="BC79" s="1261"/>
      <c r="BD79" s="1261"/>
      <c r="BE79" s="1261"/>
      <c r="BF79" s="1261"/>
      <c r="BG79" s="26"/>
      <c r="BH79" s="26"/>
      <c r="BI79" s="26"/>
      <c r="BJ79" s="26"/>
      <c r="BK79" s="26"/>
      <c r="BL79" s="26"/>
      <c r="BM79" s="26"/>
      <c r="BN79" s="26"/>
    </row>
    <row r="80" spans="2:66" x14ac:dyDescent="0.3">
      <c r="B80" s="3137" t="s">
        <v>438</v>
      </c>
      <c r="C80" s="3138" t="s">
        <v>49</v>
      </c>
      <c r="D80" s="2794">
        <f t="shared" ref="D80:AI80" si="381">+(D67/(3880000/330*D1))*100</f>
        <v>112.19027886981576</v>
      </c>
      <c r="E80" s="3139">
        <f t="shared" si="381"/>
        <v>112.35299865735398</v>
      </c>
      <c r="F80" s="3139">
        <f t="shared" si="381"/>
        <v>112.58849321419508</v>
      </c>
      <c r="G80" s="3139">
        <f t="shared" si="381"/>
        <v>111.83807766945941</v>
      </c>
      <c r="H80" s="3139">
        <f t="shared" si="381"/>
        <v>112.16055453882947</v>
      </c>
      <c r="I80" s="3140">
        <f t="shared" si="381"/>
        <v>112.09113712932212</v>
      </c>
      <c r="J80" s="3141">
        <f t="shared" si="381"/>
        <v>112.36353935994492</v>
      </c>
      <c r="K80" s="3139">
        <f t="shared" si="381"/>
        <v>112.35299865735398</v>
      </c>
      <c r="L80" s="3139">
        <f t="shared" si="381"/>
        <v>112.54516134636197</v>
      </c>
      <c r="M80" s="1277">
        <f t="shared" si="381"/>
        <v>112.17742387924667</v>
      </c>
      <c r="N80" s="1277">
        <f t="shared" si="381"/>
        <v>112.42834669912922</v>
      </c>
      <c r="O80" s="3139">
        <f t="shared" si="381"/>
        <v>109.79954617224321</v>
      </c>
      <c r="P80" s="3139">
        <f t="shared" si="381"/>
        <v>113.83239282103703</v>
      </c>
      <c r="Q80" s="1279">
        <f t="shared" si="381"/>
        <v>111.57279258195305</v>
      </c>
      <c r="R80" s="1279">
        <f t="shared" si="381"/>
        <v>112.80987248697159</v>
      </c>
      <c r="S80" s="3139">
        <f t="shared" si="381"/>
        <v>109.79954617224321</v>
      </c>
      <c r="T80" s="3139">
        <f t="shared" si="381"/>
        <v>112.44866740605384</v>
      </c>
      <c r="U80" s="1279">
        <f t="shared" si="381"/>
        <v>111.21330991967795</v>
      </c>
      <c r="V80" s="1279">
        <f t="shared" si="381"/>
        <v>112.73423662691771</v>
      </c>
      <c r="W80" s="3139">
        <f t="shared" si="381"/>
        <v>110.90716848399194</v>
      </c>
      <c r="X80" s="3139">
        <f t="shared" si="381"/>
        <v>111.61701346794256</v>
      </c>
      <c r="Y80" s="1277">
        <f t="shared" si="381"/>
        <v>110.03715491898798</v>
      </c>
      <c r="Z80" s="1277">
        <f t="shared" si="381"/>
        <v>112.64796107281383</v>
      </c>
      <c r="AA80" s="1280">
        <f t="shared" si="381"/>
        <v>111.18278968452525</v>
      </c>
      <c r="AB80" s="1280">
        <f t="shared" si="381"/>
        <v>112.54314202023676</v>
      </c>
      <c r="AC80" s="3139">
        <f t="shared" si="381"/>
        <v>111.83807766945941</v>
      </c>
      <c r="AD80" s="3139">
        <f t="shared" si="381"/>
        <v>112.70135267973637</v>
      </c>
      <c r="AE80" s="1279">
        <f t="shared" si="381"/>
        <v>111.28393011280949</v>
      </c>
      <c r="AF80" s="1279">
        <f t="shared" si="381"/>
        <v>112.56211355319839</v>
      </c>
      <c r="AG80" s="3139">
        <f t="shared" si="381"/>
        <v>113.5604740276007</v>
      </c>
      <c r="AH80" s="3139">
        <f t="shared" si="381"/>
        <v>116.51312847398027</v>
      </c>
      <c r="AI80" s="1279">
        <f t="shared" si="381"/>
        <v>111.57941831845393</v>
      </c>
      <c r="AJ80" s="1279">
        <f t="shared" ref="AJ80:BF80" si="382">+(AJ67/(3880000/330*AJ1))*100</f>
        <v>113.05008256829572</v>
      </c>
      <c r="AK80" s="3139">
        <f t="shared" si="382"/>
        <v>113.00496563230287</v>
      </c>
      <c r="AL80" s="3139">
        <f t="shared" si="382"/>
        <v>116.4461676846164</v>
      </c>
      <c r="AM80" s="1277">
        <f t="shared" si="382"/>
        <v>112.79256845916088</v>
      </c>
      <c r="AN80" s="1277">
        <f t="shared" si="382"/>
        <v>115.34628414262296</v>
      </c>
      <c r="AO80" s="1279">
        <f t="shared" si="382"/>
        <v>111.74821446805394</v>
      </c>
      <c r="AP80" s="1279">
        <f t="shared" si="382"/>
        <v>113.41860408789167</v>
      </c>
      <c r="AQ80" s="3139">
        <f t="shared" si="382"/>
        <v>113.46890286723237</v>
      </c>
      <c r="AR80" s="3139">
        <f t="shared" si="382"/>
        <v>109.04326615821861</v>
      </c>
      <c r="AS80" s="1279">
        <f t="shared" si="382"/>
        <v>111.93038699430147</v>
      </c>
      <c r="AT80" s="1279">
        <f t="shared" si="382"/>
        <v>112.95762782970635</v>
      </c>
      <c r="AU80" s="3139">
        <f t="shared" si="382"/>
        <v>113.49833692949325</v>
      </c>
      <c r="AV80" s="3139">
        <f t="shared" si="382"/>
        <v>109.63227174667536</v>
      </c>
      <c r="AW80" s="1279">
        <f t="shared" si="382"/>
        <v>112.06667508777468</v>
      </c>
      <c r="AX80" s="1279">
        <f t="shared" si="382"/>
        <v>112.68304885031732</v>
      </c>
      <c r="AY80" s="3139">
        <f t="shared" si="382"/>
        <v>113.46890286723237</v>
      </c>
      <c r="AZ80" s="3139">
        <f t="shared" si="382"/>
        <v>115.11789314168944</v>
      </c>
      <c r="BA80" s="1277">
        <f t="shared" si="382"/>
        <v>113.47803169233934</v>
      </c>
      <c r="BB80" s="1277">
        <f t="shared" si="382"/>
        <v>111.32317460270369</v>
      </c>
      <c r="BC80" s="1280">
        <f t="shared" si="382"/>
        <v>113.13137191968605</v>
      </c>
      <c r="BD80" s="1280">
        <f t="shared" si="382"/>
        <v>113.26738713906856</v>
      </c>
      <c r="BE80" s="1279">
        <f t="shared" si="382"/>
        <v>112.19027886981576</v>
      </c>
      <c r="BF80" s="1279">
        <f t="shared" si="382"/>
        <v>112.89402019838373</v>
      </c>
      <c r="BG80" s="26"/>
      <c r="BH80" s="26"/>
      <c r="BI80" s="26"/>
      <c r="BJ80" s="26"/>
      <c r="BK80" s="26"/>
      <c r="BL80" s="26"/>
      <c r="BM80" s="26"/>
      <c r="BN80" s="26"/>
    </row>
    <row r="81" spans="2:66" x14ac:dyDescent="0.3">
      <c r="B81" s="3137" t="s">
        <v>230</v>
      </c>
      <c r="C81" s="3138" t="s">
        <v>228</v>
      </c>
      <c r="D81" s="2795">
        <f t="shared" ref="D81:AD81" si="383">+(D67/408)/D74</f>
        <v>1.3471054974217829</v>
      </c>
      <c r="E81" s="2854">
        <f t="shared" si="383"/>
        <v>1.3490593273127522</v>
      </c>
      <c r="F81" s="2854">
        <f t="shared" si="383"/>
        <v>1.3518869877422415</v>
      </c>
      <c r="G81" s="2854">
        <f t="shared" ref="G81:H81" si="384">+(G67/408)/G74</f>
        <v>1.3428765020223761</v>
      </c>
      <c r="H81" s="2854">
        <f t="shared" si="384"/>
        <v>1.3467485876245864</v>
      </c>
      <c r="I81" s="3140">
        <f t="shared" si="383"/>
        <v>1.3459150700069626</v>
      </c>
      <c r="J81" s="3142">
        <f t="shared" si="383"/>
        <v>1.3491858929880494</v>
      </c>
      <c r="K81" s="2854">
        <f t="shared" si="383"/>
        <v>1.3490593273127522</v>
      </c>
      <c r="L81" s="2854">
        <f t="shared" si="383"/>
        <v>1.3513666877843524</v>
      </c>
      <c r="M81" s="1283">
        <f t="shared" si="383"/>
        <v>1.34695114333122</v>
      </c>
      <c r="N81" s="1283">
        <f t="shared" si="383"/>
        <v>1.3499640559783539</v>
      </c>
      <c r="O81" s="2854">
        <f t="shared" ref="O81:P81" si="385">+(O67/408)/O74</f>
        <v>1.3183991853222903</v>
      </c>
      <c r="P81" s="2854">
        <f t="shared" si="385"/>
        <v>1.366822898549291</v>
      </c>
      <c r="Q81" s="1279">
        <f t="shared" si="383"/>
        <v>1.3396911369144195</v>
      </c>
      <c r="R81" s="1275">
        <f t="shared" si="383"/>
        <v>1.3545451613235597</v>
      </c>
      <c r="S81" s="2854">
        <f t="shared" si="383"/>
        <v>1.3183991853222903</v>
      </c>
      <c r="T81" s="2854">
        <f t="shared" si="383"/>
        <v>1.3502080533753245</v>
      </c>
      <c r="U81" s="1279">
        <f t="shared" ref="U81:X81" si="386">+(U67/408)/U74</f>
        <v>1.335374710612097</v>
      </c>
      <c r="V81" s="1275">
        <f t="shared" si="386"/>
        <v>1.353636976729429</v>
      </c>
      <c r="W81" s="2854">
        <f t="shared" si="386"/>
        <v>1.3316987699231551</v>
      </c>
      <c r="X81" s="2854">
        <f t="shared" si="386"/>
        <v>1.3402221116050741</v>
      </c>
      <c r="Y81" s="1283">
        <f t="shared" si="383"/>
        <v>1.321252231523796</v>
      </c>
      <c r="Z81" s="1283">
        <f t="shared" si="383"/>
        <v>1.3526010378370645</v>
      </c>
      <c r="AA81" s="1284">
        <f t="shared" si="383"/>
        <v>1.3350082441323712</v>
      </c>
      <c r="AB81" s="1284">
        <f t="shared" si="383"/>
        <v>1.3513424410728567</v>
      </c>
      <c r="AC81" s="2854">
        <f t="shared" si="383"/>
        <v>1.3428765020223761</v>
      </c>
      <c r="AD81" s="2854">
        <f t="shared" si="383"/>
        <v>1.353242128383644</v>
      </c>
      <c r="AE81" s="1279">
        <f t="shared" ref="AE81:AH81" si="387">+(AE67/408)/AE74</f>
        <v>1.3362226704474303</v>
      </c>
      <c r="AF81" s="1275">
        <f t="shared" si="387"/>
        <v>1.3515702384952768</v>
      </c>
      <c r="AG81" s="2854">
        <f t="shared" si="387"/>
        <v>1.3635578803571582</v>
      </c>
      <c r="AH81" s="2854">
        <f t="shared" si="387"/>
        <v>1.3990113713081909</v>
      </c>
      <c r="AI81" s="1279">
        <f t="shared" ref="AI81:AL81" si="388">+(AI67/408)/AI74</f>
        <v>1.3397706943070449</v>
      </c>
      <c r="AJ81" s="1275">
        <f t="shared" si="388"/>
        <v>1.3574294426030755</v>
      </c>
      <c r="AK81" s="2854">
        <f t="shared" si="388"/>
        <v>1.3568877087459619</v>
      </c>
      <c r="AL81" s="2854">
        <f t="shared" si="388"/>
        <v>1.3982073511348525</v>
      </c>
      <c r="AM81" s="1283">
        <f t="shared" ref="AM81:AN81" si="389">+(AM67/408)/AM74</f>
        <v>1.3543373861827348</v>
      </c>
      <c r="AN81" s="1283">
        <f t="shared" si="389"/>
        <v>1.3850006884821779</v>
      </c>
      <c r="AO81" s="1279">
        <f t="shared" ref="AO81:AT81" si="390">+(AO67/408)/AO74</f>
        <v>1.341797485071454</v>
      </c>
      <c r="AP81" s="1275">
        <f t="shared" si="390"/>
        <v>1.361854401431656</v>
      </c>
      <c r="AQ81" s="2854">
        <f t="shared" si="390"/>
        <v>1.3624583553824443</v>
      </c>
      <c r="AR81" s="2854">
        <f t="shared" si="390"/>
        <v>1.3093182829950494</v>
      </c>
      <c r="AS81" s="1279">
        <f t="shared" si="390"/>
        <v>1.3439848903801797</v>
      </c>
      <c r="AT81" s="1275">
        <f t="shared" si="390"/>
        <v>1.3563193082146858</v>
      </c>
      <c r="AU81" s="2854">
        <f t="shared" ref="AU81:AX81" si="391">+(AU67/408)/AU74</f>
        <v>1.3628117798277934</v>
      </c>
      <c r="AV81" s="2854">
        <f t="shared" si="391"/>
        <v>1.3163906663977405</v>
      </c>
      <c r="AW81" s="1279">
        <f t="shared" si="391"/>
        <v>1.3456213462460567</v>
      </c>
      <c r="AX81" s="1275">
        <f t="shared" si="391"/>
        <v>1.3530223482967891</v>
      </c>
      <c r="AY81" s="2854">
        <f t="shared" ref="AY81:AZ81" si="392">+(AY67/408)/AY74</f>
        <v>1.3624583553824443</v>
      </c>
      <c r="AZ81" s="2854">
        <f t="shared" si="392"/>
        <v>1.3822583227797429</v>
      </c>
      <c r="BA81" s="1283">
        <f t="shared" ref="BA81:BF81" si="393">+(BA67/408)/BA74</f>
        <v>1.3625679681814367</v>
      </c>
      <c r="BB81" s="1283">
        <f t="shared" si="393"/>
        <v>1.3366938919169955</v>
      </c>
      <c r="BC81" s="1284">
        <f t="shared" si="393"/>
        <v>1.3584055105230672</v>
      </c>
      <c r="BD81" s="1284">
        <f t="shared" si="393"/>
        <v>1.3600386899001846</v>
      </c>
      <c r="BE81" s="1279">
        <f t="shared" si="393"/>
        <v>1.3471054974217829</v>
      </c>
      <c r="BF81" s="1275">
        <f t="shared" si="393"/>
        <v>1.3555555505104004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3">
      <c r="B82" s="3137" t="s">
        <v>231</v>
      </c>
      <c r="C82" s="3138" t="s">
        <v>213</v>
      </c>
      <c r="D82" s="2599">
        <f>15.4016963501787*365*24*1000</f>
        <v>134918860.02756542</v>
      </c>
      <c r="E82" s="2649">
        <f>+'POWER DISTRIBUTION'!I22</f>
        <v>11514717.277581625</v>
      </c>
      <c r="F82" s="2649">
        <f>+'POWER DISTRIBUTION'!J22</f>
        <v>9683949.9999999814</v>
      </c>
      <c r="G82" s="2649">
        <f>+'POWER DISTRIBUTION'!K22</f>
        <v>11860620.924496397</v>
      </c>
      <c r="H82" s="2649">
        <f>+'POWER DISTRIBUTION'!L22</f>
        <v>11134429.999999994</v>
      </c>
      <c r="I82" s="2647">
        <f>+E82+G82</f>
        <v>23375338.202078022</v>
      </c>
      <c r="J82" s="3143">
        <f>+F82+H82</f>
        <v>20818379.999999978</v>
      </c>
      <c r="K82" s="2649">
        <f>+'POWER DISTRIBUTION'!O22</f>
        <v>11514717.277581625</v>
      </c>
      <c r="L82" s="2649">
        <f>+'POWER DISTRIBUTION'!P22</f>
        <v>11736979.999999998</v>
      </c>
      <c r="M82" s="1266">
        <f>+K82+G82+E82</f>
        <v>34890055.479659647</v>
      </c>
      <c r="N82" s="1266">
        <f>+L82+H82+F82</f>
        <v>32555359.999999974</v>
      </c>
      <c r="O82" s="2649">
        <f>+'POWER DISTRIBUTION'!S22</f>
        <v>11644431.145174664</v>
      </c>
      <c r="P82" s="2649">
        <f>+'POWER DISTRIBUTION'!T22</f>
        <v>12452919.999999998</v>
      </c>
      <c r="Q82" s="1264">
        <f>+M82+O82</f>
        <v>46534486.624834314</v>
      </c>
      <c r="R82" s="1265">
        <f>+N82+P82</f>
        <v>45008279.99999997</v>
      </c>
      <c r="S82" s="2649">
        <f>+'POWER DISTRIBUTION'!W22</f>
        <v>11644431.145174664</v>
      </c>
      <c r="T82" s="2649">
        <f>+'POWER DISTRIBUTION'!X22</f>
        <v>12425240.000000002</v>
      </c>
      <c r="U82" s="1264">
        <f>+Q82+S82</f>
        <v>58178917.770008981</v>
      </c>
      <c r="V82" s="1265">
        <f>+R82+T82</f>
        <v>57433519.99999997</v>
      </c>
      <c r="W82" s="2649">
        <f>+'POWER DISTRIBUTION'!AA22</f>
        <v>6424565.2608682904</v>
      </c>
      <c r="X82" s="2649">
        <f>+'POWER DISTRIBUTION'!AB22</f>
        <v>12303829.999999996</v>
      </c>
      <c r="Y82" s="1266">
        <f>+O82+S82+W82</f>
        <v>29713427.551217616</v>
      </c>
      <c r="Z82" s="1266">
        <f>+P82+T82+X82</f>
        <v>37181990</v>
      </c>
      <c r="AA82" s="1205">
        <f>M82+Y82</f>
        <v>64603483.030877262</v>
      </c>
      <c r="AB82" s="1205">
        <f>N82+Z82</f>
        <v>69737349.99999997</v>
      </c>
      <c r="AC82" s="2649">
        <f>+'POWER DISTRIBUTION'!AG22</f>
        <v>11860620.924496397</v>
      </c>
      <c r="AD82" s="2649">
        <f>+'POWER DISTRIBUTION'!AH22</f>
        <v>10323149.999999998</v>
      </c>
      <c r="AE82" s="1264">
        <f>+AA82+AC82</f>
        <v>76464103.95537366</v>
      </c>
      <c r="AF82" s="1265">
        <f>+AB82+AD82</f>
        <v>80060499.99999997</v>
      </c>
      <c r="AG82" s="2649">
        <f>+'POWER DISTRIBUTION'!AK22</f>
        <v>11638467.757534873</v>
      </c>
      <c r="AH82" s="2649">
        <f>+'POWER DISTRIBUTION'!AL22</f>
        <v>11758380.000000009</v>
      </c>
      <c r="AI82" s="1264">
        <f>+AE82+AG82</f>
        <v>88102571.712908536</v>
      </c>
      <c r="AJ82" s="1265">
        <f>+AF82+AH82</f>
        <v>91818879.999999985</v>
      </c>
      <c r="AK82" s="2649">
        <f>+'POWER DISTRIBUTION'!AO22</f>
        <v>11984371.404449644</v>
      </c>
      <c r="AL82" s="2649">
        <f>+'POWER DISTRIBUTION'!AP22</f>
        <v>10587819.999999993</v>
      </c>
      <c r="AM82" s="1266">
        <f>+AC82+AG82+AK82</f>
        <v>35483460.086480916</v>
      </c>
      <c r="AN82" s="1266">
        <f>+AD82+AH82+AL82</f>
        <v>32669350</v>
      </c>
      <c r="AO82" s="1264">
        <f>AI82+AK82</f>
        <v>100086943.11735818</v>
      </c>
      <c r="AP82" s="1264">
        <f>AJ82+AL82</f>
        <v>102406699.99999997</v>
      </c>
      <c r="AQ82" s="2649">
        <f>+'POWER DISTRIBUTION'!AU22</f>
        <v>12033572.747953784</v>
      </c>
      <c r="AR82" s="2649">
        <f>+'POWER DISTRIBUTION'!AV22</f>
        <v>11832350.000000006</v>
      </c>
      <c r="AS82" s="1264">
        <f>+AO82+AQ82</f>
        <v>112120515.86531197</v>
      </c>
      <c r="AT82" s="1265">
        <f>+AP82+AR82</f>
        <v>114239049.99999997</v>
      </c>
      <c r="AU82" s="2649">
        <f>+'POWER DISTRIBUTION'!AY22</f>
        <v>10822909.983752074</v>
      </c>
      <c r="AV82" s="2649">
        <f>+'POWER DISTRIBUTION'!AZ22</f>
        <v>10396270</v>
      </c>
      <c r="AW82" s="1264">
        <f>+AS82+AU82</f>
        <v>122943425.84906404</v>
      </c>
      <c r="AX82" s="1265">
        <f>+AT82+AV82</f>
        <v>124635319.99999997</v>
      </c>
      <c r="AY82" s="2649">
        <f>+'POWER DISTRIBUTION'!BC22</f>
        <v>12033572.747953784</v>
      </c>
      <c r="AZ82" s="2649">
        <f>+'POWER DISTRIBUTION'!BD22</f>
        <v>12188319.999999996</v>
      </c>
      <c r="BA82" s="1266">
        <f>+AQ82+AU82+AY82</f>
        <v>34890055.479659647</v>
      </c>
      <c r="BB82" s="1266">
        <f>+AR82+AV82+AZ82</f>
        <v>34416940</v>
      </c>
      <c r="BC82" s="1205">
        <f t="shared" ref="BC82:BD82" si="394">AM82+BA82</f>
        <v>70373515.566140562</v>
      </c>
      <c r="BD82" s="1205">
        <f t="shared" si="394"/>
        <v>67086290</v>
      </c>
      <c r="BE82" s="1264">
        <f>+AW82+AY82</f>
        <v>134976998.59701782</v>
      </c>
      <c r="BF82" s="1265">
        <f>+AX82+AZ82</f>
        <v>136823639.99999997</v>
      </c>
      <c r="BG82" s="26">
        <f t="shared" si="319"/>
        <v>0</v>
      </c>
      <c r="BH82" s="26">
        <f t="shared" si="320"/>
        <v>0</v>
      </c>
      <c r="BI82" s="26"/>
      <c r="BJ82" s="26"/>
      <c r="BK82" s="26"/>
      <c r="BL82" s="26"/>
      <c r="BM82" s="26"/>
      <c r="BN82" s="26"/>
    </row>
    <row r="83" spans="2:66" x14ac:dyDescent="0.3">
      <c r="B83" s="3137" t="s">
        <v>232</v>
      </c>
      <c r="C83" s="3138" t="s">
        <v>229</v>
      </c>
      <c r="D83" s="2797">
        <f t="shared" ref="D83:AD83" si="395">+D82/D67</f>
        <v>30.924294244021358</v>
      </c>
      <c r="E83" s="3144">
        <f t="shared" si="395"/>
        <v>30.937619988311706</v>
      </c>
      <c r="F83" s="3144">
        <f t="shared" si="395"/>
        <v>30.090265046763761</v>
      </c>
      <c r="G83" s="3144">
        <f t="shared" ref="G83:H83" si="396">+G82/G67</f>
        <v>30.937619988311706</v>
      </c>
      <c r="H83" s="3144">
        <f t="shared" si="396"/>
        <v>31.337579438568429</v>
      </c>
      <c r="I83" s="3140">
        <f t="shared" si="395"/>
        <v>30.937619988311702</v>
      </c>
      <c r="J83" s="3141">
        <f t="shared" si="395"/>
        <v>30.744754377259483</v>
      </c>
      <c r="K83" s="3144">
        <f t="shared" si="395"/>
        <v>30.937619988311706</v>
      </c>
      <c r="L83" s="3144">
        <f t="shared" si="395"/>
        <v>31.192641532500247</v>
      </c>
      <c r="M83" s="1277">
        <f t="shared" si="395"/>
        <v>30.937619988311702</v>
      </c>
      <c r="N83" s="1277">
        <f t="shared" si="395"/>
        <v>30.904737946288694</v>
      </c>
      <c r="O83" s="3144">
        <f t="shared" ref="O83:P83" si="397">+O82/O67</f>
        <v>30.93761998831171</v>
      </c>
      <c r="P83" s="3144">
        <f t="shared" si="397"/>
        <v>31.291888632023316</v>
      </c>
      <c r="Q83" s="1279">
        <f t="shared" si="395"/>
        <v>30.937619988311706</v>
      </c>
      <c r="R83" s="1279">
        <f t="shared" si="395"/>
        <v>31.010893156121437</v>
      </c>
      <c r="S83" s="3144">
        <f t="shared" si="395"/>
        <v>30.93761998831171</v>
      </c>
      <c r="T83" s="3144">
        <f t="shared" si="395"/>
        <v>32.42672484661216</v>
      </c>
      <c r="U83" s="1279">
        <f t="shared" ref="U83:X83" si="398">+U82/U67</f>
        <v>30.937619988311706</v>
      </c>
      <c r="V83" s="1279">
        <f t="shared" si="398"/>
        <v>31.306615413379511</v>
      </c>
      <c r="W83" s="3144">
        <f t="shared" si="398"/>
        <v>30.93761998831171</v>
      </c>
      <c r="X83" s="3144">
        <f t="shared" si="398"/>
        <v>32.829122908128404</v>
      </c>
      <c r="Y83" s="1277">
        <f t="shared" si="395"/>
        <v>30.937619988311706</v>
      </c>
      <c r="Z83" s="1277">
        <f t="shared" si="395"/>
        <v>32.166493788946148</v>
      </c>
      <c r="AA83" s="1280">
        <f t="shared" si="395"/>
        <v>30.937619988311699</v>
      </c>
      <c r="AB83" s="1280">
        <f t="shared" si="395"/>
        <v>31.564888588546847</v>
      </c>
      <c r="AC83" s="3144">
        <f t="shared" si="395"/>
        <v>30.937619988311706</v>
      </c>
      <c r="AD83" s="3144">
        <f t="shared" si="395"/>
        <v>34.24520978742602</v>
      </c>
      <c r="AE83" s="1279">
        <f t="shared" ref="AE83:AH83" si="399">+AE82/AE67</f>
        <v>30.937619988311706</v>
      </c>
      <c r="AF83" s="1275">
        <f t="shared" si="399"/>
        <v>31.886691830151641</v>
      </c>
      <c r="AG83" s="3144">
        <f t="shared" si="399"/>
        <v>30.93761998831171</v>
      </c>
      <c r="AH83" s="3144">
        <f t="shared" si="399"/>
        <v>32.108649230214716</v>
      </c>
      <c r="AI83" s="1279">
        <f t="shared" ref="AI83:AL83" si="400">+AI82/AI67</f>
        <v>30.93761998831171</v>
      </c>
      <c r="AJ83" s="1279">
        <f t="shared" si="400"/>
        <v>31.914944349765914</v>
      </c>
      <c r="AK83" s="3170">
        <f t="shared" si="400"/>
        <v>30.937619988311706</v>
      </c>
      <c r="AL83" s="3170">
        <f t="shared" si="400"/>
        <v>29.352476899917644</v>
      </c>
      <c r="AM83" s="1277">
        <f t="shared" ref="AM83:AN83" si="401">+AM82/AM67</f>
        <v>30.937619988311706</v>
      </c>
      <c r="AN83" s="1277">
        <f t="shared" si="401"/>
        <v>31.768181981724425</v>
      </c>
      <c r="AO83" s="1279">
        <f t="shared" ref="AO83:AT83" si="402">+AO82/AO67</f>
        <v>30.937619988311706</v>
      </c>
      <c r="AP83" s="1279">
        <f t="shared" si="402"/>
        <v>31.629459183988626</v>
      </c>
      <c r="AQ83" s="3170">
        <f t="shared" si="402"/>
        <v>30.937619988311702</v>
      </c>
      <c r="AR83" s="3170">
        <f t="shared" si="402"/>
        <v>32.277674723116391</v>
      </c>
      <c r="AS83" s="1279">
        <f t="shared" si="402"/>
        <v>30.93761998831171</v>
      </c>
      <c r="AT83" s="1279">
        <f t="shared" si="402"/>
        <v>31.695387150831781</v>
      </c>
      <c r="AU83" s="3144">
        <f t="shared" ref="AU83:AX83" si="403">+AU82/AU67</f>
        <v>30.937619988311702</v>
      </c>
      <c r="AV83" s="3144">
        <f t="shared" si="403"/>
        <v>33.020174942670387</v>
      </c>
      <c r="AW83" s="1279">
        <f t="shared" si="403"/>
        <v>30.93761998831171</v>
      </c>
      <c r="AX83" s="1279">
        <f t="shared" si="403"/>
        <v>31.801814996506867</v>
      </c>
      <c r="AY83" s="3144">
        <f t="shared" ref="AY83:AZ83" si="404">+AY82/AY67</f>
        <v>30.937619988311702</v>
      </c>
      <c r="AZ83" s="3144">
        <f t="shared" si="404"/>
        <v>32.089050833535168</v>
      </c>
      <c r="BA83" s="1277">
        <f t="shared" ref="BA83:BF83" si="405">+BA82/BA67</f>
        <v>30.93761998831171</v>
      </c>
      <c r="BB83" s="1277">
        <f t="shared" si="405"/>
        <v>32.430445491842669</v>
      </c>
      <c r="BC83" s="1280">
        <f t="shared" si="405"/>
        <v>30.93761998831171</v>
      </c>
      <c r="BD83" s="1280">
        <f t="shared" si="405"/>
        <v>32.104525174660857</v>
      </c>
      <c r="BE83" s="1279">
        <f t="shared" si="405"/>
        <v>30.937619988311706</v>
      </c>
      <c r="BF83" s="1279">
        <f t="shared" si="405"/>
        <v>31.827193312605804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3">
      <c r="B84" s="3137" t="s">
        <v>233</v>
      </c>
      <c r="C84" s="3138" t="s">
        <v>624</v>
      </c>
      <c r="D84" s="2599">
        <f>1.64880670175213*1000</f>
        <v>1648.80670175213</v>
      </c>
      <c r="E84" s="2649">
        <f>+(EMD!D43*1000/E2)/24</f>
        <v>1712.0706146228076</v>
      </c>
      <c r="F84" s="2649">
        <f>+(EMD!E43*1000/F2)/24</f>
        <v>1317.1111111111111</v>
      </c>
      <c r="G84" s="2649">
        <f>+(EMD!F43*1000/G2)/24</f>
        <v>1706.6129114535149</v>
      </c>
      <c r="H84" s="2649">
        <f>+(EMD!G43*1000/H2)/24</f>
        <v>1447.7688172043006</v>
      </c>
      <c r="I84" s="3140">
        <f>+(EMD!H43*1000/I2)/24</f>
        <v>1709.2970277662816</v>
      </c>
      <c r="J84" s="3141">
        <f>+(EMD!I43*1000/J2)/24</f>
        <v>1383.5109289617483</v>
      </c>
      <c r="K84" s="2649">
        <f>+(EMD!J43*1000/K2)/24</f>
        <v>1712.0706146228076</v>
      </c>
      <c r="L84" s="2649">
        <f>+(EMD!K43*1000/L2)/24</f>
        <v>1466.1805555555563</v>
      </c>
      <c r="M84" s="1277">
        <f>(E84*E2+G84*G2+K84*K2)/M2</f>
        <v>1710.211397059642</v>
      </c>
      <c r="N84" s="1277">
        <f>(F84*F2+H84*H2+L84*L2)/N2</f>
        <v>1410.764652014652</v>
      </c>
      <c r="O84" s="2649">
        <f>+(EMD!N43*1000/O2)/24</f>
        <v>1675.5064232201532</v>
      </c>
      <c r="P84" s="2649">
        <f>+(EMD!O43*1000/P2)/24</f>
        <v>1458.5080645161295</v>
      </c>
      <c r="Q84" s="1279">
        <f>+(EMD!P43*1000/Q2)/24</f>
        <v>1701.3929201004275</v>
      </c>
      <c r="R84" s="1279">
        <f>+(EMD!Q43*1000/R2)/24</f>
        <v>1422.8961748633881</v>
      </c>
      <c r="S84" s="2649">
        <f>+(EMD!R43*1000/S2)/24</f>
        <v>1675.5064232201532</v>
      </c>
      <c r="T84" s="2649">
        <f>+(EMD!S43*1000/T2)/24</f>
        <v>1407.741935483871</v>
      </c>
      <c r="U84" s="1279">
        <f>+(EMD!T43*1000/U2)/24</f>
        <v>1696.1479436083457</v>
      </c>
      <c r="V84" s="1279">
        <f>+(EMD!U43*1000/V2)/24</f>
        <v>1419.8257080610019</v>
      </c>
      <c r="W84" s="2649">
        <f>+(EMD!V43*1000/W2)/24</f>
        <v>955.24121734286291</v>
      </c>
      <c r="X84" s="2649">
        <f>+(EMD!W43*1000/X2)/24</f>
        <v>1448.8888888888889</v>
      </c>
      <c r="Y84" s="1266">
        <f>+((O84*O2)+(S84*S2)+(W84*W2))/(Y2)</f>
        <v>1440.6373343471237</v>
      </c>
      <c r="Z84" s="1266">
        <f>+((P84*P2)+(T84*T2)+(X84*X2))/(Z2)</f>
        <v>1438.2653985507247</v>
      </c>
      <c r="AA84" s="1205">
        <f>+((U84*U2*24)+(W84*W2*24))/(AA2*24)</f>
        <v>1574.6878245484304</v>
      </c>
      <c r="AB84" s="1205">
        <f>+((N84*N2)+(Z84*Z2))/(AB2)</f>
        <v>1424.5901639344263</v>
      </c>
      <c r="AC84" s="2649">
        <f>+(EMD!AB43*1000/AC2)/24</f>
        <v>1706.6129114535149</v>
      </c>
      <c r="AD84" s="2649">
        <f>+(EMD!AC43*1000/AD2)/24</f>
        <v>1185.8870967741934</v>
      </c>
      <c r="AE84" s="1279">
        <f>+(EMD!AD43*1000/AE2)/24</f>
        <v>1593.7984679786066</v>
      </c>
      <c r="AF84" s="1279">
        <f>+(EMD!AE43*1000/AF2)/24</f>
        <v>1390.0116822429907</v>
      </c>
      <c r="AG84" s="2649">
        <f>+(EMD!AF43*1000/AG2)/24</f>
        <v>1730.4795561086723</v>
      </c>
      <c r="AH84" s="2649">
        <f>+(EMD!AG43*1000/AH2)/24</f>
        <v>1401.9444444444443</v>
      </c>
      <c r="AI84" s="1279">
        <f>+(EMD!AH43*1000/AI2)/24</f>
        <v>1610.6035197978765</v>
      </c>
      <c r="AJ84" s="1279">
        <f>+(EMD!AI43*1000/AJ2)/24</f>
        <v>1391.4788251366119</v>
      </c>
      <c r="AK84" s="2649">
        <f>+(EMD!AJ43*1000/AK2)/24</f>
        <v>1724.4280161172544</v>
      </c>
      <c r="AL84" s="2649">
        <f>+(EMD!AK43*1000/AL2)/24</f>
        <v>1434.3548387096773</v>
      </c>
      <c r="AM84" s="1277">
        <f>+(EMD!AL43*1000/AM2)/24</f>
        <v>1720.3984286734133</v>
      </c>
      <c r="AN84" s="1277">
        <f>+(EMD!AM43*1000/AN2)/24</f>
        <v>1340.0634057971013</v>
      </c>
      <c r="AO84" s="1279">
        <f>+(EMD!AN43*1000/AO2)/24</f>
        <v>1623.4346448375156</v>
      </c>
      <c r="AP84" s="1279">
        <f>+(EMD!AO43*1000/AP2)/24</f>
        <v>1396.3121212121212</v>
      </c>
      <c r="AQ84" s="2649">
        <f>+(EMD!AP43*1000/AQ2)/24</f>
        <v>1731.498102040204</v>
      </c>
      <c r="AR84" s="2649">
        <f>+(EMD!AQ43*1000/AR2)/24</f>
        <v>1441.0349462365591</v>
      </c>
      <c r="AS84" s="1279">
        <f>+(EMD!AR43*1000/AS2)/24</f>
        <v>1634.3822499789646</v>
      </c>
      <c r="AT84" s="1279">
        <f>+(EMD!AS43*1000/AT2)/24</f>
        <v>1400.8428649237474</v>
      </c>
      <c r="AU84" s="2649">
        <f>+(EMD!AT43*1000/AU2)/24</f>
        <v>1724.1555287833835</v>
      </c>
      <c r="AV84" s="2649">
        <f>+(EMD!AU43*1000/AV2)/24</f>
        <v>1413.8988095238094</v>
      </c>
      <c r="AW84" s="1264">
        <f>+(EMD!AV43*1000/AW2)/24</f>
        <v>1641.908153591311</v>
      </c>
      <c r="AX84" s="1264">
        <f>+(EMD!AW43*1000/AX2)/24</f>
        <v>1401.937375249501</v>
      </c>
      <c r="AY84" s="2649">
        <f>+(EMD!AX43*1000/AY2)/24</f>
        <v>1731.498102040204</v>
      </c>
      <c r="AZ84" s="2649">
        <f>+(EMD!AY43*1000/AZ2)/24</f>
        <v>1397.311827956989</v>
      </c>
      <c r="BA84" s="1277">
        <f>+((AQ84*AQ2)+(AU84*AU2)+(AY84*AY2))/(BA2)</f>
        <v>1729.2137459158596</v>
      </c>
      <c r="BB84" s="1277">
        <f>+((AR84*AR2)+(AV84*AV2)+(AZ84*AZ2))/(BB2)</f>
        <v>1417.5324074074074</v>
      </c>
      <c r="BC84" s="1280">
        <f>+((AM84*AM2*24)+(BA84*BA2*24))/(BC2*24)</f>
        <v>1724.7576514856121</v>
      </c>
      <c r="BD84" s="1280">
        <f>+((AN84*AN2)+(BB84*BB2))/(BD2)</f>
        <v>1378.3722527472528</v>
      </c>
      <c r="BE84" s="1279">
        <f>+(EMD!BD43*1000/BE2)/24</f>
        <v>1649.5171629116278</v>
      </c>
      <c r="BF84" s="1279">
        <f>+(EMD!BE43*1000/BF2)/24</f>
        <v>1401.5445205479452</v>
      </c>
      <c r="BG84" s="26"/>
      <c r="BH84" s="26"/>
      <c r="BI84" s="26"/>
      <c r="BJ84" s="26"/>
      <c r="BK84" s="26"/>
      <c r="BL84" s="26"/>
      <c r="BM84" s="26"/>
      <c r="BN84" s="26"/>
    </row>
    <row r="85" spans="2:66" ht="15" thickBot="1" x14ac:dyDescent="0.35">
      <c r="B85" s="3145" t="s">
        <v>218</v>
      </c>
      <c r="C85" s="3146" t="s">
        <v>1170</v>
      </c>
      <c r="D85" s="885">
        <v>1.4E-2</v>
      </c>
      <c r="E85" s="3147">
        <f>+$D$85</f>
        <v>1.4E-2</v>
      </c>
      <c r="F85" s="3148">
        <v>1.2999999999999999E-2</v>
      </c>
      <c r="G85" s="3147">
        <f>+$D$85</f>
        <v>1.4E-2</v>
      </c>
      <c r="H85" s="3148">
        <v>1.2999999999999999E-2</v>
      </c>
      <c r="I85" s="3149">
        <f>+$D$85</f>
        <v>1.4E-2</v>
      </c>
      <c r="J85" s="3150">
        <f>+((F85*F67)+(H85*H67))/J67</f>
        <v>1.2999999999999999E-2</v>
      </c>
      <c r="K85" s="3147">
        <f>+$D$85</f>
        <v>1.4E-2</v>
      </c>
      <c r="L85" s="3148">
        <v>1.15E-2</v>
      </c>
      <c r="M85" s="1674">
        <f>+$D$85</f>
        <v>1.4E-2</v>
      </c>
      <c r="N85" s="1674">
        <f>+((F85*F67)+(H85*H67)+(L85*L67))/N67</f>
        <v>1.2464205769833208E-2</v>
      </c>
      <c r="O85" s="3147">
        <f>+$D$85</f>
        <v>1.4E-2</v>
      </c>
      <c r="P85" s="3148">
        <v>1.2E-2</v>
      </c>
      <c r="Q85" s="2380">
        <f>+$D$85</f>
        <v>1.4E-2</v>
      </c>
      <c r="R85" s="2380">
        <f>+((N85*N67)+(P85*P67))/R67</f>
        <v>1.2336922356118701E-2</v>
      </c>
      <c r="S85" s="3147">
        <f>+$D$85</f>
        <v>1.4E-2</v>
      </c>
      <c r="T85" s="3148">
        <v>1.2E-2</v>
      </c>
      <c r="U85" s="2380">
        <f>+$D$85</f>
        <v>1.4E-2</v>
      </c>
      <c r="V85" s="2380">
        <f>+((R85*R67)+(T85*T67))/V67</f>
        <v>1.2266549980403902E-2</v>
      </c>
      <c r="W85" s="3147">
        <f>+$D$85</f>
        <v>1.4E-2</v>
      </c>
      <c r="X85" s="3148">
        <v>1.2E-2</v>
      </c>
      <c r="Y85" s="1286">
        <f>+$D$85</f>
        <v>1.4E-2</v>
      </c>
      <c r="Z85" s="1286">
        <f>+((P85*P67)+(T85*T67)+(X85*X67))/Z67</f>
        <v>1.2E-2</v>
      </c>
      <c r="AA85" s="1591">
        <f>+$D$85</f>
        <v>1.4E-2</v>
      </c>
      <c r="AB85" s="3964">
        <f>+((N85*N67)+(Z85*Z67))/AB67</f>
        <v>1.2221333316435323E-2</v>
      </c>
      <c r="AC85" s="3147">
        <f>+$D$85</f>
        <v>1.4E-2</v>
      </c>
      <c r="AD85" s="3148">
        <v>1.2E-2</v>
      </c>
      <c r="AE85" s="1285">
        <f>+$D$85</f>
        <v>1.4E-2</v>
      </c>
      <c r="AF85" s="2380">
        <f>+((AB85*AB67)+(AD85*AD67))/AF67</f>
        <v>1.2194759718191273E-2</v>
      </c>
      <c r="AG85" s="3147">
        <f>+$D$85</f>
        <v>1.4E-2</v>
      </c>
      <c r="AH85" s="3148">
        <v>1.2E-2</v>
      </c>
      <c r="AI85" s="1285">
        <f>+$D$85</f>
        <v>1.4E-2</v>
      </c>
      <c r="AJ85" s="2380">
        <f>+((AF85*AF67)+(AH85*AH67))/AJ67</f>
        <v>1.2169969137851509E-2</v>
      </c>
      <c r="AK85" s="3147">
        <f>+$D$85</f>
        <v>1.4E-2</v>
      </c>
      <c r="AL85" s="3148">
        <v>1.2999999999999999E-2</v>
      </c>
      <c r="AM85" s="1286">
        <f>+$D$85</f>
        <v>1.4E-2</v>
      </c>
      <c r="AN85" s="1286">
        <f>+((AD85*AD67)+(AH85*AH67)+(AL85*AL67))/AN67</f>
        <v>1.2350762908572524E-2</v>
      </c>
      <c r="AO85" s="1285">
        <f>+$D$85</f>
        <v>1.4E-2</v>
      </c>
      <c r="AP85" s="2380">
        <f>+((AL85*AL67)+(AJ85*AJ67))/AP67</f>
        <v>1.2262443092318621E-2</v>
      </c>
      <c r="AQ85" s="3148">
        <f>+$D$85</f>
        <v>1.4E-2</v>
      </c>
      <c r="AR85" s="3148">
        <v>1.2E-2</v>
      </c>
      <c r="AS85" s="1285">
        <f>+$D$85</f>
        <v>1.4E-2</v>
      </c>
      <c r="AT85" s="2380">
        <f>+((AP85*AP67)+(AR85*AR67))/AT67</f>
        <v>1.223575082956929E-2</v>
      </c>
      <c r="AU85" s="3148">
        <v>1.4E-2</v>
      </c>
      <c r="AV85" s="3148">
        <v>1.2999999999999999E-2</v>
      </c>
      <c r="AW85" s="1285">
        <f>+$D$85</f>
        <v>1.4E-2</v>
      </c>
      <c r="AX85" s="2380">
        <f>+((AT85*AT67)+(AV85*AV67))/AX67</f>
        <v>1.2297147374184959E-2</v>
      </c>
      <c r="AY85" s="3148">
        <v>1.4E-2</v>
      </c>
      <c r="AZ85" s="3148">
        <v>1.2E-2</v>
      </c>
      <c r="BA85" s="1286">
        <f>+$D$85</f>
        <v>1.4E-2</v>
      </c>
      <c r="BB85" s="1286">
        <f>+((AR85*AR67)+(AV85*AV67)+(AZ85*AZ67))/BB67</f>
        <v>1.2296673557885293E-2</v>
      </c>
      <c r="BC85" s="1591">
        <f>+$D$85</f>
        <v>1.4E-2</v>
      </c>
      <c r="BD85" s="1591">
        <f>+((AN85*AN67)+(BB85*BB67))/BD67</f>
        <v>1.2323292597078608E-2</v>
      </c>
      <c r="BE85" s="1285">
        <f>+$D$85</f>
        <v>1.4E-2</v>
      </c>
      <c r="BF85" s="2380">
        <f>+((AX85*AX67)+(AZ85*AZ67))/BF67</f>
        <v>1.2270893338239953E-2</v>
      </c>
      <c r="BG85" s="26"/>
      <c r="BH85" s="26"/>
      <c r="BI85" s="26"/>
      <c r="BJ85" s="26"/>
      <c r="BK85" s="26"/>
      <c r="BL85" s="26"/>
      <c r="BM85" s="26"/>
      <c r="BN85" s="26"/>
    </row>
    <row r="86" spans="2:66" ht="17.399999999999999" x14ac:dyDescent="0.3">
      <c r="B86" s="3133" t="s">
        <v>436</v>
      </c>
      <c r="C86" s="3134"/>
      <c r="D86" s="3159"/>
      <c r="E86" s="3159"/>
      <c r="F86" s="3159"/>
      <c r="G86" s="3159"/>
      <c r="H86" s="3159"/>
      <c r="I86" s="3159"/>
      <c r="J86" s="3160"/>
      <c r="K86" s="3159"/>
      <c r="L86" s="3159"/>
      <c r="M86" s="1521"/>
      <c r="N86" s="1521"/>
      <c r="O86" s="3159"/>
      <c r="P86" s="3159"/>
      <c r="Q86" s="1521"/>
      <c r="R86" s="1521"/>
      <c r="S86" s="3159"/>
      <c r="T86" s="3159"/>
      <c r="U86" s="1521"/>
      <c r="V86" s="1521"/>
      <c r="W86" s="3159"/>
      <c r="X86" s="3159"/>
      <c r="Y86" s="1521"/>
      <c r="Z86" s="1521"/>
      <c r="AA86" s="1261"/>
      <c r="AB86" s="1261"/>
      <c r="AC86" s="3159"/>
      <c r="AD86" s="3159"/>
      <c r="AE86" s="1521"/>
      <c r="AF86" s="1521"/>
      <c r="AG86" s="3159"/>
      <c r="AH86" s="3159"/>
      <c r="AI86" s="1521"/>
      <c r="AJ86" s="1521"/>
      <c r="AK86" s="3159"/>
      <c r="AL86" s="3159"/>
      <c r="AM86" s="1521"/>
      <c r="AN86" s="1521"/>
      <c r="AO86" s="1521"/>
      <c r="AP86" s="1521"/>
      <c r="AQ86" s="3159"/>
      <c r="AR86" s="3159"/>
      <c r="AS86" s="1521"/>
      <c r="AT86" s="1521"/>
      <c r="AU86" s="3159"/>
      <c r="AV86" s="3159"/>
      <c r="AW86" s="1521"/>
      <c r="AX86" s="1521"/>
      <c r="AY86" s="3159"/>
      <c r="AZ86" s="3159"/>
      <c r="BA86" s="1521"/>
      <c r="BB86" s="1521"/>
      <c r="BC86" s="1261"/>
      <c r="BD86" s="1261"/>
      <c r="BE86" s="1521"/>
      <c r="BF86" s="1521"/>
      <c r="BG86" s="26"/>
      <c r="BH86" s="26"/>
      <c r="BI86" s="26"/>
      <c r="BJ86" s="26"/>
      <c r="BK86" s="26"/>
      <c r="BL86" s="26"/>
      <c r="BM86" s="26"/>
      <c r="BN86" s="26"/>
    </row>
    <row r="87" spans="2:66" x14ac:dyDescent="0.3">
      <c r="B87" s="3137" t="s">
        <v>48</v>
      </c>
      <c r="C87" s="3138" t="s">
        <v>219</v>
      </c>
      <c r="D87" s="2649">
        <f t="shared" ref="D87:AI87" si="406">+D23</f>
        <v>783.91225705888928</v>
      </c>
      <c r="E87" s="2649">
        <f t="shared" si="406"/>
        <v>783.9122570588894</v>
      </c>
      <c r="F87" s="2649">
        <f t="shared" si="406"/>
        <v>785.44262498834792</v>
      </c>
      <c r="G87" s="2649">
        <f t="shared" si="406"/>
        <v>783.91225705888951</v>
      </c>
      <c r="H87" s="2649">
        <f t="shared" si="406"/>
        <v>786.06609514052673</v>
      </c>
      <c r="I87" s="2647">
        <f t="shared" si="406"/>
        <v>783.9122570588894</v>
      </c>
      <c r="J87" s="3155">
        <f t="shared" si="406"/>
        <v>785.76977150823473</v>
      </c>
      <c r="K87" s="2649">
        <f t="shared" si="406"/>
        <v>783.9122570588894</v>
      </c>
      <c r="L87" s="2649">
        <f t="shared" si="406"/>
        <v>783.21117058313894</v>
      </c>
      <c r="M87" s="1266">
        <f t="shared" si="406"/>
        <v>783.91225705888928</v>
      </c>
      <c r="N87" s="1266">
        <f t="shared" si="406"/>
        <v>784.85584909959084</v>
      </c>
      <c r="O87" s="2649">
        <f t="shared" si="406"/>
        <v>783.9122570588894</v>
      </c>
      <c r="P87" s="2649">
        <f t="shared" si="406"/>
        <v>783.52095688008853</v>
      </c>
      <c r="Q87" s="1264">
        <f t="shared" si="406"/>
        <v>783.91225705888928</v>
      </c>
      <c r="R87" s="1264">
        <f t="shared" si="406"/>
        <v>784.48982685324893</v>
      </c>
      <c r="S87" s="2649">
        <f t="shared" si="406"/>
        <v>783.9122570588894</v>
      </c>
      <c r="T87" s="2649">
        <f t="shared" si="406"/>
        <v>782.91607838634161</v>
      </c>
      <c r="U87" s="1264">
        <f t="shared" si="406"/>
        <v>783.91225705888928</v>
      </c>
      <c r="V87" s="1264">
        <f t="shared" si="406"/>
        <v>784.16112079862671</v>
      </c>
      <c r="W87" s="2649">
        <f t="shared" si="406"/>
        <v>783.9122570588894</v>
      </c>
      <c r="X87" s="2649">
        <f t="shared" si="406"/>
        <v>782.30127219945359</v>
      </c>
      <c r="Y87" s="1266">
        <f t="shared" si="406"/>
        <v>783.91225705888928</v>
      </c>
      <c r="Z87" s="1266">
        <f t="shared" si="406"/>
        <v>782.92498721800678</v>
      </c>
      <c r="AA87" s="1205">
        <f t="shared" si="406"/>
        <v>783.91225705888928</v>
      </c>
      <c r="AB87" s="1205">
        <f t="shared" si="406"/>
        <v>783.84562218551935</v>
      </c>
      <c r="AC87" s="2649">
        <f t="shared" si="406"/>
        <v>783.91225705888951</v>
      </c>
      <c r="AD87" s="2649">
        <f t="shared" si="406"/>
        <v>782.94763939385905</v>
      </c>
      <c r="AE87" s="1264">
        <f t="shared" si="406"/>
        <v>783.91225705888928</v>
      </c>
      <c r="AF87" s="1264">
        <f t="shared" si="406"/>
        <v>783.73780907215723</v>
      </c>
      <c r="AG87" s="2649">
        <f t="shared" si="406"/>
        <v>783.9122570588894</v>
      </c>
      <c r="AH87" s="2649">
        <f t="shared" si="406"/>
        <v>781.00031130019715</v>
      </c>
      <c r="AI87" s="1264">
        <f t="shared" si="406"/>
        <v>783.91225705888928</v>
      </c>
      <c r="AJ87" s="1264">
        <f t="shared" ref="AJ87:BF87" si="407">+AJ23</f>
        <v>783.38935838083376</v>
      </c>
      <c r="AK87" s="2649">
        <f t="shared" si="407"/>
        <v>783.9122570588894</v>
      </c>
      <c r="AL87" s="2649">
        <f t="shared" si="407"/>
        <v>779.99961187980466</v>
      </c>
      <c r="AM87" s="1266">
        <f t="shared" si="407"/>
        <v>783.91225705888928</v>
      </c>
      <c r="AN87" s="1266">
        <f t="shared" si="407"/>
        <v>781.22012861167264</v>
      </c>
      <c r="AO87" s="1264">
        <f t="shared" si="407"/>
        <v>783.91225705888928</v>
      </c>
      <c r="AP87" s="1264">
        <f t="shared" si="407"/>
        <v>783.01170584056581</v>
      </c>
      <c r="AQ87" s="2649">
        <f t="shared" si="407"/>
        <v>783.9122570588894</v>
      </c>
      <c r="AR87" s="2649">
        <f t="shared" si="407"/>
        <v>780.00709258552024</v>
      </c>
      <c r="AS87" s="1264">
        <f t="shared" si="407"/>
        <v>783.91225705888928</v>
      </c>
      <c r="AT87" s="1264">
        <f t="shared" si="407"/>
        <v>782.7061160620151</v>
      </c>
      <c r="AU87" s="2649">
        <f t="shared" si="407"/>
        <v>783.9122570588894</v>
      </c>
      <c r="AV87" s="2649">
        <f t="shared" si="407"/>
        <v>780</v>
      </c>
      <c r="AW87" s="1264">
        <f t="shared" si="407"/>
        <v>783.91225705888928</v>
      </c>
      <c r="AX87" s="1264">
        <f t="shared" si="407"/>
        <v>782.48871814787265</v>
      </c>
      <c r="AY87" s="2649">
        <f t="shared" si="407"/>
        <v>783.9122570588894</v>
      </c>
      <c r="AZ87" s="2649">
        <f t="shared" si="407"/>
        <v>779.06578767231485</v>
      </c>
      <c r="BA87" s="1266">
        <f t="shared" si="407"/>
        <v>783.91225705888928</v>
      </c>
      <c r="BB87" s="1266">
        <f t="shared" si="407"/>
        <v>779.66809076809125</v>
      </c>
      <c r="BC87" s="1280">
        <f t="shared" si="407"/>
        <v>783.91225705888928</v>
      </c>
      <c r="BD87" s="1280">
        <f t="shared" si="407"/>
        <v>780.4318965018058</v>
      </c>
      <c r="BE87" s="1264">
        <f t="shared" si="407"/>
        <v>783.91225705888928</v>
      </c>
      <c r="BF87" s="1279">
        <f t="shared" si="407"/>
        <v>782.18628996728035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3">
      <c r="B88" s="3137" t="s">
        <v>786</v>
      </c>
      <c r="C88" s="3138" t="s">
        <v>219</v>
      </c>
      <c r="D88" s="2649">
        <f t="shared" ref="D88:AI88" si="408">+D24+D54</f>
        <v>64.938026921102121</v>
      </c>
      <c r="E88" s="2649">
        <f t="shared" si="408"/>
        <v>64.938026921102121</v>
      </c>
      <c r="F88" s="2649">
        <f t="shared" si="408"/>
        <v>64.409781561694061</v>
      </c>
      <c r="G88" s="2649">
        <f t="shared" si="408"/>
        <v>64.938026921102107</v>
      </c>
      <c r="H88" s="2649">
        <f t="shared" si="408"/>
        <v>59.441720657686616</v>
      </c>
      <c r="I88" s="2647">
        <f t="shared" si="408"/>
        <v>64.938026921102107</v>
      </c>
      <c r="J88" s="3155">
        <f t="shared" si="408"/>
        <v>61.802946527728551</v>
      </c>
      <c r="K88" s="2649">
        <f t="shared" si="408"/>
        <v>64.938026921102121</v>
      </c>
      <c r="L88" s="2649">
        <f t="shared" si="408"/>
        <v>52.001998543614491</v>
      </c>
      <c r="M88" s="1266">
        <f t="shared" si="408"/>
        <v>64.938026921102121</v>
      </c>
      <c r="N88" s="1266">
        <f t="shared" si="408"/>
        <v>58.302085607693115</v>
      </c>
      <c r="O88" s="2649">
        <f t="shared" si="408"/>
        <v>64.938026921102107</v>
      </c>
      <c r="P88" s="2649">
        <f t="shared" si="408"/>
        <v>75.698562669615029</v>
      </c>
      <c r="Q88" s="1264">
        <f t="shared" si="408"/>
        <v>64.938026921102121</v>
      </c>
      <c r="R88" s="1264">
        <f t="shared" si="408"/>
        <v>63.072131847840311</v>
      </c>
      <c r="S88" s="2649">
        <f t="shared" si="408"/>
        <v>64.938026921102107</v>
      </c>
      <c r="T88" s="2649">
        <f t="shared" si="408"/>
        <v>62.727863478948478</v>
      </c>
      <c r="U88" s="1264">
        <f t="shared" si="408"/>
        <v>64.938026921102121</v>
      </c>
      <c r="V88" s="1264">
        <f t="shared" si="408"/>
        <v>63.000225123449958</v>
      </c>
      <c r="W88" s="2649">
        <f t="shared" si="408"/>
        <v>64.938026921102121</v>
      </c>
      <c r="X88" s="2649">
        <f t="shared" si="408"/>
        <v>73.207500853825138</v>
      </c>
      <c r="Y88" s="1266">
        <f t="shared" si="408"/>
        <v>64.938026921102121</v>
      </c>
      <c r="Z88" s="1266">
        <f t="shared" si="408"/>
        <v>70.591207199787533</v>
      </c>
      <c r="AA88" s="1205">
        <f t="shared" si="408"/>
        <v>64.938026921102121</v>
      </c>
      <c r="AB88" s="1205">
        <f t="shared" si="408"/>
        <v>64.731753882280302</v>
      </c>
      <c r="AC88" s="2649">
        <f t="shared" si="408"/>
        <v>64.938026921102107</v>
      </c>
      <c r="AD88" s="2649">
        <f t="shared" si="408"/>
        <v>99.625806109179692</v>
      </c>
      <c r="AE88" s="1264">
        <f t="shared" si="408"/>
        <v>64.938026921102121</v>
      </c>
      <c r="AF88" s="1264">
        <f t="shared" si="408"/>
        <v>68.921184284889847</v>
      </c>
      <c r="AG88" s="2649">
        <f t="shared" si="408"/>
        <v>64.938026921102107</v>
      </c>
      <c r="AH88" s="2649">
        <f t="shared" si="408"/>
        <v>67.715984992053649</v>
      </c>
      <c r="AI88" s="1264">
        <f t="shared" si="408"/>
        <v>64.938026921102121</v>
      </c>
      <c r="AJ88" s="1264">
        <f t="shared" ref="AJ88:BF88" si="409">+AJ24+AJ54</f>
        <v>68.767776844316643</v>
      </c>
      <c r="AK88" s="2649">
        <f t="shared" si="409"/>
        <v>64.938026921102121</v>
      </c>
      <c r="AL88" s="2649">
        <f t="shared" si="409"/>
        <v>61.999428908855513</v>
      </c>
      <c r="AM88" s="1266">
        <f t="shared" si="409"/>
        <v>64.938026921102121</v>
      </c>
      <c r="AN88" s="1266">
        <f t="shared" si="409"/>
        <v>75.064641319684512</v>
      </c>
      <c r="AO88" s="1264">
        <f t="shared" si="409"/>
        <v>64.938026921102121</v>
      </c>
      <c r="AP88" s="1264">
        <f t="shared" si="409"/>
        <v>68.01371343855206</v>
      </c>
      <c r="AQ88" s="2649">
        <f t="shared" si="409"/>
        <v>64.938026921102107</v>
      </c>
      <c r="AR88" s="2649">
        <f t="shared" si="409"/>
        <v>60.0278247585793</v>
      </c>
      <c r="AS88" s="1264">
        <f t="shared" si="409"/>
        <v>64.938026921102121</v>
      </c>
      <c r="AT88" s="1264">
        <f t="shared" si="409"/>
        <v>67.201493779617564</v>
      </c>
      <c r="AU88" s="2649">
        <f t="shared" si="409"/>
        <v>64.938026921102121</v>
      </c>
      <c r="AV88" s="2649">
        <f t="shared" si="409"/>
        <v>57.002471049338411</v>
      </c>
      <c r="AW88" s="1264">
        <f t="shared" si="409"/>
        <v>64.938026921102121</v>
      </c>
      <c r="AX88" s="1264">
        <f t="shared" si="409"/>
        <v>66.382147448181044</v>
      </c>
      <c r="AY88" s="2649">
        <f t="shared" si="409"/>
        <v>64.938026921102107</v>
      </c>
      <c r="AZ88" s="2649">
        <f t="shared" si="409"/>
        <v>44.191054898533025</v>
      </c>
      <c r="BA88" s="1266">
        <f t="shared" si="409"/>
        <v>64.938026921102121</v>
      </c>
      <c r="BB88" s="1266">
        <f t="shared" si="409"/>
        <v>53.462224877362068</v>
      </c>
      <c r="BC88" s="1280">
        <f t="shared" si="409"/>
        <v>64.938026921102121</v>
      </c>
      <c r="BD88" s="1280">
        <f t="shared" si="409"/>
        <v>64.093440867985151</v>
      </c>
      <c r="BE88" s="1279">
        <f t="shared" si="409"/>
        <v>64.938026921102121</v>
      </c>
      <c r="BF88" s="1279">
        <f t="shared" si="409"/>
        <v>64.421484854222683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3">
      <c r="B89" s="3137" t="s">
        <v>785</v>
      </c>
      <c r="C89" s="3138" t="s">
        <v>219</v>
      </c>
      <c r="D89" s="2649">
        <f t="shared" ref="D89:AI89" si="410">+D25+D55</f>
        <v>99.857531963581536</v>
      </c>
      <c r="E89" s="2649">
        <f t="shared" si="410"/>
        <v>99.85753196358155</v>
      </c>
      <c r="F89" s="2649">
        <f t="shared" si="410"/>
        <v>99.453127427523839</v>
      </c>
      <c r="G89" s="2649">
        <f t="shared" si="410"/>
        <v>99.85753196358155</v>
      </c>
      <c r="H89" s="2649">
        <f t="shared" si="410"/>
        <v>96.927718642522223</v>
      </c>
      <c r="I89" s="2647">
        <f t="shared" si="410"/>
        <v>99.85753196358155</v>
      </c>
      <c r="J89" s="3155">
        <f t="shared" si="410"/>
        <v>98.127997920654053</v>
      </c>
      <c r="K89" s="2649">
        <f t="shared" si="410"/>
        <v>99.85753196358155</v>
      </c>
      <c r="L89" s="2649">
        <f t="shared" si="410"/>
        <v>90.357027060067935</v>
      </c>
      <c r="M89" s="1266">
        <f t="shared" si="410"/>
        <v>99.857531963581536</v>
      </c>
      <c r="N89" s="1266">
        <f t="shared" si="410"/>
        <v>95.35223702072318</v>
      </c>
      <c r="O89" s="2649">
        <f t="shared" si="410"/>
        <v>99.857531963581565</v>
      </c>
      <c r="P89" s="2649">
        <f t="shared" si="410"/>
        <v>94.408985827721381</v>
      </c>
      <c r="Q89" s="1264">
        <f t="shared" si="410"/>
        <v>99.857531963581536</v>
      </c>
      <c r="R89" s="1264">
        <f t="shared" si="410"/>
        <v>95.093601218159392</v>
      </c>
      <c r="S89" s="2649">
        <f t="shared" si="410"/>
        <v>99.857531963581565</v>
      </c>
      <c r="T89" s="2649">
        <f t="shared" si="410"/>
        <v>98.653631853520153</v>
      </c>
      <c r="U89" s="1264">
        <f t="shared" si="410"/>
        <v>99.857531963581536</v>
      </c>
      <c r="V89" s="1264">
        <f t="shared" si="410"/>
        <v>95.837178510903783</v>
      </c>
      <c r="W89" s="2649">
        <f t="shared" si="410"/>
        <v>99.857531963581565</v>
      </c>
      <c r="X89" s="2649">
        <f t="shared" si="410"/>
        <v>96.111360143442624</v>
      </c>
      <c r="Y89" s="1266">
        <f t="shared" si="410"/>
        <v>99.857531963581536</v>
      </c>
      <c r="Z89" s="1266">
        <f t="shared" si="410"/>
        <v>96.368010671991129</v>
      </c>
      <c r="AA89" s="1205">
        <f t="shared" si="410"/>
        <v>99.857531963581536</v>
      </c>
      <c r="AB89" s="1205">
        <f t="shared" si="410"/>
        <v>95.883689783296589</v>
      </c>
      <c r="AC89" s="2649">
        <f t="shared" si="410"/>
        <v>99.85753196358155</v>
      </c>
      <c r="AD89" s="2649">
        <f t="shared" si="410"/>
        <v>103.91842042408641</v>
      </c>
      <c r="AE89" s="1264">
        <f t="shared" si="410"/>
        <v>99.857531963581536</v>
      </c>
      <c r="AF89" s="1264">
        <f t="shared" si="410"/>
        <v>96.848351170412712</v>
      </c>
      <c r="AG89" s="2649">
        <f t="shared" si="410"/>
        <v>99.857531963581565</v>
      </c>
      <c r="AH89" s="2649">
        <f t="shared" si="410"/>
        <v>101.59582311595113</v>
      </c>
      <c r="AI89" s="1264">
        <f t="shared" si="410"/>
        <v>99.857531963581536</v>
      </c>
      <c r="AJ89" s="1264">
        <f t="shared" ref="AJ89:BF89" si="411">+AJ25+AJ55</f>
        <v>97.45264750935614</v>
      </c>
      <c r="AK89" s="2649">
        <f t="shared" si="411"/>
        <v>99.85753196358155</v>
      </c>
      <c r="AL89" s="2649">
        <f t="shared" si="411"/>
        <v>102.0007596066679</v>
      </c>
      <c r="AM89" s="1266">
        <f t="shared" si="411"/>
        <v>99.857531963581536</v>
      </c>
      <c r="AN89" s="1266">
        <f t="shared" si="411"/>
        <v>102.41868904778158</v>
      </c>
      <c r="AO89" s="1264">
        <f t="shared" si="411"/>
        <v>99.857531963581536</v>
      </c>
      <c r="AP89" s="1264">
        <f t="shared" si="411"/>
        <v>97.959353862309669</v>
      </c>
      <c r="AQ89" s="2649">
        <f t="shared" si="411"/>
        <v>99.857531963581536</v>
      </c>
      <c r="AR89" s="2649">
        <f t="shared" si="411"/>
        <v>109.95417098586938</v>
      </c>
      <c r="AS89" s="1264">
        <f t="shared" si="411"/>
        <v>99.857531963581536</v>
      </c>
      <c r="AT89" s="1264">
        <f t="shared" si="411"/>
        <v>99.179309043692484</v>
      </c>
      <c r="AU89" s="2649">
        <f t="shared" si="411"/>
        <v>99.857531963581565</v>
      </c>
      <c r="AV89" s="2649">
        <f t="shared" si="411"/>
        <v>114.19551145639457</v>
      </c>
      <c r="AW89" s="1264">
        <f t="shared" si="411"/>
        <v>99.857531963581536</v>
      </c>
      <c r="AX89" s="1264">
        <f t="shared" si="411"/>
        <v>100.38564720807649</v>
      </c>
      <c r="AY89" s="2649">
        <f t="shared" si="411"/>
        <v>99.857531963581536</v>
      </c>
      <c r="AZ89" s="2649">
        <f t="shared" si="411"/>
        <v>112.94322693429658</v>
      </c>
      <c r="BA89" s="1266">
        <f t="shared" si="411"/>
        <v>99.857531963581536</v>
      </c>
      <c r="BB89" s="1266">
        <f t="shared" si="411"/>
        <v>112.28226230478283</v>
      </c>
      <c r="BC89" s="1280">
        <f t="shared" si="411"/>
        <v>99.857531963581536</v>
      </c>
      <c r="BD89" s="1280">
        <f t="shared" si="411"/>
        <v>107.42809341981153</v>
      </c>
      <c r="BE89" s="1279">
        <f t="shared" si="411"/>
        <v>99.857531963581536</v>
      </c>
      <c r="BF89" s="1279">
        <f t="shared" si="411"/>
        <v>101.49515440267564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3">
      <c r="B90" s="3137" t="s">
        <v>98</v>
      </c>
      <c r="C90" s="3138" t="s">
        <v>219</v>
      </c>
      <c r="D90" s="2649">
        <f t="shared" ref="D90" si="412">+D36</f>
        <v>170.09827454020316</v>
      </c>
      <c r="E90" s="2649">
        <f t="shared" ref="E90:L90" si="413">+E36</f>
        <v>170.3275582653896</v>
      </c>
      <c r="F90" s="2649">
        <f t="shared" si="413"/>
        <v>186.74455457850416</v>
      </c>
      <c r="G90" s="2649">
        <f t="shared" ref="G90:H90" si="414">+G36</f>
        <v>170.60964576248358</v>
      </c>
      <c r="H90" s="2649">
        <f t="shared" si="414"/>
        <v>184.72527905523688</v>
      </c>
      <c r="I90" s="2647">
        <f t="shared" si="413"/>
        <v>170.47068915152471</v>
      </c>
      <c r="J90" s="3155">
        <f t="shared" si="413"/>
        <v>185.68500271732711</v>
      </c>
      <c r="K90" s="2649">
        <f t="shared" si="413"/>
        <v>170.3275582653896</v>
      </c>
      <c r="L90" s="2649">
        <f t="shared" si="413"/>
        <v>195.28853973434252</v>
      </c>
      <c r="M90" s="1266">
        <f t="shared" ref="M90" si="415">+M36</f>
        <v>170.09827454020316</v>
      </c>
      <c r="N90" s="1266">
        <f t="shared" ref="N90:AF90" si="416">+N36</f>
        <v>189.11534919926714</v>
      </c>
      <c r="O90" s="2649">
        <f t="shared" si="416"/>
        <v>170.43530503385097</v>
      </c>
      <c r="P90" s="2649">
        <f t="shared" si="416"/>
        <v>199.75123127952557</v>
      </c>
      <c r="Q90" s="1264">
        <f t="shared" si="416"/>
        <v>170.42641790757546</v>
      </c>
      <c r="R90" s="1264">
        <f t="shared" si="416"/>
        <v>192.03166663221646</v>
      </c>
      <c r="S90" s="2649">
        <f t="shared" ref="S90:T90" si="417">+S36</f>
        <v>170.43530503385097</v>
      </c>
      <c r="T90" s="2649">
        <f t="shared" si="417"/>
        <v>199.84915666046416</v>
      </c>
      <c r="U90" s="1264">
        <f t="shared" ref="U90:X90" si="418">+U36</f>
        <v>170.4281966537942</v>
      </c>
      <c r="V90" s="1264">
        <f t="shared" si="418"/>
        <v>193.66449192689868</v>
      </c>
      <c r="W90" s="2649">
        <f t="shared" si="418"/>
        <v>169.59847764614028</v>
      </c>
      <c r="X90" s="2649">
        <f t="shared" si="418"/>
        <v>200.57953381147541</v>
      </c>
      <c r="Y90" s="1266">
        <f t="shared" ref="Y90:Z90" si="419">+Y36</f>
        <v>170.25436824508225</v>
      </c>
      <c r="Z90" s="1266">
        <f t="shared" si="419"/>
        <v>200.05225261544237</v>
      </c>
      <c r="AA90" s="1205">
        <f t="shared" si="416"/>
        <v>170.34568432376534</v>
      </c>
      <c r="AB90" s="1205">
        <f t="shared" si="416"/>
        <v>194.83753693988186</v>
      </c>
      <c r="AC90" s="2649">
        <f t="shared" si="416"/>
        <v>170.60964576248358</v>
      </c>
      <c r="AD90" s="2649">
        <f t="shared" si="416"/>
        <v>202.95374326583689</v>
      </c>
      <c r="AE90" s="1264">
        <f t="shared" si="416"/>
        <v>170.38662832757072</v>
      </c>
      <c r="AF90" s="1264">
        <f t="shared" si="416"/>
        <v>195.81198041565554</v>
      </c>
      <c r="AG90" s="2649">
        <f t="shared" ref="AG90:AH90" si="420">+AG36</f>
        <v>168.51648506196378</v>
      </c>
      <c r="AH90" s="2649">
        <f t="shared" si="420"/>
        <v>196.05085662168287</v>
      </c>
      <c r="AI90" s="1264">
        <f t="shared" ref="AI90:AL90" si="421">+AI36</f>
        <v>170.13957989668424</v>
      </c>
      <c r="AJ90" s="1264">
        <f t="shared" si="421"/>
        <v>195.84238649670647</v>
      </c>
      <c r="AK90" s="2649">
        <f t="shared" si="421"/>
        <v>168.84793254155306</v>
      </c>
      <c r="AL90" s="2649">
        <f t="shared" si="421"/>
        <v>196.51634401865195</v>
      </c>
      <c r="AM90" s="1266">
        <f t="shared" ref="AM90:AN90" si="422">+AM36</f>
        <v>169.32808503640814</v>
      </c>
      <c r="AN90" s="1266">
        <f t="shared" si="422"/>
        <v>198.23759416628499</v>
      </c>
      <c r="AO90" s="1264">
        <f t="shared" ref="AO90:AT90" si="423">+AO36</f>
        <v>169.98491854780761</v>
      </c>
      <c r="AP90" s="1264">
        <f t="shared" si="423"/>
        <v>195.91747227970475</v>
      </c>
      <c r="AQ90" s="2649">
        <f t="shared" si="423"/>
        <v>170.74460808184665</v>
      </c>
      <c r="AR90" s="2649">
        <f t="shared" si="423"/>
        <v>208.99667194064051</v>
      </c>
      <c r="AS90" s="1264">
        <f t="shared" si="423"/>
        <v>170.06645384224649</v>
      </c>
      <c r="AT90" s="1264">
        <f t="shared" si="423"/>
        <v>197.24771660359349</v>
      </c>
      <c r="AU90" s="2649">
        <f t="shared" ref="AU90:AX90" si="424">+AU36</f>
        <v>169.70928963419979</v>
      </c>
      <c r="AV90" s="2649">
        <f t="shared" si="424"/>
        <v>203.64241565717845</v>
      </c>
      <c r="AW90" s="1264">
        <f t="shared" si="424"/>
        <v>170.03501209539087</v>
      </c>
      <c r="AX90" s="1264">
        <f t="shared" si="424"/>
        <v>197.76143966792594</v>
      </c>
      <c r="AY90" s="2649">
        <f t="shared" ref="AY90:AZ90" si="425">+AY36</f>
        <v>170.74460808184665</v>
      </c>
      <c r="AZ90" s="2649">
        <f t="shared" si="425"/>
        <v>217.40103415230053</v>
      </c>
      <c r="BA90" s="1266">
        <f t="shared" ref="BA90:BF90" si="426">+BA36</f>
        <v>170.42345186098788</v>
      </c>
      <c r="BB90" s="1266">
        <f t="shared" si="426"/>
        <v>210.41616804271175</v>
      </c>
      <c r="BC90" s="1280">
        <f t="shared" si="426"/>
        <v>169.87115026446608</v>
      </c>
      <c r="BD90" s="1280">
        <f t="shared" si="426"/>
        <v>204.42271588962782</v>
      </c>
      <c r="BE90" s="1279">
        <f t="shared" si="426"/>
        <v>170.09827454020316</v>
      </c>
      <c r="BF90" s="1279">
        <f t="shared" si="426"/>
        <v>199.49666825930214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3">
      <c r="B91" s="3137" t="s">
        <v>1431</v>
      </c>
      <c r="C91" s="3138" t="s">
        <v>219</v>
      </c>
      <c r="D91" s="3170">
        <f t="shared" ref="D91:AI91" si="427">+D27</f>
        <v>0.4</v>
      </c>
      <c r="E91" s="3170">
        <f t="shared" si="427"/>
        <v>0.39999999999999997</v>
      </c>
      <c r="F91" s="3170">
        <f t="shared" si="427"/>
        <v>2.1843830593791753</v>
      </c>
      <c r="G91" s="3170">
        <f t="shared" si="427"/>
        <v>0.39999999999999997</v>
      </c>
      <c r="H91" s="3170">
        <f t="shared" si="427"/>
        <v>1.4607127377528104</v>
      </c>
      <c r="I91" s="4836">
        <f t="shared" si="427"/>
        <v>0.39999999999999991</v>
      </c>
      <c r="J91" s="3142">
        <f t="shared" si="427"/>
        <v>1.8046596252451503</v>
      </c>
      <c r="K91" s="3170">
        <f t="shared" si="427"/>
        <v>0.39999999999999997</v>
      </c>
      <c r="L91" s="3170">
        <f t="shared" si="427"/>
        <v>1.0471092873810042</v>
      </c>
      <c r="M91" s="1266">
        <f t="shared" si="427"/>
        <v>0.39999999999999986</v>
      </c>
      <c r="N91" s="1277">
        <f t="shared" si="427"/>
        <v>1.5340655585194749</v>
      </c>
      <c r="O91" s="3170">
        <f t="shared" si="427"/>
        <v>0.39999999999999997</v>
      </c>
      <c r="P91" s="3170">
        <f t="shared" si="427"/>
        <v>2.3419439139612024</v>
      </c>
      <c r="Q91" s="1264">
        <f t="shared" si="427"/>
        <v>0.4</v>
      </c>
      <c r="R91" s="1264">
        <f t="shared" si="427"/>
        <v>1.7555826563867241</v>
      </c>
      <c r="S91" s="3170">
        <f t="shared" si="427"/>
        <v>0.39999999999999997</v>
      </c>
      <c r="T91" s="3170">
        <f t="shared" si="427"/>
        <v>1.8998953491710142</v>
      </c>
      <c r="U91" s="1264">
        <f t="shared" si="427"/>
        <v>0.4</v>
      </c>
      <c r="V91" s="1264">
        <f t="shared" si="427"/>
        <v>1.7857249929001624</v>
      </c>
      <c r="W91" s="3170">
        <f t="shared" si="427"/>
        <v>0.40000000000000008</v>
      </c>
      <c r="X91" s="3170">
        <f t="shared" si="427"/>
        <v>0</v>
      </c>
      <c r="Y91" s="1266">
        <f t="shared" si="427"/>
        <v>0.4</v>
      </c>
      <c r="Z91" s="1277">
        <f t="shared" si="427"/>
        <v>1.4360818151382055</v>
      </c>
      <c r="AA91" s="1205">
        <f t="shared" si="427"/>
        <v>0.4</v>
      </c>
      <c r="AB91" s="1205">
        <f t="shared" si="427"/>
        <v>1.4828004651177527</v>
      </c>
      <c r="AC91" s="3170">
        <f t="shared" si="427"/>
        <v>0.39999999999999997</v>
      </c>
      <c r="AD91" s="3170">
        <f t="shared" si="427"/>
        <v>1.5956317507497146</v>
      </c>
      <c r="AE91" s="1264">
        <f t="shared" si="427"/>
        <v>0.4</v>
      </c>
      <c r="AF91" s="1264">
        <f t="shared" si="427"/>
        <v>1.4963471525393892</v>
      </c>
      <c r="AG91" s="3144">
        <f t="shared" si="427"/>
        <v>0.39999999999999997</v>
      </c>
      <c r="AH91" s="3144">
        <f t="shared" si="427"/>
        <v>0.68267587095787607</v>
      </c>
      <c r="AI91" s="1264">
        <f t="shared" si="427"/>
        <v>0.4</v>
      </c>
      <c r="AJ91" s="1264">
        <f t="shared" ref="AJ91:BF91" si="428">+AJ27</f>
        <v>1.3927765401790135</v>
      </c>
      <c r="AK91" s="3144">
        <f t="shared" si="428"/>
        <v>0.4</v>
      </c>
      <c r="AL91" s="3144">
        <f t="shared" si="428"/>
        <v>0</v>
      </c>
      <c r="AM91" s="1266">
        <f t="shared" si="428"/>
        <v>0.4</v>
      </c>
      <c r="AN91" s="1277">
        <f t="shared" si="428"/>
        <v>0.71083572304439946</v>
      </c>
      <c r="AO91" s="1264">
        <f t="shared" si="428"/>
        <v>0.4</v>
      </c>
      <c r="AP91" s="1264">
        <f t="shared" si="428"/>
        <v>1.2376069432004202</v>
      </c>
      <c r="AQ91" s="3144">
        <f t="shared" si="428"/>
        <v>0.39999999999999997</v>
      </c>
      <c r="AR91" s="3144">
        <f t="shared" si="428"/>
        <v>0</v>
      </c>
      <c r="AS91" s="1264">
        <f t="shared" si="428"/>
        <v>0.4</v>
      </c>
      <c r="AT91" s="1264">
        <f t="shared" si="428"/>
        <v>1.1117338275605668</v>
      </c>
      <c r="AU91" s="3144">
        <f t="shared" si="428"/>
        <v>0.40000000000000008</v>
      </c>
      <c r="AV91" s="3144">
        <f t="shared" si="428"/>
        <v>0</v>
      </c>
      <c r="AW91" s="1279">
        <f t="shared" si="428"/>
        <v>0.4</v>
      </c>
      <c r="AX91" s="1264">
        <f t="shared" si="428"/>
        <v>1.0224218358889201</v>
      </c>
      <c r="AY91" s="3144">
        <f t="shared" si="428"/>
        <v>0.39999999999999997</v>
      </c>
      <c r="AZ91" s="3144">
        <f t="shared" si="428"/>
        <v>0</v>
      </c>
      <c r="BA91" s="1266">
        <f t="shared" si="428"/>
        <v>0.4</v>
      </c>
      <c r="BB91" s="1277">
        <f t="shared" si="428"/>
        <v>0</v>
      </c>
      <c r="BC91" s="1280">
        <f t="shared" si="428"/>
        <v>0.4</v>
      </c>
      <c r="BD91" s="1280">
        <f t="shared" si="428"/>
        <v>0.3498242025707054</v>
      </c>
      <c r="BE91" s="1279">
        <f t="shared" si="428"/>
        <v>0.4</v>
      </c>
      <c r="BF91" s="1279">
        <f t="shared" si="428"/>
        <v>0.93208720074697238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3">
      <c r="B92" s="3137" t="s">
        <v>556</v>
      </c>
      <c r="C92" s="3138" t="s">
        <v>219</v>
      </c>
      <c r="D92" s="3170">
        <f t="shared" ref="D92:AI92" si="429">+D28</f>
        <v>14.559999999999999</v>
      </c>
      <c r="E92" s="3170">
        <f t="shared" si="429"/>
        <v>14.56</v>
      </c>
      <c r="F92" s="3170">
        <f t="shared" si="429"/>
        <v>17.310381257185469</v>
      </c>
      <c r="G92" s="3170">
        <f t="shared" si="429"/>
        <v>14.56</v>
      </c>
      <c r="H92" s="3170">
        <f t="shared" si="429"/>
        <v>15.555605590673954</v>
      </c>
      <c r="I92" s="4836">
        <f t="shared" si="429"/>
        <v>14.56</v>
      </c>
      <c r="J92" s="3142">
        <f t="shared" si="429"/>
        <v>16.389617447602845</v>
      </c>
      <c r="K92" s="3170">
        <f t="shared" si="429"/>
        <v>14.56</v>
      </c>
      <c r="L92" s="3170">
        <f t="shared" si="429"/>
        <v>17.970946703731855</v>
      </c>
      <c r="M92" s="1266">
        <f t="shared" si="429"/>
        <v>14.559999999999999</v>
      </c>
      <c r="N92" s="1266">
        <f t="shared" si="429"/>
        <v>16.954462175221423</v>
      </c>
      <c r="O92" s="3170">
        <f t="shared" si="429"/>
        <v>14.560000000000002</v>
      </c>
      <c r="P92" s="3170">
        <f t="shared" si="429"/>
        <v>14.164740174891948</v>
      </c>
      <c r="Q92" s="1264">
        <f t="shared" si="429"/>
        <v>14.559999999999999</v>
      </c>
      <c r="R92" s="1279">
        <f t="shared" si="429"/>
        <v>16.189531270454811</v>
      </c>
      <c r="S92" s="3170">
        <f t="shared" si="429"/>
        <v>14.560000000000002</v>
      </c>
      <c r="T92" s="3170">
        <f t="shared" si="429"/>
        <v>16.814595789435224</v>
      </c>
      <c r="U92" s="1264">
        <f t="shared" si="429"/>
        <v>14.559999999999999</v>
      </c>
      <c r="V92" s="1264">
        <f t="shared" si="429"/>
        <v>16.320087389325661</v>
      </c>
      <c r="W92" s="3170">
        <f t="shared" si="429"/>
        <v>14.56</v>
      </c>
      <c r="X92" s="3170">
        <f t="shared" si="429"/>
        <v>14.298902834699454</v>
      </c>
      <c r="Y92" s="1266">
        <f t="shared" si="429"/>
        <v>14.559999999999999</v>
      </c>
      <c r="Z92" s="1277">
        <f t="shared" si="429"/>
        <v>15.086645044695883</v>
      </c>
      <c r="AA92" s="1205">
        <f t="shared" si="429"/>
        <v>14.559999999999999</v>
      </c>
      <c r="AB92" s="1205">
        <f t="shared" si="429"/>
        <v>15.977220274173247</v>
      </c>
      <c r="AC92" s="3170">
        <f t="shared" si="429"/>
        <v>14.56</v>
      </c>
      <c r="AD92" s="3170">
        <f t="shared" si="429"/>
        <v>11.385048167511478</v>
      </c>
      <c r="AE92" s="1279">
        <f t="shared" si="429"/>
        <v>14.559999999999999</v>
      </c>
      <c r="AF92" s="1279">
        <f t="shared" si="429"/>
        <v>15.425877446101433</v>
      </c>
      <c r="AG92" s="3144">
        <f t="shared" si="429"/>
        <v>14.56</v>
      </c>
      <c r="AH92" s="3144">
        <f t="shared" si="429"/>
        <v>16.231301507894461</v>
      </c>
      <c r="AI92" s="1279">
        <f t="shared" si="429"/>
        <v>14.559999999999999</v>
      </c>
      <c r="AJ92" s="1279">
        <f t="shared" ref="AJ92:BF92" si="430">+AJ28</f>
        <v>15.528398286123643</v>
      </c>
      <c r="AK92" s="3144">
        <f t="shared" si="430"/>
        <v>14.560000000000002</v>
      </c>
      <c r="AL92" s="3144">
        <f t="shared" si="430"/>
        <v>16.22619644980913</v>
      </c>
      <c r="AM92" s="1266">
        <f t="shared" si="430"/>
        <v>14.559999999999999</v>
      </c>
      <c r="AN92" s="1277">
        <f t="shared" si="430"/>
        <v>14.80891549417669</v>
      </c>
      <c r="AO92" s="1279">
        <f t="shared" si="430"/>
        <v>14.559999999999999</v>
      </c>
      <c r="AP92" s="1279">
        <f t="shared" si="430"/>
        <v>15.606140161225561</v>
      </c>
      <c r="AQ92" s="3144">
        <f t="shared" si="430"/>
        <v>14.56</v>
      </c>
      <c r="AR92" s="3144">
        <f t="shared" si="430"/>
        <v>15.832833215123577</v>
      </c>
      <c r="AS92" s="1279">
        <f t="shared" si="430"/>
        <v>14.559999999999999</v>
      </c>
      <c r="AT92" s="1279">
        <f t="shared" si="430"/>
        <v>15.629196399835749</v>
      </c>
      <c r="AU92" s="3144">
        <f t="shared" si="430"/>
        <v>14.560000000000002</v>
      </c>
      <c r="AV92" s="3144">
        <f t="shared" si="430"/>
        <v>13.940148517052782</v>
      </c>
      <c r="AW92" s="1279">
        <f t="shared" si="430"/>
        <v>14.559999999999999</v>
      </c>
      <c r="AX92" s="1279">
        <f t="shared" si="430"/>
        <v>15.493505439733248</v>
      </c>
      <c r="AY92" s="3144">
        <f t="shared" si="430"/>
        <v>14.56</v>
      </c>
      <c r="AZ92" s="3144">
        <f t="shared" si="430"/>
        <v>15.754499404993838</v>
      </c>
      <c r="BA92" s="1266">
        <f t="shared" si="430"/>
        <v>14.559999999999999</v>
      </c>
      <c r="BB92" s="1277">
        <f t="shared" si="430"/>
        <v>15.243287657808592</v>
      </c>
      <c r="BC92" s="1280">
        <f t="shared" si="430"/>
        <v>14.559999999999999</v>
      </c>
      <c r="BD92" s="1280">
        <f t="shared" si="430"/>
        <v>15.029519707162207</v>
      </c>
      <c r="BE92" s="1279">
        <f t="shared" si="430"/>
        <v>14.559999999999999</v>
      </c>
      <c r="BF92" s="1279">
        <f t="shared" si="430"/>
        <v>15.516565192370052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3">
      <c r="B93" s="3137" t="s">
        <v>41</v>
      </c>
      <c r="C93" s="3138" t="s">
        <v>219</v>
      </c>
      <c r="D93" s="3170">
        <f t="shared" ref="D93:AI93" si="431">+D29</f>
        <v>10.41458922319562</v>
      </c>
      <c r="E93" s="3170">
        <f t="shared" si="431"/>
        <v>10.414589223195621</v>
      </c>
      <c r="F93" s="3170">
        <f t="shared" si="431"/>
        <v>0</v>
      </c>
      <c r="G93" s="3170">
        <f t="shared" si="431"/>
        <v>10.414589223195623</v>
      </c>
      <c r="H93" s="3170">
        <f t="shared" si="431"/>
        <v>0</v>
      </c>
      <c r="I93" s="4836">
        <f t="shared" si="431"/>
        <v>10.414589223195621</v>
      </c>
      <c r="J93" s="3142">
        <f t="shared" si="431"/>
        <v>0</v>
      </c>
      <c r="K93" s="3170">
        <f t="shared" si="431"/>
        <v>10.414589223195621</v>
      </c>
      <c r="L93" s="3170">
        <f t="shared" si="431"/>
        <v>4.6668119508655925</v>
      </c>
      <c r="M93" s="1266">
        <f t="shared" si="431"/>
        <v>10.41458922319562</v>
      </c>
      <c r="N93" s="1277">
        <f t="shared" si="431"/>
        <v>1.6669672776981421</v>
      </c>
      <c r="O93" s="3170">
        <f t="shared" si="431"/>
        <v>10.414589223195621</v>
      </c>
      <c r="P93" s="3170">
        <f t="shared" si="431"/>
        <v>5.9227057995778472</v>
      </c>
      <c r="Q93" s="1264">
        <f t="shared" si="431"/>
        <v>10.41458922319562</v>
      </c>
      <c r="R93" s="1279">
        <f t="shared" si="431"/>
        <v>2.8338742016164038</v>
      </c>
      <c r="S93" s="3170">
        <f t="shared" si="431"/>
        <v>10.414589223195621</v>
      </c>
      <c r="T93" s="3170">
        <f t="shared" si="431"/>
        <v>9.9196459096140455</v>
      </c>
      <c r="U93" s="1264">
        <f t="shared" si="431"/>
        <v>10.41458922319562</v>
      </c>
      <c r="V93" s="1264">
        <f t="shared" si="431"/>
        <v>4.3138667868778642</v>
      </c>
      <c r="W93" s="3170">
        <f t="shared" si="431"/>
        <v>10.414589223195623</v>
      </c>
      <c r="X93" s="3170">
        <f t="shared" si="431"/>
        <v>8.7010117827868854</v>
      </c>
      <c r="Y93" s="1266">
        <f t="shared" si="431"/>
        <v>10.41458922319562</v>
      </c>
      <c r="Z93" s="1277">
        <f t="shared" si="431"/>
        <v>8.1484666366185294</v>
      </c>
      <c r="AA93" s="1205">
        <f t="shared" si="431"/>
        <v>10.41458922319562</v>
      </c>
      <c r="AB93" s="1205">
        <f t="shared" si="431"/>
        <v>5.0580876671828099</v>
      </c>
      <c r="AC93" s="3170">
        <f t="shared" si="431"/>
        <v>10.414589223195623</v>
      </c>
      <c r="AD93" s="3170">
        <f t="shared" si="431"/>
        <v>12.552745415461372</v>
      </c>
      <c r="AE93" s="1279">
        <f t="shared" si="431"/>
        <v>10.41458922319562</v>
      </c>
      <c r="AF93" s="1279">
        <f t="shared" si="431"/>
        <v>5.9579071213299768</v>
      </c>
      <c r="AG93" s="3144">
        <f t="shared" si="431"/>
        <v>10.414589223195623</v>
      </c>
      <c r="AH93" s="3144">
        <f t="shared" si="431"/>
        <v>9.729496512891652</v>
      </c>
      <c r="AI93" s="1279">
        <f t="shared" si="431"/>
        <v>10.41458922319562</v>
      </c>
      <c r="AJ93" s="1279">
        <f t="shared" ref="AJ93:BF93" si="432">+AJ29</f>
        <v>6.4379852950326155</v>
      </c>
      <c r="AK93" s="3144">
        <f t="shared" si="432"/>
        <v>10.414589223195623</v>
      </c>
      <c r="AL93" s="3144">
        <f t="shared" si="432"/>
        <v>10.978256952202997</v>
      </c>
      <c r="AM93" s="1266">
        <f t="shared" si="432"/>
        <v>10.41458922319562</v>
      </c>
      <c r="AN93" s="1277">
        <f t="shared" si="432"/>
        <v>10.995101943177874</v>
      </c>
      <c r="AO93" s="1279">
        <f t="shared" si="432"/>
        <v>10.41458922319562</v>
      </c>
      <c r="AP93" s="1279">
        <f t="shared" si="432"/>
        <v>6.9438181425085705</v>
      </c>
      <c r="AQ93" s="3144">
        <f t="shared" si="432"/>
        <v>10.414589223195621</v>
      </c>
      <c r="AR93" s="3144">
        <f t="shared" si="432"/>
        <v>9.8859730481750248</v>
      </c>
      <c r="AS93" s="1279">
        <f t="shared" si="432"/>
        <v>10.41458922319562</v>
      </c>
      <c r="AT93" s="1279">
        <f t="shared" si="432"/>
        <v>7.2430554784866876</v>
      </c>
      <c r="AU93" s="3144">
        <f t="shared" si="432"/>
        <v>10.414589223195623</v>
      </c>
      <c r="AV93" s="3144">
        <f t="shared" si="432"/>
        <v>13.851216150117835</v>
      </c>
      <c r="AW93" s="1279">
        <f t="shared" si="432"/>
        <v>10.41458922319562</v>
      </c>
      <c r="AX93" s="1279">
        <f t="shared" si="432"/>
        <v>7.7739271460014292</v>
      </c>
      <c r="AY93" s="3144">
        <f t="shared" si="432"/>
        <v>10.414589223195621</v>
      </c>
      <c r="AZ93" s="3144">
        <f t="shared" si="432"/>
        <v>8.8671714565540185</v>
      </c>
      <c r="BA93" s="1266">
        <f t="shared" si="432"/>
        <v>10.41458922319562</v>
      </c>
      <c r="BB93" s="1277">
        <f t="shared" si="432"/>
        <v>10.697721751814363</v>
      </c>
      <c r="BC93" s="1280">
        <f t="shared" si="432"/>
        <v>10.41458922319562</v>
      </c>
      <c r="BD93" s="1280">
        <f t="shared" si="432"/>
        <v>10.844071724011197</v>
      </c>
      <c r="BE93" s="1279">
        <f t="shared" si="432"/>
        <v>10.41458922319562</v>
      </c>
      <c r="BF93" s="1279">
        <f t="shared" si="432"/>
        <v>7.8705192007171974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3">
      <c r="B94" s="3137" t="s">
        <v>1499</v>
      </c>
      <c r="C94" s="3138" t="s">
        <v>219</v>
      </c>
      <c r="D94" s="3170">
        <f t="shared" ref="D94:AI94" si="433">+D30</f>
        <v>0</v>
      </c>
      <c r="E94" s="3170">
        <f t="shared" si="433"/>
        <v>0</v>
      </c>
      <c r="F94" s="3170">
        <f t="shared" si="433"/>
        <v>2.0725227604635985</v>
      </c>
      <c r="G94" s="3170">
        <f t="shared" si="433"/>
        <v>0</v>
      </c>
      <c r="H94" s="3170">
        <f t="shared" si="433"/>
        <v>1.9645038361299836</v>
      </c>
      <c r="I94" s="4836">
        <f t="shared" si="433"/>
        <v>0</v>
      </c>
      <c r="J94" s="3142">
        <f t="shared" si="433"/>
        <v>2.0158431984121359</v>
      </c>
      <c r="K94" s="3170">
        <f t="shared" si="433"/>
        <v>0</v>
      </c>
      <c r="L94" s="3170">
        <f t="shared" si="433"/>
        <v>0</v>
      </c>
      <c r="M94" s="1266">
        <f t="shared" si="433"/>
        <v>0</v>
      </c>
      <c r="N94" s="1277">
        <f t="shared" si="433"/>
        <v>1.295791761992007</v>
      </c>
      <c r="O94" s="3170">
        <f t="shared" si="433"/>
        <v>0</v>
      </c>
      <c r="P94" s="3170">
        <f t="shared" si="433"/>
        <v>2.6258920494522062</v>
      </c>
      <c r="Q94" s="1264">
        <f t="shared" si="433"/>
        <v>0</v>
      </c>
      <c r="R94" s="1279">
        <f t="shared" si="433"/>
        <v>1.6605000792354809</v>
      </c>
      <c r="S94" s="3170">
        <f t="shared" si="433"/>
        <v>0</v>
      </c>
      <c r="T94" s="3170">
        <f t="shared" si="433"/>
        <v>1.6023842642733552</v>
      </c>
      <c r="U94" s="1264">
        <f t="shared" si="433"/>
        <v>0</v>
      </c>
      <c r="V94" s="1264">
        <f t="shared" si="433"/>
        <v>1.6483615319078424</v>
      </c>
      <c r="W94" s="3170">
        <f t="shared" si="433"/>
        <v>0</v>
      </c>
      <c r="X94" s="3170">
        <f t="shared" si="433"/>
        <v>1.4995303961748634</v>
      </c>
      <c r="Y94" s="1266">
        <f t="shared" si="433"/>
        <v>0</v>
      </c>
      <c r="Z94" s="1277">
        <f t="shared" si="433"/>
        <v>1.9214082598927438</v>
      </c>
      <c r="AA94" s="1205">
        <f t="shared" si="433"/>
        <v>0</v>
      </c>
      <c r="AB94" s="1205">
        <f t="shared" si="433"/>
        <v>1.6231143064445241</v>
      </c>
      <c r="AC94" s="3170">
        <f t="shared" si="433"/>
        <v>0</v>
      </c>
      <c r="AD94" s="3170">
        <f t="shared" si="433"/>
        <v>1.9638544624611876</v>
      </c>
      <c r="AE94" s="1279">
        <f t="shared" si="433"/>
        <v>0</v>
      </c>
      <c r="AF94" s="1279">
        <f t="shared" si="433"/>
        <v>1.6640240626323044</v>
      </c>
      <c r="AG94" s="3144">
        <f t="shared" si="433"/>
        <v>0</v>
      </c>
      <c r="AH94" s="3144">
        <f t="shared" si="433"/>
        <v>1.201509532885862</v>
      </c>
      <c r="AI94" s="1279">
        <f t="shared" si="433"/>
        <v>0</v>
      </c>
      <c r="AJ94" s="1279">
        <f t="shared" ref="AJ94:BF94" si="434">+AJ30</f>
        <v>1.6051515005107773</v>
      </c>
      <c r="AK94" s="3144">
        <f t="shared" si="434"/>
        <v>0</v>
      </c>
      <c r="AL94" s="3144">
        <f t="shared" si="434"/>
        <v>1.7160457205590041</v>
      </c>
      <c r="AM94" s="1266">
        <f t="shared" si="434"/>
        <v>0</v>
      </c>
      <c r="AN94" s="1277">
        <f t="shared" si="434"/>
        <v>1.6054579736611541</v>
      </c>
      <c r="AO94" s="1279">
        <f t="shared" si="434"/>
        <v>0</v>
      </c>
      <c r="AP94" s="1279">
        <f t="shared" si="434"/>
        <v>1.6175062544398802</v>
      </c>
      <c r="AQ94" s="3144">
        <f t="shared" si="434"/>
        <v>0</v>
      </c>
      <c r="AR94" s="3144">
        <f t="shared" si="434"/>
        <v>0</v>
      </c>
      <c r="AS94" s="1279">
        <f t="shared" si="434"/>
        <v>0</v>
      </c>
      <c r="AT94" s="1279">
        <f t="shared" si="434"/>
        <v>1.4529947728811301</v>
      </c>
      <c r="AU94" s="3144">
        <f t="shared" si="434"/>
        <v>0</v>
      </c>
      <c r="AV94" s="3144">
        <f t="shared" si="434"/>
        <v>1.9279266689111501</v>
      </c>
      <c r="AW94" s="1279">
        <f t="shared" si="434"/>
        <v>0</v>
      </c>
      <c r="AX94" s="1279">
        <f t="shared" si="434"/>
        <v>1.4911487918479784</v>
      </c>
      <c r="AY94" s="3144">
        <f t="shared" si="434"/>
        <v>0</v>
      </c>
      <c r="AZ94" s="3144">
        <f t="shared" si="434"/>
        <v>1.7191992164874628</v>
      </c>
      <c r="BA94" s="1266">
        <f t="shared" si="434"/>
        <v>0</v>
      </c>
      <c r="BB94" s="1277">
        <f t="shared" si="434"/>
        <v>1.1872746769387914</v>
      </c>
      <c r="BC94" s="1280">
        <f t="shared" si="434"/>
        <v>0</v>
      </c>
      <c r="BD94" s="1280">
        <f t="shared" si="434"/>
        <v>1.3930755864340949</v>
      </c>
      <c r="BE94" s="1279">
        <f t="shared" si="434"/>
        <v>0</v>
      </c>
      <c r="BF94" s="1279">
        <f t="shared" si="434"/>
        <v>1.511297864550307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3">
      <c r="B95" s="3137" t="s">
        <v>42</v>
      </c>
      <c r="C95" s="3138" t="s">
        <v>219</v>
      </c>
      <c r="D95" s="3170">
        <f t="shared" ref="D95:AI95" si="435">+D31</f>
        <v>0</v>
      </c>
      <c r="E95" s="3170">
        <f t="shared" si="435"/>
        <v>0</v>
      </c>
      <c r="F95" s="3170">
        <f t="shared" si="435"/>
        <v>0</v>
      </c>
      <c r="G95" s="3170">
        <f t="shared" si="435"/>
        <v>0</v>
      </c>
      <c r="H95" s="3170">
        <f t="shared" si="435"/>
        <v>0</v>
      </c>
      <c r="I95" s="4836">
        <f t="shared" si="435"/>
        <v>0</v>
      </c>
      <c r="J95" s="3142">
        <f t="shared" si="435"/>
        <v>0</v>
      </c>
      <c r="K95" s="3170">
        <f t="shared" si="435"/>
        <v>0</v>
      </c>
      <c r="L95" s="3170">
        <f t="shared" si="435"/>
        <v>0</v>
      </c>
      <c r="M95" s="1266">
        <f t="shared" si="435"/>
        <v>0</v>
      </c>
      <c r="N95" s="1277">
        <f t="shared" si="435"/>
        <v>0</v>
      </c>
      <c r="O95" s="3170">
        <f t="shared" si="435"/>
        <v>0</v>
      </c>
      <c r="P95" s="3170">
        <f t="shared" si="435"/>
        <v>0</v>
      </c>
      <c r="Q95" s="1264">
        <f t="shared" si="435"/>
        <v>0</v>
      </c>
      <c r="R95" s="1279">
        <f t="shared" si="435"/>
        <v>0</v>
      </c>
      <c r="S95" s="3170">
        <f t="shared" si="435"/>
        <v>0</v>
      </c>
      <c r="T95" s="3170">
        <f t="shared" si="435"/>
        <v>0</v>
      </c>
      <c r="U95" s="1264">
        <f t="shared" si="435"/>
        <v>0</v>
      </c>
      <c r="V95" s="1264">
        <f t="shared" si="435"/>
        <v>0</v>
      </c>
      <c r="W95" s="3170">
        <f t="shared" si="435"/>
        <v>0</v>
      </c>
      <c r="X95" s="3170">
        <f t="shared" si="435"/>
        <v>0</v>
      </c>
      <c r="Y95" s="1266">
        <f t="shared" si="435"/>
        <v>0</v>
      </c>
      <c r="Z95" s="1277">
        <f t="shared" si="435"/>
        <v>0</v>
      </c>
      <c r="AA95" s="1205">
        <f t="shared" si="435"/>
        <v>0</v>
      </c>
      <c r="AB95" s="1205">
        <f t="shared" si="435"/>
        <v>0</v>
      </c>
      <c r="AC95" s="3170">
        <f t="shared" si="435"/>
        <v>0</v>
      </c>
      <c r="AD95" s="3170">
        <f t="shared" si="435"/>
        <v>0</v>
      </c>
      <c r="AE95" s="1279">
        <f t="shared" si="435"/>
        <v>0</v>
      </c>
      <c r="AF95" s="1279">
        <f t="shared" si="435"/>
        <v>0</v>
      </c>
      <c r="AG95" s="3144">
        <f t="shared" si="435"/>
        <v>0</v>
      </c>
      <c r="AH95" s="3144">
        <f t="shared" si="435"/>
        <v>1.7176124913300164</v>
      </c>
      <c r="AI95" s="1279">
        <f t="shared" si="435"/>
        <v>0</v>
      </c>
      <c r="AJ95" s="1279">
        <f t="shared" ref="AJ95:BF95" si="436">+AJ31</f>
        <v>0.21863150580798593</v>
      </c>
      <c r="AK95" s="3144">
        <f t="shared" si="436"/>
        <v>0</v>
      </c>
      <c r="AL95" s="3144">
        <f t="shared" si="436"/>
        <v>5.73308974170601</v>
      </c>
      <c r="AM95" s="1266">
        <f t="shared" si="436"/>
        <v>0</v>
      </c>
      <c r="AN95" s="1277">
        <f t="shared" si="436"/>
        <v>2.6226045759928116</v>
      </c>
      <c r="AO95" s="1279">
        <f t="shared" si="436"/>
        <v>0</v>
      </c>
      <c r="AP95" s="1279">
        <f t="shared" si="436"/>
        <v>0.8329987336689626</v>
      </c>
      <c r="AQ95" s="3144">
        <f t="shared" si="436"/>
        <v>0</v>
      </c>
      <c r="AR95" s="3144">
        <f t="shared" si="436"/>
        <v>1.8849909978722243</v>
      </c>
      <c r="AS95" s="1279">
        <f t="shared" si="436"/>
        <v>0</v>
      </c>
      <c r="AT95" s="1279">
        <f t="shared" si="436"/>
        <v>0.93999356320818583</v>
      </c>
      <c r="AU95" s="3144">
        <f t="shared" si="436"/>
        <v>0</v>
      </c>
      <c r="AV95" s="3144">
        <f t="shared" si="436"/>
        <v>0</v>
      </c>
      <c r="AW95" s="1279">
        <f t="shared" si="436"/>
        <v>0</v>
      </c>
      <c r="AX95" s="1279">
        <f t="shared" si="436"/>
        <v>0.86447845769694565</v>
      </c>
      <c r="AY95" s="3144">
        <f t="shared" si="436"/>
        <v>0</v>
      </c>
      <c r="AZ95" s="3144">
        <f t="shared" si="436"/>
        <v>0</v>
      </c>
      <c r="BA95" s="1266">
        <f t="shared" si="436"/>
        <v>0</v>
      </c>
      <c r="BB95" s="1277">
        <f t="shared" si="436"/>
        <v>0.65111650933706733</v>
      </c>
      <c r="BC95" s="1280">
        <f t="shared" si="436"/>
        <v>0</v>
      </c>
      <c r="BD95" s="1280">
        <f t="shared" si="436"/>
        <v>1.6213466461142954</v>
      </c>
      <c r="BE95" s="1279">
        <f t="shared" si="436"/>
        <v>0</v>
      </c>
      <c r="BF95" s="1279">
        <f t="shared" si="436"/>
        <v>0.7880986863316054</v>
      </c>
      <c r="BG95" s="26"/>
      <c r="BH95" s="26"/>
      <c r="BI95" s="26"/>
      <c r="BJ95" s="26"/>
      <c r="BK95" s="26"/>
      <c r="BL95" s="26"/>
      <c r="BM95" s="26"/>
      <c r="BN95" s="26"/>
    </row>
    <row r="96" spans="2:66" x14ac:dyDescent="0.3">
      <c r="B96" s="2595" t="s">
        <v>118</v>
      </c>
      <c r="C96" s="3138" t="s">
        <v>219</v>
      </c>
      <c r="D96" s="3170">
        <f t="shared" ref="D96" si="437">+D56</f>
        <v>22.45868048610533</v>
      </c>
      <c r="E96" s="3170">
        <f t="shared" ref="E96:L96" si="438">+E56</f>
        <v>22.45868048610533</v>
      </c>
      <c r="F96" s="3170">
        <f t="shared" si="438"/>
        <v>21.343566479197094</v>
      </c>
      <c r="G96" s="3170">
        <f t="shared" ref="G96:H96" si="439">+G56</f>
        <v>22.458680486105333</v>
      </c>
      <c r="H96" s="3170">
        <f t="shared" si="439"/>
        <v>20.827118033469741</v>
      </c>
      <c r="I96" s="4836">
        <f t="shared" si="438"/>
        <v>22.45868048610533</v>
      </c>
      <c r="J96" s="3142">
        <f t="shared" si="438"/>
        <v>21.072576262375652</v>
      </c>
      <c r="K96" s="3170">
        <f t="shared" si="438"/>
        <v>22.45868048610533</v>
      </c>
      <c r="L96" s="3170">
        <f t="shared" si="438"/>
        <v>21.997267948356782</v>
      </c>
      <c r="M96" s="1266">
        <f t="shared" ref="M96" si="440">+M56</f>
        <v>22.45868048610533</v>
      </c>
      <c r="N96" s="1277">
        <f t="shared" ref="N96:AF96" si="441">+N56</f>
        <v>21.40287257573025</v>
      </c>
      <c r="O96" s="3170">
        <f t="shared" si="441"/>
        <v>22.458680486105333</v>
      </c>
      <c r="P96" s="3170">
        <f t="shared" si="441"/>
        <v>20.06231782088652</v>
      </c>
      <c r="Q96" s="1264">
        <f t="shared" si="441"/>
        <v>22.45868048610533</v>
      </c>
      <c r="R96" s="1279">
        <f t="shared" si="441"/>
        <v>21.035297684256943</v>
      </c>
      <c r="S96" s="3144">
        <f t="shared" ref="S96:T96" si="442">+S56</f>
        <v>22.458680486105333</v>
      </c>
      <c r="T96" s="3144">
        <f t="shared" si="442"/>
        <v>19.147709034158968</v>
      </c>
      <c r="U96" s="1264">
        <f t="shared" ref="U96:X96" si="443">+U56</f>
        <v>22.45868048610533</v>
      </c>
      <c r="V96" s="1264">
        <f t="shared" si="443"/>
        <v>20.641040386492808</v>
      </c>
      <c r="W96" s="3144">
        <f t="shared" si="443"/>
        <v>22.45868048610533</v>
      </c>
      <c r="X96" s="3144">
        <f t="shared" si="443"/>
        <v>18.909558572404372</v>
      </c>
      <c r="Y96" s="1266">
        <f t="shared" ref="Y96:Z96" si="444">+Y56</f>
        <v>22.45868048610533</v>
      </c>
      <c r="Z96" s="1277">
        <f t="shared" si="444"/>
        <v>19.385374285311393</v>
      </c>
      <c r="AA96" s="1280">
        <f t="shared" si="441"/>
        <v>22.45868048610533</v>
      </c>
      <c r="AB96" s="1205">
        <f t="shared" si="441"/>
        <v>20.347317493560272</v>
      </c>
      <c r="AC96" s="3144">
        <f t="shared" si="441"/>
        <v>22.458680486105333</v>
      </c>
      <c r="AD96" s="3144">
        <f t="shared" si="441"/>
        <v>16.002760011676973</v>
      </c>
      <c r="AE96" s="1279">
        <f t="shared" si="441"/>
        <v>22.45868048610533</v>
      </c>
      <c r="AF96" s="1279">
        <f t="shared" si="441"/>
        <v>19.825703635641659</v>
      </c>
      <c r="AG96" s="3144">
        <f t="shared" ref="AG96:AH96" si="445">+AG56</f>
        <v>22.458680486105333</v>
      </c>
      <c r="AH96" s="3144">
        <f t="shared" si="445"/>
        <v>19.270574485398928</v>
      </c>
      <c r="AI96" s="1279">
        <f t="shared" ref="AI96:AL96" si="446">+AI56</f>
        <v>22.45868048610533</v>
      </c>
      <c r="AJ96" s="1279">
        <f t="shared" si="446"/>
        <v>19.75504234117151</v>
      </c>
      <c r="AK96" s="3144">
        <f t="shared" si="446"/>
        <v>22.458680486105333</v>
      </c>
      <c r="AL96" s="3144">
        <f t="shared" si="446"/>
        <v>20.725618427946873</v>
      </c>
      <c r="AM96" s="1266">
        <f t="shared" ref="AM96:AN96" si="447">+AM56</f>
        <v>22.45868048610533</v>
      </c>
      <c r="AN96" s="1277">
        <f t="shared" si="447"/>
        <v>18.823046636074473</v>
      </c>
      <c r="AO96" s="1279">
        <f t="shared" ref="AO96:AT96" si="448">+AO56</f>
        <v>22.45868048610533</v>
      </c>
      <c r="AP96" s="1279">
        <f t="shared" si="448"/>
        <v>19.863174475708064</v>
      </c>
      <c r="AQ96" s="3144">
        <f t="shared" si="448"/>
        <v>22.45868048610533</v>
      </c>
      <c r="AR96" s="3144">
        <f t="shared" si="448"/>
        <v>20.399367123138195</v>
      </c>
      <c r="AS96" s="1279">
        <f t="shared" si="448"/>
        <v>22.45868048610533</v>
      </c>
      <c r="AT96" s="1279">
        <f t="shared" si="448"/>
        <v>19.917708946030828</v>
      </c>
      <c r="AU96" s="3144">
        <f t="shared" ref="AU96:AX96" si="449">+AU56</f>
        <v>22.458680486105333</v>
      </c>
      <c r="AV96" s="3144">
        <f t="shared" si="449"/>
        <v>19.082345019469837</v>
      </c>
      <c r="AW96" s="1279">
        <f t="shared" si="449"/>
        <v>22.45868048610533</v>
      </c>
      <c r="AX96" s="1279">
        <f t="shared" si="449"/>
        <v>19.850599342812657</v>
      </c>
      <c r="AY96" s="3144">
        <f t="shared" ref="AY96:AZ96" si="450">+AY56</f>
        <v>22.45868048610533</v>
      </c>
      <c r="AZ96" s="3144">
        <f t="shared" si="450"/>
        <v>17.594806070115951</v>
      </c>
      <c r="BA96" s="1266">
        <f t="shared" ref="BA96:BF96" si="451">+BA56</f>
        <v>22.45868048610533</v>
      </c>
      <c r="BB96" s="1277">
        <f t="shared" si="451"/>
        <v>19.004875364427367</v>
      </c>
      <c r="BC96" s="1280">
        <f t="shared" si="451"/>
        <v>22.45868048610533</v>
      </c>
      <c r="BD96" s="1280">
        <f t="shared" si="451"/>
        <v>18.915391834212997</v>
      </c>
      <c r="BE96" s="1279">
        <f t="shared" si="451"/>
        <v>22.45868048610533</v>
      </c>
      <c r="BF96" s="1279">
        <f t="shared" si="451"/>
        <v>19.651291918917948</v>
      </c>
      <c r="BG96" s="26"/>
      <c r="BH96" s="26"/>
      <c r="BI96" s="26"/>
      <c r="BJ96" s="26"/>
      <c r="BK96" s="26"/>
      <c r="BL96" s="26"/>
      <c r="BM96" s="26"/>
      <c r="BN96" s="26"/>
    </row>
    <row r="97" spans="2:66" x14ac:dyDescent="0.3">
      <c r="B97" s="4800" t="s">
        <v>2016</v>
      </c>
      <c r="C97" s="4794" t="s">
        <v>219</v>
      </c>
      <c r="D97" s="4801"/>
      <c r="E97" s="4801">
        <f t="shared" ref="E97:AJ97" si="452">E34</f>
        <v>0</v>
      </c>
      <c r="F97" s="4801">
        <f t="shared" si="452"/>
        <v>0</v>
      </c>
      <c r="G97" s="4801">
        <f t="shared" si="452"/>
        <v>0</v>
      </c>
      <c r="H97" s="4801">
        <f t="shared" si="452"/>
        <v>4.8408977050767508</v>
      </c>
      <c r="I97" s="4837">
        <f t="shared" si="452"/>
        <v>0</v>
      </c>
      <c r="J97" s="4837">
        <f t="shared" si="452"/>
        <v>2.5401101108196875</v>
      </c>
      <c r="K97" s="4801">
        <f t="shared" si="452"/>
        <v>0</v>
      </c>
      <c r="L97" s="4801">
        <f t="shared" si="452"/>
        <v>0</v>
      </c>
      <c r="M97" s="1266">
        <f t="shared" si="452"/>
        <v>0</v>
      </c>
      <c r="N97" s="1277">
        <f t="shared" si="452"/>
        <v>1.6327925499093421</v>
      </c>
      <c r="O97" s="4801">
        <f t="shared" si="452"/>
        <v>0</v>
      </c>
      <c r="P97" s="4801">
        <f t="shared" si="452"/>
        <v>0</v>
      </c>
      <c r="Q97" s="1264">
        <f t="shared" si="452"/>
        <v>0</v>
      </c>
      <c r="R97" s="1279">
        <f t="shared" si="452"/>
        <v>1.1850871934792644</v>
      </c>
      <c r="S97" s="4801">
        <f t="shared" si="452"/>
        <v>0</v>
      </c>
      <c r="T97" s="4801">
        <f t="shared" si="452"/>
        <v>0</v>
      </c>
      <c r="U97" s="1264">
        <f t="shared" si="452"/>
        <v>0</v>
      </c>
      <c r="V97" s="1264">
        <f t="shared" si="452"/>
        <v>0.93756013058250287</v>
      </c>
      <c r="W97" s="4801">
        <f t="shared" si="452"/>
        <v>0</v>
      </c>
      <c r="X97" s="4801">
        <f t="shared" si="452"/>
        <v>0</v>
      </c>
      <c r="Y97" s="1266">
        <f t="shared" si="452"/>
        <v>0</v>
      </c>
      <c r="Z97" s="1277">
        <f t="shared" si="452"/>
        <v>0</v>
      </c>
      <c r="AA97" s="1280">
        <f t="shared" si="452"/>
        <v>0</v>
      </c>
      <c r="AB97" s="1205">
        <f t="shared" si="452"/>
        <v>0.77851550671628045</v>
      </c>
      <c r="AC97" s="4801">
        <f t="shared" si="452"/>
        <v>0</v>
      </c>
      <c r="AD97" s="4801">
        <f t="shared" si="452"/>
        <v>0</v>
      </c>
      <c r="AE97" s="1279">
        <f t="shared" si="452"/>
        <v>0</v>
      </c>
      <c r="AF97" s="1279">
        <f t="shared" si="452"/>
        <v>0.68504580845561602</v>
      </c>
      <c r="AG97" s="5123">
        <f t="shared" si="452"/>
        <v>0</v>
      </c>
      <c r="AH97" s="5123">
        <f t="shared" si="452"/>
        <v>0</v>
      </c>
      <c r="AI97" s="1279">
        <f t="shared" si="452"/>
        <v>0</v>
      </c>
      <c r="AJ97" s="1279">
        <f t="shared" si="452"/>
        <v>0.59784767883900769</v>
      </c>
      <c r="AK97" s="5123">
        <f t="shared" ref="AK97:BF97" si="453">AK34</f>
        <v>0</v>
      </c>
      <c r="AL97" s="5123">
        <f t="shared" si="453"/>
        <v>0</v>
      </c>
      <c r="AM97" s="1277">
        <f t="shared" si="453"/>
        <v>0</v>
      </c>
      <c r="AN97" s="1277">
        <f t="shared" si="453"/>
        <v>0</v>
      </c>
      <c r="AO97" s="1279">
        <f t="shared" si="453"/>
        <v>0</v>
      </c>
      <c r="AP97" s="1279">
        <f t="shared" si="453"/>
        <v>0.53124131327794422</v>
      </c>
      <c r="AQ97" s="5123">
        <f t="shared" si="453"/>
        <v>0</v>
      </c>
      <c r="AR97" s="5123">
        <f t="shared" si="453"/>
        <v>0</v>
      </c>
      <c r="AS97" s="1279">
        <f t="shared" si="453"/>
        <v>0</v>
      </c>
      <c r="AT97" s="1279">
        <f t="shared" si="453"/>
        <v>0.47721042760273896</v>
      </c>
      <c r="AU97" s="4801">
        <f t="shared" si="453"/>
        <v>0</v>
      </c>
      <c r="AV97" s="4801">
        <f t="shared" si="453"/>
        <v>0</v>
      </c>
      <c r="AW97" s="4837">
        <f t="shared" si="453"/>
        <v>0</v>
      </c>
      <c r="AX97" s="4837">
        <f t="shared" si="453"/>
        <v>0.43887336105039748</v>
      </c>
      <c r="AY97" s="4801">
        <f t="shared" si="453"/>
        <v>0</v>
      </c>
      <c r="AZ97" s="4801">
        <f t="shared" si="453"/>
        <v>5.7605021220131221</v>
      </c>
      <c r="BA97" s="1283">
        <f t="shared" si="453"/>
        <v>0</v>
      </c>
      <c r="BB97" s="1283">
        <f t="shared" si="453"/>
        <v>2.0617118993191075</v>
      </c>
      <c r="BC97" s="1280">
        <f t="shared" si="453"/>
        <v>0</v>
      </c>
      <c r="BD97" s="1280">
        <f t="shared" si="453"/>
        <v>1.04707982930876</v>
      </c>
      <c r="BE97" s="1279">
        <f t="shared" si="453"/>
        <v>0</v>
      </c>
      <c r="BF97" s="1279">
        <f t="shared" si="453"/>
        <v>0.90905834302949051</v>
      </c>
      <c r="BG97" s="26"/>
      <c r="BH97" s="26"/>
      <c r="BI97" s="26"/>
      <c r="BJ97" s="26"/>
      <c r="BK97" s="26"/>
      <c r="BL97" s="26"/>
      <c r="BM97" s="26"/>
      <c r="BN97" s="26"/>
    </row>
    <row r="98" spans="2:66" ht="15" customHeight="1" x14ac:dyDescent="0.3">
      <c r="B98" s="3137" t="s">
        <v>600</v>
      </c>
      <c r="C98" s="3138" t="s">
        <v>219</v>
      </c>
      <c r="D98" s="3170">
        <f t="shared" ref="D98:AI98" si="454">+D32</f>
        <v>10</v>
      </c>
      <c r="E98" s="3170">
        <f t="shared" si="454"/>
        <v>10</v>
      </c>
      <c r="F98" s="3170">
        <f t="shared" si="454"/>
        <v>30.587577292359317</v>
      </c>
      <c r="G98" s="3170">
        <f t="shared" si="454"/>
        <v>10</v>
      </c>
      <c r="H98" s="3170">
        <f t="shared" si="454"/>
        <v>28.471233246835123</v>
      </c>
      <c r="I98" s="4836">
        <f t="shared" si="454"/>
        <v>10</v>
      </c>
      <c r="J98" s="3142">
        <f t="shared" si="454"/>
        <v>29.477091751140094</v>
      </c>
      <c r="K98" s="3170">
        <f t="shared" si="454"/>
        <v>10</v>
      </c>
      <c r="L98" s="3170">
        <f t="shared" si="454"/>
        <v>8.5575936684437401</v>
      </c>
      <c r="M98" s="1266">
        <f t="shared" si="454"/>
        <v>10</v>
      </c>
      <c r="N98" s="1277">
        <f t="shared" si="454"/>
        <v>22.004727504010784</v>
      </c>
      <c r="O98" s="3170">
        <f t="shared" si="454"/>
        <v>10</v>
      </c>
      <c r="P98" s="3170">
        <f t="shared" si="454"/>
        <v>3.2390189968841088</v>
      </c>
      <c r="Q98" s="1264">
        <f t="shared" si="454"/>
        <v>10</v>
      </c>
      <c r="R98" s="1279">
        <f t="shared" si="454"/>
        <v>16.859243335607047</v>
      </c>
      <c r="S98" s="3170">
        <f t="shared" si="454"/>
        <v>10</v>
      </c>
      <c r="T98" s="3170">
        <f t="shared" si="454"/>
        <v>11.216689849913488</v>
      </c>
      <c r="U98" s="1264">
        <f t="shared" si="454"/>
        <v>10</v>
      </c>
      <c r="V98" s="1264">
        <f t="shared" si="454"/>
        <v>15.680693183992359</v>
      </c>
      <c r="W98" s="3170">
        <f t="shared" si="454"/>
        <v>10</v>
      </c>
      <c r="X98" s="3170">
        <f t="shared" si="454"/>
        <v>0.49895406420765026</v>
      </c>
      <c r="Y98" s="1266">
        <f t="shared" si="454"/>
        <v>10</v>
      </c>
      <c r="Z98" s="1277">
        <f t="shared" si="454"/>
        <v>4.9951424100048181</v>
      </c>
      <c r="AA98" s="1205">
        <f t="shared" si="454"/>
        <v>10</v>
      </c>
      <c r="AB98" s="1205">
        <f t="shared" si="454"/>
        <v>13.105312779920455</v>
      </c>
      <c r="AC98" s="3170">
        <f t="shared" si="454"/>
        <v>10</v>
      </c>
      <c r="AD98" s="3170">
        <f t="shared" si="454"/>
        <v>5.2745415461373106</v>
      </c>
      <c r="AE98" s="1264">
        <f t="shared" si="454"/>
        <v>10</v>
      </c>
      <c r="AF98" s="1264">
        <f t="shared" si="454"/>
        <v>12.165139054342056</v>
      </c>
      <c r="AG98" s="3144">
        <f t="shared" si="454"/>
        <v>10</v>
      </c>
      <c r="AH98" s="3144">
        <f t="shared" si="454"/>
        <v>17.81784023200057</v>
      </c>
      <c r="AI98" s="1264">
        <f t="shared" si="454"/>
        <v>10</v>
      </c>
      <c r="AJ98" s="1264">
        <f t="shared" ref="AJ98:BF98" si="455">+AJ32</f>
        <v>12.884660236559984</v>
      </c>
      <c r="AK98" s="3144">
        <f t="shared" si="455"/>
        <v>10</v>
      </c>
      <c r="AL98" s="3144">
        <f t="shared" si="455"/>
        <v>28.81515221242373</v>
      </c>
      <c r="AM98" s="1266">
        <f t="shared" si="455"/>
        <v>10</v>
      </c>
      <c r="AN98" s="1277">
        <f t="shared" si="455"/>
        <v>17.998438300723379</v>
      </c>
      <c r="AO98" s="1264">
        <f t="shared" si="455"/>
        <v>10</v>
      </c>
      <c r="AP98" s="1279">
        <f t="shared" si="455"/>
        <v>14.65948049541341</v>
      </c>
      <c r="AQ98" s="3144">
        <f t="shared" si="455"/>
        <v>9.9999999999999982</v>
      </c>
      <c r="AR98" s="3144">
        <f t="shared" si="455"/>
        <v>23.588302689726664</v>
      </c>
      <c r="AS98" s="1264">
        <f t="shared" si="455"/>
        <v>10</v>
      </c>
      <c r="AT98" s="1264">
        <f t="shared" si="455"/>
        <v>15.567602960924233</v>
      </c>
      <c r="AU98" s="3144">
        <f t="shared" si="455"/>
        <v>10</v>
      </c>
      <c r="AV98" s="3144">
        <f t="shared" si="455"/>
        <v>19.295147468921314</v>
      </c>
      <c r="AW98" s="1264">
        <f t="shared" si="455"/>
        <v>10</v>
      </c>
      <c r="AX98" s="1264">
        <f t="shared" si="455"/>
        <v>15.86705811448777</v>
      </c>
      <c r="AY98" s="3144">
        <f t="shared" si="455"/>
        <v>9.9999999999999982</v>
      </c>
      <c r="AZ98" s="3144">
        <f t="shared" si="455"/>
        <v>28.249628779342228</v>
      </c>
      <c r="BA98" s="1266">
        <f t="shared" si="455"/>
        <v>10</v>
      </c>
      <c r="BB98" s="1277">
        <f t="shared" si="455"/>
        <v>23.982948474163585</v>
      </c>
      <c r="BC98" s="1280">
        <f t="shared" si="455"/>
        <v>10</v>
      </c>
      <c r="BD98" s="1280">
        <f t="shared" si="455"/>
        <v>21.037786277990122</v>
      </c>
      <c r="BE98" s="1279">
        <f t="shared" si="455"/>
        <v>10</v>
      </c>
      <c r="BF98" s="1279">
        <f t="shared" si="455"/>
        <v>16.961102631012103</v>
      </c>
      <c r="BG98" s="26"/>
      <c r="BH98" s="26"/>
      <c r="BI98" s="26"/>
      <c r="BJ98" s="26"/>
      <c r="BK98" s="26"/>
      <c r="BL98" s="26"/>
      <c r="BM98" s="26"/>
      <c r="BN98" s="26"/>
    </row>
    <row r="99" spans="2:66" ht="15" customHeight="1" x14ac:dyDescent="0.3">
      <c r="B99" s="3137" t="s">
        <v>1639</v>
      </c>
      <c r="C99" s="3138" t="s">
        <v>219</v>
      </c>
      <c r="D99" s="3170">
        <f>D33</f>
        <v>0.7</v>
      </c>
      <c r="E99" s="3170">
        <f t="shared" ref="E99:AJ99" si="456">+E33</f>
        <v>0.7</v>
      </c>
      <c r="F99" s="3170">
        <f t="shared" si="456"/>
        <v>1.034707764969083</v>
      </c>
      <c r="G99" s="3170">
        <f t="shared" si="456"/>
        <v>0.70000000000000007</v>
      </c>
      <c r="H99" s="3170">
        <f t="shared" si="456"/>
        <v>0.89781765576714156</v>
      </c>
      <c r="I99" s="4836">
        <f t="shared" si="456"/>
        <v>0.7</v>
      </c>
      <c r="J99" s="3142">
        <f t="shared" si="456"/>
        <v>0.96287894898513748</v>
      </c>
      <c r="K99" s="3170">
        <f t="shared" si="456"/>
        <v>0.7</v>
      </c>
      <c r="L99" s="3170">
        <f t="shared" si="456"/>
        <v>0.37472692771756749</v>
      </c>
      <c r="M99" s="1266">
        <f t="shared" si="456"/>
        <v>0.69999999999999984</v>
      </c>
      <c r="N99" s="1277">
        <f t="shared" si="456"/>
        <v>0.75279330934773736</v>
      </c>
      <c r="O99" s="3170">
        <f t="shared" si="456"/>
        <v>0.7</v>
      </c>
      <c r="P99" s="3170">
        <f t="shared" si="456"/>
        <v>0.78902402251482562</v>
      </c>
      <c r="Q99" s="1264">
        <f t="shared" si="456"/>
        <v>0.69999999999999984</v>
      </c>
      <c r="R99" s="1279">
        <f t="shared" si="456"/>
        <v>0.7627276297567126</v>
      </c>
      <c r="S99" s="3170">
        <f t="shared" si="456"/>
        <v>0.7</v>
      </c>
      <c r="T99" s="3170">
        <f t="shared" si="456"/>
        <v>0.21399920141761422</v>
      </c>
      <c r="U99" s="1264">
        <f t="shared" si="456"/>
        <v>0.69999999999999973</v>
      </c>
      <c r="V99" s="1264">
        <f t="shared" si="456"/>
        <v>0.64811569492011389</v>
      </c>
      <c r="W99" s="3170">
        <f t="shared" si="456"/>
        <v>0.69999999999999984</v>
      </c>
      <c r="X99" s="3170">
        <f t="shared" si="456"/>
        <v>0</v>
      </c>
      <c r="Y99" s="1266">
        <f t="shared" si="456"/>
        <v>0.69999999999999984</v>
      </c>
      <c r="Z99" s="1277">
        <f t="shared" si="456"/>
        <v>0.34258337276790929</v>
      </c>
      <c r="AA99" s="1205">
        <f t="shared" si="456"/>
        <v>0.69999999999999984</v>
      </c>
      <c r="AB99" s="1205">
        <f t="shared" si="456"/>
        <v>0.53817147528235898</v>
      </c>
      <c r="AC99" s="3170">
        <f t="shared" si="456"/>
        <v>0.70000000000000007</v>
      </c>
      <c r="AD99" s="3170">
        <f t="shared" si="456"/>
        <v>0</v>
      </c>
      <c r="AE99" s="1264">
        <f t="shared" si="456"/>
        <v>0.7</v>
      </c>
      <c r="AF99" s="1264">
        <f t="shared" si="456"/>
        <v>0.4735578292172834</v>
      </c>
      <c r="AG99" s="3144">
        <f t="shared" si="456"/>
        <v>0.7</v>
      </c>
      <c r="AH99" s="3144">
        <f t="shared" si="456"/>
        <v>0.83832596953627192</v>
      </c>
      <c r="AI99" s="1264">
        <f t="shared" si="456"/>
        <v>0.7</v>
      </c>
      <c r="AJ99" s="1264">
        <f t="shared" si="456"/>
        <v>0.51998844624602059</v>
      </c>
      <c r="AK99" s="3144">
        <f t="shared" ref="AK99:BF99" si="457">+AK33</f>
        <v>0.70000000000000007</v>
      </c>
      <c r="AL99" s="3144">
        <f t="shared" si="457"/>
        <v>0.77069581634152362</v>
      </c>
      <c r="AM99" s="1277">
        <f t="shared" si="457"/>
        <v>0.69999999999999984</v>
      </c>
      <c r="AN99" s="1277">
        <f t="shared" si="457"/>
        <v>0.56886306153347976</v>
      </c>
      <c r="AO99" s="1279">
        <f t="shared" si="457"/>
        <v>0.7</v>
      </c>
      <c r="AP99" s="1279">
        <f t="shared" si="457"/>
        <v>0.54791981962504244</v>
      </c>
      <c r="AQ99" s="3144">
        <f t="shared" si="457"/>
        <v>0.69999999999999984</v>
      </c>
      <c r="AR99" s="3144">
        <f t="shared" si="457"/>
        <v>1.2057395384363576</v>
      </c>
      <c r="AS99" s="1264">
        <f t="shared" si="457"/>
        <v>0.70000000000000007</v>
      </c>
      <c r="AT99" s="1264">
        <f t="shared" si="457"/>
        <v>0.61482459742306372</v>
      </c>
      <c r="AU99" s="3144">
        <f t="shared" si="457"/>
        <v>0.69999999999999984</v>
      </c>
      <c r="AV99" s="3144">
        <f t="shared" si="457"/>
        <v>0.70828277951760543</v>
      </c>
      <c r="AW99" s="1264">
        <f t="shared" si="457"/>
        <v>0.70000000000000007</v>
      </c>
      <c r="AX99" s="1264">
        <f t="shared" si="457"/>
        <v>0.62233263232669733</v>
      </c>
      <c r="AY99" s="3144">
        <f t="shared" si="457"/>
        <v>0.69999999999999984</v>
      </c>
      <c r="AZ99" s="3144">
        <f t="shared" si="457"/>
        <v>3.343618690565203</v>
      </c>
      <c r="BA99" s="1266">
        <f t="shared" si="457"/>
        <v>0.69999999999999984</v>
      </c>
      <c r="BB99" s="1277">
        <f t="shared" si="457"/>
        <v>1.8233146824417152</v>
      </c>
      <c r="BC99" s="1280">
        <f t="shared" si="457"/>
        <v>0.69999999999999984</v>
      </c>
      <c r="BD99" s="1280">
        <f t="shared" si="457"/>
        <v>1.2059603152916247</v>
      </c>
      <c r="BE99" s="1279">
        <f t="shared" si="457"/>
        <v>0.7</v>
      </c>
      <c r="BF99" s="1279">
        <f t="shared" si="457"/>
        <v>0.86276801287010751</v>
      </c>
      <c r="BG99" s="26"/>
      <c r="BH99" s="26"/>
      <c r="BI99" s="26"/>
      <c r="BJ99" s="26"/>
      <c r="BK99" s="26"/>
      <c r="BL99" s="26"/>
      <c r="BM99" s="26"/>
      <c r="BN99" s="26"/>
    </row>
    <row r="100" spans="2:66" ht="15" customHeight="1" x14ac:dyDescent="0.3">
      <c r="B100" s="5452" t="s">
        <v>2338</v>
      </c>
      <c r="C100" s="3138" t="s">
        <v>219</v>
      </c>
      <c r="D100" s="5489"/>
      <c r="E100" s="5489"/>
      <c r="F100" s="5489"/>
      <c r="G100" s="5489"/>
      <c r="H100" s="5489"/>
      <c r="I100" s="5490"/>
      <c r="J100" s="5491"/>
      <c r="K100" s="5489"/>
      <c r="L100" s="5489"/>
      <c r="M100" s="5492"/>
      <c r="N100" s="5493"/>
      <c r="O100" s="5489"/>
      <c r="P100" s="5489"/>
      <c r="Q100" s="5494"/>
      <c r="R100" s="5495"/>
      <c r="S100" s="5489"/>
      <c r="T100" s="5489"/>
      <c r="U100" s="5494"/>
      <c r="V100" s="5494"/>
      <c r="W100" s="5489"/>
      <c r="X100" s="5489"/>
      <c r="Y100" s="5492"/>
      <c r="Z100" s="5493"/>
      <c r="AA100" s="5496"/>
      <c r="AB100" s="5496"/>
      <c r="AC100" s="5489"/>
      <c r="AD100" s="5489"/>
      <c r="AE100" s="5494"/>
      <c r="AF100" s="5494"/>
      <c r="AG100" s="5497"/>
      <c r="AH100" s="5497"/>
      <c r="AI100" s="5494"/>
      <c r="AJ100" s="5494"/>
      <c r="AK100" s="5497"/>
      <c r="AL100" s="5497"/>
      <c r="AM100" s="5493"/>
      <c r="AN100" s="5493"/>
      <c r="AO100" s="5495"/>
      <c r="AP100" s="5495"/>
      <c r="AQ100" s="5497"/>
      <c r="AR100" s="5497"/>
      <c r="AS100" s="5494"/>
      <c r="AT100" s="5494"/>
      <c r="AU100" s="5497"/>
      <c r="AV100" s="5497"/>
      <c r="AW100" s="5494"/>
      <c r="AX100" s="5494"/>
      <c r="AY100" s="5497">
        <f>+AY35</f>
        <v>0</v>
      </c>
      <c r="AZ100" s="5497">
        <f>+AZ35</f>
        <v>5.9237339006076439</v>
      </c>
      <c r="BA100" s="5492">
        <f>+BA35</f>
        <v>0</v>
      </c>
      <c r="BB100" s="5493">
        <f>+BB35</f>
        <v>2.1201333516764129</v>
      </c>
      <c r="BC100" s="5614">
        <f t="shared" ref="BC100:BF100" si="458">+BC35</f>
        <v>0</v>
      </c>
      <c r="BD100" s="5614">
        <f t="shared" si="458"/>
        <v>1.0767502815103793</v>
      </c>
      <c r="BE100" s="5495">
        <f t="shared" si="458"/>
        <v>0</v>
      </c>
      <c r="BF100" s="5495">
        <f t="shared" si="458"/>
        <v>0.52338312994277214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x14ac:dyDescent="0.3">
      <c r="B101" s="3137" t="s">
        <v>26</v>
      </c>
      <c r="C101" s="3138" t="s">
        <v>219</v>
      </c>
      <c r="D101" s="2649">
        <f t="shared" ref="D101:AI101" si="459">+D26+D57</f>
        <v>63.5</v>
      </c>
      <c r="E101" s="2649">
        <f t="shared" si="459"/>
        <v>63.5</v>
      </c>
      <c r="F101" s="3144">
        <f t="shared" si="459"/>
        <v>61.774850076127152</v>
      </c>
      <c r="G101" s="2649">
        <f t="shared" si="459"/>
        <v>63.499999999999993</v>
      </c>
      <c r="H101" s="3144">
        <f t="shared" si="459"/>
        <v>64.26010255948394</v>
      </c>
      <c r="I101" s="2647">
        <f t="shared" si="459"/>
        <v>63.499999999999986</v>
      </c>
      <c r="J101" s="3155">
        <f t="shared" si="459"/>
        <v>63.07890881595425</v>
      </c>
      <c r="K101" s="2649">
        <f t="shared" si="459"/>
        <v>63.5</v>
      </c>
      <c r="L101" s="3144">
        <f t="shared" si="459"/>
        <v>63.945422750442496</v>
      </c>
      <c r="M101" s="1266">
        <f t="shared" si="459"/>
        <v>63.5</v>
      </c>
      <c r="N101" s="1266">
        <f t="shared" si="459"/>
        <v>63.388424260259541</v>
      </c>
      <c r="O101" s="2649">
        <f t="shared" si="459"/>
        <v>63.5</v>
      </c>
      <c r="P101" s="3144">
        <f t="shared" si="459"/>
        <v>64.843200321640367</v>
      </c>
      <c r="Q101" s="1264">
        <f t="shared" si="459"/>
        <v>63.5</v>
      </c>
      <c r="R101" s="1279">
        <f t="shared" si="459"/>
        <v>63.787318189021406</v>
      </c>
      <c r="S101" s="2649">
        <f t="shared" si="459"/>
        <v>63.5</v>
      </c>
      <c r="T101" s="3144">
        <f t="shared" si="459"/>
        <v>63.479470430268883</v>
      </c>
      <c r="U101" s="1264">
        <f t="shared" si="459"/>
        <v>63.5</v>
      </c>
      <c r="V101" s="1279">
        <f t="shared" si="459"/>
        <v>63.723018572957173</v>
      </c>
      <c r="W101" s="2649">
        <f t="shared" si="459"/>
        <v>63.5</v>
      </c>
      <c r="X101" s="3144">
        <f t="shared" si="459"/>
        <v>64.519830088797818</v>
      </c>
      <c r="Y101" s="1266">
        <f t="shared" si="459"/>
        <v>63.5</v>
      </c>
      <c r="Z101" s="1277">
        <f t="shared" si="459"/>
        <v>64.286288965614489</v>
      </c>
      <c r="AA101" s="1205">
        <f t="shared" si="459"/>
        <v>63.5</v>
      </c>
      <c r="AB101" s="1280">
        <f t="shared" si="459"/>
        <v>63.858187063697514</v>
      </c>
      <c r="AC101" s="2649">
        <f t="shared" si="459"/>
        <v>63.499999999999993</v>
      </c>
      <c r="AD101" s="3144">
        <f t="shared" si="459"/>
        <v>67.374804278018104</v>
      </c>
      <c r="AE101" s="1279">
        <f t="shared" si="459"/>
        <v>63.5</v>
      </c>
      <c r="AF101" s="1279">
        <f t="shared" si="459"/>
        <v>64.280397215049817</v>
      </c>
      <c r="AG101" s="2649">
        <f t="shared" si="459"/>
        <v>63.5</v>
      </c>
      <c r="AH101" s="3144">
        <f t="shared" si="459"/>
        <v>66.274173552590611</v>
      </c>
      <c r="AI101" s="1279">
        <f t="shared" si="459"/>
        <v>63.5</v>
      </c>
      <c r="AJ101" s="1279">
        <f t="shared" ref="AJ101:BF101" si="460">+AJ26+AJ57</f>
        <v>64.534181072072968</v>
      </c>
      <c r="AK101" s="2649">
        <f t="shared" si="460"/>
        <v>63.499999999999993</v>
      </c>
      <c r="AL101" s="3144">
        <f t="shared" si="460"/>
        <v>61.999428908855521</v>
      </c>
      <c r="AM101" s="1266">
        <f t="shared" si="460"/>
        <v>63.5</v>
      </c>
      <c r="AN101" s="1277">
        <f t="shared" si="460"/>
        <v>65.097382549226097</v>
      </c>
      <c r="AO101" s="1279">
        <f t="shared" si="460"/>
        <v>63.5</v>
      </c>
      <c r="AP101" s="1279">
        <f t="shared" si="460"/>
        <v>64.251783673595455</v>
      </c>
      <c r="AQ101" s="2649">
        <f t="shared" si="460"/>
        <v>63.5</v>
      </c>
      <c r="AR101" s="3144">
        <f t="shared" si="460"/>
        <v>61.375416007419943</v>
      </c>
      <c r="AS101" s="1279">
        <f t="shared" si="460"/>
        <v>63.5</v>
      </c>
      <c r="AT101" s="1279">
        <f t="shared" si="460"/>
        <v>63.959237351149184</v>
      </c>
      <c r="AU101" s="2649">
        <f t="shared" si="460"/>
        <v>63.499999999999993</v>
      </c>
      <c r="AV101" s="3144">
        <f t="shared" si="460"/>
        <v>60.308849405741213</v>
      </c>
      <c r="AW101" s="1279">
        <f t="shared" si="460"/>
        <v>63.5</v>
      </c>
      <c r="AX101" s="1279">
        <f t="shared" si="460"/>
        <v>63.665980629354607</v>
      </c>
      <c r="AY101" s="2649">
        <f t="shared" si="460"/>
        <v>63.5</v>
      </c>
      <c r="AZ101" s="3144">
        <f t="shared" si="460"/>
        <v>60.735385490274552</v>
      </c>
      <c r="BA101" s="1266">
        <f t="shared" si="460"/>
        <v>63.5</v>
      </c>
      <c r="BB101" s="1277">
        <f t="shared" si="460"/>
        <v>60.829923844810011</v>
      </c>
      <c r="BC101" s="1280">
        <f t="shared" si="460"/>
        <v>63.5</v>
      </c>
      <c r="BD101" s="1280">
        <f t="shared" si="460"/>
        <v>62.930072008273271</v>
      </c>
      <c r="BE101" s="1279">
        <f t="shared" si="460"/>
        <v>63.5</v>
      </c>
      <c r="BF101" s="1279">
        <f t="shared" si="460"/>
        <v>63.407052041031378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x14ac:dyDescent="0.3">
      <c r="B102" s="2645" t="s">
        <v>1823</v>
      </c>
      <c r="C102" s="3138" t="s">
        <v>219</v>
      </c>
      <c r="D102" s="2649">
        <f t="shared" ref="D102:E102" si="461">D61</f>
        <v>5.9999999999999982</v>
      </c>
      <c r="E102" s="2649">
        <f t="shared" si="461"/>
        <v>6</v>
      </c>
      <c r="F102" s="2649">
        <f>F61</f>
        <v>1.6797377497436536</v>
      </c>
      <c r="G102" s="2649">
        <f t="shared" ref="G102" si="462">G61</f>
        <v>6</v>
      </c>
      <c r="H102" s="2649">
        <f>H61</f>
        <v>1.958874885310127</v>
      </c>
      <c r="I102" s="2647">
        <f t="shared" ref="I102" si="463">I61</f>
        <v>6</v>
      </c>
      <c r="J102" s="2647">
        <f>J61</f>
        <v>1.8262062569409987</v>
      </c>
      <c r="K102" s="2649">
        <f t="shared" ref="K102:M102" si="464">K61</f>
        <v>6</v>
      </c>
      <c r="L102" s="2649">
        <f>L61</f>
        <v>1.8257971584536801</v>
      </c>
      <c r="M102" s="2648">
        <f t="shared" si="464"/>
        <v>5.9999999999999991</v>
      </c>
      <c r="N102" s="2648">
        <f>N61</f>
        <v>1.8260601285349485</v>
      </c>
      <c r="O102" s="2649">
        <f t="shared" ref="O102" si="465">O61</f>
        <v>5.9999999999999991</v>
      </c>
      <c r="P102" s="2649">
        <f>P61</f>
        <v>0.85687003718966726</v>
      </c>
      <c r="Q102" s="2647">
        <f t="shared" ref="Q102" si="466">Q61</f>
        <v>5.9999999999999991</v>
      </c>
      <c r="R102" s="3140">
        <f>R61</f>
        <v>1.5603119810937254</v>
      </c>
      <c r="S102" s="2649">
        <f t="shared" ref="S102" si="467">S61</f>
        <v>5.9999999999999991</v>
      </c>
      <c r="T102" s="2649">
        <f>T61</f>
        <v>1.999065710803567</v>
      </c>
      <c r="U102" s="2647">
        <f t="shared" ref="U102" si="468">U61</f>
        <v>5.9999999999999982</v>
      </c>
      <c r="V102" s="2647">
        <f>V61</f>
        <v>1.6519536954314114</v>
      </c>
      <c r="W102" s="2649">
        <f t="shared" ref="W102" si="469">W61</f>
        <v>5.9999999999999991</v>
      </c>
      <c r="X102" s="2649">
        <f>X61</f>
        <v>1.1286501024590165</v>
      </c>
      <c r="Y102" s="2648">
        <f t="shared" ref="Y102" si="470">Y61</f>
        <v>5.9999999999999991</v>
      </c>
      <c r="Z102" s="1277">
        <f>Z61</f>
        <v>1.3236175766032858</v>
      </c>
      <c r="AA102" s="1205">
        <f t="shared" ref="AA102" si="471">AA61</f>
        <v>5.9999999999999982</v>
      </c>
      <c r="AB102" s="1280">
        <f>AB61</f>
        <v>1.5631821911862087</v>
      </c>
      <c r="AC102" s="2649">
        <f t="shared" ref="AC102" si="472">AC61</f>
        <v>6</v>
      </c>
      <c r="AD102" s="2649">
        <f>AD61</f>
        <v>1.5392372813884982</v>
      </c>
      <c r="AE102" s="3140">
        <f t="shared" ref="AE102" si="473">AE61</f>
        <v>6</v>
      </c>
      <c r="AF102" s="3140">
        <f>AF61</f>
        <v>1.5603073306672308</v>
      </c>
      <c r="AG102" s="2649">
        <f t="shared" ref="AG102" si="474">AG61</f>
        <v>6</v>
      </c>
      <c r="AH102" s="2649">
        <f>AH61</f>
        <v>0.83286456256860886</v>
      </c>
      <c r="AI102" s="3140">
        <f t="shared" ref="AI102" si="475">AI61</f>
        <v>6</v>
      </c>
      <c r="AJ102" s="3140">
        <f>AJ61</f>
        <v>1.467712575691166</v>
      </c>
      <c r="AK102" s="2649">
        <f t="shared" ref="AK102" si="476">AK61</f>
        <v>6</v>
      </c>
      <c r="AL102" s="2649">
        <f>AL61</f>
        <v>2.1374333611486138</v>
      </c>
      <c r="AM102" s="2648">
        <f t="shared" ref="AM102" si="477">AM61</f>
        <v>6</v>
      </c>
      <c r="AN102" s="2648">
        <f>AN61</f>
        <v>1.4975198542932631</v>
      </c>
      <c r="AO102" s="3140">
        <f t="shared" ref="AO102" si="478">AO61</f>
        <v>6</v>
      </c>
      <c r="AP102" s="3140">
        <f>AP61</f>
        <v>1.5423263427741916</v>
      </c>
      <c r="AQ102" s="2649">
        <f t="shared" ref="AQ102" si="479">AQ61</f>
        <v>6</v>
      </c>
      <c r="AR102" s="2649">
        <f>AR61</f>
        <v>3.9936712313819629</v>
      </c>
      <c r="AS102" s="3140">
        <f t="shared" ref="AS102" si="480">AS61</f>
        <v>6</v>
      </c>
      <c r="AT102" s="3140">
        <f>AT61</f>
        <v>1.7916449332460298</v>
      </c>
      <c r="AU102" s="2649">
        <f t="shared" ref="AU102" si="481">AU61</f>
        <v>5.9999999999999991</v>
      </c>
      <c r="AV102" s="3144">
        <f>AV61</f>
        <v>3.1412182463807703</v>
      </c>
      <c r="AW102" s="3140">
        <f t="shared" ref="AW102" si="482">AW61</f>
        <v>5.9999999999999991</v>
      </c>
      <c r="AX102" s="3140">
        <f>AX61</f>
        <v>1.9000639428280692</v>
      </c>
      <c r="AY102" s="2649">
        <f t="shared" ref="AY102" si="483">AY61</f>
        <v>6</v>
      </c>
      <c r="AZ102" s="3144">
        <f>AZ61</f>
        <v>2.2115273228935202</v>
      </c>
      <c r="BA102" s="1266">
        <f t="shared" ref="BA102" si="484">BA61</f>
        <v>6.0000000000000009</v>
      </c>
      <c r="BB102" s="1277">
        <f>BB61</f>
        <v>3.1029329453646346</v>
      </c>
      <c r="BC102" s="1280">
        <f t="shared" ref="BC102" si="485">BC61</f>
        <v>6</v>
      </c>
      <c r="BD102" s="1280">
        <f>BD61</f>
        <v>2.3128596046842942</v>
      </c>
      <c r="BE102" s="1279">
        <f t="shared" ref="BE102" si="486">BE61</f>
        <v>5.9999999999999982</v>
      </c>
      <c r="BF102" s="1279">
        <f>BF61</f>
        <v>1.9275828492233227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x14ac:dyDescent="0.3">
      <c r="B103" s="3137" t="s">
        <v>1309</v>
      </c>
      <c r="C103" s="3138" t="s">
        <v>219</v>
      </c>
      <c r="D103" s="3170">
        <f t="shared" ref="D103" si="487">D37</f>
        <v>2.8361370375524362</v>
      </c>
      <c r="E103" s="3170">
        <f t="shared" ref="E103:L103" si="488">E37</f>
        <v>2.84</v>
      </c>
      <c r="F103" s="3170">
        <f t="shared" si="488"/>
        <v>1.9016250815648013</v>
      </c>
      <c r="G103" s="3170">
        <f t="shared" ref="G103:H103" si="489">G37</f>
        <v>2.8447525981502015</v>
      </c>
      <c r="H103" s="3170">
        <f t="shared" si="489"/>
        <v>3.6813338361862731</v>
      </c>
      <c r="I103" s="4836">
        <f t="shared" si="488"/>
        <v>2.8424114630803921</v>
      </c>
      <c r="J103" s="3142">
        <f t="shared" si="488"/>
        <v>2.8354717516126744</v>
      </c>
      <c r="K103" s="3170">
        <f t="shared" si="488"/>
        <v>2.84</v>
      </c>
      <c r="L103" s="3170">
        <f t="shared" si="488"/>
        <v>2.4157927467749567</v>
      </c>
      <c r="M103" s="1283">
        <f t="shared" ref="M103" si="490">M37</f>
        <v>2.8361370375524362</v>
      </c>
      <c r="N103" s="1283">
        <f t="shared" ref="N103:R103" si="491">N37</f>
        <v>2.6855640254032145</v>
      </c>
      <c r="O103" s="3170">
        <f t="shared" si="491"/>
        <v>2.8418153129711574</v>
      </c>
      <c r="P103" s="3170">
        <f t="shared" si="491"/>
        <v>2.2012262538948635</v>
      </c>
      <c r="Q103" s="1279">
        <f t="shared" si="491"/>
        <v>2.8361370375524362</v>
      </c>
      <c r="R103" s="1279">
        <f t="shared" si="491"/>
        <v>2.552760495256206</v>
      </c>
      <c r="S103" s="3170">
        <f t="shared" ref="S103:T103" si="492">S37</f>
        <v>2.8418153129711574</v>
      </c>
      <c r="T103" s="3170">
        <f t="shared" si="492"/>
        <v>2.4348933527150494</v>
      </c>
      <c r="U103" s="1279">
        <f t="shared" ref="U103:X103" si="493">U37</f>
        <v>2.8361370375524362</v>
      </c>
      <c r="V103" s="1264">
        <f t="shared" si="493"/>
        <v>2.5281417939777024</v>
      </c>
      <c r="W103" s="3170">
        <f t="shared" si="493"/>
        <v>2.8277164807440918</v>
      </c>
      <c r="X103" s="3170">
        <f t="shared" si="493"/>
        <v>2.0998761953551912</v>
      </c>
      <c r="Y103" s="1266">
        <f t="shared" ref="Y103:AA103" si="494">Y37</f>
        <v>2.8387668976515616</v>
      </c>
      <c r="Z103" s="1277">
        <f t="shared" si="494"/>
        <v>2.2458243325896277</v>
      </c>
      <c r="AA103" s="1280">
        <f t="shared" si="494"/>
        <v>2.8403053870603694</v>
      </c>
      <c r="AB103" s="1205">
        <f>AB37</f>
        <v>2.4554922232185006</v>
      </c>
      <c r="AC103" s="3170">
        <f t="shared" ref="AC103:AD103" si="495">AC37</f>
        <v>2.8447525981502015</v>
      </c>
      <c r="AD103" s="3170">
        <f t="shared" si="495"/>
        <v>3.1215997452296915</v>
      </c>
      <c r="AE103" s="1279">
        <f t="shared" ref="AE103:AH103" si="496">AE37</f>
        <v>2.8409952098946043</v>
      </c>
      <c r="AF103" s="1279">
        <f t="shared" si="496"/>
        <v>2.5354660561793323</v>
      </c>
      <c r="AG103" s="3170">
        <f t="shared" si="496"/>
        <v>2.8094871157169981</v>
      </c>
      <c r="AH103" s="3170">
        <f t="shared" si="496"/>
        <v>2.9955817217631608</v>
      </c>
      <c r="AI103" s="1279">
        <f t="shared" ref="AI103:AL103" si="497">AI37</f>
        <v>2.8368329484411885</v>
      </c>
      <c r="AJ103" s="1279">
        <f t="shared" si="497"/>
        <v>2.5940332716136707</v>
      </c>
      <c r="AK103" s="3170">
        <f t="shared" si="497"/>
        <v>2.8150713287523628</v>
      </c>
      <c r="AL103" s="3170">
        <f t="shared" si="497"/>
        <v>3.515260054392273</v>
      </c>
      <c r="AM103" s="1266">
        <f t="shared" ref="AM103:AN103" si="498">AM37</f>
        <v>2.8231609175586043</v>
      </c>
      <c r="AN103" s="1266">
        <f t="shared" si="498"/>
        <v>3.2148056092815112</v>
      </c>
      <c r="AO103" s="1279">
        <f t="shared" ref="AO103:AT103" si="499">AO37</f>
        <v>2.8342272206150581</v>
      </c>
      <c r="AP103" s="1279">
        <f t="shared" si="499"/>
        <v>2.6966673873428668</v>
      </c>
      <c r="AQ103" s="3170">
        <f t="shared" si="499"/>
        <v>2.8470264375651158</v>
      </c>
      <c r="AR103" s="3170">
        <f t="shared" si="499"/>
        <v>2.7060941677123682</v>
      </c>
      <c r="AS103" s="1279">
        <f t="shared" si="499"/>
        <v>2.8356009237870126</v>
      </c>
      <c r="AT103" s="1279">
        <f t="shared" si="499"/>
        <v>2.6976261555705991</v>
      </c>
      <c r="AU103" s="3144">
        <f t="shared" ref="AU103:AX103" si="500">AU37</f>
        <v>2.8295834364046129</v>
      </c>
      <c r="AV103" s="3144">
        <f t="shared" si="500"/>
        <v>2.0390921275798326</v>
      </c>
      <c r="AW103" s="1279">
        <f t="shared" si="500"/>
        <v>2.8350711945736098</v>
      </c>
      <c r="AX103" s="1279">
        <f t="shared" si="500"/>
        <v>2.6447223181903312</v>
      </c>
      <c r="AY103" s="3144">
        <f t="shared" ref="AY103:AZ103" si="501">AY37</f>
        <v>2.8470264375651158</v>
      </c>
      <c r="AZ103" s="3144">
        <f t="shared" si="501"/>
        <v>2.4669060732752723</v>
      </c>
      <c r="BA103" s="1266">
        <f t="shared" ref="BA103:BF103" si="502">BA37</f>
        <v>2.8416156112190056</v>
      </c>
      <c r="BB103" s="1266">
        <f t="shared" si="502"/>
        <v>2.4226057098489147</v>
      </c>
      <c r="BC103" s="1280">
        <f t="shared" si="502"/>
        <v>2.832310457417337</v>
      </c>
      <c r="BD103" s="1280">
        <f>BD37</f>
        <v>2.8124717353051101</v>
      </c>
      <c r="BE103" s="1279">
        <f t="shared" si="502"/>
        <v>2.8361370375524362</v>
      </c>
      <c r="BF103" s="1279">
        <f t="shared" si="502"/>
        <v>2.6290116153836491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ht="16.2" thickBot="1" x14ac:dyDescent="0.35">
      <c r="B104" s="3162" t="s">
        <v>21</v>
      </c>
      <c r="C104" s="3163" t="s">
        <v>219</v>
      </c>
      <c r="D104" s="2241">
        <f t="shared" ref="D104:AB104" si="503">SUM(D87:D103)</f>
        <v>1249.6754972306296</v>
      </c>
      <c r="E104" s="2241">
        <f t="shared" si="503"/>
        <v>1249.9086439182638</v>
      </c>
      <c r="F104" s="2241">
        <f t="shared" si="503"/>
        <v>1275.9394400770595</v>
      </c>
      <c r="G104" s="2241">
        <f t="shared" ref="G104:H104" si="504">SUM(G87:G103)</f>
        <v>1250.1954840135081</v>
      </c>
      <c r="H104" s="2241">
        <f t="shared" si="504"/>
        <v>1271.079013582658</v>
      </c>
      <c r="I104" s="369">
        <f t="shared" si="503"/>
        <v>1250.0541862674793</v>
      </c>
      <c r="J104" s="3107">
        <f t="shared" si="503"/>
        <v>1273.3890828430333</v>
      </c>
      <c r="K104" s="2241">
        <f t="shared" ref="K104:L104" si="505">SUM(K87:K103)</f>
        <v>1249.9086439182638</v>
      </c>
      <c r="L104" s="2241">
        <f t="shared" si="505"/>
        <v>1243.6602050633317</v>
      </c>
      <c r="M104" s="1480">
        <f t="shared" si="503"/>
        <v>1249.6754972306296</v>
      </c>
      <c r="N104" s="1480">
        <f t="shared" si="503"/>
        <v>1262.7700420539011</v>
      </c>
      <c r="O104" s="2241">
        <f t="shared" ref="O104:P104" si="506">SUM(O87:O103)</f>
        <v>1250.0182059996962</v>
      </c>
      <c r="P104" s="2241">
        <f t="shared" si="506"/>
        <v>1270.4266760478445</v>
      </c>
      <c r="Q104" s="197">
        <f t="shared" si="503"/>
        <v>1250.003640598002</v>
      </c>
      <c r="R104" s="197">
        <f t="shared" si="503"/>
        <v>1264.86946126763</v>
      </c>
      <c r="S104" s="2241">
        <f t="shared" si="503"/>
        <v>1250.0182059996962</v>
      </c>
      <c r="T104" s="2241">
        <f t="shared" si="503"/>
        <v>1272.8750792710457</v>
      </c>
      <c r="U104" s="197">
        <f t="shared" ref="U104:V104" si="507">SUM(U87:U103)</f>
        <v>1250.0054193442206</v>
      </c>
      <c r="V104" s="197">
        <f t="shared" si="507"/>
        <v>1266.5415805192447</v>
      </c>
      <c r="W104" s="2241">
        <f t="shared" ref="W104:X104" si="508">SUM(W87:W103)</f>
        <v>1249.1672797797585</v>
      </c>
      <c r="X104" s="2241">
        <f t="shared" si="508"/>
        <v>1263.855981045082</v>
      </c>
      <c r="Y104" s="197">
        <f t="shared" si="503"/>
        <v>1249.834220795608</v>
      </c>
      <c r="Z104" s="197">
        <f t="shared" si="503"/>
        <v>1269.1078904044641</v>
      </c>
      <c r="AA104" s="197">
        <f t="shared" si="503"/>
        <v>1249.9270753636997</v>
      </c>
      <c r="AB104" s="197">
        <f t="shared" si="503"/>
        <v>1266.0860042374779</v>
      </c>
      <c r="AC104" s="2241">
        <f t="shared" ref="AC104:AD104" si="509">SUM(AC87:AC103)</f>
        <v>1250.1954840135081</v>
      </c>
      <c r="AD104" s="2241">
        <f t="shared" si="509"/>
        <v>1310.2558318515967</v>
      </c>
      <c r="AE104" s="251">
        <f t="shared" ref="AE104:AH104" si="510">SUM(AE87:AE103)</f>
        <v>1249.9687091903393</v>
      </c>
      <c r="AF104" s="251">
        <f t="shared" si="510"/>
        <v>1271.3890976552714</v>
      </c>
      <c r="AG104" s="2241">
        <f t="shared" si="510"/>
        <v>1248.0670578305549</v>
      </c>
      <c r="AH104" s="2241">
        <f t="shared" si="510"/>
        <v>1283.954932469703</v>
      </c>
      <c r="AI104" s="251">
        <f t="shared" ref="AI104:AL104" si="511">SUM(AI87:AI103)</f>
        <v>1249.7174984979995</v>
      </c>
      <c r="AJ104" s="251">
        <f t="shared" si="511"/>
        <v>1272.9885779810611</v>
      </c>
      <c r="AK104" s="2241">
        <f t="shared" si="511"/>
        <v>1248.4040895231794</v>
      </c>
      <c r="AL104" s="2241">
        <f t="shared" si="511"/>
        <v>1293.1333220593656</v>
      </c>
      <c r="AM104" s="2208">
        <f t="shared" ref="AM104:AN104" si="512">SUM(AM87:AM103)</f>
        <v>1248.8923316068408</v>
      </c>
      <c r="AN104" s="2208">
        <f t="shared" si="512"/>
        <v>1294.8840248666088</v>
      </c>
      <c r="AO104" s="251">
        <f t="shared" ref="AO104:AT104" si="513">SUM(AO87:AO103)</f>
        <v>1249.5602314212967</v>
      </c>
      <c r="AP104" s="251">
        <f t="shared" si="513"/>
        <v>1275.2329091639124</v>
      </c>
      <c r="AQ104" s="2241">
        <f t="shared" si="513"/>
        <v>1250.3327201722857</v>
      </c>
      <c r="AR104" s="2241">
        <f t="shared" si="513"/>
        <v>1299.8581482895956</v>
      </c>
      <c r="AS104" s="251">
        <f t="shared" si="513"/>
        <v>1249.6431404189077</v>
      </c>
      <c r="AT104" s="251">
        <f t="shared" si="513"/>
        <v>1277.7374649028375</v>
      </c>
      <c r="AU104" s="2241">
        <f t="shared" ref="AU104:AX104" si="514">SUM(AU87:AU103)</f>
        <v>1249.2799587234786</v>
      </c>
      <c r="AV104" s="2241">
        <f t="shared" si="514"/>
        <v>1289.1346245466038</v>
      </c>
      <c r="AW104" s="251">
        <f t="shared" si="514"/>
        <v>1249.6111689428385</v>
      </c>
      <c r="AX104" s="251">
        <f t="shared" si="514"/>
        <v>1278.6530644842755</v>
      </c>
      <c r="AY104" s="2241">
        <f t="shared" ref="AY104:AZ104" si="515">SUM(AY87:AY103)</f>
        <v>1250.3327201722857</v>
      </c>
      <c r="AZ104" s="2241">
        <f t="shared" si="515"/>
        <v>1306.2280821845677</v>
      </c>
      <c r="BA104" s="1480">
        <f t="shared" ref="BA104:BD104" si="516">SUM(BA87:BA103)</f>
        <v>1250.0061531250808</v>
      </c>
      <c r="BB104" s="1480">
        <f t="shared" si="516"/>
        <v>1298.9565928608988</v>
      </c>
      <c r="BC104" s="5615">
        <f t="shared" si="516"/>
        <v>1249.4445463747575</v>
      </c>
      <c r="BD104" s="5615">
        <f t="shared" si="516"/>
        <v>1296.9523564320996</v>
      </c>
      <c r="BE104" s="807">
        <f t="shared" ref="BE104:BF104" si="517">SUM(BE87:BE103)</f>
        <v>1249.6754972306296</v>
      </c>
      <c r="BF104" s="807">
        <f t="shared" si="517"/>
        <v>1281.0894161696078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ht="17.399999999999999" x14ac:dyDescent="0.3">
      <c r="B105" s="3133" t="s">
        <v>435</v>
      </c>
      <c r="C105" s="3134"/>
      <c r="D105" s="2413"/>
      <c r="E105" s="3135"/>
      <c r="F105" s="3135"/>
      <c r="G105" s="3135"/>
      <c r="H105" s="3135"/>
      <c r="I105" s="3135"/>
      <c r="J105" s="3136"/>
      <c r="K105" s="3135"/>
      <c r="L105" s="3135"/>
      <c r="M105" s="1281"/>
      <c r="N105" s="1261"/>
      <c r="O105" s="3135"/>
      <c r="P105" s="3135"/>
      <c r="Q105" s="1281"/>
      <c r="R105" s="1261"/>
      <c r="S105" s="3135"/>
      <c r="T105" s="3135"/>
      <c r="U105" s="1281"/>
      <c r="V105" s="1261"/>
      <c r="W105" s="3135"/>
      <c r="X105" s="3135"/>
      <c r="Y105" s="1281"/>
      <c r="Z105" s="1261"/>
      <c r="AA105" s="1261"/>
      <c r="AB105" s="1261"/>
      <c r="AC105" s="3135"/>
      <c r="AD105" s="3135"/>
      <c r="AE105" s="1281"/>
      <c r="AF105" s="1261"/>
      <c r="AG105" s="3135"/>
      <c r="AH105" s="3135"/>
      <c r="AI105" s="1281"/>
      <c r="AJ105" s="1261"/>
      <c r="AK105" s="3135"/>
      <c r="AL105" s="3135"/>
      <c r="AM105" s="1281"/>
      <c r="AN105" s="1261"/>
      <c r="AO105" s="1281"/>
      <c r="AP105" s="1261"/>
      <c r="AQ105" s="3135"/>
      <c r="AR105" s="3135"/>
      <c r="AS105" s="1281"/>
      <c r="AT105" s="1261"/>
      <c r="AU105" s="3135"/>
      <c r="AV105" s="3135"/>
      <c r="AW105" s="1281"/>
      <c r="AX105" s="1261"/>
      <c r="AY105" s="3135"/>
      <c r="AZ105" s="3135"/>
      <c r="BA105" s="1281"/>
      <c r="BB105" s="1261"/>
      <c r="BC105" s="1261"/>
      <c r="BD105" s="1261"/>
      <c r="BE105" s="1281"/>
      <c r="BF105" s="1261"/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3">
      <c r="B106" s="3169" t="s">
        <v>428</v>
      </c>
      <c r="C106" s="3138" t="s">
        <v>49</v>
      </c>
      <c r="D106" s="2794">
        <v>55.430739802849317</v>
      </c>
      <c r="E106" s="3144">
        <f>+$D$106</f>
        <v>55.430739802849317</v>
      </c>
      <c r="F106" s="3170">
        <v>57.06</v>
      </c>
      <c r="G106" s="3144">
        <f>+$D$106</f>
        <v>55.430739802849317</v>
      </c>
      <c r="H106" s="3170">
        <v>56.88</v>
      </c>
      <c r="I106" s="3140">
        <f>+$D$106</f>
        <v>55.430739802849317</v>
      </c>
      <c r="J106" s="3141">
        <f>+((F106*F$67)+(H106*H$67))/J$67</f>
        <v>56.965550613170763</v>
      </c>
      <c r="K106" s="3144">
        <f>+$D$106</f>
        <v>55.430739802849317</v>
      </c>
      <c r="L106" s="3170">
        <v>56.59</v>
      </c>
      <c r="M106" s="1277">
        <f>+$D$106</f>
        <v>55.430739802849317</v>
      </c>
      <c r="N106" s="1283">
        <f>+((F106*F$67)+(H106*H$67)+(L106*L$67))/N$67</f>
        <v>56.83140537872243</v>
      </c>
      <c r="O106" s="3144">
        <f>+$D$106</f>
        <v>55.430739802849317</v>
      </c>
      <c r="P106" s="3170">
        <v>55.77</v>
      </c>
      <c r="Q106" s="1279">
        <f>+$D$106</f>
        <v>55.430739802849317</v>
      </c>
      <c r="R106" s="1275">
        <f>+((N106*N$67)+(P106*P$67))/R$67</f>
        <v>56.540372158719002</v>
      </c>
      <c r="S106" s="3144">
        <f>+$D$106</f>
        <v>55.430739802849317</v>
      </c>
      <c r="T106" s="3170">
        <v>56.09</v>
      </c>
      <c r="U106" s="1279">
        <f>+$D$106</f>
        <v>55.430739802849317</v>
      </c>
      <c r="V106" s="1279">
        <f>+((R106*R$67)+(T106*T$67))/V$67</f>
        <v>56.446303723694484</v>
      </c>
      <c r="W106" s="3144">
        <f>+$D$106</f>
        <v>55.430739802849317</v>
      </c>
      <c r="X106" s="3170">
        <v>55.81</v>
      </c>
      <c r="Y106" s="1277">
        <f>+$D$106</f>
        <v>55.430739802849317</v>
      </c>
      <c r="Z106" s="1283">
        <f t="shared" ref="Z106:Z113" si="518">+((P106*P$67)+(T106*T$67)+(X106*X$67))/Z$67</f>
        <v>55.889046545487894</v>
      </c>
      <c r="AA106" s="1280">
        <f>+$D$106</f>
        <v>55.430739802849317</v>
      </c>
      <c r="AB106" s="1280">
        <f t="shared" ref="AB106:AB113" si="519">+((N106*N$67)+(Z106*Z$67))/AB$67</f>
        <v>56.33836324809343</v>
      </c>
      <c r="AC106" s="3144">
        <f>+$D$106</f>
        <v>55.430739802849317</v>
      </c>
      <c r="AD106" s="3170">
        <v>55.81</v>
      </c>
      <c r="AE106" s="1279">
        <f>+$D$106</f>
        <v>55.430739802849317</v>
      </c>
      <c r="AF106" s="1275">
        <f>+((AB106*AB$67)+(AD106*AD$67))/AF$67</f>
        <v>56.274927191977319</v>
      </c>
      <c r="AG106" s="3144">
        <f>+$D$106</f>
        <v>55.430739802849317</v>
      </c>
      <c r="AH106" s="3170">
        <v>55.81</v>
      </c>
      <c r="AI106" s="1279">
        <f>+$D$106</f>
        <v>55.430739802849317</v>
      </c>
      <c r="AJ106" s="1275">
        <f>+((AF106*AF$67)+(AH106*AH$67))/AJ$67</f>
        <v>56.215747526839706</v>
      </c>
      <c r="AK106" s="3144">
        <f>+$D$106</f>
        <v>55.430739802849317</v>
      </c>
      <c r="AL106" s="3170">
        <v>53.71</v>
      </c>
      <c r="AM106" s="1277">
        <f>+$D$106</f>
        <v>55.430739802849317</v>
      </c>
      <c r="AN106" s="1283">
        <f t="shared" ref="AN106:AN108" si="520">+((AD106*AD$67)+(AH106*AH$67)+(AL106*AL$67))/AN$67</f>
        <v>55.073397891997701</v>
      </c>
      <c r="AO106" s="1279">
        <f>+$D$106</f>
        <v>55.430739802849317</v>
      </c>
      <c r="AP106" s="1275">
        <f t="shared" ref="AP106:AP113" si="521">+((AL106*AL$67)+(AJ106*AJ$67))/AP$67</f>
        <v>55.93658154245297</v>
      </c>
      <c r="AQ106" s="3144">
        <f>+$D$106</f>
        <v>55.430739802849317</v>
      </c>
      <c r="AR106" s="3170">
        <v>54.17</v>
      </c>
      <c r="AS106" s="1279">
        <f>+$D$106</f>
        <v>55.430739802849317</v>
      </c>
      <c r="AT106" s="1279">
        <f>+((AP106*AP$67)+(AR106*AR$67))/AT$67</f>
        <v>55.756908081503092</v>
      </c>
      <c r="AU106" s="3144">
        <f>+$D$106</f>
        <v>55.430739802849317</v>
      </c>
      <c r="AV106" s="3144">
        <v>55.25</v>
      </c>
      <c r="AW106" s="1279">
        <f>+$D$106</f>
        <v>55.430739802849317</v>
      </c>
      <c r="AX106" s="1279">
        <f>+((AT106*AT$67)+(AV106*AV$67))/AX$67</f>
        <v>55.716185231094883</v>
      </c>
      <c r="AY106" s="3144">
        <f>+$D$106</f>
        <v>55.430739802849317</v>
      </c>
      <c r="AZ106" s="3144">
        <v>55.76</v>
      </c>
      <c r="BA106" s="1277">
        <f>+$D$106</f>
        <v>55.430739802849317</v>
      </c>
      <c r="BB106" s="1277">
        <f t="shared" ref="BB106:BB108" si="522">+((AR106*AR$67)+(AV106*AV$67)+(AZ106*AZ$67))/BB$67</f>
        <v>55.059476223411167</v>
      </c>
      <c r="BC106" s="1280">
        <f>+$D$106</f>
        <v>55.430739802849317</v>
      </c>
      <c r="BD106" s="1280">
        <f t="shared" ref="BD106:BD113" si="523">+((AN106*AN$67)+(BB106*BB$67))/BD$67</f>
        <v>55.066327506279841</v>
      </c>
      <c r="BE106" s="1279">
        <f>+$D$106</f>
        <v>55.430739802849317</v>
      </c>
      <c r="BF106" s="1275">
        <f>+((AX106*AX$67)+(AZ106*AZ$67))/BF$67</f>
        <v>55.72005642302755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3">
      <c r="B107" s="3169" t="s">
        <v>429</v>
      </c>
      <c r="C107" s="3138" t="s">
        <v>49</v>
      </c>
      <c r="D107" s="2794" t="s">
        <v>1999</v>
      </c>
      <c r="E107" s="3144" t="str">
        <f>+$D$107</f>
        <v>10.0-10.5</v>
      </c>
      <c r="F107" s="3171">
        <v>10.06</v>
      </c>
      <c r="G107" s="3144" t="str">
        <f>+$D$107</f>
        <v>10.0-10.5</v>
      </c>
      <c r="H107" s="3171">
        <v>9.98</v>
      </c>
      <c r="I107" s="3140" t="str">
        <f>+$D$107</f>
        <v>10.0-10.5</v>
      </c>
      <c r="J107" s="3141">
        <f t="shared" ref="J107:J113" si="524">+((F107*F$67)+(H107*H$67))/J$67</f>
        <v>10.018022494742564</v>
      </c>
      <c r="K107" s="3144" t="str">
        <f>+$D$107</f>
        <v>10.0-10.5</v>
      </c>
      <c r="L107" s="3171">
        <v>10.02</v>
      </c>
      <c r="M107" s="1267" t="str">
        <f>+$D$107</f>
        <v>10.0-10.5</v>
      </c>
      <c r="N107" s="1283">
        <f>+((F107*F$67)+(H107*H$67)+(L107*L$67))/N$67</f>
        <v>10.018728852013936</v>
      </c>
      <c r="O107" s="3144" t="str">
        <f>+$D$107</f>
        <v>10.0-10.5</v>
      </c>
      <c r="P107" s="3171">
        <v>9.9600000000000009</v>
      </c>
      <c r="Q107" s="1265" t="str">
        <f>+$D$107</f>
        <v>10.0-10.5</v>
      </c>
      <c r="R107" s="1275">
        <f t="shared" ref="R107:R113" si="525">+((N107*N$67)+(P107*P$67))/R$67</f>
        <v>10.002625629577572</v>
      </c>
      <c r="S107" s="3144" t="str">
        <f>+$D$107</f>
        <v>10.0-10.5</v>
      </c>
      <c r="T107" s="3171">
        <v>9.98</v>
      </c>
      <c r="U107" s="1265" t="str">
        <f>+$D$107</f>
        <v>10.0-10.5</v>
      </c>
      <c r="V107" s="1279">
        <f t="shared" ref="V107:V113" si="526">+((R107*R$67)+(T107*T$67))/V$67</f>
        <v>9.9978998544056346</v>
      </c>
      <c r="W107" s="3144" t="str">
        <f>+$D$107</f>
        <v>10.0-10.5</v>
      </c>
      <c r="X107" s="3171">
        <v>9.91</v>
      </c>
      <c r="Y107" s="1267" t="str">
        <f>+$D$107</f>
        <v>10.0-10.5</v>
      </c>
      <c r="Z107" s="1283">
        <f t="shared" si="518"/>
        <v>9.9504183756184457</v>
      </c>
      <c r="AA107" s="1278" t="str">
        <f>+$D$107</f>
        <v>10.0-10.5</v>
      </c>
      <c r="AB107" s="1280">
        <f t="shared" si="519"/>
        <v>9.9829888115553427</v>
      </c>
      <c r="AC107" s="3144" t="str">
        <f>+$D$107</f>
        <v>10.0-10.5</v>
      </c>
      <c r="AD107" s="3171">
        <v>9.94</v>
      </c>
      <c r="AE107" s="1279" t="str">
        <f>+$D$107</f>
        <v>10.0-10.5</v>
      </c>
      <c r="AF107" s="1275">
        <f t="shared" ref="AF107:AF113" si="527">+((AB107*AB$67)+(AD107*AD$67))/AF$67</f>
        <v>9.9778275126345157</v>
      </c>
      <c r="AG107" s="3144" t="str">
        <f>+$D$107</f>
        <v>10.0-10.5</v>
      </c>
      <c r="AH107" s="3171">
        <v>10.220000000000001</v>
      </c>
      <c r="AI107" s="1279" t="str">
        <f>+$D$107</f>
        <v>10.0-10.5</v>
      </c>
      <c r="AJ107" s="1275">
        <f t="shared" ref="AJ107:AJ113" si="528">+((AF107*AF$67)+(AH107*AH$67))/AJ$67</f>
        <v>10.008653170834627</v>
      </c>
      <c r="AK107" s="3144" t="str">
        <f>+$D$107</f>
        <v>10.0-10.5</v>
      </c>
      <c r="AL107" s="3171">
        <v>10.07</v>
      </c>
      <c r="AM107" s="1267" t="str">
        <f>+$D$107</f>
        <v>10.0-10.5</v>
      </c>
      <c r="AN107" s="1283">
        <f t="shared" si="520"/>
        <v>10.085308406434667</v>
      </c>
      <c r="AO107" s="1279" t="str">
        <f>+$D$107</f>
        <v>10.0-10.5</v>
      </c>
      <c r="AP107" s="1275">
        <f t="shared" si="521"/>
        <v>10.015487837044816</v>
      </c>
      <c r="AQ107" s="3144" t="str">
        <f>+$D$107</f>
        <v>10.0-10.5</v>
      </c>
      <c r="AR107" s="3171">
        <v>10.11</v>
      </c>
      <c r="AS107" s="1279" t="str">
        <f>+$D$107</f>
        <v>10.0-10.5</v>
      </c>
      <c r="AT107" s="1279">
        <f t="shared" ref="AT107:AT113" si="529">+((AP107*AP$67)+(AR107*AR$67))/AT$67</f>
        <v>10.025100372335112</v>
      </c>
      <c r="AU107" s="3144" t="str">
        <f>+$D$107</f>
        <v>10.0-10.5</v>
      </c>
      <c r="AV107" s="3144">
        <v>10.199999999999999</v>
      </c>
      <c r="AW107" s="1279" t="str">
        <f>+$D$107</f>
        <v>10.0-10.5</v>
      </c>
      <c r="AX107" s="1279">
        <f t="shared" ref="AX107:AX113" si="530">+((AT107*AT$67)+(AV107*AV$67))/AX$67</f>
        <v>10.039151068375959</v>
      </c>
      <c r="AY107" s="3144" t="str">
        <f>+$D$107</f>
        <v>10.0-10.5</v>
      </c>
      <c r="AZ107" s="3144">
        <v>10.19</v>
      </c>
      <c r="BA107" s="1277" t="str">
        <f>+$D$107</f>
        <v>10.0-10.5</v>
      </c>
      <c r="BB107" s="1277">
        <f t="shared" si="522"/>
        <v>10.165333011701252</v>
      </c>
      <c r="BC107" s="1280" t="str">
        <f>+$D$107</f>
        <v>10.0-10.5</v>
      </c>
      <c r="BD107" s="1280">
        <f t="shared" si="523"/>
        <v>10.12595043311682</v>
      </c>
      <c r="BE107" s="1279" t="str">
        <f>+$D$107</f>
        <v>10.0-10.5</v>
      </c>
      <c r="BF107" s="1275">
        <f t="shared" ref="BF107:BF112" si="531">+((AX107*AX$67)+(AZ107*AZ$67))/BF$67</f>
        <v>10.052479112360821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3">
      <c r="B108" s="3169" t="s">
        <v>430</v>
      </c>
      <c r="C108" s="3138" t="s">
        <v>49</v>
      </c>
      <c r="D108" s="2794">
        <v>5.3691091749165931</v>
      </c>
      <c r="E108" s="3144">
        <f>+$D$108</f>
        <v>5.3691091749165931</v>
      </c>
      <c r="F108" s="3171">
        <v>5.18</v>
      </c>
      <c r="G108" s="3144">
        <f>+$D$108</f>
        <v>5.3691091749165931</v>
      </c>
      <c r="H108" s="3171">
        <v>5.22</v>
      </c>
      <c r="I108" s="3140">
        <f>+$D$108</f>
        <v>5.3691091749165931</v>
      </c>
      <c r="J108" s="3141">
        <f t="shared" si="524"/>
        <v>5.2009887526287182</v>
      </c>
      <c r="K108" s="3144">
        <f>+$D$108</f>
        <v>5.3691091749165931</v>
      </c>
      <c r="L108" s="3171">
        <v>5.53</v>
      </c>
      <c r="M108" s="1283">
        <f>+$D$108</f>
        <v>5.3691091749165931</v>
      </c>
      <c r="N108" s="1283">
        <f>+((F108*F$67)+(H108*H$67)+(L108*L$67))/N$67</f>
        <v>5.3185103046297257</v>
      </c>
      <c r="O108" s="3144">
        <f>+$D$108</f>
        <v>5.3691091749165931</v>
      </c>
      <c r="P108" s="3171">
        <v>5.97</v>
      </c>
      <c r="Q108" s="1275">
        <f>+$D$108</f>
        <v>5.3691091749165931</v>
      </c>
      <c r="R108" s="1275">
        <f t="shared" si="525"/>
        <v>5.497146241137683</v>
      </c>
      <c r="S108" s="3144">
        <f>+$D$108</f>
        <v>5.3691091749165931</v>
      </c>
      <c r="T108" s="3171">
        <v>5.79</v>
      </c>
      <c r="U108" s="1275">
        <f>+$D$108</f>
        <v>5.3691091749165931</v>
      </c>
      <c r="V108" s="1279">
        <f t="shared" si="526"/>
        <v>5.5583140870044891</v>
      </c>
      <c r="W108" s="3144">
        <f>+$D$108</f>
        <v>5.3691091749165931</v>
      </c>
      <c r="X108" s="3171">
        <v>6.16</v>
      </c>
      <c r="Y108" s="1283">
        <f>+$D$108</f>
        <v>5.3691091749165931</v>
      </c>
      <c r="Z108" s="1283">
        <f t="shared" si="518"/>
        <v>5.9719350250838499</v>
      </c>
      <c r="AA108" s="1284">
        <f>+$D$108</f>
        <v>5.3691091749165931</v>
      </c>
      <c r="AB108" s="1284">
        <f t="shared" si="519"/>
        <v>5.6603821107999552</v>
      </c>
      <c r="AC108" s="3144">
        <f>+$D$108</f>
        <v>5.3691091749165931</v>
      </c>
      <c r="AD108" s="3171">
        <v>6.75</v>
      </c>
      <c r="AE108" s="1279">
        <f>+$D$108</f>
        <v>5.3691091749165931</v>
      </c>
      <c r="AF108" s="1275">
        <f t="shared" si="527"/>
        <v>5.7912032112717116</v>
      </c>
      <c r="AG108" s="3144">
        <f>+$D$108</f>
        <v>5.3691091749165931</v>
      </c>
      <c r="AH108" s="3171">
        <v>6.53</v>
      </c>
      <c r="AI108" s="1279">
        <f>+$D$108</f>
        <v>5.3691091749165931</v>
      </c>
      <c r="AJ108" s="1275">
        <f t="shared" si="528"/>
        <v>5.8852431971364476</v>
      </c>
      <c r="AK108" s="3144">
        <f>+$D$108</f>
        <v>5.3691091749165931</v>
      </c>
      <c r="AL108" s="3171">
        <v>6.78</v>
      </c>
      <c r="AM108" s="1283">
        <f>+$D$108</f>
        <v>5.3691091749165931</v>
      </c>
      <c r="AN108" s="1283">
        <f t="shared" si="520"/>
        <v>6.6821799221484159</v>
      </c>
      <c r="AO108" s="1279">
        <f>+$D$108</f>
        <v>5.3691091749165931</v>
      </c>
      <c r="AP108" s="1275">
        <f t="shared" si="521"/>
        <v>5.9849282855113195</v>
      </c>
      <c r="AQ108" s="3144">
        <f>+$D$108</f>
        <v>5.3691091749165931</v>
      </c>
      <c r="AR108" s="3171">
        <v>6.42</v>
      </c>
      <c r="AS108" s="1279">
        <f>+$D$108</f>
        <v>5.3691091749165931</v>
      </c>
      <c r="AT108" s="1279">
        <f t="shared" si="529"/>
        <v>6.0291780633025178</v>
      </c>
      <c r="AU108" s="3144">
        <f>+$D$108</f>
        <v>5.3691091749165931</v>
      </c>
      <c r="AV108" s="3144">
        <v>6.1</v>
      </c>
      <c r="AW108" s="1279">
        <f>+$D$108</f>
        <v>5.3691091749165931</v>
      </c>
      <c r="AX108" s="1279">
        <f t="shared" si="530"/>
        <v>6.034867598030786</v>
      </c>
      <c r="AY108" s="3144">
        <f>+$D$108</f>
        <v>5.3691091749165931</v>
      </c>
      <c r="AZ108" s="3144">
        <v>5.77</v>
      </c>
      <c r="BA108" s="1277">
        <f>+$D$108</f>
        <v>5.3691091749165931</v>
      </c>
      <c r="BB108" s="1277">
        <f t="shared" si="522"/>
        <v>6.0924262806076586</v>
      </c>
      <c r="BC108" s="1280">
        <f>+$D$108</f>
        <v>5.3691091749165931</v>
      </c>
      <c r="BD108" s="1280">
        <f t="shared" si="523"/>
        <v>6.3826622531071422</v>
      </c>
      <c r="BE108" s="1279">
        <f>+$D$108</f>
        <v>5.3691091749165931</v>
      </c>
      <c r="BF108" s="1275">
        <f t="shared" si="531"/>
        <v>6.0114655960496437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3">
      <c r="B109" s="3169" t="s">
        <v>431</v>
      </c>
      <c r="C109" s="3138" t="s">
        <v>49</v>
      </c>
      <c r="D109" s="2794">
        <v>2.7277716029417967</v>
      </c>
      <c r="E109" s="3144">
        <f>+$D$109</f>
        <v>2.7277716029417967</v>
      </c>
      <c r="F109" s="3171">
        <v>2.21</v>
      </c>
      <c r="G109" s="3144">
        <f>+$D$109</f>
        <v>2.7277716029417967</v>
      </c>
      <c r="H109" s="3171">
        <v>2.36</v>
      </c>
      <c r="I109" s="3140">
        <f>+$D$109</f>
        <v>2.7277716029417967</v>
      </c>
      <c r="J109" s="3141">
        <f t="shared" si="524"/>
        <v>2.2887078223576949</v>
      </c>
      <c r="K109" s="3144">
        <f>+$D$109</f>
        <v>2.7277716029417967</v>
      </c>
      <c r="L109" s="3171">
        <v>2.1800000000000002</v>
      </c>
      <c r="M109" s="1283">
        <f>+$D$109</f>
        <v>2.7277716029417967</v>
      </c>
      <c r="N109" s="1283">
        <f t="shared" ref="N109:N112" si="532">+((F109*F$67)+(H109*H$67)+(L109*L$67))/N$67</f>
        <v>2.2498778063621954</v>
      </c>
      <c r="O109" s="3144">
        <f>+$D$109</f>
        <v>2.7277716029417967</v>
      </c>
      <c r="P109" s="3171">
        <v>2.06</v>
      </c>
      <c r="Q109" s="1275">
        <f>+$D$109</f>
        <v>2.7277716029417967</v>
      </c>
      <c r="R109" s="1275">
        <f t="shared" si="525"/>
        <v>2.1978140515512932</v>
      </c>
      <c r="S109" s="3144">
        <f>+$D$109</f>
        <v>2.7277716029417967</v>
      </c>
      <c r="T109" s="3171">
        <v>2.0299999999999998</v>
      </c>
      <c r="U109" s="1275">
        <f>+$D$109</f>
        <v>2.7277716029417967</v>
      </c>
      <c r="V109" s="1279">
        <f>+((R109*R$67)+(T109*T$67))/V$67</f>
        <v>2.1627630278613434</v>
      </c>
      <c r="W109" s="3144">
        <f>+$D$109</f>
        <v>2.7277716029417967</v>
      </c>
      <c r="X109" s="3171">
        <v>2.06</v>
      </c>
      <c r="Y109" s="1283">
        <f>+$D$109</f>
        <v>2.7277716029417967</v>
      </c>
      <c r="Z109" s="1283">
        <f>+((P109*P$67)+(T109*T$67)+(X109*X$67))/Z$67</f>
        <v>2.0500552458944061</v>
      </c>
      <c r="AA109" s="1284">
        <f>+$D$109</f>
        <v>2.7277716029417967</v>
      </c>
      <c r="AB109" s="1284">
        <f t="shared" si="519"/>
        <v>2.1453306450408336</v>
      </c>
      <c r="AC109" s="3144">
        <f>+$D$109</f>
        <v>2.7277716029417967</v>
      </c>
      <c r="AD109" s="3171">
        <v>2.13</v>
      </c>
      <c r="AE109" s="1279">
        <f>+$D$109</f>
        <v>2.7277716029417967</v>
      </c>
      <c r="AF109" s="1275">
        <f t="shared" si="527"/>
        <v>2.1434900256135441</v>
      </c>
      <c r="AG109" s="3144">
        <f>+$D$109</f>
        <v>2.7277716029417967</v>
      </c>
      <c r="AH109" s="3171">
        <v>2.48</v>
      </c>
      <c r="AI109" s="1279">
        <f>+$D$109</f>
        <v>2.7277716029417967</v>
      </c>
      <c r="AJ109" s="1275">
        <f t="shared" si="528"/>
        <v>2.1863237164436264</v>
      </c>
      <c r="AK109" s="3144">
        <f>+$D$109</f>
        <v>2.7277716029417967</v>
      </c>
      <c r="AL109" s="3171">
        <v>2.86</v>
      </c>
      <c r="AM109" s="1283">
        <f>+$D$109</f>
        <v>2.7277716029417967</v>
      </c>
      <c r="AN109" s="1283">
        <f>+((AD109*AD$67)+(AH109*AH$67)+(AL109*AL$67))/AN$67</f>
        <v>2.5106934586582415</v>
      </c>
      <c r="AO109" s="1279">
        <f>+$D$109</f>
        <v>2.7277716029417967</v>
      </c>
      <c r="AP109" s="1275">
        <f t="shared" si="521"/>
        <v>2.2613781665997466</v>
      </c>
      <c r="AQ109" s="3144">
        <f>+$D$109</f>
        <v>2.7277716029417967</v>
      </c>
      <c r="AR109" s="3171">
        <v>2.77</v>
      </c>
      <c r="AS109" s="1279">
        <f>+$D$109</f>
        <v>2.7277716029417967</v>
      </c>
      <c r="AT109" s="1279">
        <f t="shared" si="529"/>
        <v>2.3131084960102988</v>
      </c>
      <c r="AU109" s="3144">
        <f>+$D$109</f>
        <v>2.7277716029417967</v>
      </c>
      <c r="AV109" s="3144">
        <v>2.5</v>
      </c>
      <c r="AW109" s="1279">
        <f>+$D$109</f>
        <v>2.7277716029417967</v>
      </c>
      <c r="AX109" s="1279">
        <f t="shared" si="530"/>
        <v>2.3281225686543374</v>
      </c>
      <c r="AY109" s="3144">
        <f>+$D$109</f>
        <v>2.7277716029417967</v>
      </c>
      <c r="AZ109" s="3144">
        <v>2.71</v>
      </c>
      <c r="BA109" s="1277">
        <f>+$D$109</f>
        <v>2.7277716029417967</v>
      </c>
      <c r="BB109" s="1277">
        <f>+((AR109*AR$67)+(AV109*AV$67)+(AZ109*AZ$67))/BB$67</f>
        <v>2.6684238457522893</v>
      </c>
      <c r="BC109" s="1280">
        <f>+$D$109</f>
        <v>2.7277716029417967</v>
      </c>
      <c r="BD109" s="1280">
        <f t="shared" si="523"/>
        <v>2.5907998531791168</v>
      </c>
      <c r="BE109" s="1279">
        <f>+$D$109</f>
        <v>2.7277716029417967</v>
      </c>
      <c r="BF109" s="1275">
        <f t="shared" si="531"/>
        <v>2.3618628089530618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x14ac:dyDescent="0.3">
      <c r="B110" s="3169" t="s">
        <v>432</v>
      </c>
      <c r="C110" s="3138" t="s">
        <v>49</v>
      </c>
      <c r="D110" s="2794">
        <v>9.2462351136497105</v>
      </c>
      <c r="E110" s="3144">
        <f>+$D$110</f>
        <v>9.2462351136497105</v>
      </c>
      <c r="F110" s="3171">
        <v>8.65</v>
      </c>
      <c r="G110" s="3144">
        <f>+$D$110</f>
        <v>9.2462351136497105</v>
      </c>
      <c r="H110" s="3171">
        <v>8.75</v>
      </c>
      <c r="I110" s="3140">
        <f>+$D$110</f>
        <v>9.2462351136497105</v>
      </c>
      <c r="J110" s="3141">
        <f t="shared" si="524"/>
        <v>8.7024718815717961</v>
      </c>
      <c r="K110" s="3144">
        <f>+$D$110</f>
        <v>9.2462351136497105</v>
      </c>
      <c r="L110" s="3171">
        <v>9.24</v>
      </c>
      <c r="M110" s="1283">
        <f>+$D$110</f>
        <v>9.2462351136497105</v>
      </c>
      <c r="N110" s="1283">
        <f>+((F110*F$67)+(H110*H$67)+(L110*L$67))/N$67</f>
        <v>8.894474857842626</v>
      </c>
      <c r="O110" s="3144">
        <f>+$D$110</f>
        <v>9.2462351136497105</v>
      </c>
      <c r="P110" s="3171">
        <v>10.02</v>
      </c>
      <c r="Q110" s="1275">
        <f>+$D$110</f>
        <v>9.2462351136497105</v>
      </c>
      <c r="R110" s="1275">
        <f t="shared" si="525"/>
        <v>9.203089467193065</v>
      </c>
      <c r="S110" s="3144">
        <f>+$D$110</f>
        <v>9.2462351136497105</v>
      </c>
      <c r="T110" s="3171">
        <v>9.58</v>
      </c>
      <c r="U110" s="1275">
        <f>+$D$110</f>
        <v>9.2462351136497105</v>
      </c>
      <c r="V110" s="1279">
        <f t="shared" si="526"/>
        <v>9.2818141025396415</v>
      </c>
      <c r="W110" s="3144">
        <f>+$D$110</f>
        <v>9.2462351136497105</v>
      </c>
      <c r="X110" s="3171">
        <v>10.16</v>
      </c>
      <c r="Y110" s="1283">
        <f>+$D$110</f>
        <v>9.2462351136497105</v>
      </c>
      <c r="Z110" s="1283">
        <f t="shared" si="518"/>
        <v>9.9195356957167551</v>
      </c>
      <c r="AA110" s="1284">
        <f>+$D$110</f>
        <v>9.2462351136497105</v>
      </c>
      <c r="AB110" s="1284">
        <f>+((N110*N$67)+(Z110*Z$67))/AB$67</f>
        <v>9.4307866763407766</v>
      </c>
      <c r="AC110" s="3144">
        <f>+$D$110</f>
        <v>9.2462351136497105</v>
      </c>
      <c r="AD110" s="3171">
        <v>11.09</v>
      </c>
      <c r="AE110" s="1279">
        <f>+$D$110</f>
        <v>9.2462351136497105</v>
      </c>
      <c r="AF110" s="1275">
        <f t="shared" si="527"/>
        <v>9.6299942288873464</v>
      </c>
      <c r="AG110" s="3144">
        <f>+$D$110</f>
        <v>9.2462351136497105</v>
      </c>
      <c r="AH110" s="3171">
        <v>10.69</v>
      </c>
      <c r="AI110" s="1279">
        <f>+$D$110</f>
        <v>9.2462351136497105</v>
      </c>
      <c r="AJ110" s="1275">
        <f t="shared" si="528"/>
        <v>9.764920272493411</v>
      </c>
      <c r="AK110" s="3144">
        <f>+$D$110</f>
        <v>9.2462351136497105</v>
      </c>
      <c r="AL110" s="3171">
        <v>11.09</v>
      </c>
      <c r="AM110" s="1283">
        <f>+$D$110</f>
        <v>9.2462351136497105</v>
      </c>
      <c r="AN110" s="1283">
        <f t="shared" ref="AN110:AN113" si="533">+((AD110*AD$67)+(AH110*AH$67)+(AL110*AL$67))/AN$67</f>
        <v>10.947558245256799</v>
      </c>
      <c r="AO110" s="1279">
        <f>+$D$110</f>
        <v>9.2462351136497105</v>
      </c>
      <c r="AP110" s="1275">
        <f t="shared" si="521"/>
        <v>9.9125477499459489</v>
      </c>
      <c r="AQ110" s="3144">
        <f>+$D$110</f>
        <v>9.2462351136497105</v>
      </c>
      <c r="AR110" s="3171">
        <v>10.8</v>
      </c>
      <c r="AS110" s="1279">
        <f>+$D$110</f>
        <v>9.2462351136497105</v>
      </c>
      <c r="AT110" s="1279">
        <f t="shared" si="529"/>
        <v>10.002807731363824</v>
      </c>
      <c r="AU110" s="3144">
        <f>+$D$110</f>
        <v>9.2462351136497105</v>
      </c>
      <c r="AV110" s="3144">
        <v>10.039999999999999</v>
      </c>
      <c r="AW110" s="1279">
        <f>+$D$110</f>
        <v>9.2462351136497105</v>
      </c>
      <c r="AX110" s="1279">
        <f t="shared" si="530"/>
        <v>10.005795600855905</v>
      </c>
      <c r="AY110" s="3144">
        <f>+$D$110</f>
        <v>9.2462351136497105</v>
      </c>
      <c r="AZ110" s="3144">
        <v>9.43</v>
      </c>
      <c r="BA110" s="1277">
        <f>+$D$110</f>
        <v>9.2462351136497105</v>
      </c>
      <c r="BB110" s="1277">
        <f t="shared" ref="BB110:BB113" si="534">+((AR110*AR$67)+(AV110*AV$67)+(AZ110*AZ$67))/BB$67</f>
        <v>10.084198391713953</v>
      </c>
      <c r="BC110" s="1280">
        <f>+$D$110</f>
        <v>9.2462351136497105</v>
      </c>
      <c r="BD110" s="1280">
        <f t="shared" si="523"/>
        <v>10.509084427271739</v>
      </c>
      <c r="BE110" s="1279">
        <f>+$D$110</f>
        <v>9.2462351136497105</v>
      </c>
      <c r="BF110" s="1275">
        <f t="shared" si="531"/>
        <v>9.9549219949783119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x14ac:dyDescent="0.3">
      <c r="B111" s="3169" t="s">
        <v>433</v>
      </c>
      <c r="C111" s="3138" t="s">
        <v>49</v>
      </c>
      <c r="D111" s="2794">
        <v>2.598845747358093</v>
      </c>
      <c r="E111" s="3144">
        <f>+$D$111</f>
        <v>2.598845747358093</v>
      </c>
      <c r="F111" s="3170">
        <v>2.29</v>
      </c>
      <c r="G111" s="3144">
        <f>+$D$111</f>
        <v>2.598845747358093</v>
      </c>
      <c r="H111" s="3170">
        <v>2.46</v>
      </c>
      <c r="I111" s="3140">
        <f>+$D$111</f>
        <v>2.598845747358093</v>
      </c>
      <c r="J111" s="3141">
        <f t="shared" si="524"/>
        <v>2.3792021986720542</v>
      </c>
      <c r="K111" s="3144">
        <f>+$D$111</f>
        <v>2.598845747358093</v>
      </c>
      <c r="L111" s="3170">
        <v>2.52</v>
      </c>
      <c r="M111" s="1283">
        <f>+$D$111</f>
        <v>2.598845747358093</v>
      </c>
      <c r="N111" s="1283">
        <f>+((F111*F$67)+(H111*H$67)+(L111*L$67))/N$67</f>
        <v>2.4294946317198431</v>
      </c>
      <c r="O111" s="3144">
        <f>+$D$111</f>
        <v>2.598845747358093</v>
      </c>
      <c r="P111" s="3170">
        <v>2.58</v>
      </c>
      <c r="Q111" s="1275">
        <f>+$D$111</f>
        <v>2.598845747358093</v>
      </c>
      <c r="R111" s="1275">
        <f t="shared" si="525"/>
        <v>2.4707626173890875</v>
      </c>
      <c r="S111" s="3144">
        <f>+$D$111</f>
        <v>2.598845747358093</v>
      </c>
      <c r="T111" s="3170">
        <v>2.75</v>
      </c>
      <c r="U111" s="1275">
        <f>+$D$111</f>
        <v>2.598845747358093</v>
      </c>
      <c r="V111" s="1279">
        <f t="shared" si="526"/>
        <v>2.5290864348676432</v>
      </c>
      <c r="W111" s="3144">
        <f>+$D$111</f>
        <v>2.598845747358093</v>
      </c>
      <c r="X111" s="3170">
        <v>2.5299999999999998</v>
      </c>
      <c r="Y111" s="1283">
        <f>+$D$111</f>
        <v>2.598845747358093</v>
      </c>
      <c r="Z111" s="1283">
        <f t="shared" si="518"/>
        <v>2.6201421461464127</v>
      </c>
      <c r="AA111" s="1284">
        <f>+$D$111</f>
        <v>2.598845747358093</v>
      </c>
      <c r="AB111" s="1284">
        <f t="shared" si="519"/>
        <v>2.5292414090587521</v>
      </c>
      <c r="AC111" s="3144">
        <f>+$D$111</f>
        <v>2.598845747358093</v>
      </c>
      <c r="AD111" s="3170">
        <v>2.58</v>
      </c>
      <c r="AE111" s="1279">
        <f>+$D$111</f>
        <v>2.598845747358093</v>
      </c>
      <c r="AF111" s="1275">
        <f t="shared" si="527"/>
        <v>2.5353355589356457</v>
      </c>
      <c r="AG111" s="3144">
        <f>+$D$111</f>
        <v>2.598845747358093</v>
      </c>
      <c r="AH111" s="3170">
        <v>2.65</v>
      </c>
      <c r="AI111" s="1279">
        <f>+$D$111</f>
        <v>2.598845747358093</v>
      </c>
      <c r="AJ111" s="1275">
        <f t="shared" si="528"/>
        <v>2.5499309694482455</v>
      </c>
      <c r="AK111" s="3144">
        <f>+$D$111</f>
        <v>2.598845747358093</v>
      </c>
      <c r="AL111" s="3170">
        <v>2.8</v>
      </c>
      <c r="AM111" s="1283">
        <f>+$D$111</f>
        <v>2.598845747358093</v>
      </c>
      <c r="AN111" s="1283">
        <f t="shared" si="533"/>
        <v>2.6820951469660148</v>
      </c>
      <c r="AO111" s="1279">
        <f>+$D$111</f>
        <v>2.598845747358093</v>
      </c>
      <c r="AP111" s="1275">
        <f t="shared" si="521"/>
        <v>2.5777912252524935</v>
      </c>
      <c r="AQ111" s="3144">
        <f>+$D$111</f>
        <v>2.598845747358093</v>
      </c>
      <c r="AR111" s="3170">
        <v>2.88</v>
      </c>
      <c r="AS111" s="1279">
        <f>+$D$111</f>
        <v>2.598845747358093</v>
      </c>
      <c r="AT111" s="1279">
        <f t="shared" si="529"/>
        <v>2.6085279306824107</v>
      </c>
      <c r="AU111" s="3144">
        <f>+$D$111</f>
        <v>2.598845747358093</v>
      </c>
      <c r="AV111" s="3144">
        <v>2.85</v>
      </c>
      <c r="AW111" s="1279">
        <f>+$D$111</f>
        <v>2.598845747358093</v>
      </c>
      <c r="AX111" s="1279">
        <f t="shared" si="530"/>
        <v>2.6279267750003439</v>
      </c>
      <c r="AY111" s="3144">
        <f>+$D$111</f>
        <v>2.598845747358093</v>
      </c>
      <c r="AZ111" s="3144">
        <v>2.82</v>
      </c>
      <c r="BA111" s="1277">
        <f>+$D$111</f>
        <v>2.598845747358093</v>
      </c>
      <c r="BB111" s="1277">
        <f t="shared" si="534"/>
        <v>2.8496254996447599</v>
      </c>
      <c r="BC111" s="1280">
        <f>+$D$111</f>
        <v>2.598845747358093</v>
      </c>
      <c r="BD111" s="1280">
        <f t="shared" si="523"/>
        <v>2.7671786414857045</v>
      </c>
      <c r="BE111" s="1279">
        <f>+$D$111</f>
        <v>2.598845747358093</v>
      </c>
      <c r="BF111" s="1275">
        <f t="shared" si="531"/>
        <v>2.6448971331165674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x14ac:dyDescent="0.3">
      <c r="B112" s="3169" t="s">
        <v>434</v>
      </c>
      <c r="C112" s="3138" t="s">
        <v>49</v>
      </c>
      <c r="D112" s="2794">
        <v>1.7221171729653546</v>
      </c>
      <c r="E112" s="3144">
        <f>+$D$112</f>
        <v>1.7221171729653546</v>
      </c>
      <c r="F112" s="3171">
        <v>1.67</v>
      </c>
      <c r="G112" s="3144">
        <f>+$D$112</f>
        <v>1.7221171729653546</v>
      </c>
      <c r="H112" s="3171">
        <v>1.67</v>
      </c>
      <c r="I112" s="3140">
        <f>+$D$112</f>
        <v>1.7221171729653546</v>
      </c>
      <c r="J112" s="3141">
        <f t="shared" si="524"/>
        <v>1.6700000000000002</v>
      </c>
      <c r="K112" s="3144">
        <f>+$D$112</f>
        <v>1.7221171729653546</v>
      </c>
      <c r="L112" s="3171">
        <v>1.67</v>
      </c>
      <c r="M112" s="1283">
        <f>+$D$112</f>
        <v>1.7221171729653546</v>
      </c>
      <c r="N112" s="1283">
        <f t="shared" si="532"/>
        <v>1.6700000000000002</v>
      </c>
      <c r="O112" s="3144">
        <f>+$D$112</f>
        <v>1.7221171729653546</v>
      </c>
      <c r="P112" s="3171">
        <v>1.68</v>
      </c>
      <c r="Q112" s="1275">
        <f>+$D$112</f>
        <v>1.7221171729653546</v>
      </c>
      <c r="R112" s="1275">
        <f t="shared" si="525"/>
        <v>1.6727419610437035</v>
      </c>
      <c r="S112" s="3144">
        <f>+$D$112</f>
        <v>1.7221171729653546</v>
      </c>
      <c r="T112" s="3171">
        <v>1.66</v>
      </c>
      <c r="U112" s="1275">
        <f>+$D$112</f>
        <v>1.7221171729653546</v>
      </c>
      <c r="V112" s="1279">
        <f t="shared" si="526"/>
        <v>1.6700805702109893</v>
      </c>
      <c r="W112" s="3144">
        <f>+$D$112</f>
        <v>1.7221171729653546</v>
      </c>
      <c r="X112" s="3171">
        <v>1.65</v>
      </c>
      <c r="Y112" s="1283">
        <f>+$D$112</f>
        <v>1.7221171729653546</v>
      </c>
      <c r="Z112" s="1283">
        <f t="shared" si="518"/>
        <v>1.6636432876584339</v>
      </c>
      <c r="AA112" s="1284">
        <f>+$D$112</f>
        <v>1.7221171729653546</v>
      </c>
      <c r="AB112" s="1284">
        <f t="shared" si="519"/>
        <v>1.6666741681765493</v>
      </c>
      <c r="AC112" s="3144">
        <f>+$D$112</f>
        <v>1.7221171729653546</v>
      </c>
      <c r="AD112" s="3171">
        <v>1.65</v>
      </c>
      <c r="AE112" s="1279">
        <f>+$D$112</f>
        <v>1.7221171729653546</v>
      </c>
      <c r="AF112" s="1275">
        <f t="shared" si="527"/>
        <v>1.6646722434174865</v>
      </c>
      <c r="AG112" s="3144">
        <f>+$D$112</f>
        <v>1.7221171729653546</v>
      </c>
      <c r="AH112" s="3171">
        <v>1.65</v>
      </c>
      <c r="AI112" s="1279">
        <f>+$D$112</f>
        <v>1.7221171729653546</v>
      </c>
      <c r="AJ112" s="1275">
        <f t="shared" si="528"/>
        <v>1.6628046424957779</v>
      </c>
      <c r="AK112" s="3144">
        <f>+$D$112</f>
        <v>1.7221171729653546</v>
      </c>
      <c r="AL112" s="3171">
        <v>1.64</v>
      </c>
      <c r="AM112" s="1283">
        <f>+$D$112</f>
        <v>1.7221171729653546</v>
      </c>
      <c r="AN112" s="1283">
        <f t="shared" si="533"/>
        <v>1.6464923709142747</v>
      </c>
      <c r="AO112" s="1279">
        <f>+$D$112</f>
        <v>1.7221171729653546</v>
      </c>
      <c r="AP112" s="1275">
        <f t="shared" si="521"/>
        <v>1.6602639713376783</v>
      </c>
      <c r="AQ112" s="3144">
        <f>+$D$112</f>
        <v>1.7221171729653546</v>
      </c>
      <c r="AR112" s="3171">
        <v>1.68</v>
      </c>
      <c r="AS112" s="1279">
        <f>+$D$112</f>
        <v>1.7221171729653546</v>
      </c>
      <c r="AT112" s="1279">
        <f t="shared" si="529"/>
        <v>1.6622712608343417</v>
      </c>
      <c r="AU112" s="3144">
        <f>+$D$112</f>
        <v>1.7221171729653546</v>
      </c>
      <c r="AV112" s="3144">
        <v>1.65</v>
      </c>
      <c r="AW112" s="1279">
        <f>+$D$112</f>
        <v>1.7221171729653546</v>
      </c>
      <c r="AX112" s="1279">
        <f t="shared" si="530"/>
        <v>1.6612854396618026</v>
      </c>
      <c r="AY112" s="3144">
        <f>+$D$112</f>
        <v>1.7221171729653546</v>
      </c>
      <c r="AZ112" s="3144">
        <v>1.64</v>
      </c>
      <c r="BA112" s="1277">
        <f>+$D$112</f>
        <v>1.7221171729653546</v>
      </c>
      <c r="BB112" s="1277">
        <f t="shared" si="534"/>
        <v>1.6567835975176537</v>
      </c>
      <c r="BC112" s="1280">
        <f>+$D$112</f>
        <v>1.7221171729653546</v>
      </c>
      <c r="BD112" s="1280">
        <f t="shared" si="523"/>
        <v>1.6517189672194144</v>
      </c>
      <c r="BE112" s="1279">
        <f>+$D$112</f>
        <v>1.7221171729653546</v>
      </c>
      <c r="BF112" s="1275">
        <f t="shared" si="531"/>
        <v>1.6594047947477459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5" thickBot="1" x14ac:dyDescent="0.35">
      <c r="B113" s="3172" t="s">
        <v>1349</v>
      </c>
      <c r="C113" s="3146" t="s">
        <v>49</v>
      </c>
      <c r="D113" s="1431">
        <v>3.8771259387331174</v>
      </c>
      <c r="E113" s="3173">
        <f>+$D$113</f>
        <v>3.8771259387331174</v>
      </c>
      <c r="F113" s="3174">
        <v>3.47</v>
      </c>
      <c r="G113" s="3173">
        <f>+$D$113</f>
        <v>3.8771259387331174</v>
      </c>
      <c r="H113" s="3174">
        <v>3.49</v>
      </c>
      <c r="I113" s="3157">
        <f>+$D$113</f>
        <v>3.8771259387331174</v>
      </c>
      <c r="J113" s="3158">
        <f t="shared" si="524"/>
        <v>3.4804943763143594</v>
      </c>
      <c r="K113" s="3173">
        <f>+$D$113</f>
        <v>3.8771259387331174</v>
      </c>
      <c r="L113" s="3174">
        <v>3.71</v>
      </c>
      <c r="M113" s="1283">
        <f>+$D$113</f>
        <v>3.8771259387331174</v>
      </c>
      <c r="N113" s="1283">
        <f>+((F113*F$67)+(H113*H$67)+(L113*L$67))/N$67</f>
        <v>3.5624729022887576</v>
      </c>
      <c r="O113" s="3173">
        <f>+$D$113</f>
        <v>3.8771259387331174</v>
      </c>
      <c r="P113" s="3174">
        <v>4.05</v>
      </c>
      <c r="Q113" s="1275">
        <f>+$D$113</f>
        <v>3.8771259387331174</v>
      </c>
      <c r="R113" s="1275">
        <f t="shared" si="525"/>
        <v>3.6961509332561651</v>
      </c>
      <c r="S113" s="3173">
        <f>+$D$113</f>
        <v>3.8771259387331174</v>
      </c>
      <c r="T113" s="3174">
        <v>3.79</v>
      </c>
      <c r="U113" s="1275">
        <f>+$D$113</f>
        <v>3.8771259387331174</v>
      </c>
      <c r="V113" s="1279">
        <f t="shared" si="526"/>
        <v>3.715753021587322</v>
      </c>
      <c r="W113" s="3173">
        <f>+$D$113</f>
        <v>3.8771259387331174</v>
      </c>
      <c r="X113" s="3174">
        <v>3.99</v>
      </c>
      <c r="Y113" s="1283">
        <f>+$D$113</f>
        <v>3.8771259387331174</v>
      </c>
      <c r="Z113" s="1283">
        <f t="shared" si="518"/>
        <v>3.9443583785425158</v>
      </c>
      <c r="AA113" s="1284">
        <f>+$D$113</f>
        <v>3.8771259387331174</v>
      </c>
      <c r="AB113" s="1284">
        <f t="shared" si="519"/>
        <v>3.7622753790397376</v>
      </c>
      <c r="AC113" s="3173">
        <f>+$D$113</f>
        <v>3.8771259387331174</v>
      </c>
      <c r="AD113" s="3174">
        <v>4.34</v>
      </c>
      <c r="AE113" s="1279">
        <f>+$D$113</f>
        <v>3.8771259387331174</v>
      </c>
      <c r="AF113" s="1275">
        <f t="shared" si="527"/>
        <v>3.8316378330089327</v>
      </c>
      <c r="AG113" s="3173">
        <f>+$D$113</f>
        <v>3.8771259387331174</v>
      </c>
      <c r="AH113" s="3174">
        <v>4.1500000000000004</v>
      </c>
      <c r="AI113" s="1279">
        <f>+$D$113</f>
        <v>3.8771259387331174</v>
      </c>
      <c r="AJ113" s="1275">
        <f t="shared" si="528"/>
        <v>3.87216152523456</v>
      </c>
      <c r="AK113" s="3173">
        <f>+$D$113</f>
        <v>3.8771259387331174</v>
      </c>
      <c r="AL113" s="3174">
        <v>4.3099999999999996</v>
      </c>
      <c r="AM113" s="1283">
        <f>+$D$113</f>
        <v>3.8771259387331174</v>
      </c>
      <c r="AN113" s="1283">
        <f t="shared" si="533"/>
        <v>4.2618172792398044</v>
      </c>
      <c r="AO113" s="1279">
        <f>+$D$113</f>
        <v>3.8771259387331174</v>
      </c>
      <c r="AP113" s="1275">
        <f t="shared" si="521"/>
        <v>3.920941223708188</v>
      </c>
      <c r="AQ113" s="3173">
        <f>+$D$113</f>
        <v>3.8771259387331174</v>
      </c>
      <c r="AR113" s="3174">
        <v>4.38</v>
      </c>
      <c r="AS113" s="1279">
        <f>+$D$113</f>
        <v>3.8771259387331174</v>
      </c>
      <c r="AT113" s="1279">
        <f t="shared" si="529"/>
        <v>3.9676306502269525</v>
      </c>
      <c r="AU113" s="3173">
        <f>+$D$113</f>
        <v>3.8771259387331174</v>
      </c>
      <c r="AV113" s="3173">
        <v>3.94</v>
      </c>
      <c r="AW113" s="1279">
        <f>+$D$113</f>
        <v>3.8771259387331174</v>
      </c>
      <c r="AX113" s="1279">
        <f t="shared" si="530"/>
        <v>3.9654109207001769</v>
      </c>
      <c r="AY113" s="3173">
        <f>+$D$113</f>
        <v>3.8771259387331174</v>
      </c>
      <c r="AZ113" s="3173">
        <v>3.66</v>
      </c>
      <c r="BA113" s="1277">
        <f>+$D$113</f>
        <v>3.8771259387331174</v>
      </c>
      <c r="BB113" s="1277">
        <f t="shared" si="534"/>
        <v>3.991772111106294</v>
      </c>
      <c r="BC113" s="1280">
        <f>+$D$113</f>
        <v>3.8771259387331174</v>
      </c>
      <c r="BD113" s="1280">
        <f t="shared" si="523"/>
        <v>4.1246696745486382</v>
      </c>
      <c r="BE113" s="1279">
        <f>+$D$113</f>
        <v>3.8771259387331174</v>
      </c>
      <c r="BF113" s="1275">
        <f>+((AX113*AX$67)+(AZ113*AZ$67))/BF$67</f>
        <v>3.9384267707912204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idden="1" x14ac:dyDescent="0.3">
      <c r="B114" s="3164" t="s">
        <v>618</v>
      </c>
      <c r="C114" s="3165" t="s">
        <v>49</v>
      </c>
      <c r="D114" s="784"/>
      <c r="E114" s="3166">
        <f>+$D$114</f>
        <v>0</v>
      </c>
      <c r="F114" s="3166"/>
      <c r="G114" s="3166">
        <f>+$D$114</f>
        <v>0</v>
      </c>
      <c r="H114" s="3166"/>
      <c r="I114" s="3167">
        <f>+$D$114</f>
        <v>0</v>
      </c>
      <c r="J114" s="3168"/>
      <c r="K114" s="1282">
        <f>+$D$114</f>
        <v>0</v>
      </c>
      <c r="L114" s="1282"/>
      <c r="M114" s="1267">
        <f>+$D$114</f>
        <v>0</v>
      </c>
      <c r="N114" s="1283"/>
      <c r="O114" s="1282">
        <f>+$D$114</f>
        <v>0</v>
      </c>
      <c r="P114" s="1282"/>
      <c r="Q114" s="1265">
        <f>+$D$114</f>
        <v>0</v>
      </c>
      <c r="R114" s="1275"/>
      <c r="S114" s="1282">
        <f>+$D$114</f>
        <v>0</v>
      </c>
      <c r="T114" s="1282"/>
      <c r="U114" s="1265">
        <f>+$D$114</f>
        <v>0</v>
      </c>
      <c r="V114" s="1275"/>
      <c r="W114" s="1282">
        <f>+$D$114</f>
        <v>0</v>
      </c>
      <c r="X114" s="1282"/>
      <c r="Y114" s="1267">
        <f>+$D$114</f>
        <v>0</v>
      </c>
      <c r="Z114" s="1283"/>
      <c r="AA114" s="1278">
        <f>+$D$114</f>
        <v>0</v>
      </c>
      <c r="AB114" s="1284"/>
      <c r="AW114" s="26">
        <f t="shared" ref="AW114:AW146" si="535">AS114-AU114</f>
        <v>0</v>
      </c>
      <c r="AX114" s="26">
        <f t="shared" ref="AX114:AX146" si="536">AT114-AV114</f>
        <v>0</v>
      </c>
      <c r="BG114" s="26"/>
      <c r="BH114" s="26"/>
      <c r="BI114" s="26"/>
      <c r="BJ114" s="26"/>
      <c r="BK114" s="26"/>
      <c r="BL114" s="26"/>
      <c r="BM114" s="26"/>
      <c r="BN114" s="26"/>
    </row>
    <row r="115" spans="2:66" hidden="1" x14ac:dyDescent="0.3">
      <c r="B115" s="540" t="s">
        <v>619</v>
      </c>
      <c r="C115" s="63" t="s">
        <v>49</v>
      </c>
      <c r="D115" s="156"/>
      <c r="E115" s="1282">
        <f>+$D$115</f>
        <v>0</v>
      </c>
      <c r="F115" s="1282"/>
      <c r="G115" s="1282">
        <f>+$D$115</f>
        <v>0</v>
      </c>
      <c r="H115" s="1282"/>
      <c r="I115" s="1265">
        <f>+$D$115</f>
        <v>0</v>
      </c>
      <c r="J115" s="1275"/>
      <c r="K115" s="1282">
        <f>+$D$115</f>
        <v>0</v>
      </c>
      <c r="L115" s="1282"/>
      <c r="M115" s="1267">
        <f>+$D$115</f>
        <v>0</v>
      </c>
      <c r="N115" s="1283"/>
      <c r="O115" s="1282">
        <f>+$D$115</f>
        <v>0</v>
      </c>
      <c r="P115" s="1282"/>
      <c r="Q115" s="1265">
        <f>+$D$115</f>
        <v>0</v>
      </c>
      <c r="R115" s="1275"/>
      <c r="S115" s="1282">
        <f>+$D$115</f>
        <v>0</v>
      </c>
      <c r="T115" s="1282"/>
      <c r="U115" s="1265">
        <f>+$D$115</f>
        <v>0</v>
      </c>
      <c r="V115" s="1275"/>
      <c r="W115" s="1282">
        <f>+$D$115</f>
        <v>0</v>
      </c>
      <c r="X115" s="1282"/>
      <c r="Y115" s="1267">
        <f>+$D$115</f>
        <v>0</v>
      </c>
      <c r="Z115" s="1283"/>
      <c r="AA115" s="1278">
        <f>+$D$115</f>
        <v>0</v>
      </c>
      <c r="AB115" s="1284"/>
      <c r="AW115" s="26">
        <f t="shared" si="535"/>
        <v>0</v>
      </c>
      <c r="AX115" s="26">
        <f t="shared" si="536"/>
        <v>0</v>
      </c>
      <c r="BG115" s="26"/>
      <c r="BH115" s="26"/>
      <c r="BI115" s="26"/>
      <c r="BJ115" s="26"/>
      <c r="BK115" s="26"/>
      <c r="BL115" s="26"/>
      <c r="BM115" s="26"/>
      <c r="BN115" s="26"/>
    </row>
    <row r="116" spans="2:66" ht="15" hidden="1" customHeight="1" x14ac:dyDescent="0.3">
      <c r="B116" s="228"/>
      <c r="C116" s="228"/>
      <c r="E116" s="228"/>
      <c r="F116" s="228"/>
      <c r="G116" s="228"/>
      <c r="H116" s="228"/>
      <c r="I116" s="228"/>
      <c r="J116" s="228"/>
      <c r="K116" s="1527"/>
      <c r="L116" s="228"/>
      <c r="M116" s="228"/>
      <c r="N116" s="228"/>
      <c r="O116" s="1527"/>
      <c r="P116" s="228"/>
      <c r="Q116" s="228"/>
      <c r="R116" s="228"/>
      <c r="S116" s="1527"/>
      <c r="T116" s="228"/>
      <c r="U116" s="228"/>
      <c r="V116" s="228"/>
      <c r="W116" s="228"/>
      <c r="X116" s="228"/>
      <c r="Y116" s="228"/>
      <c r="Z116" s="228"/>
      <c r="AA116" s="228"/>
      <c r="AB116" s="228"/>
      <c r="AW116" s="26">
        <f t="shared" si="535"/>
        <v>0</v>
      </c>
      <c r="AX116" s="26">
        <f t="shared" si="536"/>
        <v>0</v>
      </c>
      <c r="BG116" s="26"/>
      <c r="BH116" s="26"/>
      <c r="BI116" s="26"/>
      <c r="BJ116" s="26"/>
      <c r="BK116" s="26"/>
      <c r="BL116" s="26"/>
      <c r="BM116" s="26"/>
      <c r="BN116" s="26"/>
    </row>
    <row r="117" spans="2:66" ht="15" hidden="1" customHeight="1" x14ac:dyDescent="0.3">
      <c r="B117" s="228"/>
      <c r="C117" s="228"/>
      <c r="E117" s="228"/>
      <c r="F117" s="228"/>
      <c r="G117" s="228"/>
      <c r="H117" s="228"/>
      <c r="I117" s="228"/>
      <c r="J117" s="228"/>
      <c r="K117" s="1527"/>
      <c r="L117" s="228"/>
      <c r="M117" s="228"/>
      <c r="N117" s="228"/>
      <c r="O117" s="1527"/>
      <c r="P117" s="228"/>
      <c r="Q117" s="228"/>
      <c r="R117" s="228"/>
      <c r="S117" s="1527"/>
      <c r="T117" s="228"/>
      <c r="U117" s="228"/>
      <c r="V117" s="228"/>
      <c r="W117" s="228"/>
      <c r="X117" s="228"/>
      <c r="Y117" s="228"/>
      <c r="Z117" s="228"/>
      <c r="AA117" s="228"/>
      <c r="AB117" s="228"/>
      <c r="AW117" s="26">
        <f t="shared" si="535"/>
        <v>0</v>
      </c>
      <c r="AX117" s="26">
        <f t="shared" si="536"/>
        <v>0</v>
      </c>
      <c r="BG117" s="26"/>
      <c r="BH117" s="26"/>
      <c r="BI117" s="26"/>
      <c r="BJ117" s="26"/>
      <c r="BK117" s="26"/>
      <c r="BL117" s="26"/>
      <c r="BM117" s="26"/>
      <c r="BN117" s="26"/>
    </row>
    <row r="118" spans="2:66" ht="15" hidden="1" customHeight="1" x14ac:dyDescent="0.3">
      <c r="B118" s="1217" t="s">
        <v>918</v>
      </c>
      <c r="C118" s="228"/>
      <c r="E118" s="228"/>
      <c r="F118" s="228"/>
      <c r="G118" s="228"/>
      <c r="H118" s="228"/>
      <c r="I118" s="228"/>
      <c r="J118" s="228"/>
      <c r="K118" s="1527"/>
      <c r="L118" s="228"/>
      <c r="M118" s="228"/>
      <c r="N118" s="228"/>
      <c r="O118" s="1527"/>
      <c r="P118" s="228"/>
      <c r="Q118" s="228"/>
      <c r="R118" s="228"/>
      <c r="S118" s="1527"/>
      <c r="T118" s="228"/>
      <c r="U118" s="228"/>
      <c r="V118" s="228"/>
      <c r="W118" s="228"/>
      <c r="X118" s="228"/>
      <c r="Y118" s="228"/>
      <c r="Z118" s="228"/>
      <c r="AA118" s="228"/>
      <c r="AB118" s="228"/>
      <c r="AW118" s="26">
        <f t="shared" si="535"/>
        <v>0</v>
      </c>
      <c r="AX118" s="26">
        <f t="shared" si="536"/>
        <v>0</v>
      </c>
      <c r="BG118" s="26"/>
      <c r="BH118" s="26"/>
      <c r="BI118" s="26"/>
      <c r="BJ118" s="26"/>
      <c r="BK118" s="26"/>
      <c r="BL118" s="26"/>
      <c r="BM118" s="26"/>
      <c r="BN118" s="26"/>
    </row>
    <row r="119" spans="2:66" ht="15" hidden="1" customHeight="1" x14ac:dyDescent="0.3">
      <c r="B119" s="1162" t="s">
        <v>784</v>
      </c>
      <c r="C119" s="228"/>
      <c r="E119" s="228"/>
      <c r="F119" s="228"/>
      <c r="G119" s="228"/>
      <c r="H119" s="228"/>
      <c r="I119" s="228"/>
      <c r="J119" s="228"/>
      <c r="K119" s="1527"/>
      <c r="L119" s="228"/>
      <c r="M119" s="228"/>
      <c r="N119" s="228"/>
      <c r="O119" s="1527"/>
      <c r="P119" s="228"/>
      <c r="Q119" s="228"/>
      <c r="R119" s="228"/>
      <c r="S119" s="1527"/>
      <c r="T119" s="228"/>
      <c r="U119" s="228"/>
      <c r="V119" s="228"/>
      <c r="W119" s="228"/>
      <c r="X119" s="228"/>
      <c r="Y119" s="228"/>
      <c r="Z119" s="228"/>
      <c r="AA119" s="228"/>
      <c r="AB119" s="228"/>
      <c r="AW119" s="26">
        <f t="shared" si="535"/>
        <v>0</v>
      </c>
      <c r="AX119" s="26">
        <f t="shared" si="536"/>
        <v>0</v>
      </c>
      <c r="BG119" s="26"/>
      <c r="BH119" s="26"/>
      <c r="BI119" s="26"/>
      <c r="BJ119" s="26"/>
      <c r="BK119" s="26"/>
      <c r="BL119" s="26"/>
      <c r="BM119" s="26"/>
      <c r="BN119" s="26"/>
    </row>
    <row r="120" spans="2:66" ht="15" hidden="1" customHeight="1" x14ac:dyDescent="0.3">
      <c r="B120" s="1218" t="s">
        <v>923</v>
      </c>
      <c r="C120" s="1219" t="s">
        <v>49</v>
      </c>
      <c r="D120" s="725"/>
      <c r="E120" s="1220"/>
      <c r="F120" s="1221">
        <v>8</v>
      </c>
      <c r="G120" s="1220"/>
      <c r="H120" s="1221">
        <v>8</v>
      </c>
      <c r="I120" s="1222"/>
      <c r="J120" s="1223">
        <v>8</v>
      </c>
      <c r="K120" s="1226"/>
      <c r="L120" s="1221">
        <v>8</v>
      </c>
      <c r="M120" s="1224"/>
      <c r="N120" s="1225">
        <v>8</v>
      </c>
      <c r="O120" s="1226"/>
      <c r="P120" s="1221">
        <v>8</v>
      </c>
      <c r="Q120" s="1222"/>
      <c r="R120" s="1223">
        <v>8</v>
      </c>
      <c r="S120" s="1226"/>
      <c r="T120" s="1221">
        <v>8</v>
      </c>
      <c r="U120" s="1222"/>
      <c r="V120" s="1223">
        <v>8</v>
      </c>
      <c r="W120" s="1226"/>
      <c r="X120" s="1227">
        <v>8</v>
      </c>
      <c r="Y120" s="1224"/>
      <c r="Z120" s="1225">
        <v>8</v>
      </c>
      <c r="AA120" s="1228"/>
      <c r="AB120" s="1229">
        <v>8</v>
      </c>
      <c r="AW120" s="26">
        <f t="shared" si="535"/>
        <v>0</v>
      </c>
      <c r="AX120" s="26">
        <f t="shared" si="536"/>
        <v>0</v>
      </c>
      <c r="BG120" s="26"/>
      <c r="BH120" s="26"/>
      <c r="BI120" s="26"/>
      <c r="BJ120" s="26"/>
      <c r="BK120" s="26"/>
      <c r="BL120" s="26"/>
      <c r="BM120" s="26"/>
      <c r="BN120" s="26"/>
    </row>
    <row r="121" spans="2:66" ht="15" hidden="1" customHeight="1" x14ac:dyDescent="0.3">
      <c r="B121" s="1218" t="s">
        <v>924</v>
      </c>
      <c r="C121" s="1219" t="s">
        <v>49</v>
      </c>
      <c r="D121" s="725"/>
      <c r="E121" s="1230"/>
      <c r="F121" s="1231" t="e">
        <f>+'B-FCE'!#REF!</f>
        <v>#REF!</v>
      </c>
      <c r="G121" s="1230"/>
      <c r="H121" s="1231" t="e">
        <f>+'B-FCE'!#REF!</f>
        <v>#REF!</v>
      </c>
      <c r="I121" s="1232"/>
      <c r="J121" s="1233" t="e">
        <f>+'B-FCE'!#REF!</f>
        <v>#REF!</v>
      </c>
      <c r="K121" s="1236"/>
      <c r="L121" s="1231" t="e">
        <f>+'B-FCE'!#REF!</f>
        <v>#REF!</v>
      </c>
      <c r="M121" s="1234"/>
      <c r="N121" s="1235" t="e">
        <f>+'B-FCE'!#REF!</f>
        <v>#REF!</v>
      </c>
      <c r="O121" s="1236"/>
      <c r="P121" s="1231" t="e">
        <f>+'B-FCE'!#REF!</f>
        <v>#REF!</v>
      </c>
      <c r="Q121" s="1232"/>
      <c r="R121" s="1233" t="e">
        <f>+'B-FCE'!#REF!</f>
        <v>#REF!</v>
      </c>
      <c r="S121" s="1236"/>
      <c r="T121" s="1231" t="e">
        <f>+'B-FCE'!#REF!</f>
        <v>#REF!</v>
      </c>
      <c r="U121" s="1232"/>
      <c r="V121" s="1233" t="e">
        <f>+'B-FCE'!#REF!</f>
        <v>#REF!</v>
      </c>
      <c r="W121" s="1236"/>
      <c r="X121" s="1237" t="e">
        <f>+'B-FCE'!#REF!</f>
        <v>#REF!</v>
      </c>
      <c r="Y121" s="1234"/>
      <c r="Z121" s="1235" t="e">
        <f>+'B-FCE'!#REF!</f>
        <v>#REF!</v>
      </c>
      <c r="AA121" s="1238"/>
      <c r="AB121" s="1239" t="e">
        <f>+'B-FCE'!#REF!</f>
        <v>#REF!</v>
      </c>
      <c r="AW121" s="26">
        <f t="shared" si="535"/>
        <v>0</v>
      </c>
      <c r="AX121" s="26">
        <f t="shared" si="536"/>
        <v>0</v>
      </c>
      <c r="BG121" s="26"/>
      <c r="BH121" s="26"/>
      <c r="BI121" s="26"/>
      <c r="BJ121" s="26"/>
      <c r="BK121" s="26"/>
      <c r="BL121" s="26"/>
      <c r="BM121" s="26"/>
      <c r="BN121" s="26"/>
    </row>
    <row r="122" spans="2:66" ht="15" hidden="1" customHeight="1" x14ac:dyDescent="0.3">
      <c r="B122" s="1218" t="s">
        <v>919</v>
      </c>
      <c r="C122" s="1219" t="s">
        <v>49</v>
      </c>
      <c r="D122" s="725"/>
      <c r="E122" s="1230"/>
      <c r="F122" s="1231">
        <v>2.5</v>
      </c>
      <c r="G122" s="1230"/>
      <c r="H122" s="1231">
        <v>2.5</v>
      </c>
      <c r="I122" s="1232"/>
      <c r="J122" s="1233">
        <v>2.5</v>
      </c>
      <c r="K122" s="1236"/>
      <c r="L122" s="1231">
        <v>2.5</v>
      </c>
      <c r="M122" s="1234"/>
      <c r="N122" s="1235">
        <v>2.5</v>
      </c>
      <c r="O122" s="1236"/>
      <c r="P122" s="1231">
        <v>2.5</v>
      </c>
      <c r="Q122" s="1232"/>
      <c r="R122" s="1233">
        <v>2.5</v>
      </c>
      <c r="S122" s="1236"/>
      <c r="T122" s="1231">
        <v>2.5</v>
      </c>
      <c r="U122" s="1232"/>
      <c r="V122" s="1233">
        <v>2.5</v>
      </c>
      <c r="W122" s="1236"/>
      <c r="X122" s="1237">
        <v>2.5</v>
      </c>
      <c r="Y122" s="1234"/>
      <c r="Z122" s="1235">
        <v>2.5</v>
      </c>
      <c r="AA122" s="1238"/>
      <c r="AB122" s="1239">
        <v>2.5</v>
      </c>
      <c r="AW122" s="26">
        <f t="shared" si="535"/>
        <v>0</v>
      </c>
      <c r="AX122" s="26">
        <f t="shared" si="536"/>
        <v>0</v>
      </c>
      <c r="BG122" s="26"/>
      <c r="BH122" s="26"/>
      <c r="BI122" s="26"/>
      <c r="BJ122" s="26"/>
      <c r="BK122" s="26"/>
      <c r="BL122" s="26"/>
      <c r="BM122" s="26"/>
      <c r="BN122" s="26"/>
    </row>
    <row r="123" spans="2:66" ht="15" hidden="1" customHeight="1" x14ac:dyDescent="0.3">
      <c r="B123" s="1240" t="s">
        <v>921</v>
      </c>
      <c r="C123" s="1241" t="s">
        <v>920</v>
      </c>
      <c r="D123" s="1422"/>
      <c r="E123" s="1220"/>
      <c r="F123" s="1221">
        <f>+(F6/(F67/1000))*(100-F120)/100</f>
        <v>722.60721498928001</v>
      </c>
      <c r="G123" s="1220"/>
      <c r="H123" s="1221">
        <f>+(H6/(H67/1000))*(100-H120)/100</f>
        <v>723.18080752928461</v>
      </c>
      <c r="I123" s="1222"/>
      <c r="J123" s="1223">
        <f>+(J6/(J67/1000))*(100-J120)/100</f>
        <v>722.90818978757602</v>
      </c>
      <c r="K123" s="1226"/>
      <c r="L123" s="1221">
        <f>+(L6/(L67/1000))*(100-L120)/100</f>
        <v>720.5542769364879</v>
      </c>
      <c r="M123" s="1224"/>
      <c r="N123" s="1225">
        <f>+(N6/(N67/1000))*(100-N120)/100</f>
        <v>722.06738117162354</v>
      </c>
      <c r="O123" s="1226"/>
      <c r="P123" s="1221">
        <f>+(P6/(P67/1000))*(100-P120)/100</f>
        <v>720.83928032968151</v>
      </c>
      <c r="Q123" s="1222"/>
      <c r="R123" s="1223">
        <f>+(R6/(R67/1000))*(100-R120)/100</f>
        <v>721.73064070498901</v>
      </c>
      <c r="S123" s="1226"/>
      <c r="T123" s="1221">
        <f>+(T6/(T67/1000))*(100-T120)/100</f>
        <v>720.2827921154344</v>
      </c>
      <c r="U123" s="1222"/>
      <c r="V123" s="1223">
        <f>+(V6/(V67/1000))*(100-V120)/100</f>
        <v>721.42823113473673</v>
      </c>
      <c r="W123" s="1226"/>
      <c r="X123" s="1227">
        <f>+(X6/(X67/1000))*(100-X120)/100</f>
        <v>719.71717042349735</v>
      </c>
      <c r="Y123" s="1224"/>
      <c r="Z123" s="1225">
        <f>+(Z6/(Z67/1000))*(100-Z120)/100</f>
        <v>720.29098824056621</v>
      </c>
      <c r="AA123" s="1228"/>
      <c r="AB123" s="1229">
        <f>+(AB6/(AB67/1000))*(100-AB120)/100</f>
        <v>721.13797241067778</v>
      </c>
      <c r="AW123" s="26">
        <f t="shared" si="535"/>
        <v>0</v>
      </c>
      <c r="AX123" s="26">
        <f t="shared" si="536"/>
        <v>0</v>
      </c>
      <c r="BG123" s="26"/>
      <c r="BH123" s="26"/>
      <c r="BI123" s="26"/>
      <c r="BJ123" s="26"/>
      <c r="BK123" s="26"/>
      <c r="BL123" s="26"/>
      <c r="BM123" s="26"/>
      <c r="BN123" s="26"/>
    </row>
    <row r="124" spans="2:66" ht="15" hidden="1" customHeight="1" x14ac:dyDescent="0.3">
      <c r="B124" s="1240" t="s">
        <v>48</v>
      </c>
      <c r="C124" s="1242" t="s">
        <v>354</v>
      </c>
      <c r="D124" s="834"/>
      <c r="E124" s="1220"/>
      <c r="F124" s="1221">
        <f>+F123*F67/1000</f>
        <v>232556.68</v>
      </c>
      <c r="G124" s="1220"/>
      <c r="H124" s="1221">
        <f>+H123*H67/1000</f>
        <v>256950.48</v>
      </c>
      <c r="I124" s="1222"/>
      <c r="J124" s="1223">
        <f>+J123*J67/1000</f>
        <v>489507.16000000003</v>
      </c>
      <c r="K124" s="1226"/>
      <c r="L124" s="1221">
        <f>+L123*L67/1000</f>
        <v>271125.84000000008</v>
      </c>
      <c r="M124" s="1224"/>
      <c r="N124" s="1225">
        <f>+N123*N67/1000</f>
        <v>760633</v>
      </c>
      <c r="O124" s="1226"/>
      <c r="P124" s="1221">
        <f>+P123*P67/1000</f>
        <v>286865.20000000007</v>
      </c>
      <c r="Q124" s="1222"/>
      <c r="R124" s="1223">
        <f>+R123*R67/1000</f>
        <v>1047498.1999999998</v>
      </c>
      <c r="S124" s="1226"/>
      <c r="T124" s="1221">
        <f>+T123*T67/1000</f>
        <v>275997.24000000005</v>
      </c>
      <c r="U124" s="1222"/>
      <c r="V124" s="1223">
        <f>+V123*V67/1000</f>
        <v>1323495.4400000002</v>
      </c>
      <c r="W124" s="1226"/>
      <c r="X124" s="1227">
        <f>+X123*X67/1000</f>
        <v>269738.48000000004</v>
      </c>
      <c r="Y124" s="1224"/>
      <c r="Z124" s="1225">
        <f>+Z123*Z67/1000</f>
        <v>832600.92</v>
      </c>
      <c r="AA124" s="1228"/>
      <c r="AB124" s="1229">
        <f>+AB123*AB67/1000</f>
        <v>1593233.92</v>
      </c>
      <c r="AW124" s="26">
        <f t="shared" si="535"/>
        <v>0</v>
      </c>
      <c r="AX124" s="26">
        <f t="shared" si="536"/>
        <v>0</v>
      </c>
      <c r="BG124" s="26"/>
      <c r="BH124" s="26"/>
      <c r="BI124" s="26"/>
      <c r="BJ124" s="26"/>
      <c r="BK124" s="26"/>
      <c r="BL124" s="26"/>
      <c r="BM124" s="26"/>
      <c r="BN124" s="26"/>
    </row>
    <row r="125" spans="2:66" ht="15" hidden="1" customHeight="1" x14ac:dyDescent="0.3">
      <c r="B125" s="1218" t="s">
        <v>209</v>
      </c>
      <c r="C125" s="1242" t="s">
        <v>354</v>
      </c>
      <c r="D125" s="834"/>
      <c r="E125" s="1220"/>
      <c r="F125" s="1221">
        <f>+F124*F120/(100-F120)</f>
        <v>20222.32</v>
      </c>
      <c r="G125" s="1220"/>
      <c r="H125" s="1221">
        <f>+H124*H120/(100-H120)</f>
        <v>22343.52</v>
      </c>
      <c r="I125" s="1222"/>
      <c r="J125" s="1223">
        <f>+J124*J120/(100-J120)</f>
        <v>42565.840000000004</v>
      </c>
      <c r="K125" s="1226"/>
      <c r="L125" s="1221">
        <f>+L124*L120/(100-L120)</f>
        <v>23576.160000000007</v>
      </c>
      <c r="M125" s="1224"/>
      <c r="N125" s="1225">
        <f>+N124*N120/(100-N120)</f>
        <v>66142</v>
      </c>
      <c r="O125" s="1226"/>
      <c r="P125" s="1221">
        <f>+P124*P120/(100-P120)</f>
        <v>24944.800000000007</v>
      </c>
      <c r="Q125" s="1222"/>
      <c r="R125" s="1223">
        <f>+R124*R120/(100-R120)</f>
        <v>91086.799999999988</v>
      </c>
      <c r="S125" s="1226"/>
      <c r="T125" s="1221">
        <f>+T124*T120/(100-T120)</f>
        <v>23999.760000000006</v>
      </c>
      <c r="U125" s="1222"/>
      <c r="V125" s="1223">
        <f>+V124*V120/(100-V120)</f>
        <v>115086.56000000001</v>
      </c>
      <c r="W125" s="1226"/>
      <c r="X125" s="1227">
        <f>+X124*X120/(100-X120)</f>
        <v>23455.520000000004</v>
      </c>
      <c r="Y125" s="1224"/>
      <c r="Z125" s="1225">
        <f>+Z124*Z120/(100-Z120)</f>
        <v>72400.08</v>
      </c>
      <c r="AA125" s="1228"/>
      <c r="AB125" s="1229">
        <f>+AB124*AB120/(100-AB120)</f>
        <v>138542.07999999999</v>
      </c>
      <c r="AW125" s="26">
        <f t="shared" si="535"/>
        <v>0</v>
      </c>
      <c r="AX125" s="26">
        <f t="shared" si="536"/>
        <v>0</v>
      </c>
      <c r="BG125" s="26"/>
      <c r="BH125" s="26"/>
      <c r="BI125" s="26"/>
      <c r="BJ125" s="26"/>
      <c r="BK125" s="26"/>
      <c r="BL125" s="26"/>
      <c r="BM125" s="26"/>
      <c r="BN125" s="26"/>
    </row>
    <row r="126" spans="2:66" ht="15" hidden="1" customHeight="1" x14ac:dyDescent="0.3">
      <c r="B126" s="1218" t="s">
        <v>837</v>
      </c>
      <c r="C126" s="1242" t="s">
        <v>354</v>
      </c>
      <c r="D126" s="834"/>
      <c r="E126" s="1220"/>
      <c r="F126" s="1221">
        <f>+F124/(100-F122)*F122</f>
        <v>5962.9917948717948</v>
      </c>
      <c r="G126" s="1220"/>
      <c r="H126" s="1221">
        <f>+H124/(100-H122)*H122</f>
        <v>6588.4738461538464</v>
      </c>
      <c r="I126" s="1222"/>
      <c r="J126" s="1223">
        <f>+J124/(100-J122)*J122</f>
        <v>12551.465641025643</v>
      </c>
      <c r="K126" s="1226"/>
      <c r="L126" s="1221">
        <f>+L124/(100-L122)*L122</f>
        <v>6951.9446153846175</v>
      </c>
      <c r="M126" s="1224"/>
      <c r="N126" s="1225">
        <f>+N124/(100-N122)*N122</f>
        <v>19503.410256410258</v>
      </c>
      <c r="O126" s="1226"/>
      <c r="P126" s="1221">
        <f>+P124/(100-P122)*P122</f>
        <v>7355.5179487179512</v>
      </c>
      <c r="Q126" s="1222"/>
      <c r="R126" s="1223">
        <f>+R124/(100-R122)*R122</f>
        <v>26858.928205128199</v>
      </c>
      <c r="S126" s="1226"/>
      <c r="T126" s="1221">
        <f>+T124/(100-T122)*T122</f>
        <v>7076.8523076923084</v>
      </c>
      <c r="U126" s="1222"/>
      <c r="V126" s="1223">
        <f>+V124/(100-V122)*V122</f>
        <v>33935.780512820515</v>
      </c>
      <c r="W126" s="1226"/>
      <c r="X126" s="1227">
        <f>+X124/(100-X122)*X122</f>
        <v>6916.3712820512828</v>
      </c>
      <c r="Y126" s="1224"/>
      <c r="Z126" s="1225">
        <f>+Z124/(100-Z122)*Z122</f>
        <v>21348.741538461541</v>
      </c>
      <c r="AA126" s="1228"/>
      <c r="AB126" s="1229">
        <f>+AB124/(100-AB122)*AB122</f>
        <v>40852.151794871796</v>
      </c>
      <c r="AW126" s="26">
        <f t="shared" si="535"/>
        <v>0</v>
      </c>
      <c r="AX126" s="26">
        <f t="shared" si="536"/>
        <v>0</v>
      </c>
      <c r="BG126" s="26"/>
      <c r="BH126" s="26"/>
      <c r="BI126" s="26"/>
      <c r="BJ126" s="26"/>
      <c r="BK126" s="26"/>
      <c r="BL126" s="26"/>
      <c r="BM126" s="26"/>
      <c r="BN126" s="26"/>
    </row>
    <row r="127" spans="2:66" ht="15" hidden="1" customHeight="1" x14ac:dyDescent="0.3">
      <c r="B127" s="1218" t="s">
        <v>913</v>
      </c>
      <c r="C127" s="1242" t="s">
        <v>354</v>
      </c>
      <c r="D127" s="834"/>
      <c r="E127" s="1220"/>
      <c r="F127" s="1221">
        <f>+F126*F120/(100-F120)</f>
        <v>518.52102564102563</v>
      </c>
      <c r="G127" s="1220"/>
      <c r="H127" s="1221">
        <f>+H126*H120/(100-H120)</f>
        <v>572.91076923076923</v>
      </c>
      <c r="I127" s="1222"/>
      <c r="J127" s="1223">
        <f>+J126*J120/(100-J120)</f>
        <v>1091.4317948717951</v>
      </c>
      <c r="K127" s="1226"/>
      <c r="L127" s="1221">
        <f>+L126*L120/(100-L120)</f>
        <v>604.51692307692326</v>
      </c>
      <c r="M127" s="1224"/>
      <c r="N127" s="1225">
        <f>+N126*N120/(100-N120)</f>
        <v>1695.948717948718</v>
      </c>
      <c r="O127" s="1226"/>
      <c r="P127" s="1221">
        <f>+P126*P120/(100-P120)</f>
        <v>639.61025641025662</v>
      </c>
      <c r="Q127" s="1222"/>
      <c r="R127" s="1223">
        <f>+R126*R120/(100-R120)</f>
        <v>2335.558974358974</v>
      </c>
      <c r="S127" s="1226"/>
      <c r="T127" s="1221">
        <f>+T126*T120/(100-T120)</f>
        <v>615.37846153846158</v>
      </c>
      <c r="U127" s="1222"/>
      <c r="V127" s="1223">
        <f>+V126*V120/(100-V120)</f>
        <v>2950.937435897436</v>
      </c>
      <c r="W127" s="1226"/>
      <c r="X127" s="1227">
        <f>+X126*X120/(100-X120)</f>
        <v>601.42358974358979</v>
      </c>
      <c r="Y127" s="1224"/>
      <c r="Z127" s="1225">
        <f>+Z126*Z120/(100-Z120)</f>
        <v>1856.4123076923079</v>
      </c>
      <c r="AA127" s="1228"/>
      <c r="AB127" s="1229">
        <f>+AB126*AB120/(100-AB120)</f>
        <v>3552.3610256410257</v>
      </c>
      <c r="AW127" s="26">
        <f t="shared" si="535"/>
        <v>0</v>
      </c>
      <c r="AX127" s="26">
        <f t="shared" si="536"/>
        <v>0</v>
      </c>
      <c r="BG127" s="26"/>
      <c r="BH127" s="26"/>
      <c r="BI127" s="26"/>
      <c r="BJ127" s="26"/>
      <c r="BK127" s="26"/>
      <c r="BL127" s="26"/>
      <c r="BM127" s="26"/>
      <c r="BN127" s="26"/>
    </row>
    <row r="128" spans="2:66" ht="15" hidden="1" customHeight="1" x14ac:dyDescent="0.3">
      <c r="B128" s="1218" t="s">
        <v>502</v>
      </c>
      <c r="C128" s="1242" t="s">
        <v>354</v>
      </c>
      <c r="D128" s="834"/>
      <c r="E128" s="1220"/>
      <c r="F128" s="1221">
        <f>SUM(F124:F127)</f>
        <v>259260.51282051284</v>
      </c>
      <c r="G128" s="1220"/>
      <c r="H128" s="1221">
        <f>SUM(H124:H127)</f>
        <v>286455.38461538457</v>
      </c>
      <c r="I128" s="1222"/>
      <c r="J128" s="1223">
        <f>SUM(J124:J127)</f>
        <v>545715.8974358975</v>
      </c>
      <c r="K128" s="1226"/>
      <c r="L128" s="1221">
        <f>SUM(L124:L127)</f>
        <v>302258.46153846168</v>
      </c>
      <c r="M128" s="1224"/>
      <c r="N128" s="1225">
        <f>SUM(N124:N127)</f>
        <v>847974.358974359</v>
      </c>
      <c r="O128" s="1226"/>
      <c r="P128" s="1221">
        <f>SUM(P124:P127)</f>
        <v>319805.12820512825</v>
      </c>
      <c r="Q128" s="1222"/>
      <c r="R128" s="1223">
        <f>SUM(R124:R127)</f>
        <v>1167779.487179487</v>
      </c>
      <c r="S128" s="1226"/>
      <c r="T128" s="1221">
        <f>SUM(T124:T127)</f>
        <v>307689.23076923081</v>
      </c>
      <c r="U128" s="1222"/>
      <c r="V128" s="1223">
        <f>SUM(V124:V127)</f>
        <v>1475468.7179487182</v>
      </c>
      <c r="W128" s="1226"/>
      <c r="X128" s="1227">
        <f>SUM(X124:X127)</f>
        <v>300711.79487179493</v>
      </c>
      <c r="Y128" s="1224"/>
      <c r="Z128" s="1225">
        <f>SUM(Z124:Z127)</f>
        <v>928206.15384615387</v>
      </c>
      <c r="AA128" s="1228"/>
      <c r="AB128" s="1229">
        <f>SUM(AB124:AB127)</f>
        <v>1776180.5128205128</v>
      </c>
      <c r="AW128" s="26">
        <f t="shared" si="535"/>
        <v>0</v>
      </c>
      <c r="AX128" s="26">
        <f t="shared" si="536"/>
        <v>0</v>
      </c>
      <c r="BG128" s="26"/>
      <c r="BH128" s="26"/>
      <c r="BI128" s="26"/>
      <c r="BJ128" s="26"/>
      <c r="BK128" s="26"/>
      <c r="BL128" s="26"/>
      <c r="BM128" s="26"/>
      <c r="BN128" s="26"/>
    </row>
    <row r="129" spans="2:66" ht="15" hidden="1" customHeight="1" x14ac:dyDescent="0.3">
      <c r="B129" s="1243" t="s">
        <v>922</v>
      </c>
      <c r="C129" s="1242" t="s">
        <v>354</v>
      </c>
      <c r="D129" s="834"/>
      <c r="E129" s="1220"/>
      <c r="F129" s="1221" t="e">
        <f>+'B-FCE'!#REF!+SMS!F146</f>
        <v>#REF!</v>
      </c>
      <c r="G129" s="1220"/>
      <c r="H129" s="1221" t="e">
        <f>+'B-FCE'!#REF!+SMS!H146</f>
        <v>#REF!</v>
      </c>
      <c r="I129" s="1222"/>
      <c r="J129" s="1223" t="e">
        <f>+'B-FCE'!#REF!+SMS!J146</f>
        <v>#REF!</v>
      </c>
      <c r="K129" s="1226"/>
      <c r="L129" s="1221" t="e">
        <f>+'B-FCE'!#REF!+SMS!L146</f>
        <v>#REF!</v>
      </c>
      <c r="M129" s="1224"/>
      <c r="N129" s="1225" t="e">
        <f>+'B-FCE'!#REF!+SMS!N146</f>
        <v>#REF!</v>
      </c>
      <c r="O129" s="1226"/>
      <c r="P129" s="1221" t="e">
        <f>+'B-FCE'!#REF!+SMS!P146</f>
        <v>#REF!</v>
      </c>
      <c r="Q129" s="1222"/>
      <c r="R129" s="1223" t="e">
        <f>+'B-FCE'!#REF!+SMS!R146</f>
        <v>#REF!</v>
      </c>
      <c r="S129" s="1226"/>
      <c r="T129" s="1221" t="e">
        <f>+'B-FCE'!#REF!+SMS!T146</f>
        <v>#REF!</v>
      </c>
      <c r="U129" s="1222"/>
      <c r="V129" s="1223" t="e">
        <f>+'B-FCE'!#REF!+SMS!V146</f>
        <v>#REF!</v>
      </c>
      <c r="W129" s="1226"/>
      <c r="X129" s="1227" t="e">
        <f>+'B-FCE'!#REF!+SMS!X146</f>
        <v>#REF!</v>
      </c>
      <c r="Y129" s="1224"/>
      <c r="Z129" s="1225" t="e">
        <f>+'B-FCE'!#REF!+SMS!Z146</f>
        <v>#REF!</v>
      </c>
      <c r="AA129" s="1228"/>
      <c r="AB129" s="1229" t="e">
        <f>+'B-FCE'!#REF!+SMS!AB146</f>
        <v>#REF!</v>
      </c>
      <c r="AW129" s="26">
        <f t="shared" si="535"/>
        <v>0</v>
      </c>
      <c r="AX129" s="26">
        <f t="shared" si="536"/>
        <v>0</v>
      </c>
      <c r="BG129" s="26"/>
      <c r="BH129" s="26"/>
      <c r="BI129" s="26"/>
      <c r="BJ129" s="26"/>
      <c r="BK129" s="26"/>
      <c r="BL129" s="26"/>
      <c r="BM129" s="26"/>
      <c r="BN129" s="26"/>
    </row>
    <row r="130" spans="2:66" ht="15" hidden="1" customHeight="1" x14ac:dyDescent="0.3">
      <c r="B130" s="1218" t="s">
        <v>209</v>
      </c>
      <c r="C130" s="1242" t="s">
        <v>354</v>
      </c>
      <c r="D130" s="834"/>
      <c r="E130" s="1220"/>
      <c r="F130" s="1221" t="e">
        <f>+F129*F121/(100-F121)</f>
        <v>#REF!</v>
      </c>
      <c r="G130" s="1220"/>
      <c r="H130" s="1221" t="e">
        <f>+H129*H121/(100-H121)</f>
        <v>#REF!</v>
      </c>
      <c r="I130" s="1222"/>
      <c r="J130" s="1223" t="e">
        <f>+J129*J121/(100-J121)</f>
        <v>#REF!</v>
      </c>
      <c r="K130" s="1226"/>
      <c r="L130" s="1221" t="e">
        <f>+L129*L121/(100-L121)</f>
        <v>#REF!</v>
      </c>
      <c r="M130" s="1224"/>
      <c r="N130" s="1225" t="e">
        <f>+N129*N121/(100-N121)</f>
        <v>#REF!</v>
      </c>
      <c r="O130" s="1226"/>
      <c r="P130" s="1221" t="e">
        <f>+P129*P121/(100-P121)</f>
        <v>#REF!</v>
      </c>
      <c r="Q130" s="1222"/>
      <c r="R130" s="1223" t="e">
        <f>+R129*R121/(100-R121)</f>
        <v>#REF!</v>
      </c>
      <c r="S130" s="1226"/>
      <c r="T130" s="1221" t="e">
        <f>+T129*T121/(100-T121)</f>
        <v>#REF!</v>
      </c>
      <c r="U130" s="1222"/>
      <c r="V130" s="1223" t="e">
        <f>+V129*V121/(100-V121)</f>
        <v>#REF!</v>
      </c>
      <c r="W130" s="1226"/>
      <c r="X130" s="1227" t="e">
        <f>+X129*X121/(100-X121)</f>
        <v>#REF!</v>
      </c>
      <c r="Y130" s="1224"/>
      <c r="Z130" s="1225" t="e">
        <f>+Z129*Z121/(100-Z121)</f>
        <v>#REF!</v>
      </c>
      <c r="AA130" s="1228"/>
      <c r="AB130" s="1229" t="e">
        <f>+AB129*AB121/(100-AB121)</f>
        <v>#REF!</v>
      </c>
      <c r="AW130" s="26">
        <f t="shared" si="535"/>
        <v>0</v>
      </c>
      <c r="AX130" s="26">
        <f t="shared" si="536"/>
        <v>0</v>
      </c>
      <c r="BG130" s="26"/>
      <c r="BH130" s="26"/>
      <c r="BI130" s="26"/>
      <c r="BJ130" s="26"/>
      <c r="BK130" s="26"/>
      <c r="BL130" s="26"/>
      <c r="BM130" s="26"/>
      <c r="BN130" s="26"/>
    </row>
    <row r="131" spans="2:66" ht="15" hidden="1" customHeight="1" x14ac:dyDescent="0.3">
      <c r="B131" s="1218" t="s">
        <v>837</v>
      </c>
      <c r="C131" s="1242" t="s">
        <v>354</v>
      </c>
      <c r="D131" s="834"/>
      <c r="E131" s="1220"/>
      <c r="F131" s="1221" t="e">
        <f>+F129/(100-F122)*F122</f>
        <v>#REF!</v>
      </c>
      <c r="G131" s="1220"/>
      <c r="H131" s="1221" t="e">
        <f>+H129/(100-H122)*H122</f>
        <v>#REF!</v>
      </c>
      <c r="I131" s="1222"/>
      <c r="J131" s="1223" t="e">
        <f>+J129/(100-J122)*J122</f>
        <v>#REF!</v>
      </c>
      <c r="K131" s="1226"/>
      <c r="L131" s="1221" t="e">
        <f>+L129/(100-L122)*L122</f>
        <v>#REF!</v>
      </c>
      <c r="M131" s="1224"/>
      <c r="N131" s="1225" t="e">
        <f>+N129/(100-N122)*N122</f>
        <v>#REF!</v>
      </c>
      <c r="O131" s="1226"/>
      <c r="P131" s="1221" t="e">
        <f>+P129/(100-P122)*P122</f>
        <v>#REF!</v>
      </c>
      <c r="Q131" s="1222"/>
      <c r="R131" s="1223" t="e">
        <f>+R129/(100-R122)*R122</f>
        <v>#REF!</v>
      </c>
      <c r="S131" s="1226"/>
      <c r="T131" s="1221" t="e">
        <f>+T129/(100-T122)*T122</f>
        <v>#REF!</v>
      </c>
      <c r="U131" s="1222"/>
      <c r="V131" s="1223" t="e">
        <f>+V129/(100-V122)*V122</f>
        <v>#REF!</v>
      </c>
      <c r="W131" s="1226"/>
      <c r="X131" s="1227" t="e">
        <f>+X129/(100-X122)*X122</f>
        <v>#REF!</v>
      </c>
      <c r="Y131" s="1224"/>
      <c r="Z131" s="1225" t="e">
        <f>+Z129/(100-Z122)*Z122</f>
        <v>#REF!</v>
      </c>
      <c r="AA131" s="1228"/>
      <c r="AB131" s="1229" t="e">
        <f>+AB129/(100-AB122)*AB122</f>
        <v>#REF!</v>
      </c>
      <c r="AW131" s="26">
        <f t="shared" si="535"/>
        <v>0</v>
      </c>
      <c r="AX131" s="26">
        <f t="shared" si="536"/>
        <v>0</v>
      </c>
      <c r="BG131" s="26"/>
      <c r="BH131" s="26"/>
      <c r="BI131" s="26"/>
      <c r="BJ131" s="26"/>
      <c r="BK131" s="26"/>
      <c r="BL131" s="26"/>
      <c r="BM131" s="26"/>
      <c r="BN131" s="26"/>
    </row>
    <row r="132" spans="2:66" ht="15" hidden="1" customHeight="1" x14ac:dyDescent="0.3">
      <c r="B132" s="1218" t="s">
        <v>913</v>
      </c>
      <c r="C132" s="1242" t="s">
        <v>354</v>
      </c>
      <c r="D132" s="834"/>
      <c r="E132" s="1220"/>
      <c r="F132" s="1221" t="e">
        <f>+F131*F121/(100-F121)</f>
        <v>#REF!</v>
      </c>
      <c r="G132" s="1220"/>
      <c r="H132" s="1221" t="e">
        <f>+H131*H121/(100-H121)</f>
        <v>#REF!</v>
      </c>
      <c r="I132" s="1222"/>
      <c r="J132" s="1223" t="e">
        <f>+J131*J121/(100-J121)</f>
        <v>#REF!</v>
      </c>
      <c r="K132" s="1226"/>
      <c r="L132" s="1221" t="e">
        <f>+L131*L121/(100-L121)</f>
        <v>#REF!</v>
      </c>
      <c r="M132" s="1224"/>
      <c r="N132" s="1225" t="e">
        <f>+N131*N121/(100-N121)</f>
        <v>#REF!</v>
      </c>
      <c r="O132" s="1226"/>
      <c r="P132" s="1221" t="e">
        <f>+P131*P121/(100-P121)</f>
        <v>#REF!</v>
      </c>
      <c r="Q132" s="1222"/>
      <c r="R132" s="1223" t="e">
        <f>+R131*R121/(100-R121)</f>
        <v>#REF!</v>
      </c>
      <c r="S132" s="1226"/>
      <c r="T132" s="1221" t="e">
        <f>+T131*T121/(100-T121)</f>
        <v>#REF!</v>
      </c>
      <c r="U132" s="1222"/>
      <c r="V132" s="1223" t="e">
        <f>+V131*V121/(100-V121)</f>
        <v>#REF!</v>
      </c>
      <c r="W132" s="1226"/>
      <c r="X132" s="1227" t="e">
        <f>+X131*X121/(100-X121)</f>
        <v>#REF!</v>
      </c>
      <c r="Y132" s="1224"/>
      <c r="Z132" s="1225" t="e">
        <f>+Z131*Z121/(100-Z121)</f>
        <v>#REF!</v>
      </c>
      <c r="AA132" s="1228"/>
      <c r="AB132" s="1229" t="e">
        <f>+AB131*AB121/(100-AB121)</f>
        <v>#REF!</v>
      </c>
      <c r="AW132" s="26">
        <f t="shared" si="535"/>
        <v>0</v>
      </c>
      <c r="AX132" s="26">
        <f t="shared" si="536"/>
        <v>0</v>
      </c>
      <c r="BG132" s="26"/>
      <c r="BH132" s="26"/>
      <c r="BI132" s="26"/>
      <c r="BJ132" s="26"/>
      <c r="BK132" s="26"/>
      <c r="BL132" s="26"/>
      <c r="BM132" s="26"/>
      <c r="BN132" s="26"/>
    </row>
    <row r="133" spans="2:66" ht="15" hidden="1" customHeight="1" x14ac:dyDescent="0.3">
      <c r="B133" s="1218" t="s">
        <v>502</v>
      </c>
      <c r="C133" s="1242" t="s">
        <v>354</v>
      </c>
      <c r="D133" s="834"/>
      <c r="E133" s="1220"/>
      <c r="F133" s="1221" t="e">
        <f>SUM(F129:F132)</f>
        <v>#REF!</v>
      </c>
      <c r="G133" s="1220"/>
      <c r="H133" s="1221" t="e">
        <f>SUM(H129:H132)</f>
        <v>#REF!</v>
      </c>
      <c r="I133" s="1222"/>
      <c r="J133" s="1223" t="e">
        <f>SUM(J129:J132)</f>
        <v>#REF!</v>
      </c>
      <c r="K133" s="1226"/>
      <c r="L133" s="1221" t="e">
        <f>SUM(L129:L132)</f>
        <v>#REF!</v>
      </c>
      <c r="M133" s="1224"/>
      <c r="N133" s="1225" t="e">
        <f>SUM(N129:N132)</f>
        <v>#REF!</v>
      </c>
      <c r="O133" s="1226"/>
      <c r="P133" s="1221" t="e">
        <f>SUM(P129:P132)</f>
        <v>#REF!</v>
      </c>
      <c r="Q133" s="1222"/>
      <c r="R133" s="1223" t="e">
        <f>SUM(R129:R132)</f>
        <v>#REF!</v>
      </c>
      <c r="S133" s="1226"/>
      <c r="T133" s="1221" t="e">
        <f>SUM(T129:T132)</f>
        <v>#REF!</v>
      </c>
      <c r="U133" s="1222"/>
      <c r="V133" s="1223" t="e">
        <f>SUM(V129:V132)</f>
        <v>#REF!</v>
      </c>
      <c r="W133" s="1226"/>
      <c r="X133" s="1227" t="e">
        <f>SUM(X129:X132)</f>
        <v>#REF!</v>
      </c>
      <c r="Y133" s="1224"/>
      <c r="Z133" s="1225" t="e">
        <f>SUM(Z129:Z132)</f>
        <v>#REF!</v>
      </c>
      <c r="AA133" s="1228"/>
      <c r="AB133" s="1229" t="e">
        <f>SUM(AB129:AB132)</f>
        <v>#REF!</v>
      </c>
      <c r="AW133" s="26">
        <f t="shared" si="535"/>
        <v>0</v>
      </c>
      <c r="AX133" s="26">
        <f t="shared" si="536"/>
        <v>0</v>
      </c>
      <c r="BG133" s="26"/>
      <c r="BH133" s="26"/>
      <c r="BI133" s="26"/>
      <c r="BJ133" s="26"/>
      <c r="BK133" s="26"/>
      <c r="BL133" s="26"/>
      <c r="BM133" s="26"/>
      <c r="BN133" s="26"/>
    </row>
    <row r="134" spans="2:66" ht="15" hidden="1" customHeight="1" x14ac:dyDescent="0.3">
      <c r="B134" s="1243"/>
      <c r="C134" s="1241"/>
      <c r="D134" s="1422"/>
      <c r="E134" s="1220"/>
      <c r="F134" s="1221"/>
      <c r="G134" s="1220"/>
      <c r="H134" s="1221"/>
      <c r="I134" s="1222"/>
      <c r="J134" s="1223"/>
      <c r="K134" s="1226"/>
      <c r="L134" s="1221"/>
      <c r="M134" s="1224"/>
      <c r="N134" s="1225"/>
      <c r="O134" s="1226"/>
      <c r="P134" s="1221"/>
      <c r="Q134" s="1222"/>
      <c r="R134" s="1223"/>
      <c r="S134" s="1226"/>
      <c r="T134" s="1221"/>
      <c r="U134" s="1222"/>
      <c r="V134" s="1223"/>
      <c r="W134" s="1226"/>
      <c r="X134" s="1227"/>
      <c r="Y134" s="1224"/>
      <c r="Z134" s="1225"/>
      <c r="AA134" s="1228"/>
      <c r="AB134" s="1229"/>
      <c r="AW134" s="26">
        <f t="shared" si="535"/>
        <v>0</v>
      </c>
      <c r="AX134" s="26">
        <f t="shared" si="536"/>
        <v>0</v>
      </c>
      <c r="BG134" s="26"/>
      <c r="BH134" s="26"/>
      <c r="BI134" s="26"/>
      <c r="BJ134" s="26"/>
      <c r="BK134" s="26"/>
      <c r="BL134" s="26"/>
      <c r="BM134" s="26"/>
      <c r="BN134" s="26"/>
    </row>
    <row r="135" spans="2:66" ht="15" hidden="1" customHeight="1" x14ac:dyDescent="0.3">
      <c r="B135" s="1218" t="s">
        <v>925</v>
      </c>
      <c r="C135" s="1242" t="s">
        <v>354</v>
      </c>
      <c r="D135" s="834"/>
      <c r="E135" s="1220"/>
      <c r="F135" s="1221" t="e">
        <f>+F128-F133</f>
        <v>#REF!</v>
      </c>
      <c r="G135" s="1220"/>
      <c r="H135" s="1221" t="e">
        <f>+H128-H133</f>
        <v>#REF!</v>
      </c>
      <c r="I135" s="1222"/>
      <c r="J135" s="1223" t="e">
        <f>+J128-J133</f>
        <v>#REF!</v>
      </c>
      <c r="K135" s="1226"/>
      <c r="L135" s="1221" t="e">
        <f>+L128-L133</f>
        <v>#REF!</v>
      </c>
      <c r="M135" s="1224"/>
      <c r="N135" s="1225" t="e">
        <f>+N128-N133</f>
        <v>#REF!</v>
      </c>
      <c r="O135" s="1226"/>
      <c r="P135" s="1221" t="e">
        <f>+P128-P133</f>
        <v>#REF!</v>
      </c>
      <c r="Q135" s="1222"/>
      <c r="R135" s="1223" t="e">
        <f>+R128-R133</f>
        <v>#REF!</v>
      </c>
      <c r="S135" s="1226"/>
      <c r="T135" s="1221" t="e">
        <f>+T128-T133</f>
        <v>#REF!</v>
      </c>
      <c r="U135" s="1222"/>
      <c r="V135" s="1223" t="e">
        <f>+V128-V133</f>
        <v>#REF!</v>
      </c>
      <c r="W135" s="1226"/>
      <c r="X135" s="1227" t="e">
        <f>+X128-X133</f>
        <v>#REF!</v>
      </c>
      <c r="Y135" s="1224"/>
      <c r="Z135" s="1225" t="e">
        <f>+Z128-Z133</f>
        <v>#REF!</v>
      </c>
      <c r="AA135" s="1228"/>
      <c r="AB135" s="1229" t="e">
        <f>+AB128-AB133</f>
        <v>#REF!</v>
      </c>
      <c r="AW135" s="26">
        <f t="shared" si="535"/>
        <v>0</v>
      </c>
      <c r="AX135" s="26">
        <f t="shared" si="536"/>
        <v>0</v>
      </c>
      <c r="BG135" s="26"/>
      <c r="BH135" s="26"/>
      <c r="BI135" s="26"/>
      <c r="BJ135" s="26"/>
      <c r="BK135" s="26"/>
      <c r="BL135" s="26"/>
      <c r="BM135" s="26"/>
      <c r="BN135" s="26"/>
    </row>
    <row r="136" spans="2:66" ht="15" hidden="1" customHeight="1" x14ac:dyDescent="0.3">
      <c r="B136" s="1243"/>
      <c r="C136" s="1241"/>
      <c r="E136" s="228"/>
      <c r="F136" s="228"/>
      <c r="G136" s="228"/>
      <c r="H136" s="228"/>
      <c r="I136" s="228"/>
      <c r="J136" s="228"/>
      <c r="K136" s="1527"/>
      <c r="L136" s="228"/>
      <c r="M136" s="228"/>
      <c r="N136" s="228"/>
      <c r="O136" s="1527"/>
      <c r="P136" s="228"/>
      <c r="Q136" s="228"/>
      <c r="R136" s="228"/>
      <c r="S136" s="1527"/>
      <c r="T136" s="228"/>
      <c r="U136" s="228"/>
      <c r="V136" s="228"/>
      <c r="W136" s="228"/>
      <c r="X136" s="228"/>
      <c r="Y136" s="228"/>
      <c r="Z136" s="228"/>
      <c r="AA136" s="228"/>
      <c r="AB136" s="228"/>
      <c r="AW136" s="26">
        <f t="shared" si="535"/>
        <v>0</v>
      </c>
      <c r="AX136" s="26">
        <f t="shared" si="536"/>
        <v>0</v>
      </c>
      <c r="BG136" s="26"/>
      <c r="BH136" s="26"/>
      <c r="BI136" s="26"/>
      <c r="BJ136" s="26"/>
      <c r="BK136" s="26"/>
      <c r="BL136" s="26"/>
      <c r="BM136" s="26"/>
      <c r="BN136" s="26"/>
    </row>
    <row r="137" spans="2:66" ht="15.75" hidden="1" customHeight="1" x14ac:dyDescent="0.3">
      <c r="B137" s="1244" t="s">
        <v>786</v>
      </c>
      <c r="C137" s="1241"/>
      <c r="E137" s="228"/>
      <c r="F137" s="228"/>
      <c r="G137" s="228"/>
      <c r="H137" s="228"/>
      <c r="I137" s="228"/>
      <c r="J137" s="228"/>
      <c r="K137" s="1527"/>
      <c r="L137" s="228"/>
      <c r="M137" s="228"/>
      <c r="N137" s="228"/>
      <c r="O137" s="1527"/>
      <c r="P137" s="228"/>
      <c r="Q137" s="228"/>
      <c r="R137" s="228"/>
      <c r="S137" s="1527"/>
      <c r="T137" s="228"/>
      <c r="U137" s="228"/>
      <c r="V137" s="228"/>
      <c r="W137" s="228"/>
      <c r="X137" s="228"/>
      <c r="Y137" s="228"/>
      <c r="Z137" s="228"/>
      <c r="AA137" s="228"/>
      <c r="AB137" s="228"/>
      <c r="AW137" s="26">
        <f t="shared" si="535"/>
        <v>0</v>
      </c>
      <c r="AX137" s="26">
        <f t="shared" si="536"/>
        <v>0</v>
      </c>
      <c r="BG137" s="26"/>
      <c r="BH137" s="26"/>
      <c r="BI137" s="26"/>
      <c r="BJ137" s="26"/>
      <c r="BK137" s="26"/>
      <c r="BL137" s="26"/>
      <c r="BM137" s="26"/>
      <c r="BN137" s="26"/>
    </row>
    <row r="138" spans="2:66" ht="15" hidden="1" customHeight="1" x14ac:dyDescent="0.3">
      <c r="B138" s="1218" t="s">
        <v>19</v>
      </c>
      <c r="C138" s="1242" t="s">
        <v>354</v>
      </c>
      <c r="D138" s="834"/>
      <c r="E138" s="1220"/>
      <c r="F138" s="1221">
        <f>+F7+F42</f>
        <v>20729</v>
      </c>
      <c r="G138" s="1220"/>
      <c r="H138" s="1221">
        <f>+H7+H42</f>
        <v>21120</v>
      </c>
      <c r="I138" s="1222"/>
      <c r="J138" s="1223">
        <f>+J7+J42</f>
        <v>41849</v>
      </c>
      <c r="K138" s="1226"/>
      <c r="L138" s="1221">
        <f>+L7+L42</f>
        <v>19567</v>
      </c>
      <c r="M138" s="1224"/>
      <c r="N138" s="1225">
        <f>+N7+N42</f>
        <v>61416</v>
      </c>
      <c r="O138" s="1226"/>
      <c r="P138" s="1221">
        <f>+P7+P42</f>
        <v>30125</v>
      </c>
      <c r="Q138" s="1222"/>
      <c r="R138" s="1223">
        <f>+R7+R42</f>
        <v>91541</v>
      </c>
      <c r="S138" s="1226"/>
      <c r="T138" s="1221">
        <f>+T7+T42</f>
        <v>24036</v>
      </c>
      <c r="U138" s="1222"/>
      <c r="V138" s="1223">
        <f>+V7+V42</f>
        <v>115577</v>
      </c>
      <c r="W138" s="1226"/>
      <c r="X138" s="1227">
        <f>+X7+X42</f>
        <v>27437</v>
      </c>
      <c r="Y138" s="1224"/>
      <c r="Z138" s="1225">
        <f>+Z7+Z42</f>
        <v>81598</v>
      </c>
      <c r="AA138" s="1228"/>
      <c r="AB138" s="1229">
        <f>+AB7+AB42</f>
        <v>143014</v>
      </c>
      <c r="AW138" s="26">
        <f t="shared" si="535"/>
        <v>0</v>
      </c>
      <c r="AX138" s="26">
        <f t="shared" si="536"/>
        <v>0</v>
      </c>
      <c r="BG138" s="26"/>
      <c r="BH138" s="26"/>
      <c r="BI138" s="26"/>
      <c r="BJ138" s="26"/>
      <c r="BK138" s="26"/>
      <c r="BL138" s="26"/>
      <c r="BM138" s="26"/>
      <c r="BN138" s="26"/>
    </row>
    <row r="139" spans="2:66" ht="15" hidden="1" customHeight="1" x14ac:dyDescent="0.3">
      <c r="B139" s="1218" t="s">
        <v>919</v>
      </c>
      <c r="C139" s="1245" t="s">
        <v>49</v>
      </c>
      <c r="D139" s="1404"/>
      <c r="E139" s="1246"/>
      <c r="F139" s="1247">
        <v>1.25</v>
      </c>
      <c r="G139" s="1246"/>
      <c r="H139" s="1247">
        <v>1.25</v>
      </c>
      <c r="I139" s="1248"/>
      <c r="J139" s="1249">
        <v>1.25</v>
      </c>
      <c r="K139" s="1252"/>
      <c r="L139" s="1247">
        <v>1.25</v>
      </c>
      <c r="M139" s="1250"/>
      <c r="N139" s="1251">
        <v>1.25</v>
      </c>
      <c r="O139" s="1252"/>
      <c r="P139" s="1247">
        <v>1.25</v>
      </c>
      <c r="Q139" s="1248"/>
      <c r="R139" s="1249">
        <v>1.25</v>
      </c>
      <c r="S139" s="1252"/>
      <c r="T139" s="1247">
        <v>1.25</v>
      </c>
      <c r="U139" s="1248"/>
      <c r="V139" s="1249">
        <v>1.25</v>
      </c>
      <c r="W139" s="1252"/>
      <c r="X139" s="1253">
        <v>1.25</v>
      </c>
      <c r="Y139" s="1250"/>
      <c r="Z139" s="1251">
        <v>1.25</v>
      </c>
      <c r="AA139" s="1254"/>
      <c r="AB139" s="1255">
        <v>1.25</v>
      </c>
      <c r="AW139" s="26">
        <f t="shared" si="535"/>
        <v>0</v>
      </c>
      <c r="AX139" s="26">
        <f t="shared" si="536"/>
        <v>0</v>
      </c>
      <c r="BG139" s="26"/>
      <c r="BH139" s="26"/>
      <c r="BI139" s="26"/>
      <c r="BJ139" s="26"/>
      <c r="BK139" s="26"/>
      <c r="BL139" s="26"/>
      <c r="BM139" s="26"/>
      <c r="BN139" s="26"/>
    </row>
    <row r="140" spans="2:66" ht="15" hidden="1" customHeight="1" x14ac:dyDescent="0.3">
      <c r="B140" s="1218" t="s">
        <v>919</v>
      </c>
      <c r="C140" s="1242" t="s">
        <v>354</v>
      </c>
      <c r="D140" s="834"/>
      <c r="E140" s="1220"/>
      <c r="F140" s="1221">
        <f>+F138*F139/(100-F139)</f>
        <v>262.39240506329116</v>
      </c>
      <c r="G140" s="1220"/>
      <c r="H140" s="1221">
        <f>+H138*H139/(100-H139)</f>
        <v>267.34177215189874</v>
      </c>
      <c r="I140" s="1222"/>
      <c r="J140" s="1223">
        <f>+J138*J139/(100-J139)</f>
        <v>529.7341772151899</v>
      </c>
      <c r="K140" s="1226"/>
      <c r="L140" s="1221">
        <f>+L138*L139/(100-L139)</f>
        <v>247.68354430379748</v>
      </c>
      <c r="M140" s="1224"/>
      <c r="N140" s="1225">
        <f>+N138*N139/(100-N139)</f>
        <v>777.41772151898738</v>
      </c>
      <c r="O140" s="1226"/>
      <c r="P140" s="1221">
        <f>+P138*P139/(100-P139)</f>
        <v>381.32911392405066</v>
      </c>
      <c r="Q140" s="1222"/>
      <c r="R140" s="1223">
        <f>+R138*R139/(100-R139)</f>
        <v>1158.746835443038</v>
      </c>
      <c r="S140" s="1226"/>
      <c r="T140" s="1221">
        <f>+T138*T139/(100-T139)</f>
        <v>304.25316455696202</v>
      </c>
      <c r="U140" s="1222"/>
      <c r="V140" s="1223">
        <f>+V138*V139/(100-V139)</f>
        <v>1463</v>
      </c>
      <c r="W140" s="1226"/>
      <c r="X140" s="1227">
        <f>+X138*X139/(100-X139)</f>
        <v>347.30379746835445</v>
      </c>
      <c r="Y140" s="1224"/>
      <c r="Z140" s="1225">
        <f>+Z138*Z139/(100-Z139)</f>
        <v>1032.8860759493671</v>
      </c>
      <c r="AA140" s="1228"/>
      <c r="AB140" s="1229">
        <f>+AB138*AB139/(100-AB139)</f>
        <v>1810.3037974683543</v>
      </c>
      <c r="AW140" s="26">
        <f t="shared" si="535"/>
        <v>0</v>
      </c>
      <c r="AX140" s="26">
        <f t="shared" si="536"/>
        <v>0</v>
      </c>
      <c r="BG140" s="26"/>
      <c r="BH140" s="26"/>
      <c r="BI140" s="26"/>
      <c r="BJ140" s="26"/>
      <c r="BK140" s="26"/>
      <c r="BL140" s="26"/>
      <c r="BM140" s="26"/>
      <c r="BN140" s="26"/>
    </row>
    <row r="141" spans="2:66" ht="15" hidden="1" customHeight="1" x14ac:dyDescent="0.3">
      <c r="B141" s="1218" t="s">
        <v>502</v>
      </c>
      <c r="C141" s="1242" t="s">
        <v>354</v>
      </c>
      <c r="D141" s="834"/>
      <c r="E141" s="1220"/>
      <c r="F141" s="1221">
        <f>+F140+F138</f>
        <v>20991.392405063292</v>
      </c>
      <c r="G141" s="1220"/>
      <c r="H141" s="1221">
        <f>+H140+H138</f>
        <v>21387.3417721519</v>
      </c>
      <c r="I141" s="1222"/>
      <c r="J141" s="1223">
        <f>+J140+J138</f>
        <v>42378.734177215192</v>
      </c>
      <c r="K141" s="1226"/>
      <c r="L141" s="1221">
        <f>+L140+L138</f>
        <v>19814.683544303796</v>
      </c>
      <c r="M141" s="1224"/>
      <c r="N141" s="1225">
        <f>+N140+N138</f>
        <v>62193.417721518985</v>
      </c>
      <c r="O141" s="1226"/>
      <c r="P141" s="1221">
        <f>+P140+P138</f>
        <v>30506.32911392405</v>
      </c>
      <c r="Q141" s="1222"/>
      <c r="R141" s="1223">
        <f>+R140+R138</f>
        <v>92699.746835443031</v>
      </c>
      <c r="S141" s="1226"/>
      <c r="T141" s="1221">
        <f>+T140+T138</f>
        <v>24340.253164556962</v>
      </c>
      <c r="U141" s="1222"/>
      <c r="V141" s="1223">
        <f>+V140+V138</f>
        <v>117040</v>
      </c>
      <c r="W141" s="1226"/>
      <c r="X141" s="1227">
        <f>+X140+X138</f>
        <v>27784.303797468354</v>
      </c>
      <c r="Y141" s="1224"/>
      <c r="Z141" s="1225">
        <f>+Z140+Z138</f>
        <v>82630.886075949369</v>
      </c>
      <c r="AA141" s="1228"/>
      <c r="AB141" s="1229">
        <f>+AB140+AB138</f>
        <v>144824.30379746837</v>
      </c>
      <c r="AW141" s="26">
        <f t="shared" si="535"/>
        <v>0</v>
      </c>
      <c r="AX141" s="26">
        <f t="shared" si="536"/>
        <v>0</v>
      </c>
      <c r="BG141" s="26"/>
      <c r="BH141" s="26"/>
      <c r="BI141" s="26"/>
      <c r="BJ141" s="26"/>
      <c r="BK141" s="26"/>
      <c r="BL141" s="26"/>
      <c r="BM141" s="26"/>
      <c r="BN141" s="26"/>
    </row>
    <row r="142" spans="2:66" ht="15" hidden="1" customHeight="1" x14ac:dyDescent="0.3">
      <c r="B142" s="1218"/>
      <c r="C142" s="1242"/>
      <c r="D142" s="834"/>
      <c r="E142" s="1220"/>
      <c r="F142" s="1221"/>
      <c r="G142" s="1220"/>
      <c r="H142" s="1221"/>
      <c r="I142" s="1222"/>
      <c r="J142" s="1223"/>
      <c r="K142" s="1226"/>
      <c r="L142" s="1221"/>
      <c r="M142" s="1224"/>
      <c r="N142" s="1225"/>
      <c r="O142" s="1226"/>
      <c r="P142" s="1221"/>
      <c r="Q142" s="1222"/>
      <c r="R142" s="1223"/>
      <c r="S142" s="1226"/>
      <c r="T142" s="1221"/>
      <c r="U142" s="1222"/>
      <c r="V142" s="1223"/>
      <c r="W142" s="1226"/>
      <c r="X142" s="1227"/>
      <c r="Y142" s="1224"/>
      <c r="Z142" s="1225"/>
      <c r="AA142" s="1228"/>
      <c r="AB142" s="1229"/>
      <c r="AW142" s="26">
        <f t="shared" si="535"/>
        <v>0</v>
      </c>
      <c r="AX142" s="26">
        <f t="shared" si="536"/>
        <v>0</v>
      </c>
      <c r="BG142" s="26"/>
      <c r="BH142" s="26"/>
      <c r="BI142" s="26"/>
      <c r="BJ142" s="26"/>
      <c r="BK142" s="26"/>
      <c r="BL142" s="26"/>
      <c r="BM142" s="26"/>
      <c r="BN142" s="26"/>
    </row>
    <row r="143" spans="2:66" ht="15.75" hidden="1" customHeight="1" x14ac:dyDescent="0.3">
      <c r="B143" s="1244" t="s">
        <v>785</v>
      </c>
      <c r="C143" s="1241"/>
      <c r="D143" s="1422"/>
      <c r="E143" s="1220"/>
      <c r="F143" s="1221"/>
      <c r="G143" s="1220"/>
      <c r="H143" s="1221"/>
      <c r="I143" s="1222"/>
      <c r="J143" s="1223"/>
      <c r="K143" s="1226"/>
      <c r="L143" s="1221"/>
      <c r="M143" s="1224"/>
      <c r="N143" s="1225"/>
      <c r="O143" s="1226"/>
      <c r="P143" s="1221"/>
      <c r="Q143" s="1222"/>
      <c r="R143" s="1223"/>
      <c r="S143" s="1226"/>
      <c r="T143" s="1221"/>
      <c r="U143" s="1222"/>
      <c r="V143" s="1223"/>
      <c r="W143" s="1226"/>
      <c r="X143" s="1227"/>
      <c r="Y143" s="1224"/>
      <c r="Z143" s="1225"/>
      <c r="AA143" s="1228"/>
      <c r="AB143" s="1229"/>
      <c r="AW143" s="26">
        <f t="shared" si="535"/>
        <v>0</v>
      </c>
      <c r="AX143" s="26">
        <f t="shared" si="536"/>
        <v>0</v>
      </c>
      <c r="BG143" s="26"/>
      <c r="BH143" s="26"/>
      <c r="BI143" s="26"/>
      <c r="BJ143" s="26"/>
      <c r="BK143" s="26"/>
      <c r="BL143" s="26"/>
      <c r="BM143" s="26"/>
      <c r="BN143" s="26"/>
    </row>
    <row r="144" spans="2:66" ht="15" hidden="1" customHeight="1" x14ac:dyDescent="0.3">
      <c r="B144" s="1218" t="s">
        <v>19</v>
      </c>
      <c r="C144" s="1242" t="s">
        <v>354</v>
      </c>
      <c r="D144" s="834"/>
      <c r="E144" s="1220"/>
      <c r="F144" s="1221">
        <f>+F8+F43</f>
        <v>32007</v>
      </c>
      <c r="G144" s="1220"/>
      <c r="H144" s="1221">
        <f>+H8+H43</f>
        <v>34439</v>
      </c>
      <c r="I144" s="1222"/>
      <c r="J144" s="1223">
        <f>+J8+J43</f>
        <v>66446</v>
      </c>
      <c r="K144" s="1226"/>
      <c r="L144" s="1221">
        <f>+L8+L43</f>
        <v>33999</v>
      </c>
      <c r="M144" s="1224"/>
      <c r="N144" s="1225">
        <f>+N8+N43</f>
        <v>100445</v>
      </c>
      <c r="O144" s="1226"/>
      <c r="P144" s="1221">
        <f>+P8+P43</f>
        <v>37571</v>
      </c>
      <c r="Q144" s="1222"/>
      <c r="R144" s="1223">
        <f>+R8+R43</f>
        <v>138016</v>
      </c>
      <c r="S144" s="1226"/>
      <c r="T144" s="1221">
        <f>+T8+T43</f>
        <v>37802</v>
      </c>
      <c r="U144" s="1222"/>
      <c r="V144" s="1223">
        <f>+V8+V43</f>
        <v>175818</v>
      </c>
      <c r="W144" s="1226"/>
      <c r="X144" s="1227">
        <f>+X8+X43</f>
        <v>36021</v>
      </c>
      <c r="Y144" s="1224"/>
      <c r="Z144" s="1225">
        <f>+Z8+Z43</f>
        <v>111394</v>
      </c>
      <c r="AA144" s="1228"/>
      <c r="AB144" s="1229">
        <f>+AB8+AB43</f>
        <v>211839</v>
      </c>
      <c r="AW144" s="26">
        <f t="shared" si="535"/>
        <v>0</v>
      </c>
      <c r="AX144" s="26">
        <f t="shared" si="536"/>
        <v>0</v>
      </c>
      <c r="BG144" s="26"/>
      <c r="BH144" s="26"/>
      <c r="BI144" s="26"/>
      <c r="BJ144" s="26"/>
      <c r="BK144" s="26"/>
      <c r="BL144" s="26"/>
      <c r="BM144" s="26"/>
      <c r="BN144" s="26"/>
    </row>
    <row r="145" spans="2:66" ht="15" hidden="1" customHeight="1" x14ac:dyDescent="0.3">
      <c r="B145" s="1218" t="s">
        <v>919</v>
      </c>
      <c r="C145" s="1245" t="s">
        <v>49</v>
      </c>
      <c r="D145" s="1404"/>
      <c r="E145" s="1246"/>
      <c r="F145" s="1247">
        <v>1.25</v>
      </c>
      <c r="G145" s="1246"/>
      <c r="H145" s="1247">
        <v>1.25</v>
      </c>
      <c r="I145" s="1248"/>
      <c r="J145" s="1249">
        <v>1.25</v>
      </c>
      <c r="K145" s="1252"/>
      <c r="L145" s="1247">
        <v>1.25</v>
      </c>
      <c r="M145" s="1250"/>
      <c r="N145" s="1251">
        <v>1.25</v>
      </c>
      <c r="O145" s="1252"/>
      <c r="P145" s="1247">
        <v>1.25</v>
      </c>
      <c r="Q145" s="1248"/>
      <c r="R145" s="1249">
        <v>1.25</v>
      </c>
      <c r="S145" s="1252"/>
      <c r="T145" s="1247">
        <v>1.25</v>
      </c>
      <c r="U145" s="1248"/>
      <c r="V145" s="1249">
        <v>1.25</v>
      </c>
      <c r="W145" s="1252"/>
      <c r="X145" s="1253">
        <v>1.25</v>
      </c>
      <c r="Y145" s="1250"/>
      <c r="Z145" s="1251">
        <v>1.25</v>
      </c>
      <c r="AA145" s="1254"/>
      <c r="AB145" s="1255">
        <v>1.25</v>
      </c>
      <c r="AW145" s="26">
        <f t="shared" si="535"/>
        <v>0</v>
      </c>
      <c r="AX145" s="26">
        <f t="shared" si="536"/>
        <v>0</v>
      </c>
      <c r="BG145" s="26"/>
      <c r="BH145" s="26"/>
      <c r="BI145" s="26"/>
      <c r="BJ145" s="26"/>
      <c r="BK145" s="26"/>
      <c r="BL145" s="26"/>
      <c r="BM145" s="26"/>
      <c r="BN145" s="26"/>
    </row>
    <row r="146" spans="2:66" ht="15" hidden="1" customHeight="1" x14ac:dyDescent="0.3">
      <c r="B146" s="1218" t="s">
        <v>919</v>
      </c>
      <c r="C146" s="1242" t="s">
        <v>354</v>
      </c>
      <c r="D146" s="834"/>
      <c r="E146" s="1220"/>
      <c r="F146" s="1221">
        <f>+F144*F145/(100-F145)</f>
        <v>405.15189873417722</v>
      </c>
      <c r="G146" s="1220"/>
      <c r="H146" s="1221">
        <f>+H144*H145/(100-H145)</f>
        <v>435.9367088607595</v>
      </c>
      <c r="I146" s="1222"/>
      <c r="J146" s="1223">
        <f>+J144*J145/(100-J145)</f>
        <v>841.08860759493666</v>
      </c>
      <c r="K146" s="1226"/>
      <c r="L146" s="1221">
        <f>+L144*L145/(100-L145)</f>
        <v>430.36708860759495</v>
      </c>
      <c r="M146" s="1224"/>
      <c r="N146" s="1225">
        <f>+N144*N145/(100-N145)</f>
        <v>1271.4556962025317</v>
      </c>
      <c r="O146" s="1226"/>
      <c r="P146" s="1221">
        <f>+P144*P145/(100-P145)</f>
        <v>475.58227848101268</v>
      </c>
      <c r="Q146" s="1222"/>
      <c r="R146" s="1223">
        <f>+R144*R145/(100-R145)</f>
        <v>1747.0379746835442</v>
      </c>
      <c r="S146" s="1226"/>
      <c r="T146" s="1221">
        <f>+T144*T145/(100-T145)</f>
        <v>478.50632911392404</v>
      </c>
      <c r="U146" s="1222"/>
      <c r="V146" s="1223">
        <f>+V144*V145/(100-V145)</f>
        <v>2225.5443037974683</v>
      </c>
      <c r="W146" s="1226"/>
      <c r="X146" s="1227">
        <f>+X144*X145/(100-X145)</f>
        <v>455.96202531645571</v>
      </c>
      <c r="Y146" s="1224"/>
      <c r="Z146" s="1225">
        <f>+Z144*Z145/(100-Z145)</f>
        <v>1410.0506329113923</v>
      </c>
      <c r="AA146" s="1228"/>
      <c r="AB146" s="1229">
        <f>+AB144*AB145/(100-AB145)</f>
        <v>2681.506329113924</v>
      </c>
      <c r="AW146" s="26">
        <f t="shared" si="535"/>
        <v>0</v>
      </c>
      <c r="AX146" s="26">
        <f t="shared" si="536"/>
        <v>0</v>
      </c>
      <c r="BG146" s="26"/>
      <c r="BH146" s="26"/>
      <c r="BI146" s="26"/>
      <c r="BJ146" s="26"/>
      <c r="BK146" s="26"/>
      <c r="BL146" s="26"/>
      <c r="BM146" s="26"/>
      <c r="BN146" s="26"/>
    </row>
    <row r="147" spans="2:66" ht="15" hidden="1" customHeight="1" x14ac:dyDescent="0.3">
      <c r="B147" s="1218" t="s">
        <v>502</v>
      </c>
      <c r="C147" s="1242" t="s">
        <v>354</v>
      </c>
      <c r="D147" s="834"/>
      <c r="E147" s="1220"/>
      <c r="F147" s="1221">
        <f>+F146+F144</f>
        <v>32412.151898734177</v>
      </c>
      <c r="G147" s="1220"/>
      <c r="H147" s="1221">
        <f>+H146+H144</f>
        <v>34874.936708860761</v>
      </c>
      <c r="I147" s="1222"/>
      <c r="J147" s="1223">
        <f>+J146+J144</f>
        <v>67287.088607594938</v>
      </c>
      <c r="K147" s="1226"/>
      <c r="L147" s="1221">
        <f>+L146+L144</f>
        <v>34429.367088607592</v>
      </c>
      <c r="M147" s="1224"/>
      <c r="N147" s="1225">
        <f>+N146+N144</f>
        <v>101716.45569620254</v>
      </c>
      <c r="O147" s="1226"/>
      <c r="P147" s="1221">
        <f>+P146+P144</f>
        <v>38046.582278481015</v>
      </c>
      <c r="Q147" s="1222"/>
      <c r="R147" s="1223">
        <f>+R146+R144</f>
        <v>139763.03797468354</v>
      </c>
      <c r="S147" s="1226"/>
      <c r="T147" s="1221">
        <f>+T146+T144</f>
        <v>38280.506329113923</v>
      </c>
      <c r="U147" s="1222"/>
      <c r="V147" s="1223">
        <f>+V146+V144</f>
        <v>178043.54430379748</v>
      </c>
      <c r="W147" s="1226"/>
      <c r="X147" s="1227">
        <f>+X146+X144</f>
        <v>36476.962025316454</v>
      </c>
      <c r="Y147" s="1224"/>
      <c r="Z147" s="1225">
        <f>+Z146+Z144</f>
        <v>112804.05063291139</v>
      </c>
      <c r="AA147" s="1228"/>
      <c r="AB147" s="1229">
        <f>+AB146+AB144</f>
        <v>214520.50632911394</v>
      </c>
      <c r="AW147" s="26">
        <f t="shared" ref="AW147:AW154" si="537">AS147-AU147</f>
        <v>0</v>
      </c>
      <c r="AX147" s="26">
        <f t="shared" ref="AX147:AX154" si="538">AT147-AV147</f>
        <v>0</v>
      </c>
      <c r="BG147" s="26"/>
      <c r="BH147" s="26"/>
      <c r="BI147" s="26"/>
      <c r="BJ147" s="26"/>
      <c r="BK147" s="26"/>
      <c r="BL147" s="26"/>
      <c r="BM147" s="26"/>
      <c r="BN147" s="26"/>
    </row>
    <row r="148" spans="2:66" ht="15" hidden="1" customHeight="1" x14ac:dyDescent="0.3">
      <c r="B148" s="228"/>
      <c r="C148" s="228"/>
      <c r="E148" s="228"/>
      <c r="F148" s="228"/>
      <c r="G148" s="228"/>
      <c r="H148" s="228"/>
      <c r="I148" s="228"/>
      <c r="J148" s="228"/>
      <c r="K148" s="1527"/>
      <c r="L148" s="228"/>
      <c r="M148" s="228"/>
      <c r="N148" s="228"/>
      <c r="O148" s="1527"/>
      <c r="P148" s="228"/>
      <c r="Q148" s="228"/>
      <c r="R148" s="228"/>
      <c r="S148" s="1527"/>
      <c r="T148" s="228"/>
      <c r="U148" s="228"/>
      <c r="V148" s="228"/>
      <c r="W148" s="228"/>
      <c r="X148" s="228"/>
      <c r="Y148" s="228"/>
      <c r="Z148" s="228"/>
      <c r="AA148" s="228"/>
      <c r="AB148" s="228"/>
      <c r="AW148" s="26">
        <f t="shared" si="537"/>
        <v>0</v>
      </c>
      <c r="AX148" s="26">
        <f t="shared" si="538"/>
        <v>0</v>
      </c>
      <c r="BG148" s="26"/>
      <c r="BH148" s="26"/>
      <c r="BI148" s="26"/>
      <c r="BJ148" s="26"/>
      <c r="BK148" s="26"/>
      <c r="BL148" s="26"/>
      <c r="BM148" s="26"/>
      <c r="BN148" s="26"/>
    </row>
    <row r="149" spans="2:66" ht="15" hidden="1" customHeight="1" x14ac:dyDescent="0.3">
      <c r="B149" s="228"/>
      <c r="C149" s="228"/>
      <c r="E149" s="228"/>
      <c r="F149" s="228"/>
      <c r="G149" s="228"/>
      <c r="H149" s="228"/>
      <c r="I149" s="228"/>
      <c r="J149" s="228"/>
      <c r="K149" s="1527"/>
      <c r="L149" s="228"/>
      <c r="M149" s="228"/>
      <c r="N149" s="228"/>
      <c r="O149" s="1527"/>
      <c r="P149" s="228"/>
      <c r="Q149" s="228"/>
      <c r="R149" s="228"/>
      <c r="S149" s="1527"/>
      <c r="T149" s="228"/>
      <c r="U149" s="228"/>
      <c r="V149" s="228"/>
      <c r="W149" s="228"/>
      <c r="X149" s="228"/>
      <c r="Y149" s="228"/>
      <c r="Z149" s="228"/>
      <c r="AA149" s="228"/>
      <c r="AB149" s="228"/>
      <c r="AW149" s="26">
        <f t="shared" si="537"/>
        <v>0</v>
      </c>
      <c r="AX149" s="26">
        <f t="shared" si="538"/>
        <v>0</v>
      </c>
      <c r="BG149" s="26"/>
      <c r="BH149" s="26"/>
      <c r="BI149" s="26"/>
      <c r="BJ149" s="26"/>
      <c r="BK149" s="26"/>
      <c r="BL149" s="26"/>
      <c r="BM149" s="26"/>
      <c r="BN149" s="26"/>
    </row>
    <row r="150" spans="2:66" ht="15" hidden="1" customHeight="1" x14ac:dyDescent="0.3">
      <c r="B150" s="228"/>
      <c r="C150" s="228"/>
      <c r="E150" s="228"/>
      <c r="F150" s="228"/>
      <c r="G150" s="228"/>
      <c r="H150" s="228"/>
      <c r="I150" s="228"/>
      <c r="J150" s="228"/>
      <c r="K150" s="1527"/>
      <c r="L150" s="228"/>
      <c r="M150" s="228"/>
      <c r="N150" s="228"/>
      <c r="O150" s="1527"/>
      <c r="P150" s="228"/>
      <c r="Q150" s="228"/>
      <c r="R150" s="228"/>
      <c r="S150" s="1527"/>
      <c r="T150" s="228"/>
      <c r="U150" s="228"/>
      <c r="V150" s="228"/>
      <c r="W150" s="228"/>
      <c r="X150" s="228"/>
      <c r="Y150" s="228"/>
      <c r="Z150" s="228"/>
      <c r="AA150" s="228"/>
      <c r="AB150" s="228"/>
      <c r="AW150" s="26">
        <f t="shared" si="537"/>
        <v>0</v>
      </c>
      <c r="AX150" s="26">
        <f t="shared" si="538"/>
        <v>0</v>
      </c>
      <c r="BG150" s="26"/>
      <c r="BH150" s="26"/>
      <c r="BI150" s="26"/>
      <c r="BJ150" s="26"/>
      <c r="BK150" s="26"/>
      <c r="BL150" s="26"/>
      <c r="BM150" s="26"/>
      <c r="BN150" s="26"/>
    </row>
    <row r="151" spans="2:66" ht="15" hidden="1" customHeight="1" x14ac:dyDescent="0.3">
      <c r="B151" s="228"/>
      <c r="C151" s="228"/>
      <c r="E151" s="228"/>
      <c r="F151" s="228"/>
      <c r="G151" s="228"/>
      <c r="H151" s="228"/>
      <c r="I151" s="228"/>
      <c r="J151" s="228"/>
      <c r="K151" s="1527"/>
      <c r="L151" s="228"/>
      <c r="M151" s="228"/>
      <c r="N151" s="228"/>
      <c r="O151" s="1527"/>
      <c r="P151" s="228"/>
      <c r="Q151" s="228"/>
      <c r="R151" s="228"/>
      <c r="S151" s="1527"/>
      <c r="T151" s="228"/>
      <c r="U151" s="228"/>
      <c r="V151" s="228"/>
      <c r="W151" s="228"/>
      <c r="X151" s="228"/>
      <c r="Y151" s="228"/>
      <c r="Z151" s="228"/>
      <c r="AA151" s="228"/>
      <c r="AB151" s="228"/>
      <c r="AW151" s="26">
        <f t="shared" si="537"/>
        <v>0</v>
      </c>
      <c r="AX151" s="26">
        <f t="shared" si="538"/>
        <v>0</v>
      </c>
      <c r="BG151" s="26"/>
      <c r="BH151" s="26"/>
      <c r="BI151" s="26"/>
      <c r="BJ151" s="26"/>
      <c r="BK151" s="26"/>
      <c r="BL151" s="26"/>
      <c r="BM151" s="26"/>
      <c r="BN151" s="26"/>
    </row>
    <row r="152" spans="2:66" ht="15" hidden="1" customHeight="1" x14ac:dyDescent="0.3">
      <c r="B152" s="228"/>
      <c r="C152" s="228"/>
      <c r="E152" s="228"/>
      <c r="F152" s="228"/>
      <c r="G152" s="228"/>
      <c r="H152" s="228"/>
      <c r="I152" s="228"/>
      <c r="J152" s="228"/>
      <c r="K152" s="1527"/>
      <c r="L152" s="228"/>
      <c r="M152" s="228"/>
      <c r="N152" s="228"/>
      <c r="O152" s="1527"/>
      <c r="P152" s="228"/>
      <c r="Q152" s="228"/>
      <c r="R152" s="228"/>
      <c r="S152" s="1527"/>
      <c r="T152" s="228"/>
      <c r="U152" s="228"/>
      <c r="V152" s="228"/>
      <c r="W152" s="228"/>
      <c r="X152" s="228"/>
      <c r="Y152" s="228"/>
      <c r="Z152" s="228"/>
      <c r="AA152" s="228"/>
      <c r="AB152" s="228"/>
      <c r="AW152" s="26">
        <f t="shared" si="537"/>
        <v>0</v>
      </c>
      <c r="AX152" s="26">
        <f t="shared" si="538"/>
        <v>0</v>
      </c>
      <c r="BG152" s="26"/>
      <c r="BH152" s="26"/>
      <c r="BI152" s="26"/>
      <c r="BJ152" s="26"/>
      <c r="BK152" s="26"/>
      <c r="BL152" s="26"/>
      <c r="BM152" s="26"/>
      <c r="BN152" s="26"/>
    </row>
    <row r="153" spans="2:66" ht="15" hidden="1" customHeight="1" x14ac:dyDescent="0.3">
      <c r="B153" s="228"/>
      <c r="C153" s="228"/>
      <c r="E153" s="228"/>
      <c r="F153" s="228"/>
      <c r="G153" s="228"/>
      <c r="H153" s="228"/>
      <c r="I153" s="228"/>
      <c r="J153" s="228"/>
      <c r="K153" s="1527"/>
      <c r="L153" s="228"/>
      <c r="M153" s="228"/>
      <c r="N153" s="228"/>
      <c r="O153" s="1527"/>
      <c r="P153" s="228"/>
      <c r="Q153" s="228"/>
      <c r="R153" s="228"/>
      <c r="S153" s="1527"/>
      <c r="T153" s="228"/>
      <c r="U153" s="228"/>
      <c r="V153" s="228"/>
      <c r="W153" s="228"/>
      <c r="X153" s="228"/>
      <c r="Y153" s="228"/>
      <c r="Z153" s="228"/>
      <c r="AA153" s="228"/>
      <c r="AB153" s="228"/>
      <c r="AW153" s="26">
        <f t="shared" si="537"/>
        <v>0</v>
      </c>
      <c r="AX153" s="26">
        <f t="shared" si="538"/>
        <v>0</v>
      </c>
      <c r="BG153" s="26"/>
      <c r="BH153" s="26"/>
      <c r="BI153" s="26"/>
      <c r="BJ153" s="26"/>
      <c r="BK153" s="26"/>
      <c r="BL153" s="26"/>
      <c r="BM153" s="26"/>
      <c r="BN153" s="26"/>
    </row>
    <row r="154" spans="2:66" ht="15" hidden="1" customHeight="1" x14ac:dyDescent="0.3">
      <c r="B154" s="228"/>
      <c r="C154" s="228"/>
      <c r="E154" s="228"/>
      <c r="F154" s="228"/>
      <c r="G154" s="228"/>
      <c r="H154" s="228"/>
      <c r="I154" s="228"/>
      <c r="J154" s="228"/>
      <c r="K154" s="1527"/>
      <c r="L154" s="228"/>
      <c r="M154" s="228"/>
      <c r="N154" s="228"/>
      <c r="O154" s="1527"/>
      <c r="P154" s="228"/>
      <c r="Q154" s="228"/>
      <c r="R154" s="228"/>
      <c r="S154" s="1527"/>
      <c r="T154" s="228"/>
      <c r="U154" s="228"/>
      <c r="V154" s="228"/>
      <c r="W154" s="228"/>
      <c r="X154" s="228"/>
      <c r="Y154" s="228"/>
      <c r="Z154" s="228"/>
      <c r="AA154" s="228"/>
      <c r="AB154" s="228"/>
      <c r="AW154" s="26">
        <f t="shared" si="537"/>
        <v>0</v>
      </c>
      <c r="AX154" s="26">
        <f t="shared" si="538"/>
        <v>0</v>
      </c>
      <c r="BG154" s="26"/>
      <c r="BH154" s="26"/>
      <c r="BI154" s="26"/>
      <c r="BJ154" s="26"/>
      <c r="BK154" s="26"/>
      <c r="BL154" s="26"/>
      <c r="BM154" s="26"/>
      <c r="BN154" s="26"/>
    </row>
    <row r="155" spans="2:66" ht="15" customHeight="1" x14ac:dyDescent="0.3">
      <c r="B155" s="228"/>
      <c r="C155" s="228"/>
      <c r="E155" s="228"/>
      <c r="F155" s="228"/>
      <c r="G155" s="228"/>
      <c r="H155" s="228"/>
      <c r="I155" s="228"/>
      <c r="J155" s="228"/>
      <c r="K155" s="1527"/>
      <c r="L155" s="228"/>
      <c r="M155" s="228"/>
      <c r="N155" s="228"/>
      <c r="O155" s="1527"/>
      <c r="P155" s="228"/>
      <c r="Q155" s="228"/>
      <c r="R155" s="228"/>
      <c r="S155" s="1527"/>
      <c r="T155" s="228"/>
      <c r="U155" s="228"/>
      <c r="V155" s="228"/>
      <c r="W155" s="228"/>
      <c r="X155" s="228"/>
      <c r="Y155" s="228"/>
      <c r="Z155" s="228"/>
      <c r="AA155" s="228"/>
      <c r="AB155" s="228"/>
    </row>
    <row r="156" spans="2:66" ht="15" customHeight="1" x14ac:dyDescent="0.3">
      <c r="B156" s="228"/>
      <c r="C156" s="228"/>
      <c r="E156" s="228"/>
      <c r="F156" s="183"/>
      <c r="G156" s="228"/>
      <c r="H156" s="183"/>
      <c r="I156" s="228"/>
      <c r="J156" s="228"/>
      <c r="K156" s="1527"/>
      <c r="L156" s="183"/>
      <c r="M156" s="228"/>
      <c r="N156" s="228"/>
      <c r="O156" s="1527"/>
      <c r="P156" s="183"/>
      <c r="Q156" s="228"/>
      <c r="R156" s="228"/>
      <c r="S156" s="228"/>
      <c r="T156" s="183"/>
      <c r="U156" s="228"/>
      <c r="V156" s="228"/>
      <c r="W156" s="228"/>
      <c r="X156" s="183"/>
      <c r="Y156" s="228"/>
      <c r="Z156" s="228"/>
      <c r="AA156" s="228"/>
      <c r="AB156" s="228"/>
      <c r="AD156" s="183"/>
      <c r="AH156" s="183"/>
    </row>
    <row r="157" spans="2:66" ht="15" hidden="1" customHeight="1" x14ac:dyDescent="0.3">
      <c r="B157" s="228"/>
      <c r="C157" s="228"/>
      <c r="E157" s="228"/>
      <c r="F157" s="183">
        <f t="shared" ref="F157:AX157" si="539">F9+F45</f>
        <v>19881</v>
      </c>
      <c r="G157" s="183">
        <f t="shared" si="539"/>
        <v>24344.12954164097</v>
      </c>
      <c r="H157" s="183">
        <f t="shared" si="539"/>
        <v>22832</v>
      </c>
      <c r="I157" s="183">
        <f t="shared" si="539"/>
        <v>47978.285866616068</v>
      </c>
      <c r="J157" s="183">
        <f t="shared" si="539"/>
        <v>42713</v>
      </c>
      <c r="K157" s="183">
        <f t="shared" si="539"/>
        <v>23634.156324975098</v>
      </c>
      <c r="L157" s="183">
        <f t="shared" si="539"/>
        <v>24061</v>
      </c>
      <c r="M157" s="183">
        <f t="shared" si="539"/>
        <v>71612.442191591166</v>
      </c>
      <c r="N157" s="183">
        <f t="shared" si="539"/>
        <v>66774</v>
      </c>
      <c r="O157" s="183">
        <f t="shared" si="539"/>
        <v>23900.396281224799</v>
      </c>
      <c r="P157" s="183">
        <f t="shared" si="539"/>
        <v>25805</v>
      </c>
      <c r="Q157" s="183">
        <f t="shared" si="539"/>
        <v>95512.838472815958</v>
      </c>
      <c r="R157" s="183">
        <f t="shared" si="539"/>
        <v>92579</v>
      </c>
      <c r="S157" s="183">
        <f t="shared" si="539"/>
        <v>23900.396281224799</v>
      </c>
      <c r="T157" s="183">
        <f t="shared" si="539"/>
        <v>24324</v>
      </c>
      <c r="U157" s="183">
        <f t="shared" si="539"/>
        <v>119413.23475404075</v>
      </c>
      <c r="V157" s="183">
        <f t="shared" si="539"/>
        <v>116903</v>
      </c>
      <c r="W157" s="183">
        <f t="shared" si="539"/>
        <v>13186.531291652831</v>
      </c>
      <c r="X157" s="183">
        <f t="shared" si="539"/>
        <v>24181</v>
      </c>
      <c r="Y157" s="183">
        <f t="shared" si="539"/>
        <v>60987.323854102426</v>
      </c>
      <c r="Z157" s="183">
        <f t="shared" si="539"/>
        <v>74310</v>
      </c>
      <c r="AA157" s="183">
        <f t="shared" si="539"/>
        <v>132599.7660456936</v>
      </c>
      <c r="AB157" s="183">
        <f t="shared" si="539"/>
        <v>141084</v>
      </c>
      <c r="AC157" s="183">
        <f t="shared" si="539"/>
        <v>24344.12954164097</v>
      </c>
      <c r="AD157" s="183">
        <f t="shared" si="539"/>
        <v>20310</v>
      </c>
      <c r="AE157" s="183">
        <f t="shared" si="539"/>
        <v>156943.89558733458</v>
      </c>
      <c r="AF157" s="183">
        <f t="shared" si="539"/>
        <v>161394</v>
      </c>
      <c r="AG157" s="183">
        <f t="shared" si="539"/>
        <v>23888.156324975098</v>
      </c>
      <c r="AH157" s="183">
        <f t="shared" si="539"/>
        <v>24270</v>
      </c>
      <c r="AI157" s="183">
        <f t="shared" si="539"/>
        <v>180832.05191230966</v>
      </c>
      <c r="AJ157" s="183">
        <f t="shared" si="539"/>
        <v>185664</v>
      </c>
      <c r="AK157" s="183">
        <f t="shared" si="539"/>
        <v>24598.12954164097</v>
      </c>
      <c r="AL157" s="183">
        <f t="shared" si="539"/>
        <v>22364</v>
      </c>
      <c r="AM157" s="183">
        <f t="shared" si="539"/>
        <v>72830.415408257046</v>
      </c>
      <c r="AN157" s="183">
        <f t="shared" si="539"/>
        <v>66944</v>
      </c>
      <c r="AO157" s="183">
        <f t="shared" si="539"/>
        <v>205430.18145395064</v>
      </c>
      <c r="AP157" s="183">
        <f t="shared" si="539"/>
        <v>208028</v>
      </c>
      <c r="AQ157" s="183">
        <f t="shared" si="539"/>
        <v>24699.11614997391</v>
      </c>
      <c r="AR157" s="183">
        <f t="shared" si="539"/>
        <v>22499</v>
      </c>
      <c r="AS157" s="183">
        <f t="shared" si="539"/>
        <v>230129.29760392453</v>
      </c>
      <c r="AT157" s="183">
        <f t="shared" si="539"/>
        <v>230527</v>
      </c>
      <c r="AU157" s="183">
        <f t="shared" si="539"/>
        <v>22214.209891643342</v>
      </c>
      <c r="AV157" s="183">
        <f t="shared" si="539"/>
        <v>18988</v>
      </c>
      <c r="AW157" s="183">
        <f t="shared" si="539"/>
        <v>252343.5074955679</v>
      </c>
      <c r="AX157" s="183">
        <f t="shared" si="539"/>
        <v>249515</v>
      </c>
    </row>
    <row r="158" spans="2:66" hidden="1" x14ac:dyDescent="0.3">
      <c r="B158" s="228"/>
      <c r="C158" s="228"/>
      <c r="E158" s="228"/>
      <c r="F158" s="228"/>
      <c r="G158" s="228"/>
      <c r="H158" s="228"/>
      <c r="I158" s="228"/>
      <c r="J158" s="228"/>
      <c r="K158" s="1527"/>
      <c r="L158" s="228"/>
      <c r="M158" s="228"/>
      <c r="N158" s="228"/>
      <c r="O158" s="1527"/>
      <c r="P158" s="228"/>
      <c r="Q158" s="228"/>
      <c r="R158" s="228"/>
      <c r="S158" s="228"/>
      <c r="T158" s="228"/>
      <c r="U158" s="228"/>
      <c r="V158" s="228"/>
      <c r="W158" s="228"/>
      <c r="X158" s="228"/>
      <c r="Y158" s="228"/>
      <c r="Z158" s="228"/>
      <c r="AA158" s="228"/>
      <c r="AB158" s="228"/>
    </row>
    <row r="159" spans="2:66" hidden="1" x14ac:dyDescent="0.3">
      <c r="B159" s="228"/>
      <c r="C159" s="228"/>
      <c r="E159" s="228"/>
      <c r="F159" s="228">
        <f t="shared" ref="F159:AX159" si="540">F157/F2</f>
        <v>662.7</v>
      </c>
      <c r="G159" s="228">
        <f t="shared" si="540"/>
        <v>785.29450134325714</v>
      </c>
      <c r="H159" s="228">
        <f t="shared" si="540"/>
        <v>736.51612903225805</v>
      </c>
      <c r="I159" s="228">
        <f t="shared" si="540"/>
        <v>786.52927650190281</v>
      </c>
      <c r="J159" s="228">
        <f t="shared" si="540"/>
        <v>700.21311475409834</v>
      </c>
      <c r="K159" s="228">
        <f t="shared" si="540"/>
        <v>787.80521083250323</v>
      </c>
      <c r="L159" s="228">
        <f t="shared" si="540"/>
        <v>802.0333333333333</v>
      </c>
      <c r="M159" s="228">
        <f t="shared" si="540"/>
        <v>786.9499141933095</v>
      </c>
      <c r="N159" s="228">
        <f t="shared" si="540"/>
        <v>733.7802197802198</v>
      </c>
      <c r="O159" s="228">
        <f t="shared" si="540"/>
        <v>770.9805252008</v>
      </c>
      <c r="P159" s="228">
        <f t="shared" si="540"/>
        <v>832.41935483870964</v>
      </c>
      <c r="Q159" s="228">
        <f t="shared" si="540"/>
        <v>782.89211862963896</v>
      </c>
      <c r="R159" s="228">
        <f t="shared" si="540"/>
        <v>758.84426229508199</v>
      </c>
      <c r="S159" s="228">
        <f t="shared" si="540"/>
        <v>770.9805252008</v>
      </c>
      <c r="T159" s="228">
        <f t="shared" si="540"/>
        <v>784.64516129032256</v>
      </c>
      <c r="U159" s="228">
        <f t="shared" si="540"/>
        <v>780.47865852314214</v>
      </c>
      <c r="V159" s="228">
        <f t="shared" si="540"/>
        <v>764.07189542483661</v>
      </c>
      <c r="W159" s="228">
        <f t="shared" si="540"/>
        <v>439.55104305509434</v>
      </c>
      <c r="X159" s="228">
        <f t="shared" si="540"/>
        <v>806.0333333333333</v>
      </c>
      <c r="Y159" s="228">
        <f t="shared" si="540"/>
        <v>662.90569406633074</v>
      </c>
      <c r="Z159" s="228">
        <f t="shared" si="540"/>
        <v>807.71739130434787</v>
      </c>
      <c r="AA159" s="228">
        <f t="shared" si="540"/>
        <v>724.58888549559344</v>
      </c>
      <c r="AB159" s="228">
        <f t="shared" si="540"/>
        <v>770.95081967213116</v>
      </c>
      <c r="AC159" s="228">
        <f t="shared" si="540"/>
        <v>785.29450134325714</v>
      </c>
      <c r="AD159" s="228">
        <f t="shared" si="540"/>
        <v>655.16129032258061</v>
      </c>
      <c r="AE159" s="228">
        <f t="shared" si="540"/>
        <v>733.382689660442</v>
      </c>
      <c r="AF159" s="228">
        <f t="shared" si="540"/>
        <v>754.17757009345792</v>
      </c>
      <c r="AG159" s="228">
        <f t="shared" si="540"/>
        <v>796.27187749916993</v>
      </c>
      <c r="AH159" s="228">
        <f t="shared" si="540"/>
        <v>809</v>
      </c>
      <c r="AI159" s="228">
        <f t="shared" si="540"/>
        <v>741.11496685372811</v>
      </c>
      <c r="AJ159" s="228">
        <f t="shared" si="540"/>
        <v>760.91803278688519</v>
      </c>
      <c r="AK159" s="228">
        <f t="shared" si="540"/>
        <v>793.48804973035385</v>
      </c>
      <c r="AL159" s="228">
        <f t="shared" si="540"/>
        <v>721.41935483870964</v>
      </c>
      <c r="AM159" s="228">
        <f t="shared" si="540"/>
        <v>791.63495008975053</v>
      </c>
      <c r="AN159" s="228">
        <f t="shared" si="540"/>
        <v>727.6521739130435</v>
      </c>
      <c r="AO159" s="228">
        <f t="shared" si="540"/>
        <v>747.01884165072966</v>
      </c>
      <c r="AP159" s="228">
        <f t="shared" si="540"/>
        <v>756.46545454545458</v>
      </c>
      <c r="AQ159" s="228">
        <f t="shared" si="540"/>
        <v>796.74568225722294</v>
      </c>
      <c r="AR159" s="228">
        <f t="shared" si="540"/>
        <v>725.77419354838707</v>
      </c>
      <c r="AS159" s="228">
        <f t="shared" si="540"/>
        <v>752.05652811740038</v>
      </c>
      <c r="AT159" s="228">
        <f t="shared" si="540"/>
        <v>753.35620915032678</v>
      </c>
      <c r="AU159" s="228">
        <f t="shared" si="540"/>
        <v>793.3646389872622</v>
      </c>
      <c r="AV159" s="228">
        <f t="shared" si="540"/>
        <v>678.14285714285711</v>
      </c>
      <c r="AW159" s="228">
        <f t="shared" si="540"/>
        <v>755.51948351966439</v>
      </c>
      <c r="AX159" s="228">
        <f t="shared" si="540"/>
        <v>747.05089820359285</v>
      </c>
    </row>
    <row r="160" spans="2:66" hidden="1" x14ac:dyDescent="0.3">
      <c r="B160" s="228"/>
      <c r="C160" s="228"/>
      <c r="E160" s="228"/>
      <c r="F160" s="228"/>
      <c r="G160" s="228"/>
      <c r="H160" s="228"/>
      <c r="I160" s="228"/>
      <c r="J160" s="228"/>
      <c r="K160" s="1527"/>
      <c r="L160" s="228"/>
      <c r="M160" s="228"/>
      <c r="N160" s="228"/>
      <c r="O160" s="1527"/>
      <c r="P160" s="228"/>
      <c r="Q160" s="228"/>
      <c r="R160" s="228"/>
      <c r="S160" s="228"/>
      <c r="T160" s="228"/>
      <c r="U160" s="228"/>
      <c r="V160" s="228"/>
      <c r="W160" s="228"/>
      <c r="X160" s="228"/>
      <c r="Y160" s="228"/>
      <c r="Z160" s="228"/>
      <c r="AA160" s="228"/>
      <c r="AB160" s="228"/>
    </row>
    <row r="161" spans="2:58" hidden="1" x14ac:dyDescent="0.3">
      <c r="B161" s="228"/>
      <c r="C161" s="228"/>
      <c r="E161" s="228"/>
      <c r="F161" s="183">
        <f>F9+F45</f>
        <v>19881</v>
      </c>
      <c r="G161" s="183">
        <f t="shared" ref="G161:BF161" si="541">G9+G45</f>
        <v>24344.12954164097</v>
      </c>
      <c r="H161" s="183">
        <f t="shared" si="541"/>
        <v>22832</v>
      </c>
      <c r="I161" s="183">
        <f t="shared" si="541"/>
        <v>47978.285866616068</v>
      </c>
      <c r="J161" s="183">
        <f t="shared" si="541"/>
        <v>42713</v>
      </c>
      <c r="K161" s="183">
        <f t="shared" si="541"/>
        <v>23634.156324975098</v>
      </c>
      <c r="L161" s="183">
        <f t="shared" si="541"/>
        <v>24061</v>
      </c>
      <c r="M161" s="183">
        <f t="shared" si="541"/>
        <v>71612.442191591166</v>
      </c>
      <c r="N161" s="183">
        <f t="shared" si="541"/>
        <v>66774</v>
      </c>
      <c r="O161" s="183">
        <f t="shared" si="541"/>
        <v>23900.396281224799</v>
      </c>
      <c r="P161" s="183">
        <f t="shared" si="541"/>
        <v>25805</v>
      </c>
      <c r="Q161" s="183">
        <f t="shared" si="541"/>
        <v>95512.838472815958</v>
      </c>
      <c r="R161" s="183">
        <f t="shared" si="541"/>
        <v>92579</v>
      </c>
      <c r="S161" s="183">
        <f t="shared" si="541"/>
        <v>23900.396281224799</v>
      </c>
      <c r="T161" s="183">
        <f t="shared" si="541"/>
        <v>24324</v>
      </c>
      <c r="U161" s="183">
        <f t="shared" si="541"/>
        <v>119413.23475404075</v>
      </c>
      <c r="V161" s="183">
        <f t="shared" si="541"/>
        <v>116903</v>
      </c>
      <c r="W161" s="183">
        <f t="shared" si="541"/>
        <v>13186.531291652831</v>
      </c>
      <c r="X161" s="183">
        <f t="shared" si="541"/>
        <v>24181</v>
      </c>
      <c r="Y161" s="183">
        <f t="shared" si="541"/>
        <v>60987.323854102426</v>
      </c>
      <c r="Z161" s="183">
        <f t="shared" si="541"/>
        <v>74310</v>
      </c>
      <c r="AA161" s="183">
        <f t="shared" si="541"/>
        <v>132599.7660456936</v>
      </c>
      <c r="AB161" s="183">
        <f t="shared" si="541"/>
        <v>141084</v>
      </c>
      <c r="AC161" s="183">
        <f t="shared" si="541"/>
        <v>24344.12954164097</v>
      </c>
      <c r="AD161" s="183">
        <f t="shared" si="541"/>
        <v>20310</v>
      </c>
      <c r="AE161" s="183">
        <f t="shared" si="541"/>
        <v>156943.89558733458</v>
      </c>
      <c r="AF161" s="183">
        <f t="shared" si="541"/>
        <v>161394</v>
      </c>
      <c r="AG161" s="183">
        <f t="shared" si="541"/>
        <v>23888.156324975098</v>
      </c>
      <c r="AH161" s="183">
        <f t="shared" si="541"/>
        <v>24270</v>
      </c>
      <c r="AI161" s="183">
        <f t="shared" si="541"/>
        <v>180832.05191230966</v>
      </c>
      <c r="AJ161" s="183">
        <f t="shared" si="541"/>
        <v>185664</v>
      </c>
      <c r="AK161" s="183">
        <f t="shared" si="541"/>
        <v>24598.12954164097</v>
      </c>
      <c r="AL161" s="183">
        <f t="shared" si="541"/>
        <v>22364</v>
      </c>
      <c r="AM161" s="183">
        <f t="shared" si="541"/>
        <v>72830.415408257046</v>
      </c>
      <c r="AN161" s="183">
        <f t="shared" si="541"/>
        <v>66944</v>
      </c>
      <c r="AO161" s="183">
        <f t="shared" si="541"/>
        <v>205430.18145395064</v>
      </c>
      <c r="AP161" s="183">
        <f t="shared" si="541"/>
        <v>208028</v>
      </c>
      <c r="AQ161" s="183">
        <f t="shared" si="541"/>
        <v>24699.11614997391</v>
      </c>
      <c r="AR161" s="183">
        <f t="shared" si="541"/>
        <v>22499</v>
      </c>
      <c r="AS161" s="183">
        <f t="shared" si="541"/>
        <v>230129.29760392453</v>
      </c>
      <c r="AT161" s="183">
        <f t="shared" si="541"/>
        <v>230527</v>
      </c>
      <c r="AU161" s="183">
        <f t="shared" si="541"/>
        <v>22214.209891643342</v>
      </c>
      <c r="AV161" s="183">
        <f t="shared" si="541"/>
        <v>18988</v>
      </c>
      <c r="AW161" s="183">
        <f t="shared" si="541"/>
        <v>252343.5074955679</v>
      </c>
      <c r="AX161" s="183">
        <f t="shared" si="541"/>
        <v>249515</v>
      </c>
      <c r="AY161" s="183">
        <f t="shared" si="541"/>
        <v>24699.11614997391</v>
      </c>
      <c r="AZ161" s="183">
        <f t="shared" si="541"/>
        <v>23069</v>
      </c>
      <c r="BA161" s="183">
        <f t="shared" si="541"/>
        <v>71612.442191591166</v>
      </c>
      <c r="BB161" s="183">
        <f t="shared" si="541"/>
        <v>64556</v>
      </c>
      <c r="BC161" s="183">
        <f t="shared" si="541"/>
        <v>144442.85759984821</v>
      </c>
      <c r="BD161" s="183">
        <f t="shared" si="541"/>
        <v>131500</v>
      </c>
      <c r="BE161" s="183">
        <f t="shared" si="541"/>
        <v>277042.62364554178</v>
      </c>
      <c r="BF161" s="183">
        <f t="shared" si="541"/>
        <v>272584</v>
      </c>
    </row>
    <row r="162" spans="2:58" hidden="1" x14ac:dyDescent="0.3"/>
    <row r="163" spans="2:58" hidden="1" x14ac:dyDescent="0.3"/>
    <row r="164" spans="2:58" hidden="1" x14ac:dyDescent="0.3"/>
    <row r="165" spans="2:58" hidden="1" x14ac:dyDescent="0.3">
      <c r="AN165">
        <v>750</v>
      </c>
    </row>
  </sheetData>
  <mergeCells count="31">
    <mergeCell ref="AY3:AZ3"/>
    <mergeCell ref="BE3:BF3"/>
    <mergeCell ref="BA3:BB3"/>
    <mergeCell ref="BC3:BD3"/>
    <mergeCell ref="B68:B69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</mergeCells>
  <printOptions horizontalCentered="1" verticalCentered="1"/>
  <pageMargins left="0" right="0" top="0" bottom="0" header="0" footer="0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B0F0"/>
    <pageSetUpPr fitToPage="1"/>
  </sheetPr>
  <dimension ref="A1:BS159"/>
  <sheetViews>
    <sheetView topLeftCell="A74" zoomScaleNormal="100" workbookViewId="0">
      <pane xSplit="3" topLeftCell="D1" activePane="topRight" state="frozen"/>
      <selection pane="topRight" activeCell="B53" sqref="B53"/>
    </sheetView>
  </sheetViews>
  <sheetFormatPr defaultRowHeight="14.4" x14ac:dyDescent="0.3"/>
  <cols>
    <col min="1" max="1" width="3.33203125" customWidth="1"/>
    <col min="2" max="2" width="66" bestFit="1" customWidth="1"/>
    <col min="3" max="3" width="12.44140625" bestFit="1" customWidth="1"/>
    <col min="4" max="4" width="13.6640625" customWidth="1"/>
    <col min="5" max="5" width="10" customWidth="1"/>
    <col min="6" max="6" width="9.88671875" customWidth="1"/>
    <col min="7" max="7" width="10.109375" customWidth="1"/>
    <col min="8" max="8" width="9.88671875" style="92" customWidth="1"/>
    <col min="9" max="9" width="10.6640625" customWidth="1"/>
    <col min="10" max="10" width="14" customWidth="1"/>
    <col min="11" max="11" width="10.109375" customWidth="1"/>
    <col min="12" max="12" width="9.88671875" customWidth="1"/>
    <col min="13" max="14" width="11.5546875" customWidth="1"/>
    <col min="15" max="15" width="10.109375" customWidth="1"/>
    <col min="16" max="16" width="10.33203125" customWidth="1"/>
    <col min="17" max="17" width="11.6640625" customWidth="1"/>
    <col min="18" max="18" width="12.44140625" customWidth="1"/>
    <col min="19" max="19" width="10.109375" customWidth="1"/>
    <col min="20" max="20" width="12" style="92" customWidth="1"/>
    <col min="21" max="21" width="11.109375" customWidth="1"/>
    <col min="22" max="22" width="12.44140625" customWidth="1"/>
    <col min="23" max="23" width="10.109375" customWidth="1"/>
    <col min="24" max="24" width="12" customWidth="1"/>
    <col min="25" max="25" width="11.88671875" customWidth="1"/>
    <col min="26" max="26" width="9.88671875" customWidth="1"/>
    <col min="27" max="27" width="10.109375" customWidth="1"/>
    <col min="28" max="28" width="11.33203125" customWidth="1"/>
    <col min="29" max="29" width="10.109375" customWidth="1"/>
    <col min="30" max="30" width="15.33203125" customWidth="1"/>
    <col min="31" max="31" width="10.109375" customWidth="1"/>
    <col min="32" max="32" width="11.33203125" customWidth="1"/>
    <col min="33" max="33" width="9.6640625" customWidth="1"/>
    <col min="34" max="34" width="9.6640625" style="92" customWidth="1"/>
    <col min="35" max="35" width="9" customWidth="1"/>
    <col min="36" max="36" width="11.33203125" customWidth="1"/>
    <col min="37" max="37" width="8.88671875" customWidth="1"/>
    <col min="38" max="38" width="9.88671875" customWidth="1"/>
    <col min="39" max="39" width="9" customWidth="1"/>
    <col min="40" max="40" width="9.88671875" customWidth="1"/>
    <col min="41" max="41" width="10.109375" customWidth="1"/>
    <col min="42" max="42" width="11.33203125" customWidth="1"/>
    <col min="43" max="43" width="9" customWidth="1"/>
    <col min="44" max="44" width="9.88671875" customWidth="1"/>
    <col min="45" max="45" width="10" customWidth="1"/>
    <col min="46" max="46" width="11.33203125" customWidth="1"/>
    <col min="47" max="47" width="8.88671875" customWidth="1"/>
    <col min="48" max="48" width="9.88671875" customWidth="1"/>
    <col min="49" max="49" width="10" customWidth="1"/>
    <col min="50" max="50" width="11.33203125" customWidth="1"/>
    <col min="51" max="51" width="8.88671875" customWidth="1"/>
    <col min="52" max="52" width="9.88671875" customWidth="1"/>
    <col min="53" max="53" width="10" customWidth="1"/>
    <col min="54" max="54" width="10.109375" customWidth="1"/>
    <col min="55" max="55" width="10" customWidth="1"/>
    <col min="56" max="56" width="11.44140625" customWidth="1"/>
    <col min="57" max="57" width="10" customWidth="1"/>
    <col min="58" max="58" width="11.33203125" customWidth="1"/>
    <col min="59" max="59" width="13.6640625" customWidth="1"/>
    <col min="60" max="62" width="9.109375" customWidth="1"/>
    <col min="63" max="66" width="8.88671875" customWidth="1"/>
  </cols>
  <sheetData>
    <row r="1" spans="1:66" ht="22.8" x14ac:dyDescent="0.4">
      <c r="A1" s="144"/>
      <c r="B1" s="384" t="s">
        <v>234</v>
      </c>
      <c r="C1" s="199"/>
      <c r="D1" s="199"/>
      <c r="E1" s="199"/>
      <c r="F1" s="199"/>
      <c r="G1" s="199"/>
      <c r="H1" s="199"/>
      <c r="I1" s="199"/>
      <c r="J1" s="199"/>
      <c r="K1" s="574"/>
      <c r="L1" s="342"/>
      <c r="M1" s="342"/>
      <c r="N1" s="342"/>
      <c r="O1" s="1686"/>
      <c r="P1" s="574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</row>
    <row r="2" spans="1:66" ht="16.2" thickBot="1" x14ac:dyDescent="0.35">
      <c r="A2" s="92"/>
      <c r="B2" s="44"/>
      <c r="C2" s="199"/>
      <c r="D2" s="4107">
        <v>365</v>
      </c>
      <c r="E2" s="4107">
        <v>30</v>
      </c>
      <c r="F2" s="4107">
        <v>30</v>
      </c>
      <c r="G2" s="4107">
        <v>31</v>
      </c>
      <c r="H2" s="4107">
        <v>31</v>
      </c>
      <c r="I2" s="4107">
        <f>+E2+G2</f>
        <v>61</v>
      </c>
      <c r="J2" s="4107">
        <f>+F2+H2</f>
        <v>61</v>
      </c>
      <c r="K2" s="4177">
        <v>30</v>
      </c>
      <c r="L2" s="4107">
        <v>30</v>
      </c>
      <c r="M2" s="4107">
        <f>+I2+K2</f>
        <v>91</v>
      </c>
      <c r="N2" s="4107">
        <f>+J2+L2</f>
        <v>91</v>
      </c>
      <c r="O2" s="4177">
        <v>31</v>
      </c>
      <c r="P2" s="4177">
        <v>31</v>
      </c>
      <c r="Q2" s="4107">
        <f>+M2+O2</f>
        <v>122</v>
      </c>
      <c r="R2" s="4107">
        <f>+N2+P2</f>
        <v>122</v>
      </c>
      <c r="S2" s="4107">
        <v>31</v>
      </c>
      <c r="T2" s="4107">
        <v>31</v>
      </c>
      <c r="U2" s="4107">
        <f>+Q2+S2</f>
        <v>153</v>
      </c>
      <c r="V2" s="4107">
        <f>+R2+T2</f>
        <v>153</v>
      </c>
      <c r="W2" s="4107">
        <v>30</v>
      </c>
      <c r="X2" s="4177">
        <v>30</v>
      </c>
      <c r="Y2" s="4107">
        <f>+O2+S2+W2</f>
        <v>92</v>
      </c>
      <c r="Z2" s="4107">
        <f>+P2+T2+X2</f>
        <v>92</v>
      </c>
      <c r="AA2" s="4107">
        <f>+U2+W2</f>
        <v>183</v>
      </c>
      <c r="AB2" s="4107">
        <f>+V2+X2</f>
        <v>183</v>
      </c>
      <c r="AC2" s="4107">
        <v>31</v>
      </c>
      <c r="AD2" s="4107">
        <v>31</v>
      </c>
      <c r="AE2" s="4107">
        <f>+AA2+AC2</f>
        <v>214</v>
      </c>
      <c r="AF2" s="4107">
        <f>+AB2+AD2</f>
        <v>214</v>
      </c>
      <c r="AG2" s="4107">
        <v>30</v>
      </c>
      <c r="AH2" s="4107">
        <v>30</v>
      </c>
      <c r="AI2" s="4107">
        <f>+AE2+AG2</f>
        <v>244</v>
      </c>
      <c r="AJ2" s="4107">
        <f>+AF2+AH2</f>
        <v>244</v>
      </c>
      <c r="AK2" s="95">
        <v>31</v>
      </c>
      <c r="AL2" s="95">
        <v>31</v>
      </c>
      <c r="AM2" s="95">
        <f>+AC2+AG2+AK2</f>
        <v>92</v>
      </c>
      <c r="AN2" s="95">
        <f>+AD2+AH2+AL2</f>
        <v>92</v>
      </c>
      <c r="AO2" s="95">
        <f>+AK2+AI2</f>
        <v>275</v>
      </c>
      <c r="AP2" s="95">
        <f>+AL2+AJ2</f>
        <v>275</v>
      </c>
      <c r="AQ2" s="95">
        <v>31</v>
      </c>
      <c r="AR2" s="95">
        <v>31</v>
      </c>
      <c r="AS2" s="95">
        <f>+AO2+AQ2</f>
        <v>306</v>
      </c>
      <c r="AT2" s="95">
        <f>+AP2+AR2</f>
        <v>306</v>
      </c>
      <c r="AU2" s="95">
        <v>28</v>
      </c>
      <c r="AV2" s="95">
        <v>28</v>
      </c>
      <c r="AW2" s="95">
        <f>+AS2+AU2</f>
        <v>334</v>
      </c>
      <c r="AX2" s="95">
        <f>+AT2+AV2</f>
        <v>334</v>
      </c>
      <c r="AY2" s="95">
        <v>31</v>
      </c>
      <c r="AZ2" s="95">
        <v>31</v>
      </c>
      <c r="BA2" s="95">
        <f>+AQ2+AU2+AY2</f>
        <v>90</v>
      </c>
      <c r="BB2" s="95">
        <f>+AR2+AV2+AZ2</f>
        <v>90</v>
      </c>
      <c r="BC2" s="95">
        <f>+AM2+BA2</f>
        <v>182</v>
      </c>
      <c r="BD2" s="95">
        <f>+AN2+BB2</f>
        <v>182</v>
      </c>
      <c r="BE2" s="95">
        <f>+AW2+AY2</f>
        <v>365</v>
      </c>
      <c r="BF2" s="95">
        <f>+AX2+AZ2</f>
        <v>365</v>
      </c>
    </row>
    <row r="3" spans="1:66" ht="16.2" hidden="1" thickBot="1" x14ac:dyDescent="0.35">
      <c r="A3" s="92"/>
      <c r="B3" s="44" t="s">
        <v>2011</v>
      </c>
      <c r="C3" s="199"/>
      <c r="D3" s="4106"/>
      <c r="E3" s="4106"/>
      <c r="F3" s="5579">
        <f>80/24</f>
        <v>3.3333333333333335</v>
      </c>
      <c r="G3" s="4106"/>
      <c r="H3" s="4106">
        <f>29/24</f>
        <v>1.2083333333333333</v>
      </c>
      <c r="I3" s="4106"/>
      <c r="J3" s="4107">
        <f>+F3+H3</f>
        <v>4.541666666666667</v>
      </c>
      <c r="K3" s="4176"/>
      <c r="L3" s="4106">
        <f>9.33/24</f>
        <v>0.38874999999999998</v>
      </c>
      <c r="M3" s="4106"/>
      <c r="N3" s="4106">
        <f>+F3+H3+L3</f>
        <v>4.9304166666666669</v>
      </c>
      <c r="O3" s="4176"/>
      <c r="P3" s="4178">
        <v>0</v>
      </c>
      <c r="Q3" s="4106"/>
      <c r="R3" s="4107">
        <f>+N3+P3</f>
        <v>4.9304166666666669</v>
      </c>
      <c r="S3" s="4106"/>
      <c r="T3" s="4106">
        <f>23.4166666666667/24</f>
        <v>0.97569444444444586</v>
      </c>
      <c r="U3" s="4106"/>
      <c r="V3" s="4107">
        <f>+R3+T3</f>
        <v>5.9061111111111124</v>
      </c>
      <c r="W3" s="4106"/>
      <c r="X3" s="4176">
        <f>7.83/24</f>
        <v>0.32624999999999998</v>
      </c>
      <c r="Y3" s="4106"/>
      <c r="Z3" s="4106">
        <f>+P3+T3+X3</f>
        <v>1.3019444444444459</v>
      </c>
      <c r="AA3" s="4106"/>
      <c r="AB3" s="4106">
        <f>+N3+Z3</f>
        <v>6.2323611111111124</v>
      </c>
      <c r="AC3" s="4106"/>
      <c r="AD3" s="4106">
        <v>4.0694444444444446</v>
      </c>
      <c r="AE3" s="4106"/>
      <c r="AF3" s="4107">
        <f>+AB3+AD3</f>
        <v>10.301805555555557</v>
      </c>
      <c r="AG3" s="4106"/>
      <c r="AH3" s="4106">
        <f>21.42/24</f>
        <v>0.89250000000000007</v>
      </c>
      <c r="AI3" s="4106"/>
      <c r="AJ3" s="4107">
        <f>+AF3+AH3</f>
        <v>11.194305555555557</v>
      </c>
      <c r="AK3" s="95"/>
      <c r="AL3" s="2542">
        <f>7.25/24</f>
        <v>0.30208333333333331</v>
      </c>
      <c r="AM3" s="95"/>
      <c r="AN3" s="2542">
        <f>+AD3+AH3+AL3</f>
        <v>5.2640277777777778</v>
      </c>
      <c r="AO3" s="95"/>
      <c r="AP3" s="95">
        <f>+AL3+AJ3</f>
        <v>11.496388888888891</v>
      </c>
      <c r="AQ3" s="95"/>
      <c r="AR3" s="95">
        <v>0.58680555555555414</v>
      </c>
      <c r="AS3" s="95"/>
      <c r="AT3" s="95">
        <f>AP3+AR3</f>
        <v>12.083194444444445</v>
      </c>
      <c r="AU3" s="95"/>
      <c r="AV3" s="394">
        <v>0.42375000000000002</v>
      </c>
      <c r="AW3" s="95"/>
      <c r="AX3" s="2463">
        <f>AV3+F3+H3+L3+P3+T3+X3+AD3+AH3+AL3+AR3</f>
        <v>12.506944444444445</v>
      </c>
      <c r="AY3" s="95"/>
      <c r="AZ3" s="95">
        <v>1.0277777777777779</v>
      </c>
      <c r="BA3" s="95"/>
      <c r="BB3" s="2463">
        <f t="shared" ref="BB3" si="0">+AZ3+AV3+AR3</f>
        <v>2.0383333333333322</v>
      </c>
      <c r="BC3" s="95"/>
      <c r="BD3" s="95">
        <f>+AN3+BB3</f>
        <v>7.30236111111111</v>
      </c>
      <c r="BE3" s="95"/>
      <c r="BF3" s="2463">
        <f t="shared" ref="BF3" si="1">+AX3+AZ3</f>
        <v>13.534722222222223</v>
      </c>
    </row>
    <row r="4" spans="1:66" ht="15" thickBot="1" x14ac:dyDescent="0.35">
      <c r="A4" s="92"/>
      <c r="B4" s="6251" t="s">
        <v>171</v>
      </c>
      <c r="C4" s="5918" t="s">
        <v>172</v>
      </c>
      <c r="D4" s="5918" t="s">
        <v>1963</v>
      </c>
      <c r="E4" s="5918" t="s">
        <v>1962</v>
      </c>
      <c r="F4" s="5918"/>
      <c r="G4" s="5918" t="s">
        <v>2013</v>
      </c>
      <c r="H4" s="5918"/>
      <c r="I4" s="5879" t="s">
        <v>14</v>
      </c>
      <c r="J4" s="5895"/>
      <c r="K4" s="5917" t="s">
        <v>2043</v>
      </c>
      <c r="L4" s="5918"/>
      <c r="M4" s="5886" t="s">
        <v>637</v>
      </c>
      <c r="N4" s="5886"/>
      <c r="O4" s="5918" t="s">
        <v>2065</v>
      </c>
      <c r="P4" s="5918"/>
      <c r="Q4" s="5879" t="s">
        <v>17</v>
      </c>
      <c r="R4" s="5879"/>
      <c r="S4" s="5918" t="s">
        <v>2068</v>
      </c>
      <c r="T4" s="5918"/>
      <c r="U4" s="5879" t="s">
        <v>18</v>
      </c>
      <c r="V4" s="5895"/>
      <c r="W4" s="5866" t="s">
        <v>2110</v>
      </c>
      <c r="X4" s="5866"/>
      <c r="Y4" s="5869" t="s">
        <v>139</v>
      </c>
      <c r="Z4" s="5870"/>
      <c r="AA4" s="5871" t="s">
        <v>657</v>
      </c>
      <c r="AB4" s="5872"/>
      <c r="AC4" s="5918" t="s">
        <v>2135</v>
      </c>
      <c r="AD4" s="5918"/>
      <c r="AE4" s="5879" t="s">
        <v>24</v>
      </c>
      <c r="AF4" s="5895"/>
      <c r="AG4" s="5918" t="s">
        <v>2238</v>
      </c>
      <c r="AH4" s="5918"/>
      <c r="AI4" s="5879" t="s">
        <v>27</v>
      </c>
      <c r="AJ4" s="5895"/>
      <c r="AK4" s="5918" t="s">
        <v>2262</v>
      </c>
      <c r="AL4" s="5918"/>
      <c r="AM4" s="5869" t="s">
        <v>1615</v>
      </c>
      <c r="AN4" s="5870"/>
      <c r="AO4" s="5879" t="s">
        <v>1613</v>
      </c>
      <c r="AP4" s="5895"/>
      <c r="AQ4" s="5918" t="s">
        <v>2274</v>
      </c>
      <c r="AR4" s="5918"/>
      <c r="AS4" s="5879" t="s">
        <v>28</v>
      </c>
      <c r="AT4" s="5895"/>
      <c r="AU4" s="5918" t="s">
        <v>2311</v>
      </c>
      <c r="AV4" s="5918"/>
      <c r="AW4" s="5879" t="s">
        <v>30</v>
      </c>
      <c r="AX4" s="5895"/>
      <c r="AY4" s="5918" t="s">
        <v>2329</v>
      </c>
      <c r="AZ4" s="5918"/>
      <c r="BA4" s="5869" t="s">
        <v>1649</v>
      </c>
      <c r="BB4" s="5870"/>
      <c r="BC4" s="5871" t="s">
        <v>670</v>
      </c>
      <c r="BD4" s="5872"/>
      <c r="BE4" s="5894" t="s">
        <v>2041</v>
      </c>
      <c r="BF4" s="5895"/>
    </row>
    <row r="5" spans="1:66" ht="15" thickBot="1" x14ac:dyDescent="0.35">
      <c r="A5" s="92"/>
      <c r="B5" s="6252"/>
      <c r="C5" s="6253"/>
      <c r="D5" s="6253"/>
      <c r="E5" s="3108" t="s">
        <v>173</v>
      </c>
      <c r="F5" s="3108" t="s">
        <v>174</v>
      </c>
      <c r="G5" s="3108" t="s">
        <v>173</v>
      </c>
      <c r="H5" s="3108" t="s">
        <v>174</v>
      </c>
      <c r="I5" s="3109" t="s">
        <v>173</v>
      </c>
      <c r="J5" s="905" t="s">
        <v>174</v>
      </c>
      <c r="K5" s="1529" t="s">
        <v>173</v>
      </c>
      <c r="L5" s="701" t="s">
        <v>174</v>
      </c>
      <c r="M5" s="703" t="s">
        <v>173</v>
      </c>
      <c r="N5" s="703" t="s">
        <v>174</v>
      </c>
      <c r="O5" s="805" t="s">
        <v>173</v>
      </c>
      <c r="P5" s="805" t="s">
        <v>174</v>
      </c>
      <c r="Q5" s="702" t="s">
        <v>173</v>
      </c>
      <c r="R5" s="702" t="s">
        <v>174</v>
      </c>
      <c r="S5" s="805" t="s">
        <v>173</v>
      </c>
      <c r="T5" s="805" t="s">
        <v>174</v>
      </c>
      <c r="U5" s="702" t="s">
        <v>173</v>
      </c>
      <c r="V5" s="905" t="s">
        <v>174</v>
      </c>
      <c r="W5" s="227" t="s">
        <v>173</v>
      </c>
      <c r="X5" s="395" t="s">
        <v>174</v>
      </c>
      <c r="Y5" s="698" t="s">
        <v>173</v>
      </c>
      <c r="Z5" s="167" t="s">
        <v>174</v>
      </c>
      <c r="AA5" s="700" t="s">
        <v>173</v>
      </c>
      <c r="AB5" s="462" t="s">
        <v>174</v>
      </c>
      <c r="AC5" s="805" t="s">
        <v>173</v>
      </c>
      <c r="AD5" s="701" t="s">
        <v>174</v>
      </c>
      <c r="AE5" s="702" t="s">
        <v>173</v>
      </c>
      <c r="AF5" s="905" t="s">
        <v>174</v>
      </c>
      <c r="AG5" s="805" t="s">
        <v>173</v>
      </c>
      <c r="AH5" s="701" t="s">
        <v>174</v>
      </c>
      <c r="AI5" s="702" t="s">
        <v>173</v>
      </c>
      <c r="AJ5" s="905" t="s">
        <v>174</v>
      </c>
      <c r="AK5" s="805" t="s">
        <v>173</v>
      </c>
      <c r="AL5" s="701" t="s">
        <v>174</v>
      </c>
      <c r="AM5" s="698" t="s">
        <v>173</v>
      </c>
      <c r="AN5" s="167" t="s">
        <v>174</v>
      </c>
      <c r="AO5" s="702" t="s">
        <v>173</v>
      </c>
      <c r="AP5" s="905" t="s">
        <v>174</v>
      </c>
      <c r="AQ5" s="805" t="s">
        <v>173</v>
      </c>
      <c r="AR5" s="701" t="s">
        <v>174</v>
      </c>
      <c r="AS5" s="702" t="s">
        <v>173</v>
      </c>
      <c r="AT5" s="905" t="s">
        <v>174</v>
      </c>
      <c r="AU5" s="805" t="s">
        <v>173</v>
      </c>
      <c r="AV5" s="701" t="s">
        <v>174</v>
      </c>
      <c r="AW5" s="702" t="s">
        <v>173</v>
      </c>
      <c r="AX5" s="905" t="s">
        <v>174</v>
      </c>
      <c r="AY5" s="805" t="s">
        <v>173</v>
      </c>
      <c r="AZ5" s="701" t="s">
        <v>174</v>
      </c>
      <c r="BA5" s="698" t="s">
        <v>173</v>
      </c>
      <c r="BB5" s="167" t="s">
        <v>174</v>
      </c>
      <c r="BC5" s="700" t="s">
        <v>173</v>
      </c>
      <c r="BD5" s="462" t="s">
        <v>174</v>
      </c>
      <c r="BE5" s="5588" t="s">
        <v>173</v>
      </c>
      <c r="BF5" s="4479" t="s">
        <v>174</v>
      </c>
    </row>
    <row r="6" spans="1:66" ht="17.399999999999999" x14ac:dyDescent="0.3">
      <c r="A6" s="92"/>
      <c r="B6" s="3020" t="s">
        <v>87</v>
      </c>
      <c r="C6" s="2874" t="s">
        <v>50</v>
      </c>
      <c r="D6" s="2886">
        <v>2950000</v>
      </c>
      <c r="E6" s="2886">
        <f>+'Maj Production Summ'!E17</f>
        <v>252000</v>
      </c>
      <c r="F6" s="2547">
        <f>+'Maj Production Summ'!F17</f>
        <v>226125.59999999995</v>
      </c>
      <c r="G6" s="2886">
        <f>+'Maj Production Summ'!G17</f>
        <v>260000</v>
      </c>
      <c r="H6" s="2547">
        <f>+'Maj Production Summ'!H17</f>
        <v>255730.90000000002</v>
      </c>
      <c r="I6" s="3110">
        <f>+E6+G6</f>
        <v>512000</v>
      </c>
      <c r="J6" s="179">
        <f>+F6+H6</f>
        <v>481856.5</v>
      </c>
      <c r="K6" s="2886">
        <f>+'Maj Production Summ'!K17</f>
        <v>252000</v>
      </c>
      <c r="L6" s="2547">
        <f>+'Maj Production Summ'!L17</f>
        <v>261489.89999999997</v>
      </c>
      <c r="M6" s="373">
        <f>+K6+G6+E6</f>
        <v>764000</v>
      </c>
      <c r="N6" s="373">
        <f>+L6+H6+F6</f>
        <v>743346.39999999991</v>
      </c>
      <c r="O6" s="2886">
        <f>+'Maj Production Summ'!O17</f>
        <v>255000</v>
      </c>
      <c r="P6" s="2547">
        <f>+'Maj Production Summ'!P17</f>
        <v>268142.30000000005</v>
      </c>
      <c r="Q6" s="2020">
        <f>+M6+O6</f>
        <v>1019000</v>
      </c>
      <c r="R6" s="251">
        <f>+N6+P6</f>
        <v>1011488.7</v>
      </c>
      <c r="S6" s="2886">
        <f>+'Maj Production Summ'!S17</f>
        <v>255000</v>
      </c>
      <c r="T6" s="2547">
        <f>+'Maj Production Summ'!T17</f>
        <v>253263.6</v>
      </c>
      <c r="U6" s="2020">
        <f>+Q6+S6</f>
        <v>1274000</v>
      </c>
      <c r="V6" s="251">
        <f>+R6+T6</f>
        <v>1264752.3</v>
      </c>
      <c r="W6" s="2886">
        <f>+'Maj Production Summ'!W17</f>
        <v>140000</v>
      </c>
      <c r="X6" s="2547">
        <f>+'Maj Production Summ'!X17</f>
        <v>243297.40000000002</v>
      </c>
      <c r="Y6" s="778">
        <f>+W6+S6+O6</f>
        <v>650000</v>
      </c>
      <c r="Z6" s="90">
        <f>+X6+T6+P6</f>
        <v>764703.3</v>
      </c>
      <c r="AA6" s="2248">
        <f>M6+Y6</f>
        <v>1414000</v>
      </c>
      <c r="AB6" s="463">
        <f>+N6+Z6</f>
        <v>1508049.7</v>
      </c>
      <c r="AC6" s="2886">
        <f>+'Maj Production Summ'!AC17</f>
        <v>260000</v>
      </c>
      <c r="AD6" s="2547">
        <f>+'Maj Production Summ'!AD17</f>
        <v>202962.09999999998</v>
      </c>
      <c r="AE6" s="2020">
        <f>+AA6+AC6</f>
        <v>1674000</v>
      </c>
      <c r="AF6" s="251">
        <f>+AB6+AD6</f>
        <v>1711011.7999999998</v>
      </c>
      <c r="AG6" s="2886">
        <f>+'Maj Production Summ'!AG17</f>
        <v>252000</v>
      </c>
      <c r="AH6" s="2547">
        <f>+'Maj Production Summ'!AH17</f>
        <v>244148.19999999998</v>
      </c>
      <c r="AI6" s="2020">
        <f>+AE6+AG6</f>
        <v>1926000</v>
      </c>
      <c r="AJ6" s="251">
        <f>+AF6+AH6</f>
        <v>1955159.9999999998</v>
      </c>
      <c r="AK6" s="2886">
        <f>+'Maj Production Summ'!AK17</f>
        <v>260000</v>
      </c>
      <c r="AL6" s="2547">
        <f>+'Maj Production Summ'!AL17</f>
        <v>251560.99999999997</v>
      </c>
      <c r="AM6" s="778">
        <f>+AK6+AG6+AC6</f>
        <v>772000</v>
      </c>
      <c r="AN6" s="90">
        <f>+AL6+AH6+AD6</f>
        <v>698671.29999999993</v>
      </c>
      <c r="AO6" s="251">
        <f>+AK6+AI6</f>
        <v>2186000</v>
      </c>
      <c r="AP6" s="251">
        <f>+AL6+AJ6</f>
        <v>2206720.9999999995</v>
      </c>
      <c r="AQ6" s="2886">
        <f>+'Maj Production Summ'!AQ17</f>
        <v>264000</v>
      </c>
      <c r="AR6" s="2547">
        <f>+'Maj Production Summ'!AR17</f>
        <v>244851.4</v>
      </c>
      <c r="AS6" s="2020">
        <f>+AO6+AQ6</f>
        <v>2450000</v>
      </c>
      <c r="AT6" s="251">
        <f>+AP6+AR6</f>
        <v>2451572.3999999994</v>
      </c>
      <c r="AU6" s="2886">
        <f>+'Maj Production Summ'!AU17</f>
        <v>236000</v>
      </c>
      <c r="AV6" s="2547">
        <f>+'Maj Production Summ'!AV17</f>
        <v>196575.3</v>
      </c>
      <c r="AW6" s="2020">
        <f>+AS6+AU6</f>
        <v>2686000</v>
      </c>
      <c r="AX6" s="251">
        <f>+AT6+AV6</f>
        <v>2648147.6999999993</v>
      </c>
      <c r="AY6" s="2886">
        <f>+'Maj Production Summ'!AY17</f>
        <v>264000</v>
      </c>
      <c r="AZ6" s="2547">
        <f>+'Maj Production Summ'!AZ17</f>
        <v>251871.70000000004</v>
      </c>
      <c r="BA6" s="778">
        <f>+AY6+AU6+AQ6</f>
        <v>764000</v>
      </c>
      <c r="BB6" s="191">
        <f>+AZ6+AV6+AR6</f>
        <v>693298.4</v>
      </c>
      <c r="BC6" s="2248">
        <f>AM6+BA6</f>
        <v>1536000</v>
      </c>
      <c r="BD6" s="463">
        <f>+AN6+BB6</f>
        <v>1391969.7</v>
      </c>
      <c r="BE6" s="5587">
        <f>+AW6+AY6</f>
        <v>2950000</v>
      </c>
      <c r="BF6" s="3232">
        <f>+AX6+AZ6</f>
        <v>2900019.3999999994</v>
      </c>
      <c r="BG6" s="1520">
        <f>AY6+AU6+AQ6+AK6+AG6+AC6+W6+S6+O6+K6+G6+E6-BE6</f>
        <v>0</v>
      </c>
      <c r="BH6" s="1520">
        <f t="shared" ref="BH6" si="2">AZ6+AV6+AR6+AL6+AH6+AD6+X6+T6+P6+L6+H6+F6-BF6</f>
        <v>0</v>
      </c>
      <c r="BI6" s="1520"/>
      <c r="BJ6" s="26"/>
      <c r="BK6" s="26"/>
      <c r="BL6" s="26"/>
      <c r="BM6" s="26"/>
      <c r="BN6" s="26"/>
    </row>
    <row r="7" spans="1:66" x14ac:dyDescent="0.3">
      <c r="A7" s="145"/>
      <c r="B7" s="1727" t="s">
        <v>235</v>
      </c>
      <c r="C7" s="3111"/>
      <c r="D7" s="3111"/>
      <c r="E7" s="3111"/>
      <c r="F7" s="3111"/>
      <c r="G7" s="3111"/>
      <c r="H7" s="3111"/>
      <c r="I7" s="3111"/>
      <c r="J7" s="1318"/>
      <c r="K7" s="3111"/>
      <c r="L7" s="3111"/>
      <c r="M7" s="805"/>
      <c r="N7" s="805"/>
      <c r="O7" s="3111"/>
      <c r="P7" s="3111"/>
      <c r="Q7" s="805"/>
      <c r="R7" s="805"/>
      <c r="S7" s="3111"/>
      <c r="T7" s="3111"/>
      <c r="U7" s="805"/>
      <c r="V7" s="805"/>
      <c r="W7" s="3111"/>
      <c r="X7" s="3111"/>
      <c r="Y7" s="639"/>
      <c r="Z7" s="639"/>
      <c r="AA7" s="639"/>
      <c r="AB7" s="647"/>
      <c r="AC7" s="3111"/>
      <c r="AD7" s="3111"/>
      <c r="AE7" s="805"/>
      <c r="AF7" s="805"/>
      <c r="AG7" s="3111"/>
      <c r="AH7" s="3111"/>
      <c r="AI7" s="805"/>
      <c r="AJ7" s="805"/>
      <c r="AK7" s="3111"/>
      <c r="AL7" s="3111"/>
      <c r="AM7" s="639"/>
      <c r="AN7" s="639"/>
      <c r="AO7" s="805"/>
      <c r="AP7" s="805"/>
      <c r="AQ7" s="3111"/>
      <c r="AR7" s="3111"/>
      <c r="AS7" s="805"/>
      <c r="AT7" s="805"/>
      <c r="AU7" s="3111"/>
      <c r="AV7" s="3111"/>
      <c r="AW7" s="805"/>
      <c r="AX7" s="805"/>
      <c r="AY7" s="3111"/>
      <c r="AZ7" s="3111"/>
      <c r="BA7" s="639"/>
      <c r="BB7" s="639"/>
      <c r="BC7" s="639"/>
      <c r="BD7" s="647"/>
      <c r="BE7" s="805"/>
      <c r="BF7" s="805"/>
      <c r="BG7" s="1520">
        <f t="shared" ref="BG7:BG70" si="3">AY7+AU7+AQ7+AK7+AG7+AC7+W7+S7+O7+K7+G7+E7-BE7</f>
        <v>0</v>
      </c>
      <c r="BH7" s="1520">
        <f t="shared" ref="BH7:BH70" si="4">AZ7+AV7+AR7+AL7+AH7+AD7+X7+T7+P7+L7+H7+F7-BF7</f>
        <v>0</v>
      </c>
      <c r="BI7" s="26"/>
      <c r="BJ7" s="26"/>
      <c r="BK7" s="26"/>
      <c r="BL7" s="26"/>
      <c r="BM7" s="26"/>
      <c r="BN7" s="26"/>
    </row>
    <row r="8" spans="1:66" x14ac:dyDescent="0.3">
      <c r="A8" s="144"/>
      <c r="B8" s="2053" t="s">
        <v>439</v>
      </c>
      <c r="C8" s="2546" t="s">
        <v>50</v>
      </c>
      <c r="D8" s="2537">
        <v>2933450</v>
      </c>
      <c r="E8" s="2537">
        <v>251100</v>
      </c>
      <c r="F8" s="2599">
        <v>221192.69999999992</v>
      </c>
      <c r="G8" s="2537">
        <v>259100</v>
      </c>
      <c r="H8" s="2599">
        <v>252875.2</v>
      </c>
      <c r="I8" s="2538">
        <f>+E8+G8</f>
        <v>510200</v>
      </c>
      <c r="J8" s="38">
        <f t="shared" ref="J8:J31" si="5">+F8+H8</f>
        <v>474067.89999999991</v>
      </c>
      <c r="K8" s="2537">
        <v>251100</v>
      </c>
      <c r="L8" s="2599">
        <v>260408.09999999998</v>
      </c>
      <c r="M8" s="774">
        <f t="shared" ref="M8:N8" si="6">+K8+G8+E8</f>
        <v>761300</v>
      </c>
      <c r="N8" s="774">
        <f t="shared" si="6"/>
        <v>734475.99999999988</v>
      </c>
      <c r="O8" s="2537">
        <v>254100</v>
      </c>
      <c r="P8" s="2599">
        <v>268142.30000000005</v>
      </c>
      <c r="Q8" s="775">
        <f t="shared" ref="Q8:R11" si="7">+M8+O8</f>
        <v>1015400</v>
      </c>
      <c r="R8" s="775">
        <f t="shared" si="7"/>
        <v>1002618.2999999999</v>
      </c>
      <c r="S8" s="2537">
        <v>254100</v>
      </c>
      <c r="T8" s="2599">
        <v>253091</v>
      </c>
      <c r="U8" s="775">
        <f t="shared" ref="U8:U11" si="8">+Q8+S8</f>
        <v>1269500</v>
      </c>
      <c r="V8" s="775">
        <f t="shared" ref="V8:V11" si="9">+R8+T8</f>
        <v>1255709.2999999998</v>
      </c>
      <c r="W8" s="2537">
        <v>133350</v>
      </c>
      <c r="X8" s="2599">
        <v>242990.00000000003</v>
      </c>
      <c r="Y8" s="67">
        <f t="shared" ref="Y8:Z8" si="10">+W8+S8+O8</f>
        <v>641550</v>
      </c>
      <c r="Z8" s="68">
        <f t="shared" si="10"/>
        <v>764223.3</v>
      </c>
      <c r="AA8" s="464">
        <f>M8+Y8</f>
        <v>1402850</v>
      </c>
      <c r="AB8" s="472">
        <f>+N8+Z8</f>
        <v>1498699.2999999998</v>
      </c>
      <c r="AC8" s="2537">
        <v>259100</v>
      </c>
      <c r="AD8" s="2599">
        <v>191885.69999999995</v>
      </c>
      <c r="AE8" s="775">
        <f t="shared" ref="AE8:AE11" si="11">+AA8+AC8</f>
        <v>1661950</v>
      </c>
      <c r="AF8" s="775">
        <f t="shared" ref="AF8:AF11" si="12">+AB8+AD8</f>
        <v>1690584.9999999998</v>
      </c>
      <c r="AG8" s="2537">
        <v>251100</v>
      </c>
      <c r="AH8" s="2599">
        <v>243986.3</v>
      </c>
      <c r="AI8" s="775">
        <f t="shared" ref="AI8:AI11" si="13">+AE8+AG8</f>
        <v>1913050</v>
      </c>
      <c r="AJ8" s="775">
        <f t="shared" ref="AJ8:AJ11" si="14">+AF8+AH8</f>
        <v>1934571.2999999998</v>
      </c>
      <c r="AK8" s="2537">
        <v>259100</v>
      </c>
      <c r="AL8" s="2599">
        <v>251518.19999999998</v>
      </c>
      <c r="AM8" s="67">
        <f t="shared" ref="AM8:AM11" si="15">+AK8+AG8+AC8</f>
        <v>769300</v>
      </c>
      <c r="AN8" s="68">
        <f t="shared" ref="AN8:AN11" si="16">+AL8+AH8+AD8</f>
        <v>687390.2</v>
      </c>
      <c r="AO8" s="775">
        <f>+AK8+AI8</f>
        <v>2172150</v>
      </c>
      <c r="AP8" s="775">
        <f>+AL8+AJ8</f>
        <v>2186089.5</v>
      </c>
      <c r="AQ8" s="2537">
        <v>263100</v>
      </c>
      <c r="AR8" s="2599">
        <v>243469</v>
      </c>
      <c r="AS8" s="775">
        <f t="shared" ref="AS8:AS10" si="17">+AO8+AQ8</f>
        <v>2435250</v>
      </c>
      <c r="AT8" s="775">
        <f t="shared" ref="AT8:AT10" si="18">+AP8+AR8</f>
        <v>2429558.5</v>
      </c>
      <c r="AU8" s="2537">
        <v>235100</v>
      </c>
      <c r="AV8" s="2599">
        <v>196575.3</v>
      </c>
      <c r="AW8" s="775">
        <f t="shared" ref="AW8:AW11" si="19">+AS8+AU8</f>
        <v>2670350</v>
      </c>
      <c r="AX8" s="775">
        <f t="shared" ref="AX8:AX11" si="20">+AT8+AV8</f>
        <v>2626133.7999999998</v>
      </c>
      <c r="AY8" s="2537">
        <v>263100</v>
      </c>
      <c r="AZ8" s="2599">
        <v>251775.50000000003</v>
      </c>
      <c r="BA8" s="67">
        <f t="shared" ref="BA8:BA11" si="21">+AY8+AU8+AQ8</f>
        <v>761300</v>
      </c>
      <c r="BB8" s="68">
        <f t="shared" ref="BB8:BB11" si="22">+AZ8+AV8+AR8</f>
        <v>691819.8</v>
      </c>
      <c r="BC8" s="464">
        <f>AM8+BA8</f>
        <v>1530600</v>
      </c>
      <c r="BD8" s="472">
        <f>+AN8+BB8</f>
        <v>1379210</v>
      </c>
      <c r="BE8" s="775">
        <f t="shared" ref="BE8:BE11" si="23">+AW8+AY8</f>
        <v>2933450</v>
      </c>
      <c r="BF8" s="775">
        <f t="shared" ref="BF8:BF11" si="24">+AX8+AZ8</f>
        <v>2877909.3</v>
      </c>
      <c r="BG8" s="1520">
        <f t="shared" si="3"/>
        <v>0</v>
      </c>
      <c r="BH8" s="1520">
        <f t="shared" si="4"/>
        <v>0</v>
      </c>
      <c r="BI8" s="26"/>
      <c r="BJ8" s="26"/>
      <c r="BK8" s="26"/>
      <c r="BL8" s="26"/>
      <c r="BM8" s="26"/>
      <c r="BN8" s="26"/>
    </row>
    <row r="9" spans="1:66" x14ac:dyDescent="0.3">
      <c r="A9" s="144"/>
      <c r="B9" s="2053" t="s">
        <v>440</v>
      </c>
      <c r="C9" s="2546" t="s">
        <v>50</v>
      </c>
      <c r="D9" s="2537">
        <v>14050</v>
      </c>
      <c r="E9" s="2537">
        <v>900</v>
      </c>
      <c r="F9" s="2599">
        <v>4689.7</v>
      </c>
      <c r="G9" s="2537">
        <v>900</v>
      </c>
      <c r="H9" s="2599">
        <v>2855.7000000000003</v>
      </c>
      <c r="I9" s="2538">
        <f>+E9+G9</f>
        <v>1800</v>
      </c>
      <c r="J9" s="38">
        <f t="shared" si="5"/>
        <v>7545.4</v>
      </c>
      <c r="K9" s="2537">
        <v>900</v>
      </c>
      <c r="L9" s="2599">
        <v>1081.8</v>
      </c>
      <c r="M9" s="774">
        <f t="shared" ref="M9" si="25">+K9+G9+E9</f>
        <v>2700</v>
      </c>
      <c r="N9" s="774">
        <f t="shared" ref="N9" si="26">+L9+H9+F9</f>
        <v>8627.2000000000007</v>
      </c>
      <c r="O9" s="2537">
        <v>900</v>
      </c>
      <c r="P9" s="2599">
        <v>0</v>
      </c>
      <c r="Q9" s="775">
        <f t="shared" si="7"/>
        <v>3600</v>
      </c>
      <c r="R9" s="775">
        <f t="shared" si="7"/>
        <v>8627.2000000000007</v>
      </c>
      <c r="S9" s="2537">
        <v>900</v>
      </c>
      <c r="T9" s="2599">
        <v>172.60000000000002</v>
      </c>
      <c r="U9" s="775">
        <f t="shared" si="8"/>
        <v>4500</v>
      </c>
      <c r="V9" s="775">
        <f t="shared" si="9"/>
        <v>8799.8000000000011</v>
      </c>
      <c r="W9" s="2537">
        <v>4150</v>
      </c>
      <c r="X9" s="2599">
        <v>307.39999999999998</v>
      </c>
      <c r="Y9" s="67">
        <f t="shared" ref="Y9:Y10" si="27">+W9+S9+O9</f>
        <v>5950</v>
      </c>
      <c r="Z9" s="68">
        <f t="shared" ref="Z9:Z10" si="28">+X9+T9+P9</f>
        <v>480</v>
      </c>
      <c r="AA9" s="464">
        <f t="shared" ref="AA9:AA10" si="29">M9+Y9</f>
        <v>8650</v>
      </c>
      <c r="AB9" s="472">
        <f t="shared" ref="AB9:AB10" si="30">+N9+Z9</f>
        <v>9107.2000000000007</v>
      </c>
      <c r="AC9" s="2537">
        <v>900</v>
      </c>
      <c r="AD9" s="2599">
        <v>3611.2000000000003</v>
      </c>
      <c r="AE9" s="775">
        <f t="shared" si="11"/>
        <v>9550</v>
      </c>
      <c r="AF9" s="775">
        <f t="shared" si="12"/>
        <v>12718.400000000001</v>
      </c>
      <c r="AG9" s="2537">
        <v>900</v>
      </c>
      <c r="AH9" s="2599">
        <v>161.9</v>
      </c>
      <c r="AI9" s="775">
        <f t="shared" si="13"/>
        <v>10450</v>
      </c>
      <c r="AJ9" s="775">
        <f t="shared" si="14"/>
        <v>12880.300000000001</v>
      </c>
      <c r="AK9" s="2537">
        <v>900</v>
      </c>
      <c r="AL9" s="2599">
        <v>42.8</v>
      </c>
      <c r="AM9" s="67">
        <f t="shared" si="15"/>
        <v>2700</v>
      </c>
      <c r="AN9" s="68">
        <f t="shared" si="16"/>
        <v>3815.9</v>
      </c>
      <c r="AO9" s="775">
        <f t="shared" ref="AO9:AP13" si="31">+AK9+AI9</f>
        <v>11350</v>
      </c>
      <c r="AP9" s="775">
        <f t="shared" ref="AP9:AP11" si="32">+AL9+AJ9</f>
        <v>12923.1</v>
      </c>
      <c r="AQ9" s="2537">
        <v>900</v>
      </c>
      <c r="AR9" s="2599">
        <v>794.2</v>
      </c>
      <c r="AS9" s="775">
        <f t="shared" si="17"/>
        <v>12250</v>
      </c>
      <c r="AT9" s="775">
        <f t="shared" si="18"/>
        <v>13717.300000000001</v>
      </c>
      <c r="AU9" s="2537">
        <v>900</v>
      </c>
      <c r="AV9" s="2599">
        <v>0</v>
      </c>
      <c r="AW9" s="775">
        <f t="shared" si="19"/>
        <v>13150</v>
      </c>
      <c r="AX9" s="775">
        <f t="shared" si="20"/>
        <v>13717.300000000001</v>
      </c>
      <c r="AY9" s="2537">
        <v>900</v>
      </c>
      <c r="AZ9" s="2599">
        <v>96.2</v>
      </c>
      <c r="BA9" s="67">
        <f t="shared" si="21"/>
        <v>2700</v>
      </c>
      <c r="BB9" s="68">
        <f t="shared" si="22"/>
        <v>890.40000000000009</v>
      </c>
      <c r="BC9" s="464">
        <f t="shared" ref="BC9:BC11" si="33">AM9+BA9</f>
        <v>5400</v>
      </c>
      <c r="BD9" s="472">
        <f t="shared" ref="BD9:BD11" si="34">+AN9+BB9</f>
        <v>4706.3</v>
      </c>
      <c r="BE9" s="775">
        <f t="shared" si="23"/>
        <v>14050</v>
      </c>
      <c r="BF9" s="775">
        <f t="shared" si="24"/>
        <v>13813.500000000002</v>
      </c>
      <c r="BG9" s="1520">
        <f t="shared" si="3"/>
        <v>0</v>
      </c>
      <c r="BH9" s="1520">
        <f t="shared" si="4"/>
        <v>0</v>
      </c>
      <c r="BI9" s="26"/>
      <c r="BJ9" s="26"/>
      <c r="BK9" s="26"/>
      <c r="BL9" s="26"/>
      <c r="BM9" s="26"/>
      <c r="BN9" s="26"/>
    </row>
    <row r="10" spans="1:66" x14ac:dyDescent="0.3">
      <c r="A10" s="144"/>
      <c r="B10" s="2231" t="s">
        <v>441</v>
      </c>
      <c r="C10" s="2839" t="s">
        <v>50</v>
      </c>
      <c r="D10" s="2801">
        <v>2500</v>
      </c>
      <c r="E10" s="2801">
        <v>0</v>
      </c>
      <c r="F10" s="2840">
        <v>243.20000000000002</v>
      </c>
      <c r="G10" s="2801">
        <v>0</v>
      </c>
      <c r="H10" s="2840">
        <v>0</v>
      </c>
      <c r="I10" s="2802">
        <f>+E10+G10</f>
        <v>0</v>
      </c>
      <c r="J10" s="162">
        <f t="shared" si="5"/>
        <v>243.20000000000002</v>
      </c>
      <c r="K10" s="2801">
        <v>0</v>
      </c>
      <c r="L10" s="2840">
        <v>0</v>
      </c>
      <c r="M10" s="1187">
        <f t="shared" ref="M10" si="35">+K10+G10+E10</f>
        <v>0</v>
      </c>
      <c r="N10" s="1187">
        <f t="shared" ref="N10" si="36">+L10+H10+F10</f>
        <v>243.20000000000002</v>
      </c>
      <c r="O10" s="2801">
        <v>0</v>
      </c>
      <c r="P10" s="2840">
        <v>0</v>
      </c>
      <c r="Q10" s="2538">
        <f t="shared" si="7"/>
        <v>0</v>
      </c>
      <c r="R10" s="271">
        <f t="shared" si="7"/>
        <v>243.20000000000002</v>
      </c>
      <c r="S10" s="2801">
        <v>0</v>
      </c>
      <c r="T10" s="2840">
        <v>0</v>
      </c>
      <c r="U10" s="2538">
        <f t="shared" si="8"/>
        <v>0</v>
      </c>
      <c r="V10" s="271">
        <f t="shared" si="9"/>
        <v>243.20000000000002</v>
      </c>
      <c r="W10" s="2801">
        <v>2500</v>
      </c>
      <c r="X10" s="2840">
        <v>0</v>
      </c>
      <c r="Y10" s="2192">
        <f t="shared" si="27"/>
        <v>2500</v>
      </c>
      <c r="Z10" s="170">
        <f t="shared" si="28"/>
        <v>0</v>
      </c>
      <c r="AA10" s="2232">
        <f t="shared" si="29"/>
        <v>2500</v>
      </c>
      <c r="AB10" s="2233">
        <f t="shared" si="30"/>
        <v>243.20000000000002</v>
      </c>
      <c r="AC10" s="2801">
        <v>0</v>
      </c>
      <c r="AD10" s="2840">
        <v>3773.2</v>
      </c>
      <c r="AE10" s="271">
        <f t="shared" si="11"/>
        <v>2500</v>
      </c>
      <c r="AF10" s="271">
        <f t="shared" si="12"/>
        <v>4016.3999999999996</v>
      </c>
      <c r="AG10" s="2801">
        <v>0</v>
      </c>
      <c r="AH10" s="2840">
        <v>0</v>
      </c>
      <c r="AI10" s="271">
        <f t="shared" si="13"/>
        <v>2500</v>
      </c>
      <c r="AJ10" s="271">
        <f t="shared" si="14"/>
        <v>4016.3999999999996</v>
      </c>
      <c r="AK10" s="2801">
        <v>0</v>
      </c>
      <c r="AL10" s="2840"/>
      <c r="AM10" s="2192">
        <f t="shared" si="15"/>
        <v>0</v>
      </c>
      <c r="AN10" s="170">
        <f t="shared" si="16"/>
        <v>3773.2</v>
      </c>
      <c r="AO10" s="775">
        <f t="shared" si="31"/>
        <v>2500</v>
      </c>
      <c r="AP10" s="775">
        <f t="shared" si="32"/>
        <v>4016.3999999999996</v>
      </c>
      <c r="AQ10" s="2801">
        <v>0</v>
      </c>
      <c r="AR10" s="2840">
        <v>588.20000000000005</v>
      </c>
      <c r="AS10" s="271">
        <f t="shared" si="17"/>
        <v>2500</v>
      </c>
      <c r="AT10" s="271">
        <f t="shared" si="18"/>
        <v>4604.5999999999995</v>
      </c>
      <c r="AU10" s="2801">
        <v>0</v>
      </c>
      <c r="AV10" s="2840">
        <v>0</v>
      </c>
      <c r="AW10" s="271">
        <f t="shared" si="19"/>
        <v>2500</v>
      </c>
      <c r="AX10" s="271">
        <f t="shared" si="20"/>
        <v>4604.5999999999995</v>
      </c>
      <c r="AY10" s="2801">
        <v>0</v>
      </c>
      <c r="AZ10" s="2840">
        <v>0</v>
      </c>
      <c r="BA10" s="2192">
        <f t="shared" si="21"/>
        <v>0</v>
      </c>
      <c r="BB10" s="170">
        <f t="shared" si="22"/>
        <v>588.20000000000005</v>
      </c>
      <c r="BC10" s="464">
        <f t="shared" si="33"/>
        <v>0</v>
      </c>
      <c r="BD10" s="472">
        <f t="shared" si="34"/>
        <v>4361.3999999999996</v>
      </c>
      <c r="BE10" s="271">
        <f t="shared" si="23"/>
        <v>2500</v>
      </c>
      <c r="BF10" s="271">
        <f t="shared" si="24"/>
        <v>4604.5999999999995</v>
      </c>
      <c r="BG10" s="1520">
        <f t="shared" si="3"/>
        <v>0</v>
      </c>
      <c r="BH10" s="1520">
        <f t="shared" si="4"/>
        <v>0</v>
      </c>
      <c r="BI10" s="26"/>
      <c r="BJ10" s="26"/>
      <c r="BK10" s="26"/>
      <c r="BL10" s="26"/>
      <c r="BM10" s="26"/>
      <c r="BN10" s="26"/>
    </row>
    <row r="11" spans="1:66" ht="15" thickBot="1" x14ac:dyDescent="0.35">
      <c r="A11" s="144"/>
      <c r="B11" s="2053" t="s">
        <v>1787</v>
      </c>
      <c r="C11" s="2546"/>
      <c r="D11" s="2537"/>
      <c r="E11" s="2537">
        <v>0</v>
      </c>
      <c r="F11" s="2599">
        <v>0</v>
      </c>
      <c r="G11" s="2537">
        <v>0</v>
      </c>
      <c r="H11" s="2599">
        <v>0</v>
      </c>
      <c r="I11" s="2538">
        <f>+E11+G11</f>
        <v>0</v>
      </c>
      <c r="J11" s="162">
        <f t="shared" si="5"/>
        <v>0</v>
      </c>
      <c r="K11" s="2537">
        <v>0</v>
      </c>
      <c r="L11" s="2599">
        <v>0</v>
      </c>
      <c r="M11" s="774">
        <f t="shared" ref="M11" si="37">+K11+G11+E11</f>
        <v>0</v>
      </c>
      <c r="N11" s="774">
        <f t="shared" ref="N11" si="38">+L11+H11+F11</f>
        <v>0</v>
      </c>
      <c r="O11" s="2537">
        <v>0</v>
      </c>
      <c r="P11" s="2599">
        <v>0</v>
      </c>
      <c r="Q11" s="2538">
        <f t="shared" si="7"/>
        <v>0</v>
      </c>
      <c r="R11" s="3440">
        <f t="shared" si="7"/>
        <v>0</v>
      </c>
      <c r="S11" s="2537">
        <v>0</v>
      </c>
      <c r="T11" s="2599">
        <v>0</v>
      </c>
      <c r="U11" s="2538">
        <f t="shared" si="8"/>
        <v>0</v>
      </c>
      <c r="V11" s="3440">
        <f t="shared" si="9"/>
        <v>0</v>
      </c>
      <c r="W11" s="2537">
        <v>0</v>
      </c>
      <c r="X11" s="2599">
        <v>0</v>
      </c>
      <c r="Y11" s="2192">
        <f t="shared" ref="Y11" si="39">+W11+S11+O11</f>
        <v>0</v>
      </c>
      <c r="Z11" s="170">
        <f t="shared" ref="Z11" si="40">+X11+T11+P11</f>
        <v>0</v>
      </c>
      <c r="AA11" s="2232">
        <f t="shared" ref="AA11" si="41">M11+Y11</f>
        <v>0</v>
      </c>
      <c r="AB11" s="2233">
        <f t="shared" ref="AB11" si="42">+N11+Z11</f>
        <v>0</v>
      </c>
      <c r="AC11" s="2537">
        <v>0</v>
      </c>
      <c r="AD11" s="2599">
        <v>3692</v>
      </c>
      <c r="AE11" s="3440">
        <f t="shared" si="11"/>
        <v>0</v>
      </c>
      <c r="AF11" s="3440">
        <f t="shared" si="12"/>
        <v>3692</v>
      </c>
      <c r="AG11" s="2537">
        <v>0</v>
      </c>
      <c r="AH11" s="2599">
        <v>0</v>
      </c>
      <c r="AI11" s="3440">
        <f t="shared" si="13"/>
        <v>0</v>
      </c>
      <c r="AJ11" s="3440">
        <f t="shared" si="14"/>
        <v>3692</v>
      </c>
      <c r="AK11" s="2537">
        <v>0</v>
      </c>
      <c r="AL11" s="2599"/>
      <c r="AM11" s="2236">
        <f t="shared" si="15"/>
        <v>0</v>
      </c>
      <c r="AN11" s="170">
        <f t="shared" si="16"/>
        <v>3692</v>
      </c>
      <c r="AO11" s="3440">
        <f t="shared" si="31"/>
        <v>0</v>
      </c>
      <c r="AP11" s="775">
        <f t="shared" si="32"/>
        <v>3692</v>
      </c>
      <c r="AQ11" s="2537">
        <v>0</v>
      </c>
      <c r="AR11" s="2599">
        <v>0</v>
      </c>
      <c r="AS11" s="271">
        <f t="shared" ref="AS11" si="43">+AO11+AQ11</f>
        <v>0</v>
      </c>
      <c r="AT11" s="271">
        <f t="shared" ref="AT11" si="44">+AP11+AR11</f>
        <v>3692</v>
      </c>
      <c r="AU11" s="2537">
        <v>0</v>
      </c>
      <c r="AV11" s="2599">
        <v>0</v>
      </c>
      <c r="AW11" s="271">
        <f t="shared" si="19"/>
        <v>0</v>
      </c>
      <c r="AX11" s="271">
        <f t="shared" si="20"/>
        <v>3692</v>
      </c>
      <c r="AY11" s="2537">
        <v>0</v>
      </c>
      <c r="AZ11" s="2599">
        <v>0</v>
      </c>
      <c r="BA11" s="2236">
        <f t="shared" si="21"/>
        <v>0</v>
      </c>
      <c r="BB11" s="170">
        <f t="shared" si="22"/>
        <v>0</v>
      </c>
      <c r="BC11" s="2237">
        <f t="shared" si="33"/>
        <v>0</v>
      </c>
      <c r="BD11" s="472">
        <f t="shared" si="34"/>
        <v>3692</v>
      </c>
      <c r="BE11" s="3440">
        <f t="shared" si="23"/>
        <v>0</v>
      </c>
      <c r="BF11" s="271">
        <f t="shared" si="24"/>
        <v>3692</v>
      </c>
      <c r="BG11" s="1520">
        <f t="shared" si="3"/>
        <v>0</v>
      </c>
      <c r="BH11" s="1520">
        <f t="shared" si="4"/>
        <v>0</v>
      </c>
      <c r="BI11" s="26"/>
      <c r="BJ11" s="26"/>
      <c r="BK11" s="26"/>
      <c r="BL11" s="26"/>
      <c r="BM11" s="26"/>
      <c r="BN11" s="26"/>
    </row>
    <row r="12" spans="1:66" ht="15" thickBot="1" x14ac:dyDescent="0.35">
      <c r="A12" s="145"/>
      <c r="B12" s="2245" t="s">
        <v>236</v>
      </c>
      <c r="C12" s="2246"/>
      <c r="D12" s="2246"/>
      <c r="E12" s="2246"/>
      <c r="F12" s="2246"/>
      <c r="G12" s="2246"/>
      <c r="H12" s="2246"/>
      <c r="I12" s="2246"/>
      <c r="J12" s="3112"/>
      <c r="K12" s="2246"/>
      <c r="L12" s="2246"/>
      <c r="M12" s="2246"/>
      <c r="N12" s="2246"/>
      <c r="O12" s="2246"/>
      <c r="P12" s="2246"/>
      <c r="Q12" s="3836"/>
      <c r="R12" s="2246"/>
      <c r="S12" s="2246"/>
      <c r="T12" s="2246"/>
      <c r="U12" s="3836"/>
      <c r="V12" s="2246"/>
      <c r="W12" s="2246"/>
      <c r="X12" s="2246"/>
      <c r="Y12" s="2246"/>
      <c r="Z12" s="2246"/>
      <c r="AA12" s="2246"/>
      <c r="AB12" s="2247"/>
      <c r="AC12" s="2246"/>
      <c r="AD12" s="2246"/>
      <c r="AE12" s="2246"/>
      <c r="AF12" s="2246"/>
      <c r="AG12" s="2246"/>
      <c r="AH12" s="2246"/>
      <c r="AI12" s="2246"/>
      <c r="AJ12" s="2246"/>
      <c r="AK12" s="2246"/>
      <c r="AL12" s="2246"/>
      <c r="AM12" s="2246"/>
      <c r="AN12" s="2246"/>
      <c r="AO12" s="2246"/>
      <c r="AP12" s="2246"/>
      <c r="AQ12" s="2246"/>
      <c r="AR12" s="2246"/>
      <c r="AS12" s="2246"/>
      <c r="AT12" s="2246"/>
      <c r="AU12" s="2246"/>
      <c r="AV12" s="2246"/>
      <c r="AW12" s="2246"/>
      <c r="AX12" s="2246"/>
      <c r="AY12" s="2246"/>
      <c r="AZ12" s="2246"/>
      <c r="BA12" s="2246"/>
      <c r="BB12" s="2246"/>
      <c r="BC12" s="2246"/>
      <c r="BD12" s="2247"/>
      <c r="BE12" s="2246"/>
      <c r="BF12" s="2246"/>
      <c r="BG12" s="1520">
        <f t="shared" si="3"/>
        <v>0</v>
      </c>
      <c r="BH12" s="1520">
        <f t="shared" si="4"/>
        <v>0</v>
      </c>
      <c r="BI12" s="26"/>
      <c r="BJ12" s="26"/>
      <c r="BK12" s="26"/>
      <c r="BL12" s="26"/>
      <c r="BM12" s="26"/>
      <c r="BN12" s="26"/>
    </row>
    <row r="13" spans="1:66" x14ac:dyDescent="0.3">
      <c r="A13" s="144" t="s">
        <v>470</v>
      </c>
      <c r="B13" s="1769" t="s">
        <v>20</v>
      </c>
      <c r="C13" s="811" t="s">
        <v>50</v>
      </c>
      <c r="D13" s="270">
        <f>+'Maj Production Summ'!D23</f>
        <v>12645</v>
      </c>
      <c r="E13" s="155">
        <f>+'Maj Production Summ'!E23</f>
        <v>810</v>
      </c>
      <c r="F13" s="270">
        <f>+'Maj Production Summ'!F23</f>
        <v>3914.4925899999998</v>
      </c>
      <c r="G13" s="155">
        <f>+'Maj Production Summ'!G23</f>
        <v>810</v>
      </c>
      <c r="H13" s="270">
        <f>+'Maj Production Summ'!H23</f>
        <v>2383.6527900000001</v>
      </c>
      <c r="I13" s="368">
        <f>+E13+G13</f>
        <v>1620</v>
      </c>
      <c r="J13" s="42">
        <f t="shared" si="5"/>
        <v>6298.1453799999999</v>
      </c>
      <c r="K13" s="155">
        <f>+'Maj Production Summ'!K23</f>
        <v>810</v>
      </c>
      <c r="L13" s="270">
        <f>+'Maj Production Summ'!L23</f>
        <v>902.97845999999993</v>
      </c>
      <c r="M13" s="613">
        <f t="shared" ref="M13:N13" si="45">+K13+G13+E13</f>
        <v>2430</v>
      </c>
      <c r="N13" s="613">
        <f t="shared" si="45"/>
        <v>7201.1238400000002</v>
      </c>
      <c r="O13" s="155">
        <f>+'Maj Production Summ'!O23</f>
        <v>810</v>
      </c>
      <c r="P13" s="270">
        <f>+'Maj Production Summ'!P23</f>
        <v>0</v>
      </c>
      <c r="Q13" s="368">
        <f t="shared" ref="Q13:R15" si="46">+M13+O13</f>
        <v>3240</v>
      </c>
      <c r="R13" s="368">
        <f t="shared" si="46"/>
        <v>7201.1238400000002</v>
      </c>
      <c r="S13" s="155">
        <f>+'Maj Production Summ'!S23</f>
        <v>810</v>
      </c>
      <c r="T13" s="270">
        <f>+'Maj Production Summ'!T23</f>
        <v>144.06922</v>
      </c>
      <c r="U13" s="368">
        <f t="shared" ref="U13:U15" si="47">+Q13+S13</f>
        <v>4050</v>
      </c>
      <c r="V13" s="368">
        <f t="shared" ref="V13:V15" si="48">+R13+T13</f>
        <v>7345.1930600000005</v>
      </c>
      <c r="W13" s="155">
        <f>+'Maj Production Summ'!W23</f>
        <v>3735</v>
      </c>
      <c r="X13" s="270">
        <f>+'Maj Production Summ'!X23</f>
        <v>256.58677999999998</v>
      </c>
      <c r="Y13" s="613">
        <f t="shared" ref="Y13:Z13" si="49">+W13+S13+O13</f>
        <v>5355</v>
      </c>
      <c r="Z13" s="613">
        <f t="shared" si="49"/>
        <v>400.65599999999995</v>
      </c>
      <c r="AA13" s="1039">
        <f>M13+Y13</f>
        <v>7785</v>
      </c>
      <c r="AB13" s="453">
        <f>+N13+Z13</f>
        <v>7601.7798400000001</v>
      </c>
      <c r="AC13" s="155">
        <f>+'Maj Production Summ'!AC23</f>
        <v>810</v>
      </c>
      <c r="AD13" s="270">
        <f>+'Maj Production Summ'!AD23</f>
        <v>3014.2686399999998</v>
      </c>
      <c r="AE13" s="368">
        <f t="shared" ref="AE13:AE15" si="50">+AA13+AC13</f>
        <v>8595</v>
      </c>
      <c r="AF13" s="368">
        <f t="shared" ref="AF13:AF15" si="51">+AB13+AD13</f>
        <v>10616.048479999999</v>
      </c>
      <c r="AG13" s="155">
        <f>+'Maj Production Summ'!AG23</f>
        <v>810</v>
      </c>
      <c r="AH13" s="270">
        <f>+'Maj Production Summ'!AH23</f>
        <v>135.13793000000001</v>
      </c>
      <c r="AI13" s="368">
        <f t="shared" ref="AI13:AI15" si="52">+AE13+AG13</f>
        <v>9405</v>
      </c>
      <c r="AJ13" s="368">
        <f t="shared" ref="AJ13:AJ15" si="53">+AF13+AH13</f>
        <v>10751.18641</v>
      </c>
      <c r="AK13" s="155">
        <f>+'Maj Production Summ'!AK23</f>
        <v>810</v>
      </c>
      <c r="AL13" s="270">
        <f>+'Maj Production Summ'!AL23</f>
        <v>35.725159999999995</v>
      </c>
      <c r="AM13" s="613">
        <f t="shared" ref="AM13:AM15" si="54">+AK13+AG13+AC13</f>
        <v>2430</v>
      </c>
      <c r="AN13" s="613">
        <f t="shared" ref="AN13:AN15" si="55">+AL13+AH13+AD13</f>
        <v>3185.1317299999996</v>
      </c>
      <c r="AO13" s="775">
        <f t="shared" si="31"/>
        <v>10215</v>
      </c>
      <c r="AP13" s="775">
        <f t="shared" si="31"/>
        <v>10786.91157</v>
      </c>
      <c r="AQ13" s="155">
        <f>+'Maj Production Summ'!AQ23</f>
        <v>810</v>
      </c>
      <c r="AR13" s="270">
        <f>+'Maj Production Summ'!AR23</f>
        <v>662.91874000000007</v>
      </c>
      <c r="AS13" s="368">
        <f t="shared" ref="AS13:AS15" si="56">+AO13+AQ13</f>
        <v>11025</v>
      </c>
      <c r="AT13" s="368">
        <f t="shared" ref="AT13:AT15" si="57">+AP13+AR13</f>
        <v>11449.830310000001</v>
      </c>
      <c r="AU13" s="155">
        <f>+'Maj Production Summ'!AU23</f>
        <v>810</v>
      </c>
      <c r="AV13" s="270">
        <f>+'Maj Production Summ'!AV23</f>
        <v>0</v>
      </c>
      <c r="AW13" s="368">
        <f t="shared" ref="AW13:AW15" si="58">+AS13+AU13</f>
        <v>11835</v>
      </c>
      <c r="AX13" s="368">
        <f t="shared" ref="AX13:AX15" si="59">+AT13+AV13</f>
        <v>11449.830310000001</v>
      </c>
      <c r="AY13" s="155">
        <f>+'Maj Production Summ'!AY23</f>
        <v>810</v>
      </c>
      <c r="AZ13" s="270">
        <f>+'Maj Production Summ'!AZ23</f>
        <v>80.298139999999989</v>
      </c>
      <c r="BA13" s="613">
        <f t="shared" ref="BA13:BA15" si="60">+AY13+AU13+AQ13</f>
        <v>2430</v>
      </c>
      <c r="BB13" s="613">
        <f t="shared" ref="BB13:BB15" si="61">+AZ13+AV13+AR13</f>
        <v>743.21688000000006</v>
      </c>
      <c r="BC13" s="464">
        <f t="shared" ref="BC13:BC15" si="62">AM13+BA13</f>
        <v>4860</v>
      </c>
      <c r="BD13" s="472">
        <f t="shared" ref="BD13:BD15" si="63">+AN13+BB13</f>
        <v>3928.3486099999996</v>
      </c>
      <c r="BE13" s="368">
        <f t="shared" ref="BE13:BE15" si="64">+AW13+AY13</f>
        <v>12645</v>
      </c>
      <c r="BF13" s="368">
        <f t="shared" ref="BF13:BF15" si="65">+AX13+AZ13</f>
        <v>11530.128450000002</v>
      </c>
      <c r="BG13" s="1520">
        <f t="shared" si="3"/>
        <v>0</v>
      </c>
      <c r="BH13" s="1520">
        <f t="shared" si="4"/>
        <v>0</v>
      </c>
      <c r="BI13" s="26"/>
      <c r="BJ13" s="26"/>
      <c r="BK13" s="26"/>
      <c r="BL13" s="26"/>
      <c r="BM13" s="26"/>
      <c r="BN13" s="26"/>
    </row>
    <row r="14" spans="1:66" x14ac:dyDescent="0.3">
      <c r="A14" s="228"/>
      <c r="B14" s="1793" t="s">
        <v>113</v>
      </c>
      <c r="C14" s="2546" t="s">
        <v>50</v>
      </c>
      <c r="D14" s="2537">
        <f>+'Maj Production Summ'!D24</f>
        <v>0</v>
      </c>
      <c r="E14" s="2537">
        <f>+'Maj Production Summ'!E24</f>
        <v>0</v>
      </c>
      <c r="F14" s="2537">
        <v>194.6</v>
      </c>
      <c r="G14" s="2537">
        <f>+'Maj Production Summ'!G24</f>
        <v>0</v>
      </c>
      <c r="H14" s="2537">
        <v>230</v>
      </c>
      <c r="I14" s="2538">
        <f>+E14+G14</f>
        <v>0</v>
      </c>
      <c r="J14" s="38">
        <f t="shared" si="5"/>
        <v>424.6</v>
      </c>
      <c r="K14" s="2537">
        <f>+'Maj Production Summ'!K24</f>
        <v>0</v>
      </c>
      <c r="L14" s="2537">
        <v>127.47931200000001</v>
      </c>
      <c r="M14" s="774">
        <f t="shared" ref="M14:M15" si="66">+K14+G14+E14</f>
        <v>0</v>
      </c>
      <c r="N14" s="774">
        <f t="shared" ref="N14:N15" si="67">+L14+H14+F14</f>
        <v>552.07931199999996</v>
      </c>
      <c r="O14" s="2537">
        <f>+'Maj Production Summ'!O24</f>
        <v>0</v>
      </c>
      <c r="P14" s="2537">
        <v>0</v>
      </c>
      <c r="Q14" s="775">
        <f t="shared" si="46"/>
        <v>0</v>
      </c>
      <c r="R14" s="775">
        <f t="shared" si="46"/>
        <v>552.07931199999996</v>
      </c>
      <c r="S14" s="2537">
        <f>+'Maj Production Summ'!S24</f>
        <v>0</v>
      </c>
      <c r="T14" s="2537">
        <v>20</v>
      </c>
      <c r="U14" s="775">
        <f t="shared" si="47"/>
        <v>0</v>
      </c>
      <c r="V14" s="775">
        <f t="shared" si="48"/>
        <v>572.07931199999996</v>
      </c>
      <c r="W14" s="2537">
        <f>+'Maj Production Summ'!W24</f>
        <v>0</v>
      </c>
      <c r="X14" s="2537">
        <v>36.224015999999999</v>
      </c>
      <c r="Y14" s="774">
        <f t="shared" ref="Y14:Y15" si="68">+W14+S14+O14</f>
        <v>0</v>
      </c>
      <c r="Z14" s="774">
        <f t="shared" ref="Z14:Z15" si="69">+X14+T14+P14</f>
        <v>56.224015999999999</v>
      </c>
      <c r="AA14" s="460">
        <f t="shared" ref="AA14:AA15" si="70">M14+Y14</f>
        <v>0</v>
      </c>
      <c r="AB14" s="449">
        <f t="shared" ref="AB14:AB15" si="71">+N14+Z14</f>
        <v>608.30332799999996</v>
      </c>
      <c r="AC14" s="2537">
        <f>+'Maj Production Summ'!AC24</f>
        <v>0</v>
      </c>
      <c r="AD14" s="2537">
        <v>433.34399999999999</v>
      </c>
      <c r="AE14" s="775">
        <f t="shared" si="50"/>
        <v>0</v>
      </c>
      <c r="AF14" s="775">
        <f t="shared" si="51"/>
        <v>1041.647328</v>
      </c>
      <c r="AG14" s="2537">
        <f>+'Maj Production Summ'!AG24</f>
        <v>0</v>
      </c>
      <c r="AH14" s="2537">
        <v>19.078296000000002</v>
      </c>
      <c r="AI14" s="775">
        <f t="shared" si="52"/>
        <v>0</v>
      </c>
      <c r="AJ14" s="775">
        <f t="shared" si="53"/>
        <v>1060.7256239999999</v>
      </c>
      <c r="AK14" s="2537">
        <f>+'Maj Production Summ'!AK24</f>
        <v>0</v>
      </c>
      <c r="AL14" s="2537">
        <v>5</v>
      </c>
      <c r="AM14" s="774">
        <f t="shared" si="54"/>
        <v>0</v>
      </c>
      <c r="AN14" s="774">
        <f t="shared" si="55"/>
        <v>457.42229600000002</v>
      </c>
      <c r="AO14" s="775">
        <f t="shared" ref="AO14:AP17" si="72">+AK14+AI14</f>
        <v>0</v>
      </c>
      <c r="AP14" s="775">
        <f t="shared" ref="AP14:AP15" si="73">+AL14+AJ14</f>
        <v>1065.7256239999999</v>
      </c>
      <c r="AQ14" s="2537">
        <f>+'Maj Production Summ'!AQ24</f>
        <v>0</v>
      </c>
      <c r="AR14" s="2537">
        <v>93.588527999999997</v>
      </c>
      <c r="AS14" s="775">
        <f t="shared" si="56"/>
        <v>0</v>
      </c>
      <c r="AT14" s="775">
        <f t="shared" si="57"/>
        <v>1159.3141519999999</v>
      </c>
      <c r="AU14" s="2537">
        <f>+'Maj Production Summ'!AU24</f>
        <v>0</v>
      </c>
      <c r="AV14" s="2537">
        <v>0</v>
      </c>
      <c r="AW14" s="775">
        <f t="shared" si="58"/>
        <v>0</v>
      </c>
      <c r="AX14" s="775">
        <f t="shared" si="59"/>
        <v>1159.3141519999999</v>
      </c>
      <c r="AY14" s="2537">
        <f>+'Maj Production Summ'!AY24</f>
        <v>0</v>
      </c>
      <c r="AZ14" s="2537">
        <v>11.336208000000001</v>
      </c>
      <c r="BA14" s="774">
        <f t="shared" si="60"/>
        <v>0</v>
      </c>
      <c r="BB14" s="774">
        <f t="shared" si="61"/>
        <v>104.924736</v>
      </c>
      <c r="BC14" s="464">
        <f t="shared" si="62"/>
        <v>0</v>
      </c>
      <c r="BD14" s="472">
        <f t="shared" si="63"/>
        <v>562.34703200000001</v>
      </c>
      <c r="BE14" s="775">
        <f t="shared" si="64"/>
        <v>0</v>
      </c>
      <c r="BF14" s="775">
        <f t="shared" si="65"/>
        <v>1170.6503599999999</v>
      </c>
      <c r="BG14" s="1520">
        <f t="shared" si="3"/>
        <v>0</v>
      </c>
      <c r="BH14" s="1520">
        <f t="shared" si="4"/>
        <v>0</v>
      </c>
      <c r="BI14" s="26"/>
      <c r="BJ14" s="26"/>
      <c r="BK14" s="26"/>
      <c r="BL14" s="26"/>
      <c r="BM14" s="26"/>
      <c r="BN14" s="26"/>
    </row>
    <row r="15" spans="1:66" ht="27.6" x14ac:dyDescent="0.3">
      <c r="A15" s="144"/>
      <c r="B15" s="2239" t="s">
        <v>1667</v>
      </c>
      <c r="C15" s="2546" t="s">
        <v>50</v>
      </c>
      <c r="D15" s="2546">
        <f>+'Maj Production Summ'!D25</f>
        <v>1625</v>
      </c>
      <c r="E15" s="2546">
        <f>+'Maj Production Summ'!E25</f>
        <v>0</v>
      </c>
      <c r="F15" s="2599">
        <v>552.63424799999996</v>
      </c>
      <c r="G15" s="2546">
        <f>+'Maj Production Summ'!G25</f>
        <v>0</v>
      </c>
      <c r="H15" s="2599">
        <v>336.51568800000001</v>
      </c>
      <c r="I15" s="2882">
        <f>+E15+G15</f>
        <v>0</v>
      </c>
      <c r="J15" s="38">
        <f t="shared" si="5"/>
        <v>889.14993600000003</v>
      </c>
      <c r="K15" s="2546">
        <f>+'Maj Production Summ'!K25</f>
        <v>0</v>
      </c>
      <c r="L15" s="2599">
        <v>0</v>
      </c>
      <c r="M15" s="774">
        <f t="shared" si="66"/>
        <v>0</v>
      </c>
      <c r="N15" s="774">
        <f t="shared" si="67"/>
        <v>889.14993600000003</v>
      </c>
      <c r="O15" s="2546">
        <f>+'Maj Production Summ'!O25</f>
        <v>0</v>
      </c>
      <c r="P15" s="2599">
        <v>0</v>
      </c>
      <c r="Q15" s="585">
        <f t="shared" si="46"/>
        <v>0</v>
      </c>
      <c r="R15" s="775">
        <f t="shared" si="46"/>
        <v>889.14993600000003</v>
      </c>
      <c r="S15" s="2546">
        <f>+'Maj Production Summ'!S25</f>
        <v>0</v>
      </c>
      <c r="T15" s="2599">
        <v>0</v>
      </c>
      <c r="U15" s="585">
        <f t="shared" si="47"/>
        <v>0</v>
      </c>
      <c r="V15" s="775">
        <f t="shared" si="48"/>
        <v>889.14993600000003</v>
      </c>
      <c r="W15" s="2546">
        <f>+'Maj Production Summ'!W25</f>
        <v>1625</v>
      </c>
      <c r="X15" s="2599">
        <v>0</v>
      </c>
      <c r="Y15" s="774">
        <f t="shared" si="68"/>
        <v>1625</v>
      </c>
      <c r="Z15" s="774">
        <f t="shared" si="69"/>
        <v>0</v>
      </c>
      <c r="AA15" s="2238">
        <f t="shared" si="70"/>
        <v>1625</v>
      </c>
      <c r="AB15" s="449">
        <f t="shared" si="71"/>
        <v>889.14993600000003</v>
      </c>
      <c r="AC15" s="2546">
        <f>+'Maj Production Summ'!AC25</f>
        <v>0</v>
      </c>
      <c r="AD15" s="2599">
        <v>5603</v>
      </c>
      <c r="AE15" s="585">
        <f t="shared" si="50"/>
        <v>1625</v>
      </c>
      <c r="AF15" s="775">
        <f t="shared" si="51"/>
        <v>6492.1499359999998</v>
      </c>
      <c r="AG15" s="2546">
        <f>+'Maj Production Summ'!AG25</f>
        <v>0</v>
      </c>
      <c r="AH15" s="2599">
        <v>0</v>
      </c>
      <c r="AI15" s="585">
        <f t="shared" si="52"/>
        <v>1625</v>
      </c>
      <c r="AJ15" s="775">
        <f t="shared" si="53"/>
        <v>6492.1499359999998</v>
      </c>
      <c r="AK15" s="2546">
        <f>+'Maj Production Summ'!AK25</f>
        <v>0</v>
      </c>
      <c r="AL15" s="2599"/>
      <c r="AM15" s="774">
        <f t="shared" si="54"/>
        <v>0</v>
      </c>
      <c r="AN15" s="774">
        <f t="shared" si="55"/>
        <v>5603</v>
      </c>
      <c r="AO15" s="775">
        <f t="shared" si="72"/>
        <v>1625</v>
      </c>
      <c r="AP15" s="775">
        <f t="shared" si="73"/>
        <v>6492.1499359999998</v>
      </c>
      <c r="AQ15" s="2546">
        <f>+'Maj Production Summ'!AQ25</f>
        <v>0</v>
      </c>
      <c r="AR15" s="2599">
        <v>800.6</v>
      </c>
      <c r="AS15" s="585">
        <f t="shared" si="56"/>
        <v>1625</v>
      </c>
      <c r="AT15" s="775">
        <f t="shared" si="57"/>
        <v>7292.7499360000002</v>
      </c>
      <c r="AU15" s="2546">
        <f>+'Maj Production Summ'!AU25</f>
        <v>0</v>
      </c>
      <c r="AV15" s="2599">
        <v>920</v>
      </c>
      <c r="AW15" s="585">
        <f t="shared" si="58"/>
        <v>1625</v>
      </c>
      <c r="AX15" s="775">
        <f t="shared" si="59"/>
        <v>8212.7499360000002</v>
      </c>
      <c r="AY15" s="2546">
        <f>+'Maj Production Summ'!AY25</f>
        <v>0</v>
      </c>
      <c r="AZ15" s="2599">
        <v>310</v>
      </c>
      <c r="BA15" s="774">
        <f t="shared" si="60"/>
        <v>0</v>
      </c>
      <c r="BB15" s="774">
        <f t="shared" si="61"/>
        <v>2030.6</v>
      </c>
      <c r="BC15" s="464">
        <f t="shared" si="62"/>
        <v>0</v>
      </c>
      <c r="BD15" s="472">
        <f t="shared" si="63"/>
        <v>7633.6</v>
      </c>
      <c r="BE15" s="585">
        <f t="shared" si="64"/>
        <v>1625</v>
      </c>
      <c r="BF15" s="775">
        <f t="shared" si="65"/>
        <v>8522.7499360000002</v>
      </c>
      <c r="BG15" s="1520">
        <f t="shared" si="3"/>
        <v>0</v>
      </c>
      <c r="BH15" s="1520">
        <f t="shared" si="4"/>
        <v>0</v>
      </c>
      <c r="BI15" s="26"/>
      <c r="BJ15" s="26"/>
      <c r="BK15" s="26"/>
      <c r="BL15" s="26"/>
      <c r="BM15" s="26"/>
      <c r="BN15" s="26"/>
    </row>
    <row r="16" spans="1:66" ht="16.2" thickBot="1" x14ac:dyDescent="0.35">
      <c r="A16" s="144"/>
      <c r="B16" s="2240" t="s">
        <v>126</v>
      </c>
      <c r="C16" s="2764" t="s">
        <v>50</v>
      </c>
      <c r="D16" s="2241">
        <f>SUM(D13:D15)</f>
        <v>14270</v>
      </c>
      <c r="E16" s="2241">
        <f t="shared" ref="E16:AF16" si="74">SUM(E13:E15)</f>
        <v>810</v>
      </c>
      <c r="F16" s="2242">
        <f t="shared" si="74"/>
        <v>4661.7268380000005</v>
      </c>
      <c r="G16" s="2241">
        <f t="shared" ref="G16:H16" si="75">SUM(G13:G15)</f>
        <v>810</v>
      </c>
      <c r="H16" s="2242">
        <f t="shared" si="75"/>
        <v>2950.1684780000001</v>
      </c>
      <c r="I16" s="369">
        <f t="shared" si="74"/>
        <v>1620</v>
      </c>
      <c r="J16" s="3107">
        <f t="shared" si="74"/>
        <v>7611.8953160000001</v>
      </c>
      <c r="K16" s="2241">
        <f t="shared" si="74"/>
        <v>810</v>
      </c>
      <c r="L16" s="2242">
        <f t="shared" si="74"/>
        <v>1030.457772</v>
      </c>
      <c r="M16" s="2208">
        <f t="shared" si="74"/>
        <v>2430</v>
      </c>
      <c r="N16" s="2208">
        <f t="shared" si="74"/>
        <v>8642.3530879999998</v>
      </c>
      <c r="O16" s="2241">
        <f t="shared" ref="O16:P16" si="76">SUM(O13:O15)</f>
        <v>810</v>
      </c>
      <c r="P16" s="2242">
        <f t="shared" si="76"/>
        <v>0</v>
      </c>
      <c r="Q16" s="369">
        <f t="shared" ref="Q16:T16" si="77">SUM(Q13:Q15)</f>
        <v>3240</v>
      </c>
      <c r="R16" s="369">
        <f t="shared" si="77"/>
        <v>8642.3530879999998</v>
      </c>
      <c r="S16" s="2241">
        <f t="shared" si="77"/>
        <v>810</v>
      </c>
      <c r="T16" s="2242">
        <f t="shared" si="77"/>
        <v>164.06922</v>
      </c>
      <c r="U16" s="369">
        <f t="shared" ref="U16:X16" si="78">SUM(U13:U15)</f>
        <v>4050</v>
      </c>
      <c r="V16" s="369">
        <f t="shared" si="78"/>
        <v>8806.4223080000011</v>
      </c>
      <c r="W16" s="2241">
        <f t="shared" si="78"/>
        <v>5360</v>
      </c>
      <c r="X16" s="2242">
        <f t="shared" si="78"/>
        <v>292.81079599999998</v>
      </c>
      <c r="Y16" s="2208">
        <f t="shared" si="74"/>
        <v>6980</v>
      </c>
      <c r="Z16" s="2208">
        <f t="shared" si="74"/>
        <v>456.88001599999996</v>
      </c>
      <c r="AA16" s="2243">
        <f t="shared" si="74"/>
        <v>9410</v>
      </c>
      <c r="AB16" s="2244">
        <f t="shared" si="74"/>
        <v>9099.2331040000008</v>
      </c>
      <c r="AC16" s="2241">
        <f t="shared" si="74"/>
        <v>810</v>
      </c>
      <c r="AD16" s="2242">
        <f t="shared" si="74"/>
        <v>9050.6126399999994</v>
      </c>
      <c r="AE16" s="369">
        <f t="shared" si="74"/>
        <v>10220</v>
      </c>
      <c r="AF16" s="369">
        <f t="shared" si="74"/>
        <v>18149.845743999998</v>
      </c>
      <c r="AG16" s="2241">
        <f t="shared" ref="AG16:AH16" si="79">SUM(AG13:AG15)</f>
        <v>810</v>
      </c>
      <c r="AH16" s="2242">
        <f t="shared" si="79"/>
        <v>154.21622600000001</v>
      </c>
      <c r="AI16" s="369">
        <f t="shared" ref="AI16:AL16" si="80">SUM(AI13:AI15)</f>
        <v>11030</v>
      </c>
      <c r="AJ16" s="369">
        <f t="shared" si="80"/>
        <v>18304.061970000002</v>
      </c>
      <c r="AK16" s="2241">
        <f t="shared" si="80"/>
        <v>810</v>
      </c>
      <c r="AL16" s="2242">
        <f t="shared" si="80"/>
        <v>40.725159999999995</v>
      </c>
      <c r="AM16" s="2208">
        <f t="shared" ref="AM16:AT16" si="81">SUM(AM13:AM15)</f>
        <v>2430</v>
      </c>
      <c r="AN16" s="2208">
        <f t="shared" si="81"/>
        <v>9245.5540259999998</v>
      </c>
      <c r="AO16" s="369">
        <f t="shared" si="81"/>
        <v>11840</v>
      </c>
      <c r="AP16" s="369">
        <f t="shared" si="81"/>
        <v>18344.787130000001</v>
      </c>
      <c r="AQ16" s="2241">
        <f t="shared" si="81"/>
        <v>810</v>
      </c>
      <c r="AR16" s="2242">
        <f t="shared" si="81"/>
        <v>1557.1072680000002</v>
      </c>
      <c r="AS16" s="369">
        <f t="shared" si="81"/>
        <v>12650</v>
      </c>
      <c r="AT16" s="369">
        <f t="shared" si="81"/>
        <v>19901.894398</v>
      </c>
      <c r="AU16" s="2241">
        <f t="shared" ref="AU16:AV16" si="82">SUM(AU13:AU15)</f>
        <v>810</v>
      </c>
      <c r="AV16" s="2242">
        <f t="shared" si="82"/>
        <v>920</v>
      </c>
      <c r="AW16" s="369">
        <f t="shared" ref="AW16:AZ16" si="83">SUM(AW13:AW15)</f>
        <v>13460</v>
      </c>
      <c r="AX16" s="369">
        <f t="shared" si="83"/>
        <v>20821.894398</v>
      </c>
      <c r="AY16" s="2241">
        <f t="shared" si="83"/>
        <v>810</v>
      </c>
      <c r="AZ16" s="2242">
        <f t="shared" si="83"/>
        <v>401.63434799999999</v>
      </c>
      <c r="BA16" s="2208">
        <f t="shared" ref="BA16:BD16" si="84">SUM(BA13:BA15)</f>
        <v>2430</v>
      </c>
      <c r="BB16" s="2208">
        <f t="shared" si="84"/>
        <v>2878.7416160000002</v>
      </c>
      <c r="BC16" s="2243">
        <f t="shared" si="84"/>
        <v>4860</v>
      </c>
      <c r="BD16" s="2244">
        <f t="shared" si="84"/>
        <v>12124.295642000001</v>
      </c>
      <c r="BE16" s="369">
        <f t="shared" ref="BE16:BF16" si="85">SUM(BE13:BE15)</f>
        <v>14270</v>
      </c>
      <c r="BF16" s="369">
        <f t="shared" si="85"/>
        <v>21223.528746000004</v>
      </c>
      <c r="BG16" s="1520">
        <f t="shared" si="3"/>
        <v>0</v>
      </c>
      <c r="BH16" s="1520">
        <f t="shared" si="4"/>
        <v>0</v>
      </c>
      <c r="BI16" s="26"/>
      <c r="BJ16" s="26"/>
      <c r="BK16" s="26"/>
      <c r="BL16" s="26"/>
      <c r="BM16" s="26"/>
      <c r="BN16" s="26"/>
    </row>
    <row r="17" spans="1:66" ht="15" thickBot="1" x14ac:dyDescent="0.35">
      <c r="A17" s="183"/>
      <c r="B17" s="1711" t="s">
        <v>707</v>
      </c>
      <c r="C17" s="817" t="s">
        <v>50</v>
      </c>
      <c r="D17" s="2058">
        <f>+'Maj Production Summ'!D27</f>
        <v>3541.35</v>
      </c>
      <c r="E17" s="2058">
        <f>+'Maj Production Summ'!E27</f>
        <v>273.99599999999998</v>
      </c>
      <c r="F17" s="2234">
        <f>+'Maj Production Summ'!F27</f>
        <v>374.5</v>
      </c>
      <c r="G17" s="2058">
        <f>+'Maj Production Summ'!G27</f>
        <v>279.98</v>
      </c>
      <c r="H17" s="2234">
        <f>+'Maj Production Summ'!H27</f>
        <v>603.86199999999997</v>
      </c>
      <c r="I17" s="2235" t="s">
        <v>32</v>
      </c>
      <c r="J17" s="530">
        <f t="shared" si="5"/>
        <v>978.36199999999997</v>
      </c>
      <c r="K17" s="2058">
        <f>+'Maj Production Summ'!K27</f>
        <v>273.99599999999998</v>
      </c>
      <c r="L17" s="2234">
        <f>+'Maj Production Summ'!L27</f>
        <v>0</v>
      </c>
      <c r="M17" s="2236">
        <f t="shared" ref="M17:N21" si="86">+K17+G17+E17</f>
        <v>827.97199999999998</v>
      </c>
      <c r="N17" s="2236">
        <f t="shared" si="86"/>
        <v>978.36199999999997</v>
      </c>
      <c r="O17" s="2058">
        <f>+'Maj Production Summ'!O27</f>
        <v>276.24</v>
      </c>
      <c r="P17" s="2234">
        <f>+'Maj Production Summ'!P27</f>
        <v>0</v>
      </c>
      <c r="Q17" s="1641">
        <f t="shared" ref="Q17:R21" si="87">+M17+O17</f>
        <v>1104.212</v>
      </c>
      <c r="R17" s="530">
        <f t="shared" si="87"/>
        <v>978.36199999999997</v>
      </c>
      <c r="S17" s="2058">
        <f>+'Maj Production Summ'!S27</f>
        <v>276.24</v>
      </c>
      <c r="T17" s="2234">
        <f>+'Maj Production Summ'!T27</f>
        <v>0</v>
      </c>
      <c r="U17" s="1641">
        <f t="shared" ref="U17:U21" si="88">+Q17+S17</f>
        <v>1380.452</v>
      </c>
      <c r="V17" s="530">
        <f t="shared" ref="V17:V21" si="89">+R17+T17</f>
        <v>978.36199999999997</v>
      </c>
      <c r="W17" s="2058">
        <f>+'Maj Production Summ'!W27</f>
        <v>498.97</v>
      </c>
      <c r="X17" s="2234">
        <f>+'Maj Production Summ'!X27</f>
        <v>0</v>
      </c>
      <c r="Y17" s="2236">
        <f t="shared" ref="Y17:Z18" si="90">+W17+S17+O17</f>
        <v>1051.45</v>
      </c>
      <c r="Z17" s="529">
        <f t="shared" si="90"/>
        <v>0</v>
      </c>
      <c r="AA17" s="2237">
        <f>M17+Y17</f>
        <v>1879.422</v>
      </c>
      <c r="AB17" s="2233">
        <f>+N17+Z17</f>
        <v>978.36199999999997</v>
      </c>
      <c r="AC17" s="2058">
        <f>+'Maj Production Summ'!AC27</f>
        <v>279.98</v>
      </c>
      <c r="AD17" s="2234">
        <f>+'Maj Production Summ'!AD27</f>
        <v>549.08699999999999</v>
      </c>
      <c r="AE17" s="1641">
        <f t="shared" ref="AE17:AE21" si="91">+AA17+AC17</f>
        <v>2159.402</v>
      </c>
      <c r="AF17" s="530">
        <f t="shared" ref="AF17:AF21" si="92">+AB17+AD17</f>
        <v>1527.4490000000001</v>
      </c>
      <c r="AG17" s="2058">
        <f>+'Maj Production Summ'!AG27</f>
        <v>273.99599999999998</v>
      </c>
      <c r="AH17" s="2234">
        <f>+'Maj Production Summ'!AH27</f>
        <v>833.46900000000005</v>
      </c>
      <c r="AI17" s="1641">
        <f t="shared" ref="AI17:AI21" si="93">+AE17+AG17</f>
        <v>2433.3980000000001</v>
      </c>
      <c r="AJ17" s="530">
        <f t="shared" ref="AJ17:AJ21" si="94">+AF17+AH17</f>
        <v>2360.9180000000001</v>
      </c>
      <c r="AK17" s="2058">
        <f>+'Maj Production Summ'!AK27</f>
        <v>279.98</v>
      </c>
      <c r="AL17" s="2234">
        <f>+'Maj Production Summ'!AL27</f>
        <v>1510.7470000000001</v>
      </c>
      <c r="AM17" s="2236">
        <f t="shared" ref="AM17:AM21" si="95">+AK17+AG17+AC17</f>
        <v>833.95600000000002</v>
      </c>
      <c r="AN17" s="529">
        <f t="shared" ref="AN17:AN21" si="96">+AL17+AH17+AD17</f>
        <v>2893.3030000000003</v>
      </c>
      <c r="AO17" s="775">
        <f t="shared" si="72"/>
        <v>2713.3780000000002</v>
      </c>
      <c r="AP17" s="775">
        <f t="shared" si="72"/>
        <v>3871.665</v>
      </c>
      <c r="AQ17" s="2058">
        <f>+'Maj Production Summ'!AQ27</f>
        <v>282.97199999999998</v>
      </c>
      <c r="AR17" s="2234">
        <f>+'Maj Production Summ'!AR27</f>
        <v>1549.45</v>
      </c>
      <c r="AS17" s="1641">
        <f t="shared" ref="AS17:AS21" si="97">+AO17+AQ17</f>
        <v>2996.3500000000004</v>
      </c>
      <c r="AT17" s="530">
        <f t="shared" ref="AT17:AT21" si="98">+AP17+AR17</f>
        <v>5421.1149999999998</v>
      </c>
      <c r="AU17" s="2058">
        <f>+'Maj Production Summ'!AU27</f>
        <v>262.02800000000002</v>
      </c>
      <c r="AV17" s="2234">
        <f>+'Maj Production Summ'!AV27</f>
        <v>755.40500000000009</v>
      </c>
      <c r="AW17" s="1641">
        <f t="shared" ref="AW17:AW21" si="99">+AS17+AU17</f>
        <v>3258.3780000000006</v>
      </c>
      <c r="AX17" s="530">
        <f t="shared" ref="AX17:AX21" si="100">+AT17+AV17</f>
        <v>6176.5199999999995</v>
      </c>
      <c r="AY17" s="2058">
        <f>+'Maj Production Summ'!AY27</f>
        <v>282.97199999999998</v>
      </c>
      <c r="AZ17" s="2234">
        <f>+'Maj Production Summ'!AZ27</f>
        <v>209.86</v>
      </c>
      <c r="BA17" s="2236">
        <f t="shared" ref="BA17:BA21" si="101">+AY17+AU17+AQ17</f>
        <v>827.97199999999998</v>
      </c>
      <c r="BB17" s="529">
        <f t="shared" ref="BB17:BB21" si="102">+AZ17+AV17+AR17</f>
        <v>2514.7150000000001</v>
      </c>
      <c r="BC17" s="464">
        <f t="shared" ref="BC17:BC20" si="103">AM17+BA17</f>
        <v>1661.9279999999999</v>
      </c>
      <c r="BD17" s="472">
        <f t="shared" ref="BD17:BD20" si="104">+AN17+BB17</f>
        <v>5408.018</v>
      </c>
      <c r="BE17" s="1641">
        <f t="shared" ref="BE17:BE21" si="105">+AW17+AY17</f>
        <v>3541.3500000000004</v>
      </c>
      <c r="BF17" s="530">
        <f t="shared" ref="BF17:BF21" si="106">+AX17+AZ17</f>
        <v>6386.3799999999992</v>
      </c>
      <c r="BG17" s="1520">
        <f t="shared" si="3"/>
        <v>0</v>
      </c>
      <c r="BH17" s="1520">
        <f t="shared" si="4"/>
        <v>0</v>
      </c>
      <c r="BI17" s="26"/>
      <c r="BJ17" s="26"/>
      <c r="BK17" s="26"/>
      <c r="BL17" s="26"/>
      <c r="BM17" s="26"/>
      <c r="BN17" s="26"/>
    </row>
    <row r="18" spans="1:66" x14ac:dyDescent="0.3">
      <c r="A18" s="144"/>
      <c r="B18" s="2059" t="s">
        <v>237</v>
      </c>
      <c r="C18" s="811" t="s">
        <v>50</v>
      </c>
      <c r="D18" s="155">
        <v>1103300</v>
      </c>
      <c r="E18" s="155">
        <v>94248</v>
      </c>
      <c r="F18" s="270">
        <v>82292.874200000006</v>
      </c>
      <c r="G18" s="155">
        <v>97240</v>
      </c>
      <c r="H18" s="270">
        <v>88384.934200000003</v>
      </c>
      <c r="I18" s="368">
        <f>+E18+G18</f>
        <v>191488</v>
      </c>
      <c r="J18" s="42">
        <f t="shared" si="5"/>
        <v>170677.80840000001</v>
      </c>
      <c r="K18" s="155">
        <v>94248</v>
      </c>
      <c r="L18" s="270">
        <v>82876.476500000019</v>
      </c>
      <c r="M18" s="613">
        <f t="shared" si="86"/>
        <v>285736</v>
      </c>
      <c r="N18" s="613">
        <f>+L18+H18+F18</f>
        <v>253554.28490000003</v>
      </c>
      <c r="O18" s="155">
        <v>95370</v>
      </c>
      <c r="P18" s="270">
        <v>93382.704500000007</v>
      </c>
      <c r="Q18" s="368">
        <f t="shared" si="87"/>
        <v>381106</v>
      </c>
      <c r="R18" s="368">
        <f t="shared" si="87"/>
        <v>346936.98940000002</v>
      </c>
      <c r="S18" s="155">
        <v>95370</v>
      </c>
      <c r="T18" s="270">
        <v>91267.827300000004</v>
      </c>
      <c r="U18" s="368">
        <f t="shared" si="88"/>
        <v>476476</v>
      </c>
      <c r="V18" s="368">
        <f t="shared" si="89"/>
        <v>438204.81670000002</v>
      </c>
      <c r="W18" s="155">
        <v>52360</v>
      </c>
      <c r="X18" s="270">
        <v>85644.341079999984</v>
      </c>
      <c r="Y18" s="613">
        <f t="shared" si="90"/>
        <v>243100</v>
      </c>
      <c r="Z18" s="613">
        <f t="shared" si="90"/>
        <v>270294.87287999998</v>
      </c>
      <c r="AA18" s="1039">
        <f>M18+Y18</f>
        <v>528836</v>
      </c>
      <c r="AB18" s="453">
        <f>+N18+Z18</f>
        <v>523849.15778000001</v>
      </c>
      <c r="AC18" s="155">
        <v>97240</v>
      </c>
      <c r="AD18" s="270">
        <v>78915.736300000004</v>
      </c>
      <c r="AE18" s="368">
        <f t="shared" si="91"/>
        <v>626076</v>
      </c>
      <c r="AF18" s="368">
        <f t="shared" si="92"/>
        <v>602764.89408</v>
      </c>
      <c r="AG18" s="155">
        <v>94248</v>
      </c>
      <c r="AH18" s="270">
        <v>94911.346619999982</v>
      </c>
      <c r="AI18" s="368">
        <f t="shared" si="93"/>
        <v>720324</v>
      </c>
      <c r="AJ18" s="368">
        <f t="shared" si="94"/>
        <v>697676.24069999997</v>
      </c>
      <c r="AK18" s="155">
        <v>97240</v>
      </c>
      <c r="AL18" s="270">
        <v>97411.773899999986</v>
      </c>
      <c r="AM18" s="613">
        <f t="shared" si="95"/>
        <v>288728</v>
      </c>
      <c r="AN18" s="613">
        <f t="shared" si="96"/>
        <v>271238.85681999999</v>
      </c>
      <c r="AO18" s="775">
        <f t="shared" ref="AO18:AP23" si="107">+AK18+AI18</f>
        <v>817564</v>
      </c>
      <c r="AP18" s="775">
        <f t="shared" ref="AP18:AP21" si="108">+AL18+AJ18</f>
        <v>795088.01459999999</v>
      </c>
      <c r="AQ18" s="155">
        <v>98736</v>
      </c>
      <c r="AR18" s="270">
        <v>94120.661200000002</v>
      </c>
      <c r="AS18" s="368">
        <f t="shared" si="97"/>
        <v>916300</v>
      </c>
      <c r="AT18" s="368">
        <f t="shared" si="98"/>
        <v>889208.67579999997</v>
      </c>
      <c r="AU18" s="155">
        <v>88264</v>
      </c>
      <c r="AV18" s="270">
        <v>71994.837500000009</v>
      </c>
      <c r="AW18" s="368">
        <f t="shared" si="99"/>
        <v>1004564</v>
      </c>
      <c r="AX18" s="368">
        <f t="shared" si="100"/>
        <v>961203.51329999999</v>
      </c>
      <c r="AY18" s="155">
        <v>98736</v>
      </c>
      <c r="AZ18" s="270">
        <v>86992.666500000036</v>
      </c>
      <c r="BA18" s="613">
        <f t="shared" si="101"/>
        <v>285736</v>
      </c>
      <c r="BB18" s="613">
        <f t="shared" si="102"/>
        <v>253108.16520000005</v>
      </c>
      <c r="BC18" s="464">
        <f t="shared" si="103"/>
        <v>574464</v>
      </c>
      <c r="BD18" s="472">
        <f t="shared" si="104"/>
        <v>524347.02202000003</v>
      </c>
      <c r="BE18" s="368">
        <f t="shared" si="105"/>
        <v>1103300</v>
      </c>
      <c r="BF18" s="368">
        <f t="shared" si="106"/>
        <v>1048196.1798</v>
      </c>
      <c r="BG18" s="1520">
        <f t="shared" si="3"/>
        <v>0</v>
      </c>
      <c r="BH18" s="1520">
        <f t="shared" si="4"/>
        <v>0</v>
      </c>
      <c r="BI18" s="26"/>
      <c r="BJ18" s="26"/>
      <c r="BK18" s="26"/>
      <c r="BL18" s="26"/>
      <c r="BM18" s="26"/>
      <c r="BN18" s="26"/>
    </row>
    <row r="19" spans="1:66" x14ac:dyDescent="0.3">
      <c r="A19" s="144" t="s">
        <v>470</v>
      </c>
      <c r="B19" s="1706" t="s">
        <v>564</v>
      </c>
      <c r="C19" s="2546" t="s">
        <v>50</v>
      </c>
      <c r="D19" s="2599">
        <v>1048134.9999999999</v>
      </c>
      <c r="E19" s="2599">
        <v>89535.6</v>
      </c>
      <c r="F19" s="2599">
        <v>73150.340758762904</v>
      </c>
      <c r="G19" s="2599">
        <v>92378</v>
      </c>
      <c r="H19" s="2599">
        <v>77751.078862886585</v>
      </c>
      <c r="I19" s="2538">
        <f>+E19+G19</f>
        <v>181913.60000000001</v>
      </c>
      <c r="J19" s="38">
        <f t="shared" si="5"/>
        <v>150901.41962164949</v>
      </c>
      <c r="K19" s="2599">
        <v>89535.6</v>
      </c>
      <c r="L19" s="2599">
        <v>75099.025971134019</v>
      </c>
      <c r="M19" s="774">
        <f t="shared" ref="M19:M20" si="109">+K19+G19+E19</f>
        <v>271449.2</v>
      </c>
      <c r="N19" s="774">
        <f t="shared" ref="N19:N20" si="110">+L19+H19+F19</f>
        <v>226000.44559278351</v>
      </c>
      <c r="O19" s="2599">
        <v>90601.5</v>
      </c>
      <c r="P19" s="2599">
        <v>78023.680000000008</v>
      </c>
      <c r="Q19" s="775">
        <f t="shared" si="87"/>
        <v>362050.7</v>
      </c>
      <c r="R19" s="775">
        <f t="shared" si="87"/>
        <v>304024.1255927835</v>
      </c>
      <c r="S19" s="2599">
        <v>90601.5</v>
      </c>
      <c r="T19" s="2599">
        <v>83331.982839999982</v>
      </c>
      <c r="U19" s="775">
        <f t="shared" si="88"/>
        <v>452652.2</v>
      </c>
      <c r="V19" s="775">
        <f t="shared" si="89"/>
        <v>387356.10843278351</v>
      </c>
      <c r="W19" s="2599">
        <v>49742</v>
      </c>
      <c r="X19" s="2599">
        <v>82045.410979999971</v>
      </c>
      <c r="Y19" s="774">
        <f t="shared" ref="Y19:Y21" si="111">+W19+S19+O19</f>
        <v>230945</v>
      </c>
      <c r="Z19" s="774">
        <f t="shared" ref="Z19:Z21" si="112">+X19+T19+P19</f>
        <v>243401.07381999993</v>
      </c>
      <c r="AA19" s="460">
        <f t="shared" ref="AA19:AA20" si="113">M19+Y19</f>
        <v>502394.2</v>
      </c>
      <c r="AB19" s="449">
        <f t="shared" ref="AB19:AB20" si="114">+N19+Z19</f>
        <v>469401.51941278344</v>
      </c>
      <c r="AC19" s="2599">
        <v>92378</v>
      </c>
      <c r="AD19" s="2599">
        <v>65815.383400000006</v>
      </c>
      <c r="AE19" s="775">
        <f t="shared" si="91"/>
        <v>594772.19999999995</v>
      </c>
      <c r="AF19" s="775">
        <f t="shared" si="92"/>
        <v>535216.90281278349</v>
      </c>
      <c r="AG19" s="2599">
        <v>89535.6</v>
      </c>
      <c r="AH19" s="2599">
        <v>91053.364400000006</v>
      </c>
      <c r="AI19" s="775">
        <f t="shared" si="93"/>
        <v>684307.79999999993</v>
      </c>
      <c r="AJ19" s="775">
        <f t="shared" si="94"/>
        <v>626270.26721278345</v>
      </c>
      <c r="AK19" s="2599">
        <v>92378</v>
      </c>
      <c r="AL19" s="2599">
        <v>86706.035699999979</v>
      </c>
      <c r="AM19" s="774">
        <f t="shared" si="95"/>
        <v>274291.59999999998</v>
      </c>
      <c r="AN19" s="774">
        <f t="shared" si="96"/>
        <v>243574.78349999996</v>
      </c>
      <c r="AO19" s="775">
        <f t="shared" si="107"/>
        <v>776685.79999999993</v>
      </c>
      <c r="AP19" s="775">
        <f t="shared" si="108"/>
        <v>712976.30291278346</v>
      </c>
      <c r="AQ19" s="2599">
        <v>93799.2</v>
      </c>
      <c r="AR19" s="2599">
        <v>83547</v>
      </c>
      <c r="AS19" s="775">
        <f t="shared" si="97"/>
        <v>870484.99999999988</v>
      </c>
      <c r="AT19" s="775">
        <f t="shared" si="98"/>
        <v>796523.30291278346</v>
      </c>
      <c r="AU19" s="2599">
        <v>83850.8</v>
      </c>
      <c r="AV19" s="2599">
        <v>69316.338400000022</v>
      </c>
      <c r="AW19" s="775">
        <f t="shared" si="99"/>
        <v>954335.79999999993</v>
      </c>
      <c r="AX19" s="775">
        <f t="shared" si="100"/>
        <v>865839.64131278347</v>
      </c>
      <c r="AY19" s="2599">
        <v>93799.2</v>
      </c>
      <c r="AZ19" s="2599">
        <v>73580.46550000002</v>
      </c>
      <c r="BA19" s="774">
        <f t="shared" si="101"/>
        <v>271449.2</v>
      </c>
      <c r="BB19" s="774">
        <f t="shared" si="102"/>
        <v>226443.80390000006</v>
      </c>
      <c r="BC19" s="464">
        <f t="shared" si="103"/>
        <v>545740.80000000005</v>
      </c>
      <c r="BD19" s="472">
        <f t="shared" si="104"/>
        <v>470018.58740000002</v>
      </c>
      <c r="BE19" s="775">
        <f t="shared" si="105"/>
        <v>1048134.9999999999</v>
      </c>
      <c r="BF19" s="775">
        <f t="shared" si="106"/>
        <v>939420.10681278352</v>
      </c>
      <c r="BG19" s="1520">
        <f t="shared" si="3"/>
        <v>0</v>
      </c>
      <c r="BH19" s="1520">
        <f t="shared" si="4"/>
        <v>0</v>
      </c>
      <c r="BI19" s="26"/>
      <c r="BJ19" s="26"/>
      <c r="BK19" s="26"/>
      <c r="BL19" s="26"/>
      <c r="BM19" s="26"/>
      <c r="BN19" s="26"/>
    </row>
    <row r="20" spans="1:66" x14ac:dyDescent="0.3">
      <c r="A20" s="144"/>
      <c r="B20" s="1706" t="s">
        <v>563</v>
      </c>
      <c r="C20" s="2546" t="s">
        <v>50</v>
      </c>
      <c r="D20" s="2599">
        <v>0</v>
      </c>
      <c r="E20" s="2599">
        <v>0</v>
      </c>
      <c r="F20" s="2599">
        <v>0</v>
      </c>
      <c r="G20" s="2599">
        <v>0</v>
      </c>
      <c r="H20" s="2599">
        <v>0</v>
      </c>
      <c r="I20" s="2538">
        <f>+E20+G20</f>
        <v>0</v>
      </c>
      <c r="J20" s="38">
        <f>+F20+H20</f>
        <v>0</v>
      </c>
      <c r="K20" s="2599">
        <v>0</v>
      </c>
      <c r="L20" s="2599">
        <v>0</v>
      </c>
      <c r="M20" s="774">
        <f t="shared" si="109"/>
        <v>0</v>
      </c>
      <c r="N20" s="774">
        <f t="shared" si="110"/>
        <v>0</v>
      </c>
      <c r="O20" s="2599">
        <v>0</v>
      </c>
      <c r="P20" s="2599">
        <v>10000</v>
      </c>
      <c r="Q20" s="775">
        <f t="shared" si="87"/>
        <v>0</v>
      </c>
      <c r="R20" s="585">
        <f t="shared" si="87"/>
        <v>10000</v>
      </c>
      <c r="S20" s="2599">
        <v>0</v>
      </c>
      <c r="T20" s="2599">
        <v>0</v>
      </c>
      <c r="U20" s="775">
        <f t="shared" si="88"/>
        <v>0</v>
      </c>
      <c r="V20" s="585">
        <f t="shared" si="89"/>
        <v>10000</v>
      </c>
      <c r="W20" s="2599">
        <v>0</v>
      </c>
      <c r="X20" s="2599">
        <v>6000</v>
      </c>
      <c r="Y20" s="774">
        <f t="shared" si="111"/>
        <v>0</v>
      </c>
      <c r="Z20" s="774">
        <f t="shared" si="112"/>
        <v>16000</v>
      </c>
      <c r="AA20" s="460">
        <f t="shared" si="113"/>
        <v>0</v>
      </c>
      <c r="AB20" s="449">
        <f t="shared" si="114"/>
        <v>16000</v>
      </c>
      <c r="AC20" s="2599">
        <v>0</v>
      </c>
      <c r="AD20" s="2599">
        <v>6000</v>
      </c>
      <c r="AE20" s="775">
        <f t="shared" si="91"/>
        <v>0</v>
      </c>
      <c r="AF20" s="585">
        <f t="shared" si="92"/>
        <v>22000</v>
      </c>
      <c r="AG20" s="2599">
        <v>0</v>
      </c>
      <c r="AH20" s="2599">
        <v>9000</v>
      </c>
      <c r="AI20" s="775">
        <f t="shared" si="93"/>
        <v>0</v>
      </c>
      <c r="AJ20" s="585">
        <f t="shared" si="94"/>
        <v>31000</v>
      </c>
      <c r="AK20" s="2599">
        <v>0</v>
      </c>
      <c r="AL20" s="2599">
        <v>17825</v>
      </c>
      <c r="AM20" s="774">
        <f t="shared" si="95"/>
        <v>0</v>
      </c>
      <c r="AN20" s="774">
        <f t="shared" si="96"/>
        <v>32825</v>
      </c>
      <c r="AO20" s="775">
        <f t="shared" si="107"/>
        <v>0</v>
      </c>
      <c r="AP20" s="775">
        <f t="shared" si="108"/>
        <v>48825</v>
      </c>
      <c r="AQ20" s="2599">
        <v>0</v>
      </c>
      <c r="AR20" s="2599">
        <v>8000</v>
      </c>
      <c r="AS20" s="775">
        <f t="shared" si="97"/>
        <v>0</v>
      </c>
      <c r="AT20" s="585">
        <f t="shared" si="98"/>
        <v>56825</v>
      </c>
      <c r="AU20" s="2599">
        <v>0</v>
      </c>
      <c r="AV20" s="2599">
        <v>5000</v>
      </c>
      <c r="AW20" s="775">
        <f t="shared" si="99"/>
        <v>0</v>
      </c>
      <c r="AX20" s="585">
        <f t="shared" si="100"/>
        <v>61825</v>
      </c>
      <c r="AY20" s="2599">
        <v>0</v>
      </c>
      <c r="AZ20" s="2599">
        <v>14000</v>
      </c>
      <c r="BA20" s="774">
        <f t="shared" si="101"/>
        <v>0</v>
      </c>
      <c r="BB20" s="774">
        <f t="shared" si="102"/>
        <v>27000</v>
      </c>
      <c r="BC20" s="464">
        <f t="shared" si="103"/>
        <v>0</v>
      </c>
      <c r="BD20" s="472">
        <f t="shared" si="104"/>
        <v>59825</v>
      </c>
      <c r="BE20" s="775">
        <f t="shared" si="105"/>
        <v>0</v>
      </c>
      <c r="BF20" s="585">
        <f t="shared" si="106"/>
        <v>75825</v>
      </c>
      <c r="BG20" s="1520">
        <f t="shared" si="3"/>
        <v>0</v>
      </c>
      <c r="BH20" s="1520">
        <f t="shared" si="4"/>
        <v>0</v>
      </c>
      <c r="BI20" s="26"/>
      <c r="BJ20" s="26"/>
      <c r="BK20" s="26"/>
      <c r="BL20" s="26"/>
      <c r="BM20" s="26"/>
      <c r="BN20" s="26"/>
    </row>
    <row r="21" spans="1:66" ht="16.2" thickBot="1" x14ac:dyDescent="0.35">
      <c r="A21" s="144" t="s">
        <v>470</v>
      </c>
      <c r="B21" s="1696" t="s">
        <v>104</v>
      </c>
      <c r="C21" s="2189" t="s">
        <v>50</v>
      </c>
      <c r="D21" s="1126">
        <v>1081234</v>
      </c>
      <c r="E21" s="229">
        <v>92363.04</v>
      </c>
      <c r="F21" s="229">
        <v>70955.830536000009</v>
      </c>
      <c r="G21" s="229">
        <v>95295.2</v>
      </c>
      <c r="H21" s="229">
        <v>75418.546496999988</v>
      </c>
      <c r="I21" s="2227">
        <f>+E21+G21</f>
        <v>187658.23999999999</v>
      </c>
      <c r="J21" s="1907">
        <f t="shared" si="5"/>
        <v>146374.377033</v>
      </c>
      <c r="K21" s="229">
        <v>92363.04</v>
      </c>
      <c r="L21" s="229">
        <v>72846.055192</v>
      </c>
      <c r="M21" s="2228">
        <f t="shared" si="86"/>
        <v>280021.27999999997</v>
      </c>
      <c r="N21" s="2228">
        <f t="shared" si="86"/>
        <v>219220.432225</v>
      </c>
      <c r="O21" s="229">
        <v>93462.6</v>
      </c>
      <c r="P21" s="229">
        <v>75682.969600000011</v>
      </c>
      <c r="Q21" s="2227">
        <f t="shared" si="87"/>
        <v>373483.88</v>
      </c>
      <c r="R21" s="2227">
        <f t="shared" si="87"/>
        <v>294903.40182500001</v>
      </c>
      <c r="S21" s="229">
        <v>93462.6</v>
      </c>
      <c r="T21" s="229">
        <v>80832.023354799981</v>
      </c>
      <c r="U21" s="2227">
        <f t="shared" si="88"/>
        <v>466946.48</v>
      </c>
      <c r="V21" s="2227">
        <f t="shared" si="89"/>
        <v>375735.42517980002</v>
      </c>
      <c r="W21" s="229">
        <v>51312.800000000003</v>
      </c>
      <c r="X21" s="229">
        <v>79584.048650599972</v>
      </c>
      <c r="Y21" s="2228">
        <f t="shared" si="111"/>
        <v>238238.00000000003</v>
      </c>
      <c r="Z21" s="2228">
        <f t="shared" si="112"/>
        <v>236099.04160539998</v>
      </c>
      <c r="AA21" s="2229">
        <f>+U21+W21</f>
        <v>518259.27999999997</v>
      </c>
      <c r="AB21" s="2230">
        <f>+V21+X21</f>
        <v>455319.47383039998</v>
      </c>
      <c r="AC21" s="229">
        <v>95295.2</v>
      </c>
      <c r="AD21" s="229">
        <v>63840.921898000001</v>
      </c>
      <c r="AE21" s="584">
        <f t="shared" si="91"/>
        <v>613554.48</v>
      </c>
      <c r="AF21" s="584">
        <f t="shared" si="92"/>
        <v>519160.39572839998</v>
      </c>
      <c r="AG21" s="229">
        <v>92363.04</v>
      </c>
      <c r="AH21" s="229">
        <v>88321.763468000005</v>
      </c>
      <c r="AI21" s="584">
        <f t="shared" si="93"/>
        <v>705917.52</v>
      </c>
      <c r="AJ21" s="584">
        <f t="shared" si="94"/>
        <v>607482.15919639997</v>
      </c>
      <c r="AK21" s="229">
        <v>95295.2</v>
      </c>
      <c r="AL21" s="229">
        <v>84104.854628999979</v>
      </c>
      <c r="AM21" s="2228">
        <f t="shared" si="95"/>
        <v>282953.44</v>
      </c>
      <c r="AN21" s="2228">
        <f t="shared" si="96"/>
        <v>236267.539995</v>
      </c>
      <c r="AO21" s="775">
        <f t="shared" si="107"/>
        <v>801212.72</v>
      </c>
      <c r="AP21" s="775">
        <f t="shared" si="108"/>
        <v>691587.01382539992</v>
      </c>
      <c r="AQ21" s="229">
        <v>96761.279999999999</v>
      </c>
      <c r="AR21" s="229">
        <v>81040.671480000005</v>
      </c>
      <c r="AS21" s="584">
        <f t="shared" si="97"/>
        <v>897974</v>
      </c>
      <c r="AT21" s="584">
        <f t="shared" si="98"/>
        <v>772627.68530539994</v>
      </c>
      <c r="AU21" s="229">
        <v>86498.72</v>
      </c>
      <c r="AV21" s="229">
        <v>67236.848248000024</v>
      </c>
      <c r="AW21" s="584">
        <f t="shared" si="99"/>
        <v>984472.72</v>
      </c>
      <c r="AX21" s="584">
        <f t="shared" si="100"/>
        <v>839864.53355339996</v>
      </c>
      <c r="AY21" s="229">
        <v>96761.279999999999</v>
      </c>
      <c r="AZ21" s="229">
        <v>71373.051535000021</v>
      </c>
      <c r="BA21" s="2228">
        <f t="shared" si="101"/>
        <v>280021.28000000003</v>
      </c>
      <c r="BB21" s="2228">
        <f t="shared" si="102"/>
        <v>219650.57126300008</v>
      </c>
      <c r="BC21" s="2248">
        <f>AM21+BA21</f>
        <v>562974.71999999997</v>
      </c>
      <c r="BD21" s="463">
        <f>+AN21+BB21</f>
        <v>455918.11125800008</v>
      </c>
      <c r="BE21" s="584">
        <f t="shared" si="105"/>
        <v>1081234</v>
      </c>
      <c r="BF21" s="584">
        <f t="shared" si="106"/>
        <v>911237.58508839994</v>
      </c>
      <c r="BG21" s="1520">
        <f t="shared" si="3"/>
        <v>0</v>
      </c>
      <c r="BH21" s="1520">
        <f t="shared" si="4"/>
        <v>0</v>
      </c>
      <c r="BI21" s="26"/>
      <c r="BJ21" s="26"/>
      <c r="BK21" s="26"/>
      <c r="BL21" s="26"/>
      <c r="BM21" s="26"/>
      <c r="BN21" s="26"/>
    </row>
    <row r="22" spans="1:66" ht="16.2" thickBot="1" x14ac:dyDescent="0.35">
      <c r="A22" s="145"/>
      <c r="B22" s="1698" t="s">
        <v>445</v>
      </c>
      <c r="C22" s="1707"/>
      <c r="D22" s="2080"/>
      <c r="E22" s="2080"/>
      <c r="F22" s="2080"/>
      <c r="G22" s="2080"/>
      <c r="H22" s="2080"/>
      <c r="I22" s="1707"/>
      <c r="J22" s="3113"/>
      <c r="K22" s="2080"/>
      <c r="L22" s="2080"/>
      <c r="M22" s="1707"/>
      <c r="N22" s="1707"/>
      <c r="O22" s="2080"/>
      <c r="P22" s="2080"/>
      <c r="Q22" s="1707"/>
      <c r="R22" s="1707"/>
      <c r="S22" s="2080"/>
      <c r="T22" s="2080"/>
      <c r="U22" s="1707"/>
      <c r="V22" s="1707"/>
      <c r="W22" s="2080"/>
      <c r="X22" s="2080"/>
      <c r="Y22" s="1707"/>
      <c r="Z22" s="1707"/>
      <c r="AA22" s="1707"/>
      <c r="AB22" s="1381"/>
      <c r="AC22" s="2080"/>
      <c r="AD22" s="2080"/>
      <c r="AE22" s="1707"/>
      <c r="AF22" s="1707"/>
      <c r="AG22" s="2080"/>
      <c r="AH22" s="2080"/>
      <c r="AI22" s="1707"/>
      <c r="AJ22" s="1707"/>
      <c r="AK22" s="2080"/>
      <c r="AL22" s="2080"/>
      <c r="AM22" s="1707"/>
      <c r="AN22" s="1707"/>
      <c r="AO22" s="1707"/>
      <c r="AP22" s="1707"/>
      <c r="AQ22" s="2080"/>
      <c r="AR22" s="2080"/>
      <c r="AS22" s="1707"/>
      <c r="AT22" s="1707"/>
      <c r="AU22" s="2080"/>
      <c r="AV22" s="2080"/>
      <c r="AW22" s="1707"/>
      <c r="AX22" s="1707"/>
      <c r="AY22" s="2080"/>
      <c r="AZ22" s="2080"/>
      <c r="BA22" s="1707"/>
      <c r="BB22" s="1707"/>
      <c r="BC22" s="1707"/>
      <c r="BD22" s="1381"/>
      <c r="BE22" s="1707"/>
      <c r="BF22" s="1707"/>
      <c r="BG22" s="1520">
        <f t="shared" si="3"/>
        <v>0</v>
      </c>
      <c r="BH22" s="1520">
        <f t="shared" si="4"/>
        <v>0</v>
      </c>
      <c r="BI22" s="26"/>
      <c r="BJ22" s="26"/>
      <c r="BK22" s="26"/>
      <c r="BL22" s="26"/>
      <c r="BM22" s="26"/>
      <c r="BN22" s="26"/>
    </row>
    <row r="23" spans="1:66" x14ac:dyDescent="0.3">
      <c r="A23" s="144" t="s">
        <v>470</v>
      </c>
      <c r="B23" s="1701" t="s">
        <v>238</v>
      </c>
      <c r="C23" s="751" t="s">
        <v>50</v>
      </c>
      <c r="D23" s="155">
        <f t="shared" ref="D23:E25" si="115">+D$6*D39/1000</f>
        <v>1050908</v>
      </c>
      <c r="E23" s="155">
        <f t="shared" si="115"/>
        <v>89712</v>
      </c>
      <c r="F23" s="270">
        <v>78684.817500000019</v>
      </c>
      <c r="G23" s="155">
        <f t="shared" ref="G23" si="116">+G$6*G39/1000</f>
        <v>92560</v>
      </c>
      <c r="H23" s="270">
        <v>88475.2503</v>
      </c>
      <c r="I23" s="707">
        <f>+E23+G23</f>
        <v>182272</v>
      </c>
      <c r="J23" s="42">
        <f t="shared" si="5"/>
        <v>167160.06780000002</v>
      </c>
      <c r="K23" s="155">
        <f t="shared" ref="K23:K25" si="117">+K$6*K39/1000</f>
        <v>89712</v>
      </c>
      <c r="L23" s="270">
        <v>91104.908899999995</v>
      </c>
      <c r="M23" s="711">
        <f t="shared" ref="M23:N23" si="118">+K23+G23+E23</f>
        <v>271984</v>
      </c>
      <c r="N23" s="711">
        <f t="shared" si="118"/>
        <v>258264.9767</v>
      </c>
      <c r="O23" s="155">
        <f t="shared" ref="O23:O25" si="119">+O$6*O39/1000</f>
        <v>90780</v>
      </c>
      <c r="P23" s="270">
        <v>97220.250600000014</v>
      </c>
      <c r="Q23" s="707">
        <f t="shared" ref="Q23:R25" si="120">+M23+O23</f>
        <v>362764</v>
      </c>
      <c r="R23" s="42">
        <f t="shared" si="120"/>
        <v>355485.22730000003</v>
      </c>
      <c r="S23" s="155">
        <f t="shared" ref="S23:S25" si="121">+S$6*S39/1000</f>
        <v>90780</v>
      </c>
      <c r="T23" s="270">
        <v>92678.77111999999</v>
      </c>
      <c r="U23" s="707">
        <f t="shared" ref="U23:U25" si="122">+Q23+S23</f>
        <v>453544</v>
      </c>
      <c r="V23" s="42">
        <f t="shared" ref="V23:V25" si="123">+R23+T23</f>
        <v>448163.99842000002</v>
      </c>
      <c r="W23" s="155">
        <f t="shared" ref="W23:W25" si="124">+W$6*W39/1000</f>
        <v>53620</v>
      </c>
      <c r="X23" s="270">
        <v>94980.636339999997</v>
      </c>
      <c r="Y23" s="711">
        <f t="shared" ref="Y23:Z23" si="125">+W23+S23+O23</f>
        <v>235180</v>
      </c>
      <c r="Z23" s="72">
        <f t="shared" si="125"/>
        <v>284879.65805999999</v>
      </c>
      <c r="AA23" s="709">
        <f>M23+Y23</f>
        <v>507164</v>
      </c>
      <c r="AB23" s="453">
        <f>+N23+Z23</f>
        <v>543144.63476000004</v>
      </c>
      <c r="AC23" s="155">
        <f t="shared" ref="AC23:AC25" si="126">+AC$6*AC39/1000</f>
        <v>92040</v>
      </c>
      <c r="AD23" s="270">
        <v>82612.429080000002</v>
      </c>
      <c r="AE23" s="707">
        <f t="shared" ref="AE23:AE25" si="127">+AA23+AC23</f>
        <v>599204</v>
      </c>
      <c r="AF23" s="42">
        <f t="shared" ref="AF23:AF25" si="128">+AB23+AD23</f>
        <v>625757.06384000008</v>
      </c>
      <c r="AG23" s="155">
        <f t="shared" ref="AG23:AG25" si="129">+AG$6*AG39/1000</f>
        <v>89208</v>
      </c>
      <c r="AH23" s="270">
        <v>89431</v>
      </c>
      <c r="AI23" s="707">
        <f t="shared" ref="AI23:AI25" si="130">+AE23+AG23</f>
        <v>688412</v>
      </c>
      <c r="AJ23" s="42">
        <f t="shared" ref="AJ23:AJ25" si="131">+AF23+AH23</f>
        <v>715188.06384000008</v>
      </c>
      <c r="AK23" s="155">
        <f t="shared" ref="AK23:AK25" si="132">+AK$6*AK39/1000</f>
        <v>92040</v>
      </c>
      <c r="AL23" s="270">
        <v>95439.613600000026</v>
      </c>
      <c r="AM23" s="711">
        <f t="shared" ref="AM23:AM25" si="133">+AK23+AG23+AC23</f>
        <v>273288</v>
      </c>
      <c r="AN23" s="72">
        <f t="shared" ref="AN23:AN25" si="134">+AL23+AH23+AD23</f>
        <v>267483.04268000007</v>
      </c>
      <c r="AO23" s="775">
        <f t="shared" si="107"/>
        <v>780452</v>
      </c>
      <c r="AP23" s="775">
        <f t="shared" si="107"/>
        <v>810627.67744000012</v>
      </c>
      <c r="AQ23" s="155">
        <f t="shared" ref="AQ23:AQ25" si="135">+AQ$6*AQ39/1000</f>
        <v>93456</v>
      </c>
      <c r="AR23" s="270">
        <v>94365.280469999998</v>
      </c>
      <c r="AS23" s="707">
        <f t="shared" ref="AS23:AS25" si="136">+AO23+AQ23</f>
        <v>873908</v>
      </c>
      <c r="AT23" s="42">
        <f t="shared" ref="AT23:AT25" si="137">+AP23+AR23</f>
        <v>904992.95791000011</v>
      </c>
      <c r="AU23" s="155">
        <f t="shared" ref="AU23:AU25" si="138">+AU$6*AU39/1000</f>
        <v>83544</v>
      </c>
      <c r="AV23" s="270">
        <v>84493.69425</v>
      </c>
      <c r="AW23" s="707">
        <f t="shared" ref="AW23:AW25" si="139">+AS23+AU23</f>
        <v>957452</v>
      </c>
      <c r="AX23" s="42">
        <f t="shared" ref="AX23:AX25" si="140">+AT23+AV23</f>
        <v>989486.65216000006</v>
      </c>
      <c r="AY23" s="155">
        <f t="shared" ref="AY23:AY25" si="141">+AY$6*AY39/1000</f>
        <v>93456</v>
      </c>
      <c r="AZ23" s="270">
        <v>92471.241399999999</v>
      </c>
      <c r="BA23" s="711">
        <f t="shared" ref="BA23:BA25" si="142">+AY23+AU23+AQ23</f>
        <v>270456</v>
      </c>
      <c r="BB23" s="72">
        <f t="shared" ref="BB23:BB25" si="143">+AZ23+AV23+AR23</f>
        <v>271330.21612</v>
      </c>
      <c r="BC23" s="464">
        <f t="shared" ref="BC23" si="144">AM23+BA23</f>
        <v>543744</v>
      </c>
      <c r="BD23" s="472">
        <f t="shared" ref="BD23" si="145">+AN23+BB23</f>
        <v>538813.25880000007</v>
      </c>
      <c r="BE23" s="707">
        <f t="shared" ref="BE23:BE25" si="146">+AW23+AY23</f>
        <v>1050908</v>
      </c>
      <c r="BF23" s="42">
        <f t="shared" ref="BF23:BF25" si="147">+AX23+AZ23</f>
        <v>1081957.89356</v>
      </c>
      <c r="BG23" s="1520">
        <f t="shared" si="3"/>
        <v>0</v>
      </c>
      <c r="BH23" s="1520">
        <f t="shared" si="4"/>
        <v>0</v>
      </c>
      <c r="BI23" s="26"/>
      <c r="BJ23" s="26"/>
      <c r="BK23" s="26"/>
      <c r="BL23" s="26"/>
      <c r="BM23" s="26"/>
      <c r="BN23" s="26"/>
    </row>
    <row r="24" spans="1:66" x14ac:dyDescent="0.3">
      <c r="A24" s="144" t="s">
        <v>470</v>
      </c>
      <c r="B24" s="1699" t="s">
        <v>1</v>
      </c>
      <c r="C24" s="2803" t="s">
        <v>50</v>
      </c>
      <c r="D24" s="2537">
        <f t="shared" si="115"/>
        <v>85410</v>
      </c>
      <c r="E24" s="2537">
        <f t="shared" si="115"/>
        <v>7308</v>
      </c>
      <c r="F24" s="2599">
        <v>6494.4988000000003</v>
      </c>
      <c r="G24" s="2537">
        <f t="shared" ref="G24" si="148">+G$6*G40/1000</f>
        <v>7540</v>
      </c>
      <c r="H24" s="2599">
        <v>7479.2059999999992</v>
      </c>
      <c r="I24" s="713">
        <f>+E24+G24</f>
        <v>14848</v>
      </c>
      <c r="J24" s="61">
        <f t="shared" si="5"/>
        <v>13973.7048</v>
      </c>
      <c r="K24" s="2537">
        <f t="shared" si="117"/>
        <v>7308</v>
      </c>
      <c r="L24" s="2599">
        <v>8335.2548999999999</v>
      </c>
      <c r="M24" s="67">
        <f t="shared" ref="M24:M25" si="149">+K24+G24+E24</f>
        <v>22156</v>
      </c>
      <c r="N24" s="67">
        <f t="shared" ref="N24:N25" si="150">+L24+H24+F24</f>
        <v>22308.959699999999</v>
      </c>
      <c r="O24" s="2537">
        <f t="shared" si="119"/>
        <v>7395</v>
      </c>
      <c r="P24" s="2599">
        <v>10931.993400000003</v>
      </c>
      <c r="Q24" s="713">
        <f t="shared" si="120"/>
        <v>29551</v>
      </c>
      <c r="R24" s="61">
        <f t="shared" si="120"/>
        <v>33240.953099999999</v>
      </c>
      <c r="S24" s="2537">
        <f t="shared" si="121"/>
        <v>7395</v>
      </c>
      <c r="T24" s="2599">
        <v>9434.9160300000003</v>
      </c>
      <c r="U24" s="713">
        <f t="shared" si="122"/>
        <v>36946</v>
      </c>
      <c r="V24" s="61">
        <f t="shared" si="123"/>
        <v>42675.869129999999</v>
      </c>
      <c r="W24" s="2537">
        <f t="shared" si="124"/>
        <v>3920</v>
      </c>
      <c r="X24" s="2599">
        <v>8937.2429000000029</v>
      </c>
      <c r="Y24" s="67">
        <f t="shared" ref="Y24:Y25" si="151">+W24+S24+O24</f>
        <v>18710</v>
      </c>
      <c r="Z24" s="68">
        <f t="shared" ref="Z24:Z25" si="152">+X24+T24+P24</f>
        <v>29304.152330000008</v>
      </c>
      <c r="AA24" s="788">
        <f t="shared" ref="AA24:AA25" si="153">M24+Y24</f>
        <v>40866</v>
      </c>
      <c r="AB24" s="472">
        <f t="shared" ref="AB24:AB25" si="154">+N24+Z24</f>
        <v>51613.112030000004</v>
      </c>
      <c r="AC24" s="2537">
        <f t="shared" si="126"/>
        <v>7540</v>
      </c>
      <c r="AD24" s="2599">
        <v>6146.5302000000011</v>
      </c>
      <c r="AE24" s="713">
        <f t="shared" si="127"/>
        <v>48406</v>
      </c>
      <c r="AF24" s="61">
        <f t="shared" si="128"/>
        <v>57759.642230000005</v>
      </c>
      <c r="AG24" s="2537">
        <f t="shared" si="129"/>
        <v>7308</v>
      </c>
      <c r="AH24" s="2599">
        <v>9215</v>
      </c>
      <c r="AI24" s="713">
        <f t="shared" si="130"/>
        <v>55714</v>
      </c>
      <c r="AJ24" s="61">
        <f t="shared" si="131"/>
        <v>66974.642229999998</v>
      </c>
      <c r="AK24" s="2537">
        <f t="shared" si="132"/>
        <v>7540</v>
      </c>
      <c r="AL24" s="2599">
        <v>8963.0492999999988</v>
      </c>
      <c r="AM24" s="67">
        <f t="shared" si="133"/>
        <v>22388</v>
      </c>
      <c r="AN24" s="68">
        <f t="shared" si="134"/>
        <v>24324.5795</v>
      </c>
      <c r="AO24" s="775">
        <f t="shared" ref="AO24:AP27" si="155">+AK24+AI24</f>
        <v>63254</v>
      </c>
      <c r="AP24" s="775">
        <f t="shared" ref="AP24:AP25" si="156">+AL24+AJ24</f>
        <v>75937.691529999996</v>
      </c>
      <c r="AQ24" s="2537">
        <f t="shared" si="135"/>
        <v>7656</v>
      </c>
      <c r="AR24" s="2599">
        <v>7792.9575640000003</v>
      </c>
      <c r="AS24" s="713">
        <f t="shared" si="136"/>
        <v>70910</v>
      </c>
      <c r="AT24" s="61">
        <f t="shared" si="137"/>
        <v>83730.649093999993</v>
      </c>
      <c r="AU24" s="2537">
        <f t="shared" si="138"/>
        <v>6844</v>
      </c>
      <c r="AV24" s="2599">
        <v>5861.8010599999998</v>
      </c>
      <c r="AW24" s="713">
        <f t="shared" si="139"/>
        <v>77754</v>
      </c>
      <c r="AX24" s="61">
        <f t="shared" si="140"/>
        <v>89592.450153999991</v>
      </c>
      <c r="AY24" s="2537">
        <f t="shared" si="141"/>
        <v>7656</v>
      </c>
      <c r="AZ24" s="2599">
        <v>8283.8433999999997</v>
      </c>
      <c r="BA24" s="67">
        <f t="shared" si="142"/>
        <v>22156</v>
      </c>
      <c r="BB24" s="68">
        <f t="shared" si="143"/>
        <v>21938.602024</v>
      </c>
      <c r="BC24" s="464">
        <f t="shared" ref="BC24:BC25" si="157">AM24+BA24</f>
        <v>44544</v>
      </c>
      <c r="BD24" s="472">
        <f t="shared" ref="BD24:BD25" si="158">+AN24+BB24</f>
        <v>46263.181524</v>
      </c>
      <c r="BE24" s="713">
        <f t="shared" si="146"/>
        <v>85410</v>
      </c>
      <c r="BF24" s="61">
        <f t="shared" si="147"/>
        <v>97876.293553999989</v>
      </c>
      <c r="BG24" s="1520">
        <f t="shared" si="3"/>
        <v>0</v>
      </c>
      <c r="BH24" s="1520">
        <f t="shared" si="4"/>
        <v>0</v>
      </c>
      <c r="BI24" s="26"/>
      <c r="BJ24" s="26"/>
      <c r="BK24" s="26"/>
      <c r="BL24" s="26"/>
      <c r="BM24" s="26"/>
      <c r="BN24" s="26"/>
    </row>
    <row r="25" spans="1:66" ht="15" thickBot="1" x14ac:dyDescent="0.35">
      <c r="A25" s="144" t="s">
        <v>470</v>
      </c>
      <c r="B25" s="1703" t="s">
        <v>124</v>
      </c>
      <c r="C25" s="2907" t="s">
        <v>50</v>
      </c>
      <c r="D25" s="2801">
        <f t="shared" si="115"/>
        <v>441511.99999999994</v>
      </c>
      <c r="E25" s="2801">
        <f t="shared" si="115"/>
        <v>37800</v>
      </c>
      <c r="F25" s="2840">
        <v>34122.403299999998</v>
      </c>
      <c r="G25" s="2801">
        <f t="shared" ref="G25" si="159">+G$6*G41/1000</f>
        <v>39000</v>
      </c>
      <c r="H25" s="2840">
        <v>39876.654799999997</v>
      </c>
      <c r="I25" s="2049">
        <f>+E25+G25</f>
        <v>76800</v>
      </c>
      <c r="J25" s="530">
        <f t="shared" si="5"/>
        <v>73999.058099999995</v>
      </c>
      <c r="K25" s="2801">
        <f t="shared" si="117"/>
        <v>37800</v>
      </c>
      <c r="L25" s="2840">
        <v>40595.159399999997</v>
      </c>
      <c r="M25" s="67">
        <f t="shared" si="149"/>
        <v>114600</v>
      </c>
      <c r="N25" s="67">
        <f t="shared" si="150"/>
        <v>114594.2175</v>
      </c>
      <c r="O25" s="2801">
        <f t="shared" si="119"/>
        <v>38250</v>
      </c>
      <c r="P25" s="2840">
        <v>38284.482700000008</v>
      </c>
      <c r="Q25" s="713">
        <f t="shared" si="120"/>
        <v>152850</v>
      </c>
      <c r="R25" s="61">
        <f t="shared" si="120"/>
        <v>152878.70020000002</v>
      </c>
      <c r="S25" s="2801">
        <f t="shared" si="121"/>
        <v>38250</v>
      </c>
      <c r="T25" s="2840">
        <v>35925.433679999995</v>
      </c>
      <c r="U25" s="713">
        <f t="shared" si="122"/>
        <v>191100</v>
      </c>
      <c r="V25" s="61">
        <f t="shared" si="123"/>
        <v>188804.13388000001</v>
      </c>
      <c r="W25" s="2801">
        <f t="shared" si="124"/>
        <v>16940</v>
      </c>
      <c r="X25" s="2840">
        <v>31276.365060000004</v>
      </c>
      <c r="Y25" s="67">
        <f t="shared" si="151"/>
        <v>93440</v>
      </c>
      <c r="Z25" s="68">
        <f t="shared" si="152"/>
        <v>105486.28144000001</v>
      </c>
      <c r="AA25" s="788">
        <f t="shared" si="153"/>
        <v>208040</v>
      </c>
      <c r="AB25" s="472">
        <f t="shared" si="154"/>
        <v>220080.49894000002</v>
      </c>
      <c r="AC25" s="2801">
        <f t="shared" si="126"/>
        <v>39520</v>
      </c>
      <c r="AD25" s="2840">
        <v>25464.928199999998</v>
      </c>
      <c r="AE25" s="713">
        <f t="shared" si="127"/>
        <v>247560</v>
      </c>
      <c r="AF25" s="61">
        <f t="shared" si="128"/>
        <v>245545.42714000001</v>
      </c>
      <c r="AG25" s="2801">
        <f t="shared" si="129"/>
        <v>38304</v>
      </c>
      <c r="AH25" s="2840">
        <v>33363</v>
      </c>
      <c r="AI25" s="713">
        <f t="shared" si="130"/>
        <v>285864</v>
      </c>
      <c r="AJ25" s="61">
        <f t="shared" si="131"/>
        <v>278908.42714000004</v>
      </c>
      <c r="AK25" s="2801">
        <f t="shared" si="132"/>
        <v>39520</v>
      </c>
      <c r="AL25" s="2840">
        <v>32920.386899999998</v>
      </c>
      <c r="AM25" s="67">
        <f t="shared" si="133"/>
        <v>117344</v>
      </c>
      <c r="AN25" s="68">
        <f t="shared" si="134"/>
        <v>91748.315099999993</v>
      </c>
      <c r="AO25" s="775">
        <f t="shared" si="155"/>
        <v>325384</v>
      </c>
      <c r="AP25" s="775">
        <f t="shared" si="156"/>
        <v>311828.81404000003</v>
      </c>
      <c r="AQ25" s="2801">
        <f t="shared" si="135"/>
        <v>40128</v>
      </c>
      <c r="AR25" s="2840">
        <v>31787.504239999998</v>
      </c>
      <c r="AS25" s="713">
        <f t="shared" si="136"/>
        <v>365512</v>
      </c>
      <c r="AT25" s="61">
        <f t="shared" si="137"/>
        <v>343616.31828000001</v>
      </c>
      <c r="AU25" s="2801">
        <f t="shared" si="138"/>
        <v>35872</v>
      </c>
      <c r="AV25" s="2840">
        <v>17532.9774</v>
      </c>
      <c r="AW25" s="713">
        <f t="shared" si="139"/>
        <v>401384</v>
      </c>
      <c r="AX25" s="61">
        <f t="shared" si="140"/>
        <v>361149.29567999998</v>
      </c>
      <c r="AY25" s="2801">
        <f t="shared" si="141"/>
        <v>40128</v>
      </c>
      <c r="AZ25" s="2840">
        <v>34108.780900000012</v>
      </c>
      <c r="BA25" s="67">
        <f t="shared" si="142"/>
        <v>116128</v>
      </c>
      <c r="BB25" s="68">
        <f t="shared" si="143"/>
        <v>83429.262540000011</v>
      </c>
      <c r="BC25" s="464">
        <f t="shared" si="157"/>
        <v>233472</v>
      </c>
      <c r="BD25" s="472">
        <f t="shared" si="158"/>
        <v>175177.57764</v>
      </c>
      <c r="BE25" s="713">
        <f t="shared" si="146"/>
        <v>441512</v>
      </c>
      <c r="BF25" s="61">
        <f t="shared" si="147"/>
        <v>395258.07657999999</v>
      </c>
      <c r="BG25" s="1520">
        <f t="shared" si="3"/>
        <v>0</v>
      </c>
      <c r="BH25" s="1520">
        <f t="shared" si="4"/>
        <v>0</v>
      </c>
      <c r="BI25" s="26"/>
      <c r="BJ25" s="26"/>
      <c r="BK25" s="26"/>
      <c r="BL25" s="26"/>
      <c r="BM25" s="26"/>
      <c r="BN25" s="26"/>
    </row>
    <row r="26" spans="1:66" ht="16.2" thickBot="1" x14ac:dyDescent="0.35">
      <c r="A26" s="144" t="s">
        <v>470</v>
      </c>
      <c r="B26" s="1704" t="s">
        <v>239</v>
      </c>
      <c r="C26" s="490" t="s">
        <v>50</v>
      </c>
      <c r="D26" s="2224">
        <f>SUM(D23:D25)</f>
        <v>1577830</v>
      </c>
      <c r="E26" s="2224">
        <f t="shared" ref="E26:L26" si="160">SUM(E23:E25)</f>
        <v>134820</v>
      </c>
      <c r="F26" s="2340">
        <f t="shared" si="160"/>
        <v>119301.71960000001</v>
      </c>
      <c r="G26" s="2224">
        <f t="shared" ref="G26:H26" si="161">SUM(G23:G25)</f>
        <v>139100</v>
      </c>
      <c r="H26" s="2340">
        <f t="shared" si="161"/>
        <v>135831.11110000001</v>
      </c>
      <c r="I26" s="39">
        <f t="shared" si="160"/>
        <v>273920</v>
      </c>
      <c r="J26" s="40">
        <f t="shared" si="160"/>
        <v>255132.83070000002</v>
      </c>
      <c r="K26" s="2224">
        <f t="shared" si="160"/>
        <v>134820</v>
      </c>
      <c r="L26" s="2340">
        <f t="shared" si="160"/>
        <v>140035.32319999998</v>
      </c>
      <c r="M26" s="349">
        <f t="shared" ref="M26:R26" si="162">SUM(M23:M25)</f>
        <v>408740</v>
      </c>
      <c r="N26" s="66">
        <f t="shared" si="162"/>
        <v>395168.15390000003</v>
      </c>
      <c r="O26" s="2224">
        <f t="shared" si="162"/>
        <v>136425</v>
      </c>
      <c r="P26" s="2340">
        <f t="shared" si="162"/>
        <v>146436.72670000003</v>
      </c>
      <c r="Q26" s="39">
        <f t="shared" si="162"/>
        <v>545165</v>
      </c>
      <c r="R26" s="40">
        <f t="shared" si="162"/>
        <v>541604.88060000003</v>
      </c>
      <c r="S26" s="2224">
        <f t="shared" ref="S26:T26" si="163">SUM(S23:S25)</f>
        <v>136425</v>
      </c>
      <c r="T26" s="2340">
        <f t="shared" si="163"/>
        <v>138039.12082999997</v>
      </c>
      <c r="U26" s="39">
        <f t="shared" ref="U26:X26" si="164">SUM(U23:U25)</f>
        <v>681590</v>
      </c>
      <c r="V26" s="40">
        <f t="shared" si="164"/>
        <v>679644.00143000006</v>
      </c>
      <c r="W26" s="2224">
        <f t="shared" si="164"/>
        <v>74480</v>
      </c>
      <c r="X26" s="2340">
        <f t="shared" si="164"/>
        <v>135194.24429999999</v>
      </c>
      <c r="Y26" s="349">
        <f t="shared" ref="Y26:Z26" si="165">SUM(Y23:Y25)</f>
        <v>347330</v>
      </c>
      <c r="Z26" s="66">
        <f t="shared" si="165"/>
        <v>419670.09182999999</v>
      </c>
      <c r="AA26" s="458">
        <f t="shared" ref="AA26:AF26" si="166">SUM(AA23:AA25)</f>
        <v>756070</v>
      </c>
      <c r="AB26" s="455">
        <f t="shared" si="166"/>
        <v>814838.24573000008</v>
      </c>
      <c r="AC26" s="2224">
        <f t="shared" si="166"/>
        <v>139100</v>
      </c>
      <c r="AD26" s="2340">
        <f t="shared" si="166"/>
        <v>114223.88748</v>
      </c>
      <c r="AE26" s="39">
        <f t="shared" si="166"/>
        <v>895170</v>
      </c>
      <c r="AF26" s="40">
        <f t="shared" si="166"/>
        <v>929062.13321000012</v>
      </c>
      <c r="AG26" s="2224">
        <f t="shared" ref="AG26:AH26" si="167">SUM(AG23:AG25)</f>
        <v>134820</v>
      </c>
      <c r="AH26" s="2340">
        <f t="shared" si="167"/>
        <v>132009</v>
      </c>
      <c r="AI26" s="39">
        <f t="shared" ref="AI26:AL26" si="168">SUM(AI23:AI25)</f>
        <v>1029990</v>
      </c>
      <c r="AJ26" s="40">
        <f t="shared" si="168"/>
        <v>1061071.1332100001</v>
      </c>
      <c r="AK26" s="2224">
        <f t="shared" si="168"/>
        <v>139100</v>
      </c>
      <c r="AL26" s="2340">
        <f t="shared" si="168"/>
        <v>137323.04980000004</v>
      </c>
      <c r="AM26" s="349">
        <f t="shared" ref="AM26:AT26" si="169">SUM(AM23:AM25)</f>
        <v>413020</v>
      </c>
      <c r="AN26" s="66">
        <f t="shared" si="169"/>
        <v>383555.93728000007</v>
      </c>
      <c r="AO26" s="39">
        <f t="shared" si="169"/>
        <v>1169090</v>
      </c>
      <c r="AP26" s="40">
        <f t="shared" si="169"/>
        <v>1198394.18301</v>
      </c>
      <c r="AQ26" s="2224">
        <f t="shared" si="169"/>
        <v>141240</v>
      </c>
      <c r="AR26" s="2340">
        <f t="shared" si="169"/>
        <v>133945.74227399999</v>
      </c>
      <c r="AS26" s="39">
        <f t="shared" si="169"/>
        <v>1310330</v>
      </c>
      <c r="AT26" s="40">
        <f t="shared" si="169"/>
        <v>1332339.9252840001</v>
      </c>
      <c r="AU26" s="2224">
        <f t="shared" ref="AU26:AV26" si="170">SUM(AU23:AU25)</f>
        <v>126260</v>
      </c>
      <c r="AV26" s="2340">
        <f t="shared" si="170"/>
        <v>107888.47271</v>
      </c>
      <c r="AW26" s="39">
        <f t="shared" ref="AW26:AZ26" si="171">SUM(AW23:AW25)</f>
        <v>1436590</v>
      </c>
      <c r="AX26" s="40">
        <f t="shared" si="171"/>
        <v>1440228.397994</v>
      </c>
      <c r="AY26" s="2224">
        <f t="shared" si="171"/>
        <v>141240</v>
      </c>
      <c r="AZ26" s="2340">
        <f t="shared" si="171"/>
        <v>134863.86570000002</v>
      </c>
      <c r="BA26" s="349">
        <f t="shared" ref="BA26:BD26" si="172">SUM(BA23:BA25)</f>
        <v>408740</v>
      </c>
      <c r="BB26" s="66">
        <f t="shared" si="172"/>
        <v>376698.08068400004</v>
      </c>
      <c r="BC26" s="458">
        <f t="shared" si="172"/>
        <v>821760</v>
      </c>
      <c r="BD26" s="455">
        <f t="shared" si="172"/>
        <v>760254.01796400012</v>
      </c>
      <c r="BE26" s="39">
        <f t="shared" ref="BE26:BF26" si="173">SUM(BE23:BE25)</f>
        <v>1577830</v>
      </c>
      <c r="BF26" s="40">
        <f t="shared" si="173"/>
        <v>1575092.263694</v>
      </c>
      <c r="BG26" s="1520">
        <f t="shared" si="3"/>
        <v>0</v>
      </c>
      <c r="BH26" s="1520">
        <f t="shared" si="4"/>
        <v>0</v>
      </c>
      <c r="BI26" s="26"/>
      <c r="BJ26" s="26"/>
      <c r="BK26" s="26"/>
      <c r="BL26" s="26"/>
      <c r="BM26" s="26"/>
      <c r="BN26" s="26"/>
    </row>
    <row r="27" spans="1:66" x14ac:dyDescent="0.3">
      <c r="A27" s="144" t="s">
        <v>470</v>
      </c>
      <c r="B27" s="1709" t="s">
        <v>19</v>
      </c>
      <c r="C27" s="59" t="s">
        <v>50</v>
      </c>
      <c r="D27" s="1186">
        <f t="shared" ref="D27:E30" si="174">+D$6*D43/1000</f>
        <v>3380758.2895959732</v>
      </c>
      <c r="E27" s="1186">
        <f t="shared" si="174"/>
        <v>288796.97931463906</v>
      </c>
      <c r="F27" s="1288">
        <v>252189.2</v>
      </c>
      <c r="G27" s="1186">
        <f t="shared" ref="G27" si="175">+G$6*G43/1000</f>
        <v>297965.13738811965</v>
      </c>
      <c r="H27" s="1288">
        <v>288586</v>
      </c>
      <c r="I27" s="713">
        <f>+E27+G27</f>
        <v>586762.11670275871</v>
      </c>
      <c r="J27" s="61">
        <f t="shared" si="5"/>
        <v>540775.19999999995</v>
      </c>
      <c r="K27" s="1186">
        <f t="shared" ref="K27:K30" si="176">+K$6*K43/1000</f>
        <v>288796.97931463906</v>
      </c>
      <c r="L27" s="1288">
        <v>305588</v>
      </c>
      <c r="M27" s="67">
        <f t="shared" ref="M27:M31" si="177">+K27+G27+E27</f>
        <v>875559.09601739771</v>
      </c>
      <c r="N27" s="67">
        <f t="shared" ref="N27:N31" si="178">+L27+H27+F27</f>
        <v>846363.2</v>
      </c>
      <c r="O27" s="1186">
        <f t="shared" ref="O27:O30" si="179">+O$6*O43/1000</f>
        <v>292235.03859219427</v>
      </c>
      <c r="P27" s="1288">
        <v>314445.58999999997</v>
      </c>
      <c r="Q27" s="707">
        <f t="shared" ref="Q27:R29" si="180">+M27+O27</f>
        <v>1167794.1346095919</v>
      </c>
      <c r="R27" s="42">
        <f t="shared" si="180"/>
        <v>1160808.79</v>
      </c>
      <c r="S27" s="1186">
        <f t="shared" ref="S27:S30" si="181">+S$6*S43/1000</f>
        <v>292235.03859219427</v>
      </c>
      <c r="T27" s="1288">
        <v>298752</v>
      </c>
      <c r="U27" s="707">
        <f t="shared" ref="U27:U30" si="182">+Q27+S27</f>
        <v>1460029.1732017861</v>
      </c>
      <c r="V27" s="42">
        <f t="shared" ref="V27:V30" si="183">+R27+T27</f>
        <v>1459560.79</v>
      </c>
      <c r="W27" s="1186">
        <f t="shared" ref="W27:W30" si="184">+W$6*W43/1000</f>
        <v>160442.76628591056</v>
      </c>
      <c r="X27" s="1288">
        <v>288743.09999999998</v>
      </c>
      <c r="Y27" s="67">
        <f t="shared" ref="Y27:Y29" si="185">+W27+S27+O27</f>
        <v>744912.84347029915</v>
      </c>
      <c r="Z27" s="68">
        <f t="shared" ref="Z27:Z29" si="186">+X27+T27+P27</f>
        <v>901940.69</v>
      </c>
      <c r="AA27" s="788">
        <f t="shared" ref="AA27:AA31" si="187">M27+Y27</f>
        <v>1620471.9394876969</v>
      </c>
      <c r="AB27" s="472">
        <f t="shared" ref="AB27:AB31" si="188">+N27+Z27</f>
        <v>1748303.89</v>
      </c>
      <c r="AC27" s="1186">
        <f t="shared" ref="AC27:AC30" si="189">+AC$6*AC43/1000</f>
        <v>297965.13738811965</v>
      </c>
      <c r="AD27" s="1288">
        <v>238110</v>
      </c>
      <c r="AE27" s="707">
        <f t="shared" ref="AE27:AE30" si="190">+AA27+AC27</f>
        <v>1918437.0768758166</v>
      </c>
      <c r="AF27" s="42">
        <f t="shared" ref="AF27:AF30" si="191">+AB27+AD27</f>
        <v>1986413.89</v>
      </c>
      <c r="AG27" s="1186">
        <f t="shared" ref="AG27:AG30" si="192">+AG$6*AG43/1000</f>
        <v>288796.97931463906</v>
      </c>
      <c r="AH27" s="1288">
        <v>290904</v>
      </c>
      <c r="AI27" s="707">
        <f t="shared" ref="AI27:AI30" si="193">+AE27+AG27</f>
        <v>2207234.0561904558</v>
      </c>
      <c r="AJ27" s="42">
        <f t="shared" ref="AJ27:AJ30" si="194">+AF27+AH27</f>
        <v>2277317.8899999997</v>
      </c>
      <c r="AK27" s="1186">
        <f t="shared" ref="AK27:AK30" si="195">+AK$6*AK43/1000</f>
        <v>297965.13738811965</v>
      </c>
      <c r="AL27" s="1288">
        <v>289069.39999999997</v>
      </c>
      <c r="AM27" s="67">
        <f t="shared" ref="AM27:AM31" si="196">+AK27+AG27+AC27</f>
        <v>884727.25409087841</v>
      </c>
      <c r="AN27" s="68">
        <f t="shared" ref="AN27:AN31" si="197">+AL27+AH27+AD27</f>
        <v>818083.39999999991</v>
      </c>
      <c r="AO27" s="775">
        <f t="shared" si="155"/>
        <v>2505199.1935785753</v>
      </c>
      <c r="AP27" s="775">
        <f t="shared" si="155"/>
        <v>2566387.2899999996</v>
      </c>
      <c r="AQ27" s="1186">
        <f t="shared" ref="AQ27:AQ30" si="198">+AQ$6*AQ43/1000</f>
        <v>302549.21642485994</v>
      </c>
      <c r="AR27" s="1288">
        <v>281651.3</v>
      </c>
      <c r="AS27" s="707">
        <f t="shared" ref="AS27:AS30" si="199">+AO27+AQ27</f>
        <v>2807748.4100034353</v>
      </c>
      <c r="AT27" s="42">
        <f t="shared" ref="AT27:AT30" si="200">+AP27+AR27</f>
        <v>2848038.5899999994</v>
      </c>
      <c r="AU27" s="1186">
        <f t="shared" ref="AU27:AU30" si="201">+AU$6*AU43/1000</f>
        <v>270460.66316767782</v>
      </c>
      <c r="AV27" s="1288">
        <v>233607.7</v>
      </c>
      <c r="AW27" s="707">
        <f t="shared" ref="AW27:AW30" si="202">+AS27+AU27</f>
        <v>3078209.0731711132</v>
      </c>
      <c r="AX27" s="42">
        <f t="shared" ref="AX27:AX30" si="203">+AT27+AV27</f>
        <v>3081646.2899999996</v>
      </c>
      <c r="AY27" s="1186">
        <f t="shared" ref="AY27:AY30" si="204">+AY$6*AY43/1000</f>
        <v>302549.21642485994</v>
      </c>
      <c r="AZ27" s="1288">
        <v>298183.2</v>
      </c>
      <c r="BA27" s="67">
        <f t="shared" ref="BA27:BA31" si="205">+AY27+AU27+AQ27</f>
        <v>875559.09601739771</v>
      </c>
      <c r="BB27" s="68">
        <f t="shared" ref="BB27:BB31" si="206">+AZ27+AV27+AR27</f>
        <v>813442.2</v>
      </c>
      <c r="BC27" s="464">
        <f t="shared" ref="BC27:BC31" si="207">AM27+BA27</f>
        <v>1760286.3501082761</v>
      </c>
      <c r="BD27" s="472">
        <f t="shared" ref="BD27:BD31" si="208">+AN27+BB27</f>
        <v>1631525.5999999999</v>
      </c>
      <c r="BE27" s="707">
        <f t="shared" ref="BE27:BE30" si="209">+AW27+AY27</f>
        <v>3380758.2895959732</v>
      </c>
      <c r="BF27" s="42">
        <f t="shared" ref="BF27:BF30" si="210">+AX27+AZ27</f>
        <v>3379829.4899999998</v>
      </c>
      <c r="BG27" s="1520">
        <f t="shared" si="3"/>
        <v>0</v>
      </c>
      <c r="BH27" s="1520">
        <f t="shared" si="4"/>
        <v>0</v>
      </c>
      <c r="BI27" s="26"/>
      <c r="BJ27" s="26"/>
      <c r="BK27" s="26"/>
      <c r="BL27" s="26"/>
      <c r="BM27" s="26"/>
      <c r="BN27" s="26"/>
    </row>
    <row r="28" spans="1:66" x14ac:dyDescent="0.3">
      <c r="A28" s="144" t="s">
        <v>470</v>
      </c>
      <c r="B28" s="1699" t="s">
        <v>240</v>
      </c>
      <c r="C28" s="2803" t="s">
        <v>50</v>
      </c>
      <c r="D28" s="2537">
        <f t="shared" si="174"/>
        <v>627855.11092496617</v>
      </c>
      <c r="E28" s="2537">
        <f t="shared" si="174"/>
        <v>53633.724729861518</v>
      </c>
      <c r="F28" s="2599">
        <v>54078</v>
      </c>
      <c r="G28" s="2537">
        <f t="shared" ref="G28" si="211">+G$6*G44/1000</f>
        <v>55336.382657793634</v>
      </c>
      <c r="H28" s="2599">
        <v>64925.1</v>
      </c>
      <c r="I28" s="713">
        <f>+E28+G28</f>
        <v>108970.10738765515</v>
      </c>
      <c r="J28" s="61">
        <f t="shared" si="5"/>
        <v>119003.1</v>
      </c>
      <c r="K28" s="2537">
        <f t="shared" si="176"/>
        <v>53633.724729861518</v>
      </c>
      <c r="L28" s="2599">
        <v>62108.3</v>
      </c>
      <c r="M28" s="67">
        <f t="shared" si="177"/>
        <v>162603.83211751666</v>
      </c>
      <c r="N28" s="67">
        <f t="shared" si="178"/>
        <v>181111.4</v>
      </c>
      <c r="O28" s="2537">
        <f t="shared" si="179"/>
        <v>54272.221452836056</v>
      </c>
      <c r="P28" s="2599">
        <v>73148.350000000006</v>
      </c>
      <c r="Q28" s="713">
        <f t="shared" si="180"/>
        <v>216876.05357035273</v>
      </c>
      <c r="R28" s="61">
        <f t="shared" si="180"/>
        <v>254259.75</v>
      </c>
      <c r="S28" s="2537">
        <f t="shared" si="181"/>
        <v>54272.221452836056</v>
      </c>
      <c r="T28" s="2599">
        <v>49554.400000000001</v>
      </c>
      <c r="U28" s="713">
        <f t="shared" si="182"/>
        <v>271148.27502318879</v>
      </c>
      <c r="V28" s="61">
        <f t="shared" si="183"/>
        <v>303814.15000000002</v>
      </c>
      <c r="W28" s="2537">
        <f t="shared" si="184"/>
        <v>29796.513738811955</v>
      </c>
      <c r="X28" s="2599">
        <v>44799.8</v>
      </c>
      <c r="Y28" s="67">
        <f t="shared" si="185"/>
        <v>138340.95664448407</v>
      </c>
      <c r="Z28" s="68">
        <f t="shared" si="186"/>
        <v>167502.55000000002</v>
      </c>
      <c r="AA28" s="788">
        <f t="shared" si="187"/>
        <v>300944.78876200074</v>
      </c>
      <c r="AB28" s="472">
        <f t="shared" si="188"/>
        <v>348613.95</v>
      </c>
      <c r="AC28" s="2537">
        <f t="shared" si="189"/>
        <v>55336.382657793634</v>
      </c>
      <c r="AD28" s="2599">
        <v>44690.3</v>
      </c>
      <c r="AE28" s="713">
        <f t="shared" si="190"/>
        <v>356281.17141979438</v>
      </c>
      <c r="AF28" s="61">
        <f t="shared" si="191"/>
        <v>393304.25</v>
      </c>
      <c r="AG28" s="2537">
        <f t="shared" si="192"/>
        <v>53633.724729861518</v>
      </c>
      <c r="AH28" s="2599">
        <v>49590</v>
      </c>
      <c r="AI28" s="713">
        <f t="shared" si="193"/>
        <v>409914.89614965592</v>
      </c>
      <c r="AJ28" s="61">
        <f t="shared" si="194"/>
        <v>442894.25</v>
      </c>
      <c r="AK28" s="2537">
        <f t="shared" si="195"/>
        <v>55336.382657793634</v>
      </c>
      <c r="AL28" s="2599">
        <v>66070.5</v>
      </c>
      <c r="AM28" s="67">
        <f t="shared" si="196"/>
        <v>164306.49004544879</v>
      </c>
      <c r="AN28" s="68">
        <f t="shared" si="197"/>
        <v>160350.79999999999</v>
      </c>
      <c r="AO28" s="775">
        <f t="shared" ref="AO28:AP33" si="212">+AK28+AI28</f>
        <v>465251.27880744956</v>
      </c>
      <c r="AP28" s="775">
        <f t="shared" ref="AP28:AP31" si="213">+AL28+AJ28</f>
        <v>508964.75</v>
      </c>
      <c r="AQ28" s="2537">
        <f t="shared" si="198"/>
        <v>56187.711621759692</v>
      </c>
      <c r="AR28" s="2599">
        <v>69909.899999999994</v>
      </c>
      <c r="AS28" s="713">
        <f t="shared" si="199"/>
        <v>521438.99042920925</v>
      </c>
      <c r="AT28" s="61">
        <f t="shared" si="200"/>
        <v>578874.65</v>
      </c>
      <c r="AU28" s="2537">
        <f t="shared" si="201"/>
        <v>50228.408873997294</v>
      </c>
      <c r="AV28" s="2599">
        <v>43733.599999999999</v>
      </c>
      <c r="AW28" s="713">
        <f t="shared" si="202"/>
        <v>571667.39930320659</v>
      </c>
      <c r="AX28" s="61">
        <f t="shared" si="203"/>
        <v>622608.25</v>
      </c>
      <c r="AY28" s="2537">
        <f t="shared" si="204"/>
        <v>56187.711621759692</v>
      </c>
      <c r="AZ28" s="2599">
        <v>50059</v>
      </c>
      <c r="BA28" s="67">
        <f t="shared" si="205"/>
        <v>162603.83211751666</v>
      </c>
      <c r="BB28" s="68">
        <f t="shared" si="206"/>
        <v>163702.5</v>
      </c>
      <c r="BC28" s="464">
        <f t="shared" si="207"/>
        <v>326910.32216296543</v>
      </c>
      <c r="BD28" s="472">
        <f t="shared" si="208"/>
        <v>324053.3</v>
      </c>
      <c r="BE28" s="713">
        <f t="shared" si="209"/>
        <v>627855.11092496628</v>
      </c>
      <c r="BF28" s="61">
        <f t="shared" si="210"/>
        <v>672667.25</v>
      </c>
      <c r="BG28" s="1520">
        <f t="shared" si="3"/>
        <v>0</v>
      </c>
      <c r="BH28" s="1520">
        <f t="shared" si="4"/>
        <v>0</v>
      </c>
      <c r="BI28" s="26"/>
      <c r="BJ28" s="26"/>
      <c r="BK28" s="26"/>
      <c r="BL28" s="26"/>
      <c r="BM28" s="26"/>
      <c r="BN28" s="26"/>
    </row>
    <row r="29" spans="1:66" x14ac:dyDescent="0.3">
      <c r="A29" s="144" t="s">
        <v>470</v>
      </c>
      <c r="B29" s="1699" t="s">
        <v>241</v>
      </c>
      <c r="C29" s="2803" t="s">
        <v>50</v>
      </c>
      <c r="D29" s="2537">
        <f t="shared" si="174"/>
        <v>1003.0000000000001</v>
      </c>
      <c r="E29" s="2537">
        <f t="shared" si="174"/>
        <v>85.68</v>
      </c>
      <c r="F29" s="2599">
        <v>0</v>
      </c>
      <c r="G29" s="2537">
        <f t="shared" ref="G29" si="214">+G$6*G45/1000</f>
        <v>88.4</v>
      </c>
      <c r="H29" s="2599">
        <v>0</v>
      </c>
      <c r="I29" s="713">
        <f>+E29+G29</f>
        <v>174.08</v>
      </c>
      <c r="J29" s="61">
        <f t="shared" si="5"/>
        <v>0</v>
      </c>
      <c r="K29" s="2537">
        <f t="shared" si="176"/>
        <v>85.68</v>
      </c>
      <c r="L29" s="2599">
        <v>0</v>
      </c>
      <c r="M29" s="67">
        <f t="shared" si="177"/>
        <v>259.76</v>
      </c>
      <c r="N29" s="67">
        <f t="shared" si="178"/>
        <v>0</v>
      </c>
      <c r="O29" s="2537">
        <f t="shared" si="179"/>
        <v>86.7</v>
      </c>
      <c r="P29" s="2599">
        <v>0</v>
      </c>
      <c r="Q29" s="713">
        <f t="shared" si="180"/>
        <v>346.46</v>
      </c>
      <c r="R29" s="61">
        <f t="shared" si="180"/>
        <v>0</v>
      </c>
      <c r="S29" s="2537">
        <f t="shared" si="181"/>
        <v>86.7</v>
      </c>
      <c r="T29" s="2599">
        <v>0</v>
      </c>
      <c r="U29" s="713">
        <f t="shared" si="182"/>
        <v>433.15999999999997</v>
      </c>
      <c r="V29" s="61">
        <f t="shared" si="183"/>
        <v>0</v>
      </c>
      <c r="W29" s="2537">
        <f t="shared" si="184"/>
        <v>47.6</v>
      </c>
      <c r="X29" s="2599"/>
      <c r="Y29" s="67">
        <f t="shared" si="185"/>
        <v>221</v>
      </c>
      <c r="Z29" s="68">
        <f t="shared" si="186"/>
        <v>0</v>
      </c>
      <c r="AA29" s="788">
        <f t="shared" si="187"/>
        <v>480.76</v>
      </c>
      <c r="AB29" s="472">
        <f t="shared" si="188"/>
        <v>0</v>
      </c>
      <c r="AC29" s="2537">
        <f t="shared" si="189"/>
        <v>88.4</v>
      </c>
      <c r="AD29" s="2599">
        <v>123</v>
      </c>
      <c r="AE29" s="713">
        <f t="shared" si="190"/>
        <v>569.16</v>
      </c>
      <c r="AF29" s="61">
        <f t="shared" si="191"/>
        <v>123</v>
      </c>
      <c r="AG29" s="2537">
        <f t="shared" si="192"/>
        <v>85.68</v>
      </c>
      <c r="AH29" s="2599">
        <v>0</v>
      </c>
      <c r="AI29" s="713">
        <f t="shared" si="193"/>
        <v>654.83999999999992</v>
      </c>
      <c r="AJ29" s="61">
        <f t="shared" si="194"/>
        <v>123</v>
      </c>
      <c r="AK29" s="2537">
        <f t="shared" si="195"/>
        <v>88.4</v>
      </c>
      <c r="AL29" s="2599">
        <v>61.6</v>
      </c>
      <c r="AM29" s="67">
        <f t="shared" si="196"/>
        <v>262.48</v>
      </c>
      <c r="AN29" s="68">
        <f t="shared" si="197"/>
        <v>184.6</v>
      </c>
      <c r="AO29" s="775">
        <f t="shared" si="212"/>
        <v>743.2399999999999</v>
      </c>
      <c r="AP29" s="775">
        <f t="shared" si="213"/>
        <v>184.6</v>
      </c>
      <c r="AQ29" s="2537">
        <f t="shared" si="198"/>
        <v>89.76</v>
      </c>
      <c r="AR29" s="2599">
        <v>664.7</v>
      </c>
      <c r="AS29" s="713">
        <f t="shared" si="199"/>
        <v>832.99999999999989</v>
      </c>
      <c r="AT29" s="61">
        <f t="shared" si="200"/>
        <v>849.30000000000007</v>
      </c>
      <c r="AU29" s="2537">
        <f t="shared" si="201"/>
        <v>80.239999999999995</v>
      </c>
      <c r="AV29" s="2599">
        <v>177.9</v>
      </c>
      <c r="AW29" s="713">
        <f t="shared" si="202"/>
        <v>913.2399999999999</v>
      </c>
      <c r="AX29" s="61">
        <f t="shared" si="203"/>
        <v>1027.2</v>
      </c>
      <c r="AY29" s="2537">
        <f t="shared" si="204"/>
        <v>89.76</v>
      </c>
      <c r="AZ29" s="2599">
        <v>572</v>
      </c>
      <c r="BA29" s="67">
        <f t="shared" si="205"/>
        <v>259.76</v>
      </c>
      <c r="BB29" s="68">
        <f t="shared" si="206"/>
        <v>1414.6</v>
      </c>
      <c r="BC29" s="464">
        <f t="shared" si="207"/>
        <v>522.24</v>
      </c>
      <c r="BD29" s="472">
        <f t="shared" si="208"/>
        <v>1599.1999999999998</v>
      </c>
      <c r="BE29" s="713">
        <f t="shared" si="209"/>
        <v>1002.9999999999999</v>
      </c>
      <c r="BF29" s="61">
        <f t="shared" si="210"/>
        <v>1599.2</v>
      </c>
      <c r="BG29" s="1520">
        <f t="shared" si="3"/>
        <v>0</v>
      </c>
      <c r="BH29" s="1520">
        <f t="shared" si="4"/>
        <v>0</v>
      </c>
      <c r="BI29" s="26"/>
      <c r="BJ29" s="26"/>
      <c r="BK29" s="26"/>
      <c r="BL29" s="26"/>
      <c r="BM29" s="26"/>
      <c r="BN29" s="26"/>
    </row>
    <row r="30" spans="1:66" x14ac:dyDescent="0.3">
      <c r="A30" s="144"/>
      <c r="B30" s="1702" t="s">
        <v>1289</v>
      </c>
      <c r="C30" s="2803" t="s">
        <v>50</v>
      </c>
      <c r="D30" s="2537">
        <f t="shared" si="174"/>
        <v>821041.298901879</v>
      </c>
      <c r="E30" s="2537">
        <f t="shared" si="174"/>
        <v>70136.409262126603</v>
      </c>
      <c r="F30" s="2599">
        <v>68796.23</v>
      </c>
      <c r="G30" s="2537">
        <f t="shared" ref="G30" si="215">+G$6*G46/1000</f>
        <v>72362.961937114756</v>
      </c>
      <c r="H30" s="2599">
        <v>70699.929999999993</v>
      </c>
      <c r="I30" s="713">
        <f>+E30+G30</f>
        <v>142499.37119924137</v>
      </c>
      <c r="J30" s="61">
        <f t="shared" si="5"/>
        <v>139496.15999999997</v>
      </c>
      <c r="K30" s="2537">
        <f t="shared" si="176"/>
        <v>70136.409262126603</v>
      </c>
      <c r="L30" s="2599">
        <v>65129.030000000006</v>
      </c>
      <c r="M30" s="67">
        <f t="shared" si="177"/>
        <v>212635.78046136798</v>
      </c>
      <c r="N30" s="67">
        <f t="shared" si="178"/>
        <v>204625.19</v>
      </c>
      <c r="O30" s="2537">
        <f t="shared" si="179"/>
        <v>70971.366515247166</v>
      </c>
      <c r="P30" s="2599">
        <v>55609.19</v>
      </c>
      <c r="Q30" s="713">
        <f t="shared" ref="Q30" si="216">+M30+O30</f>
        <v>283607.14697661513</v>
      </c>
      <c r="R30" s="61">
        <f t="shared" ref="R30" si="217">+N30+P30</f>
        <v>260234.38</v>
      </c>
      <c r="S30" s="2537">
        <f t="shared" si="181"/>
        <v>70971.366515247166</v>
      </c>
      <c r="T30" s="2599">
        <v>70042.69</v>
      </c>
      <c r="U30" s="713">
        <f t="shared" si="182"/>
        <v>354578.51349186228</v>
      </c>
      <c r="V30" s="61">
        <f t="shared" si="183"/>
        <v>330277.07</v>
      </c>
      <c r="W30" s="2537">
        <f t="shared" si="184"/>
        <v>38964.671812292559</v>
      </c>
      <c r="X30" s="2599">
        <v>68744.03</v>
      </c>
      <c r="Y30" s="67">
        <f t="shared" ref="Y30:Y31" si="218">+W30+S30+O30</f>
        <v>180907.4048427869</v>
      </c>
      <c r="Z30" s="68">
        <f t="shared" ref="Z30:Z31" si="219">+X30+T30+P30</f>
        <v>194395.91</v>
      </c>
      <c r="AA30" s="788">
        <f t="shared" si="187"/>
        <v>393543.18530415487</v>
      </c>
      <c r="AB30" s="472">
        <f t="shared" si="188"/>
        <v>399021.1</v>
      </c>
      <c r="AC30" s="2537">
        <f t="shared" si="189"/>
        <v>72362.961937114756</v>
      </c>
      <c r="AD30" s="2599">
        <v>56421.73</v>
      </c>
      <c r="AE30" s="713">
        <f t="shared" si="190"/>
        <v>465906.14724126965</v>
      </c>
      <c r="AF30" s="61">
        <f t="shared" si="191"/>
        <v>455442.82999999996</v>
      </c>
      <c r="AG30" s="2537">
        <f t="shared" si="192"/>
        <v>70136.409262126603</v>
      </c>
      <c r="AH30" s="2599">
        <v>67509</v>
      </c>
      <c r="AI30" s="713">
        <f t="shared" si="193"/>
        <v>536042.55650339625</v>
      </c>
      <c r="AJ30" s="61">
        <f t="shared" si="194"/>
        <v>522951.82999999996</v>
      </c>
      <c r="AK30" s="2537">
        <f t="shared" si="195"/>
        <v>72362.961937114756</v>
      </c>
      <c r="AL30" s="2599">
        <v>70198.73</v>
      </c>
      <c r="AM30" s="67">
        <f t="shared" si="196"/>
        <v>214862.33313635614</v>
      </c>
      <c r="AN30" s="68">
        <f t="shared" si="197"/>
        <v>194129.46</v>
      </c>
      <c r="AO30" s="775">
        <f t="shared" si="212"/>
        <v>608405.51844051096</v>
      </c>
      <c r="AP30" s="775">
        <f t="shared" si="213"/>
        <v>593150.55999999994</v>
      </c>
      <c r="AQ30" s="2537">
        <f t="shared" si="198"/>
        <v>73476.238274608841</v>
      </c>
      <c r="AR30" s="2599">
        <v>58461.93</v>
      </c>
      <c r="AS30" s="713">
        <f t="shared" si="199"/>
        <v>681881.75671511982</v>
      </c>
      <c r="AT30" s="61">
        <f t="shared" si="200"/>
        <v>651612.49</v>
      </c>
      <c r="AU30" s="2537">
        <f t="shared" si="201"/>
        <v>65683.303912150324</v>
      </c>
      <c r="AV30" s="2599">
        <v>46259.03</v>
      </c>
      <c r="AW30" s="713">
        <f t="shared" si="202"/>
        <v>747565.06062727014</v>
      </c>
      <c r="AX30" s="61">
        <f t="shared" si="203"/>
        <v>697871.52</v>
      </c>
      <c r="AY30" s="2537">
        <f t="shared" si="204"/>
        <v>73476.238274608841</v>
      </c>
      <c r="AZ30" s="2599">
        <v>64323.73</v>
      </c>
      <c r="BA30" s="67">
        <f t="shared" si="205"/>
        <v>212635.78046136803</v>
      </c>
      <c r="BB30" s="68">
        <f t="shared" si="206"/>
        <v>169044.69</v>
      </c>
      <c r="BC30" s="464">
        <f t="shared" si="207"/>
        <v>427498.11359772418</v>
      </c>
      <c r="BD30" s="472">
        <f t="shared" si="208"/>
        <v>363174.15</v>
      </c>
      <c r="BE30" s="713">
        <f t="shared" si="209"/>
        <v>821041.298901879</v>
      </c>
      <c r="BF30" s="61">
        <f t="shared" si="210"/>
        <v>762195.25</v>
      </c>
      <c r="BG30" s="1520">
        <f t="shared" si="3"/>
        <v>0</v>
      </c>
      <c r="BH30" s="1520">
        <f t="shared" si="4"/>
        <v>0</v>
      </c>
      <c r="BI30" s="26"/>
      <c r="BJ30" s="26"/>
      <c r="BK30" s="26"/>
      <c r="BL30" s="26"/>
      <c r="BM30" s="26"/>
      <c r="BN30" s="26"/>
    </row>
    <row r="31" spans="1:66" ht="15" thickBot="1" x14ac:dyDescent="0.35">
      <c r="A31" s="144" t="s">
        <v>470</v>
      </c>
      <c r="B31" s="2056" t="s">
        <v>6</v>
      </c>
      <c r="C31" s="742" t="s">
        <v>50</v>
      </c>
      <c r="D31" s="107">
        <f>+D$6*D47/1000</f>
        <v>9280</v>
      </c>
      <c r="E31" s="107">
        <f>+E$6*E47/1000</f>
        <v>504</v>
      </c>
      <c r="F31" s="229">
        <v>329.9</v>
      </c>
      <c r="G31" s="107">
        <f>+G$6*G47/1000</f>
        <v>520</v>
      </c>
      <c r="H31" s="229">
        <v>822.79999999999984</v>
      </c>
      <c r="I31" s="2190">
        <f>+E31+G31</f>
        <v>1024</v>
      </c>
      <c r="J31" s="194">
        <f t="shared" si="5"/>
        <v>1152.6999999999998</v>
      </c>
      <c r="K31" s="107">
        <f>+K$6*K47/1000</f>
        <v>504</v>
      </c>
      <c r="L31" s="229">
        <v>1133.6999999999998</v>
      </c>
      <c r="M31" s="2057">
        <f t="shared" si="177"/>
        <v>1528</v>
      </c>
      <c r="N31" s="2057">
        <f t="shared" si="178"/>
        <v>2286.3999999999996</v>
      </c>
      <c r="O31" s="107">
        <f>+O$6*O47/1000</f>
        <v>510</v>
      </c>
      <c r="P31" s="229">
        <v>512.09999999999991</v>
      </c>
      <c r="Q31" s="2190">
        <f>+M31+O31</f>
        <v>2038</v>
      </c>
      <c r="R31" s="194">
        <f>+N31+P31</f>
        <v>2798.4999999999995</v>
      </c>
      <c r="S31" s="107">
        <f>+S$6*S47/1000</f>
        <v>510</v>
      </c>
      <c r="T31" s="229">
        <v>1048.7999999999997</v>
      </c>
      <c r="U31" s="2190">
        <f>+Q31+S31</f>
        <v>2548</v>
      </c>
      <c r="V31" s="194">
        <f>+R31+T31</f>
        <v>3847.2999999999993</v>
      </c>
      <c r="W31" s="107">
        <f>+W$6*W47/1000</f>
        <v>2100</v>
      </c>
      <c r="X31" s="229">
        <v>490</v>
      </c>
      <c r="Y31" s="2057">
        <f t="shared" si="218"/>
        <v>3120</v>
      </c>
      <c r="Z31" s="73">
        <f t="shared" si="219"/>
        <v>2050.8999999999996</v>
      </c>
      <c r="AA31" s="2191">
        <f t="shared" si="187"/>
        <v>4648</v>
      </c>
      <c r="AB31" s="1642">
        <f t="shared" si="188"/>
        <v>4337.2999999999993</v>
      </c>
      <c r="AC31" s="107">
        <f>+AC$6*AC47/1000</f>
        <v>2080</v>
      </c>
      <c r="AD31" s="229">
        <v>1053.5</v>
      </c>
      <c r="AE31" s="2190">
        <f>+AA31+AC31</f>
        <v>6728</v>
      </c>
      <c r="AF31" s="194">
        <f>+AB31+AD31</f>
        <v>5390.7999999999993</v>
      </c>
      <c r="AG31" s="107">
        <f>+AG$6*AG47/1000</f>
        <v>504</v>
      </c>
      <c r="AH31" s="229">
        <v>527</v>
      </c>
      <c r="AI31" s="2190">
        <f>+AE31+AG31</f>
        <v>7232</v>
      </c>
      <c r="AJ31" s="194">
        <f>+AF31+AH31</f>
        <v>5917.7999999999993</v>
      </c>
      <c r="AK31" s="107">
        <f>+AK$6*AK47/1000</f>
        <v>520</v>
      </c>
      <c r="AL31" s="229">
        <v>793.09999999999991</v>
      </c>
      <c r="AM31" s="2057">
        <f t="shared" si="196"/>
        <v>3104</v>
      </c>
      <c r="AN31" s="73">
        <f t="shared" si="197"/>
        <v>2373.6</v>
      </c>
      <c r="AO31" s="775">
        <f t="shared" si="212"/>
        <v>7752</v>
      </c>
      <c r="AP31" s="775">
        <f t="shared" si="213"/>
        <v>6710.9</v>
      </c>
      <c r="AQ31" s="107">
        <f>+AQ$6*AQ47/1000</f>
        <v>528</v>
      </c>
      <c r="AR31" s="229">
        <v>2995.05</v>
      </c>
      <c r="AS31" s="2190">
        <f>+AO31+AQ31</f>
        <v>8280</v>
      </c>
      <c r="AT31" s="194">
        <f>+AP31+AR31</f>
        <v>9705.9500000000007</v>
      </c>
      <c r="AU31" s="107">
        <f>+AU$6*AU47/1000</f>
        <v>472</v>
      </c>
      <c r="AV31" s="229">
        <v>1503.5</v>
      </c>
      <c r="AW31" s="2190">
        <f>+AS31+AU31</f>
        <v>8752</v>
      </c>
      <c r="AX31" s="194">
        <f>+AT31+AV31</f>
        <v>11209.45</v>
      </c>
      <c r="AY31" s="107">
        <f>+AY$6*AY47/1000</f>
        <v>528</v>
      </c>
      <c r="AZ31" s="229">
        <v>73.8</v>
      </c>
      <c r="BA31" s="2057">
        <f t="shared" si="205"/>
        <v>1528</v>
      </c>
      <c r="BB31" s="73">
        <f t="shared" si="206"/>
        <v>4572.3500000000004</v>
      </c>
      <c r="BC31" s="464">
        <f t="shared" si="207"/>
        <v>4632</v>
      </c>
      <c r="BD31" s="472">
        <f t="shared" si="208"/>
        <v>6945.9500000000007</v>
      </c>
      <c r="BE31" s="2190">
        <f>+AW31+AY31</f>
        <v>9280</v>
      </c>
      <c r="BF31" s="194">
        <f>+AX31+AZ31</f>
        <v>11283.25</v>
      </c>
      <c r="BG31" s="1520">
        <f t="shared" si="3"/>
        <v>0</v>
      </c>
      <c r="BH31" s="1520">
        <f t="shared" si="4"/>
        <v>0</v>
      </c>
      <c r="BI31" s="26"/>
      <c r="BJ31" s="26"/>
      <c r="BK31" s="26"/>
      <c r="BL31" s="26"/>
      <c r="BM31" s="26"/>
      <c r="BN31" s="26"/>
    </row>
    <row r="32" spans="1:66" ht="15.6" x14ac:dyDescent="0.3">
      <c r="A32" s="145" t="s">
        <v>470</v>
      </c>
      <c r="B32" s="1698" t="s">
        <v>443</v>
      </c>
      <c r="C32" s="2054"/>
      <c r="D32" s="2055"/>
      <c r="E32" s="2055"/>
      <c r="F32" s="2055"/>
      <c r="G32" s="2055"/>
      <c r="H32" s="2055"/>
      <c r="I32" s="2054"/>
      <c r="J32" s="2054"/>
      <c r="K32" s="2055"/>
      <c r="L32" s="2055"/>
      <c r="M32" s="2054"/>
      <c r="N32" s="2054"/>
      <c r="O32" s="2055"/>
      <c r="P32" s="2055"/>
      <c r="Q32" s="2054"/>
      <c r="R32" s="2054"/>
      <c r="S32" s="2055"/>
      <c r="T32" s="2055"/>
      <c r="U32" s="2054"/>
      <c r="V32" s="2054"/>
      <c r="W32" s="2055"/>
      <c r="X32" s="2055"/>
      <c r="Y32" s="2054"/>
      <c r="Z32" s="2054"/>
      <c r="AA32" s="2054"/>
      <c r="AB32" s="2054"/>
      <c r="AC32" s="2055"/>
      <c r="AD32" s="2055"/>
      <c r="AE32" s="2054"/>
      <c r="AF32" s="2054"/>
      <c r="AG32" s="2055"/>
      <c r="AH32" s="2055"/>
      <c r="AI32" s="2054"/>
      <c r="AJ32" s="2054"/>
      <c r="AK32" s="2055"/>
      <c r="AL32" s="2055"/>
      <c r="AM32" s="2054"/>
      <c r="AN32" s="2054"/>
      <c r="AO32" s="2054"/>
      <c r="AP32" s="2054"/>
      <c r="AQ32" s="2055"/>
      <c r="AR32" s="2055"/>
      <c r="AS32" s="2054"/>
      <c r="AT32" s="2054"/>
      <c r="AU32" s="2055"/>
      <c r="AV32" s="2055"/>
      <c r="AW32" s="2054"/>
      <c r="AX32" s="2054"/>
      <c r="AY32" s="2055"/>
      <c r="AZ32" s="2055"/>
      <c r="BA32" s="2054"/>
      <c r="BB32" s="2054"/>
      <c r="BC32" s="2054"/>
      <c r="BD32" s="2054"/>
      <c r="BE32" s="2054"/>
      <c r="BF32" s="2054"/>
      <c r="BG32" s="1520">
        <f t="shared" si="3"/>
        <v>0</v>
      </c>
      <c r="BH32" s="1520">
        <f t="shared" si="4"/>
        <v>0</v>
      </c>
      <c r="BI32" s="26"/>
      <c r="BJ32" s="26"/>
      <c r="BK32" s="26"/>
      <c r="BL32" s="26"/>
      <c r="BM32" s="26"/>
      <c r="BN32" s="26"/>
    </row>
    <row r="33" spans="1:66" x14ac:dyDescent="0.3">
      <c r="A33" s="144"/>
      <c r="B33" s="1699" t="s">
        <v>791</v>
      </c>
      <c r="C33" s="546" t="s">
        <v>50</v>
      </c>
      <c r="D33" s="1185">
        <v>8000</v>
      </c>
      <c r="E33" s="1185">
        <v>0</v>
      </c>
      <c r="F33" s="1118">
        <v>0</v>
      </c>
      <c r="G33" s="1185">
        <v>0</v>
      </c>
      <c r="H33" s="1118">
        <v>0</v>
      </c>
      <c r="I33" s="775">
        <f t="shared" ref="I33:J36" si="220">+E33+G33</f>
        <v>0</v>
      </c>
      <c r="J33" s="775">
        <f t="shared" si="220"/>
        <v>0</v>
      </c>
      <c r="K33" s="1185">
        <v>0</v>
      </c>
      <c r="L33" s="1118">
        <v>0</v>
      </c>
      <c r="M33" s="774">
        <f t="shared" ref="M33:N37" si="221">+K33+G33+E33</f>
        <v>0</v>
      </c>
      <c r="N33" s="774">
        <f t="shared" si="221"/>
        <v>0</v>
      </c>
      <c r="O33" s="1185">
        <v>0</v>
      </c>
      <c r="P33" s="1118">
        <v>0</v>
      </c>
      <c r="Q33" s="775">
        <f t="shared" ref="Q33:R37" si="222">+M33+O33</f>
        <v>0</v>
      </c>
      <c r="R33" s="775">
        <f t="shared" si="222"/>
        <v>0</v>
      </c>
      <c r="S33" s="1185"/>
      <c r="T33" s="1118"/>
      <c r="U33" s="775">
        <f t="shared" ref="U33:U37" si="223">+Q33+S33</f>
        <v>0</v>
      </c>
      <c r="V33" s="775">
        <f t="shared" ref="V33:V37" si="224">+R33+T33</f>
        <v>0</v>
      </c>
      <c r="W33" s="1185">
        <v>8000</v>
      </c>
      <c r="X33" s="1118">
        <v>0</v>
      </c>
      <c r="Y33" s="774">
        <f t="shared" ref="Y33:Z37" si="225">+W33+S33+O33</f>
        <v>8000</v>
      </c>
      <c r="Z33" s="774">
        <f t="shared" si="225"/>
        <v>0</v>
      </c>
      <c r="AA33" s="460">
        <f>M33+Y33</f>
        <v>8000</v>
      </c>
      <c r="AB33" s="460">
        <f>+N33+Z33</f>
        <v>0</v>
      </c>
      <c r="AC33" s="1185">
        <v>0</v>
      </c>
      <c r="AD33" s="1118">
        <v>6298.5</v>
      </c>
      <c r="AE33" s="775">
        <f t="shared" ref="AE33:AE37" si="226">+AA33+AC33</f>
        <v>8000</v>
      </c>
      <c r="AF33" s="775">
        <f t="shared" ref="AF33:AF37" si="227">+AB33+AD33</f>
        <v>6298.5</v>
      </c>
      <c r="AG33" s="1185">
        <v>0</v>
      </c>
      <c r="AH33" s="1118">
        <v>678</v>
      </c>
      <c r="AI33" s="775">
        <f t="shared" ref="AI33:AI37" si="228">+AE33+AG33</f>
        <v>8000</v>
      </c>
      <c r="AJ33" s="775">
        <f t="shared" ref="AJ33:AJ37" si="229">+AF33+AH33</f>
        <v>6976.5</v>
      </c>
      <c r="AK33" s="1185">
        <v>0</v>
      </c>
      <c r="AL33" s="1118">
        <v>775</v>
      </c>
      <c r="AM33" s="774">
        <f t="shared" ref="AM33:AM37" si="230">+AK33+AG33+AC33</f>
        <v>0</v>
      </c>
      <c r="AN33" s="774">
        <f t="shared" ref="AN33:AN37" si="231">+AL33+AH33+AD33</f>
        <v>7751.5</v>
      </c>
      <c r="AO33" s="775">
        <f t="shared" si="212"/>
        <v>8000</v>
      </c>
      <c r="AP33" s="775">
        <f t="shared" si="212"/>
        <v>7751.5</v>
      </c>
      <c r="AQ33" s="1185">
        <v>0</v>
      </c>
      <c r="AR33" s="1118">
        <v>0</v>
      </c>
      <c r="AS33" s="775">
        <f t="shared" ref="AS33:AS37" si="232">+AO33+AQ33</f>
        <v>8000</v>
      </c>
      <c r="AT33" s="775">
        <f t="shared" ref="AT33:AT37" si="233">+AP33+AR33</f>
        <v>7751.5</v>
      </c>
      <c r="AU33" s="1185">
        <v>0</v>
      </c>
      <c r="AV33" s="1118">
        <v>0</v>
      </c>
      <c r="AW33" s="775">
        <f t="shared" ref="AW33:AW37" si="234">+AS33+AU33</f>
        <v>8000</v>
      </c>
      <c r="AX33" s="775">
        <f t="shared" ref="AX33:AX37" si="235">+AT33+AV33</f>
        <v>7751.5</v>
      </c>
      <c r="AY33" s="1185">
        <v>0</v>
      </c>
      <c r="AZ33" s="1118">
        <v>0</v>
      </c>
      <c r="BA33" s="774">
        <f t="shared" ref="BA33:BA37" si="236">+AY33+AU33+AQ33</f>
        <v>0</v>
      </c>
      <c r="BB33" s="774">
        <f t="shared" ref="BB33:BB37" si="237">+AZ33+AV33+AR33</f>
        <v>0</v>
      </c>
      <c r="BC33" s="464">
        <f t="shared" ref="BC33:BC37" si="238">AM33+BA33</f>
        <v>0</v>
      </c>
      <c r="BD33" s="472">
        <f t="shared" ref="BD33:BD37" si="239">+AN33+BB33</f>
        <v>7751.5</v>
      </c>
      <c r="BE33" s="775">
        <f t="shared" ref="BE33:BE37" si="240">+AW33+AY33</f>
        <v>8000</v>
      </c>
      <c r="BF33" s="775">
        <f t="shared" ref="BF33:BF37" si="241">+AX33+AZ33</f>
        <v>7751.5</v>
      </c>
      <c r="BG33" s="1520">
        <f t="shared" si="3"/>
        <v>0</v>
      </c>
      <c r="BH33" s="1520">
        <f t="shared" si="4"/>
        <v>0</v>
      </c>
      <c r="BI33" s="26"/>
      <c r="BJ33" s="26"/>
      <c r="BK33" s="26"/>
      <c r="BL33" s="26"/>
      <c r="BM33" s="26"/>
      <c r="BN33" s="26"/>
    </row>
    <row r="34" spans="1:66" x14ac:dyDescent="0.3">
      <c r="A34" s="144" t="s">
        <v>470</v>
      </c>
      <c r="B34" s="1699" t="s">
        <v>446</v>
      </c>
      <c r="C34" s="546" t="s">
        <v>50</v>
      </c>
      <c r="D34" s="1185">
        <f>+D23+D24+D65+D33</f>
        <v>1270575.5555555555</v>
      </c>
      <c r="E34" s="1185">
        <f>+E23+E24+E65+E33</f>
        <v>107800</v>
      </c>
      <c r="F34" s="1185">
        <f>+F23+F24+F65+F33</f>
        <v>95279.210300000021</v>
      </c>
      <c r="G34" s="1185">
        <f>+G23+G24+G65+G33</f>
        <v>111222.22222222222</v>
      </c>
      <c r="H34" s="1185">
        <f>+H23+H24+H65+H33</f>
        <v>107330.1413</v>
      </c>
      <c r="I34" s="775">
        <f t="shared" si="220"/>
        <v>219022.22222222222</v>
      </c>
      <c r="J34" s="775">
        <f t="shared" si="220"/>
        <v>202609.35160000002</v>
      </c>
      <c r="K34" s="1185">
        <f>+K23+K24+K65+K33</f>
        <v>107800</v>
      </c>
      <c r="L34" s="1185">
        <f>+L23+L24+L65+L33</f>
        <v>111287.9614</v>
      </c>
      <c r="M34" s="774">
        <f t="shared" si="221"/>
        <v>326822.22222222225</v>
      </c>
      <c r="N34" s="774">
        <f t="shared" si="221"/>
        <v>313897.31300000002</v>
      </c>
      <c r="O34" s="1185">
        <f>+O23+O24+O65+O33</f>
        <v>109083.33333333333</v>
      </c>
      <c r="P34" s="1185">
        <f>+P23+P24+P65+P33</f>
        <v>121205.84560000002</v>
      </c>
      <c r="Q34" s="775">
        <f t="shared" si="222"/>
        <v>435905.55555555556</v>
      </c>
      <c r="R34" s="775">
        <f t="shared" si="222"/>
        <v>435103.15860000002</v>
      </c>
      <c r="S34" s="1185">
        <f>+S23+S24+S65+S33</f>
        <v>109083.33333333333</v>
      </c>
      <c r="T34" s="1185">
        <f>+T23+T24+T65+T33</f>
        <v>114726.73264999999</v>
      </c>
      <c r="U34" s="775">
        <f t="shared" si="223"/>
        <v>544988.88888888888</v>
      </c>
      <c r="V34" s="775">
        <f t="shared" si="224"/>
        <v>549829.89124999999</v>
      </c>
      <c r="W34" s="1185">
        <f>+W23+W24+W65+W33</f>
        <v>71933.333333333328</v>
      </c>
      <c r="X34" s="1185">
        <f>+X23+X24+X65+X33</f>
        <v>116778.98483999999</v>
      </c>
      <c r="Y34" s="774">
        <f t="shared" si="225"/>
        <v>290100</v>
      </c>
      <c r="Z34" s="774">
        <f t="shared" si="225"/>
        <v>352711.56309000001</v>
      </c>
      <c r="AA34" s="460">
        <f t="shared" ref="AA34:AA37" si="242">M34+Y34</f>
        <v>616922.22222222225</v>
      </c>
      <c r="AB34" s="460">
        <f t="shared" ref="AB34:AB37" si="243">+N34+Z34</f>
        <v>666608.87609000003</v>
      </c>
      <c r="AC34" s="1185">
        <f>+AC23+AC24+AC65+AC33</f>
        <v>110644.44444444444</v>
      </c>
      <c r="AD34" s="1185">
        <f>+AD23+AD24+AD65+AD33</f>
        <v>107202.80928000002</v>
      </c>
      <c r="AE34" s="775">
        <f t="shared" si="226"/>
        <v>727566.66666666674</v>
      </c>
      <c r="AF34" s="775">
        <f t="shared" si="227"/>
        <v>773811.68537000008</v>
      </c>
      <c r="AG34" s="1185">
        <f>+AG23+AG24+AG65+AG33</f>
        <v>107240</v>
      </c>
      <c r="AH34" s="1185">
        <f>+AH23+AH24+AH65+AH33</f>
        <v>110878.65</v>
      </c>
      <c r="AI34" s="775">
        <f t="shared" si="228"/>
        <v>834806.66666666674</v>
      </c>
      <c r="AJ34" s="775">
        <f t="shared" si="229"/>
        <v>884690.3353700001</v>
      </c>
      <c r="AK34" s="1185">
        <f>+AK23+AK24+AK65+AK33</f>
        <v>110644.44444444444</v>
      </c>
      <c r="AL34" s="1185">
        <f>+AL23+AL24+AL65+AL33</f>
        <v>116030.36690000002</v>
      </c>
      <c r="AM34" s="774">
        <f t="shared" si="230"/>
        <v>328528.88888888888</v>
      </c>
      <c r="AN34" s="774">
        <f t="shared" si="231"/>
        <v>334111.82618000003</v>
      </c>
      <c r="AO34" s="775">
        <f t="shared" ref="AO34:AO37" si="244">+AK34+AI34</f>
        <v>945451.11111111124</v>
      </c>
      <c r="AP34" s="775">
        <f t="shared" ref="AP34:AP37" si="245">+AL34+AJ34</f>
        <v>1000720.7022700001</v>
      </c>
      <c r="AQ34" s="1185">
        <f>+AQ23+AQ24+AQ65+AQ33</f>
        <v>112346.66666666666</v>
      </c>
      <c r="AR34" s="1185">
        <f>+AR23+AR24+AR65+AR33</f>
        <v>111726.497634</v>
      </c>
      <c r="AS34" s="775">
        <f t="shared" si="232"/>
        <v>1057797.777777778</v>
      </c>
      <c r="AT34" s="775">
        <f t="shared" si="233"/>
        <v>1112447.1999040002</v>
      </c>
      <c r="AU34" s="1185">
        <f>+AU23+AU24+AU65+AU33</f>
        <v>100431.11111111111</v>
      </c>
      <c r="AV34" s="1185">
        <f>+AV23+AV24+AV65+AV33</f>
        <v>102692.19531</v>
      </c>
      <c r="AW34" s="775">
        <f t="shared" si="234"/>
        <v>1158228.888888889</v>
      </c>
      <c r="AX34" s="775">
        <f t="shared" si="235"/>
        <v>1215139.3952140003</v>
      </c>
      <c r="AY34" s="1185">
        <f>+AY23+AY24+AY65+AY33</f>
        <v>112346.66666666666</v>
      </c>
      <c r="AZ34" s="1185">
        <f>+AZ23+AZ24+AZ65+AZ33</f>
        <v>112411.4816</v>
      </c>
      <c r="BA34" s="774">
        <f t="shared" si="236"/>
        <v>325124.44444444438</v>
      </c>
      <c r="BB34" s="774">
        <f t="shared" si="237"/>
        <v>326830.17454399995</v>
      </c>
      <c r="BC34" s="464">
        <f t="shared" si="238"/>
        <v>653653.33333333326</v>
      </c>
      <c r="BD34" s="472">
        <f t="shared" si="239"/>
        <v>660942.00072399992</v>
      </c>
      <c r="BE34" s="775">
        <f t="shared" si="240"/>
        <v>1270575.5555555557</v>
      </c>
      <c r="BF34" s="775">
        <f t="shared" si="241"/>
        <v>1327550.8768140003</v>
      </c>
      <c r="BG34" s="1520">
        <f t="shared" si="3"/>
        <v>0</v>
      </c>
      <c r="BH34" s="1520">
        <f t="shared" si="4"/>
        <v>0</v>
      </c>
      <c r="BI34" s="26"/>
      <c r="BJ34" s="26"/>
      <c r="BK34" s="26"/>
      <c r="BL34" s="26"/>
      <c r="BM34" s="26"/>
      <c r="BN34" s="26"/>
    </row>
    <row r="35" spans="1:66" x14ac:dyDescent="0.3">
      <c r="A35" s="144" t="s">
        <v>470</v>
      </c>
      <c r="B35" s="1699" t="s">
        <v>576</v>
      </c>
      <c r="C35" s="546" t="s">
        <v>50</v>
      </c>
      <c r="D35" s="1185">
        <f>+D27+D63</f>
        <v>4122875.9629219188</v>
      </c>
      <c r="E35" s="1185">
        <f>+E27+E63</f>
        <v>352191.43818858423</v>
      </c>
      <c r="F35" s="1185">
        <f>+F27+F63</f>
        <v>312893.28860000003</v>
      </c>
      <c r="G35" s="1185">
        <f>+G27+G63</f>
        <v>363372.11876599962</v>
      </c>
      <c r="H35" s="1185">
        <f>+H27+H63</f>
        <v>354317.93660000002</v>
      </c>
      <c r="I35" s="775">
        <f t="shared" si="220"/>
        <v>715563.55695458385</v>
      </c>
      <c r="J35" s="775">
        <f t="shared" si="220"/>
        <v>667211.22519999999</v>
      </c>
      <c r="K35" s="1185">
        <f>+K27+K63</f>
        <v>352191.43818858423</v>
      </c>
      <c r="L35" s="1185">
        <f>+L27+L63</f>
        <v>375777.95199999999</v>
      </c>
      <c r="M35" s="774">
        <f t="shared" si="221"/>
        <v>1067754.9951431681</v>
      </c>
      <c r="N35" s="774">
        <f t="shared" si="221"/>
        <v>1042989.1772</v>
      </c>
      <c r="O35" s="1185">
        <f>+O27+O63</f>
        <v>356384.19340511499</v>
      </c>
      <c r="P35" s="1185">
        <f>+P27+P63</f>
        <v>391296.01819999993</v>
      </c>
      <c r="Q35" s="775">
        <f t="shared" si="222"/>
        <v>1424139.1885482832</v>
      </c>
      <c r="R35" s="775">
        <f t="shared" si="222"/>
        <v>1434285.1954000001</v>
      </c>
      <c r="S35" s="1185">
        <f>+S27+S63</f>
        <v>356384.19340511499</v>
      </c>
      <c r="T35" s="1185">
        <f>+T27+T63</f>
        <v>372987.68689999997</v>
      </c>
      <c r="U35" s="775">
        <f t="shared" si="223"/>
        <v>1780523.3819533982</v>
      </c>
      <c r="V35" s="775">
        <f t="shared" si="224"/>
        <v>1807272.8823000002</v>
      </c>
      <c r="W35" s="1185">
        <f>+W27+W63</f>
        <v>195661.91010476899</v>
      </c>
      <c r="X35" s="1185">
        <f>+X27+X63</f>
        <v>365909.41859999998</v>
      </c>
      <c r="Y35" s="774">
        <f t="shared" si="225"/>
        <v>908430.29691499891</v>
      </c>
      <c r="Z35" s="774">
        <f t="shared" si="225"/>
        <v>1130193.1236999999</v>
      </c>
      <c r="AA35" s="460">
        <f t="shared" si="242"/>
        <v>1976185.292058167</v>
      </c>
      <c r="AB35" s="460">
        <f t="shared" si="243"/>
        <v>2173182.3009000001</v>
      </c>
      <c r="AC35" s="1185">
        <f>+AC27+AC63</f>
        <v>363372.11876599962</v>
      </c>
      <c r="AD35" s="1185">
        <f>+AD27+AD63</f>
        <v>300238.40399999998</v>
      </c>
      <c r="AE35" s="775">
        <f t="shared" si="226"/>
        <v>2339557.4108241666</v>
      </c>
      <c r="AF35" s="775">
        <f t="shared" si="227"/>
        <v>2473420.7049000002</v>
      </c>
      <c r="AG35" s="1185">
        <f>+AG27+AG63</f>
        <v>352191.43818858423</v>
      </c>
      <c r="AH35" s="1185">
        <f>+AH27+AH63</f>
        <v>362289.76850000001</v>
      </c>
      <c r="AI35" s="775">
        <f t="shared" si="228"/>
        <v>2691748.8490127507</v>
      </c>
      <c r="AJ35" s="775">
        <f t="shared" si="229"/>
        <v>2835710.4734000005</v>
      </c>
      <c r="AK35" s="1185">
        <f>+AK27+AK63</f>
        <v>363372.11876599962</v>
      </c>
      <c r="AL35" s="1185">
        <f>+AL27+AL63</f>
        <v>359727.3848</v>
      </c>
      <c r="AM35" s="774">
        <f t="shared" si="230"/>
        <v>1078935.6757205834</v>
      </c>
      <c r="AN35" s="774">
        <f t="shared" si="231"/>
        <v>1022255.5573</v>
      </c>
      <c r="AO35" s="775">
        <f t="shared" si="244"/>
        <v>3055120.9677787502</v>
      </c>
      <c r="AP35" s="775">
        <f t="shared" si="245"/>
        <v>3195437.8582000006</v>
      </c>
      <c r="AQ35" s="1185">
        <f>+AQ27+AQ63</f>
        <v>368962.45905470726</v>
      </c>
      <c r="AR35" s="1185">
        <f>+AR27+AR63</f>
        <v>357305.66379999998</v>
      </c>
      <c r="AS35" s="775">
        <f t="shared" si="232"/>
        <v>3424083.4268334573</v>
      </c>
      <c r="AT35" s="775">
        <f t="shared" si="233"/>
        <v>3552743.5220000008</v>
      </c>
      <c r="AU35" s="1185">
        <f>+AU27+AU63</f>
        <v>329830.07703375345</v>
      </c>
      <c r="AV35" s="1185">
        <f>+AV27+AV63</f>
        <v>297756.25300000003</v>
      </c>
      <c r="AW35" s="775">
        <f t="shared" si="234"/>
        <v>3753913.5038672108</v>
      </c>
      <c r="AX35" s="775">
        <f t="shared" si="235"/>
        <v>3850499.7750000008</v>
      </c>
      <c r="AY35" s="1185">
        <f>+AY27+AY63</f>
        <v>368962.45905470726</v>
      </c>
      <c r="AZ35" s="1185">
        <f>+AZ27+AZ63</f>
        <v>379299.58</v>
      </c>
      <c r="BA35" s="774">
        <f t="shared" si="236"/>
        <v>1067754.9951431679</v>
      </c>
      <c r="BB35" s="774">
        <f t="shared" si="237"/>
        <v>1034361.4968000001</v>
      </c>
      <c r="BC35" s="464">
        <f t="shared" si="238"/>
        <v>2146690.6708637513</v>
      </c>
      <c r="BD35" s="472">
        <f t="shared" si="239"/>
        <v>2056617.0541000001</v>
      </c>
      <c r="BE35" s="775">
        <f t="shared" si="240"/>
        <v>4122875.9629219179</v>
      </c>
      <c r="BF35" s="775">
        <f t="shared" si="241"/>
        <v>4229799.3550000004</v>
      </c>
      <c r="BG35" s="1520">
        <f t="shared" si="3"/>
        <v>0</v>
      </c>
      <c r="BH35" s="1520">
        <f t="shared" si="4"/>
        <v>0</v>
      </c>
      <c r="BI35" s="26"/>
      <c r="BJ35" s="26"/>
      <c r="BK35" s="26"/>
      <c r="BL35" s="26"/>
      <c r="BM35" s="26"/>
      <c r="BN35" s="26"/>
    </row>
    <row r="36" spans="1:66" x14ac:dyDescent="0.3">
      <c r="A36" s="144" t="s">
        <v>470</v>
      </c>
      <c r="B36" s="1699" t="s">
        <v>611</v>
      </c>
      <c r="C36" s="546" t="s">
        <v>50</v>
      </c>
      <c r="D36" s="1185">
        <f>+D28+D69</f>
        <v>738653.07167643076</v>
      </c>
      <c r="E36" s="1185">
        <f>+E28+E69</f>
        <v>63098.49968219002</v>
      </c>
      <c r="F36" s="1185">
        <f>+F28+F69</f>
        <v>57542.055200000003</v>
      </c>
      <c r="G36" s="1185">
        <f>+G28+G69</f>
        <v>65101.626656227803</v>
      </c>
      <c r="H36" s="1185">
        <f>+H28+H69</f>
        <v>71211.455400000006</v>
      </c>
      <c r="I36" s="775">
        <f t="shared" si="220"/>
        <v>128200.12633841782</v>
      </c>
      <c r="J36" s="775">
        <f t="shared" si="220"/>
        <v>128753.51060000001</v>
      </c>
      <c r="K36" s="1185">
        <f>+K28+K69</f>
        <v>63098.49968219002</v>
      </c>
      <c r="L36" s="1185">
        <f>+L28+L69</f>
        <v>69952.059900000007</v>
      </c>
      <c r="M36" s="774">
        <f t="shared" si="221"/>
        <v>191298.62602060783</v>
      </c>
      <c r="N36" s="774">
        <f t="shared" si="221"/>
        <v>198705.57050000003</v>
      </c>
      <c r="O36" s="1185">
        <f>+O28+O69</f>
        <v>63849.672297454184</v>
      </c>
      <c r="P36" s="1185">
        <f>+P28+P69</f>
        <v>79928.753700000001</v>
      </c>
      <c r="Q36" s="775">
        <f t="shared" si="222"/>
        <v>255148.29831806201</v>
      </c>
      <c r="R36" s="775">
        <f t="shared" si="222"/>
        <v>278634.32420000003</v>
      </c>
      <c r="S36" s="1185">
        <f>+S28+S69</f>
        <v>63849.672297454184</v>
      </c>
      <c r="T36" s="1185">
        <f>+T28+T69</f>
        <v>56672.035000000003</v>
      </c>
      <c r="U36" s="775">
        <f t="shared" si="223"/>
        <v>318997.97061551618</v>
      </c>
      <c r="V36" s="775">
        <f t="shared" si="224"/>
        <v>335306.35920000006</v>
      </c>
      <c r="W36" s="1185">
        <f>+W28+W69</f>
        <v>35054.722045661125</v>
      </c>
      <c r="X36" s="1185">
        <f>+X28+X69</f>
        <v>49363.923000000003</v>
      </c>
      <c r="Y36" s="774">
        <f t="shared" si="225"/>
        <v>162754.06664056948</v>
      </c>
      <c r="Z36" s="774">
        <f t="shared" si="225"/>
        <v>185964.71170000001</v>
      </c>
      <c r="AA36" s="460">
        <f t="shared" si="242"/>
        <v>354052.69266117731</v>
      </c>
      <c r="AB36" s="460">
        <f t="shared" si="243"/>
        <v>384670.28220000002</v>
      </c>
      <c r="AC36" s="1185">
        <f>+AC28+AC69</f>
        <v>65101.626656227803</v>
      </c>
      <c r="AD36" s="1185">
        <f>+AD28+AD69</f>
        <v>50209.861199999999</v>
      </c>
      <c r="AE36" s="775">
        <f t="shared" si="226"/>
        <v>419154.31931740511</v>
      </c>
      <c r="AF36" s="775">
        <f t="shared" si="227"/>
        <v>434880.1434</v>
      </c>
      <c r="AG36" s="1185">
        <f>+AG28+AG69</f>
        <v>63098.49968219002</v>
      </c>
      <c r="AH36" s="1185">
        <f>+AH28+AH69</f>
        <v>58730.275099999999</v>
      </c>
      <c r="AI36" s="775">
        <f t="shared" si="228"/>
        <v>482252.81899959513</v>
      </c>
      <c r="AJ36" s="775">
        <f t="shared" si="229"/>
        <v>493610.41850000003</v>
      </c>
      <c r="AK36" s="1185">
        <f>+AK28+AK69</f>
        <v>65101.626656227803</v>
      </c>
      <c r="AL36" s="1185">
        <f>+AL28+AL69</f>
        <v>78020.843999999997</v>
      </c>
      <c r="AM36" s="774">
        <f t="shared" si="230"/>
        <v>193301.75299464562</v>
      </c>
      <c r="AN36" s="774">
        <f t="shared" si="231"/>
        <v>186960.9803</v>
      </c>
      <c r="AO36" s="775">
        <f t="shared" si="244"/>
        <v>547354.44565582299</v>
      </c>
      <c r="AP36" s="775">
        <f t="shared" si="245"/>
        <v>571631.26250000007</v>
      </c>
      <c r="AQ36" s="1185">
        <f>+AQ28+AQ69</f>
        <v>66103.190143246698</v>
      </c>
      <c r="AR36" s="1185">
        <f>+AR28+AR69</f>
        <v>83538.171600000001</v>
      </c>
      <c r="AS36" s="775">
        <f t="shared" si="232"/>
        <v>613457.63579906966</v>
      </c>
      <c r="AT36" s="775">
        <f t="shared" si="233"/>
        <v>655169.43410000007</v>
      </c>
      <c r="AU36" s="1185">
        <f>+AU28+AU69</f>
        <v>59092.245734114462</v>
      </c>
      <c r="AV36" s="1185">
        <f>+AV28+AV69</f>
        <v>52900.443699999996</v>
      </c>
      <c r="AW36" s="775">
        <f t="shared" si="234"/>
        <v>672549.88153318409</v>
      </c>
      <c r="AX36" s="775">
        <f t="shared" si="235"/>
        <v>708069.87780000002</v>
      </c>
      <c r="AY36" s="1185">
        <f>+AY28+AY69</f>
        <v>66103.190143246698</v>
      </c>
      <c r="AZ36" s="1185">
        <f>+AZ28+AZ69</f>
        <v>58746.112000000001</v>
      </c>
      <c r="BA36" s="774">
        <f t="shared" si="236"/>
        <v>191298.62602060786</v>
      </c>
      <c r="BB36" s="774">
        <f t="shared" si="237"/>
        <v>195184.7273</v>
      </c>
      <c r="BC36" s="464">
        <f t="shared" si="238"/>
        <v>384600.37901525351</v>
      </c>
      <c r="BD36" s="472">
        <f t="shared" si="239"/>
        <v>382145.70759999997</v>
      </c>
      <c r="BE36" s="775">
        <f t="shared" si="240"/>
        <v>738653.07167643076</v>
      </c>
      <c r="BF36" s="775">
        <f t="shared" si="241"/>
        <v>766815.98979999998</v>
      </c>
      <c r="BG36" s="1520">
        <f t="shared" si="3"/>
        <v>0</v>
      </c>
      <c r="BH36" s="1520">
        <f t="shared" si="4"/>
        <v>0</v>
      </c>
      <c r="BI36" s="26"/>
      <c r="BJ36" s="26"/>
      <c r="BK36" s="26"/>
      <c r="BL36" s="26"/>
      <c r="BM36" s="26"/>
      <c r="BN36" s="26"/>
    </row>
    <row r="37" spans="1:66" ht="15" thickBot="1" x14ac:dyDescent="0.35">
      <c r="A37" s="144"/>
      <c r="B37" s="1700" t="s">
        <v>1301</v>
      </c>
      <c r="C37" s="742" t="s">
        <v>50</v>
      </c>
      <c r="D37" s="107">
        <f>D30+D67</f>
        <v>833544.46589023247</v>
      </c>
      <c r="E37" s="107">
        <f>E30+E67</f>
        <v>71204.476408250353</v>
      </c>
      <c r="F37" s="107">
        <f t="shared" ref="F37:J37" si="246">F30+F67</f>
        <v>69410.895799999998</v>
      </c>
      <c r="G37" s="107">
        <f>G30+G67</f>
        <v>73464.935976766254</v>
      </c>
      <c r="H37" s="107">
        <f t="shared" ref="H37" si="247">H30+H67</f>
        <v>71973.92289999999</v>
      </c>
      <c r="I37" s="107">
        <f t="shared" si="246"/>
        <v>144669.41238501662</v>
      </c>
      <c r="J37" s="107">
        <f t="shared" si="246"/>
        <v>141384.81869999997</v>
      </c>
      <c r="K37" s="107">
        <f>K30+K67</f>
        <v>71204.476408250353</v>
      </c>
      <c r="L37" s="107">
        <f t="shared" ref="L37" si="248">L30+L67</f>
        <v>66010.117900000012</v>
      </c>
      <c r="M37" s="774">
        <f t="shared" si="221"/>
        <v>215873.88879326696</v>
      </c>
      <c r="N37" s="774">
        <f t="shared" si="221"/>
        <v>207394.93660000002</v>
      </c>
      <c r="O37" s="107">
        <f>O30+O67</f>
        <v>72052.148746443825</v>
      </c>
      <c r="P37" s="107">
        <f t="shared" ref="P37" si="249">P30+P67</f>
        <v>56440.592000000004</v>
      </c>
      <c r="Q37" s="584">
        <f t="shared" si="222"/>
        <v>287926.03753971076</v>
      </c>
      <c r="R37" s="584">
        <f t="shared" si="222"/>
        <v>263835.52860000002</v>
      </c>
      <c r="S37" s="107">
        <f>S30+S67</f>
        <v>72052.148746443825</v>
      </c>
      <c r="T37" s="107">
        <f t="shared" ref="T37" si="250">T30+T67</f>
        <v>70933.258000000002</v>
      </c>
      <c r="U37" s="584">
        <f t="shared" si="223"/>
        <v>359978.18628615455</v>
      </c>
      <c r="V37" s="584">
        <f t="shared" si="224"/>
        <v>334768.78659999999</v>
      </c>
      <c r="W37" s="107">
        <f>W30+W67</f>
        <v>39558.042449027977</v>
      </c>
      <c r="X37" s="107">
        <f t="shared" ref="X37" si="251">X30+X67</f>
        <v>69527.346799999999</v>
      </c>
      <c r="Y37" s="774">
        <f t="shared" si="225"/>
        <v>183662.33994191562</v>
      </c>
      <c r="Z37" s="774">
        <f t="shared" si="225"/>
        <v>196901.19680000001</v>
      </c>
      <c r="AA37" s="460">
        <f t="shared" si="242"/>
        <v>399536.22873518255</v>
      </c>
      <c r="AB37" s="460">
        <f t="shared" si="243"/>
        <v>404296.13340000005</v>
      </c>
      <c r="AC37" s="107">
        <f>AC30+AC67</f>
        <v>73464.935976766254</v>
      </c>
      <c r="AD37" s="107">
        <f t="shared" ref="AD37" si="252">AD30+AD67</f>
        <v>57404.360800000002</v>
      </c>
      <c r="AE37" s="584">
        <f t="shared" si="226"/>
        <v>473001.16471194883</v>
      </c>
      <c r="AF37" s="584">
        <f t="shared" si="227"/>
        <v>461700.49420000007</v>
      </c>
      <c r="AG37" s="107">
        <f>AG30+AG67</f>
        <v>71204.476408250353</v>
      </c>
      <c r="AH37" s="107">
        <f t="shared" ref="AH37" si="253">AH30+AH67</f>
        <v>68581.207800000004</v>
      </c>
      <c r="AI37" s="584">
        <f t="shared" si="228"/>
        <v>544205.64112019923</v>
      </c>
      <c r="AJ37" s="584">
        <f t="shared" si="229"/>
        <v>530281.70200000005</v>
      </c>
      <c r="AK37" s="107">
        <f>AK30+AK67</f>
        <v>73464.935976766254</v>
      </c>
      <c r="AL37" s="107">
        <f t="shared" ref="AL37" si="254">AL30+AL67</f>
        <v>71446.156999999992</v>
      </c>
      <c r="AM37" s="774">
        <f t="shared" si="230"/>
        <v>218134.34836178288</v>
      </c>
      <c r="AN37" s="774">
        <f t="shared" si="231"/>
        <v>197431.72559999998</v>
      </c>
      <c r="AO37" s="775">
        <f t="shared" si="244"/>
        <v>617670.57709696551</v>
      </c>
      <c r="AP37" s="775">
        <f t="shared" si="245"/>
        <v>601727.85900000005</v>
      </c>
      <c r="AQ37" s="107">
        <f>AQ30+AQ67</f>
        <v>74595.165761024211</v>
      </c>
      <c r="AR37" s="107">
        <f t="shared" ref="AR37" si="255">AR30+AR67</f>
        <v>59435.999199999998</v>
      </c>
      <c r="AS37" s="584">
        <f t="shared" si="232"/>
        <v>692265.74285798974</v>
      </c>
      <c r="AT37" s="584">
        <f t="shared" si="233"/>
        <v>661163.85820000002</v>
      </c>
      <c r="AU37" s="107">
        <f>AU30+AU67</f>
        <v>66683.557271218611</v>
      </c>
      <c r="AV37" s="107">
        <f t="shared" ref="AV37" si="256">AV30+AV67</f>
        <v>46905.9735</v>
      </c>
      <c r="AW37" s="584">
        <f t="shared" si="234"/>
        <v>758949.30012920836</v>
      </c>
      <c r="AX37" s="584">
        <f t="shared" si="235"/>
        <v>708069.83169999998</v>
      </c>
      <c r="AY37" s="107">
        <f>AY30+AY67</f>
        <v>74595.165761024211</v>
      </c>
      <c r="AZ37" s="107">
        <f t="shared" ref="AZ37" si="257">AZ30+AZ67</f>
        <v>65238.555</v>
      </c>
      <c r="BA37" s="774">
        <f t="shared" si="236"/>
        <v>215873.88879326702</v>
      </c>
      <c r="BB37" s="774">
        <f t="shared" si="237"/>
        <v>171580.52770000001</v>
      </c>
      <c r="BC37" s="464">
        <f t="shared" si="238"/>
        <v>434008.23715504992</v>
      </c>
      <c r="BD37" s="472">
        <f t="shared" si="239"/>
        <v>369012.25329999998</v>
      </c>
      <c r="BE37" s="584">
        <f t="shared" si="240"/>
        <v>833544.46589023259</v>
      </c>
      <c r="BF37" s="584">
        <f t="shared" si="241"/>
        <v>773308.38670000003</v>
      </c>
      <c r="BG37" s="1520">
        <f t="shared" si="3"/>
        <v>0</v>
      </c>
      <c r="BH37" s="1520">
        <f t="shared" si="4"/>
        <v>0</v>
      </c>
      <c r="BI37" s="26"/>
      <c r="BJ37" s="26"/>
      <c r="BK37" s="26"/>
      <c r="BL37" s="26"/>
      <c r="BM37" s="26"/>
      <c r="BN37" s="26"/>
    </row>
    <row r="38" spans="1:66" ht="16.2" thickBot="1" x14ac:dyDescent="0.35">
      <c r="A38" s="145"/>
      <c r="B38" s="2225" t="s">
        <v>444</v>
      </c>
      <c r="C38" s="2226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  <c r="AV38" s="114"/>
      <c r="AW38" s="114"/>
      <c r="AX38" s="114"/>
      <c r="AY38" s="114"/>
      <c r="AZ38" s="114"/>
      <c r="BA38" s="114"/>
      <c r="BB38" s="114"/>
      <c r="BC38" s="114"/>
      <c r="BD38" s="114"/>
      <c r="BE38" s="114"/>
      <c r="BF38" s="114"/>
      <c r="BG38" s="1520">
        <f t="shared" si="3"/>
        <v>0</v>
      </c>
      <c r="BH38" s="1520">
        <f t="shared" si="4"/>
        <v>0</v>
      </c>
      <c r="BI38" s="26"/>
      <c r="BJ38" s="26"/>
      <c r="BK38" s="26"/>
      <c r="BL38" s="26"/>
      <c r="BM38" s="26"/>
      <c r="BN38" s="26"/>
    </row>
    <row r="39" spans="1:66" x14ac:dyDescent="0.3">
      <c r="A39" s="144"/>
      <c r="B39" s="1701" t="s">
        <v>238</v>
      </c>
      <c r="C39" s="751" t="s">
        <v>242</v>
      </c>
      <c r="D39" s="155">
        <v>356.24</v>
      </c>
      <c r="E39" s="155">
        <f>+'Maj Techno Summ'!E10</f>
        <v>356</v>
      </c>
      <c r="F39" s="155">
        <f t="shared" ref="F39:H39" si="258">+F23/F$6*1000</f>
        <v>347.96952445897341</v>
      </c>
      <c r="G39" s="155">
        <f>+'Maj Techno Summ'!G10</f>
        <v>356</v>
      </c>
      <c r="H39" s="155">
        <f t="shared" si="258"/>
        <v>345.97012054468189</v>
      </c>
      <c r="I39" s="42">
        <f t="shared" ref="I39:J41" si="259">+I23/I$6*1000</f>
        <v>356</v>
      </c>
      <c r="J39" s="42">
        <f t="shared" si="259"/>
        <v>346.90840073756402</v>
      </c>
      <c r="K39" s="155">
        <f>+'Maj Techno Summ'!K10</f>
        <v>356</v>
      </c>
      <c r="L39" s="155">
        <f t="shared" ref="L39" si="260">+L23/L$6*1000</f>
        <v>348.40698971547278</v>
      </c>
      <c r="M39" s="72">
        <f t="shared" ref="M39:N41" si="261">+M23/M$6*1000</f>
        <v>356</v>
      </c>
      <c r="N39" s="72">
        <f t="shared" si="261"/>
        <v>347.43556530306734</v>
      </c>
      <c r="O39" s="155">
        <f>+'Maj Techno Summ'!O10</f>
        <v>356</v>
      </c>
      <c r="P39" s="155">
        <f t="shared" ref="P39:P41" si="262">+P23/P$6*1000</f>
        <v>362.56961546164109</v>
      </c>
      <c r="Q39" s="42">
        <f t="shared" ref="Q39:R41" si="263">+Q23/Q$6*1000</f>
        <v>356</v>
      </c>
      <c r="R39" s="42">
        <f t="shared" si="263"/>
        <v>351.44755181150322</v>
      </c>
      <c r="S39" s="155">
        <f>+'Maj Techno Summ'!S10</f>
        <v>356</v>
      </c>
      <c r="T39" s="155">
        <f t="shared" ref="T39:T41" si="264">+T23/T$6*1000</f>
        <v>365.93798366603016</v>
      </c>
      <c r="U39" s="42">
        <f t="shared" ref="U39:V41" si="265">+U23/U$6*1000</f>
        <v>356</v>
      </c>
      <c r="V39" s="42">
        <f t="shared" si="265"/>
        <v>354.34922586817993</v>
      </c>
      <c r="W39" s="155">
        <f>+'Maj Techno Summ'!W10</f>
        <v>383</v>
      </c>
      <c r="X39" s="155">
        <f t="shared" ref="X39:X41" si="266">+X23/X$6*1000</f>
        <v>390.38903144875366</v>
      </c>
      <c r="Y39" s="72">
        <f t="shared" ref="Y39:AB41" si="267">+Y23/Y$6*1000</f>
        <v>361.81538461538457</v>
      </c>
      <c r="Z39" s="72">
        <f t="shared" si="267"/>
        <v>372.53619548915242</v>
      </c>
      <c r="AA39" s="453">
        <f t="shared" si="267"/>
        <v>358.67326732673268</v>
      </c>
      <c r="AB39" s="453">
        <f t="shared" si="267"/>
        <v>360.16361712747266</v>
      </c>
      <c r="AC39" s="155">
        <f>+'Maj Techno Summ'!AC10</f>
        <v>354</v>
      </c>
      <c r="AD39" s="155">
        <f t="shared" ref="AD39:AD41" si="268">+AD23/AD$6*1000</f>
        <v>407.03377172388349</v>
      </c>
      <c r="AE39" s="42">
        <f t="shared" ref="AE39:AF39" si="269">+AE23/AE$6*1000</f>
        <v>357.94743130227005</v>
      </c>
      <c r="AF39" s="42">
        <f t="shared" si="269"/>
        <v>365.72340637276733</v>
      </c>
      <c r="AG39" s="155">
        <f>+'Maj Techno Summ'!AG10</f>
        <v>354</v>
      </c>
      <c r="AH39" s="155">
        <f t="shared" ref="AH39:AH41" si="270">+AH23/AH$6*1000</f>
        <v>366.29801079835937</v>
      </c>
      <c r="AI39" s="42">
        <f t="shared" ref="AI39:AJ41" si="271">+AI23/AI$6*1000</f>
        <v>357.43094496365524</v>
      </c>
      <c r="AJ39" s="42">
        <f t="shared" si="271"/>
        <v>365.79515939360471</v>
      </c>
      <c r="AK39" s="155">
        <f>+'Maj Techno Summ'!AK10</f>
        <v>354</v>
      </c>
      <c r="AL39" s="155">
        <f t="shared" ref="AL39:AL41" si="272">+AL23/AL$6*1000</f>
        <v>379.38954607431214</v>
      </c>
      <c r="AM39" s="72">
        <f t="shared" ref="AM39:AP39" si="273">+AM23/AM$6*1000</f>
        <v>354</v>
      </c>
      <c r="AN39" s="72">
        <f t="shared" si="273"/>
        <v>382.84532752383001</v>
      </c>
      <c r="AO39" s="42">
        <f t="shared" si="273"/>
        <v>357.02287282708147</v>
      </c>
      <c r="AP39" s="42">
        <f t="shared" si="273"/>
        <v>367.34488747784621</v>
      </c>
      <c r="AQ39" s="155">
        <f>+'Maj Techno Summ'!AQ10</f>
        <v>354</v>
      </c>
      <c r="AR39" s="155">
        <f t="shared" ref="AR39:AR41" si="274">+AR23/AR$6*1000</f>
        <v>385.39816586713408</v>
      </c>
      <c r="AS39" s="42">
        <f t="shared" ref="AS39:AT39" si="275">+AS23/AS$6*1000</f>
        <v>356.69714285714286</v>
      </c>
      <c r="AT39" s="42">
        <f t="shared" si="275"/>
        <v>369.14796312358561</v>
      </c>
      <c r="AU39" s="155">
        <f>+'Maj Techno Summ'!AU10</f>
        <v>354</v>
      </c>
      <c r="AV39" s="155">
        <f t="shared" ref="AV39:AV41" si="276">+AV23/AV$6*1000</f>
        <v>429.82864200130945</v>
      </c>
      <c r="AW39" s="42">
        <f t="shared" ref="AW39:AX41" si="277">+AW23/AW$6*1000</f>
        <v>356.46016381236041</v>
      </c>
      <c r="AX39" s="42">
        <f t="shared" si="277"/>
        <v>373.65236544774308</v>
      </c>
      <c r="AY39" s="155">
        <f>+'Maj Techno Summ'!AY10</f>
        <v>354</v>
      </c>
      <c r="AZ39" s="155">
        <f t="shared" ref="AZ39:AZ41" si="278">+AZ23/AZ$6*1000</f>
        <v>367.13628962682185</v>
      </c>
      <c r="BA39" s="72">
        <f t="shared" ref="BA39:BE39" si="279">+BA23/BA$6*1000</f>
        <v>354</v>
      </c>
      <c r="BB39" s="72">
        <f t="shared" si="279"/>
        <v>391.36137645781383</v>
      </c>
      <c r="BC39" s="453">
        <f t="shared" si="279"/>
        <v>354</v>
      </c>
      <c r="BD39" s="453">
        <f t="shared" si="279"/>
        <v>387.08691633158401</v>
      </c>
      <c r="BE39" s="42">
        <f t="shared" si="279"/>
        <v>356.24</v>
      </c>
      <c r="BF39" s="163">
        <f>+BF23/BF$6*1000</f>
        <v>373.08643299420697</v>
      </c>
      <c r="BG39" s="1520"/>
      <c r="BH39" s="1520"/>
      <c r="BI39" s="26"/>
      <c r="BJ39" s="26"/>
      <c r="BK39" s="26"/>
      <c r="BL39" s="26"/>
      <c r="BM39" s="26"/>
      <c r="BN39" s="26"/>
    </row>
    <row r="40" spans="1:66" x14ac:dyDescent="0.3">
      <c r="A40" s="144"/>
      <c r="B40" s="1699" t="s">
        <v>1</v>
      </c>
      <c r="C40" s="2803" t="s">
        <v>242</v>
      </c>
      <c r="D40" s="2537">
        <v>28.952542372881357</v>
      </c>
      <c r="E40" s="2537">
        <f>+'Maj Techno Summ'!E11</f>
        <v>29</v>
      </c>
      <c r="F40" s="2537">
        <f t="shared" ref="F40:H40" si="280">+F24/F$6*1000</f>
        <v>28.720758728777291</v>
      </c>
      <c r="G40" s="2537">
        <f>+'Maj Techno Summ'!G11</f>
        <v>29</v>
      </c>
      <c r="H40" s="2537">
        <f t="shared" si="280"/>
        <v>29.24639142160763</v>
      </c>
      <c r="I40" s="38">
        <f t="shared" si="259"/>
        <v>29</v>
      </c>
      <c r="J40" s="38">
        <f t="shared" si="259"/>
        <v>28.999722531500559</v>
      </c>
      <c r="K40" s="2537">
        <f>+'Maj Techno Summ'!K11</f>
        <v>29</v>
      </c>
      <c r="L40" s="2537">
        <f t="shared" ref="L40" si="281">+L24/L$6*1000</f>
        <v>31.876010889904354</v>
      </c>
      <c r="M40" s="68">
        <f t="shared" si="261"/>
        <v>29</v>
      </c>
      <c r="N40" s="68">
        <f t="shared" si="261"/>
        <v>30.01152585120477</v>
      </c>
      <c r="O40" s="2537">
        <f>+'Maj Techno Summ'!O11</f>
        <v>29</v>
      </c>
      <c r="P40" s="2537">
        <f t="shared" si="262"/>
        <v>40.769372829277593</v>
      </c>
      <c r="Q40" s="38">
        <f t="shared" si="263"/>
        <v>29</v>
      </c>
      <c r="R40" s="38">
        <f t="shared" si="263"/>
        <v>32.863395409162749</v>
      </c>
      <c r="S40" s="2537">
        <f>+'Maj Techno Summ'!S11</f>
        <v>29</v>
      </c>
      <c r="T40" s="2537">
        <f t="shared" si="264"/>
        <v>37.253344065234799</v>
      </c>
      <c r="U40" s="38">
        <f t="shared" si="265"/>
        <v>29</v>
      </c>
      <c r="V40" s="38">
        <f t="shared" si="265"/>
        <v>33.7424720476887</v>
      </c>
      <c r="W40" s="2537">
        <f>+'Maj Techno Summ'!W11</f>
        <v>28</v>
      </c>
      <c r="X40" s="2537">
        <f t="shared" si="266"/>
        <v>36.733820007940906</v>
      </c>
      <c r="Y40" s="68">
        <f t="shared" si="267"/>
        <v>28.784615384615385</v>
      </c>
      <c r="Z40" s="68">
        <f t="shared" si="267"/>
        <v>38.320943992264716</v>
      </c>
      <c r="AA40" s="449">
        <f t="shared" si="267"/>
        <v>28.900990099009903</v>
      </c>
      <c r="AB40" s="449">
        <f t="shared" si="267"/>
        <v>34.225073636498855</v>
      </c>
      <c r="AC40" s="2537">
        <f>+'Maj Techno Summ'!AC11</f>
        <v>29</v>
      </c>
      <c r="AD40" s="2537">
        <f t="shared" si="268"/>
        <v>30.284127923390631</v>
      </c>
      <c r="AE40" s="38">
        <f t="shared" ref="AE40:AF40" si="282">+AE24/AE$6*1000</f>
        <v>28.916367980884107</v>
      </c>
      <c r="AF40" s="38">
        <f t="shared" si="282"/>
        <v>33.757594325182332</v>
      </c>
      <c r="AG40" s="2537">
        <f>+'Maj Techno Summ'!AG11</f>
        <v>29</v>
      </c>
      <c r="AH40" s="2537">
        <f t="shared" si="270"/>
        <v>37.743468925840951</v>
      </c>
      <c r="AI40" s="38">
        <f t="shared" si="271"/>
        <v>28.927310488058151</v>
      </c>
      <c r="AJ40" s="38">
        <f t="shared" si="271"/>
        <v>34.255325513001502</v>
      </c>
      <c r="AK40" s="2537">
        <f>+'Maj Techno Summ'!AK11</f>
        <v>29</v>
      </c>
      <c r="AL40" s="2537">
        <f t="shared" si="272"/>
        <v>35.629725195876944</v>
      </c>
      <c r="AM40" s="68">
        <f t="shared" ref="AM40:AP40" si="283">+AM24/AM$6*1000</f>
        <v>29</v>
      </c>
      <c r="AN40" s="68">
        <f t="shared" si="283"/>
        <v>34.815484048078119</v>
      </c>
      <c r="AO40" s="38">
        <f t="shared" si="283"/>
        <v>28.935956084172005</v>
      </c>
      <c r="AP40" s="38">
        <f t="shared" si="283"/>
        <v>34.412003841899363</v>
      </c>
      <c r="AQ40" s="2537">
        <f>+'Maj Techno Summ'!AQ11</f>
        <v>29</v>
      </c>
      <c r="AR40" s="2537">
        <f t="shared" si="274"/>
        <v>31.827294285431901</v>
      </c>
      <c r="AS40" s="38">
        <f t="shared" ref="AS40:AT40" si="284">+AS24/AS$6*1000</f>
        <v>28.942857142857143</v>
      </c>
      <c r="AT40" s="38">
        <f t="shared" si="284"/>
        <v>34.153855335457358</v>
      </c>
      <c r="AU40" s="2537">
        <f>+'Maj Techno Summ'!AU11</f>
        <v>29</v>
      </c>
      <c r="AV40" s="2537">
        <f t="shared" si="276"/>
        <v>29.819621590301526</v>
      </c>
      <c r="AW40" s="38">
        <f t="shared" si="277"/>
        <v>28.947877885331348</v>
      </c>
      <c r="AX40" s="38">
        <f t="shared" si="277"/>
        <v>33.832119769603494</v>
      </c>
      <c r="AY40" s="2537">
        <f>+'Maj Techno Summ'!AY11</f>
        <v>29</v>
      </c>
      <c r="AZ40" s="2537">
        <f t="shared" si="278"/>
        <v>32.889139192692141</v>
      </c>
      <c r="BA40" s="68">
        <f t="shared" ref="BA40:BF40" si="285">+BA24/BA$6*1000</f>
        <v>29</v>
      </c>
      <c r="BB40" s="68">
        <f t="shared" si="285"/>
        <v>31.643808818828944</v>
      </c>
      <c r="BC40" s="449">
        <f t="shared" si="285"/>
        <v>29</v>
      </c>
      <c r="BD40" s="449">
        <f t="shared" si="285"/>
        <v>33.235767649252715</v>
      </c>
      <c r="BE40" s="38">
        <f t="shared" si="285"/>
        <v>28.952542372881357</v>
      </c>
      <c r="BF40" s="105">
        <f t="shared" si="285"/>
        <v>33.750220275767816</v>
      </c>
      <c r="BG40" s="1520"/>
      <c r="BH40" s="1520"/>
      <c r="BI40" s="26"/>
      <c r="BJ40" s="26"/>
      <c r="BK40" s="26"/>
      <c r="BL40" s="26"/>
      <c r="BM40" s="26"/>
      <c r="BN40" s="26"/>
    </row>
    <row r="41" spans="1:66" ht="15" thickBot="1" x14ac:dyDescent="0.35">
      <c r="A41" s="144"/>
      <c r="B41" s="1703" t="s">
        <v>124</v>
      </c>
      <c r="C41" s="2907" t="s">
        <v>242</v>
      </c>
      <c r="D41" s="2801">
        <v>149.6650847457627</v>
      </c>
      <c r="E41" s="2801">
        <f>+'Maj Techno Summ'!E12</f>
        <v>150</v>
      </c>
      <c r="F41" s="2801">
        <f t="shared" ref="F41:H41" si="286">+F25/F$6*1000</f>
        <v>150.9002222658558</v>
      </c>
      <c r="G41" s="2801">
        <f>+'Maj Techno Summ'!G12</f>
        <v>150</v>
      </c>
      <c r="H41" s="2801">
        <f t="shared" si="286"/>
        <v>155.9320942443795</v>
      </c>
      <c r="I41" s="162">
        <f t="shared" si="259"/>
        <v>150</v>
      </c>
      <c r="J41" s="162">
        <f t="shared" si="259"/>
        <v>153.57073755360776</v>
      </c>
      <c r="K41" s="2801">
        <f>+'Maj Techno Summ'!K12</f>
        <v>150</v>
      </c>
      <c r="L41" s="2801">
        <f t="shared" ref="L41" si="287">+L25/L$6*1000</f>
        <v>155.24561139837525</v>
      </c>
      <c r="M41" s="170">
        <f t="shared" si="261"/>
        <v>150</v>
      </c>
      <c r="N41" s="170">
        <f t="shared" si="261"/>
        <v>154.15991454320627</v>
      </c>
      <c r="O41" s="2801">
        <f>+'Maj Techno Summ'!O12</f>
        <v>150</v>
      </c>
      <c r="P41" s="2801">
        <f t="shared" si="262"/>
        <v>142.77673720259727</v>
      </c>
      <c r="Q41" s="162">
        <f t="shared" si="263"/>
        <v>150</v>
      </c>
      <c r="R41" s="162">
        <f t="shared" si="263"/>
        <v>151.14227197990448</v>
      </c>
      <c r="S41" s="2801">
        <f>+'Maj Techno Summ'!S12</f>
        <v>150</v>
      </c>
      <c r="T41" s="2801">
        <f t="shared" si="264"/>
        <v>141.84996849132682</v>
      </c>
      <c r="U41" s="162">
        <f t="shared" si="265"/>
        <v>150</v>
      </c>
      <c r="V41" s="162">
        <f t="shared" si="265"/>
        <v>149.28151060092952</v>
      </c>
      <c r="W41" s="2801">
        <f>+'Maj Techno Summ'!W12</f>
        <v>121</v>
      </c>
      <c r="X41" s="2801">
        <f t="shared" si="266"/>
        <v>128.55199052682025</v>
      </c>
      <c r="Y41" s="170">
        <f t="shared" si="267"/>
        <v>143.75384615384615</v>
      </c>
      <c r="Z41" s="170">
        <f t="shared" si="267"/>
        <v>137.94406463264903</v>
      </c>
      <c r="AA41" s="2223">
        <f t="shared" si="267"/>
        <v>147.12871287128712</v>
      </c>
      <c r="AB41" s="2223">
        <f t="shared" si="267"/>
        <v>145.93716569155515</v>
      </c>
      <c r="AC41" s="2801">
        <f>+'Maj Techno Summ'!AC12</f>
        <v>152</v>
      </c>
      <c r="AD41" s="2801">
        <f t="shared" si="268"/>
        <v>125.46642057802912</v>
      </c>
      <c r="AE41" s="162">
        <f t="shared" ref="AE41:AF41" si="288">+AE25/AE$6*1000</f>
        <v>147.88530465949819</v>
      </c>
      <c r="AF41" s="162">
        <f t="shared" si="288"/>
        <v>143.50890341025118</v>
      </c>
      <c r="AG41" s="2801">
        <f>+'Maj Techno Summ'!AG12</f>
        <v>152</v>
      </c>
      <c r="AH41" s="2801">
        <f t="shared" si="270"/>
        <v>136.65060811425192</v>
      </c>
      <c r="AI41" s="162">
        <f t="shared" si="271"/>
        <v>148.42367601246107</v>
      </c>
      <c r="AJ41" s="162">
        <f t="shared" si="271"/>
        <v>142.65248222140391</v>
      </c>
      <c r="AK41" s="2801">
        <f>+'Maj Techno Summ'!AK12</f>
        <v>152</v>
      </c>
      <c r="AL41" s="2801">
        <f t="shared" si="272"/>
        <v>130.86443009846519</v>
      </c>
      <c r="AM41" s="170">
        <f t="shared" ref="AM41:AP41" si="289">+AM25/AM$6*1000</f>
        <v>152</v>
      </c>
      <c r="AN41" s="170">
        <f t="shared" si="289"/>
        <v>131.31828243123769</v>
      </c>
      <c r="AO41" s="162">
        <f t="shared" si="289"/>
        <v>148.8490393412626</v>
      </c>
      <c r="AP41" s="162">
        <f t="shared" si="289"/>
        <v>141.30867202514506</v>
      </c>
      <c r="AQ41" s="2801">
        <f>+'Maj Techno Summ'!AQ12</f>
        <v>152</v>
      </c>
      <c r="AR41" s="2801">
        <f t="shared" si="274"/>
        <v>129.82365728764466</v>
      </c>
      <c r="AS41" s="162">
        <f t="shared" ref="AS41:AT41" si="290">+AS25/AS$6*1000</f>
        <v>149.18857142857141</v>
      </c>
      <c r="AT41" s="162">
        <f t="shared" si="290"/>
        <v>140.16160333669936</v>
      </c>
      <c r="AU41" s="2801">
        <f>+'Maj Techno Summ'!AU12</f>
        <v>152</v>
      </c>
      <c r="AV41" s="2801">
        <f t="shared" si="276"/>
        <v>89.192169107715984</v>
      </c>
      <c r="AW41" s="162">
        <f t="shared" si="277"/>
        <v>149.4355919583023</v>
      </c>
      <c r="AX41" s="162">
        <f t="shared" si="277"/>
        <v>136.37807879069589</v>
      </c>
      <c r="AY41" s="2801">
        <f>+'Maj Techno Summ'!AY12</f>
        <v>152</v>
      </c>
      <c r="AZ41" s="2801">
        <f t="shared" si="278"/>
        <v>135.4212517722317</v>
      </c>
      <c r="BA41" s="170">
        <f t="shared" ref="BA41:BF41" si="291">+BA25/BA$6*1000</f>
        <v>152</v>
      </c>
      <c r="BB41" s="170">
        <f t="shared" si="291"/>
        <v>120.33673024487004</v>
      </c>
      <c r="BC41" s="2223">
        <f t="shared" si="291"/>
        <v>152</v>
      </c>
      <c r="BD41" s="2223">
        <f t="shared" si="291"/>
        <v>125.84870032731315</v>
      </c>
      <c r="BE41" s="162">
        <f t="shared" si="291"/>
        <v>149.6650847457627</v>
      </c>
      <c r="BF41" s="106">
        <f t="shared" si="291"/>
        <v>136.29497670946617</v>
      </c>
      <c r="BG41" s="1520"/>
      <c r="BH41" s="1520"/>
      <c r="BI41" s="26"/>
      <c r="BJ41" s="26"/>
      <c r="BK41" s="26"/>
      <c r="BL41" s="26"/>
      <c r="BM41" s="26"/>
      <c r="BN41" s="26"/>
    </row>
    <row r="42" spans="1:66" ht="16.2" thickBot="1" x14ac:dyDescent="0.35">
      <c r="A42" s="144"/>
      <c r="B42" s="1704" t="s">
        <v>239</v>
      </c>
      <c r="C42" s="490" t="s">
        <v>242</v>
      </c>
      <c r="D42" s="2224">
        <f>SUM(D39:D41)</f>
        <v>534.85762711864402</v>
      </c>
      <c r="E42" s="2224">
        <f t="shared" ref="E42:L42" si="292">SUM(E39:E41)</f>
        <v>535</v>
      </c>
      <c r="F42" s="2224">
        <f t="shared" si="292"/>
        <v>527.59050545360651</v>
      </c>
      <c r="G42" s="2224">
        <f t="shared" ref="G42:H42" si="293">SUM(G39:G41)</f>
        <v>535</v>
      </c>
      <c r="H42" s="2224">
        <f t="shared" si="293"/>
        <v>531.14860621066907</v>
      </c>
      <c r="I42" s="721">
        <f t="shared" si="292"/>
        <v>535</v>
      </c>
      <c r="J42" s="40">
        <f t="shared" si="292"/>
        <v>529.47886082267235</v>
      </c>
      <c r="K42" s="2224">
        <f t="shared" si="292"/>
        <v>535</v>
      </c>
      <c r="L42" s="2224">
        <f t="shared" si="292"/>
        <v>535.52861200375241</v>
      </c>
      <c r="M42" s="722">
        <f t="shared" ref="M42:R42" si="294">SUM(M39:M41)</f>
        <v>535</v>
      </c>
      <c r="N42" s="66">
        <f t="shared" si="294"/>
        <v>531.60700569747837</v>
      </c>
      <c r="O42" s="2224">
        <f t="shared" si="294"/>
        <v>535</v>
      </c>
      <c r="P42" s="2224">
        <f t="shared" si="294"/>
        <v>546.11572549351592</v>
      </c>
      <c r="Q42" s="721">
        <f t="shared" si="294"/>
        <v>535</v>
      </c>
      <c r="R42" s="40">
        <f t="shared" si="294"/>
        <v>535.4532192005704</v>
      </c>
      <c r="S42" s="2224">
        <f t="shared" ref="S42:T42" si="295">SUM(S39:S41)</f>
        <v>535</v>
      </c>
      <c r="T42" s="2224">
        <f t="shared" si="295"/>
        <v>545.04129622259177</v>
      </c>
      <c r="U42" s="721">
        <f t="shared" ref="U42:X42" si="296">SUM(U39:U41)</f>
        <v>535</v>
      </c>
      <c r="V42" s="40">
        <f t="shared" si="296"/>
        <v>537.37320851679817</v>
      </c>
      <c r="W42" s="2224">
        <f t="shared" si="296"/>
        <v>532</v>
      </c>
      <c r="X42" s="2224">
        <f t="shared" si="296"/>
        <v>555.67484198351485</v>
      </c>
      <c r="Y42" s="722">
        <f t="shared" ref="Y42:AF42" si="297">SUM(Y39:Y41)</f>
        <v>534.35384615384612</v>
      </c>
      <c r="Z42" s="66">
        <f t="shared" si="297"/>
        <v>548.80120411406619</v>
      </c>
      <c r="AA42" s="723">
        <f t="shared" si="297"/>
        <v>534.70297029702965</v>
      </c>
      <c r="AB42" s="455">
        <f t="shared" si="297"/>
        <v>540.32585645552672</v>
      </c>
      <c r="AC42" s="2224">
        <f t="shared" si="297"/>
        <v>535</v>
      </c>
      <c r="AD42" s="2224">
        <f t="shared" si="297"/>
        <v>562.7843202253033</v>
      </c>
      <c r="AE42" s="721">
        <f t="shared" si="297"/>
        <v>534.74910394265237</v>
      </c>
      <c r="AF42" s="40">
        <f t="shared" si="297"/>
        <v>542.98990410820079</v>
      </c>
      <c r="AG42" s="2224">
        <f t="shared" ref="AG42:AH42" si="298">SUM(AG39:AG41)</f>
        <v>535</v>
      </c>
      <c r="AH42" s="2224">
        <f t="shared" si="298"/>
        <v>540.69208783845227</v>
      </c>
      <c r="AI42" s="721">
        <f t="shared" ref="AI42:AL42" si="299">SUM(AI39:AI41)</f>
        <v>534.78193146417448</v>
      </c>
      <c r="AJ42" s="40">
        <f t="shared" si="299"/>
        <v>542.70296712801007</v>
      </c>
      <c r="AK42" s="2224">
        <f t="shared" si="299"/>
        <v>535</v>
      </c>
      <c r="AL42" s="2224">
        <f t="shared" si="299"/>
        <v>545.88370136865422</v>
      </c>
      <c r="AM42" s="722">
        <f t="shared" ref="AM42:AT42" si="300">SUM(AM39:AM41)</f>
        <v>535</v>
      </c>
      <c r="AN42" s="66">
        <f t="shared" si="300"/>
        <v>548.97909400314586</v>
      </c>
      <c r="AO42" s="721">
        <f t="shared" si="300"/>
        <v>534.80786825251607</v>
      </c>
      <c r="AP42" s="40">
        <f t="shared" si="300"/>
        <v>543.06556334489062</v>
      </c>
      <c r="AQ42" s="2224">
        <f t="shared" si="300"/>
        <v>535</v>
      </c>
      <c r="AR42" s="2224">
        <f t="shared" si="300"/>
        <v>547.04911744021069</v>
      </c>
      <c r="AS42" s="721">
        <f t="shared" si="300"/>
        <v>534.82857142857142</v>
      </c>
      <c r="AT42" s="40">
        <f t="shared" si="300"/>
        <v>543.46342179574231</v>
      </c>
      <c r="AU42" s="2224">
        <f t="shared" ref="AU42:AV42" si="301">SUM(AU39:AU41)</f>
        <v>535</v>
      </c>
      <c r="AV42" s="2224">
        <f t="shared" si="301"/>
        <v>548.84043269932704</v>
      </c>
      <c r="AW42" s="721">
        <f t="shared" ref="AW42:AZ42" si="302">SUM(AW39:AW41)</f>
        <v>534.84363365599404</v>
      </c>
      <c r="AX42" s="40">
        <f t="shared" si="302"/>
        <v>543.86256400804245</v>
      </c>
      <c r="AY42" s="2224">
        <f t="shared" si="302"/>
        <v>535</v>
      </c>
      <c r="AZ42" s="2224">
        <f t="shared" si="302"/>
        <v>535.44668059174569</v>
      </c>
      <c r="BA42" s="722">
        <f t="shared" ref="BA42:BD42" si="303">SUM(BA39:BA41)</f>
        <v>535</v>
      </c>
      <c r="BB42" s="66">
        <f t="shared" si="303"/>
        <v>543.34191552151287</v>
      </c>
      <c r="BC42" s="723">
        <f t="shared" si="303"/>
        <v>535</v>
      </c>
      <c r="BD42" s="455">
        <f t="shared" si="303"/>
        <v>546.17138430814987</v>
      </c>
      <c r="BE42" s="721">
        <f t="shared" ref="BE42:BF42" si="304">SUM(BE39:BE41)</f>
        <v>534.85762711864402</v>
      </c>
      <c r="BF42" s="40">
        <f t="shared" si="304"/>
        <v>543.13162997944096</v>
      </c>
      <c r="BG42" s="1520"/>
      <c r="BH42" s="1520"/>
      <c r="BI42" s="26"/>
      <c r="BJ42" s="26"/>
      <c r="BK42" s="26"/>
      <c r="BL42" s="26"/>
      <c r="BM42" s="26"/>
      <c r="BN42" s="26"/>
    </row>
    <row r="43" spans="1:66" x14ac:dyDescent="0.3">
      <c r="A43" s="144" t="s">
        <v>470</v>
      </c>
      <c r="B43" s="1709" t="s">
        <v>19</v>
      </c>
      <c r="C43" s="59" t="s">
        <v>242</v>
      </c>
      <c r="D43" s="1186">
        <v>1146.0197591850756</v>
      </c>
      <c r="E43" s="1186">
        <f>+$D$43</f>
        <v>1146.0197591850756</v>
      </c>
      <c r="F43" s="1186">
        <f t="shared" ref="F43:H43" si="305">+F27/F$6*1000</f>
        <v>1115.2616068238185</v>
      </c>
      <c r="G43" s="1186">
        <f>+$D$43</f>
        <v>1146.0197591850756</v>
      </c>
      <c r="H43" s="1186">
        <f t="shared" si="305"/>
        <v>1128.4752839801524</v>
      </c>
      <c r="I43" s="567">
        <f t="shared" ref="I43:J46" si="306">+I27/I$6*1000</f>
        <v>1146.0197591850756</v>
      </c>
      <c r="J43" s="61">
        <f t="shared" si="306"/>
        <v>1122.2743700666069</v>
      </c>
      <c r="K43" s="1186">
        <f>+$D$43</f>
        <v>1146.0197591850756</v>
      </c>
      <c r="L43" s="1186">
        <f t="shared" ref="L43" si="307">+L27/L$6*1000</f>
        <v>1168.6416951476904</v>
      </c>
      <c r="M43" s="482">
        <f>+$D$43</f>
        <v>1146.0197591850756</v>
      </c>
      <c r="N43" s="482">
        <f>+N27/N$6*1000</f>
        <v>1138.5851872020905</v>
      </c>
      <c r="O43" s="1186">
        <f>+$D$43</f>
        <v>1146.0197591850756</v>
      </c>
      <c r="P43" s="1186">
        <f t="shared" ref="P43:P45" si="308">+P27/P$6*1000</f>
        <v>1172.6817812780748</v>
      </c>
      <c r="Q43" s="567">
        <f t="shared" ref="Q43:R46" si="309">+Q27/Q$6*1000</f>
        <v>1146.0197591850754</v>
      </c>
      <c r="R43" s="567">
        <f t="shared" si="309"/>
        <v>1147.6240812181095</v>
      </c>
      <c r="S43" s="1186">
        <f>+$D$43</f>
        <v>1146.0197591850756</v>
      </c>
      <c r="T43" s="1186">
        <f t="shared" ref="T43:T45" si="310">+T27/T$6*1000</f>
        <v>1179.6089134008994</v>
      </c>
      <c r="U43" s="567">
        <f t="shared" ref="U43:V45" si="311">+U27/U$6*1000</f>
        <v>1146.0197591850754</v>
      </c>
      <c r="V43" s="567">
        <f t="shared" si="311"/>
        <v>1154.0289667787122</v>
      </c>
      <c r="W43" s="1186">
        <f>+$D$43</f>
        <v>1146.0197591850756</v>
      </c>
      <c r="X43" s="1186">
        <f t="shared" ref="X43:X45" si="312">+X27/X$6*1000</f>
        <v>1186.7907343029558</v>
      </c>
      <c r="Y43" s="482">
        <f t="shared" ref="Y43:AB46" si="313">+Y27/Y$6*1000</f>
        <v>1146.0197591850756</v>
      </c>
      <c r="Z43" s="482">
        <f t="shared" si="313"/>
        <v>1179.4648852698817</v>
      </c>
      <c r="AA43" s="1584">
        <f t="shared" si="313"/>
        <v>1146.0197591850756</v>
      </c>
      <c r="AB43" s="472">
        <f t="shared" si="313"/>
        <v>1159.3145040246354</v>
      </c>
      <c r="AC43" s="1186">
        <f>+$D$43</f>
        <v>1146.0197591850756</v>
      </c>
      <c r="AD43" s="1186">
        <f t="shared" ref="AD43:AD45" si="314">+AD27/AD$6*1000</f>
        <v>1173.1746961624856</v>
      </c>
      <c r="AE43" s="567">
        <f t="shared" ref="AE43:AF43" si="315">+AE27/AE$6*1000</f>
        <v>1146.0197591850756</v>
      </c>
      <c r="AF43" s="567">
        <f t="shared" si="315"/>
        <v>1160.9586152474228</v>
      </c>
      <c r="AG43" s="1186">
        <f>+$D$43</f>
        <v>1146.0197591850756</v>
      </c>
      <c r="AH43" s="1186">
        <f t="shared" ref="AH43:AH45" si="316">+AH27/AH$6*1000</f>
        <v>1191.5058149107797</v>
      </c>
      <c r="AI43" s="567">
        <f t="shared" ref="AI43:AJ45" si="317">+AI27/AI$6*1000</f>
        <v>1146.0197591850756</v>
      </c>
      <c r="AJ43" s="567">
        <f t="shared" si="317"/>
        <v>1164.7731592299351</v>
      </c>
      <c r="AK43" s="1186">
        <f>+$D$43</f>
        <v>1146.0197591850756</v>
      </c>
      <c r="AL43" s="1186">
        <f t="shared" ref="AL43:AL45" si="318">+AL27/AL$6*1000</f>
        <v>1149.1026033447156</v>
      </c>
      <c r="AM43" s="482">
        <f t="shared" ref="AM43:AP43" si="319">+AM27/AM$6*1000</f>
        <v>1146.0197591850756</v>
      </c>
      <c r="AN43" s="482">
        <f t="shared" si="319"/>
        <v>1170.913131826082</v>
      </c>
      <c r="AO43" s="567">
        <f t="shared" si="319"/>
        <v>1146.0197591850756</v>
      </c>
      <c r="AP43" s="567">
        <f t="shared" si="319"/>
        <v>1162.9867527430972</v>
      </c>
      <c r="AQ43" s="1186">
        <f>+$D$43</f>
        <v>1146.0197591850756</v>
      </c>
      <c r="AR43" s="1186">
        <f t="shared" ref="AR43:AR45" si="320">+AR27/AR$6*1000</f>
        <v>1150.2948318857887</v>
      </c>
      <c r="AS43" s="567">
        <f t="shared" ref="AS43:AT43" si="321">+AS27/AS$6*1000</f>
        <v>1146.0197591850756</v>
      </c>
      <c r="AT43" s="567">
        <f t="shared" si="321"/>
        <v>1161.7191440073318</v>
      </c>
      <c r="AU43" s="1186">
        <f>+$D$43</f>
        <v>1146.0197591850756</v>
      </c>
      <c r="AV43" s="1186">
        <f t="shared" ref="AV43:AV45" si="322">+AV27/AV$6*1000</f>
        <v>1188.3878595123601</v>
      </c>
      <c r="AW43" s="567">
        <f t="shared" ref="AW43:AX45" si="323">+AW27/AW$6*1000</f>
        <v>1146.0197591850756</v>
      </c>
      <c r="AX43" s="567">
        <f t="shared" si="323"/>
        <v>1163.6987959546216</v>
      </c>
      <c r="AY43" s="1186">
        <f>+$D$43</f>
        <v>1146.0197591850756</v>
      </c>
      <c r="AZ43" s="1186">
        <f t="shared" ref="AZ43:AZ45" si="324">+AZ27/AZ$6*1000</f>
        <v>1183.869406527212</v>
      </c>
      <c r="BA43" s="482">
        <f t="shared" ref="BA43:BF43" si="325">+BA27/BA$6*1000</f>
        <v>1146.0197591850756</v>
      </c>
      <c r="BB43" s="482">
        <f t="shared" si="325"/>
        <v>1173.2930582271642</v>
      </c>
      <c r="BC43" s="1584">
        <f t="shared" si="325"/>
        <v>1146.0197591850756</v>
      </c>
      <c r="BD43" s="472">
        <f t="shared" si="325"/>
        <v>1172.0985018567574</v>
      </c>
      <c r="BE43" s="567">
        <f t="shared" si="325"/>
        <v>1146.0197591850756</v>
      </c>
      <c r="BF43" s="567">
        <f t="shared" si="325"/>
        <v>1165.4506483646283</v>
      </c>
      <c r="BG43" s="1520"/>
      <c r="BH43" s="1520"/>
      <c r="BI43" s="26"/>
      <c r="BJ43" s="26"/>
      <c r="BK43" s="26"/>
      <c r="BL43" s="26"/>
      <c r="BM43" s="26"/>
      <c r="BN43" s="26"/>
    </row>
    <row r="44" spans="1:66" x14ac:dyDescent="0.3">
      <c r="A44" s="144" t="s">
        <v>470</v>
      </c>
      <c r="B44" s="1699" t="s">
        <v>240</v>
      </c>
      <c r="C44" s="2803" t="s">
        <v>242</v>
      </c>
      <c r="D44" s="2537">
        <v>212.83224099151397</v>
      </c>
      <c r="E44" s="2537">
        <f>+$D$44</f>
        <v>212.83224099151397</v>
      </c>
      <c r="F44" s="2537">
        <f t="shared" ref="F44:H44" si="326">+F28/F$6*1000</f>
        <v>239.15027754486891</v>
      </c>
      <c r="G44" s="2537">
        <f>+$D$44</f>
        <v>212.83224099151397</v>
      </c>
      <c r="H44" s="2537">
        <f t="shared" si="326"/>
        <v>253.88054396242299</v>
      </c>
      <c r="I44" s="2538">
        <f t="shared" si="306"/>
        <v>212.83224099151397</v>
      </c>
      <c r="J44" s="38">
        <f t="shared" si="306"/>
        <v>246.96792509803231</v>
      </c>
      <c r="K44" s="2537">
        <f>+$D$44</f>
        <v>212.83224099151397</v>
      </c>
      <c r="L44" s="2537">
        <f t="shared" ref="L44" si="327">+L28/L$6*1000</f>
        <v>237.51701308540027</v>
      </c>
      <c r="M44" s="774">
        <f>+$D$44</f>
        <v>212.83224099151397</v>
      </c>
      <c r="N44" s="774">
        <f>+N28/N$6*1000</f>
        <v>243.64334043993489</v>
      </c>
      <c r="O44" s="2537">
        <f>+$D$44</f>
        <v>212.83224099151397</v>
      </c>
      <c r="P44" s="2537">
        <f t="shared" si="308"/>
        <v>272.79675754254362</v>
      </c>
      <c r="Q44" s="775">
        <f t="shared" si="309"/>
        <v>212.83224099151397</v>
      </c>
      <c r="R44" s="775">
        <f t="shared" si="309"/>
        <v>251.37181463322327</v>
      </c>
      <c r="S44" s="2537">
        <f>+$D$44</f>
        <v>212.83224099151397</v>
      </c>
      <c r="T44" s="2537">
        <f t="shared" si="310"/>
        <v>195.66333259102376</v>
      </c>
      <c r="U44" s="775">
        <f t="shared" si="311"/>
        <v>212.83224099151397</v>
      </c>
      <c r="V44" s="775">
        <f t="shared" si="311"/>
        <v>240.21632536268169</v>
      </c>
      <c r="W44" s="2537">
        <f>+$D$44</f>
        <v>212.83224099151397</v>
      </c>
      <c r="X44" s="2537">
        <f t="shared" si="312"/>
        <v>184.13595870732692</v>
      </c>
      <c r="Y44" s="774">
        <f t="shared" si="313"/>
        <v>212.83224099151397</v>
      </c>
      <c r="Z44" s="774">
        <f t="shared" si="313"/>
        <v>219.04253584364028</v>
      </c>
      <c r="AA44" s="460">
        <f t="shared" si="313"/>
        <v>212.83224099151397</v>
      </c>
      <c r="AB44" s="449">
        <f t="shared" si="313"/>
        <v>231.16874065887882</v>
      </c>
      <c r="AC44" s="2537">
        <f>+$D$44</f>
        <v>212.83224099151397</v>
      </c>
      <c r="AD44" s="2537">
        <f t="shared" si="314"/>
        <v>220.19037051745133</v>
      </c>
      <c r="AE44" s="775">
        <f t="shared" ref="AE44:AF44" si="328">+AE28/AE$6*1000</f>
        <v>212.83224099151397</v>
      </c>
      <c r="AF44" s="775">
        <f t="shared" si="328"/>
        <v>229.86647432823085</v>
      </c>
      <c r="AG44" s="2537">
        <f>+$D$44</f>
        <v>212.83224099151397</v>
      </c>
      <c r="AH44" s="2537">
        <f t="shared" si="316"/>
        <v>203.11433793081414</v>
      </c>
      <c r="AI44" s="775">
        <f t="shared" si="317"/>
        <v>212.832240991514</v>
      </c>
      <c r="AJ44" s="775">
        <f t="shared" si="317"/>
        <v>226.52583420282744</v>
      </c>
      <c r="AK44" s="2537">
        <f>+$D$44</f>
        <v>212.83224099151397</v>
      </c>
      <c r="AL44" s="2537">
        <f t="shared" si="318"/>
        <v>262.64206295888476</v>
      </c>
      <c r="AM44" s="774">
        <f t="shared" ref="AM44:AP44" si="329">+AM28/AM$6*1000</f>
        <v>212.832240991514</v>
      </c>
      <c r="AN44" s="774">
        <f t="shared" si="329"/>
        <v>229.50821079955625</v>
      </c>
      <c r="AO44" s="775">
        <f t="shared" si="329"/>
        <v>212.832240991514</v>
      </c>
      <c r="AP44" s="775">
        <f t="shared" si="329"/>
        <v>230.64299927358289</v>
      </c>
      <c r="AQ44" s="2537">
        <f>+$D$44</f>
        <v>212.83224099151397</v>
      </c>
      <c r="AR44" s="2537">
        <f t="shared" si="320"/>
        <v>285.51970705497291</v>
      </c>
      <c r="AS44" s="775">
        <f t="shared" ref="AS44:AT44" si="330">+AS28/AS$6*1000</f>
        <v>212.832240991514</v>
      </c>
      <c r="AT44" s="775">
        <f t="shared" si="330"/>
        <v>236.12382404044038</v>
      </c>
      <c r="AU44" s="2537">
        <f>+$D$44</f>
        <v>212.83224099151397</v>
      </c>
      <c r="AV44" s="2537">
        <f t="shared" si="322"/>
        <v>222.47759509968952</v>
      </c>
      <c r="AW44" s="775">
        <f t="shared" si="323"/>
        <v>212.832240991514</v>
      </c>
      <c r="AX44" s="775">
        <f t="shared" si="323"/>
        <v>235.11084748029734</v>
      </c>
      <c r="AY44" s="2537">
        <f>+$D$44</f>
        <v>212.83224099151397</v>
      </c>
      <c r="AZ44" s="2537">
        <f t="shared" si="324"/>
        <v>198.74801337347543</v>
      </c>
      <c r="BA44" s="774">
        <f t="shared" ref="BA44:BF44" si="331">+BA28/BA$6*1000</f>
        <v>212.83224099151397</v>
      </c>
      <c r="BB44" s="774">
        <f t="shared" si="331"/>
        <v>236.12127187946777</v>
      </c>
      <c r="BC44" s="460">
        <f t="shared" si="331"/>
        <v>212.83224099151397</v>
      </c>
      <c r="BD44" s="449">
        <f t="shared" si="331"/>
        <v>232.80197837639713</v>
      </c>
      <c r="BE44" s="775">
        <f t="shared" si="331"/>
        <v>212.832240991514</v>
      </c>
      <c r="BF44" s="775">
        <f t="shared" si="331"/>
        <v>231.95267245453604</v>
      </c>
      <c r="BG44" s="1520"/>
      <c r="BH44" s="1520"/>
      <c r="BI44" s="26"/>
      <c r="BJ44" s="26"/>
      <c r="BK44" s="26"/>
      <c r="BL44" s="26"/>
      <c r="BM44" s="26"/>
      <c r="BN44" s="26"/>
    </row>
    <row r="45" spans="1:66" x14ac:dyDescent="0.3">
      <c r="A45" s="144" t="s">
        <v>470</v>
      </c>
      <c r="B45" s="1699" t="s">
        <v>241</v>
      </c>
      <c r="C45" s="2803" t="s">
        <v>242</v>
      </c>
      <c r="D45" s="2537">
        <v>0.34</v>
      </c>
      <c r="E45" s="2537">
        <f>+$D$45</f>
        <v>0.34</v>
      </c>
      <c r="F45" s="2537">
        <f t="shared" ref="F45:H45" si="332">+F29/F$6*1000</f>
        <v>0</v>
      </c>
      <c r="G45" s="2537">
        <f>+$D$45</f>
        <v>0.34</v>
      </c>
      <c r="H45" s="2537">
        <f t="shared" si="332"/>
        <v>0</v>
      </c>
      <c r="I45" s="2538">
        <f t="shared" si="306"/>
        <v>0.34</v>
      </c>
      <c r="J45" s="38">
        <f t="shared" si="306"/>
        <v>0</v>
      </c>
      <c r="K45" s="2537">
        <f>+$D$45</f>
        <v>0.34</v>
      </c>
      <c r="L45" s="2537">
        <f t="shared" ref="L45" si="333">+L29/L$6*1000</f>
        <v>0</v>
      </c>
      <c r="M45" s="774">
        <f>+$D$45</f>
        <v>0.34</v>
      </c>
      <c r="N45" s="774">
        <f>+N29/N$6*1000</f>
        <v>0</v>
      </c>
      <c r="O45" s="2537">
        <f>+$D$45</f>
        <v>0.34</v>
      </c>
      <c r="P45" s="2537">
        <f t="shared" si="308"/>
        <v>0</v>
      </c>
      <c r="Q45" s="775">
        <f t="shared" si="309"/>
        <v>0.33999999999999997</v>
      </c>
      <c r="R45" s="775">
        <f t="shared" si="309"/>
        <v>0</v>
      </c>
      <c r="S45" s="2537">
        <f>+$D$45</f>
        <v>0.34</v>
      </c>
      <c r="T45" s="2537">
        <f t="shared" si="310"/>
        <v>0</v>
      </c>
      <c r="U45" s="775">
        <f t="shared" si="311"/>
        <v>0.33999999999999997</v>
      </c>
      <c r="V45" s="775">
        <f t="shared" si="311"/>
        <v>0</v>
      </c>
      <c r="W45" s="2537">
        <f>+$D$45</f>
        <v>0.34</v>
      </c>
      <c r="X45" s="2537">
        <f t="shared" si="312"/>
        <v>0</v>
      </c>
      <c r="Y45" s="774">
        <f t="shared" si="313"/>
        <v>0.34</v>
      </c>
      <c r="Z45" s="774">
        <f t="shared" si="313"/>
        <v>0</v>
      </c>
      <c r="AA45" s="460">
        <f t="shared" si="313"/>
        <v>0.33999999999999997</v>
      </c>
      <c r="AB45" s="449">
        <f t="shared" si="313"/>
        <v>0</v>
      </c>
      <c r="AC45" s="2537">
        <f>+$D$45</f>
        <v>0.34</v>
      </c>
      <c r="AD45" s="2537">
        <f t="shared" si="314"/>
        <v>0.60602447452011987</v>
      </c>
      <c r="AE45" s="775">
        <f t="shared" ref="AE45:AF45" si="334">+AE29/AE$6*1000</f>
        <v>0.33999999999999997</v>
      </c>
      <c r="AF45" s="775">
        <f t="shared" si="334"/>
        <v>7.1887289146690875E-2</v>
      </c>
      <c r="AG45" s="2537">
        <f>+$D$45</f>
        <v>0.34</v>
      </c>
      <c r="AH45" s="2537">
        <f t="shared" si="316"/>
        <v>0</v>
      </c>
      <c r="AI45" s="775">
        <f t="shared" si="317"/>
        <v>0.33999999999999997</v>
      </c>
      <c r="AJ45" s="775">
        <f t="shared" si="317"/>
        <v>6.2910452341496351E-2</v>
      </c>
      <c r="AK45" s="2537">
        <f>+$D$45</f>
        <v>0.34</v>
      </c>
      <c r="AL45" s="2537">
        <f t="shared" si="318"/>
        <v>0.24487102531791499</v>
      </c>
      <c r="AM45" s="774">
        <f t="shared" ref="AM45:AP45" si="335">+AM29/AM$6*1000</f>
        <v>0.34</v>
      </c>
      <c r="AN45" s="774">
        <f t="shared" si="335"/>
        <v>0.26421580505739972</v>
      </c>
      <c r="AO45" s="775">
        <f t="shared" si="335"/>
        <v>0.33999999999999997</v>
      </c>
      <c r="AP45" s="775">
        <f t="shared" si="335"/>
        <v>8.3653529376844671E-2</v>
      </c>
      <c r="AQ45" s="2537">
        <f>+$D$45</f>
        <v>0.34</v>
      </c>
      <c r="AR45" s="2537">
        <f t="shared" si="320"/>
        <v>2.7147077778603679</v>
      </c>
      <c r="AS45" s="775">
        <f t="shared" ref="AS45:AT45" si="336">+AS29/AS$6*1000</f>
        <v>0.33999999999999997</v>
      </c>
      <c r="AT45" s="775">
        <f t="shared" si="336"/>
        <v>0.34643072340021464</v>
      </c>
      <c r="AU45" s="2537">
        <f>+$D$45</f>
        <v>0.34</v>
      </c>
      <c r="AV45" s="2537">
        <f t="shared" si="322"/>
        <v>0.90499671118395852</v>
      </c>
      <c r="AW45" s="775">
        <f t="shared" si="323"/>
        <v>0.33999999999999997</v>
      </c>
      <c r="AX45" s="775">
        <f t="shared" si="323"/>
        <v>0.38789377193726782</v>
      </c>
      <c r="AY45" s="2537">
        <f>+$D$45</f>
        <v>0.34</v>
      </c>
      <c r="AZ45" s="2537">
        <f t="shared" si="324"/>
        <v>2.2709974959473413</v>
      </c>
      <c r="BA45" s="774">
        <f t="shared" ref="BA45:BF45" si="337">+BA29/BA$6*1000</f>
        <v>0.33999999999999997</v>
      </c>
      <c r="BB45" s="774">
        <f t="shared" si="337"/>
        <v>2.0403912658676262</v>
      </c>
      <c r="BC45" s="460">
        <f t="shared" si="337"/>
        <v>0.34</v>
      </c>
      <c r="BD45" s="449">
        <f t="shared" si="337"/>
        <v>1.1488755825647641</v>
      </c>
      <c r="BE45" s="775">
        <f t="shared" si="337"/>
        <v>0.33999999999999997</v>
      </c>
      <c r="BF45" s="775">
        <f t="shared" si="337"/>
        <v>0.55144458688793618</v>
      </c>
      <c r="BG45" s="1520"/>
      <c r="BH45" s="1520"/>
      <c r="BI45" s="26"/>
      <c r="BJ45" s="26"/>
      <c r="BK45" s="26"/>
      <c r="BL45" s="26"/>
      <c r="BM45" s="26"/>
      <c r="BN45" s="26"/>
    </row>
    <row r="46" spans="1:66" x14ac:dyDescent="0.3">
      <c r="A46" s="144"/>
      <c r="B46" s="1699" t="s">
        <v>1289</v>
      </c>
      <c r="C46" s="2803" t="s">
        <v>242</v>
      </c>
      <c r="D46" s="2537">
        <v>278.31908437351831</v>
      </c>
      <c r="E46" s="2537">
        <f>+$D$46</f>
        <v>278.31908437351831</v>
      </c>
      <c r="F46" s="2537">
        <f>+F30/F$6*1000</f>
        <v>304.2390158389851</v>
      </c>
      <c r="G46" s="2537">
        <f>+$D$46</f>
        <v>278.31908437351831</v>
      </c>
      <c r="H46" s="2537">
        <f>+H30/H$6*1000</f>
        <v>276.46221086305951</v>
      </c>
      <c r="I46" s="2538">
        <f t="shared" si="306"/>
        <v>278.31908437351831</v>
      </c>
      <c r="J46" s="38">
        <f t="shared" si="306"/>
        <v>289.49730884609829</v>
      </c>
      <c r="K46" s="2537">
        <f>+$D$46</f>
        <v>278.31908437351831</v>
      </c>
      <c r="L46" s="2537">
        <f>+L30/L$6*1000</f>
        <v>249.06900801904783</v>
      </c>
      <c r="M46" s="774">
        <f t="shared" ref="M46:N46" si="338">+M30/M$6*1000</f>
        <v>278.31908437351825</v>
      </c>
      <c r="N46" s="774">
        <f t="shared" si="338"/>
        <v>275.27568573682476</v>
      </c>
      <c r="O46" s="2537">
        <f>+$D$46</f>
        <v>278.31908437351831</v>
      </c>
      <c r="P46" s="2537">
        <f>+P30/P$6*1000</f>
        <v>207.38686137920047</v>
      </c>
      <c r="Q46" s="775">
        <f t="shared" si="309"/>
        <v>278.31908437351825</v>
      </c>
      <c r="R46" s="775">
        <f t="shared" si="309"/>
        <v>257.27858353731489</v>
      </c>
      <c r="S46" s="2537">
        <f>+$D$46</f>
        <v>278.31908437351831</v>
      </c>
      <c r="T46" s="2537">
        <f>+T30/T$6*1000</f>
        <v>276.56042952875976</v>
      </c>
      <c r="U46" s="775">
        <f t="shared" ref="U46:V46" si="339">+U30/U$6*1000</f>
        <v>278.31908437351825</v>
      </c>
      <c r="V46" s="775">
        <f t="shared" si="339"/>
        <v>261.13972672751811</v>
      </c>
      <c r="W46" s="2537">
        <f>+$D$46</f>
        <v>278.31908437351831</v>
      </c>
      <c r="X46" s="2537">
        <f>+X30/X$6*1000</f>
        <v>282.55143704782705</v>
      </c>
      <c r="Y46" s="774">
        <f t="shared" si="313"/>
        <v>278.31908437351831</v>
      </c>
      <c r="Z46" s="774">
        <f t="shared" si="313"/>
        <v>254.21089460448255</v>
      </c>
      <c r="AA46" s="460">
        <f>+AA30/AA$6*1000</f>
        <v>278.31908437351831</v>
      </c>
      <c r="AB46" s="449">
        <f>+AB30/AB$6*1000</f>
        <v>264.59413108201937</v>
      </c>
      <c r="AC46" s="2537">
        <f>+$D$46</f>
        <v>278.31908437351831</v>
      </c>
      <c r="AD46" s="2537">
        <f>+AD30/AD$6*1000</f>
        <v>277.99145751842343</v>
      </c>
      <c r="AE46" s="775">
        <f t="shared" ref="AE46:AF46" si="340">+AE30/AE$6*1000</f>
        <v>278.31908437351831</v>
      </c>
      <c r="AF46" s="775">
        <f t="shared" si="340"/>
        <v>266.1833366666437</v>
      </c>
      <c r="AG46" s="2537">
        <f>+$D$46</f>
        <v>278.31908437351831</v>
      </c>
      <c r="AH46" s="2537">
        <f>+AH30/AH$6*1000</f>
        <v>276.50828472214829</v>
      </c>
      <c r="AI46" s="775">
        <f t="shared" ref="AI46:AJ46" si="341">+AI30/AI$6*1000</f>
        <v>278.31908437351831</v>
      </c>
      <c r="AJ46" s="775">
        <f t="shared" si="341"/>
        <v>267.47265185457968</v>
      </c>
      <c r="AK46" s="2537">
        <f>+$D$46</f>
        <v>278.31908437351831</v>
      </c>
      <c r="AL46" s="2537">
        <f>+AL30/AL$6*1000</f>
        <v>279.05251608953694</v>
      </c>
      <c r="AM46" s="774">
        <f t="shared" ref="AM46:AP46" si="342">+AM30/AM$6*1000</f>
        <v>278.31908437351831</v>
      </c>
      <c r="AN46" s="774">
        <f t="shared" si="342"/>
        <v>277.85520888005561</v>
      </c>
      <c r="AO46" s="775">
        <f t="shared" si="342"/>
        <v>278.31908437351825</v>
      </c>
      <c r="AP46" s="775">
        <f t="shared" si="342"/>
        <v>268.7927291216244</v>
      </c>
      <c r="AQ46" s="2537">
        <f>+$D$46</f>
        <v>278.31908437351831</v>
      </c>
      <c r="AR46" s="2537">
        <f>+AR30/AR$6*1000</f>
        <v>238.76494069464175</v>
      </c>
      <c r="AS46" s="775">
        <f t="shared" ref="AS46:AT46" si="343">+AS30/AS$6*1000</f>
        <v>278.31908437351825</v>
      </c>
      <c r="AT46" s="775">
        <f t="shared" si="343"/>
        <v>265.79369632322511</v>
      </c>
      <c r="AU46" s="2537">
        <f>+$D$46</f>
        <v>278.31908437351831</v>
      </c>
      <c r="AV46" s="2537">
        <f>+AV30/AV$6*1000</f>
        <v>235.32473306666708</v>
      </c>
      <c r="AW46" s="775">
        <f t="shared" ref="AW46:AX46" si="344">+AW30/AW$6*1000</f>
        <v>278.31908437351831</v>
      </c>
      <c r="AX46" s="775">
        <f t="shared" si="344"/>
        <v>263.53194725505693</v>
      </c>
      <c r="AY46" s="2537">
        <f>+$D$46</f>
        <v>278.31908437351831</v>
      </c>
      <c r="AZ46" s="2537">
        <f>+AZ30/AZ$6*1000</f>
        <v>255.38291916082667</v>
      </c>
      <c r="BA46" s="774">
        <f t="shared" ref="BA46:BB46" si="345">+BA30/BA$6*1000</f>
        <v>278.31908437351836</v>
      </c>
      <c r="BB46" s="774">
        <f t="shared" si="345"/>
        <v>243.82674184737769</v>
      </c>
      <c r="BC46" s="460">
        <f>+BC30/BC$6*1000</f>
        <v>278.31908437351831</v>
      </c>
      <c r="BD46" s="449">
        <f>+BD30/BD$6*1000</f>
        <v>260.90664904559344</v>
      </c>
      <c r="BE46" s="775">
        <f t="shared" ref="BE46:BF46" si="346">+BE30/BE$6*1000</f>
        <v>278.31908437351831</v>
      </c>
      <c r="BF46" s="775">
        <f t="shared" si="346"/>
        <v>262.82419007265958</v>
      </c>
      <c r="BG46" s="1520"/>
      <c r="BH46" s="1520"/>
      <c r="BI46" s="26"/>
      <c r="BJ46" s="26"/>
      <c r="BK46" s="26"/>
      <c r="BL46" s="26"/>
      <c r="BM46" s="26"/>
      <c r="BN46" s="26"/>
    </row>
    <row r="47" spans="1:66" ht="15" thickBot="1" x14ac:dyDescent="0.35">
      <c r="A47" s="144" t="s">
        <v>470</v>
      </c>
      <c r="B47" s="1700" t="s">
        <v>6</v>
      </c>
      <c r="C47" s="742" t="s">
        <v>242</v>
      </c>
      <c r="D47" s="1431">
        <v>3.1457627118644069</v>
      </c>
      <c r="E47" s="1431">
        <v>2</v>
      </c>
      <c r="F47" s="1431">
        <f>+F31/F$6*1000</f>
        <v>1.4589237131930222</v>
      </c>
      <c r="G47" s="1431">
        <v>2</v>
      </c>
      <c r="H47" s="1431">
        <f>+H31/H$6*1000</f>
        <v>3.2174445872594974</v>
      </c>
      <c r="I47" s="584">
        <f>+I31/I$6*1000</f>
        <v>2</v>
      </c>
      <c r="J47" s="43">
        <f>+J31/J$6*1000</f>
        <v>2.3922059783358733</v>
      </c>
      <c r="K47" s="1431">
        <v>2</v>
      </c>
      <c r="L47" s="1431">
        <f>+L31/L$6*1000</f>
        <v>4.3355403019390035</v>
      </c>
      <c r="M47" s="483">
        <f>+M31/M$6*1000</f>
        <v>2</v>
      </c>
      <c r="N47" s="483">
        <f>+N31/N$6*1000</f>
        <v>3.0758203712293488</v>
      </c>
      <c r="O47" s="1431">
        <v>2</v>
      </c>
      <c r="P47" s="1431">
        <f>+P31/P$6*1000</f>
        <v>1.9098068450968004</v>
      </c>
      <c r="Q47" s="584">
        <f>+Q31/Q$6*1000</f>
        <v>2</v>
      </c>
      <c r="R47" s="584">
        <f>+R31/R$6*1000</f>
        <v>2.7667140522677114</v>
      </c>
      <c r="S47" s="1431">
        <v>2</v>
      </c>
      <c r="T47" s="1431">
        <f>+T31/T$6*1000</f>
        <v>4.1411399032470504</v>
      </c>
      <c r="U47" s="584">
        <f>+U31/U$6*1000</f>
        <v>2</v>
      </c>
      <c r="V47" s="584">
        <f>+V31/V$6*1000</f>
        <v>3.0419395165361625</v>
      </c>
      <c r="W47" s="1431">
        <v>15</v>
      </c>
      <c r="X47" s="1431">
        <f>+X31/X$6*1000</f>
        <v>2.0139960394151353</v>
      </c>
      <c r="Y47" s="483">
        <f>+Y31/Y$6*1000</f>
        <v>4.8</v>
      </c>
      <c r="Z47" s="483">
        <f>+Z31/Z$6*1000</f>
        <v>2.6819552106025952</v>
      </c>
      <c r="AA47" s="1127">
        <f>+AA31/AA$6*1000</f>
        <v>3.2871287128712869</v>
      </c>
      <c r="AB47" s="454">
        <f>+AB31/AB$6*1000</f>
        <v>2.8760988447529279</v>
      </c>
      <c r="AC47" s="1431">
        <v>8</v>
      </c>
      <c r="AD47" s="1431">
        <f>+AD31/AD$6*1000</f>
        <v>5.190624259406067</v>
      </c>
      <c r="AE47" s="584">
        <f>+AE31/AE$6*1000</f>
        <v>4.0191158900836319</v>
      </c>
      <c r="AF47" s="584">
        <f>+AF31/AF$6*1000</f>
        <v>3.1506503929429357</v>
      </c>
      <c r="AG47" s="107">
        <v>2</v>
      </c>
      <c r="AH47" s="107">
        <f>+AH31/AH$6*1000</f>
        <v>2.1585250270122818</v>
      </c>
      <c r="AI47" s="584">
        <f>+AI31/AI$6*1000</f>
        <v>3.7549325025960543</v>
      </c>
      <c r="AJ47" s="584">
        <f>+AJ31/AJ$6*1000</f>
        <v>3.026759958264285</v>
      </c>
      <c r="AK47" s="107">
        <v>2</v>
      </c>
      <c r="AL47" s="107">
        <f>+AL31/AL$6*1000</f>
        <v>3.1527144509681548</v>
      </c>
      <c r="AM47" s="483">
        <f>+AM31/AM$6*1000</f>
        <v>4.0207253886010363</v>
      </c>
      <c r="AN47" s="483">
        <f>+AN31/AN$6*1000</f>
        <v>3.3973057144325236</v>
      </c>
      <c r="AO47" s="584">
        <f>+AO31/AO$6*1000</f>
        <v>3.5462031107044831</v>
      </c>
      <c r="AP47" s="584">
        <f>+AP31/AP$6*1000</f>
        <v>3.0411184739711095</v>
      </c>
      <c r="AQ47" s="107">
        <v>2</v>
      </c>
      <c r="AR47" s="107">
        <f>+AR31/AR$6*1000</f>
        <v>12.232113028555281</v>
      </c>
      <c r="AS47" s="584">
        <f>+AS31/AS$6*1000</f>
        <v>3.379591836734694</v>
      </c>
      <c r="AT47" s="584">
        <f>+AT31/AT$6*1000</f>
        <v>3.9590713290784327</v>
      </c>
      <c r="AU47" s="107">
        <v>2</v>
      </c>
      <c r="AV47" s="107">
        <f>+AV31/AV$6*1000</f>
        <v>7.6484685512371096</v>
      </c>
      <c r="AW47" s="584">
        <f>+AW31/AW$6*1000</f>
        <v>3.2583767684288909</v>
      </c>
      <c r="AX47" s="584">
        <f>+AX31/AX$6*1000</f>
        <v>4.2329398771828339</v>
      </c>
      <c r="AY47" s="107">
        <v>2</v>
      </c>
      <c r="AZ47" s="107">
        <f>+AZ31/AZ$6*1000</f>
        <v>0.29300632028131773</v>
      </c>
      <c r="BA47" s="483">
        <f>+BA31/BA$6*1000</f>
        <v>2</v>
      </c>
      <c r="BB47" s="483">
        <f>+BB31/BB$6*1000</f>
        <v>6.5950678668809859</v>
      </c>
      <c r="BC47" s="1127">
        <f>+BC31/BC$6*1000</f>
        <v>3.015625</v>
      </c>
      <c r="BD47" s="454">
        <f>+BD31/BD$6*1000</f>
        <v>4.9900152280613588</v>
      </c>
      <c r="BE47" s="584">
        <f>+BE31/BE$6*1000</f>
        <v>3.1457627118644065</v>
      </c>
      <c r="BF47" s="584">
        <f>+BF31/BF$6*1000</f>
        <v>3.8907498342942128</v>
      </c>
      <c r="BG47" s="1520"/>
      <c r="BH47" s="1520"/>
      <c r="BI47" s="26"/>
      <c r="BJ47" s="26"/>
      <c r="BK47" s="26"/>
      <c r="BL47" s="26"/>
      <c r="BM47" s="26"/>
      <c r="BN47" s="26"/>
    </row>
    <row r="48" spans="1:66" ht="16.2" thickBot="1" x14ac:dyDescent="0.35">
      <c r="A48" s="145" t="s">
        <v>470</v>
      </c>
      <c r="B48" s="1698" t="s">
        <v>47</v>
      </c>
      <c r="BG48" s="1520"/>
      <c r="BH48" s="1520"/>
      <c r="BI48" s="26"/>
      <c r="BJ48" s="26"/>
      <c r="BK48" s="26"/>
      <c r="BL48" s="26"/>
      <c r="BM48" s="26"/>
      <c r="BN48" s="26"/>
    </row>
    <row r="49" spans="1:71" x14ac:dyDescent="0.3">
      <c r="A49" s="144" t="s">
        <v>470</v>
      </c>
      <c r="B49" s="2081" t="s">
        <v>262</v>
      </c>
      <c r="C49" s="2048" t="s">
        <v>243</v>
      </c>
      <c r="D49" s="2082">
        <f>+'Maj Techno Summ'!D14</f>
        <v>2.4361020820953088</v>
      </c>
      <c r="E49" s="2082">
        <f>+'Maj Techno Summ'!E14</f>
        <v>2.4471008652249489</v>
      </c>
      <c r="F49" s="2083">
        <f>+'Maj Techno Summ'!F14</f>
        <v>2.3879780343565189</v>
      </c>
      <c r="G49" s="2082">
        <f>+'Maj Techno Summ'!G14</f>
        <v>2.4406270534121841</v>
      </c>
      <c r="H49" s="2083">
        <f>+'Maj Techno Summ'!H14</f>
        <v>2.4173399790859662</v>
      </c>
      <c r="I49" s="2084">
        <f>+(I6/3551)/(E50+G50)</f>
        <v>2.4438090965065942</v>
      </c>
      <c r="J49" s="2084">
        <f>+(J6/3551)/(F50+H50)</f>
        <v>2.40347160666763</v>
      </c>
      <c r="K49" s="2082">
        <f>+'Maj Techno Summ'!K14</f>
        <v>2.4471008652249489</v>
      </c>
      <c r="L49" s="2083">
        <f>+'Maj Techno Summ'!L14</f>
        <v>2.4868497260238507</v>
      </c>
      <c r="M49" s="2085">
        <f>+(M6/3551)/(E50+G50+K50)</f>
        <v>2.4448938839251428</v>
      </c>
      <c r="N49" s="2085">
        <f>+(N6/3551)/(F50+H50+L50)</f>
        <v>2.4321568011919901</v>
      </c>
      <c r="O49" s="2082">
        <f>+'Maj Techno Summ'!O14</f>
        <v>2.3936919177696425</v>
      </c>
      <c r="P49" s="2083">
        <f>+'Maj Techno Summ'!P14</f>
        <v>2.4358635913554569</v>
      </c>
      <c r="Q49" s="2084">
        <f>+(Q6/3551)/(M50+O50)</f>
        <v>2.4318764349025579</v>
      </c>
      <c r="R49" s="2084">
        <f>+(R6/3551)/(N50+P50)</f>
        <v>2.4331383595790892</v>
      </c>
      <c r="S49" s="2082">
        <f>+'Maj Techno Summ'!S14</f>
        <v>2.3936919177696425</v>
      </c>
      <c r="T49" s="2083">
        <f>+'Maj Techno Summ'!T14</f>
        <v>2.3754677151130301</v>
      </c>
      <c r="U49" s="2084">
        <f>+(U6/3551)/(Q50+S50)</f>
        <v>2.4241363300783183</v>
      </c>
      <c r="V49" s="2084">
        <f>+(V6/3551)/(R50+T50)</f>
        <v>2.4213668121745622</v>
      </c>
      <c r="W49" s="2082">
        <f>+'Maj Techno Summ'!W14</f>
        <v>2.3168490916157101</v>
      </c>
      <c r="X49" s="2083">
        <f>+'Maj Techno Summ'!X14</f>
        <v>2.3089599228862205</v>
      </c>
      <c r="Y49" s="2086">
        <f>+(Y6/3551)/(O50+S50+W50)</f>
        <v>2.3767135047072849</v>
      </c>
      <c r="Z49" s="2086">
        <f>+(Z6/3551)/(P50+T50+X50)</f>
        <v>2.3743513256456312</v>
      </c>
      <c r="AA49" s="2087">
        <f>+(AA6/3551)/(M50+Y50)</f>
        <v>2.4130726567331631</v>
      </c>
      <c r="AB49" s="2088">
        <f>+(AB6/3551)/(N50+Z50)</f>
        <v>2.4024972748460312</v>
      </c>
      <c r="AC49" s="2082">
        <f>+'Maj Techno Summ'!AC14</f>
        <v>2.4406270534121841</v>
      </c>
      <c r="AD49" s="2083">
        <f>+'Maj Techno Summ'!AD14</f>
        <v>2.1223595645794298</v>
      </c>
      <c r="AE49" s="2084">
        <f>+(AE6/3551)/(AA50+AC50)</f>
        <v>2.4173114280307191</v>
      </c>
      <c r="AF49" s="2084">
        <f>+(AF6/3551)/(AB50+AD50)</f>
        <v>2.3654607440213864</v>
      </c>
      <c r="AG49" s="2082">
        <f>+'Maj Techno Summ'!AG14</f>
        <v>2.4471008652249489</v>
      </c>
      <c r="AH49" s="2083">
        <f>+'Maj Techno Summ'!AH14</f>
        <v>2.3620869272753087</v>
      </c>
      <c r="AI49" s="2084">
        <f>+(AI6/3551)/(AE50+AG50)</f>
        <v>2.4211678058490045</v>
      </c>
      <c r="AJ49" s="2084">
        <f>+(AJ6/3551)/(AF50+AH50)</f>
        <v>2.3650389162892789</v>
      </c>
      <c r="AK49" s="2082">
        <f>+'Maj Techno Summ'!AK14</f>
        <v>2.4406270534121841</v>
      </c>
      <c r="AL49" s="2083">
        <f>+'Maj Techno Summ'!AL14</f>
        <v>2.307723312740801</v>
      </c>
      <c r="AM49" s="2086">
        <f>+(AM6/3551)/(AC50+AG50+AK50)</f>
        <v>2.4427364977107255</v>
      </c>
      <c r="AN49" s="2086">
        <f>+(AN6/3551)/(AD50+AH50+AL50)</f>
        <v>2.2684138231452518</v>
      </c>
      <c r="AO49" s="2084">
        <f>+(AO6/3551)/(AK50+AI50)</f>
        <v>2.4234659895590478</v>
      </c>
      <c r="AP49" s="2084">
        <f>+(AP6/3551)/(AL50+AJ50)</f>
        <v>2.3583617002108994</v>
      </c>
      <c r="AQ49" s="2082">
        <f>+'Maj Techno Summ'!AQ14</f>
        <v>2.478175161926218</v>
      </c>
      <c r="AR49" s="2083">
        <f>+'Maj Techno Summ'!AR14</f>
        <v>2.2672002493376202</v>
      </c>
      <c r="AS49" s="2084">
        <f>+(AS6/3551)/(AO50+AQ50)</f>
        <v>2.4292447842680946</v>
      </c>
      <c r="AT49" s="2084">
        <f>+(AT6/3551)/(AP50+AR50)</f>
        <v>2.3489287171729178</v>
      </c>
      <c r="AU49" s="2082">
        <f>+'Maj Techno Summ'!AU14</f>
        <v>2.4614871136977587</v>
      </c>
      <c r="AV49" s="2083">
        <f>+'Maj Techno Summ'!AV14</f>
        <v>2.0074321710463376</v>
      </c>
      <c r="AW49" s="2084">
        <f>+(AW6/3551)/(AS50+AU50)</f>
        <v>2.4320438057542373</v>
      </c>
      <c r="AX49" s="2084">
        <f>+(AX6/3551)/(AT50+AV50)</f>
        <v>2.3196365088422413</v>
      </c>
      <c r="AY49" s="2082">
        <f>+'Maj Techno Summ'!AY14</f>
        <v>2.478175161926218</v>
      </c>
      <c r="AZ49" s="2083">
        <f>+'Maj Techno Summ'!AZ14</f>
        <v>2.3665177008969525</v>
      </c>
      <c r="BA49" s="2086">
        <f>+(BA6/3551)/(AQ50+AU50+AY50)</f>
        <v>2.4729961124760065</v>
      </c>
      <c r="BB49" s="2086">
        <f>+(BB6/3551)/(AR50+AV50+AZ50)</f>
        <v>2.2196034453298354</v>
      </c>
      <c r="BC49" s="2087">
        <f>+(BC6/3551)/(AM50+BA50)</f>
        <v>2.4576943754640177</v>
      </c>
      <c r="BD49" s="2088">
        <f>+(BD6/3551)/(AN50+BB50)</f>
        <v>2.2438374054957788</v>
      </c>
      <c r="BE49" s="2084">
        <f>+(BE6/3551)/(AW50+AY50)</f>
        <v>2.4361020820953088</v>
      </c>
      <c r="BF49" s="2084">
        <f>+(BF6/3551)/(AX50+AZ50)</f>
        <v>2.3236344386382966</v>
      </c>
      <c r="BG49" s="1520">
        <f>BA6/BA50/3551</f>
        <v>2.4729961124760065</v>
      </c>
      <c r="BH49" s="1520">
        <f t="shared" ref="BH49:BL49" si="347">BB6/BB50/3551</f>
        <v>2.2196034453298354</v>
      </c>
      <c r="BI49" s="1520">
        <f t="shared" si="347"/>
        <v>2.4576943754640181</v>
      </c>
      <c r="BJ49" s="1520">
        <f t="shared" si="347"/>
        <v>2.2438374054957788</v>
      </c>
      <c r="BK49" s="1520">
        <f t="shared" si="347"/>
        <v>2.4361020820953088</v>
      </c>
      <c r="BL49" s="1520">
        <f t="shared" si="347"/>
        <v>2.3236344386382966</v>
      </c>
      <c r="BM49" s="26"/>
      <c r="BN49" s="1520">
        <f>BA49-BG49</f>
        <v>0</v>
      </c>
      <c r="BO49" s="1520"/>
      <c r="BP49" s="1520"/>
      <c r="BQ49" s="1520"/>
      <c r="BR49" s="1520"/>
      <c r="BS49" s="1520"/>
    </row>
    <row r="50" spans="1:71" ht="15" thickBot="1" x14ac:dyDescent="0.35">
      <c r="A50" s="144" t="s">
        <v>470</v>
      </c>
      <c r="B50" s="1700" t="s">
        <v>442</v>
      </c>
      <c r="C50" s="742" t="s">
        <v>244</v>
      </c>
      <c r="D50" s="107">
        <f>+D6/(D49*3551)</f>
        <v>341.01686746987951</v>
      </c>
      <c r="E50" s="1431">
        <f>+E6/(E49*3551)</f>
        <v>29</v>
      </c>
      <c r="F50" s="189">
        <f>+F6/(F49*3551)</f>
        <v>26.666666666666664</v>
      </c>
      <c r="G50" s="1431">
        <f>+G6/(G49*3551)</f>
        <v>30.000000000000004</v>
      </c>
      <c r="H50" s="189">
        <f>+H6/(H49*3551)</f>
        <v>29.791666666666664</v>
      </c>
      <c r="I50" s="588">
        <f>+E50+G50</f>
        <v>59</v>
      </c>
      <c r="J50" s="588">
        <f>+F50+H50</f>
        <v>56.458333333333329</v>
      </c>
      <c r="K50" s="1431">
        <f>+K6/(K49*3551)</f>
        <v>29</v>
      </c>
      <c r="L50" s="189">
        <f>+L6/(L49*3551)</f>
        <v>29.611111111111111</v>
      </c>
      <c r="M50" s="2070">
        <f>+K50+G50+E50</f>
        <v>88</v>
      </c>
      <c r="N50" s="2070">
        <f>+L50+H50+F50</f>
        <v>86.069444444444429</v>
      </c>
      <c r="O50" s="1431">
        <f>+O6/(O49*3551)</f>
        <v>30</v>
      </c>
      <c r="P50" s="189">
        <f>+P6/(P49*3551)</f>
        <v>30.999999999999996</v>
      </c>
      <c r="Q50" s="588">
        <f>+M50+O50</f>
        <v>118</v>
      </c>
      <c r="R50" s="588">
        <f>+N50+P50</f>
        <v>117.06944444444443</v>
      </c>
      <c r="S50" s="1431">
        <f>+S6/(S49*3551)</f>
        <v>30</v>
      </c>
      <c r="T50" s="189">
        <f>+T6/(T49*3551)</f>
        <v>30.024305555555554</v>
      </c>
      <c r="U50" s="588">
        <f>+Q50+S50</f>
        <v>148</v>
      </c>
      <c r="V50" s="588">
        <f>+R50+T50</f>
        <v>147.09374999999997</v>
      </c>
      <c r="W50" s="1431">
        <f>+W6/(W49*3551)</f>
        <v>17.016867469879518</v>
      </c>
      <c r="X50" s="189">
        <f>+X6/(X49*3551)</f>
        <v>29.673611111111111</v>
      </c>
      <c r="Y50" s="2057">
        <f>+W50+S50+O50</f>
        <v>77.016867469879514</v>
      </c>
      <c r="Z50" s="73">
        <f>+X50+T50+P50</f>
        <v>90.697916666666657</v>
      </c>
      <c r="AA50" s="2089">
        <f>M50+Y50</f>
        <v>165.01686746987951</v>
      </c>
      <c r="AB50" s="471">
        <f>+N50+Z50</f>
        <v>176.76736111111109</v>
      </c>
      <c r="AC50" s="1431">
        <f>+AC6/(AC49*3551)</f>
        <v>30.000000000000004</v>
      </c>
      <c r="AD50" s="189">
        <f>+AD6/(AD49*3551)</f>
        <v>26.930555555555561</v>
      </c>
      <c r="AE50" s="588">
        <f>+AA50+AC50</f>
        <v>195.01686746987951</v>
      </c>
      <c r="AF50" s="588">
        <f>+AB50+AD50</f>
        <v>203.69791666666666</v>
      </c>
      <c r="AG50" s="1431">
        <f>+AG6/(AG49*3551)</f>
        <v>29</v>
      </c>
      <c r="AH50" s="189">
        <f>+AH6/(AH49*3551)</f>
        <v>29.107638888888889</v>
      </c>
      <c r="AI50" s="588">
        <f>+AE50+AG50</f>
        <v>224.01686746987951</v>
      </c>
      <c r="AJ50" s="588">
        <f>+AF50+AH50</f>
        <v>232.80555555555554</v>
      </c>
      <c r="AK50" s="1431">
        <f>+AK6/(AK49*3551)</f>
        <v>30.000000000000004</v>
      </c>
      <c r="AL50" s="189">
        <f>+AL6/(AL49*3551)</f>
        <v>30.697916666666668</v>
      </c>
      <c r="AM50" s="2057">
        <f>+AK50+AG50+AC50</f>
        <v>89</v>
      </c>
      <c r="AN50" s="73">
        <f>+AL50+AH50+AD50</f>
        <v>86.736111111111114</v>
      </c>
      <c r="AO50" s="588">
        <f>+AK50+AI50</f>
        <v>254.01686746987951</v>
      </c>
      <c r="AP50" s="588">
        <f>+AL50+AJ50</f>
        <v>263.50347222222223</v>
      </c>
      <c r="AQ50" s="1431">
        <f>+AQ6/(AQ49*3551)</f>
        <v>30</v>
      </c>
      <c r="AR50" s="189">
        <f>+AR6/(AR49*3551)</f>
        <v>30.413194444444393</v>
      </c>
      <c r="AS50" s="588">
        <f>+AO50+AQ50</f>
        <v>284.01686746987951</v>
      </c>
      <c r="AT50" s="584">
        <f>+AP50+AR50</f>
        <v>293.91666666666663</v>
      </c>
      <c r="AU50" s="1431">
        <f>+AU6/(AU49*3551)</f>
        <v>27</v>
      </c>
      <c r="AV50" s="189">
        <f>+AV6/(AV49*3551)</f>
        <v>27.576388888888886</v>
      </c>
      <c r="AW50" s="588">
        <f>+AS50+AU50</f>
        <v>311.01686746987951</v>
      </c>
      <c r="AX50" s="588">
        <f>+AT50+AV50</f>
        <v>321.49305555555554</v>
      </c>
      <c r="AY50" s="1431">
        <f>+AY6/(AY49*3551)</f>
        <v>30</v>
      </c>
      <c r="AZ50" s="189">
        <f>+AZ6/(AZ49*3551)</f>
        <v>29.972222222222232</v>
      </c>
      <c r="BA50" s="2057">
        <f>+AY50+AU50+AQ50</f>
        <v>87</v>
      </c>
      <c r="BB50" s="73">
        <f>+AZ50+AV50+AR50</f>
        <v>87.961805555555515</v>
      </c>
      <c r="BC50" s="464">
        <f t="shared" ref="BC50" si="348">AM50+BA50</f>
        <v>176</v>
      </c>
      <c r="BD50" s="464">
        <f t="shared" ref="BD50" si="349">AN50+BB50</f>
        <v>174.69791666666663</v>
      </c>
      <c r="BE50" s="588">
        <f>+AW50+AY50</f>
        <v>341.01686746987951</v>
      </c>
      <c r="BF50" s="588">
        <f>+AX50+AZ50</f>
        <v>351.46527777777777</v>
      </c>
      <c r="BG50" s="1520"/>
      <c r="BH50" s="1520"/>
      <c r="BI50" s="1202"/>
      <c r="BJ50" s="26"/>
      <c r="BK50" s="26"/>
      <c r="BL50" s="26"/>
      <c r="BM50" s="26"/>
      <c r="BN50" s="26"/>
    </row>
    <row r="51" spans="1:71" ht="15" thickBot="1" x14ac:dyDescent="0.35">
      <c r="A51" s="144"/>
      <c r="B51" s="3834" t="s">
        <v>2350</v>
      </c>
      <c r="C51" s="817" t="s">
        <v>66</v>
      </c>
      <c r="D51" s="2537">
        <f>+D6/D50</f>
        <v>8650.5984935204415</v>
      </c>
      <c r="E51" s="2537">
        <f>+E6/E50</f>
        <v>8689.6551724137935</v>
      </c>
      <c r="F51" s="2537">
        <f t="shared" ref="F51:BF51" si="350">+F6/F50</f>
        <v>8479.7099999999991</v>
      </c>
      <c r="G51" s="2537">
        <f t="shared" si="350"/>
        <v>8666.6666666666661</v>
      </c>
      <c r="H51" s="2537">
        <f t="shared" si="350"/>
        <v>8583.9742657342667</v>
      </c>
      <c r="I51" s="2538">
        <f t="shared" si="350"/>
        <v>8677.9661016949158</v>
      </c>
      <c r="J51" s="38">
        <f t="shared" si="350"/>
        <v>8534.7276752767539</v>
      </c>
      <c r="K51" s="2537">
        <f t="shared" si="350"/>
        <v>8689.6551724137935</v>
      </c>
      <c r="L51" s="2537">
        <f t="shared" si="350"/>
        <v>8830.803377110693</v>
      </c>
      <c r="M51" s="774">
        <f t="shared" si="350"/>
        <v>8681.818181818182</v>
      </c>
      <c r="N51" s="774">
        <f t="shared" si="350"/>
        <v>8636.5888010327581</v>
      </c>
      <c r="O51" s="2537">
        <f t="shared" si="350"/>
        <v>8500</v>
      </c>
      <c r="P51" s="2537">
        <f t="shared" si="350"/>
        <v>8649.7516129032283</v>
      </c>
      <c r="Q51" s="775">
        <f t="shared" si="350"/>
        <v>8635.5932203389839</v>
      </c>
      <c r="R51" s="775">
        <f t="shared" si="350"/>
        <v>8640.0743148653473</v>
      </c>
      <c r="S51" s="2537">
        <f t="shared" si="350"/>
        <v>8500</v>
      </c>
      <c r="T51" s="2537">
        <f t="shared" si="350"/>
        <v>8435.2858563663704</v>
      </c>
      <c r="U51" s="775">
        <f t="shared" si="350"/>
        <v>8608.1081081081084</v>
      </c>
      <c r="V51" s="775">
        <f t="shared" si="350"/>
        <v>8598.2735500318686</v>
      </c>
      <c r="W51" s="2537">
        <f t="shared" si="350"/>
        <v>8227.1311243273867</v>
      </c>
      <c r="X51" s="2537">
        <f t="shared" si="350"/>
        <v>8199.116686168969</v>
      </c>
      <c r="Y51" s="774">
        <f t="shared" si="350"/>
        <v>8439.709655215569</v>
      </c>
      <c r="Z51" s="774">
        <f t="shared" si="350"/>
        <v>8431.3215573676371</v>
      </c>
      <c r="AA51" s="460">
        <f t="shared" si="350"/>
        <v>8568.8210040594604</v>
      </c>
      <c r="AB51" s="449">
        <f t="shared" si="350"/>
        <v>8531.2678229782559</v>
      </c>
      <c r="AC51" s="2537">
        <f t="shared" si="350"/>
        <v>8666.6666666666661</v>
      </c>
      <c r="AD51" s="2537">
        <f t="shared" si="350"/>
        <v>7536.4988138215549</v>
      </c>
      <c r="AE51" s="775">
        <f t="shared" si="350"/>
        <v>8583.8728809370823</v>
      </c>
      <c r="AF51" s="775">
        <f t="shared" si="350"/>
        <v>8399.7511020199436</v>
      </c>
      <c r="AG51" s="2537">
        <f t="shared" si="350"/>
        <v>8689.6551724137935</v>
      </c>
      <c r="AH51" s="2537">
        <f t="shared" si="350"/>
        <v>8387.7706787546213</v>
      </c>
      <c r="AI51" s="775">
        <f t="shared" si="350"/>
        <v>8597.5668785698144</v>
      </c>
      <c r="AJ51" s="775">
        <f t="shared" si="350"/>
        <v>8398.2531917432279</v>
      </c>
      <c r="AK51" s="2537">
        <f t="shared" si="350"/>
        <v>8666.6666666666661</v>
      </c>
      <c r="AL51" s="2537">
        <f t="shared" si="350"/>
        <v>8194.7254835425847</v>
      </c>
      <c r="AM51" s="774">
        <f t="shared" si="350"/>
        <v>8674.1573033707864</v>
      </c>
      <c r="AN51" s="774">
        <f t="shared" si="350"/>
        <v>8055.1374859887901</v>
      </c>
      <c r="AO51" s="775">
        <f t="shared" si="350"/>
        <v>8605.7277289241774</v>
      </c>
      <c r="AP51" s="775">
        <f t="shared" si="350"/>
        <v>8374.542397448904</v>
      </c>
      <c r="AQ51" s="2537">
        <f t="shared" si="350"/>
        <v>8800</v>
      </c>
      <c r="AR51" s="2537">
        <f t="shared" si="350"/>
        <v>8050.8280853978895</v>
      </c>
      <c r="AS51" s="775">
        <f t="shared" si="350"/>
        <v>8626.248228936005</v>
      </c>
      <c r="AT51" s="775">
        <f t="shared" si="350"/>
        <v>8341.0458746810309</v>
      </c>
      <c r="AU51" s="2537">
        <f t="shared" si="350"/>
        <v>8740.7407407407409</v>
      </c>
      <c r="AV51" s="2537">
        <f t="shared" si="350"/>
        <v>7128.3916393855452</v>
      </c>
      <c r="AW51" s="775">
        <f t="shared" si="350"/>
        <v>8636.1875542332964</v>
      </c>
      <c r="AX51" s="775">
        <f t="shared" si="350"/>
        <v>8237.0292428987996</v>
      </c>
      <c r="AY51" s="2537">
        <f t="shared" si="350"/>
        <v>8800</v>
      </c>
      <c r="AZ51" s="2537">
        <f t="shared" si="350"/>
        <v>8403.5043558850775</v>
      </c>
      <c r="BA51" s="774">
        <f t="shared" si="350"/>
        <v>8781.6091954022995</v>
      </c>
      <c r="BB51" s="774">
        <f t="shared" si="350"/>
        <v>7881.8118343662454</v>
      </c>
      <c r="BC51" s="460">
        <f t="shared" si="350"/>
        <v>8727.2727272727279</v>
      </c>
      <c r="BD51" s="449">
        <f t="shared" si="350"/>
        <v>7967.8666269155101</v>
      </c>
      <c r="BE51" s="775">
        <f t="shared" si="350"/>
        <v>8650.5984935204415</v>
      </c>
      <c r="BF51" s="775">
        <f t="shared" si="350"/>
        <v>8251.2258916045903</v>
      </c>
      <c r="BG51" s="1520"/>
      <c r="BH51" s="1520"/>
      <c r="BI51" s="1202"/>
      <c r="BJ51" s="26"/>
      <c r="BK51" s="26"/>
      <c r="BL51" s="26"/>
      <c r="BM51" s="26"/>
      <c r="BN51" s="26"/>
    </row>
    <row r="52" spans="1:71" ht="15" thickBot="1" x14ac:dyDescent="0.35">
      <c r="A52" s="144" t="s">
        <v>470</v>
      </c>
      <c r="B52" s="1701" t="s">
        <v>245</v>
      </c>
      <c r="C52" s="751" t="s">
        <v>49</v>
      </c>
      <c r="D52" s="1429">
        <v>70</v>
      </c>
      <c r="E52" s="1429">
        <f>+$D$52</f>
        <v>70</v>
      </c>
      <c r="F52" s="1204">
        <f>+F110</f>
        <v>67.239080067070262</v>
      </c>
      <c r="G52" s="1429">
        <f>+$D$52</f>
        <v>70</v>
      </c>
      <c r="H52" s="1204">
        <f>+H110</f>
        <v>68.028877042636068</v>
      </c>
      <c r="I52" s="1430">
        <f>+(I43/(I43+I44+I46))*100</f>
        <v>70</v>
      </c>
      <c r="J52" s="1430">
        <f>+J110</f>
        <v>67.65826096832869</v>
      </c>
      <c r="K52" s="1429">
        <f>+$D$52</f>
        <v>70</v>
      </c>
      <c r="L52" s="1204">
        <f>+L110</f>
        <v>70.603076765400957</v>
      </c>
      <c r="M52" s="1546">
        <f>+$D$52</f>
        <v>70</v>
      </c>
      <c r="N52" s="2063">
        <f>+N110</f>
        <v>68.692747687263221</v>
      </c>
      <c r="O52" s="1429">
        <f>+$D$52</f>
        <v>70</v>
      </c>
      <c r="P52" s="1204">
        <f>+P110</f>
        <v>70.948413654028116</v>
      </c>
      <c r="Q52" s="761">
        <f>+$D$52</f>
        <v>70</v>
      </c>
      <c r="R52" s="2062">
        <f>+R110</f>
        <v>69.289486464931372</v>
      </c>
      <c r="S52" s="1429">
        <f>+$D$52</f>
        <v>70</v>
      </c>
      <c r="T52" s="1204">
        <f>+T110</f>
        <v>71.412130955035664</v>
      </c>
      <c r="U52" s="761">
        <f>+$D$52</f>
        <v>70</v>
      </c>
      <c r="V52" s="2062">
        <f>+V110</f>
        <v>69.713628770618854</v>
      </c>
      <c r="W52" s="1429">
        <f>+$D$52</f>
        <v>70</v>
      </c>
      <c r="X52" s="1204">
        <f>+X110</f>
        <v>71.775411644618927</v>
      </c>
      <c r="Y52" s="2073">
        <f>+(Y43/(Y43+Y44+Y46))*100</f>
        <v>70</v>
      </c>
      <c r="Z52" s="2074">
        <f>+Z110</f>
        <v>71.365148800778968</v>
      </c>
      <c r="AA52" s="2075">
        <f>+(AA43/(AA43+AA44+AA46))*100</f>
        <v>70</v>
      </c>
      <c r="AB52" s="2076">
        <f>+AB110</f>
        <v>70.045939905885675</v>
      </c>
      <c r="AC52" s="1429">
        <f>+$D$52</f>
        <v>70</v>
      </c>
      <c r="AD52" s="1204">
        <f>+AD110</f>
        <v>70.192964767058328</v>
      </c>
      <c r="AE52" s="761">
        <f>+$D$52</f>
        <v>70</v>
      </c>
      <c r="AF52" s="1430">
        <f>+AF110</f>
        <v>70.063531172270629</v>
      </c>
      <c r="AG52" s="1429">
        <f>+$D$52</f>
        <v>70</v>
      </c>
      <c r="AH52" s="1204">
        <f>+AH110</f>
        <v>71.299475739148974</v>
      </c>
      <c r="AI52" s="761">
        <f>+$D$52</f>
        <v>70</v>
      </c>
      <c r="AJ52" s="1430">
        <f>+AJ110</f>
        <v>70.219017942530968</v>
      </c>
      <c r="AK52" s="1429">
        <f>+$D$52</f>
        <v>70</v>
      </c>
      <c r="AL52" s="1204">
        <f>+AL110</f>
        <v>67.962178746849304</v>
      </c>
      <c r="AM52" s="2073">
        <f>+(AM43/(AM43+AM44+AM46))*100</f>
        <v>70</v>
      </c>
      <c r="AN52" s="2074">
        <f>+AN110</f>
        <v>69.768783385287577</v>
      </c>
      <c r="AO52" s="761">
        <f>+$D$52</f>
        <v>70</v>
      </c>
      <c r="AP52" s="2062">
        <f>+AP110</f>
        <v>69.957352354064028</v>
      </c>
      <c r="AQ52" s="1429">
        <f>+$D$52</f>
        <v>70</v>
      </c>
      <c r="AR52" s="1204">
        <f>+AR110</f>
        <v>68.691563814948694</v>
      </c>
      <c r="AS52" s="761">
        <f>+$D$52</f>
        <v>70</v>
      </c>
      <c r="AT52" s="1430">
        <f>+AT110</f>
        <v>69.83009985816615</v>
      </c>
      <c r="AU52" s="1429">
        <f>+$D$52</f>
        <v>70</v>
      </c>
      <c r="AV52" s="1204">
        <f>+AV110</f>
        <v>72.190192142263896</v>
      </c>
      <c r="AW52" s="761">
        <f>+$D$52</f>
        <v>70</v>
      </c>
      <c r="AX52" s="1430">
        <f>+AX110</f>
        <v>70.003590265200174</v>
      </c>
      <c r="AY52" s="1429">
        <f>+$D$52</f>
        <v>70</v>
      </c>
      <c r="AZ52" s="1204">
        <f>+AZ110</f>
        <v>72.275284582999859</v>
      </c>
      <c r="BA52" s="2073">
        <f>+(BA43/(BA43+BA44+BA46))*100</f>
        <v>70</v>
      </c>
      <c r="BB52" s="2074">
        <f>+BB110</f>
        <v>70.969266257123536</v>
      </c>
      <c r="BC52" s="2075">
        <f>+(BC43/(BC43+BC44+BC46))*100</f>
        <v>70</v>
      </c>
      <c r="BD52" s="2076">
        <f>+BD110</f>
        <v>70.362197475061009</v>
      </c>
      <c r="BE52" s="761">
        <f>+$D$52</f>
        <v>70</v>
      </c>
      <c r="BF52" s="2062">
        <f>+BF110</f>
        <v>70.19824937960361</v>
      </c>
      <c r="BG52" s="1520"/>
      <c r="BH52" s="1520"/>
      <c r="BI52" s="26"/>
      <c r="BJ52" s="26"/>
      <c r="BK52" s="26"/>
      <c r="BL52" s="26"/>
      <c r="BM52" s="26"/>
      <c r="BN52" s="26"/>
    </row>
    <row r="53" spans="1:71" ht="15" thickBot="1" x14ac:dyDescent="0.35">
      <c r="A53" s="144"/>
      <c r="B53" s="1700" t="s">
        <v>1308</v>
      </c>
      <c r="C53" s="742" t="s">
        <v>49</v>
      </c>
      <c r="D53" s="1431">
        <v>17</v>
      </c>
      <c r="E53" s="1431">
        <v>17</v>
      </c>
      <c r="F53" s="189">
        <f>+F112</f>
        <v>18.342558750662512</v>
      </c>
      <c r="G53" s="1431">
        <v>17</v>
      </c>
      <c r="H53" s="189">
        <f>+H112</f>
        <v>16.666216811948523</v>
      </c>
      <c r="I53" s="2077">
        <f>+I112</f>
        <v>17.000000000000004</v>
      </c>
      <c r="J53" s="588">
        <f>+J112</f>
        <v>17.452848424557452</v>
      </c>
      <c r="K53" s="1431">
        <v>17</v>
      </c>
      <c r="L53" s="189">
        <f>+L112</f>
        <v>15.047416471674611</v>
      </c>
      <c r="M53" s="1784">
        <f>+M112</f>
        <v>17.000000000000004</v>
      </c>
      <c r="N53" s="2070">
        <f>+N112</f>
        <v>16.607842291735153</v>
      </c>
      <c r="O53" s="1431">
        <v>17</v>
      </c>
      <c r="P53" s="189">
        <f>+P112</f>
        <v>12.547111298604772</v>
      </c>
      <c r="Q53" s="1989">
        <f>+Q112</f>
        <v>16.999999999999986</v>
      </c>
      <c r="R53" s="2068">
        <f>+R112</f>
        <v>15.533571683860011</v>
      </c>
      <c r="S53" s="1431">
        <v>17</v>
      </c>
      <c r="T53" s="189">
        <f>+T112</f>
        <v>16.742641892683451</v>
      </c>
      <c r="U53" s="1989">
        <f>+U112</f>
        <v>17</v>
      </c>
      <c r="V53" s="2068">
        <f>+V112</f>
        <v>15.775165520462975</v>
      </c>
      <c r="W53" s="1431">
        <v>17</v>
      </c>
      <c r="X53" s="189">
        <f>+X112</f>
        <v>17.088308088955316</v>
      </c>
      <c r="Y53" s="2078">
        <f>+Y112</f>
        <v>17.000000000000007</v>
      </c>
      <c r="Z53" s="2078">
        <f>+Z112</f>
        <v>15.381380613189572</v>
      </c>
      <c r="AA53" s="2079">
        <f>+AA112</f>
        <v>17.000000000000007</v>
      </c>
      <c r="AB53" s="487">
        <f>+AB112</f>
        <v>15.986813363310887</v>
      </c>
      <c r="AC53" s="1431">
        <v>17</v>
      </c>
      <c r="AD53" s="189">
        <f>+AD112</f>
        <v>16.632684498704275</v>
      </c>
      <c r="AE53" s="1989">
        <f>+AE112</f>
        <v>16.999999999999986</v>
      </c>
      <c r="AF53" s="588">
        <f>+AF112</f>
        <v>16.064090710165203</v>
      </c>
      <c r="AG53" s="1431">
        <v>17</v>
      </c>
      <c r="AH53" s="189">
        <f>+AH112</f>
        <v>16.546201866162754</v>
      </c>
      <c r="AI53" s="1989">
        <f>+AI112</f>
        <v>16.999999999999986</v>
      </c>
      <c r="AJ53" s="588">
        <f>+AJ112</f>
        <v>16.124742222022167</v>
      </c>
      <c r="AK53" s="1431">
        <v>17</v>
      </c>
      <c r="AL53" s="189">
        <f>+AL112</f>
        <v>16.50419807859916</v>
      </c>
      <c r="AM53" s="2078">
        <f>+AM112</f>
        <v>17.000000000000004</v>
      </c>
      <c r="AN53" s="2078">
        <f>+AN112</f>
        <v>16.555984687432669</v>
      </c>
      <c r="AO53" s="1989">
        <f>+AO112</f>
        <v>17.000000000000004</v>
      </c>
      <c r="AP53" s="2068">
        <f>+AP112</f>
        <v>16.168737620630278</v>
      </c>
      <c r="AQ53" s="1431">
        <v>17</v>
      </c>
      <c r="AR53" s="189">
        <f>+AR112</f>
        <v>14.258202945770389</v>
      </c>
      <c r="AS53" s="1989">
        <f>+AS112</f>
        <v>16.999999999999986</v>
      </c>
      <c r="AT53" s="588">
        <f>+AT112</f>
        <v>15.976667382701542</v>
      </c>
      <c r="AU53" s="1431">
        <v>17</v>
      </c>
      <c r="AV53" s="189">
        <f>+AV112</f>
        <v>14.295112121795412</v>
      </c>
      <c r="AW53" s="1989">
        <f>+AW112</f>
        <v>17.000000000000004</v>
      </c>
      <c r="AX53" s="588">
        <f>+AX112</f>
        <v>15.853056238921063</v>
      </c>
      <c r="AY53" s="1431">
        <v>17</v>
      </c>
      <c r="AZ53" s="189">
        <f>+AZ112</f>
        <v>15.591139578588084</v>
      </c>
      <c r="BA53" s="2078">
        <f t="shared" ref="BA53:BF53" si="351">+BA112</f>
        <v>17.000000000000004</v>
      </c>
      <c r="BB53" s="2078">
        <f t="shared" si="351"/>
        <v>14.748408201545113</v>
      </c>
      <c r="BC53" s="2079">
        <f t="shared" si="351"/>
        <v>17.000000000000004</v>
      </c>
      <c r="BD53" s="487">
        <f t="shared" si="351"/>
        <v>15.662476433184631</v>
      </c>
      <c r="BE53" s="1989">
        <f t="shared" si="351"/>
        <v>16.999999999999989</v>
      </c>
      <c r="BF53" s="2068">
        <f t="shared" si="351"/>
        <v>15.830612873742737</v>
      </c>
      <c r="BG53" s="1520"/>
      <c r="BH53" s="1520"/>
      <c r="BI53" s="26"/>
      <c r="BJ53" s="26"/>
      <c r="BK53" s="26"/>
      <c r="BL53" s="26"/>
      <c r="BM53" s="26"/>
      <c r="BN53" s="26"/>
    </row>
    <row r="54" spans="1:71" x14ac:dyDescent="0.3">
      <c r="A54" s="144"/>
      <c r="B54" s="1701" t="s">
        <v>594</v>
      </c>
      <c r="C54" s="751" t="s">
        <v>49</v>
      </c>
      <c r="D54" s="811"/>
      <c r="E54" s="2060" t="s">
        <v>32</v>
      </c>
      <c r="F54" s="2061">
        <v>0.41</v>
      </c>
      <c r="G54" s="2060" t="s">
        <v>32</v>
      </c>
      <c r="H54" s="2061">
        <v>0.77</v>
      </c>
      <c r="I54" s="814" t="s">
        <v>32</v>
      </c>
      <c r="J54" s="2062">
        <f>+((F54*F58)+(H54*H58))/J58</f>
        <v>0.59748325419038339</v>
      </c>
      <c r="K54" s="2060" t="s">
        <v>32</v>
      </c>
      <c r="L54" s="2061">
        <v>0.8</v>
      </c>
      <c r="M54" s="815" t="s">
        <v>32</v>
      </c>
      <c r="N54" s="2063">
        <f>+((F54*F58)+(H54*H58)+(L54*L58))/N58</f>
        <v>0.66987087778855492</v>
      </c>
      <c r="O54" s="2060" t="s">
        <v>32</v>
      </c>
      <c r="P54" s="2061">
        <v>0.81</v>
      </c>
      <c r="Q54" s="814" t="s">
        <v>32</v>
      </c>
      <c r="R54" s="2062">
        <f>+((N54*N58)+(P54*P58))/R58</f>
        <v>0.70928896634353567</v>
      </c>
      <c r="S54" s="2060" t="s">
        <v>32</v>
      </c>
      <c r="T54" s="2061">
        <v>0.83</v>
      </c>
      <c r="U54" s="814" t="s">
        <v>32</v>
      </c>
      <c r="V54" s="2062">
        <f>+((R54*R58)+(T54*T58))/V58</f>
        <v>0.73508514446725115</v>
      </c>
      <c r="W54" s="2060" t="s">
        <v>32</v>
      </c>
      <c r="X54" s="2061">
        <v>0.66</v>
      </c>
      <c r="Y54" s="815" t="s">
        <v>32</v>
      </c>
      <c r="Z54" s="2063">
        <f>+((P54*P58)+(T54*T58)+(X54*X58))/Z58</f>
        <v>0.76585177423982886</v>
      </c>
      <c r="AA54" s="816" t="s">
        <v>32</v>
      </c>
      <c r="AB54" s="2064">
        <f>+((N54*N58)+(Z54*Z58))/AB58</f>
        <v>0.72145663440553698</v>
      </c>
      <c r="AC54" s="2060" t="s">
        <v>32</v>
      </c>
      <c r="AD54" s="2061">
        <v>1.36</v>
      </c>
      <c r="AE54" s="814" t="s">
        <v>32</v>
      </c>
      <c r="AF54" s="2062">
        <f>+((AB54*AB58)+(AD54*AD58))/AF58</f>
        <v>0.80337652841118568</v>
      </c>
      <c r="AG54" s="2060" t="s">
        <v>32</v>
      </c>
      <c r="AH54" s="2061">
        <v>0.56999999999999995</v>
      </c>
      <c r="AI54" s="814" t="s">
        <v>32</v>
      </c>
      <c r="AJ54" s="2062">
        <f>+((AF54*AF58)+(AH54*AH58))/AJ58</f>
        <v>0.77360240676966163</v>
      </c>
      <c r="AK54" s="2060" t="s">
        <v>32</v>
      </c>
      <c r="AL54" s="2061">
        <v>0.42</v>
      </c>
      <c r="AM54" s="815" t="s">
        <v>32</v>
      </c>
      <c r="AN54" s="2063">
        <f>+((AD54*AD58)+(AH54*AH58)+(AL54*AL58))/AN58</f>
        <v>0.76012107749737523</v>
      </c>
      <c r="AO54" s="814" t="s">
        <v>32</v>
      </c>
      <c r="AP54" s="2062">
        <f>+((AL54*AL58)+(AJ54*AJ58))/AP58</f>
        <v>0.73400932930620399</v>
      </c>
      <c r="AQ54" s="2060" t="s">
        <v>32</v>
      </c>
      <c r="AR54" s="2061">
        <v>0.66</v>
      </c>
      <c r="AS54" s="814" t="s">
        <v>32</v>
      </c>
      <c r="AT54" s="2062">
        <f>+((AP54*AP58)+(AR54*AR58))/AT58</f>
        <v>0.72606926164210095</v>
      </c>
      <c r="AU54" s="2060" t="s">
        <v>32</v>
      </c>
      <c r="AV54" s="2061">
        <v>0.46</v>
      </c>
      <c r="AW54" s="814" t="s">
        <v>32</v>
      </c>
      <c r="AX54" s="2062">
        <f>+((AT54*AT58)+(AV54*AV58))/AX58</f>
        <v>0.70392442761499374</v>
      </c>
      <c r="AY54" s="2060" t="s">
        <v>32</v>
      </c>
      <c r="AZ54" s="2061">
        <v>0.5</v>
      </c>
      <c r="BA54" s="815" t="s">
        <v>32</v>
      </c>
      <c r="BB54" s="2063">
        <f>+((AR54*AR58)+(AV54*AV58)+(AZ54*AZ58))/BB58</f>
        <v>0.54325166797223201</v>
      </c>
      <c r="BC54" s="816" t="s">
        <v>32</v>
      </c>
      <c r="BD54" s="2064">
        <f>+((AN54*AN58)+(BB54*BB58))/BD58</f>
        <v>0.64753259228442805</v>
      </c>
      <c r="BE54" s="814" t="s">
        <v>32</v>
      </c>
      <c r="BF54" s="2062">
        <f>+((AX54*AX58)+(AZ54*AZ58))/BF58</f>
        <v>0.68449910496034261</v>
      </c>
      <c r="BG54" s="1520"/>
      <c r="BH54" s="1520"/>
      <c r="BI54" s="26"/>
      <c r="BJ54" s="26"/>
      <c r="BK54" s="26"/>
      <c r="BL54" s="26"/>
      <c r="BM54" s="26"/>
      <c r="BN54" s="26"/>
    </row>
    <row r="55" spans="1:71" x14ac:dyDescent="0.3">
      <c r="A55" s="144"/>
      <c r="B55" s="1699" t="s">
        <v>595</v>
      </c>
      <c r="C55" s="546" t="s">
        <v>49</v>
      </c>
      <c r="D55" s="156"/>
      <c r="E55" s="1650" t="s">
        <v>32</v>
      </c>
      <c r="F55" s="1120">
        <v>4.7</v>
      </c>
      <c r="G55" s="1650" t="s">
        <v>32</v>
      </c>
      <c r="H55" s="1120">
        <v>5.25</v>
      </c>
      <c r="I55" s="779" t="s">
        <v>32</v>
      </c>
      <c r="J55" s="370">
        <f>+((F55*F64)+(H55*H64))/J64</f>
        <v>4.992129711555477</v>
      </c>
      <c r="K55" s="1650" t="s">
        <v>32</v>
      </c>
      <c r="L55" s="1120">
        <v>5.94</v>
      </c>
      <c r="M55" s="812" t="s">
        <v>32</v>
      </c>
      <c r="N55" s="372">
        <f>+((F55*F64)+(H55*H64)+(L55*L64))/N64</f>
        <v>5.3313164772727282</v>
      </c>
      <c r="O55" s="1650" t="s">
        <v>32</v>
      </c>
      <c r="P55" s="1120">
        <v>6.68</v>
      </c>
      <c r="Q55" s="779" t="s">
        <v>32</v>
      </c>
      <c r="R55" s="370">
        <f>+((N55*N64)+(P55*P64))/R64</f>
        <v>5.7148528096283657</v>
      </c>
      <c r="S55" s="1650" t="s">
        <v>32</v>
      </c>
      <c r="T55" s="1120">
        <v>5.95</v>
      </c>
      <c r="U55" s="779" t="s">
        <v>32</v>
      </c>
      <c r="V55" s="370">
        <f>+((R55*R64)+(T55*T64))/V64</f>
        <v>5.765229955750093</v>
      </c>
      <c r="W55" s="1650" t="s">
        <v>32</v>
      </c>
      <c r="X55" s="1120">
        <v>5.44</v>
      </c>
      <c r="Y55" s="812" t="s">
        <v>32</v>
      </c>
      <c r="Z55" s="372">
        <f>+((P55*P64)+(T55*T64)+(X55*X64))/Z64</f>
        <v>6.0298714634146338</v>
      </c>
      <c r="AA55" s="780" t="s">
        <v>32</v>
      </c>
      <c r="AB55" s="459">
        <f>+((N55*N64)+(Z55*Z64))/AB64</f>
        <v>5.7071793963254596</v>
      </c>
      <c r="AC55" s="1650" t="s">
        <v>32</v>
      </c>
      <c r="AD55" s="1120">
        <v>5.85</v>
      </c>
      <c r="AE55" s="779" t="s">
        <v>32</v>
      </c>
      <c r="AF55" s="370">
        <f>+((AB55*AB64)+(AD55*AD64))/AF64</f>
        <v>5.7278571268237934</v>
      </c>
      <c r="AG55" s="1650" t="s">
        <v>32</v>
      </c>
      <c r="AH55" s="1120">
        <v>4.9000000000000004</v>
      </c>
      <c r="AI55" s="779" t="s">
        <v>32</v>
      </c>
      <c r="AJ55" s="370">
        <f>+((AF55*AF64)+(AH55*AH64))/AJ64</f>
        <v>5.6285142716049386</v>
      </c>
      <c r="AK55" s="1650" t="s">
        <v>32</v>
      </c>
      <c r="AL55" s="1120">
        <v>5.2</v>
      </c>
      <c r="AM55" s="812" t="s">
        <v>32</v>
      </c>
      <c r="AN55" s="372">
        <f>+((AD55*AD64)+(AH55*AH64)+(AL55*AL64))/AN64</f>
        <v>5.3298701298701303</v>
      </c>
      <c r="AO55" s="779" t="s">
        <v>32</v>
      </c>
      <c r="AP55" s="370">
        <f>+((AL55*AL64)+(AJ55*AJ64))/AP64</f>
        <v>5.5849852703685965</v>
      </c>
      <c r="AQ55" s="1650" t="s">
        <v>32</v>
      </c>
      <c r="AR55" s="1120">
        <v>5.48</v>
      </c>
      <c r="AS55" s="779" t="s">
        <v>32</v>
      </c>
      <c r="AT55" s="370">
        <f>+((AP55*AP64)+(AR55*AR64))/AT64</f>
        <v>5.5763323047361615</v>
      </c>
      <c r="AU55" s="1650" t="s">
        <v>32</v>
      </c>
      <c r="AV55" s="1120">
        <v>5</v>
      </c>
      <c r="AW55" s="779" t="s">
        <v>32</v>
      </c>
      <c r="AX55" s="370">
        <f>+((AT55*AT64)+(AV55*AV64))/AX64</f>
        <v>5.5212228382925774</v>
      </c>
      <c r="AY55" s="1650" t="s">
        <v>32</v>
      </c>
      <c r="AZ55" s="1120">
        <v>5.14</v>
      </c>
      <c r="BA55" s="812" t="s">
        <v>32</v>
      </c>
      <c r="BB55" s="372">
        <f>+((AR55*AR64)+(AV55*AV64)+(AZ55*AZ64))/BB64</f>
        <v>5.185873379099923</v>
      </c>
      <c r="BC55" s="780" t="s">
        <v>32</v>
      </c>
      <c r="BD55" s="459">
        <f>+((AN55*AN64)+(BB55*BB64))/BD64</f>
        <v>5.2589743375756308</v>
      </c>
      <c r="BE55" s="779" t="s">
        <v>32</v>
      </c>
      <c r="BF55" s="370">
        <f>+((AX55*AX64)+(AZ55*AZ64))/BF64</f>
        <v>5.4895913433944425</v>
      </c>
      <c r="BG55" s="1520"/>
      <c r="BH55" s="1520"/>
      <c r="BI55" s="26"/>
      <c r="BJ55" s="26"/>
      <c r="BK55" s="26"/>
      <c r="BL55" s="26"/>
      <c r="BM55" s="26"/>
      <c r="BN55" s="26"/>
    </row>
    <row r="56" spans="1:71" x14ac:dyDescent="0.3">
      <c r="A56" s="144"/>
      <c r="B56" s="1699" t="s">
        <v>1304</v>
      </c>
      <c r="C56" s="546" t="s">
        <v>49</v>
      </c>
      <c r="D56" s="156"/>
      <c r="E56" s="1650" t="s">
        <v>32</v>
      </c>
      <c r="F56" s="1120">
        <v>1.02</v>
      </c>
      <c r="G56" s="1650" t="s">
        <v>32</v>
      </c>
      <c r="H56" s="1120">
        <v>1.47</v>
      </c>
      <c r="I56" s="2050"/>
      <c r="J56" s="370">
        <f>+((F56*F66)+(H56*H66))/J66</f>
        <v>1.3239968652037619</v>
      </c>
      <c r="K56" s="1650" t="s">
        <v>32</v>
      </c>
      <c r="L56" s="1120">
        <v>2.21</v>
      </c>
      <c r="M56" s="2051"/>
      <c r="N56" s="372">
        <f>+((J56*J66)+(L56*L66))/N66</f>
        <v>1.6075808170515098</v>
      </c>
      <c r="O56" s="1650" t="s">
        <v>32</v>
      </c>
      <c r="P56" s="1120">
        <v>2.76</v>
      </c>
      <c r="Q56" s="2050"/>
      <c r="R56" s="370">
        <f>+((N56*N66)+(P56*P66))/R66</f>
        <v>1.8760599455040869</v>
      </c>
      <c r="S56" s="1650" t="s">
        <v>32</v>
      </c>
      <c r="T56" s="1120">
        <v>2.35</v>
      </c>
      <c r="U56" s="2050"/>
      <c r="V56" s="370">
        <f>+((R56*R66)+(T56*T66))/V66</f>
        <v>1.9703928415539067</v>
      </c>
      <c r="W56" s="1650" t="s">
        <v>32</v>
      </c>
      <c r="X56" s="1120">
        <v>1.84</v>
      </c>
      <c r="Y56" s="2051"/>
      <c r="Z56" s="372">
        <f>+((P56*P65)+(T56*T65)+(X56*X65))/Z65</f>
        <v>2.3186670746305946</v>
      </c>
      <c r="AA56" s="818"/>
      <c r="AB56" s="459">
        <f>+((N56*N66)+(Z56*Z66))/AB66</f>
        <v>1.9466024249865197</v>
      </c>
      <c r="AC56" s="1650" t="s">
        <v>32</v>
      </c>
      <c r="AD56" s="1120">
        <v>1.54</v>
      </c>
      <c r="AE56" s="2050"/>
      <c r="AF56" s="370">
        <f>+((AB56*AB66)+(AD56*AD66))/AF66</f>
        <v>1.8829791543473622</v>
      </c>
      <c r="AG56" s="1650" t="s">
        <v>32</v>
      </c>
      <c r="AH56" s="1120">
        <v>2.2599999999999998</v>
      </c>
      <c r="AI56" s="2050"/>
      <c r="AJ56" s="370">
        <f>+((AF56*AF66)+(AH56*AH66))/AJ66</f>
        <v>1.9383091700906321</v>
      </c>
      <c r="AK56" s="1650" t="s">
        <v>32</v>
      </c>
      <c r="AL56" s="1120">
        <v>1.7</v>
      </c>
      <c r="AM56" s="2051"/>
      <c r="AN56" s="372">
        <f>+((AD56*AD65)+(AH56*AH65)+(AL56*AL65))/AN65</f>
        <v>1.8310273140996434</v>
      </c>
      <c r="AO56" s="2050"/>
      <c r="AP56" s="370">
        <f>+((AL56*AL66)+(AJ56*AJ66))/AP66</f>
        <v>1.9037238159226297</v>
      </c>
      <c r="AQ56" s="1650" t="s">
        <v>32</v>
      </c>
      <c r="AR56" s="1120">
        <v>1.41</v>
      </c>
      <c r="AS56" s="2050"/>
      <c r="AT56" s="370">
        <f>+((AP56*AP66)+(AR56*AR66))/AT66</f>
        <v>1.8536006007426502</v>
      </c>
      <c r="AU56" s="1650" t="s">
        <v>32</v>
      </c>
      <c r="AV56" s="1120">
        <v>1.23</v>
      </c>
      <c r="AW56" s="2050"/>
      <c r="AX56" s="370">
        <f>+((AT56*AT66)+(AV56*AV66))/AX66</f>
        <v>1.8142766002144484</v>
      </c>
      <c r="AY56" s="1650" t="s">
        <v>32</v>
      </c>
      <c r="AZ56" s="1120">
        <v>1.1000000000000001</v>
      </c>
      <c r="BA56" s="2051"/>
      <c r="BB56" s="372">
        <f>+((AR56*AR65)+(AV56*AV65)+(AZ56*AZ65))/BB65</f>
        <v>1.2361664713885046</v>
      </c>
      <c r="BC56" s="818"/>
      <c r="BD56" s="459">
        <f>+((AN56*AN66)+(BB56*BB66))/BD66</f>
        <v>1.5735083248747266</v>
      </c>
      <c r="BE56" s="2050"/>
      <c r="BF56" s="370">
        <f>+((AX56*AX66)+(AZ56*AZ66))/BF66</f>
        <v>1.7558690811905475</v>
      </c>
      <c r="BG56" s="1520"/>
      <c r="BH56" s="1520"/>
      <c r="BI56" s="26"/>
      <c r="BJ56" s="26"/>
      <c r="BK56" s="26"/>
      <c r="BL56" s="26"/>
      <c r="BM56" s="26"/>
      <c r="BN56" s="26"/>
    </row>
    <row r="57" spans="1:71" ht="15" thickBot="1" x14ac:dyDescent="0.35">
      <c r="A57" s="144"/>
      <c r="B57" s="1710" t="s">
        <v>596</v>
      </c>
      <c r="C57" s="822" t="s">
        <v>49</v>
      </c>
      <c r="D57" s="885"/>
      <c r="E57" s="2065" t="s">
        <v>32</v>
      </c>
      <c r="F57" s="2066">
        <v>6.78</v>
      </c>
      <c r="G57" s="2065" t="s">
        <v>32</v>
      </c>
      <c r="H57" s="2066">
        <v>7.54</v>
      </c>
      <c r="I57" s="2067" t="s">
        <v>32</v>
      </c>
      <c r="J57" s="2068">
        <f>+((F57*F68)+(H57*H68))/J68</f>
        <v>7.2714160722776988</v>
      </c>
      <c r="K57" s="2065" t="s">
        <v>32</v>
      </c>
      <c r="L57" s="2066">
        <v>8.91</v>
      </c>
      <c r="M57" s="2069" t="s">
        <v>32</v>
      </c>
      <c r="N57" s="2070">
        <f>+((F57*F68)+(H57*H68)+(L57*L68))/N68</f>
        <v>8.0091472341315502</v>
      </c>
      <c r="O57" s="2065" t="s">
        <v>32</v>
      </c>
      <c r="P57" s="2066">
        <v>11.03</v>
      </c>
      <c r="Q57" s="2067" t="s">
        <v>32</v>
      </c>
      <c r="R57" s="2068">
        <f>+((N57*N68)+(P57*P68))/R68</f>
        <v>8.8698762478034929</v>
      </c>
      <c r="S57" s="2065" t="s">
        <v>32</v>
      </c>
      <c r="T57" s="2066">
        <v>10.47</v>
      </c>
      <c r="U57" s="2067" t="s">
        <v>32</v>
      </c>
      <c r="V57" s="2068">
        <f>+((R57*R68)+(T57*T68))/V68</f>
        <v>9.2365069026140585</v>
      </c>
      <c r="W57" s="2065" t="s">
        <v>32</v>
      </c>
      <c r="X57" s="2066">
        <v>10.7</v>
      </c>
      <c r="Y57" s="2069" t="s">
        <v>32</v>
      </c>
      <c r="Z57" s="2070">
        <f>+((P57*P68)+(T57*T68)+(X57*X68))/Z68</f>
        <v>10.733189730200175</v>
      </c>
      <c r="AA57" s="2071" t="s">
        <v>32</v>
      </c>
      <c r="AB57" s="471">
        <f>+((N57*N68)+(Z57*Z68))/AB68</f>
        <v>9.424406651929262</v>
      </c>
      <c r="AC57" s="2065" t="s">
        <v>32</v>
      </c>
      <c r="AD57" s="2066">
        <v>9.8699999999999992</v>
      </c>
      <c r="AE57" s="2067" t="s">
        <v>32</v>
      </c>
      <c r="AF57" s="2068">
        <f>+((AB57*AB68)+(AD57*AD68))/AF68</f>
        <v>9.483816511364628</v>
      </c>
      <c r="AG57" s="2065" t="s">
        <v>32</v>
      </c>
      <c r="AH57" s="2066">
        <v>9.69</v>
      </c>
      <c r="AI57" s="2067" t="s">
        <v>32</v>
      </c>
      <c r="AJ57" s="2068">
        <f>+((AF57*AF68)+(AH57*AH68))/AJ68</f>
        <v>9.5210452607353773</v>
      </c>
      <c r="AK57" s="2065" t="s">
        <v>32</v>
      </c>
      <c r="AL57" s="2066">
        <v>8.3000000000000007</v>
      </c>
      <c r="AM57" s="2069" t="s">
        <v>32</v>
      </c>
      <c r="AN57" s="2070">
        <f>+((AD57*AD68)+(AH57*AH68)+(AL57*AL68))/AN68</f>
        <v>9.108924070089147</v>
      </c>
      <c r="AO57" s="2067" t="s">
        <v>32</v>
      </c>
      <c r="AP57" s="2068">
        <f>+((AL57*AL68)+(AJ57*AJ68))/AP68</f>
        <v>9.2907107186798896</v>
      </c>
      <c r="AQ57" s="2065" t="s">
        <v>32</v>
      </c>
      <c r="AR57" s="2066">
        <v>7.78</v>
      </c>
      <c r="AS57" s="2067" t="s">
        <v>32</v>
      </c>
      <c r="AT57" s="2068">
        <f>+((AP57*AP68)+(AR57*AR68))/AT68</f>
        <v>9.0244993620547831</v>
      </c>
      <c r="AU57" s="2065" t="s">
        <v>32</v>
      </c>
      <c r="AV57" s="2066">
        <v>7.19</v>
      </c>
      <c r="AW57" s="2067" t="s">
        <v>32</v>
      </c>
      <c r="AX57" s="2068">
        <f>+((AT57*AT68)+(AV57*AV68))/AX68</f>
        <v>8.8312056752720327</v>
      </c>
      <c r="AY57" s="2065" t="s">
        <v>32</v>
      </c>
      <c r="AZ57" s="2066">
        <v>7.04</v>
      </c>
      <c r="BA57" s="2069" t="s">
        <v>32</v>
      </c>
      <c r="BB57" s="2070">
        <f>+((AR57*AR68)+(AV57*AV68)+(AZ57*AZ68))/BB68</f>
        <v>7.4052138235294125</v>
      </c>
      <c r="BC57" s="2071" t="s">
        <v>32</v>
      </c>
      <c r="BD57" s="471">
        <f>+((AN57*AN68)+(BB57*BB68))/BD68</f>
        <v>8.193486416865527</v>
      </c>
      <c r="BE57" s="2067" t="s">
        <v>32</v>
      </c>
      <c r="BF57" s="2068">
        <f>+((AX57*AX68)+(AZ57*AZ68))/BF68</f>
        <v>8.6688268904302319</v>
      </c>
      <c r="BG57" s="1520"/>
      <c r="BH57" s="1520"/>
      <c r="BI57" s="26"/>
      <c r="BJ57" s="26"/>
      <c r="BK57" s="26"/>
      <c r="BL57" s="26"/>
      <c r="BM57" s="26"/>
      <c r="BN57" s="26"/>
    </row>
    <row r="58" spans="1:71" ht="15.6" x14ac:dyDescent="0.3">
      <c r="A58" s="144"/>
      <c r="B58" s="2081" t="s">
        <v>1564</v>
      </c>
      <c r="C58" s="2048" t="s">
        <v>50</v>
      </c>
      <c r="D58" s="2220"/>
      <c r="E58" s="2221" t="s">
        <v>32</v>
      </c>
      <c r="F58" s="2222">
        <f>+RMHP!E28</f>
        <v>60954</v>
      </c>
      <c r="G58" s="2221" t="s">
        <v>32</v>
      </c>
      <c r="H58" s="2222">
        <f>+RMHP!G28</f>
        <v>66242</v>
      </c>
      <c r="I58" s="2209" t="s">
        <v>32</v>
      </c>
      <c r="J58" s="2210">
        <f t="shared" ref="I58:J69" si="352">+F58+H58</f>
        <v>127196</v>
      </c>
      <c r="K58" s="2221" t="s">
        <v>32</v>
      </c>
      <c r="L58" s="2222">
        <f>+RMHP!K28</f>
        <v>70756</v>
      </c>
      <c r="M58" s="2211" t="s">
        <v>32</v>
      </c>
      <c r="N58" s="2211">
        <f>F58+H58+L58</f>
        <v>197952</v>
      </c>
      <c r="O58" s="2221" t="s">
        <v>32</v>
      </c>
      <c r="P58" s="2222">
        <f>+RMHP!O28</f>
        <v>77478</v>
      </c>
      <c r="Q58" s="2209" t="s">
        <v>32</v>
      </c>
      <c r="R58" s="2210">
        <f t="shared" ref="R58:R69" si="353">+N58+P58</f>
        <v>275430</v>
      </c>
      <c r="S58" s="2221" t="s">
        <v>32</v>
      </c>
      <c r="T58" s="2222">
        <f>+RMHP!S28</f>
        <v>74857</v>
      </c>
      <c r="U58" s="2209" t="s">
        <v>32</v>
      </c>
      <c r="V58" s="2210">
        <f t="shared" ref="V58:V69" si="354">+R58+T58</f>
        <v>350287</v>
      </c>
      <c r="W58" s="2221" t="s">
        <v>32</v>
      </c>
      <c r="X58" s="2222">
        <f>+RMHP!W28</f>
        <v>77679</v>
      </c>
      <c r="Y58" s="2211" t="s">
        <v>32</v>
      </c>
      <c r="Z58" s="2211">
        <f>P58+T58+X58</f>
        <v>230014</v>
      </c>
      <c r="AA58" s="2212" t="s">
        <v>32</v>
      </c>
      <c r="AB58" s="2215">
        <f t="shared" ref="AB58:AB69" si="355">+N58+Z58</f>
        <v>427966</v>
      </c>
      <c r="AC58" s="2221" t="s">
        <v>32</v>
      </c>
      <c r="AD58" s="2222">
        <f>+RMHP!AC28</f>
        <v>62985</v>
      </c>
      <c r="AE58" s="2209" t="s">
        <v>32</v>
      </c>
      <c r="AF58" s="2210">
        <f t="shared" ref="AF58:AF69" si="356">+AB58+AD58</f>
        <v>490951</v>
      </c>
      <c r="AG58" s="2221" t="s">
        <v>32</v>
      </c>
      <c r="AH58" s="2222">
        <f>+RMHP!AG28</f>
        <v>71795</v>
      </c>
      <c r="AI58" s="2209" t="s">
        <v>32</v>
      </c>
      <c r="AJ58" s="2210">
        <f t="shared" ref="AJ58:AJ69" si="357">+AF58+AH58</f>
        <v>562746</v>
      </c>
      <c r="AK58" s="2221" t="s">
        <v>32</v>
      </c>
      <c r="AL58" s="2222">
        <f>+RMHP!AK28</f>
        <v>70956</v>
      </c>
      <c r="AM58" s="2211" t="s">
        <v>32</v>
      </c>
      <c r="AN58" s="2211">
        <f>AD58+AH58+AL58</f>
        <v>205736</v>
      </c>
      <c r="AO58" s="2209" t="s">
        <v>32</v>
      </c>
      <c r="AP58" s="2210">
        <f>+AL58+AJ58</f>
        <v>633702</v>
      </c>
      <c r="AQ58" s="2221" t="s">
        <v>32</v>
      </c>
      <c r="AR58" s="2222">
        <f>+RMHP!AQ28</f>
        <v>76157</v>
      </c>
      <c r="AS58" s="2209" t="s">
        <v>32</v>
      </c>
      <c r="AT58" s="2210">
        <f t="shared" ref="AT58:AT69" si="358">+AP58+AR58</f>
        <v>709859</v>
      </c>
      <c r="AU58" s="2221" t="s">
        <v>32</v>
      </c>
      <c r="AV58" s="2222">
        <f>+RMHP!AU28</f>
        <v>64445</v>
      </c>
      <c r="AW58" s="2209" t="s">
        <v>32</v>
      </c>
      <c r="AX58" s="2210">
        <f t="shared" ref="AX58:AX69" si="359">+AT58+AV58</f>
        <v>774304</v>
      </c>
      <c r="AY58" s="2221" t="s">
        <v>32</v>
      </c>
      <c r="AZ58" s="2222">
        <f>+RMHP!AY28</f>
        <v>81524</v>
      </c>
      <c r="BA58" s="2211" t="s">
        <v>32</v>
      </c>
      <c r="BB58" s="2211">
        <f>AR58+AV58+AZ58</f>
        <v>222126</v>
      </c>
      <c r="BC58" s="2212" t="s">
        <v>32</v>
      </c>
      <c r="BD58" s="463">
        <f>+AN58+BB58</f>
        <v>427862</v>
      </c>
      <c r="BE58" s="2209" t="s">
        <v>32</v>
      </c>
      <c r="BF58" s="2210">
        <f t="shared" ref="BF58:BF69" si="360">+AX58+AZ58</f>
        <v>855828</v>
      </c>
      <c r="BG58" s="1520"/>
      <c r="BH58" s="1520"/>
      <c r="BI58" s="528"/>
      <c r="BJ58" s="26"/>
      <c r="BK58" s="26"/>
      <c r="BL58" s="26"/>
      <c r="BM58" s="26"/>
      <c r="BN58" s="26"/>
    </row>
    <row r="59" spans="1:71" ht="15" thickBot="1" x14ac:dyDescent="0.35">
      <c r="A59" s="144" t="s">
        <v>470</v>
      </c>
      <c r="B59" s="1709" t="s">
        <v>577</v>
      </c>
      <c r="C59" s="59" t="s">
        <v>50</v>
      </c>
      <c r="D59" s="1118">
        <f>+(D27/((100-D71)/100))-D27</f>
        <v>742117.67332594562</v>
      </c>
      <c r="E59" s="1118">
        <f>+(E27/((100-E71)/100))-E27</f>
        <v>63394.458873945172</v>
      </c>
      <c r="F59" s="1118">
        <f>+F58-((F54/100)*F58)</f>
        <v>60704.088600000003</v>
      </c>
      <c r="G59" s="1118">
        <f>+(G27/((100-G71)/100))-G27</f>
        <v>65406.981377879973</v>
      </c>
      <c r="H59" s="1118">
        <f>+H58-((H54/100)*H58)</f>
        <v>65731.936600000001</v>
      </c>
      <c r="I59" s="60">
        <f>+E59+G59</f>
        <v>128801.44025182514</v>
      </c>
      <c r="J59" s="38">
        <f t="shared" si="352"/>
        <v>126436.0252</v>
      </c>
      <c r="K59" s="1118">
        <f>+(K27/((100-K71)/100))-K27</f>
        <v>63394.458873945172</v>
      </c>
      <c r="L59" s="1118">
        <f>+L58-((L54/100)*L58)</f>
        <v>70189.952000000005</v>
      </c>
      <c r="M59" s="71">
        <f>+K59+G59+E59</f>
        <v>192195.89912577032</v>
      </c>
      <c r="N59" s="71">
        <f>+N58-((N54/100)*N58)</f>
        <v>196625.97719999999</v>
      </c>
      <c r="O59" s="1118">
        <f>+(O27/((100-O71)/100))-O27</f>
        <v>64149.154812920722</v>
      </c>
      <c r="P59" s="1118">
        <f>+P58-((P54/100)*P58)</f>
        <v>76850.428199999995</v>
      </c>
      <c r="Q59" s="60">
        <f>+M59+O59</f>
        <v>256345.05393869104</v>
      </c>
      <c r="R59" s="38">
        <f t="shared" si="353"/>
        <v>273476.40539999999</v>
      </c>
      <c r="S59" s="1118">
        <f>+(S27/((100-S71)/100))-S27</f>
        <v>64149.154812920722</v>
      </c>
      <c r="T59" s="1118">
        <f>+T58-((T54/100)*T58)</f>
        <v>74235.686900000001</v>
      </c>
      <c r="U59" s="60">
        <f>+Q59+S59</f>
        <v>320494.20875161176</v>
      </c>
      <c r="V59" s="38">
        <f t="shared" si="354"/>
        <v>347712.09230000002</v>
      </c>
      <c r="W59" s="1118">
        <f>+(W27/((100-W71)/100))-W27</f>
        <v>35219.143818858429</v>
      </c>
      <c r="X59" s="1118">
        <f>+X58-((X54/100)*X58)</f>
        <v>77166.318599999999</v>
      </c>
      <c r="Y59" s="67">
        <f>+W59+S59+O59</f>
        <v>163517.45344469987</v>
      </c>
      <c r="Z59" s="68">
        <f t="shared" ref="Z59:Z65" si="361">+X59+T59+P59</f>
        <v>228252.43369999999</v>
      </c>
      <c r="AA59" s="635">
        <f>M59+Y59</f>
        <v>355713.35257047019</v>
      </c>
      <c r="AB59" s="472">
        <f t="shared" si="355"/>
        <v>424878.41090000002</v>
      </c>
      <c r="AC59" s="1118">
        <f>+(AC27/((100-AC71)/100))-AC27</f>
        <v>65406.981377879973</v>
      </c>
      <c r="AD59" s="1118">
        <f>+AD58-((AD54/100)*AD58)</f>
        <v>62128.404000000002</v>
      </c>
      <c r="AE59" s="60">
        <f>+AA59+AC59</f>
        <v>421120.33394835016</v>
      </c>
      <c r="AF59" s="38">
        <f t="shared" si="356"/>
        <v>487006.8149</v>
      </c>
      <c r="AG59" s="1118">
        <f>+(AG27/((100-AG71)/100))-AG27</f>
        <v>63394.458873945172</v>
      </c>
      <c r="AH59" s="1118">
        <f>+AH58-((AH54/100)*AH58)</f>
        <v>71385.768500000006</v>
      </c>
      <c r="AI59" s="60">
        <f>+AE59+AG59</f>
        <v>484514.79282229533</v>
      </c>
      <c r="AJ59" s="38">
        <f t="shared" si="357"/>
        <v>558392.5834</v>
      </c>
      <c r="AK59" s="1118">
        <f>+(AK27/((100-AK71)/100))-AK27</f>
        <v>65406.981377879973</v>
      </c>
      <c r="AL59" s="1118">
        <f>+AL58-((AL54/100)*AL58)</f>
        <v>70657.984800000006</v>
      </c>
      <c r="AM59" s="67">
        <f>+AK59+AG59+AC59</f>
        <v>194208.42162970512</v>
      </c>
      <c r="AN59" s="68">
        <f t="shared" ref="AN59:AN60" si="362">+AL59+AH59+AD59</f>
        <v>204172.15730000002</v>
      </c>
      <c r="AO59" s="584">
        <f>+AK59+AI59</f>
        <v>549921.77420017531</v>
      </c>
      <c r="AP59" s="584">
        <f>+AL59+AJ59</f>
        <v>629050.56819999998</v>
      </c>
      <c r="AQ59" s="1118">
        <f>+(AQ27/((100-AQ71)/100))-AQ27</f>
        <v>66413.242629847315</v>
      </c>
      <c r="AR59" s="1118">
        <f>+AR58-((AR54/100)*AR58)</f>
        <v>75654.363800000006</v>
      </c>
      <c r="AS59" s="60">
        <f>+AO59+AQ59</f>
        <v>616335.01683002268</v>
      </c>
      <c r="AT59" s="38">
        <f t="shared" si="358"/>
        <v>704704.93200000003</v>
      </c>
      <c r="AU59" s="1118">
        <f>+(AU27/((100-AU71)/100))-AU27</f>
        <v>59369.413866075629</v>
      </c>
      <c r="AV59" s="1118">
        <f>+AV58-((AV54/100)*AV58)</f>
        <v>64148.553</v>
      </c>
      <c r="AW59" s="60">
        <f>+AS59+AU59</f>
        <v>675704.43069609837</v>
      </c>
      <c r="AX59" s="38">
        <f t="shared" si="359"/>
        <v>768853.48499999999</v>
      </c>
      <c r="AY59" s="1118">
        <f>+(AY27/((100-AY71)/100))-AY27</f>
        <v>66413.242629847315</v>
      </c>
      <c r="AZ59" s="1118">
        <f>+AZ58-((AZ54/100)*AZ58)</f>
        <v>81116.38</v>
      </c>
      <c r="BA59" s="67">
        <f>+AY59+AU59+AQ59</f>
        <v>192195.89912577026</v>
      </c>
      <c r="BB59" s="68">
        <f t="shared" ref="BB59:BB60" si="363">+AZ59+AV59+AR59</f>
        <v>220919.29680000001</v>
      </c>
      <c r="BC59" s="464">
        <f t="shared" ref="BC59" si="364">AM59+BA59</f>
        <v>386404.32075547538</v>
      </c>
      <c r="BD59" s="464">
        <f t="shared" ref="BD59" si="365">AN59+BB59</f>
        <v>425091.45410000003</v>
      </c>
      <c r="BE59" s="60">
        <f>+AW59+AY59</f>
        <v>742117.67332594562</v>
      </c>
      <c r="BF59" s="38">
        <f t="shared" si="360"/>
        <v>849969.86499999999</v>
      </c>
      <c r="BG59" s="1520">
        <f t="shared" si="3"/>
        <v>0</v>
      </c>
      <c r="BH59" s="1520">
        <f t="shared" si="4"/>
        <v>0</v>
      </c>
      <c r="BI59" s="528"/>
      <c r="BJ59" s="26"/>
      <c r="BK59" s="26"/>
      <c r="BL59" s="26"/>
      <c r="BM59" s="26"/>
      <c r="BN59" s="26"/>
    </row>
    <row r="60" spans="1:71" ht="15.75" hidden="1" customHeight="1" thickBot="1" x14ac:dyDescent="0.35">
      <c r="A60" s="144"/>
      <c r="B60" s="1709" t="s">
        <v>1084</v>
      </c>
      <c r="C60" s="59" t="s">
        <v>50</v>
      </c>
      <c r="D60" s="1648" t="s">
        <v>32</v>
      </c>
      <c r="E60" s="1650" t="s">
        <v>32</v>
      </c>
      <c r="F60" s="1118"/>
      <c r="G60" s="1650" t="s">
        <v>32</v>
      </c>
      <c r="H60" s="1118"/>
      <c r="I60" s="819" t="s">
        <v>32</v>
      </c>
      <c r="J60" s="38">
        <f t="shared" si="352"/>
        <v>0</v>
      </c>
      <c r="K60" s="1650" t="s">
        <v>32</v>
      </c>
      <c r="L60" s="1118"/>
      <c r="M60" s="820" t="s">
        <v>32</v>
      </c>
      <c r="N60" s="820"/>
      <c r="O60" s="1650" t="s">
        <v>32</v>
      </c>
      <c r="P60" s="1118"/>
      <c r="Q60" s="819" t="s">
        <v>32</v>
      </c>
      <c r="R60" s="38">
        <f t="shared" si="353"/>
        <v>0</v>
      </c>
      <c r="S60" s="1650" t="s">
        <v>32</v>
      </c>
      <c r="T60" s="1118"/>
      <c r="U60" s="819" t="s">
        <v>32</v>
      </c>
      <c r="V60" s="38">
        <f t="shared" si="354"/>
        <v>0</v>
      </c>
      <c r="W60" s="1650" t="s">
        <v>32</v>
      </c>
      <c r="X60" s="1118"/>
      <c r="Y60" s="820" t="s">
        <v>32</v>
      </c>
      <c r="Z60" s="68">
        <f t="shared" si="361"/>
        <v>0</v>
      </c>
      <c r="AA60" s="821" t="s">
        <v>32</v>
      </c>
      <c r="AB60" s="472">
        <f t="shared" si="355"/>
        <v>0</v>
      </c>
      <c r="AC60" s="1650" t="s">
        <v>32</v>
      </c>
      <c r="AD60" s="1118"/>
      <c r="AE60" s="819" t="s">
        <v>32</v>
      </c>
      <c r="AF60" s="38">
        <f t="shared" si="356"/>
        <v>0</v>
      </c>
      <c r="AG60" s="1650" t="s">
        <v>32</v>
      </c>
      <c r="AH60" s="1118"/>
      <c r="AI60" s="819" t="s">
        <v>32</v>
      </c>
      <c r="AJ60" s="38">
        <f t="shared" si="357"/>
        <v>0</v>
      </c>
      <c r="AK60" s="1650" t="s">
        <v>32</v>
      </c>
      <c r="AL60" s="1118"/>
      <c r="AM60" s="820" t="s">
        <v>32</v>
      </c>
      <c r="AN60" s="68">
        <f t="shared" si="362"/>
        <v>0</v>
      </c>
      <c r="AO60" s="584" t="e">
        <f t="shared" ref="AO60:AO61" si="366">+AK60+AI60</f>
        <v>#VALUE!</v>
      </c>
      <c r="AP60" s="584">
        <f t="shared" ref="AO60:AP67" si="367">+AL60+AJ60</f>
        <v>0</v>
      </c>
      <c r="AQ60" s="1650" t="s">
        <v>32</v>
      </c>
      <c r="AR60" s="1118"/>
      <c r="AS60" s="819" t="s">
        <v>32</v>
      </c>
      <c r="AT60" s="38">
        <f t="shared" si="358"/>
        <v>0</v>
      </c>
      <c r="AU60" s="1650" t="s">
        <v>32</v>
      </c>
      <c r="AV60" s="1118"/>
      <c r="AW60" s="819" t="s">
        <v>32</v>
      </c>
      <c r="AX60" s="38">
        <f t="shared" si="359"/>
        <v>0</v>
      </c>
      <c r="AY60" s="1650" t="s">
        <v>32</v>
      </c>
      <c r="AZ60" s="1118"/>
      <c r="BA60" s="820" t="s">
        <v>32</v>
      </c>
      <c r="BB60" s="68">
        <f t="shared" si="363"/>
        <v>0</v>
      </c>
      <c r="BC60" s="821" t="s">
        <v>32</v>
      </c>
      <c r="BD60" s="472">
        <f t="shared" ref="BD60" si="368">+AP60+BB60</f>
        <v>0</v>
      </c>
      <c r="BE60" s="819" t="s">
        <v>32</v>
      </c>
      <c r="BF60" s="38">
        <f t="shared" si="360"/>
        <v>0</v>
      </c>
      <c r="BG60" s="1520" t="e">
        <f t="shared" si="3"/>
        <v>#VALUE!</v>
      </c>
      <c r="BH60" s="1520">
        <f t="shared" si="4"/>
        <v>0</v>
      </c>
      <c r="BI60" s="26"/>
      <c r="BJ60" s="26"/>
      <c r="BK60" s="26"/>
      <c r="BL60" s="26"/>
      <c r="BM60" s="26"/>
      <c r="BN60" s="26"/>
    </row>
    <row r="61" spans="1:71" ht="15" thickBot="1" x14ac:dyDescent="0.35">
      <c r="A61" s="144"/>
      <c r="B61" s="1709" t="s">
        <v>584</v>
      </c>
      <c r="C61" s="59" t="s">
        <v>50</v>
      </c>
      <c r="D61" s="1118">
        <v>0</v>
      </c>
      <c r="E61" s="1650">
        <v>0</v>
      </c>
      <c r="F61" s="1118">
        <f>+F60-((F54/100)*F60)</f>
        <v>0</v>
      </c>
      <c r="G61" s="1650">
        <v>0</v>
      </c>
      <c r="H61" s="1118">
        <f>+H60-((H54/100)*H60)</f>
        <v>0</v>
      </c>
      <c r="I61" s="60">
        <f>+E61+G61</f>
        <v>0</v>
      </c>
      <c r="J61" s="38">
        <f t="shared" si="352"/>
        <v>0</v>
      </c>
      <c r="K61" s="1650">
        <v>0</v>
      </c>
      <c r="L61" s="1118">
        <f>+L60-((L54/100)*L60)</f>
        <v>0</v>
      </c>
      <c r="M61" s="71">
        <f>+K61+G61+E61</f>
        <v>0</v>
      </c>
      <c r="N61" s="71">
        <f>+N60-((N54/100)*N60)</f>
        <v>0</v>
      </c>
      <c r="O61" s="1650">
        <v>0</v>
      </c>
      <c r="P61" s="1118">
        <f>+P60-((P54/100)*P60)</f>
        <v>0</v>
      </c>
      <c r="Q61" s="60">
        <f>+M61+O61</f>
        <v>0</v>
      </c>
      <c r="R61" s="38">
        <f t="shared" si="353"/>
        <v>0</v>
      </c>
      <c r="S61" s="1650">
        <v>0</v>
      </c>
      <c r="T61" s="1118">
        <f>+T60-((T54/100)*T60)</f>
        <v>0</v>
      </c>
      <c r="U61" s="60">
        <f>+Q61+S61</f>
        <v>0</v>
      </c>
      <c r="V61" s="38">
        <f t="shared" si="354"/>
        <v>0</v>
      </c>
      <c r="W61" s="1650">
        <v>0</v>
      </c>
      <c r="X61" s="1118">
        <f>+X60-((X54/100)*X60)</f>
        <v>0</v>
      </c>
      <c r="Y61" s="67">
        <f>+W61+S61+O61</f>
        <v>0</v>
      </c>
      <c r="Z61" s="68">
        <f>+X61+T61+P61</f>
        <v>0</v>
      </c>
      <c r="AA61" s="635">
        <f>M61+Y61</f>
        <v>0</v>
      </c>
      <c r="AB61" s="472">
        <f t="shared" ref="AB61" si="369">+N61+Z61</f>
        <v>0</v>
      </c>
      <c r="AC61" s="1650">
        <v>0</v>
      </c>
      <c r="AD61" s="1118">
        <f>+AD60-((AD54/100)*AD60)</f>
        <v>0</v>
      </c>
      <c r="AE61" s="60">
        <f>+AA61+AC61</f>
        <v>0</v>
      </c>
      <c r="AF61" s="38">
        <f t="shared" si="356"/>
        <v>0</v>
      </c>
      <c r="AG61" s="1650">
        <v>0</v>
      </c>
      <c r="AH61" s="1118">
        <f>+AH60-((AH54/100)*AH60)</f>
        <v>0</v>
      </c>
      <c r="AI61" s="60">
        <f>+AE61+AG61</f>
        <v>0</v>
      </c>
      <c r="AJ61" s="38">
        <f t="shared" si="357"/>
        <v>0</v>
      </c>
      <c r="AK61" s="1650">
        <v>0</v>
      </c>
      <c r="AL61" s="1118">
        <f>+AL60-((AL54/100)*AL60)</f>
        <v>0</v>
      </c>
      <c r="AM61" s="67">
        <f>+AK61+AG61+AC61</f>
        <v>0</v>
      </c>
      <c r="AN61" s="68">
        <f>+AL61+AH61+AD61</f>
        <v>0</v>
      </c>
      <c r="AO61" s="584">
        <f t="shared" si="366"/>
        <v>0</v>
      </c>
      <c r="AP61" s="584">
        <f t="shared" si="367"/>
        <v>0</v>
      </c>
      <c r="AQ61" s="1650">
        <v>0</v>
      </c>
      <c r="AR61" s="1118">
        <f>+AR60-((AR54/100)*AR60)</f>
        <v>0</v>
      </c>
      <c r="AS61" s="60">
        <f>+AO61+AQ61</f>
        <v>0</v>
      </c>
      <c r="AT61" s="38">
        <f t="shared" si="358"/>
        <v>0</v>
      </c>
      <c r="AU61" s="1650">
        <v>0</v>
      </c>
      <c r="AV61" s="1118">
        <f>+AV60-((AV54/100)*AV60)</f>
        <v>0</v>
      </c>
      <c r="AW61" s="60">
        <f>+AS61+AU61</f>
        <v>0</v>
      </c>
      <c r="AX61" s="38">
        <f t="shared" si="359"/>
        <v>0</v>
      </c>
      <c r="AY61" s="1650"/>
      <c r="AZ61" s="1118">
        <f>+AZ60-((AZ54/100)*AZ60)</f>
        <v>0</v>
      </c>
      <c r="BA61" s="67">
        <f>+AY61+AU61+AQ61</f>
        <v>0</v>
      </c>
      <c r="BB61" s="68">
        <f>+AZ61+AV61+AR61</f>
        <v>0</v>
      </c>
      <c r="BC61" s="464">
        <f t="shared" ref="BC61" si="370">AM61+BA61</f>
        <v>0</v>
      </c>
      <c r="BD61" s="464">
        <f t="shared" ref="BD61:BD63" si="371">AN61+BB61</f>
        <v>0</v>
      </c>
      <c r="BE61" s="60">
        <f>+AW61+AY61</f>
        <v>0</v>
      </c>
      <c r="BF61" s="38">
        <f t="shared" si="360"/>
        <v>0</v>
      </c>
      <c r="BG61" s="1520">
        <f t="shared" si="3"/>
        <v>0</v>
      </c>
      <c r="BH61" s="1520">
        <f t="shared" si="4"/>
        <v>0</v>
      </c>
      <c r="BI61" s="26"/>
      <c r="BJ61" s="26"/>
      <c r="BK61" s="26"/>
      <c r="BL61" s="26"/>
      <c r="BM61" s="26"/>
      <c r="BN61" s="26"/>
    </row>
    <row r="62" spans="1:71" ht="15" thickBot="1" x14ac:dyDescent="0.35">
      <c r="A62" s="144"/>
      <c r="B62" s="1709" t="s">
        <v>1306</v>
      </c>
      <c r="C62" s="59" t="s">
        <v>50</v>
      </c>
      <c r="D62" s="1648" t="s">
        <v>32</v>
      </c>
      <c r="E62" s="1650" t="s">
        <v>32</v>
      </c>
      <c r="F62" s="1118">
        <f>+F58+F60</f>
        <v>60954</v>
      </c>
      <c r="G62" s="1650" t="s">
        <v>32</v>
      </c>
      <c r="H62" s="1118">
        <f>+H58+H60</f>
        <v>66242</v>
      </c>
      <c r="I62" s="819" t="s">
        <v>32</v>
      </c>
      <c r="J62" s="38">
        <f t="shared" si="352"/>
        <v>127196</v>
      </c>
      <c r="K62" s="1650" t="s">
        <v>32</v>
      </c>
      <c r="L62" s="1118">
        <f>+L58+L60</f>
        <v>70756</v>
      </c>
      <c r="M62" s="820" t="s">
        <v>32</v>
      </c>
      <c r="N62" s="820">
        <f>+N58+N60</f>
        <v>197952</v>
      </c>
      <c r="O62" s="1650" t="s">
        <v>32</v>
      </c>
      <c r="P62" s="1118">
        <f>+P58+P60</f>
        <v>77478</v>
      </c>
      <c r="Q62" s="819" t="s">
        <v>32</v>
      </c>
      <c r="R62" s="38">
        <f t="shared" si="353"/>
        <v>275430</v>
      </c>
      <c r="S62" s="1650" t="s">
        <v>32</v>
      </c>
      <c r="T62" s="1118">
        <f>+T58+T60</f>
        <v>74857</v>
      </c>
      <c r="U62" s="819" t="s">
        <v>32</v>
      </c>
      <c r="V62" s="38">
        <f t="shared" si="354"/>
        <v>350287</v>
      </c>
      <c r="W62" s="1650" t="s">
        <v>32</v>
      </c>
      <c r="X62" s="1118">
        <f>+X58+X60</f>
        <v>77679</v>
      </c>
      <c r="Y62" s="820" t="s">
        <v>32</v>
      </c>
      <c r="Z62" s="68">
        <f t="shared" si="361"/>
        <v>230014</v>
      </c>
      <c r="AA62" s="821" t="s">
        <v>32</v>
      </c>
      <c r="AB62" s="472">
        <f t="shared" si="355"/>
        <v>427966</v>
      </c>
      <c r="AC62" s="1650" t="s">
        <v>32</v>
      </c>
      <c r="AD62" s="1118">
        <f>+AD58+AD60</f>
        <v>62985</v>
      </c>
      <c r="AE62" s="819" t="s">
        <v>32</v>
      </c>
      <c r="AF62" s="38">
        <f t="shared" si="356"/>
        <v>490951</v>
      </c>
      <c r="AG62" s="1650" t="s">
        <v>32</v>
      </c>
      <c r="AH62" s="1118">
        <f>+AH58+AH60</f>
        <v>71795</v>
      </c>
      <c r="AI62" s="819" t="s">
        <v>32</v>
      </c>
      <c r="AJ62" s="38">
        <f t="shared" si="357"/>
        <v>562746</v>
      </c>
      <c r="AK62" s="1650" t="s">
        <v>32</v>
      </c>
      <c r="AL62" s="1118">
        <f>+AL58+AL60</f>
        <v>70956</v>
      </c>
      <c r="AM62" s="820" t="s">
        <v>32</v>
      </c>
      <c r="AN62" s="68">
        <f t="shared" ref="AN62" si="372">+AL62+AH62+AD62</f>
        <v>205736</v>
      </c>
      <c r="AO62" s="819" t="s">
        <v>32</v>
      </c>
      <c r="AP62" s="584">
        <f t="shared" si="367"/>
        <v>633702</v>
      </c>
      <c r="AQ62" s="1650" t="s">
        <v>32</v>
      </c>
      <c r="AR62" s="1118">
        <f>+AR58+AR60</f>
        <v>76157</v>
      </c>
      <c r="AS62" s="819" t="s">
        <v>32</v>
      </c>
      <c r="AT62" s="38">
        <f t="shared" si="358"/>
        <v>709859</v>
      </c>
      <c r="AU62" s="1650" t="s">
        <v>32</v>
      </c>
      <c r="AV62" s="1118">
        <f>+AV58+AV60</f>
        <v>64445</v>
      </c>
      <c r="AW62" s="819" t="s">
        <v>32</v>
      </c>
      <c r="AX62" s="38">
        <f t="shared" si="359"/>
        <v>774304</v>
      </c>
      <c r="AY62" s="1650" t="s">
        <v>32</v>
      </c>
      <c r="AZ62" s="1118">
        <f>+AZ58+AZ60</f>
        <v>81524</v>
      </c>
      <c r="BA62" s="820" t="s">
        <v>32</v>
      </c>
      <c r="BB62" s="68">
        <f t="shared" ref="BB62" si="373">+AZ62+AV62+AR62</f>
        <v>222126</v>
      </c>
      <c r="BC62" s="821" t="s">
        <v>32</v>
      </c>
      <c r="BD62" s="464">
        <f t="shared" si="371"/>
        <v>427862</v>
      </c>
      <c r="BE62" s="819" t="s">
        <v>32</v>
      </c>
      <c r="BF62" s="38">
        <f t="shared" si="360"/>
        <v>855828</v>
      </c>
      <c r="BG62" s="1520"/>
      <c r="BH62" s="1520">
        <f t="shared" si="4"/>
        <v>0</v>
      </c>
      <c r="BI62" s="26"/>
      <c r="BJ62" s="26"/>
      <c r="BK62" s="26"/>
      <c r="BL62" s="26"/>
      <c r="BM62" s="26"/>
      <c r="BN62" s="26"/>
    </row>
    <row r="63" spans="1:71" ht="15" thickBot="1" x14ac:dyDescent="0.35">
      <c r="A63" s="144" t="s">
        <v>470</v>
      </c>
      <c r="B63" s="1710" t="s">
        <v>1305</v>
      </c>
      <c r="C63" s="822" t="s">
        <v>50</v>
      </c>
      <c r="D63" s="1118">
        <f>+D59+D61</f>
        <v>742117.67332594562</v>
      </c>
      <c r="E63" s="1118">
        <f>+E59+E61</f>
        <v>63394.458873945172</v>
      </c>
      <c r="F63" s="1118">
        <f>+F59+F61</f>
        <v>60704.088600000003</v>
      </c>
      <c r="G63" s="1118">
        <f>+G59+G61</f>
        <v>65406.981377879973</v>
      </c>
      <c r="H63" s="1118">
        <f>+H59+H61</f>
        <v>65731.936600000001</v>
      </c>
      <c r="I63" s="717">
        <f>+E63+G63</f>
        <v>128801.44025182514</v>
      </c>
      <c r="J63" s="43">
        <f t="shared" si="352"/>
        <v>126436.0252</v>
      </c>
      <c r="K63" s="1118">
        <f>+K59+K61</f>
        <v>63394.458873945172</v>
      </c>
      <c r="L63" s="1118">
        <f>+L59+L61</f>
        <v>70189.952000000005</v>
      </c>
      <c r="M63" s="71">
        <f>+K63+G63+E63</f>
        <v>192195.89912577032</v>
      </c>
      <c r="N63" s="71">
        <f>+N59+N61</f>
        <v>196625.97719999999</v>
      </c>
      <c r="O63" s="1118">
        <f>+O59+O61</f>
        <v>64149.154812920722</v>
      </c>
      <c r="P63" s="1118">
        <f>+P59+P61</f>
        <v>76850.428199999995</v>
      </c>
      <c r="Q63" s="717">
        <f>+M63+O63</f>
        <v>256345.05393869104</v>
      </c>
      <c r="R63" s="43">
        <f t="shared" si="353"/>
        <v>273476.40539999999</v>
      </c>
      <c r="S63" s="1118">
        <f>+S59+S61</f>
        <v>64149.154812920722</v>
      </c>
      <c r="T63" s="1118">
        <f>+T59+T61</f>
        <v>74235.686900000001</v>
      </c>
      <c r="U63" s="717">
        <f>+Q63+S63</f>
        <v>320494.20875161176</v>
      </c>
      <c r="V63" s="43">
        <f t="shared" si="354"/>
        <v>347712.09230000002</v>
      </c>
      <c r="W63" s="1118">
        <f>+W59+W61</f>
        <v>35219.143818858429</v>
      </c>
      <c r="X63" s="1118">
        <f>+X59+X61</f>
        <v>77166.318599999999</v>
      </c>
      <c r="Y63" s="67">
        <f>+W63+S63+O63</f>
        <v>163517.45344469987</v>
      </c>
      <c r="Z63" s="68">
        <f>+X63+T63+P63</f>
        <v>228252.43369999999</v>
      </c>
      <c r="AA63" s="635">
        <f>M63+Y63</f>
        <v>355713.35257047019</v>
      </c>
      <c r="AB63" s="472">
        <f t="shared" si="355"/>
        <v>424878.41090000002</v>
      </c>
      <c r="AC63" s="1118">
        <f>+AC59+AC61</f>
        <v>65406.981377879973</v>
      </c>
      <c r="AD63" s="1118">
        <f>+AD59+AD61</f>
        <v>62128.404000000002</v>
      </c>
      <c r="AE63" s="717">
        <f>+AA63+AC63</f>
        <v>421120.33394835016</v>
      </c>
      <c r="AF63" s="43">
        <f t="shared" si="356"/>
        <v>487006.8149</v>
      </c>
      <c r="AG63" s="1118">
        <f>+AG59+AG61</f>
        <v>63394.458873945172</v>
      </c>
      <c r="AH63" s="1118">
        <f>+AH59+AH61</f>
        <v>71385.768500000006</v>
      </c>
      <c r="AI63" s="717">
        <f>+AE63+AG63</f>
        <v>484514.79282229533</v>
      </c>
      <c r="AJ63" s="43">
        <f t="shared" si="357"/>
        <v>558392.5834</v>
      </c>
      <c r="AK63" s="1118">
        <f>+AK59+AK61</f>
        <v>65406.981377879973</v>
      </c>
      <c r="AL63" s="1118">
        <f>+AL59+AL61</f>
        <v>70657.984800000006</v>
      </c>
      <c r="AM63" s="67">
        <f>+AK63+AG63+AC63</f>
        <v>194208.42162970512</v>
      </c>
      <c r="AN63" s="68">
        <f>+AL63+AH63+AD63</f>
        <v>204172.15730000002</v>
      </c>
      <c r="AO63" s="584">
        <f t="shared" si="367"/>
        <v>549921.77420017531</v>
      </c>
      <c r="AP63" s="584">
        <f t="shared" si="367"/>
        <v>629050.56819999998</v>
      </c>
      <c r="AQ63" s="1118">
        <f>+AQ59+AQ61</f>
        <v>66413.242629847315</v>
      </c>
      <c r="AR63" s="1118">
        <f>+AR59+AR61</f>
        <v>75654.363800000006</v>
      </c>
      <c r="AS63" s="717">
        <f>+AO63+AQ63</f>
        <v>616335.01683002268</v>
      </c>
      <c r="AT63" s="43">
        <f t="shared" si="358"/>
        <v>704704.93200000003</v>
      </c>
      <c r="AU63" s="1118">
        <f>+AU59+AU61</f>
        <v>59369.413866075629</v>
      </c>
      <c r="AV63" s="1118">
        <f>+AV59+AV61</f>
        <v>64148.553</v>
      </c>
      <c r="AW63" s="717">
        <f>+AS63+AU63</f>
        <v>675704.43069609837</v>
      </c>
      <c r="AX63" s="43">
        <f t="shared" si="359"/>
        <v>768853.48499999999</v>
      </c>
      <c r="AY63" s="1118">
        <f>+AY59+AY61</f>
        <v>66413.242629847315</v>
      </c>
      <c r="AZ63" s="1118">
        <f>+AZ59+AZ61</f>
        <v>81116.38</v>
      </c>
      <c r="BA63" s="67">
        <f>+AY63+AU63+AQ63</f>
        <v>192195.89912577026</v>
      </c>
      <c r="BB63" s="68">
        <f>+AZ63+AV63+AR63</f>
        <v>220919.29680000001</v>
      </c>
      <c r="BC63" s="464">
        <f t="shared" ref="BC63" si="374">AM63+BA63</f>
        <v>386404.32075547538</v>
      </c>
      <c r="BD63" s="464">
        <f t="shared" si="371"/>
        <v>425091.45410000003</v>
      </c>
      <c r="BE63" s="717">
        <f>+AW63+AY63</f>
        <v>742117.67332594562</v>
      </c>
      <c r="BF63" s="43">
        <f t="shared" si="360"/>
        <v>849969.86499999999</v>
      </c>
      <c r="BG63" s="1520">
        <f t="shared" si="3"/>
        <v>0</v>
      </c>
      <c r="BH63" s="1520">
        <f t="shared" si="4"/>
        <v>0</v>
      </c>
      <c r="BI63" s="26"/>
      <c r="BJ63" s="26"/>
      <c r="BK63" s="26"/>
      <c r="BL63" s="26"/>
      <c r="BM63" s="26"/>
      <c r="BN63" s="26"/>
    </row>
    <row r="64" spans="1:71" ht="15.6" x14ac:dyDescent="0.3">
      <c r="A64" s="144"/>
      <c r="B64" s="1709" t="s">
        <v>246</v>
      </c>
      <c r="C64" s="59" t="s">
        <v>50</v>
      </c>
      <c r="D64" s="3821" t="s">
        <v>32</v>
      </c>
      <c r="E64" s="1650" t="s">
        <v>32</v>
      </c>
      <c r="F64" s="1118">
        <f>+RMHP!E29</f>
        <v>10598</v>
      </c>
      <c r="G64" s="1650" t="s">
        <v>32</v>
      </c>
      <c r="H64" s="1118">
        <f>+RMHP!G29</f>
        <v>12006</v>
      </c>
      <c r="I64" s="3822" t="s">
        <v>32</v>
      </c>
      <c r="J64" s="61">
        <f t="shared" si="352"/>
        <v>22604</v>
      </c>
      <c r="K64" s="1650" t="s">
        <v>32</v>
      </c>
      <c r="L64" s="1118">
        <f>+RMHP!K29</f>
        <v>12596</v>
      </c>
      <c r="M64" s="3823" t="s">
        <v>32</v>
      </c>
      <c r="N64" s="3823">
        <f>F64+H64+L64</f>
        <v>35200</v>
      </c>
      <c r="O64" s="1650" t="s">
        <v>32</v>
      </c>
      <c r="P64" s="1118">
        <f>+RMHP!O29</f>
        <v>13988</v>
      </c>
      <c r="Q64" s="2217" t="s">
        <v>32</v>
      </c>
      <c r="R64" s="98">
        <f t="shared" si="353"/>
        <v>49188</v>
      </c>
      <c r="S64" s="1650" t="s">
        <v>32</v>
      </c>
      <c r="T64" s="1118">
        <f>+RMHP!S29</f>
        <v>13411</v>
      </c>
      <c r="U64" s="2217" t="s">
        <v>32</v>
      </c>
      <c r="V64" s="98">
        <f t="shared" si="354"/>
        <v>62599</v>
      </c>
      <c r="W64" s="1650" t="s">
        <v>32</v>
      </c>
      <c r="X64" s="1118">
        <f>+RMHP!W29</f>
        <v>13601</v>
      </c>
      <c r="Y64" s="2218" t="s">
        <v>32</v>
      </c>
      <c r="Z64" s="1978">
        <f>P64+T64+X64</f>
        <v>41000</v>
      </c>
      <c r="AA64" s="2219" t="s">
        <v>32</v>
      </c>
      <c r="AB64" s="486">
        <f t="shared" si="355"/>
        <v>76200</v>
      </c>
      <c r="AC64" s="1650" t="s">
        <v>32</v>
      </c>
      <c r="AD64" s="1118">
        <f>+RMHP!AC29</f>
        <v>12900</v>
      </c>
      <c r="AE64" s="2217" t="s">
        <v>32</v>
      </c>
      <c r="AF64" s="98">
        <f t="shared" si="356"/>
        <v>89100</v>
      </c>
      <c r="AG64" s="1650" t="s">
        <v>32</v>
      </c>
      <c r="AH64" s="1118">
        <f>+RMHP!AG29</f>
        <v>12150</v>
      </c>
      <c r="AI64" s="2217" t="s">
        <v>32</v>
      </c>
      <c r="AJ64" s="98">
        <f t="shared" si="357"/>
        <v>101250</v>
      </c>
      <c r="AK64" s="1650" t="s">
        <v>32</v>
      </c>
      <c r="AL64" s="1118">
        <f>+RMHP!AK29</f>
        <v>11448</v>
      </c>
      <c r="AM64" s="2218" t="s">
        <v>32</v>
      </c>
      <c r="AN64" s="1978">
        <f>AD64+AH64+AL64</f>
        <v>36498</v>
      </c>
      <c r="AO64" s="2217" t="s">
        <v>32</v>
      </c>
      <c r="AP64" s="2210">
        <f>+AL64+AJ64</f>
        <v>112698</v>
      </c>
      <c r="AQ64" s="1650" t="s">
        <v>32</v>
      </c>
      <c r="AR64" s="1118">
        <f>+RMHP!AQ29</f>
        <v>10123</v>
      </c>
      <c r="AS64" s="2217" t="s">
        <v>32</v>
      </c>
      <c r="AT64" s="98">
        <f t="shared" si="358"/>
        <v>122821</v>
      </c>
      <c r="AU64" s="1650" t="s">
        <v>32</v>
      </c>
      <c r="AV64" s="1118">
        <f>+RMHP!AU29</f>
        <v>12986</v>
      </c>
      <c r="AW64" s="2217" t="s">
        <v>32</v>
      </c>
      <c r="AX64" s="98">
        <f t="shared" si="359"/>
        <v>135807</v>
      </c>
      <c r="AY64" s="1650" t="s">
        <v>32</v>
      </c>
      <c r="AZ64" s="1118">
        <f>+RMHP!AY29</f>
        <v>12288</v>
      </c>
      <c r="BA64" s="2218" t="s">
        <v>32</v>
      </c>
      <c r="BB64" s="1978">
        <f>AR64+AV64+AZ64</f>
        <v>35397</v>
      </c>
      <c r="BC64" s="2219" t="s">
        <v>32</v>
      </c>
      <c r="BD64" s="463">
        <f>+AN64+BB64</f>
        <v>71895</v>
      </c>
      <c r="BE64" s="2217" t="s">
        <v>32</v>
      </c>
      <c r="BF64" s="98">
        <f t="shared" si="360"/>
        <v>148095</v>
      </c>
      <c r="BG64" s="1520"/>
      <c r="BH64" s="1520">
        <f t="shared" si="4"/>
        <v>0</v>
      </c>
      <c r="BI64" s="26"/>
      <c r="BJ64" s="26"/>
      <c r="BK64" s="26"/>
      <c r="BL64" s="26"/>
      <c r="BM64" s="26"/>
      <c r="BN64" s="26"/>
    </row>
    <row r="65" spans="1:66" ht="15" thickBot="1" x14ac:dyDescent="0.35">
      <c r="A65" s="144" t="s">
        <v>470</v>
      </c>
      <c r="B65" s="1700" t="s">
        <v>247</v>
      </c>
      <c r="C65" s="742" t="s">
        <v>50</v>
      </c>
      <c r="D65" s="1118">
        <f>+((D23+D24)/((100-D72)/100))-(D23+D24)</f>
        <v>126257.5555555555</v>
      </c>
      <c r="E65" s="1118">
        <f>+((E23+E24)/((100-E72)/100))-(E23+E24)</f>
        <v>10780</v>
      </c>
      <c r="F65" s="1118">
        <f>+F64-((F55/100)*F64)</f>
        <v>10099.894</v>
      </c>
      <c r="G65" s="1118">
        <f>+((G23+G24)/((100-G72)/100))-(G23+G24)</f>
        <v>11122.222222222219</v>
      </c>
      <c r="H65" s="1118">
        <f>+H64-((H55/100)*H64)</f>
        <v>11375.684999999999</v>
      </c>
      <c r="I65" s="717">
        <f>+E65+G65</f>
        <v>21902.222222222219</v>
      </c>
      <c r="J65" s="43">
        <f t="shared" si="352"/>
        <v>21475.578999999998</v>
      </c>
      <c r="K65" s="1118">
        <f>+((K23+K24)/((100-K72)/100))-(K23+K24)</f>
        <v>10780</v>
      </c>
      <c r="L65" s="1118">
        <f>+L64-((L55/100)*L64)</f>
        <v>11847.7976</v>
      </c>
      <c r="M65" s="71">
        <f>+K65+G65+E65</f>
        <v>32682.222222222219</v>
      </c>
      <c r="N65" s="71">
        <f>+N64-((N55/100)*N64)</f>
        <v>33323.376600000003</v>
      </c>
      <c r="O65" s="1118">
        <f>+((O23+O24)/((100-O72)/100))-(O23+O24)</f>
        <v>10908.333333333328</v>
      </c>
      <c r="P65" s="1118">
        <f>+P64-((P55/100)*P64)</f>
        <v>13053.6016</v>
      </c>
      <c r="Q65" s="717">
        <f>+M65+O65</f>
        <v>43590.555555555547</v>
      </c>
      <c r="R65" s="43">
        <f t="shared" si="353"/>
        <v>46376.978200000005</v>
      </c>
      <c r="S65" s="1118">
        <f>+((S23+S24)/((100-S72)/100))-(S23+S24)</f>
        <v>10908.333333333328</v>
      </c>
      <c r="T65" s="1118">
        <f>+T64-((T55/100)*T64)</f>
        <v>12613.0455</v>
      </c>
      <c r="U65" s="717">
        <f>+Q65+S65</f>
        <v>54498.888888888876</v>
      </c>
      <c r="V65" s="43">
        <f t="shared" si="354"/>
        <v>58990.023700000005</v>
      </c>
      <c r="W65" s="1118">
        <f>+((W23+W24)/((100-W72)/100))-(W23+W24)</f>
        <v>6393.3333333333285</v>
      </c>
      <c r="X65" s="1118">
        <f>+X64-((X55/100)*X64)</f>
        <v>12861.105600000001</v>
      </c>
      <c r="Y65" s="67">
        <f>+W65+S65+O65</f>
        <v>28209.999999999985</v>
      </c>
      <c r="Z65" s="68">
        <f t="shared" si="361"/>
        <v>38527.752700000005</v>
      </c>
      <c r="AA65" s="635">
        <f>M65+Y65</f>
        <v>60892.222222222204</v>
      </c>
      <c r="AB65" s="472">
        <f t="shared" si="355"/>
        <v>71851.129300000001</v>
      </c>
      <c r="AC65" s="1118">
        <f>+((AC23+AC24)/((100-AC72)/100))-(AC23+AC24)</f>
        <v>11064.444444444438</v>
      </c>
      <c r="AD65" s="1118">
        <f>+AD64-((AD55/100)*AD64)</f>
        <v>12145.35</v>
      </c>
      <c r="AE65" s="717">
        <f>+AA65+AC65</f>
        <v>71956.666666666642</v>
      </c>
      <c r="AF65" s="43">
        <f t="shared" si="356"/>
        <v>83996.479300000006</v>
      </c>
      <c r="AG65" s="1118">
        <f>+((AG23+AG24)/((100-AG72)/100))-(AG23+AG24)</f>
        <v>10724</v>
      </c>
      <c r="AH65" s="1118">
        <f>+AH64-((AH55/100)*AH64)</f>
        <v>11554.65</v>
      </c>
      <c r="AI65" s="717">
        <f>+AE65+AG65</f>
        <v>82680.666666666642</v>
      </c>
      <c r="AJ65" s="43">
        <f t="shared" si="357"/>
        <v>95551.129300000001</v>
      </c>
      <c r="AK65" s="1118">
        <f>+((AK23+AK24)/((100-AK72)/100))-(AK23+AK24)</f>
        <v>11064.444444444438</v>
      </c>
      <c r="AL65" s="1118">
        <f>+AL64-((AL55/100)*AL64)</f>
        <v>10852.704</v>
      </c>
      <c r="AM65" s="67">
        <f>+AK65+AG65+AC65</f>
        <v>32852.888888888876</v>
      </c>
      <c r="AN65" s="68">
        <f t="shared" ref="AN65:AN67" si="375">+AL65+AH65+AD65</f>
        <v>34552.703999999998</v>
      </c>
      <c r="AO65" s="584">
        <f t="shared" si="367"/>
        <v>93745.11111111108</v>
      </c>
      <c r="AP65" s="584">
        <f t="shared" si="367"/>
        <v>106403.8333</v>
      </c>
      <c r="AQ65" s="1118">
        <f>+((AQ23+AQ24)/((100-AQ72)/100))-(AQ23+AQ24)</f>
        <v>11234.666666666657</v>
      </c>
      <c r="AR65" s="1118">
        <f>+AR64-((AR55/100)*AR64)</f>
        <v>9568.2595999999994</v>
      </c>
      <c r="AS65" s="717">
        <f>+AO65+AQ65</f>
        <v>104979.77777777774</v>
      </c>
      <c r="AT65" s="43">
        <f t="shared" si="358"/>
        <v>115972.0929</v>
      </c>
      <c r="AU65" s="1118">
        <f>+((AU23+AU24)/((100-AU72)/100))-(AU23+AU24)</f>
        <v>10043.111111111109</v>
      </c>
      <c r="AV65" s="1118">
        <f>+AV64-((AV55/100)*AV64)</f>
        <v>12336.7</v>
      </c>
      <c r="AW65" s="717">
        <f>+AS65+AU65</f>
        <v>115022.88888888885</v>
      </c>
      <c r="AX65" s="43">
        <f t="shared" si="359"/>
        <v>128308.7929</v>
      </c>
      <c r="AY65" s="1118">
        <f>+((AY23+AY24)/((100-AY72)/100))-(AY23+AY24)</f>
        <v>11234.666666666657</v>
      </c>
      <c r="AZ65" s="1118">
        <f>+AZ64-((AZ55/100)*AZ64)</f>
        <v>11656.3968</v>
      </c>
      <c r="BA65" s="67">
        <f>+AY65+AU65+AQ65</f>
        <v>32512.444444444423</v>
      </c>
      <c r="BB65" s="68">
        <f t="shared" ref="BB65:BB67" si="376">+AZ65+AV65+AR65</f>
        <v>33561.356399999997</v>
      </c>
      <c r="BC65" s="464">
        <f t="shared" ref="BC65" si="377">AM65+BA65</f>
        <v>65365.333333333299</v>
      </c>
      <c r="BD65" s="464">
        <f t="shared" ref="BD65" si="378">AN65+BB65</f>
        <v>68114.060399999988</v>
      </c>
      <c r="BE65" s="717">
        <f>+AW65+AY65</f>
        <v>126257.5555555555</v>
      </c>
      <c r="BF65" s="43">
        <f t="shared" si="360"/>
        <v>139965.18969999999</v>
      </c>
      <c r="BG65" s="1520">
        <f t="shared" si="3"/>
        <v>0</v>
      </c>
      <c r="BH65" s="1520">
        <f t="shared" si="4"/>
        <v>0</v>
      </c>
      <c r="BI65" s="26"/>
      <c r="BJ65" s="26"/>
      <c r="BK65" s="26"/>
      <c r="BL65" s="26"/>
      <c r="BM65" s="26"/>
      <c r="BN65" s="26"/>
    </row>
    <row r="66" spans="1:66" ht="16.2" thickBot="1" x14ac:dyDescent="0.35">
      <c r="A66" s="144"/>
      <c r="B66" s="1701" t="s">
        <v>1302</v>
      </c>
      <c r="C66" s="742" t="s">
        <v>50</v>
      </c>
      <c r="D66" s="1118"/>
      <c r="E66" s="1118"/>
      <c r="F66" s="1118">
        <f>+RMHP!E31</f>
        <v>621</v>
      </c>
      <c r="G66" s="1118"/>
      <c r="H66" s="1118">
        <f>+RMHP!G31</f>
        <v>1293</v>
      </c>
      <c r="I66" s="2049"/>
      <c r="J66" s="43">
        <f t="shared" si="352"/>
        <v>1914</v>
      </c>
      <c r="K66" s="1118"/>
      <c r="L66" s="1118">
        <f>+RMHP!K31</f>
        <v>901</v>
      </c>
      <c r="M66" s="1107"/>
      <c r="N66" s="1107">
        <f>F66+H66+L66</f>
        <v>2815</v>
      </c>
      <c r="O66" s="1118"/>
      <c r="P66" s="1118">
        <f>+RMHP!O31</f>
        <v>855</v>
      </c>
      <c r="Q66" s="2186"/>
      <c r="R66" s="1907">
        <f t="shared" si="353"/>
        <v>3670</v>
      </c>
      <c r="S66" s="1118"/>
      <c r="T66" s="1118">
        <f>+RMHP!S31</f>
        <v>912</v>
      </c>
      <c r="U66" s="2186"/>
      <c r="V66" s="1907">
        <f t="shared" si="354"/>
        <v>4582</v>
      </c>
      <c r="W66" s="1118"/>
      <c r="X66" s="1118">
        <f>+RMHP!W31</f>
        <v>798</v>
      </c>
      <c r="Y66" s="2214"/>
      <c r="Z66" s="2213">
        <f>P66+T66+X66</f>
        <v>2565</v>
      </c>
      <c r="AA66" s="2188"/>
      <c r="AB66" s="2215">
        <f t="shared" si="355"/>
        <v>5380</v>
      </c>
      <c r="AC66" s="1118"/>
      <c r="AD66" s="1118">
        <f>+RMHP!AC31</f>
        <v>998</v>
      </c>
      <c r="AE66" s="2186"/>
      <c r="AF66" s="1907">
        <f t="shared" si="356"/>
        <v>6378</v>
      </c>
      <c r="AG66" s="1118"/>
      <c r="AH66" s="1118">
        <f>+RMHP!AG31</f>
        <v>1097</v>
      </c>
      <c r="AI66" s="2186"/>
      <c r="AJ66" s="1907">
        <f t="shared" si="357"/>
        <v>7475</v>
      </c>
      <c r="AK66" s="1118"/>
      <c r="AL66" s="1118">
        <f>+RMHP!AK31</f>
        <v>1269</v>
      </c>
      <c r="AM66" s="2214"/>
      <c r="AN66" s="2213">
        <f>AD66+AH66+AL66</f>
        <v>3364</v>
      </c>
      <c r="AO66" s="2186"/>
      <c r="AP66" s="2210">
        <f>+AL66+AJ66</f>
        <v>8744</v>
      </c>
      <c r="AQ66" s="1118"/>
      <c r="AR66" s="1118">
        <f>+RMHP!AQ31</f>
        <v>988</v>
      </c>
      <c r="AS66" s="2186"/>
      <c r="AT66" s="1907">
        <f t="shared" si="358"/>
        <v>9732</v>
      </c>
      <c r="AU66" s="1118"/>
      <c r="AV66" s="1118">
        <f>+RMHP!AU31</f>
        <v>655</v>
      </c>
      <c r="AW66" s="2186"/>
      <c r="AX66" s="1907">
        <f t="shared" si="359"/>
        <v>10387</v>
      </c>
      <c r="AY66" s="1118"/>
      <c r="AZ66" s="1118">
        <f>+RMHP!AY31</f>
        <v>925</v>
      </c>
      <c r="BA66" s="2214"/>
      <c r="BB66" s="2213">
        <f>AR66+AV66+AZ66</f>
        <v>2568</v>
      </c>
      <c r="BC66" s="2188"/>
      <c r="BD66" s="463">
        <f>+AN66+BB66</f>
        <v>5932</v>
      </c>
      <c r="BE66" s="2186"/>
      <c r="BF66" s="1907">
        <f t="shared" si="360"/>
        <v>11312</v>
      </c>
      <c r="BG66" s="1520">
        <f t="shared" si="3"/>
        <v>0</v>
      </c>
      <c r="BH66" s="1520">
        <f t="shared" si="4"/>
        <v>0</v>
      </c>
      <c r="BI66" s="26"/>
      <c r="BJ66" s="26"/>
      <c r="BK66" s="26"/>
      <c r="BL66" s="26"/>
      <c r="BM66" s="26"/>
      <c r="BN66" s="26"/>
    </row>
    <row r="67" spans="1:66" ht="15" thickBot="1" x14ac:dyDescent="0.35">
      <c r="A67" s="144"/>
      <c r="B67" s="1700" t="s">
        <v>1303</v>
      </c>
      <c r="C67" s="742" t="s">
        <v>50</v>
      </c>
      <c r="D67" s="1118">
        <f>D30/((100-D73)/100)-D30</f>
        <v>12503.166988353478</v>
      </c>
      <c r="E67" s="1118">
        <f>E30/((100-E73)/100)-E30</f>
        <v>1068.0671461237507</v>
      </c>
      <c r="F67" s="1118">
        <f>+F66-((F56/100)*F66)</f>
        <v>614.66579999999999</v>
      </c>
      <c r="G67" s="1118">
        <f>G30/((100-G73)/100)-G30</f>
        <v>1101.9740396514972</v>
      </c>
      <c r="H67" s="1118">
        <f>+H66-((H56/100)*H66)</f>
        <v>1273.9929</v>
      </c>
      <c r="I67" s="43">
        <f t="shared" si="352"/>
        <v>2170.0411857752479</v>
      </c>
      <c r="J67" s="43">
        <f t="shared" si="352"/>
        <v>1888.6587</v>
      </c>
      <c r="K67" s="1118">
        <f>K30/((100-K73)/100)-K30</f>
        <v>1068.0671461237507</v>
      </c>
      <c r="L67" s="1118">
        <f>+L66-((L56/100)*L66)</f>
        <v>881.08789999999999</v>
      </c>
      <c r="M67" s="1107">
        <f>E67+G67+K67</f>
        <v>3238.1083318989986</v>
      </c>
      <c r="N67" s="1107">
        <f>+N66-((N56/100)*N66)</f>
        <v>2769.7465999999999</v>
      </c>
      <c r="O67" s="1118">
        <f>O30/((100-O73)/100)-O30</f>
        <v>1080.7822311966593</v>
      </c>
      <c r="P67" s="1118">
        <f>+P66-((P56/100)*P66)</f>
        <v>831.40200000000004</v>
      </c>
      <c r="Q67" s="2049">
        <f>M67+O67</f>
        <v>4318.8905630956579</v>
      </c>
      <c r="R67" s="43">
        <f t="shared" si="353"/>
        <v>3601.1486</v>
      </c>
      <c r="S67" s="1118">
        <f>S30/((100-S73)/100)-S30</f>
        <v>1080.7822311966593</v>
      </c>
      <c r="T67" s="1118">
        <f>+T66-((T56/100)*T66)</f>
        <v>890.56799999999998</v>
      </c>
      <c r="U67" s="2049">
        <f>Q67+S67</f>
        <v>5399.6727942923171</v>
      </c>
      <c r="V67" s="43">
        <f t="shared" si="354"/>
        <v>4491.7165999999997</v>
      </c>
      <c r="W67" s="1118">
        <f>W30/((100-W73)/100)-W30</f>
        <v>593.37063673541707</v>
      </c>
      <c r="X67" s="1118">
        <f>+X66-((X56/100)*X66)</f>
        <v>783.31680000000006</v>
      </c>
      <c r="Y67" s="67">
        <f>+W67+S67+O67</f>
        <v>2754.9350991287356</v>
      </c>
      <c r="Z67" s="1107">
        <f>+Z66-((Z56/100)*Z66)</f>
        <v>2505.5261895357253</v>
      </c>
      <c r="AA67" s="635">
        <f>M67+Y67</f>
        <v>5993.0434310277342</v>
      </c>
      <c r="AB67" s="453">
        <f t="shared" si="355"/>
        <v>5275.2727895357257</v>
      </c>
      <c r="AC67" s="1118">
        <f>AC30/((100-AC73)/100)-AC30</f>
        <v>1101.9740396514972</v>
      </c>
      <c r="AD67" s="1118">
        <f>+AD66-((AD56/100)*AD66)</f>
        <v>982.63080000000002</v>
      </c>
      <c r="AE67" s="2049">
        <f>AA67+AC67</f>
        <v>7095.0174706792313</v>
      </c>
      <c r="AF67" s="43">
        <f t="shared" si="356"/>
        <v>6257.9035895357256</v>
      </c>
      <c r="AG67" s="1118">
        <f>AG30/((100-AG73)/100)-AG30</f>
        <v>1068.0671461237507</v>
      </c>
      <c r="AH67" s="1118">
        <f>+AH66-((AH56/100)*AH66)</f>
        <v>1072.2077999999999</v>
      </c>
      <c r="AI67" s="2049">
        <f>AE67+AG67</f>
        <v>8163.0846168029821</v>
      </c>
      <c r="AJ67" s="43">
        <f t="shared" si="357"/>
        <v>7330.1113895357257</v>
      </c>
      <c r="AK67" s="1118">
        <f>AK30/((100-AK73)/100)-AK30</f>
        <v>1101.9740396514972</v>
      </c>
      <c r="AL67" s="1118">
        <f>+AL66-((AL56/100)*AL66)</f>
        <v>1247.4269999999999</v>
      </c>
      <c r="AM67" s="67">
        <f>+AK67+AG67+AC67</f>
        <v>3272.015225426745</v>
      </c>
      <c r="AN67" s="68">
        <f t="shared" si="375"/>
        <v>3302.2655999999997</v>
      </c>
      <c r="AO67" s="584">
        <f t="shared" si="367"/>
        <v>9265.0586564544792</v>
      </c>
      <c r="AP67" s="584">
        <f t="shared" si="367"/>
        <v>8577.5383895357263</v>
      </c>
      <c r="AQ67" s="1118">
        <f>AQ30/((100-AQ73)/100)-AQ30</f>
        <v>1118.9274864153704</v>
      </c>
      <c r="AR67" s="1118">
        <f>+AR66-((AR56/100)*AR66)</f>
        <v>974.06920000000002</v>
      </c>
      <c r="AS67" s="2049">
        <f>AO67+AQ67</f>
        <v>10383.98614286985</v>
      </c>
      <c r="AT67" s="43">
        <f t="shared" si="358"/>
        <v>9551.6075895357262</v>
      </c>
      <c r="AU67" s="1118">
        <f>AU30/((100-AU73)/100)-AU30</f>
        <v>1000.253359068287</v>
      </c>
      <c r="AV67" s="1118">
        <f>+AV66-((AV56/100)*AV66)</f>
        <v>646.94349999999997</v>
      </c>
      <c r="AW67" s="2049">
        <f>AS67+AU67</f>
        <v>11384.239501938137</v>
      </c>
      <c r="AX67" s="43">
        <f t="shared" si="359"/>
        <v>10198.551089535726</v>
      </c>
      <c r="AY67" s="1118">
        <f>AY30/((100-AY73)/100)-AY30</f>
        <v>1118.9274864153704</v>
      </c>
      <c r="AZ67" s="1118">
        <f>+AZ66-((AZ56/100)*AZ66)</f>
        <v>914.82500000000005</v>
      </c>
      <c r="BA67" s="67">
        <f>+AY67+AU67+AQ67</f>
        <v>3238.1083318990277</v>
      </c>
      <c r="BB67" s="68">
        <f t="shared" si="376"/>
        <v>2535.8377</v>
      </c>
      <c r="BC67" s="464">
        <f t="shared" ref="BC67" si="379">AM67+BA67</f>
        <v>6510.1235573257727</v>
      </c>
      <c r="BD67" s="464">
        <f t="shared" ref="BD67" si="380">AN67+BB67</f>
        <v>5838.1032999999998</v>
      </c>
      <c r="BE67" s="2049">
        <f>AW67+AY67</f>
        <v>12503.166988353507</v>
      </c>
      <c r="BF67" s="43">
        <f t="shared" si="360"/>
        <v>11113.376089535726</v>
      </c>
      <c r="BG67" s="1520">
        <f t="shared" si="3"/>
        <v>0</v>
      </c>
      <c r="BH67" s="1520">
        <f t="shared" si="4"/>
        <v>-0.23938953572542232</v>
      </c>
      <c r="BI67" s="26"/>
      <c r="BJ67" s="26"/>
      <c r="BK67" s="26"/>
      <c r="BL67" s="26"/>
      <c r="BM67" s="26"/>
      <c r="BN67" s="26"/>
    </row>
    <row r="68" spans="1:66" ht="15.6" x14ac:dyDescent="0.3">
      <c r="A68" s="144"/>
      <c r="B68" s="1701" t="s">
        <v>597</v>
      </c>
      <c r="C68" s="751" t="s">
        <v>50</v>
      </c>
      <c r="D68" s="1648" t="s">
        <v>32</v>
      </c>
      <c r="E68" s="1650" t="s">
        <v>32</v>
      </c>
      <c r="F68" s="1118">
        <f>+RMHP!E30</f>
        <v>3716</v>
      </c>
      <c r="G68" s="1650" t="s">
        <v>32</v>
      </c>
      <c r="H68" s="1118">
        <f>+RMHP!G30</f>
        <v>6799</v>
      </c>
      <c r="I68" s="3824" t="s">
        <v>32</v>
      </c>
      <c r="J68" s="42">
        <f t="shared" si="352"/>
        <v>10515</v>
      </c>
      <c r="K68" s="1650" t="s">
        <v>32</v>
      </c>
      <c r="L68" s="1118">
        <f>+RMHP!K30</f>
        <v>8611</v>
      </c>
      <c r="M68" s="3825" t="s">
        <v>32</v>
      </c>
      <c r="N68" s="3825">
        <f>F68+H68+L68</f>
        <v>19126</v>
      </c>
      <c r="O68" s="1650" t="s">
        <v>32</v>
      </c>
      <c r="P68" s="1118">
        <f>+RMHP!O30</f>
        <v>7621</v>
      </c>
      <c r="Q68" s="2209" t="s">
        <v>32</v>
      </c>
      <c r="R68" s="2210">
        <f t="shared" si="353"/>
        <v>26747</v>
      </c>
      <c r="S68" s="1650" t="s">
        <v>32</v>
      </c>
      <c r="T68" s="1118">
        <f>+RMHP!S30</f>
        <v>7950</v>
      </c>
      <c r="U68" s="2209" t="s">
        <v>32</v>
      </c>
      <c r="V68" s="2210">
        <f t="shared" si="354"/>
        <v>34697</v>
      </c>
      <c r="W68" s="1650" t="s">
        <v>32</v>
      </c>
      <c r="X68" s="1118">
        <f>+RMHP!W30</f>
        <v>5111</v>
      </c>
      <c r="Y68" s="778"/>
      <c r="Z68" s="1978">
        <f>P68+T68+X68</f>
        <v>20682</v>
      </c>
      <c r="AA68" s="2212" t="s">
        <v>32</v>
      </c>
      <c r="AB68" s="486">
        <f t="shared" si="355"/>
        <v>39808</v>
      </c>
      <c r="AC68" s="1650" t="s">
        <v>32</v>
      </c>
      <c r="AD68" s="1118">
        <f>+RMHP!AC30</f>
        <v>6124</v>
      </c>
      <c r="AE68" s="2209" t="s">
        <v>32</v>
      </c>
      <c r="AF68" s="2210">
        <f t="shared" si="356"/>
        <v>45932</v>
      </c>
      <c r="AG68" s="1650" t="s">
        <v>32</v>
      </c>
      <c r="AH68" s="1118">
        <f>+RMHP!AG30</f>
        <v>10121</v>
      </c>
      <c r="AI68" s="2209" t="s">
        <v>32</v>
      </c>
      <c r="AJ68" s="2210">
        <f t="shared" si="357"/>
        <v>56053</v>
      </c>
      <c r="AK68" s="1650" t="s">
        <v>32</v>
      </c>
      <c r="AL68" s="1118">
        <f>+RMHP!AK30</f>
        <v>13032</v>
      </c>
      <c r="AM68" s="778"/>
      <c r="AN68" s="1978">
        <f>AD68+AH68+AL68</f>
        <v>29277</v>
      </c>
      <c r="AO68" s="2209" t="s">
        <v>32</v>
      </c>
      <c r="AP68" s="2210">
        <f>+AL68+AJ68</f>
        <v>69085</v>
      </c>
      <c r="AQ68" s="1650" t="s">
        <v>32</v>
      </c>
      <c r="AR68" s="1118">
        <f>+RMHP!AQ30</f>
        <v>14778</v>
      </c>
      <c r="AS68" s="2209" t="s">
        <v>32</v>
      </c>
      <c r="AT68" s="2210">
        <f t="shared" si="358"/>
        <v>83863</v>
      </c>
      <c r="AU68" s="1650" t="s">
        <v>32</v>
      </c>
      <c r="AV68" s="1118">
        <f>+RMHP!AU30</f>
        <v>9877</v>
      </c>
      <c r="AW68" s="2209" t="s">
        <v>32</v>
      </c>
      <c r="AX68" s="2210">
        <f t="shared" si="359"/>
        <v>93740</v>
      </c>
      <c r="AY68" s="1650" t="s">
        <v>32</v>
      </c>
      <c r="AZ68" s="1118">
        <f>+RMHP!AY30</f>
        <v>9345</v>
      </c>
      <c r="BA68" s="778"/>
      <c r="BB68" s="1978">
        <f>AR68+AV68+AZ68</f>
        <v>34000</v>
      </c>
      <c r="BC68" s="2212" t="s">
        <v>32</v>
      </c>
      <c r="BD68" s="463">
        <f>+AN68+BB68</f>
        <v>63277</v>
      </c>
      <c r="BE68" s="2209" t="s">
        <v>32</v>
      </c>
      <c r="BF68" s="2210">
        <f t="shared" si="360"/>
        <v>103085</v>
      </c>
      <c r="BG68" s="1520"/>
      <c r="BH68" s="1520">
        <f t="shared" si="4"/>
        <v>0</v>
      </c>
      <c r="BI68" s="26"/>
      <c r="BJ68" s="26"/>
      <c r="BK68" s="26"/>
      <c r="BL68" s="26"/>
      <c r="BM68" s="26"/>
      <c r="BN68" s="26"/>
    </row>
    <row r="69" spans="1:66" ht="15" thickBot="1" x14ac:dyDescent="0.35">
      <c r="A69" s="144" t="s">
        <v>470</v>
      </c>
      <c r="B69" s="1700" t="s">
        <v>598</v>
      </c>
      <c r="C69" s="742" t="s">
        <v>50</v>
      </c>
      <c r="D69" s="229">
        <f>+(D28/((100-D74)/100))-D28</f>
        <v>110797.96075146459</v>
      </c>
      <c r="E69" s="229">
        <f>+(E28/((100-E74)/100))-E28</f>
        <v>9464.774952328502</v>
      </c>
      <c r="F69" s="229">
        <f>+F68-((F57/100)*F68)</f>
        <v>3464.0551999999998</v>
      </c>
      <c r="G69" s="229">
        <f>+(G28/((100-G74)/100))-G28</f>
        <v>9765.243998434169</v>
      </c>
      <c r="H69" s="229">
        <f>+H68-((H57/100)*H68)</f>
        <v>6286.3554000000004</v>
      </c>
      <c r="I69" s="717">
        <f>+E69+G69</f>
        <v>19230.018950762671</v>
      </c>
      <c r="J69" s="43">
        <f t="shared" si="352"/>
        <v>9750.4105999999992</v>
      </c>
      <c r="K69" s="229">
        <f>+(K28/((100-K74)/100))-K28</f>
        <v>9464.774952328502</v>
      </c>
      <c r="L69" s="229">
        <f>+L68-((L57/100)*L68)</f>
        <v>7843.7599</v>
      </c>
      <c r="M69" s="1516">
        <f>+K69+G69+E69</f>
        <v>28694.793903091173</v>
      </c>
      <c r="N69" s="1516">
        <f>+N68-((N57/100)*N68)</f>
        <v>17594.1705</v>
      </c>
      <c r="O69" s="229">
        <f>+(O28/((100-O74)/100))-O28</f>
        <v>9577.450844618128</v>
      </c>
      <c r="P69" s="229">
        <f>+P68-((P57/100)*P68)</f>
        <v>6780.4036999999998</v>
      </c>
      <c r="Q69" s="717">
        <f>+M69+O69</f>
        <v>38272.244747709301</v>
      </c>
      <c r="R69" s="43">
        <f t="shared" si="353"/>
        <v>24374.574199999999</v>
      </c>
      <c r="S69" s="229">
        <f>+(S28/((100-S74)/100))-S28</f>
        <v>9577.450844618128</v>
      </c>
      <c r="T69" s="229">
        <f>+T68-((T57/100)*T68)</f>
        <v>7117.6350000000002</v>
      </c>
      <c r="U69" s="717">
        <f>+Q69+S69</f>
        <v>47849.695592327429</v>
      </c>
      <c r="V69" s="43">
        <f t="shared" si="354"/>
        <v>31492.209199999998</v>
      </c>
      <c r="W69" s="229">
        <f>+(W28/((100-W74)/100))-W28</f>
        <v>5258.2083068491702</v>
      </c>
      <c r="X69" s="229">
        <f>+X68-((X57/100)*X68)</f>
        <v>4564.1229999999996</v>
      </c>
      <c r="Y69" s="2057">
        <f>+W69+S69+O69</f>
        <v>24413.109996085426</v>
      </c>
      <c r="Z69" s="73">
        <f>+X69+T69+P69</f>
        <v>18462.161700000001</v>
      </c>
      <c r="AA69" s="635">
        <f>M69+Y69</f>
        <v>53107.903899176599</v>
      </c>
      <c r="AB69" s="1642">
        <f t="shared" si="355"/>
        <v>36056.332200000004</v>
      </c>
      <c r="AC69" s="229">
        <f>+(AC28/((100-AC74)/100))-AC28</f>
        <v>9765.243998434169</v>
      </c>
      <c r="AD69" s="229">
        <f>+AD68-((AD57/100)*AD68)</f>
        <v>5519.5612000000001</v>
      </c>
      <c r="AE69" s="717">
        <f>+AA69+AC69</f>
        <v>62873.147897610768</v>
      </c>
      <c r="AF69" s="43">
        <f t="shared" si="356"/>
        <v>41575.893400000001</v>
      </c>
      <c r="AG69" s="229">
        <f>+(AG28/((100-AG74)/100))-AG28</f>
        <v>9464.774952328502</v>
      </c>
      <c r="AH69" s="229">
        <f>+AH68-((AH57/100)*AH68)</f>
        <v>9140.2751000000007</v>
      </c>
      <c r="AI69" s="717">
        <f>+AE69+AG69</f>
        <v>72337.922849939263</v>
      </c>
      <c r="AJ69" s="43">
        <f t="shared" si="357"/>
        <v>50716.1685</v>
      </c>
      <c r="AK69" s="229">
        <f>+(AK28/((100-AK74)/100))-AK28</f>
        <v>9765.243998434169</v>
      </c>
      <c r="AL69" s="229">
        <f>+AL68-((AL57/100)*AL68)</f>
        <v>11950.344000000001</v>
      </c>
      <c r="AM69" s="2057">
        <f>+AK69+AG69+AC69</f>
        <v>28995.26294919684</v>
      </c>
      <c r="AN69" s="73">
        <f>+AL69+AH69+AD69</f>
        <v>26610.180300000004</v>
      </c>
      <c r="AO69" s="584">
        <f t="shared" ref="AO69" si="381">+AK69+AI69</f>
        <v>82103.166848373425</v>
      </c>
      <c r="AP69" s="584">
        <f t="shared" ref="AP69" si="382">+AL69+AJ69</f>
        <v>62666.512499999997</v>
      </c>
      <c r="AQ69" s="229">
        <f>+(AQ28/((100-AQ74)/100))-AQ28</f>
        <v>9915.4785214870062</v>
      </c>
      <c r="AR69" s="229">
        <f>+AR68-((AR57/100)*AR68)</f>
        <v>13628.2716</v>
      </c>
      <c r="AS69" s="717">
        <f>+AO69+AQ69</f>
        <v>92018.645369860431</v>
      </c>
      <c r="AT69" s="43">
        <f t="shared" si="358"/>
        <v>76294.78409999999</v>
      </c>
      <c r="AU69" s="229">
        <f>+(AU28/((100-AU74)/100))-AU28</f>
        <v>8863.8368601171678</v>
      </c>
      <c r="AV69" s="229">
        <f>+AV68-((AV57/100)*AV68)</f>
        <v>9166.8436999999994</v>
      </c>
      <c r="AW69" s="717">
        <f>+AS69+AU69</f>
        <v>100882.4822299776</v>
      </c>
      <c r="AX69" s="43">
        <f t="shared" si="359"/>
        <v>85461.627799999987</v>
      </c>
      <c r="AY69" s="229">
        <f>+(AY28/((100-AY74)/100))-AY28</f>
        <v>9915.4785214870062</v>
      </c>
      <c r="AZ69" s="229">
        <f>+AZ68-((AZ57/100)*AZ68)</f>
        <v>8687.1119999999992</v>
      </c>
      <c r="BA69" s="2057">
        <f>+AY69+AU69+AQ69</f>
        <v>28694.79390309118</v>
      </c>
      <c r="BB69" s="73">
        <f>+AZ69+AV69+AR69</f>
        <v>31482.227299999999</v>
      </c>
      <c r="BC69" s="464">
        <f t="shared" ref="BC69" si="383">AM69+BA69</f>
        <v>57690.05685228802</v>
      </c>
      <c r="BD69" s="464">
        <f t="shared" ref="BD69" si="384">AN69+BB69</f>
        <v>58092.407600000006</v>
      </c>
      <c r="BE69" s="717">
        <f>+AW69+AY69</f>
        <v>110797.9607514646</v>
      </c>
      <c r="BF69" s="43">
        <f t="shared" si="360"/>
        <v>94148.739799999981</v>
      </c>
      <c r="BG69" s="1520">
        <f t="shared" si="3"/>
        <v>0</v>
      </c>
      <c r="BH69" s="1520">
        <f t="shared" si="4"/>
        <v>0</v>
      </c>
      <c r="BI69" s="26"/>
      <c r="BJ69" s="26"/>
      <c r="BK69" s="26"/>
      <c r="BL69" s="26"/>
      <c r="BM69" s="26"/>
      <c r="BN69" s="26"/>
    </row>
    <row r="70" spans="1:66" ht="30.75" hidden="1" customHeight="1" thickBot="1" x14ac:dyDescent="0.35">
      <c r="A70" s="144"/>
      <c r="B70" s="1711" t="s">
        <v>586</v>
      </c>
      <c r="C70" s="817" t="s">
        <v>49</v>
      </c>
      <c r="D70" s="2058"/>
      <c r="E70" s="2058">
        <v>0</v>
      </c>
      <c r="F70" s="3826">
        <f>+(F61/(F63+F27+F94))*100</f>
        <v>0</v>
      </c>
      <c r="G70" s="2058">
        <v>0</v>
      </c>
      <c r="H70" s="3826">
        <f>+(H61/(H63+H27+H94))*100</f>
        <v>0</v>
      </c>
      <c r="I70" s="3780" t="s">
        <v>32</v>
      </c>
      <c r="J70" s="3827">
        <f>+(J61/(J63+J27+J94))*100</f>
        <v>0</v>
      </c>
      <c r="K70" s="2058">
        <v>0</v>
      </c>
      <c r="L70" s="3826">
        <f>+(L61/(L63+L27+L94))*100</f>
        <v>0</v>
      </c>
      <c r="M70" s="3828" t="s">
        <v>32</v>
      </c>
      <c r="N70" s="3829">
        <f>+(N61/(N63+N27+N94))*100</f>
        <v>0</v>
      </c>
      <c r="O70" s="2058">
        <v>0</v>
      </c>
      <c r="P70" s="3826">
        <f>+(P61/(P63+P27+P94))*100</f>
        <v>0</v>
      </c>
      <c r="Q70" s="823" t="s">
        <v>32</v>
      </c>
      <c r="R70" s="607">
        <f>+(R61/(R63+R27+R94))*100</f>
        <v>0</v>
      </c>
      <c r="S70" s="2058">
        <v>0</v>
      </c>
      <c r="T70" s="3826">
        <f>+(T61/(T63+T27+T94))*100</f>
        <v>0</v>
      </c>
      <c r="U70" s="823" t="s">
        <v>32</v>
      </c>
      <c r="V70" s="607">
        <f>+(V61/(V63+V27+V94))*100</f>
        <v>0</v>
      </c>
      <c r="W70" s="2058">
        <v>0</v>
      </c>
      <c r="X70" s="3826">
        <f>+(X61/(X63+X27+X94))*100</f>
        <v>0</v>
      </c>
      <c r="Y70" s="2090" t="s">
        <v>32</v>
      </c>
      <c r="Z70" s="606">
        <f>+(Z61/(Z63+Z27+Z94))*100</f>
        <v>0</v>
      </c>
      <c r="AA70" s="2091" t="s">
        <v>32</v>
      </c>
      <c r="AB70" s="2092">
        <f>+(AB61/(AB63+AB27+AB94))*100</f>
        <v>0</v>
      </c>
      <c r="AC70" s="2058">
        <v>0</v>
      </c>
      <c r="AD70" s="3826">
        <f>+(AD61/(AD63+AD27+AD94))*100</f>
        <v>0</v>
      </c>
      <c r="AE70" s="823" t="s">
        <v>32</v>
      </c>
      <c r="AF70" s="607">
        <f>+(AF61/(AF63+AF27+AF94))*100</f>
        <v>0</v>
      </c>
      <c r="AG70" s="2058">
        <v>0</v>
      </c>
      <c r="AH70" s="3826">
        <f>+(AH61/(AH63+AH27+AH94))*100</f>
        <v>0</v>
      </c>
      <c r="AI70" s="823" t="s">
        <v>32</v>
      </c>
      <c r="AJ70" s="607">
        <f>+(AJ61/(AJ63+AJ27+AJ94))*100</f>
        <v>0</v>
      </c>
      <c r="AK70" s="2058">
        <v>0</v>
      </c>
      <c r="AL70" s="3826">
        <f>+(AL61/(AL63+AL27+AL94))*100</f>
        <v>0</v>
      </c>
      <c r="AM70" s="2090" t="s">
        <v>32</v>
      </c>
      <c r="AN70" s="606">
        <f>+(AN61/(AN63+AN27+AN94))*100</f>
        <v>0</v>
      </c>
      <c r="AO70" s="823" t="s">
        <v>32</v>
      </c>
      <c r="AP70" s="607">
        <f>+(AP61/(AP63+AP27+AP94))*100</f>
        <v>0</v>
      </c>
      <c r="AQ70" s="2058">
        <v>0</v>
      </c>
      <c r="AR70" s="3826">
        <f>+(AR61/(AR63+AR27+AR94))*100</f>
        <v>0</v>
      </c>
      <c r="AS70" s="823" t="s">
        <v>32</v>
      </c>
      <c r="AT70" s="607">
        <f>+(AT61/(AT63+AT27+AT94))*100</f>
        <v>0</v>
      </c>
      <c r="AU70" s="2058">
        <v>0</v>
      </c>
      <c r="AV70" s="3826">
        <f>+(AV61/(AV63+AV27+AV94))*100</f>
        <v>0</v>
      </c>
      <c r="AW70" s="823" t="s">
        <v>32</v>
      </c>
      <c r="AX70" s="607">
        <f>+(AX61/(AX63+AX27+AX94))*100</f>
        <v>0</v>
      </c>
      <c r="AY70" s="2058">
        <v>0</v>
      </c>
      <c r="AZ70" s="3826">
        <f>+(AZ61/(AZ63+AZ27+AZ94))*100</f>
        <v>0</v>
      </c>
      <c r="BA70" s="2090" t="s">
        <v>32</v>
      </c>
      <c r="BB70" s="606">
        <f>+(BB61/(BB63+BB27+BB94))*100</f>
        <v>0</v>
      </c>
      <c r="BC70" s="2091" t="s">
        <v>32</v>
      </c>
      <c r="BD70" s="2092">
        <f>+(BD61/(BD63+BD27+BD94))*100</f>
        <v>0</v>
      </c>
      <c r="BE70" s="823" t="s">
        <v>32</v>
      </c>
      <c r="BF70" s="607">
        <f>+(BF61/(BF63+BF27+BF94))*100</f>
        <v>0</v>
      </c>
      <c r="BG70" s="1520" t="e">
        <f t="shared" si="3"/>
        <v>#VALUE!</v>
      </c>
      <c r="BH70" s="1520">
        <f t="shared" si="4"/>
        <v>0</v>
      </c>
      <c r="BI70" s="26"/>
      <c r="BJ70" s="26"/>
      <c r="BK70" s="26"/>
      <c r="BL70" s="26"/>
      <c r="BM70" s="26"/>
      <c r="BN70" s="26"/>
    </row>
    <row r="71" spans="1:66" ht="27.6" x14ac:dyDescent="0.3">
      <c r="A71" s="196" t="s">
        <v>631</v>
      </c>
      <c r="B71" s="3257" t="s">
        <v>585</v>
      </c>
      <c r="C71" s="751" t="s">
        <v>49</v>
      </c>
      <c r="D71" s="2072">
        <v>18</v>
      </c>
      <c r="E71" s="1204">
        <f>+$D$71</f>
        <v>18</v>
      </c>
      <c r="F71" s="1204">
        <f>+(F59/(F63+F27+F94))*100</f>
        <v>19.400891873268513</v>
      </c>
      <c r="G71" s="1204">
        <f>+$D$71</f>
        <v>18</v>
      </c>
      <c r="H71" s="1204">
        <f>+(H59/(H63+H27+H94))*100</f>
        <v>18.551681924645752</v>
      </c>
      <c r="I71" s="3830">
        <f>+(I59/(I63+I27+I94))*100</f>
        <v>18.000000000000007</v>
      </c>
      <c r="J71" s="2062">
        <f>+(J59/(J63+J27+J94))*100</f>
        <v>18.949924765144672</v>
      </c>
      <c r="K71" s="1204">
        <f>+$D$71</f>
        <v>18</v>
      </c>
      <c r="L71" s="1204">
        <f>+(L59/(L63+L27+L94))*100</f>
        <v>18.678571115316529</v>
      </c>
      <c r="M71" s="1546">
        <f>+$D$71</f>
        <v>18</v>
      </c>
      <c r="N71" s="94">
        <f>+(N59/(N63+N27+N94))*100</f>
        <v>18.852158919602644</v>
      </c>
      <c r="O71" s="1204">
        <f>+$D$71</f>
        <v>18</v>
      </c>
      <c r="P71" s="1204">
        <f>+(P59/(P63+P27+P94))*100</f>
        <v>19.639971945924596</v>
      </c>
      <c r="Q71" s="824">
        <f>+(Q59/(Q63+Q27+Q94))*100</f>
        <v>18.000000000000007</v>
      </c>
      <c r="R71" s="608">
        <f>+(R59/(R63+R27+R94))*100</f>
        <v>19.067086955724424</v>
      </c>
      <c r="S71" s="1204">
        <f>+$D$71</f>
        <v>18</v>
      </c>
      <c r="T71" s="1204">
        <f>+(T59/(T63+T27+T94))*100</f>
        <v>19.902985944922893</v>
      </c>
      <c r="U71" s="824">
        <f>+(U59/(U63+U27+U94))*100</f>
        <v>18.000000000000011</v>
      </c>
      <c r="V71" s="608">
        <f>+(V59/(V63+V27+V94))*100</f>
        <v>19.239601042289152</v>
      </c>
      <c r="W71" s="1204">
        <f>+$D$71</f>
        <v>18</v>
      </c>
      <c r="X71" s="1204">
        <f>+(X59/(X63+X27+X94))*100</f>
        <v>21.088912905069453</v>
      </c>
      <c r="Y71" s="192">
        <f>+(Y59/(Y63+Y27+Y94))*100</f>
        <v>18.000000000000004</v>
      </c>
      <c r="Z71" s="192">
        <f>+(Z59/(Z27+Z63+Z94))*100</f>
        <v>20.195878820493306</v>
      </c>
      <c r="AA71" s="825">
        <f>+(AA59/(AA63+AA27+AA94))*100</f>
        <v>18.000000000000004</v>
      </c>
      <c r="AB71" s="489">
        <f>+(AB59/(AB63+AB27+AB94))*100</f>
        <v>19.550978798421152</v>
      </c>
      <c r="AC71" s="1204">
        <f>+$D$71</f>
        <v>18</v>
      </c>
      <c r="AD71" s="1204">
        <f>+(AD59/(AD63+AD27+AD94))*100</f>
        <v>20.693023667951554</v>
      </c>
      <c r="AE71" s="824">
        <f>+(AE59/(AE63+AE27+AE94))*100</f>
        <v>18.000000000000007</v>
      </c>
      <c r="AF71" s="608">
        <f>+(AF59/(AF63+AF27+AF94))*100</f>
        <v>19.689606945361511</v>
      </c>
      <c r="AG71" s="1204">
        <f>+$D$71</f>
        <v>18</v>
      </c>
      <c r="AH71" s="1204">
        <f>+(AH59/(AH63+AH27+AH94))*100</f>
        <v>19.704053138337525</v>
      </c>
      <c r="AI71" s="824">
        <f>+(AI59/(AI63+AI27+AI94))*100</f>
        <v>18.000000000000004</v>
      </c>
      <c r="AJ71" s="608">
        <f>+(AJ59/(AJ63+AJ27+AJ94))*100</f>
        <v>19.691452587911442</v>
      </c>
      <c r="AK71" s="1204">
        <f>+$D$71</f>
        <v>18</v>
      </c>
      <c r="AL71" s="1204">
        <f>+(AL59/(AL63+AL27+AL94))*100</f>
        <v>19.642092258081544</v>
      </c>
      <c r="AM71" s="192">
        <f>+(AM59/(AM63+AM27+AM94))*100</f>
        <v>18.000000000000004</v>
      </c>
      <c r="AN71" s="192">
        <f>+(AN59/(AN27+AN63+AN94))*100</f>
        <v>19.972711895963005</v>
      </c>
      <c r="AO71" s="824">
        <f>+(AO59/(AO63+AO27+AO94))*100</f>
        <v>18.000000000000004</v>
      </c>
      <c r="AP71" s="608">
        <f>+(AP59/(AP63+AP27+AP94))*100</f>
        <v>19.685895833829363</v>
      </c>
      <c r="AQ71" s="1204">
        <f>+$D$71</f>
        <v>18</v>
      </c>
      <c r="AR71" s="1204">
        <f>+(AR59/(AR63+AR27+AR94))*100</f>
        <v>21.173569709308374</v>
      </c>
      <c r="AS71" s="2603">
        <f>+(AS59/(AS63+AS27+AS94))*100</f>
        <v>18.000000000000004</v>
      </c>
      <c r="AT71" s="2414">
        <f>+(AT59/(AT63+AT27+AT94))*100</f>
        <v>19.83551381168348</v>
      </c>
      <c r="AU71" s="1204">
        <f>+$D$71</f>
        <v>18</v>
      </c>
      <c r="AV71" s="1204">
        <f>+(AV59/(AV63+AV27+AV94))*100</f>
        <v>21.543981815219844</v>
      </c>
      <c r="AW71" s="2603">
        <f>+(AW59/(AW63+AW27+AW94))*100</f>
        <v>18.000000000000007</v>
      </c>
      <c r="AX71" s="2414">
        <f>+(AX59/(AX63+AX27+AX94))*100</f>
        <v>19.967628358061653</v>
      </c>
      <c r="AY71" s="1204">
        <f>+$D$71</f>
        <v>18</v>
      </c>
      <c r="AZ71" s="1204">
        <f>+(AZ59/(AZ63+AZ27+AZ94))*100</f>
        <v>21.385834384525289</v>
      </c>
      <c r="BA71" s="2602">
        <f>+(BA59/(BA63+BA27+BA94))*100</f>
        <v>18.000000000000004</v>
      </c>
      <c r="BB71" s="192">
        <f>+(BB59/(BB27+BB63+BB94))*100</f>
        <v>21.35803560780802</v>
      </c>
      <c r="BC71" s="2601">
        <f>+(BC59/(BC63+BC27+BC94))*100</f>
        <v>18.000000000000007</v>
      </c>
      <c r="BD71" s="489">
        <f>+(BD59/(BD63+BD27+BD94))*100</f>
        <v>20.669450992470988</v>
      </c>
      <c r="BE71" s="2603">
        <f>+(BE59/(BE63+BE27+BE94))*100</f>
        <v>18.000000000000004</v>
      </c>
      <c r="BF71" s="608">
        <f>+(BF59/(BF63+BF27+BF94))*100</f>
        <v>20.094803409416098</v>
      </c>
      <c r="BG71" s="1520"/>
      <c r="BH71" s="1520"/>
      <c r="BI71" s="26"/>
      <c r="BJ71" s="26"/>
      <c r="BK71" s="26"/>
      <c r="BL71" s="26"/>
      <c r="BM71" s="26"/>
      <c r="BN71" s="26"/>
    </row>
    <row r="72" spans="1:66" x14ac:dyDescent="0.3">
      <c r="A72" s="196" t="s">
        <v>631</v>
      </c>
      <c r="B72" s="1699" t="s">
        <v>583</v>
      </c>
      <c r="C72" s="546" t="s">
        <v>49</v>
      </c>
      <c r="D72" s="767">
        <v>10</v>
      </c>
      <c r="E72" s="188">
        <f>+$D$72</f>
        <v>10</v>
      </c>
      <c r="F72" s="188">
        <f>+(F65/(F65+F23+F24+F33))*100</f>
        <v>10.600312458719023</v>
      </c>
      <c r="G72" s="188">
        <f>+$D$72</f>
        <v>10</v>
      </c>
      <c r="H72" s="188">
        <f>+(H65/(H65+H23+H24+H33))*100</f>
        <v>10.598779487491459</v>
      </c>
      <c r="I72" s="3831">
        <f>+(I65/(I65+I23+I24))*100</f>
        <v>10</v>
      </c>
      <c r="J72" s="370">
        <f>+(J65/(J65+J23+J24+J33))*100</f>
        <v>10.599500383574592</v>
      </c>
      <c r="K72" s="188">
        <f>+$D$72</f>
        <v>10</v>
      </c>
      <c r="L72" s="188">
        <f>+(L65/(L65+L23+L24+L33))*100</f>
        <v>10.646072990245287</v>
      </c>
      <c r="M72" s="76">
        <f>+$D$72</f>
        <v>10</v>
      </c>
      <c r="N72" s="89">
        <f>+(N65/(N65+N23+N24+N33))*100</f>
        <v>10.616012058695132</v>
      </c>
      <c r="O72" s="188">
        <f>+$D$72</f>
        <v>10</v>
      </c>
      <c r="P72" s="188">
        <f>+(P65/(P65+P23+P24+P33))*100</f>
        <v>10.769778912379453</v>
      </c>
      <c r="Q72" s="826">
        <f>+(Q65/(Q65+Q23+Q24))*100</f>
        <v>9.9999999999999982</v>
      </c>
      <c r="R72" s="397">
        <f>+(R65/(R65+R23+R24+R33))*100</f>
        <v>10.658846593810962</v>
      </c>
      <c r="S72" s="188">
        <f>+$D$72</f>
        <v>10</v>
      </c>
      <c r="T72" s="188">
        <f>+(T65/(T65+T23+T24+T33))*100</f>
        <v>10.993989987040742</v>
      </c>
      <c r="U72" s="826">
        <f>+(U65/(U65+U23+U24))*100</f>
        <v>9.9999999999999982</v>
      </c>
      <c r="V72" s="397">
        <f>+(V65/(V65+V23+V24+V33))*100</f>
        <v>10.728777143397988</v>
      </c>
      <c r="W72" s="188">
        <f>+$D$72</f>
        <v>10</v>
      </c>
      <c r="X72" s="188">
        <f>+(X65/(X65+X23+X24+X33))*100</f>
        <v>11.013202090788104</v>
      </c>
      <c r="Y72" s="192">
        <f>+(Y65/(Y65+Y23+Y24))*100</f>
        <v>9.9999999999999947</v>
      </c>
      <c r="Z72" s="192">
        <f>+(Z65/(Z65+Z23+Z24+Z33))*100</f>
        <v>10.9233029851559</v>
      </c>
      <c r="AA72" s="825">
        <f>+(AA65/(AA65+AA23+AA24))*100</f>
        <v>9.9999999999999964</v>
      </c>
      <c r="AB72" s="489">
        <f>+(AB65/(AB65+AB23+AB24+AB33))*100</f>
        <v>10.778603747589353</v>
      </c>
      <c r="AC72" s="188">
        <f>+$D$72</f>
        <v>10</v>
      </c>
      <c r="AD72" s="188">
        <f>+(AD65/(AD65+AD23+AD24+AD33))*100</f>
        <v>11.32932064147489</v>
      </c>
      <c r="AE72" s="826">
        <f>+(AE65/(AE65+AE23+AE24))*100</f>
        <v>9.9999999999999982</v>
      </c>
      <c r="AF72" s="397">
        <f>+(AF65/(AF65+AF23+AF24+AF33))*100</f>
        <v>10.854899310526291</v>
      </c>
      <c r="AG72" s="188">
        <f>+$D$72</f>
        <v>10</v>
      </c>
      <c r="AH72" s="188">
        <f>+(AH65/(AH65+AH23+AH24+AH33))*100</f>
        <v>10.420987268513821</v>
      </c>
      <c r="AI72" s="826">
        <f>+(AI65/(AI65+AI23+AI24))*100</f>
        <v>9.9999999999999982</v>
      </c>
      <c r="AJ72" s="397">
        <f>+(AJ65/(AJ65+AJ23+AJ24+AJ33))*100</f>
        <v>10.800516913077622</v>
      </c>
      <c r="AK72" s="188">
        <f>+$D$72</f>
        <v>10</v>
      </c>
      <c r="AL72" s="188">
        <f>+(AL65/(AL65+AL23+AL24+AL33))*100</f>
        <v>9.3533307615525594</v>
      </c>
      <c r="AM72" s="192">
        <f>+(AM65/(AM65+AM23+AM24))*100</f>
        <v>9.9999999999999964</v>
      </c>
      <c r="AN72" s="192">
        <f>+(AN65/(AN65+AN23+AN24+AN33))*100</f>
        <v>10.34165847855532</v>
      </c>
      <c r="AO72" s="826">
        <f>+(AO65/(AO65+AO23+AO24))*100</f>
        <v>9.9999999999999964</v>
      </c>
      <c r="AP72" s="397">
        <f>+(AP65/(AP65+AP23+AP24+AP33))*100</f>
        <v>10.632720304340387</v>
      </c>
      <c r="AQ72" s="188">
        <f>+$D$72</f>
        <v>10</v>
      </c>
      <c r="AR72" s="188">
        <f>+(AR65/(AR65+AR23+AR24+AR33))*100</f>
        <v>8.5640020967490162</v>
      </c>
      <c r="AS72" s="2600">
        <f>+(AS65/(AS65+AS23+AS24))*100</f>
        <v>9.9999999999999964</v>
      </c>
      <c r="AT72" s="3409">
        <f>+(AT65/(AT65+AT23+AT24+AT33))*100</f>
        <v>10.424952564940424</v>
      </c>
      <c r="AU72" s="188">
        <f>+$D$72</f>
        <v>10</v>
      </c>
      <c r="AV72" s="188">
        <f>+(AV65/(AV65+AV23+AV24+AV33))*100</f>
        <v>12.013279064449675</v>
      </c>
      <c r="AW72" s="2600">
        <f>+(AW65/(AW65+AW23+AW24))*100</f>
        <v>9.9999999999999982</v>
      </c>
      <c r="AX72" s="3409">
        <f>+(AX65/(AX65+AX23+AX24+AX33))*100</f>
        <v>10.559183037383406</v>
      </c>
      <c r="AY72" s="188">
        <f>+$D$72</f>
        <v>10</v>
      </c>
      <c r="AZ72" s="188">
        <f>+(AZ65/(AZ65+AZ23+AZ24+AZ33))*100</f>
        <v>10.369400557745163</v>
      </c>
      <c r="BA72" s="2602">
        <f>+(BA65/(BA65+BA23+BA24))*100</f>
        <v>9.9999999999999929</v>
      </c>
      <c r="BB72" s="192">
        <f>+(BB65/(BB65+BB23+BB24+BB33))*100</f>
        <v>10.26874475308942</v>
      </c>
      <c r="BC72" s="2601">
        <f>+(BC65/(BC65+BC23+BC24))*100</f>
        <v>9.9999999999999964</v>
      </c>
      <c r="BD72" s="489">
        <f>+(BD65/(BD65+BD23+BD24+BD33))*100</f>
        <v>10.305603264036394</v>
      </c>
      <c r="BE72" s="2600">
        <f>+(BE65/(BE65+BE23+BE24))*100</f>
        <v>9.9999999999999964</v>
      </c>
      <c r="BF72" s="397">
        <f>+(BF65/(BF65+BF23+BF24+BF33))*100</f>
        <v>10.543113047079865</v>
      </c>
      <c r="BG72" s="1520"/>
      <c r="BH72" s="1520"/>
      <c r="BI72" s="26"/>
      <c r="BJ72" s="26"/>
      <c r="BK72" s="26"/>
      <c r="BL72" s="26"/>
      <c r="BM72" s="26"/>
      <c r="BN72" s="26"/>
    </row>
    <row r="73" spans="1:66" x14ac:dyDescent="0.3">
      <c r="A73" s="196"/>
      <c r="B73" s="1699" t="s">
        <v>1307</v>
      </c>
      <c r="C73" s="546" t="s">
        <v>49</v>
      </c>
      <c r="D73" s="401">
        <v>1.5</v>
      </c>
      <c r="E73" s="1120">
        <f>+$D$73</f>
        <v>1.5</v>
      </c>
      <c r="F73" s="1120">
        <f>+(F67/(F67+F30))*100</f>
        <v>0.88554655996818299</v>
      </c>
      <c r="G73" s="1120">
        <f>+$D$73</f>
        <v>1.5</v>
      </c>
      <c r="H73" s="1120">
        <f>+(H67/(H67+H30))*100</f>
        <v>1.7700756727823157</v>
      </c>
      <c r="I73" s="3831">
        <f>+$D$73</f>
        <v>1.5</v>
      </c>
      <c r="J73" s="370">
        <f>+(J67/(J67+J30))*100</f>
        <v>1.3358284979715438</v>
      </c>
      <c r="K73" s="1120">
        <f>+$D$73</f>
        <v>1.5</v>
      </c>
      <c r="L73" s="1120">
        <f>+(L67/(L67+L30))*100</f>
        <v>1.3347770433235353</v>
      </c>
      <c r="M73" s="76">
        <f>+$D$73</f>
        <v>1.5</v>
      </c>
      <c r="N73" s="1981">
        <f t="shared" ref="N73" si="385">+(N67/(N67+N30))*100</f>
        <v>1.3354938386668402</v>
      </c>
      <c r="O73" s="1120">
        <f>+$D$73</f>
        <v>1.5</v>
      </c>
      <c r="P73" s="1120">
        <f>+(P67/(P67+P30))*100</f>
        <v>1.4730568382415266</v>
      </c>
      <c r="Q73" s="1349">
        <f>+$D$73</f>
        <v>1.5</v>
      </c>
      <c r="R73" s="412">
        <f t="shared" ref="R73" si="386">+(R67/(R67+R30))*100</f>
        <v>1.3649217825623807</v>
      </c>
      <c r="S73" s="1120">
        <f>+$D$73</f>
        <v>1.5</v>
      </c>
      <c r="T73" s="1120">
        <f>+(T67/(T67+T30))*100</f>
        <v>1.2555013333801754</v>
      </c>
      <c r="U73" s="1349">
        <f>+$D$73</f>
        <v>1.5</v>
      </c>
      <c r="V73" s="412">
        <f t="shared" ref="V73" si="387">+(V67/(V67+V30))*100</f>
        <v>1.3417369778165571</v>
      </c>
      <c r="W73" s="1120">
        <f>+$D$73</f>
        <v>1.5</v>
      </c>
      <c r="X73" s="1120">
        <f>+(X67/(X67+X30))*100</f>
        <v>1.1266312264917322</v>
      </c>
      <c r="Y73" s="1350">
        <f>+$D$73</f>
        <v>1.5</v>
      </c>
      <c r="Z73" s="421">
        <f t="shared" ref="Z73:AB73" si="388">+(Z67/(Z67+Z30))*100</f>
        <v>1.2724773561955771</v>
      </c>
      <c r="AA73" s="825">
        <f>D73</f>
        <v>1.5</v>
      </c>
      <c r="AB73" s="489">
        <f t="shared" si="388"/>
        <v>1.3048033929015412</v>
      </c>
      <c r="AC73" s="1120">
        <f>+$D$73</f>
        <v>1.5</v>
      </c>
      <c r="AD73" s="1120">
        <f>+(AD67/(AD67+AD30))*100</f>
        <v>1.7117703016039856</v>
      </c>
      <c r="AE73" s="1349">
        <f>+$D$73</f>
        <v>1.5</v>
      </c>
      <c r="AF73" s="412">
        <f t="shared" ref="AF73" si="389">+(AF67/(AF67+AF30))*100</f>
        <v>1.3554025658315652</v>
      </c>
      <c r="AG73" s="1120">
        <f>+$D$73</f>
        <v>1.5</v>
      </c>
      <c r="AH73" s="1120">
        <f>+(AH67/(AH67+AH30))*100</f>
        <v>1.5634134107506925</v>
      </c>
      <c r="AI73" s="1349">
        <f>+$D$73</f>
        <v>1.5</v>
      </c>
      <c r="AJ73" s="412">
        <f t="shared" ref="AJ73" si="390">+(AJ67/(AJ67+AJ30))*100</f>
        <v>1.3823045473372355</v>
      </c>
      <c r="AK73" s="1120">
        <f>+$D$73</f>
        <v>1.5</v>
      </c>
      <c r="AL73" s="1120">
        <f>+(AL67/(AL67+AL30))*100</f>
        <v>1.7459679461835858</v>
      </c>
      <c r="AM73" s="1350">
        <f>+$D$73</f>
        <v>1.5</v>
      </c>
      <c r="AN73" s="421">
        <f t="shared" ref="AN73" si="391">+(AN67/(AN67+AN30))*100</f>
        <v>1.6726114255266378</v>
      </c>
      <c r="AO73" s="1349">
        <f>+$D$73</f>
        <v>1.5</v>
      </c>
      <c r="AP73" s="412">
        <f t="shared" ref="AP73" si="392">+(AP67/(AP67+AP30))*100</f>
        <v>1.4254841036163408</v>
      </c>
      <c r="AQ73" s="1120">
        <f>+$D$73</f>
        <v>1.5</v>
      </c>
      <c r="AR73" s="1120">
        <f>+(AR67/(AR67+AR30))*100</f>
        <v>1.6388539153220798</v>
      </c>
      <c r="AS73" s="1349">
        <f>+$D$73</f>
        <v>1.5</v>
      </c>
      <c r="AT73" s="415">
        <f t="shared" ref="AT73" si="393">+(AT67/(AT67+AT30))*100</f>
        <v>1.4446651934608767</v>
      </c>
      <c r="AU73" s="1120">
        <f>+$D$73</f>
        <v>1.5</v>
      </c>
      <c r="AV73" s="1120">
        <f>+(AV67/(AV67+AV30))*100</f>
        <v>1.3792347791267991</v>
      </c>
      <c r="AW73" s="1349">
        <f>+$D$73</f>
        <v>1.5</v>
      </c>
      <c r="AX73" s="415">
        <f t="shared" ref="AX73" si="394">+(AX67/(AX67+AX30))*100</f>
        <v>1.4403307675245767</v>
      </c>
      <c r="AY73" s="1120">
        <f>+$D$73</f>
        <v>1.5</v>
      </c>
      <c r="AZ73" s="1120">
        <f>+(AZ67/(AZ67+AZ30))*100</f>
        <v>1.4022766138826956</v>
      </c>
      <c r="BA73" s="1350">
        <f>+$D$73</f>
        <v>1.5</v>
      </c>
      <c r="BB73" s="421">
        <f t="shared" ref="BB73" si="395">+(BB67/(BB67+BB30))*100</f>
        <v>1.4779286052982572</v>
      </c>
      <c r="BC73" s="825">
        <v>2.7</v>
      </c>
      <c r="BD73" s="489">
        <f t="shared" ref="BD73" si="396">+(BD67/(BD67+BD30))*100</f>
        <v>1.5820892796353112</v>
      </c>
      <c r="BE73" s="1349">
        <f>+$D$73</f>
        <v>1.5</v>
      </c>
      <c r="BF73" s="412">
        <f t="shared" ref="BF73" si="397">+(BF67/(BF67+BF30))*100</f>
        <v>1.4371204089282963</v>
      </c>
      <c r="BG73" s="1520"/>
      <c r="BH73" s="1520"/>
      <c r="BI73" s="26"/>
      <c r="BJ73" s="26"/>
      <c r="BK73" s="26"/>
      <c r="BL73" s="26"/>
      <c r="BM73" s="26"/>
      <c r="BN73" s="26"/>
    </row>
    <row r="74" spans="1:66" ht="15" thickBot="1" x14ac:dyDescent="0.35">
      <c r="A74" s="196" t="s">
        <v>631</v>
      </c>
      <c r="B74" s="1700" t="s">
        <v>599</v>
      </c>
      <c r="C74" s="742" t="s">
        <v>49</v>
      </c>
      <c r="D74" s="993">
        <v>15</v>
      </c>
      <c r="E74" s="189">
        <f>+$D$74</f>
        <v>15</v>
      </c>
      <c r="F74" s="2066">
        <f>+(F69/(F69+F28))*100</f>
        <v>6.0200407996549963</v>
      </c>
      <c r="G74" s="189">
        <f>+$D$74</f>
        <v>15</v>
      </c>
      <c r="H74" s="2066">
        <f>+(H69/(H69+H28))*100</f>
        <v>8.8277305451616979</v>
      </c>
      <c r="I74" s="3832">
        <f>+(I69/(I69+I28))*100</f>
        <v>15</v>
      </c>
      <c r="J74" s="2068">
        <f>+(J69/(J69+J28))*100</f>
        <v>7.5729279571193286</v>
      </c>
      <c r="K74" s="189">
        <f>+$D$74</f>
        <v>15</v>
      </c>
      <c r="L74" s="2066">
        <f>+(L69/(L69+L28))*100</f>
        <v>11.213050639556647</v>
      </c>
      <c r="M74" s="1784">
        <f>+$D$74</f>
        <v>15</v>
      </c>
      <c r="N74" s="3833">
        <f>+(N69/(N69+N28))*100</f>
        <v>8.8543921822262153</v>
      </c>
      <c r="O74" s="189">
        <f>+$D$74</f>
        <v>15</v>
      </c>
      <c r="P74" s="2066">
        <f>+(P69/(P69+P28))*100</f>
        <v>8.4830594574878244</v>
      </c>
      <c r="Q74" s="827">
        <f>+(Q69/(Q69+Q28))*100</f>
        <v>15</v>
      </c>
      <c r="R74" s="609">
        <f>+(R69/(R69+R28))*100</f>
        <v>8.7478720613416812</v>
      </c>
      <c r="S74" s="189">
        <f>+$D$74</f>
        <v>15</v>
      </c>
      <c r="T74" s="2066">
        <f>+(T69/(T69+T28))*100</f>
        <v>12.55934253993173</v>
      </c>
      <c r="U74" s="827">
        <f>+(U69/(U69+U28))*100</f>
        <v>14.999999999999996</v>
      </c>
      <c r="V74" s="609">
        <f>+(V69/(V69+V28))*100</f>
        <v>9.3920703666749894</v>
      </c>
      <c r="W74" s="189">
        <f>+$D$74</f>
        <v>15</v>
      </c>
      <c r="X74" s="2066">
        <f>+(X69/(X69+X28))*100</f>
        <v>9.2458676754681743</v>
      </c>
      <c r="Y74" s="192">
        <f>+(Y69/(Y69+Y28))*100</f>
        <v>15</v>
      </c>
      <c r="Z74" s="192">
        <f>+(Z69/(Z69+Z28))*100</f>
        <v>9.9277769052137863</v>
      </c>
      <c r="AA74" s="825">
        <f>+(AA69/(AA69+AA28))*100</f>
        <v>15</v>
      </c>
      <c r="AB74" s="489">
        <f>+(AB69/(AB69+AB28))*100</f>
        <v>9.3733084848112558</v>
      </c>
      <c r="AC74" s="189">
        <f>+$D$74</f>
        <v>15</v>
      </c>
      <c r="AD74" s="2066">
        <f>+(AD69/(AD69+AD28))*100</f>
        <v>10.992982390479105</v>
      </c>
      <c r="AE74" s="827">
        <f>+(AE69/(AE69+AE28))*100</f>
        <v>15</v>
      </c>
      <c r="AF74" s="609">
        <f>+(AF69/(AF69+AF28))*100</f>
        <v>9.5603108191947861</v>
      </c>
      <c r="AG74" s="189">
        <f>+$D$74</f>
        <v>15</v>
      </c>
      <c r="AH74" s="2066">
        <f>+(AH69/(AH69+AH28))*100</f>
        <v>15.563140278905319</v>
      </c>
      <c r="AI74" s="827">
        <f>+(AI69/(AI69+AI28))*100</f>
        <v>14.999999999999996</v>
      </c>
      <c r="AJ74" s="609">
        <f>+(AJ69/(AJ69+AJ28))*100</f>
        <v>10.274533640136283</v>
      </c>
      <c r="AK74" s="189">
        <f>+$D$74</f>
        <v>15</v>
      </c>
      <c r="AL74" s="2066">
        <f>+(AL69/(AL69+AL28))*100</f>
        <v>15.3168607096842</v>
      </c>
      <c r="AM74" s="192">
        <f>+(AM69/(AM69+AM28))*100</f>
        <v>15</v>
      </c>
      <c r="AN74" s="192">
        <f>+(AN69/(AN69+AN28))*100</f>
        <v>14.233012822943572</v>
      </c>
      <c r="AO74" s="827">
        <f>+(AO69/(AO69+AO28))*100</f>
        <v>14.999999999999996</v>
      </c>
      <c r="AP74" s="609">
        <f>+(AP69/(AP69+AP28))*100</f>
        <v>10.962751096910136</v>
      </c>
      <c r="AQ74" s="189">
        <f>+$D$74</f>
        <v>15</v>
      </c>
      <c r="AR74" s="2066">
        <f>+(AR69/(AR69+AR28))*100</f>
        <v>16.313825570968085</v>
      </c>
      <c r="AS74" s="4395">
        <f>+(AS69/(AS69+AS28))*100</f>
        <v>14.999999999999996</v>
      </c>
      <c r="AT74" s="4157">
        <f>+(AT69/(AT69+AT28))*100</f>
        <v>11.645046323750652</v>
      </c>
      <c r="AU74" s="189">
        <f>+$D$74</f>
        <v>15</v>
      </c>
      <c r="AV74" s="2066">
        <f>+(AV69/(AV69+AV28))*100</f>
        <v>17.328481689086477</v>
      </c>
      <c r="AW74" s="4395">
        <f>+(AW69/(AW69+AW28))*100</f>
        <v>14.999999999999995</v>
      </c>
      <c r="AX74" s="4157">
        <f>+(AX69/(AX69+AX28))*100</f>
        <v>12.069660139410605</v>
      </c>
      <c r="AY74" s="189">
        <f>+$D$74</f>
        <v>15</v>
      </c>
      <c r="AZ74" s="2066">
        <f>+(AZ69/(AZ69+AZ28))*100</f>
        <v>14.787552238350681</v>
      </c>
      <c r="BA74" s="192">
        <f t="shared" ref="BA74:BF74" si="398">+(BA69/(BA69+BA28))*100</f>
        <v>15.000000000000002</v>
      </c>
      <c r="BB74" s="192">
        <f t="shared" si="398"/>
        <v>16.129452204327258</v>
      </c>
      <c r="BC74" s="825">
        <f t="shared" si="398"/>
        <v>15</v>
      </c>
      <c r="BD74" s="489">
        <f t="shared" si="398"/>
        <v>15.201638130345446</v>
      </c>
      <c r="BE74" s="827">
        <f t="shared" si="398"/>
        <v>14.999999999999996</v>
      </c>
      <c r="BF74" s="609">
        <f t="shared" si="398"/>
        <v>12.277879054733292</v>
      </c>
      <c r="BG74" s="1520"/>
      <c r="BH74" s="1520"/>
      <c r="BI74" s="26"/>
      <c r="BJ74" s="26"/>
      <c r="BK74" s="26"/>
      <c r="BL74" s="26"/>
      <c r="BM74" s="26"/>
      <c r="BN74" s="26"/>
    </row>
    <row r="75" spans="1:66" ht="15" thickBot="1" x14ac:dyDescent="0.35">
      <c r="A75" s="144"/>
      <c r="B75" s="3834" t="s">
        <v>248</v>
      </c>
      <c r="C75" s="817" t="s">
        <v>363</v>
      </c>
      <c r="D75" s="2234">
        <f>+'Maj Techno Summ'!D15</f>
        <v>871.29177755633066</v>
      </c>
      <c r="E75" s="2234">
        <f>+'Maj Techno Summ'!E15</f>
        <v>866.91251568708628</v>
      </c>
      <c r="F75" s="2234">
        <f>+'Maj Techno Summ'!F15</f>
        <v>846.11004846869969</v>
      </c>
      <c r="G75" s="2234">
        <f>+'Maj Techno Summ'!G15</f>
        <v>866.91251568708628</v>
      </c>
      <c r="H75" s="2234">
        <f>+'Maj Techno Summ'!H15</f>
        <v>849.34190363265725</v>
      </c>
      <c r="I75" s="3440">
        <f>+'Maj Techno Summ'!I15</f>
        <v>866.91251568708617</v>
      </c>
      <c r="J75" s="3440">
        <f>+'Maj Techno Summ'!J15</f>
        <v>847.82525876418902</v>
      </c>
      <c r="K75" s="2234">
        <f>+'Maj Techno Summ'!K15</f>
        <v>866.91251568708628</v>
      </c>
      <c r="L75" s="2234">
        <f>+'Maj Techno Summ'!L15</f>
        <v>861.73356013497948</v>
      </c>
      <c r="M75" s="3282">
        <f>+'Maj Techno Summ'!M15</f>
        <v>866.91251568708617</v>
      </c>
      <c r="N75" s="3282">
        <f>+'Maj Techno Summ'!N15</f>
        <v>852.7178368874138</v>
      </c>
      <c r="O75" s="2234">
        <f>+'Maj Techno Summ'!O15</f>
        <v>866.91251568708628</v>
      </c>
      <c r="P75" s="2234">
        <f>+'Maj Techno Summ'!P15</f>
        <v>901.89702481912377</v>
      </c>
      <c r="Q75" s="567">
        <f>+'Maj Techno Summ'!Q15</f>
        <v>866.91251568708617</v>
      </c>
      <c r="R75" s="567">
        <f>+'Maj Techno Summ'!R15</f>
        <v>865.75507651662667</v>
      </c>
      <c r="S75" s="2234">
        <f>+'Maj Techno Summ'!S15</f>
        <v>866.91251568708628</v>
      </c>
      <c r="T75" s="2234">
        <f>+'Maj Techno Summ'!T15</f>
        <v>901.57952496561427</v>
      </c>
      <c r="U75" s="567">
        <f>+'Maj Techno Summ'!U15</f>
        <v>866.91251568708617</v>
      </c>
      <c r="V75" s="567">
        <f>+'Maj Techno Summ'!V15</f>
        <v>872.92883598099377</v>
      </c>
      <c r="W75" s="2234">
        <f>+'Maj Techno Summ'!W15</f>
        <v>973.86831544015627</v>
      </c>
      <c r="X75" s="2234">
        <f>+'Maj Techno Summ'!X15</f>
        <v>935.33175377395651</v>
      </c>
      <c r="Y75" s="774">
        <f>+'Maj Techno Summ'!Y15</f>
        <v>889.9491494800551</v>
      </c>
      <c r="Z75" s="774">
        <f>+'Maj Techno Summ'!Z15</f>
        <v>912.42943846048797</v>
      </c>
      <c r="AA75" s="460">
        <f>+'Maj Techno Summ'!AA15</f>
        <v>877.50219883095463</v>
      </c>
      <c r="AB75" s="460">
        <f>+'Maj Techno Summ'!AB15</f>
        <v>882.99645354786935</v>
      </c>
      <c r="AC75" s="2234">
        <f>+'Maj Techno Summ'!AC15</f>
        <v>865.57463192982163</v>
      </c>
      <c r="AD75" s="2234">
        <f>+'Maj Techno Summ'!AD15</f>
        <v>1004.8011185101312</v>
      </c>
      <c r="AE75" s="567">
        <f>+'Maj Techno Summ'!AE15</f>
        <v>875.64964961094586</v>
      </c>
      <c r="AF75" s="567">
        <f>+'Maj Techno Summ'!AF15</f>
        <v>897.4450567606217</v>
      </c>
      <c r="AG75" s="2234">
        <f>+'Maj Techno Summ'!AG15</f>
        <v>865.57463192982152</v>
      </c>
      <c r="AH75" s="2234">
        <f>+'Maj Techno Summ'!AH15</f>
        <v>893.68459627022753</v>
      </c>
      <c r="AI75" s="567">
        <f>+'Maj Techno Summ'!AI15</f>
        <v>874.33142299846224</v>
      </c>
      <c r="AJ75" s="567">
        <f>+'Maj Techno Summ'!AJ15</f>
        <v>896.97547388254475</v>
      </c>
      <c r="AK75" s="2234">
        <f>+'Maj Techno Summ'!AK15</f>
        <v>865.57463192982163</v>
      </c>
      <c r="AL75" s="2234">
        <f>+'Maj Techno Summ'!AL15</f>
        <v>893.54644300118753</v>
      </c>
      <c r="AM75" s="774">
        <f>+'Maj Techno Summ'!AM15</f>
        <v>865.57463192982141</v>
      </c>
      <c r="AN75" s="774">
        <f>+'Maj Techno Summ'!AN15</f>
        <v>925.91389883925331</v>
      </c>
      <c r="AO75" s="567">
        <f>+'Maj Techno Summ'!AO15</f>
        <v>873.28990164537595</v>
      </c>
      <c r="AP75" s="567">
        <f>+'Maj Techno Summ'!AP15</f>
        <v>896.58457243304349</v>
      </c>
      <c r="AQ75" s="2234">
        <f>+'Maj Techno Summ'!AQ15</f>
        <v>865.57463192982141</v>
      </c>
      <c r="AR75" s="2234">
        <f>+'Maj Techno Summ'!AR15</f>
        <v>883.78508121211598</v>
      </c>
      <c r="AS75" s="567">
        <f>+'Maj Techno Summ'!AS15</f>
        <v>872.45854196990388</v>
      </c>
      <c r="AT75" s="567">
        <f>+'Maj Techno Summ'!AT15</f>
        <v>895.30622008059743</v>
      </c>
      <c r="AU75" s="2234">
        <f>+'Maj Techno Summ'!AU15</f>
        <v>865.57463192982152</v>
      </c>
      <c r="AV75" s="2234">
        <f>+'Maj Techno Summ'!AV15</f>
        <v>942.64302305551826</v>
      </c>
      <c r="AW75" s="567">
        <f>+'Maj Techno Summ'!AW15</f>
        <v>871.85370102818399</v>
      </c>
      <c r="AX75" s="567">
        <f>+'Maj Techno Summ'!AX15</f>
        <v>898.82008988696668</v>
      </c>
      <c r="AY75" s="2234">
        <f>+'Maj Techno Summ'!AY15</f>
        <v>865.57463192982141</v>
      </c>
      <c r="AZ75" s="2234">
        <f>+'Maj Techno Summ'!AZ15</f>
        <v>872.08449633783346</v>
      </c>
      <c r="BA75" s="774">
        <f>+'Maj Techno Summ'!BA15</f>
        <v>865.57463192982152</v>
      </c>
      <c r="BB75" s="774">
        <f>+'Maj Techno Summ'!BB15</f>
        <v>896.22268581638082</v>
      </c>
      <c r="BC75" s="460">
        <f>+'Maj Techno Summ'!BC15</f>
        <v>865.57463192982129</v>
      </c>
      <c r="BD75" s="460">
        <f>+'Maj Techno Summ'!BD15</f>
        <v>911.12559526998984</v>
      </c>
      <c r="BE75" s="567">
        <f>+'Maj Techno Summ'!BE15</f>
        <v>871.29177755633066</v>
      </c>
      <c r="BF75" s="567">
        <f>+'Maj Techno Summ'!BF15</f>
        <v>896.49805735238124</v>
      </c>
      <c r="BG75" s="1520"/>
      <c r="BH75" s="1520"/>
      <c r="BI75" s="26"/>
      <c r="BJ75" s="26"/>
      <c r="BK75" s="26"/>
      <c r="BL75" s="26"/>
      <c r="BM75" s="26"/>
      <c r="BN75" s="26"/>
    </row>
    <row r="76" spans="1:66" ht="15" hidden="1" thickBot="1" x14ac:dyDescent="0.35">
      <c r="A76" s="144"/>
      <c r="B76" s="3816" t="s">
        <v>1805</v>
      </c>
      <c r="C76" s="2546"/>
      <c r="D76" s="2599"/>
      <c r="E76" s="2599"/>
      <c r="F76" s="2599">
        <f>+F2*24</f>
        <v>720</v>
      </c>
      <c r="G76" s="2599"/>
      <c r="H76" s="2599">
        <f>+H2*24</f>
        <v>744</v>
      </c>
      <c r="I76" s="2538"/>
      <c r="J76" s="43">
        <f t="shared" ref="J76:J77" si="399">+F76+H76</f>
        <v>1464</v>
      </c>
      <c r="K76" s="2599"/>
      <c r="L76" s="2599">
        <f>+L2*24</f>
        <v>720</v>
      </c>
      <c r="M76" s="2539"/>
      <c r="N76" s="2539">
        <f>+F76+H76+L76</f>
        <v>2184</v>
      </c>
      <c r="O76" s="2599"/>
      <c r="P76" s="2599">
        <f>+P2*24</f>
        <v>744</v>
      </c>
      <c r="Q76" s="567"/>
      <c r="R76" s="43">
        <f t="shared" ref="R76:R77" si="400">+N76+P76</f>
        <v>2928</v>
      </c>
      <c r="S76" s="2599"/>
      <c r="T76" s="2599">
        <f>+T2*24</f>
        <v>744</v>
      </c>
      <c r="U76" s="567"/>
      <c r="V76" s="43">
        <f t="shared" ref="V76:V77" si="401">+R76+T76</f>
        <v>3672</v>
      </c>
      <c r="W76" s="2599"/>
      <c r="X76" s="2599">
        <f>+X2*24</f>
        <v>720</v>
      </c>
      <c r="Y76" s="2539"/>
      <c r="Z76" s="2539"/>
      <c r="AA76" s="2579"/>
      <c r="AB76" s="2579"/>
      <c r="AC76" s="2599"/>
      <c r="AD76" s="2599">
        <f>+AD2*24</f>
        <v>744</v>
      </c>
      <c r="AE76" s="567"/>
      <c r="AF76" s="567"/>
      <c r="AG76" s="2599"/>
      <c r="AH76" s="2599">
        <f>+AH2*24</f>
        <v>720</v>
      </c>
      <c r="AI76" s="567"/>
      <c r="AJ76" s="567"/>
      <c r="AK76" s="2599"/>
      <c r="AL76" s="2599">
        <f>+AL2*24</f>
        <v>744</v>
      </c>
      <c r="AM76" s="2539"/>
      <c r="AN76" s="2539"/>
      <c r="AO76" s="567"/>
      <c r="AP76" s="567"/>
      <c r="AQ76" s="2599"/>
      <c r="AR76" s="2599">
        <f>+AR2*24</f>
        <v>744</v>
      </c>
      <c r="AS76" s="567"/>
      <c r="AT76" s="567"/>
      <c r="AU76" s="2599"/>
      <c r="AV76" s="2599">
        <f>+AV2*24</f>
        <v>672</v>
      </c>
      <c r="AW76" s="567"/>
      <c r="AX76" s="567"/>
      <c r="AY76" s="2599"/>
      <c r="AZ76" s="2599">
        <f>+AZ2*24</f>
        <v>744</v>
      </c>
      <c r="BA76" s="2539"/>
      <c r="BB76" s="2539"/>
      <c r="BC76" s="2579"/>
      <c r="BD76" s="2579"/>
      <c r="BE76" s="567"/>
      <c r="BF76" s="567"/>
      <c r="BG76" s="1520"/>
      <c r="BH76" s="1520"/>
      <c r="BI76" s="26"/>
      <c r="BJ76" s="26"/>
      <c r="BK76" s="26"/>
      <c r="BL76" s="26"/>
      <c r="BM76" s="26"/>
      <c r="BN76" s="26"/>
    </row>
    <row r="77" spans="1:66" ht="15" hidden="1" thickBot="1" x14ac:dyDescent="0.35">
      <c r="A77" s="144"/>
      <c r="B77" s="3816" t="s">
        <v>1802</v>
      </c>
      <c r="C77" s="2546" t="s">
        <v>221</v>
      </c>
      <c r="D77" s="2599"/>
      <c r="E77" s="2599"/>
      <c r="F77" s="2599">
        <v>720</v>
      </c>
      <c r="G77" s="2599"/>
      <c r="H77" s="2599">
        <v>720</v>
      </c>
      <c r="I77" s="2538"/>
      <c r="J77" s="43">
        <f t="shared" si="399"/>
        <v>1440</v>
      </c>
      <c r="K77" s="2599"/>
      <c r="L77" s="2599">
        <v>720</v>
      </c>
      <c r="M77" s="2539"/>
      <c r="N77" s="2539">
        <f>+F77+H77+L77</f>
        <v>2160</v>
      </c>
      <c r="O77" s="2599"/>
      <c r="P77" s="2599">
        <v>720</v>
      </c>
      <c r="Q77" s="567"/>
      <c r="R77" s="43">
        <f t="shared" si="400"/>
        <v>2880</v>
      </c>
      <c r="S77" s="2599"/>
      <c r="T77" s="2599">
        <v>720</v>
      </c>
      <c r="U77" s="567"/>
      <c r="V77" s="43">
        <f t="shared" si="401"/>
        <v>3600</v>
      </c>
      <c r="W77" s="2599"/>
      <c r="X77" s="2599">
        <v>720</v>
      </c>
      <c r="Y77" s="2539"/>
      <c r="Z77" s="2539"/>
      <c r="AA77" s="2579"/>
      <c r="AB77" s="2579"/>
      <c r="AC77" s="2599"/>
      <c r="AD77" s="2599">
        <v>720</v>
      </c>
      <c r="AE77" s="567"/>
      <c r="AF77" s="567"/>
      <c r="AG77" s="2599"/>
      <c r="AH77" s="2599">
        <v>720</v>
      </c>
      <c r="AI77" s="567"/>
      <c r="AJ77" s="567"/>
      <c r="AK77" s="2599"/>
      <c r="AL77" s="2599">
        <v>720</v>
      </c>
      <c r="AM77" s="2539"/>
      <c r="AN77" s="2539"/>
      <c r="AO77" s="567"/>
      <c r="AP77" s="567"/>
      <c r="AQ77" s="2599"/>
      <c r="AR77" s="2599">
        <v>720</v>
      </c>
      <c r="AS77" s="567"/>
      <c r="AT77" s="567"/>
      <c r="AU77" s="2599"/>
      <c r="AV77" s="2599">
        <v>720</v>
      </c>
      <c r="AW77" s="567"/>
      <c r="AX77" s="567"/>
      <c r="AY77" s="2599"/>
      <c r="AZ77" s="2599">
        <v>720</v>
      </c>
      <c r="BA77" s="2539"/>
      <c r="BB77" s="2539"/>
      <c r="BC77" s="2579"/>
      <c r="BD77" s="2579"/>
      <c r="BE77" s="567"/>
      <c r="BF77" s="567"/>
      <c r="BG77" s="1520"/>
      <c r="BH77" s="1520"/>
      <c r="BI77" s="26"/>
      <c r="BJ77" s="26"/>
      <c r="BK77" s="26"/>
      <c r="BL77" s="26"/>
      <c r="BM77" s="26"/>
      <c r="BN77" s="26"/>
    </row>
    <row r="78" spans="1:66" x14ac:dyDescent="0.3">
      <c r="A78" s="3815"/>
      <c r="B78" s="3816" t="s">
        <v>251</v>
      </c>
      <c r="C78" s="2546" t="s">
        <v>49</v>
      </c>
      <c r="D78" s="2072">
        <v>93.429278758871092</v>
      </c>
      <c r="E78" s="1204">
        <v>96.666666666666671</v>
      </c>
      <c r="F78" s="1204">
        <f>+F50/F2*100</f>
        <v>88.888888888888886</v>
      </c>
      <c r="G78" s="1204">
        <v>96.774193548387103</v>
      </c>
      <c r="H78" s="1204">
        <f>+H50/H2*100</f>
        <v>96.102150537634401</v>
      </c>
      <c r="I78" s="3830">
        <f t="shared" ref="I78:J78" si="402">+I50/I2*100</f>
        <v>96.721311475409834</v>
      </c>
      <c r="J78" s="2062">
        <f t="shared" si="402"/>
        <v>92.554644808743163</v>
      </c>
      <c r="K78" s="1204">
        <v>96.666666666666671</v>
      </c>
      <c r="L78" s="1204">
        <f>+L50/L2*100</f>
        <v>98.703703703703709</v>
      </c>
      <c r="M78" s="1546">
        <f>M50/M2*100</f>
        <v>96.703296703296701</v>
      </c>
      <c r="N78" s="171">
        <f>+N50/N2*100</f>
        <v>94.581807081807071</v>
      </c>
      <c r="O78" s="1204">
        <v>96.774193548387103</v>
      </c>
      <c r="P78" s="1204">
        <f>+P50/P2*100</f>
        <v>99.999999999999986</v>
      </c>
      <c r="Q78" s="2603">
        <f>+Q50/Q2*100</f>
        <v>96.721311475409834</v>
      </c>
      <c r="R78" s="608">
        <f>+R50/R2*100</f>
        <v>95.958561020036413</v>
      </c>
      <c r="S78" s="1204">
        <v>96.774193548387103</v>
      </c>
      <c r="T78" s="1204">
        <f>+T50/T2*100</f>
        <v>96.852598566308231</v>
      </c>
      <c r="U78" s="824">
        <f>+U50/U2*100</f>
        <v>96.732026143790847</v>
      </c>
      <c r="V78" s="608">
        <f>+V50/V2*100</f>
        <v>96.139705882352928</v>
      </c>
      <c r="W78" s="1204">
        <v>56.722891566265062</v>
      </c>
      <c r="X78" s="1204">
        <f>+X50/X2*100</f>
        <v>98.912037037037038</v>
      </c>
      <c r="Y78" s="774">
        <f t="shared" ref="Y78:AB78" si="403">+Y50/Y2*100</f>
        <v>83.713986380303822</v>
      </c>
      <c r="Z78" s="774">
        <f t="shared" si="403"/>
        <v>98.584692028985501</v>
      </c>
      <c r="AA78" s="460">
        <f t="shared" si="403"/>
        <v>90.173151622884987</v>
      </c>
      <c r="AB78" s="460">
        <f t="shared" si="403"/>
        <v>96.594186399514257</v>
      </c>
      <c r="AC78" s="1204">
        <v>96.774193548387103</v>
      </c>
      <c r="AD78" s="1204">
        <f>+AD50/AD2*100</f>
        <v>86.87275985663085</v>
      </c>
      <c r="AE78" s="261">
        <f>+AE50/AE2*100</f>
        <v>91.1293773223736</v>
      </c>
      <c r="AF78" s="775">
        <f>+AF50/AF2*100</f>
        <v>95.185942367601243</v>
      </c>
      <c r="AG78" s="1204">
        <v>96.666666666666671</v>
      </c>
      <c r="AH78" s="1204">
        <f>+AH50/AH2*100</f>
        <v>97.025462962962962</v>
      </c>
      <c r="AI78" s="261">
        <f>+AI50/AI2*100</f>
        <v>91.810191586016202</v>
      </c>
      <c r="AJ78" s="775">
        <f>+AJ50/AJ2*100</f>
        <v>95.412112932604728</v>
      </c>
      <c r="AK78" s="1204">
        <v>96.774193548387103</v>
      </c>
      <c r="AL78" s="1204">
        <f>+AL50/AL2*100</f>
        <v>99.025537634408607</v>
      </c>
      <c r="AM78" s="774">
        <f>+AM50/AM2*100</f>
        <v>96.739130434782609</v>
      </c>
      <c r="AN78" s="774">
        <f>+AN50/AN2*100</f>
        <v>94.278381642512073</v>
      </c>
      <c r="AO78" s="261">
        <f>+AO50/AO2*100</f>
        <v>92.3697699890471</v>
      </c>
      <c r="AP78" s="775">
        <f>+AP50/AP2*100</f>
        <v>95.819444444444443</v>
      </c>
      <c r="AQ78" s="1204">
        <v>96.774193548387103</v>
      </c>
      <c r="AR78" s="1204">
        <f>+AR50/AR2*100</f>
        <v>98.107078853046431</v>
      </c>
      <c r="AS78" s="261">
        <f>+AS50/AS2*100</f>
        <v>92.815969761398534</v>
      </c>
      <c r="AT78" s="261">
        <f>+AT50/AT2*100</f>
        <v>96.0511982570806</v>
      </c>
      <c r="AU78" s="1204">
        <v>96.428571428571431</v>
      </c>
      <c r="AV78" s="1204">
        <f>+AV50/AV2*100</f>
        <v>98.487103174603163</v>
      </c>
      <c r="AW78" s="261">
        <f>+AW50/AW2*100</f>
        <v>93.118822595772315</v>
      </c>
      <c r="AX78" s="261">
        <f>+AX50/AX2*100</f>
        <v>96.255405854956749</v>
      </c>
      <c r="AY78" s="1204">
        <v>96.774193548387103</v>
      </c>
      <c r="AZ78" s="1204">
        <f>+AZ50/AZ2*100</f>
        <v>96.684587813620098</v>
      </c>
      <c r="BA78" s="774">
        <f t="shared" ref="BA78:BF78" si="404">+BA50/BA2*100</f>
        <v>96.666666666666671</v>
      </c>
      <c r="BB78" s="774">
        <f t="shared" si="404"/>
        <v>97.735339506172792</v>
      </c>
      <c r="BC78" s="460">
        <f t="shared" si="404"/>
        <v>96.703296703296701</v>
      </c>
      <c r="BD78" s="460">
        <f t="shared" si="404"/>
        <v>95.987866300366278</v>
      </c>
      <c r="BE78" s="261">
        <f t="shared" si="404"/>
        <v>93.429278758871106</v>
      </c>
      <c r="BF78" s="261">
        <f t="shared" si="404"/>
        <v>96.291856925418571</v>
      </c>
      <c r="BG78" s="1520"/>
      <c r="BH78" s="1520"/>
      <c r="BI78" s="26"/>
      <c r="BJ78" s="26"/>
      <c r="BK78" s="26"/>
      <c r="BL78" s="26"/>
      <c r="BM78" s="26"/>
      <c r="BN78" s="26"/>
    </row>
    <row r="79" spans="1:66" ht="15" hidden="1" thickBot="1" x14ac:dyDescent="0.35">
      <c r="A79" s="144"/>
      <c r="B79" s="3816" t="s">
        <v>1804</v>
      </c>
      <c r="C79" s="2546" t="s">
        <v>221</v>
      </c>
      <c r="D79" s="2794"/>
      <c r="E79" s="2797"/>
      <c r="F79" s="2599">
        <v>720</v>
      </c>
      <c r="G79" s="2797"/>
      <c r="H79" s="2599">
        <v>720</v>
      </c>
      <c r="I79" s="2538"/>
      <c r="J79" s="43">
        <f t="shared" ref="J79" si="405">+F79+H79</f>
        <v>1440</v>
      </c>
      <c r="K79" s="2797"/>
      <c r="L79" s="2599">
        <v>720</v>
      </c>
      <c r="M79" s="3322"/>
      <c r="N79" s="2539">
        <f>+F79+H79+L79</f>
        <v>2160</v>
      </c>
      <c r="O79" s="2797"/>
      <c r="P79" s="2599">
        <v>720</v>
      </c>
      <c r="Q79" s="3058"/>
      <c r="R79" s="43">
        <f t="shared" ref="R79" si="406">+N79+P79</f>
        <v>2880</v>
      </c>
      <c r="S79" s="2797"/>
      <c r="T79" s="2599">
        <v>720</v>
      </c>
      <c r="U79" s="3058"/>
      <c r="V79" s="43">
        <f t="shared" ref="V79" si="407">+R79+T79</f>
        <v>3600</v>
      </c>
      <c r="W79" s="2797"/>
      <c r="X79" s="2599">
        <v>720</v>
      </c>
      <c r="Y79" s="2539"/>
      <c r="Z79" s="2539"/>
      <c r="AA79" s="2579"/>
      <c r="AB79" s="2579"/>
      <c r="AC79" s="2797"/>
      <c r="AD79" s="2599">
        <v>720</v>
      </c>
      <c r="AE79" s="3058"/>
      <c r="AF79" s="2538"/>
      <c r="AG79" s="2797"/>
      <c r="AH79" s="2599">
        <v>720</v>
      </c>
      <c r="AI79" s="3058"/>
      <c r="AJ79" s="2538"/>
      <c r="AK79" s="2797"/>
      <c r="AL79" s="2599">
        <v>720</v>
      </c>
      <c r="AM79" s="2539"/>
      <c r="AN79" s="2539"/>
      <c r="AO79" s="3058"/>
      <c r="AP79" s="2538"/>
      <c r="AQ79" s="2797"/>
      <c r="AR79" s="2599">
        <v>720</v>
      </c>
      <c r="AS79" s="3058"/>
      <c r="AT79" s="2538"/>
      <c r="AU79" s="2797"/>
      <c r="AV79" s="2599">
        <v>720</v>
      </c>
      <c r="AW79" s="3058"/>
      <c r="AX79" s="2538"/>
      <c r="AY79" s="2797"/>
      <c r="AZ79" s="2599">
        <v>720</v>
      </c>
      <c r="BA79" s="2539"/>
      <c r="BB79" s="2539"/>
      <c r="BC79" s="2579"/>
      <c r="BD79" s="2579"/>
      <c r="BE79" s="3058"/>
      <c r="BF79" s="2538"/>
      <c r="BG79" s="1520"/>
      <c r="BH79" s="1520"/>
      <c r="BI79" s="26"/>
      <c r="BJ79" s="26"/>
      <c r="BK79" s="26"/>
      <c r="BL79" s="26"/>
      <c r="BM79" s="26"/>
      <c r="BN79" s="26"/>
    </row>
    <row r="80" spans="1:66" hidden="1" x14ac:dyDescent="0.3">
      <c r="A80" s="144"/>
      <c r="B80" s="3816" t="s">
        <v>1803</v>
      </c>
      <c r="C80" s="2546" t="s">
        <v>49</v>
      </c>
      <c r="D80" s="2794"/>
      <c r="E80" s="2797"/>
      <c r="F80" s="3838">
        <f>+F79/F77*100</f>
        <v>100</v>
      </c>
      <c r="G80" s="2797"/>
      <c r="H80" s="3838">
        <f>+H79/H77*100</f>
        <v>100</v>
      </c>
      <c r="I80" s="3820"/>
      <c r="J80" s="3837">
        <f>+J79/J77*100</f>
        <v>100</v>
      </c>
      <c r="K80" s="2797"/>
      <c r="L80" s="3838">
        <f>+L79/L77*100</f>
        <v>100</v>
      </c>
      <c r="M80" s="3322"/>
      <c r="N80" s="3249">
        <f>+N79/N77*100</f>
        <v>100</v>
      </c>
      <c r="O80" s="2797"/>
      <c r="P80" s="3838">
        <f>+P79/P77*100</f>
        <v>100</v>
      </c>
      <c r="Q80" s="3058"/>
      <c r="R80" s="3837">
        <f>+R79/R77*100</f>
        <v>100</v>
      </c>
      <c r="S80" s="2797"/>
      <c r="T80" s="3838">
        <f>+T79/T77*100</f>
        <v>100</v>
      </c>
      <c r="U80" s="3058"/>
      <c r="V80" s="3837">
        <f>+V79/V77*100</f>
        <v>100</v>
      </c>
      <c r="W80" s="2797"/>
      <c r="X80" s="3838">
        <f>+X79/X77*100</f>
        <v>100</v>
      </c>
      <c r="Y80" s="2539"/>
      <c r="Z80" s="2539"/>
      <c r="AA80" s="2579"/>
      <c r="AB80" s="2579"/>
      <c r="AC80" s="2797"/>
      <c r="AD80" s="3838">
        <f>+AD79/AD77*100</f>
        <v>100</v>
      </c>
      <c r="AE80" s="3058"/>
      <c r="AF80" s="2538"/>
      <c r="AG80" s="2797"/>
      <c r="AH80" s="3838">
        <f>+AH79/AH77*100</f>
        <v>100</v>
      </c>
      <c r="AI80" s="3058"/>
      <c r="AJ80" s="2538"/>
      <c r="AK80" s="2797"/>
      <c r="AL80" s="3838">
        <f>+AL79/AL77*100</f>
        <v>100</v>
      </c>
      <c r="AM80" s="2539"/>
      <c r="AN80" s="2539"/>
      <c r="AO80" s="3058"/>
      <c r="AP80" s="2538"/>
      <c r="AQ80" s="2797"/>
      <c r="AR80" s="3838">
        <f>+AR79/AR77*100</f>
        <v>100</v>
      </c>
      <c r="AS80" s="3058"/>
      <c r="AT80" s="2538"/>
      <c r="AU80" s="2797"/>
      <c r="AV80" s="3838">
        <f>+AV79/AV77*100</f>
        <v>100</v>
      </c>
      <c r="AW80" s="3058"/>
      <c r="AX80" s="2538"/>
      <c r="AY80" s="2797"/>
      <c r="AZ80" s="3838">
        <f>+AZ79/AZ77*100</f>
        <v>100</v>
      </c>
      <c r="BA80" s="2539"/>
      <c r="BB80" s="2539"/>
      <c r="BC80" s="2579"/>
      <c r="BD80" s="2579"/>
      <c r="BE80" s="3058"/>
      <c r="BF80" s="2538"/>
      <c r="BG80" s="1520"/>
      <c r="BH80" s="1520"/>
      <c r="BI80" s="26"/>
      <c r="BJ80" s="26"/>
      <c r="BK80" s="26"/>
      <c r="BL80" s="26"/>
      <c r="BM80" s="26"/>
      <c r="BN80" s="26"/>
    </row>
    <row r="81" spans="1:66" x14ac:dyDescent="0.3">
      <c r="A81" s="144" t="s">
        <v>470</v>
      </c>
      <c r="B81" s="3817" t="s">
        <v>250</v>
      </c>
      <c r="C81" s="2546" t="s">
        <v>249</v>
      </c>
      <c r="D81" s="2537">
        <v>1175</v>
      </c>
      <c r="E81" s="2599">
        <f>+$D$81</f>
        <v>1175</v>
      </c>
      <c r="F81" s="2599">
        <v>1169.6366534085485</v>
      </c>
      <c r="G81" s="2599">
        <v>1175</v>
      </c>
      <c r="H81" s="2599">
        <v>1185.0594910509444</v>
      </c>
      <c r="I81" s="2538">
        <f>+AVERAGE(E81,G81)</f>
        <v>1175</v>
      </c>
      <c r="J81" s="2538">
        <f>+((F81*F$2)+(H81*H$2))/J$2</f>
        <v>1177.4744889317333</v>
      </c>
      <c r="K81" s="2599">
        <v>1175</v>
      </c>
      <c r="L81" s="2599">
        <v>1191.5020847841542</v>
      </c>
      <c r="M81" s="2539">
        <f>+$D$81</f>
        <v>1175</v>
      </c>
      <c r="N81" s="2539">
        <f>+((F81*F$2)+(H81*H$2)+(L81*L$2))/N$2</f>
        <v>1182.0989710808831</v>
      </c>
      <c r="O81" s="2599">
        <v>1175</v>
      </c>
      <c r="P81" s="2599">
        <v>1200.0039557354435</v>
      </c>
      <c r="Q81" s="775">
        <f>+$D$81</f>
        <v>1175</v>
      </c>
      <c r="R81" s="775">
        <f>+((N81*N$2)+(P81*P$2))/R$2</f>
        <v>1186.6485983291732</v>
      </c>
      <c r="S81" s="2599">
        <v>1175</v>
      </c>
      <c r="T81" s="2599">
        <v>1194.6853780645938</v>
      </c>
      <c r="U81" s="775">
        <f>+$D$81</f>
        <v>1175</v>
      </c>
      <c r="V81" s="775">
        <f>+((R81*R$2)+(T81*T$2))/V$2</f>
        <v>1188.2769654651081</v>
      </c>
      <c r="W81" s="2599">
        <v>1175</v>
      </c>
      <c r="X81" s="2599">
        <v>1192.0538059017479</v>
      </c>
      <c r="Y81" s="774">
        <f>+AVERAGE(O81,S81,W81)</f>
        <v>1175</v>
      </c>
      <c r="Z81" s="774">
        <f>+((P81*P$2)+(T81*T$2)+(X81*X$2))/Z$2</f>
        <v>1195.619386139713</v>
      </c>
      <c r="AA81" s="460">
        <f>+AVERAGE(E81,G81,K81,O81,S81,W81)</f>
        <v>1175</v>
      </c>
      <c r="AB81" s="460">
        <f>+((N81*N$2)+(Z81*Z$2))/AB$2</f>
        <v>1188.896119635049</v>
      </c>
      <c r="AC81" s="2599">
        <v>1175</v>
      </c>
      <c r="AD81" s="2599">
        <v>1181.3398177837144</v>
      </c>
      <c r="AE81" s="775">
        <f>+$D$81</f>
        <v>1175</v>
      </c>
      <c r="AF81" s="775">
        <f>+((AB81*AB$2)+(AD81*AD$2))/AF$2</f>
        <v>1187.8015151612576</v>
      </c>
      <c r="AG81" s="2599">
        <v>1175</v>
      </c>
      <c r="AH81" s="2599">
        <v>1190.434694173457</v>
      </c>
      <c r="AI81" s="775">
        <f>+$D$81</f>
        <v>1175</v>
      </c>
      <c r="AJ81" s="775">
        <f>+((AF81*AF$2)+(AH81*AH$2))/AJ$2</f>
        <v>1188.1252666791511</v>
      </c>
      <c r="AK81" s="2599">
        <v>1175</v>
      </c>
      <c r="AL81" s="2599">
        <v>1174.3942610341037</v>
      </c>
      <c r="AM81" s="774">
        <f>+AVERAGE(AC81,AG81,AK81)</f>
        <v>1175</v>
      </c>
      <c r="AN81" s="774">
        <f>+((AD81*AD$2)+(AH81*AH$2)+(AL81*AL$2))/AN$2</f>
        <v>1181.9651877016963</v>
      </c>
      <c r="AO81" s="775">
        <f>+$D$81</f>
        <v>1175</v>
      </c>
      <c r="AP81" s="775">
        <f>+((AL81*AL$2)+(AJ81*AJ$2))/AP$2</f>
        <v>1186.5774078609822</v>
      </c>
      <c r="AQ81" s="2599">
        <v>1175</v>
      </c>
      <c r="AR81" s="2599">
        <v>1192.1185457792001</v>
      </c>
      <c r="AS81" s="775">
        <f>+$D$81</f>
        <v>1175</v>
      </c>
      <c r="AT81" s="775">
        <f>+((AP81*AP$2)+(AR81*AR$2))/AT$2</f>
        <v>1187.138764970344</v>
      </c>
      <c r="AU81" s="2599">
        <v>1175</v>
      </c>
      <c r="AV81" s="2599">
        <v>1190.1827846096053</v>
      </c>
      <c r="AW81" s="775">
        <f>+$D$81</f>
        <v>1175</v>
      </c>
      <c r="AX81" s="775">
        <f>+((AT81*AT$2)+(AV81*AV$2))/AX$2</f>
        <v>1187.3939522454916</v>
      </c>
      <c r="AY81" s="2599">
        <v>1175</v>
      </c>
      <c r="AZ81" s="2599">
        <v>1173.7284939713354</v>
      </c>
      <c r="BA81" s="774">
        <f>+AVERAGE(AQ81,AU81,AY81)</f>
        <v>1175</v>
      </c>
      <c r="BB81" s="774">
        <f>+((AR81*AR$2)+(AV81*AV$2)+(AZ81*AZ$2))/BB$2</f>
        <v>1185.1819577926171</v>
      </c>
      <c r="BC81" s="460">
        <f>+AVERAGE(AC81,AG81,AK81,AQ81,AU81,AY81)</f>
        <v>1175</v>
      </c>
      <c r="BD81" s="460">
        <f>+((AN81*AN$2)+(BB81*BB$2))/BD$2</f>
        <v>1183.5558981862175</v>
      </c>
      <c r="BE81" s="775">
        <f>+$D$81</f>
        <v>1175</v>
      </c>
      <c r="BF81" s="775">
        <f>+((AX81*AX$2)+(AZ81*AZ$2))/BF$2</f>
        <v>1186.2333242824811</v>
      </c>
      <c r="BG81" s="1520"/>
      <c r="BH81" s="1520"/>
      <c r="BI81" s="26"/>
      <c r="BJ81" s="26"/>
      <c r="BK81" s="26"/>
      <c r="BL81" s="26"/>
      <c r="BM81" s="26"/>
      <c r="BN81" s="26"/>
    </row>
    <row r="82" spans="1:66" x14ac:dyDescent="0.3">
      <c r="A82" s="144" t="s">
        <v>470</v>
      </c>
      <c r="B82" s="3817" t="s">
        <v>252</v>
      </c>
      <c r="C82" s="2546" t="s">
        <v>219</v>
      </c>
      <c r="D82" s="2537">
        <v>374</v>
      </c>
      <c r="E82" s="2537">
        <f>$D$82</f>
        <v>374</v>
      </c>
      <c r="F82" s="2599">
        <f>+F18/F6*1000</f>
        <v>363.92550953983107</v>
      </c>
      <c r="G82" s="2537">
        <f>$D$82</f>
        <v>374</v>
      </c>
      <c r="H82" s="2599">
        <f>+H18/H6*1000</f>
        <v>345.61695203825582</v>
      </c>
      <c r="I82" s="2538">
        <f>+I18/I6*1000</f>
        <v>374</v>
      </c>
      <c r="J82" s="2538">
        <f>+J18/J6*1000</f>
        <v>354.20879120651068</v>
      </c>
      <c r="K82" s="2537">
        <f>$D$82</f>
        <v>374</v>
      </c>
      <c r="L82" s="2599">
        <f>+L18/L6*1000</f>
        <v>316.9394936477471</v>
      </c>
      <c r="M82" s="2539">
        <f>+M18/M6*1000</f>
        <v>374</v>
      </c>
      <c r="N82" s="2539">
        <f>+N18/N6*1000</f>
        <v>341.09842315776342</v>
      </c>
      <c r="O82" s="2537">
        <f>$D$82</f>
        <v>374</v>
      </c>
      <c r="P82" s="2599">
        <f>+P18/P6*1000</f>
        <v>348.25801262986107</v>
      </c>
      <c r="Q82" s="371">
        <f>+Q18/Q6*1000</f>
        <v>374</v>
      </c>
      <c r="R82" s="371">
        <f>+R18/R6*1000</f>
        <v>342.99640658368207</v>
      </c>
      <c r="S82" s="2537">
        <f>$D$82</f>
        <v>374</v>
      </c>
      <c r="T82" s="2599">
        <f>+T18/T6*1000</f>
        <v>360.36693508265699</v>
      </c>
      <c r="U82" s="371">
        <f>+U18/U6*1000</f>
        <v>374</v>
      </c>
      <c r="V82" s="371">
        <f>+V18/V6*1000</f>
        <v>346.47481305232651</v>
      </c>
      <c r="W82" s="2537">
        <f>$D$82</f>
        <v>374</v>
      </c>
      <c r="X82" s="2599">
        <f>+X18/X6*1000</f>
        <v>352.01502802742641</v>
      </c>
      <c r="Y82" s="373">
        <f>+Y18/Y6*1000</f>
        <v>374</v>
      </c>
      <c r="Z82" s="373">
        <f>+Z18/Z6*1000</f>
        <v>353.46371969363798</v>
      </c>
      <c r="AA82" s="539">
        <f>+AA18/AA6*1000</f>
        <v>374</v>
      </c>
      <c r="AB82" s="539">
        <f>+AB18/AB6*1000</f>
        <v>347.36862968110404</v>
      </c>
      <c r="AC82" s="2537">
        <f>$D$82</f>
        <v>374</v>
      </c>
      <c r="AD82" s="2599">
        <f>+AD18/AD6*1000</f>
        <v>388.82006197216134</v>
      </c>
      <c r="AE82" s="371">
        <f>+AE18/AE6*1000</f>
        <v>374</v>
      </c>
      <c r="AF82" s="371">
        <f>+AF18/AF6*1000</f>
        <v>352.28564413173541</v>
      </c>
      <c r="AG82" s="2537">
        <f>$D$82</f>
        <v>374</v>
      </c>
      <c r="AH82" s="2599">
        <f>+AH18/AH6*1000</f>
        <v>388.74481409242418</v>
      </c>
      <c r="AI82" s="371">
        <f>+AI18/AI6*1000</f>
        <v>374</v>
      </c>
      <c r="AJ82" s="371">
        <f>+AJ18/AJ6*1000</f>
        <v>356.83843813294055</v>
      </c>
      <c r="AK82" s="2537">
        <f>$D$82</f>
        <v>374</v>
      </c>
      <c r="AL82" s="2599">
        <f>+AL18/AL6*1000</f>
        <v>387.22923624886209</v>
      </c>
      <c r="AM82" s="373">
        <f>+AM18/AM6*1000</f>
        <v>374</v>
      </c>
      <c r="AN82" s="373">
        <f>+AN18/AN6*1000</f>
        <v>388.22098005170676</v>
      </c>
      <c r="AO82" s="371">
        <f>+AO18/AO6*1000</f>
        <v>374</v>
      </c>
      <c r="AP82" s="371">
        <f>+AP18/AP6*1000</f>
        <v>360.30291758677248</v>
      </c>
      <c r="AQ82" s="2537">
        <f>$D$82</f>
        <v>374</v>
      </c>
      <c r="AR82" s="2599">
        <f>+AR18/AR6*1000</f>
        <v>384.39911391153987</v>
      </c>
      <c r="AS82" s="371">
        <f>+AS18/AS6*1000</f>
        <v>374</v>
      </c>
      <c r="AT82" s="371">
        <f>+AT18/AT6*1000</f>
        <v>362.7095311564122</v>
      </c>
      <c r="AU82" s="2537">
        <f>$D$82</f>
        <v>374</v>
      </c>
      <c r="AV82" s="2599">
        <f>+AV18/AV6*1000</f>
        <v>366.24559392761967</v>
      </c>
      <c r="AW82" s="371">
        <f>+AW18/AW6*1000</f>
        <v>374</v>
      </c>
      <c r="AX82" s="371">
        <f>+AX18/AX6*1000</f>
        <v>362.97201749736251</v>
      </c>
      <c r="AY82" s="2537">
        <f>$D$82</f>
        <v>374</v>
      </c>
      <c r="AZ82" s="2599">
        <f>+AZ18/AZ6*1000</f>
        <v>345.38483878895494</v>
      </c>
      <c r="BA82" s="373">
        <f t="shared" ref="BA82:BF82" si="408">+BA18/BA6*1000</f>
        <v>374</v>
      </c>
      <c r="BB82" s="373">
        <f t="shared" si="408"/>
        <v>365.07824798095601</v>
      </c>
      <c r="BC82" s="539">
        <f t="shared" si="408"/>
        <v>374</v>
      </c>
      <c r="BD82" s="539">
        <f t="shared" si="408"/>
        <v>376.69427863264553</v>
      </c>
      <c r="BE82" s="371">
        <f t="shared" si="408"/>
        <v>374</v>
      </c>
      <c r="BF82" s="371">
        <f t="shared" si="408"/>
        <v>361.44454061238355</v>
      </c>
      <c r="BG82" s="1520"/>
      <c r="BH82" s="1520"/>
      <c r="BI82" s="26"/>
      <c r="BJ82" s="26"/>
      <c r="BK82" s="26"/>
      <c r="BL82" s="26"/>
      <c r="BM82" s="26"/>
      <c r="BN82" s="26"/>
    </row>
    <row r="83" spans="1:66" x14ac:dyDescent="0.3">
      <c r="A83" s="144" t="s">
        <v>470</v>
      </c>
      <c r="B83" s="3818" t="s">
        <v>253</v>
      </c>
      <c r="C83" s="2546" t="s">
        <v>49</v>
      </c>
      <c r="D83" s="2615">
        <v>0.5428135593220339</v>
      </c>
      <c r="E83" s="2615">
        <v>0.53</v>
      </c>
      <c r="F83" s="2615">
        <v>0.67656430326636097</v>
      </c>
      <c r="G83" s="2615">
        <v>0.53</v>
      </c>
      <c r="H83" s="2615">
        <v>0.660483227748908</v>
      </c>
      <c r="I83" s="2873">
        <f>+((E83*E$6)+(G83*G$6))/I$6</f>
        <v>0.53</v>
      </c>
      <c r="J83" s="2873">
        <f>+((F83*F$6)+(H83*H$6))/J$6</f>
        <v>0.66802975425634203</v>
      </c>
      <c r="K83" s="2615">
        <v>0.53</v>
      </c>
      <c r="L83" s="2615">
        <v>0.61333254599500653</v>
      </c>
      <c r="M83" s="3322">
        <f>+((E83*E$6)+(G83*G$6)+(K83*K$6))/M$6</f>
        <v>0.53</v>
      </c>
      <c r="N83" s="3322">
        <f>+((F83*F$6)+(H83*H$6)+(L83*L$6))/N$6</f>
        <v>0.6487887012041772</v>
      </c>
      <c r="O83" s="2615">
        <v>0.53</v>
      </c>
      <c r="P83" s="2615">
        <v>0.64083776122853031</v>
      </c>
      <c r="Q83" s="370">
        <f>+((M83*M$6)+(O83*O$6))/Q$6</f>
        <v>0.53</v>
      </c>
      <c r="R83" s="370">
        <f>+((N83*N$6)+(P83*P$6))/R$6</f>
        <v>0.64668093338409982</v>
      </c>
      <c r="S83" s="2615">
        <v>0.53</v>
      </c>
      <c r="T83" s="2615">
        <v>0.6053749134978198</v>
      </c>
      <c r="U83" s="370">
        <f>+((Q83*Q$6)+(S83*S$6))/U$6</f>
        <v>0.53</v>
      </c>
      <c r="V83" s="370">
        <f>+((R83*R$6)+(T83*T$6))/V$6</f>
        <v>0.6384095024500972</v>
      </c>
      <c r="W83" s="2615">
        <v>0.8</v>
      </c>
      <c r="X83" s="2615">
        <v>0.62674386842722107</v>
      </c>
      <c r="Y83" s="372">
        <f>+((O83*O$6)+(S83*S$6)+(W83*W$6))/Y$6</f>
        <v>0.58815384615384614</v>
      </c>
      <c r="Z83" s="372">
        <f>+((P83*P$6)+(T83*T$6)+(X83*X$6))/Z$6</f>
        <v>0.62460864863418319</v>
      </c>
      <c r="AA83" s="488">
        <f>+((M83*M$6)+(Y83*Y$6))/AA$6</f>
        <v>0.55673267326732678</v>
      </c>
      <c r="AB83" s="488">
        <f>+((N83*N$6)+(Z83*Z$6))/AB$6</f>
        <v>0.63652745676744016</v>
      </c>
      <c r="AC83" s="2615">
        <v>0.53</v>
      </c>
      <c r="AD83" s="2615">
        <v>0.73821603012782222</v>
      </c>
      <c r="AE83" s="370">
        <f>+((AA83*AA$6)+(AC83*AC$6))/AE$6</f>
        <v>0.55258064516129035</v>
      </c>
      <c r="AF83" s="370">
        <f>+((AB83*AB$6)+(AD83*AD$6))/AF$6</f>
        <v>0.64858986708817978</v>
      </c>
      <c r="AG83" s="2615">
        <v>0.53</v>
      </c>
      <c r="AH83" s="2615">
        <v>0.54765789463279879</v>
      </c>
      <c r="AI83" s="370">
        <f>+((AE83*AE$6)+(AG83*AG$6))/AI$6</f>
        <v>0.54962616822429911</v>
      </c>
      <c r="AJ83" s="370">
        <f>+((AF83*AF$6)+(AH83*AH$6))/AJ$6</f>
        <v>0.63598611118204895</v>
      </c>
      <c r="AK83" s="2615">
        <v>0.53</v>
      </c>
      <c r="AL83" s="2615">
        <v>0.59122406056901544</v>
      </c>
      <c r="AM83" s="372">
        <f>+((AC83*AC$6)+(AG83*AG$6)+(AK83*AK$6))/AM$6</f>
        <v>0.53</v>
      </c>
      <c r="AN83" s="372">
        <f>+((AD83*AD$6)+(AH83*AH$6)+(AL83*AL$6))/AN$6</f>
        <v>0.61870078364403347</v>
      </c>
      <c r="AO83" s="370">
        <f>+((AK83*AK$6)+(AI83*AI$6))/AO$6</f>
        <v>0.547291857273559</v>
      </c>
      <c r="AP83" s="370">
        <f>+((AL83*AL$6)+(AJ83*AJ$6))/AP$6</f>
        <v>0.63088334276942892</v>
      </c>
      <c r="AQ83" s="2615">
        <v>0.53</v>
      </c>
      <c r="AR83" s="2615">
        <v>0.69047408598412296</v>
      </c>
      <c r="AS83" s="370">
        <f>+((AO83*AO$6)+(AQ83*AQ$6))/AS$6</f>
        <v>0.54542857142857137</v>
      </c>
      <c r="AT83" s="370">
        <f>+((AP83*AP$6)+(AR83*AR$6))/AT$6</f>
        <v>0.63683498299149954</v>
      </c>
      <c r="AU83" s="2615">
        <v>0.53</v>
      </c>
      <c r="AV83" s="2615">
        <v>0.87010859275438568</v>
      </c>
      <c r="AW83" s="370">
        <f>+((AS83*AS$6)+(AU83*AU$6))/AW$6</f>
        <v>0.54407297096053597</v>
      </c>
      <c r="AX83" s="376">
        <f>+((AT83*AT$6)+(AV83*AV$6))/AX$6</f>
        <v>0.6541511734068689</v>
      </c>
      <c r="AY83" s="2615">
        <v>0.53</v>
      </c>
      <c r="AZ83" s="2615">
        <v>0.61038668739689161</v>
      </c>
      <c r="BA83" s="372">
        <f>+((AQ83*AQ$6)+(AU83*AU$6)+(AY83*AY$6))/BA$6</f>
        <v>0.53</v>
      </c>
      <c r="BB83" s="372">
        <f>+((AR83*AR$6)+(AV83*AV$6)+(AZ83*AZ$6))/BB$6</f>
        <v>0.71231166389858636</v>
      </c>
      <c r="BC83" s="488">
        <f>+((AM83*AM$6)+(BA83*BA$6))/BC$6</f>
        <v>0.53</v>
      </c>
      <c r="BD83" s="488">
        <f>+((AN83*AN$6)+(BB83*BB$6))/BD$6</f>
        <v>0.66532555823723982</v>
      </c>
      <c r="BE83" s="370">
        <f>+((AW83*AW$6)+(AY83*AY$6))/BE$6</f>
        <v>0.54281355932203379</v>
      </c>
      <c r="BF83" s="376">
        <f>+((AX83*AX$6)+(AZ83*AZ$6))/BF$6</f>
        <v>0.65035015211337022</v>
      </c>
      <c r="BG83" s="1520"/>
      <c r="BH83" s="1520"/>
      <c r="BI83" s="26"/>
      <c r="BJ83" s="26"/>
      <c r="BK83" s="26"/>
      <c r="BL83" s="26"/>
      <c r="BM83" s="26"/>
      <c r="BN83" s="26"/>
    </row>
    <row r="84" spans="1:66" ht="15.75" customHeight="1" x14ac:dyDescent="0.3">
      <c r="A84" s="144" t="s">
        <v>470</v>
      </c>
      <c r="B84" s="3818" t="s">
        <v>254</v>
      </c>
      <c r="C84" s="2546" t="s">
        <v>49</v>
      </c>
      <c r="D84" s="2619">
        <v>0.05</v>
      </c>
      <c r="E84" s="2619">
        <v>0.05</v>
      </c>
      <c r="F84" s="2619">
        <v>4.139445683669999E-2</v>
      </c>
      <c r="G84" s="2619">
        <v>0.05</v>
      </c>
      <c r="H84" s="2619">
        <v>4.23272247596422E-2</v>
      </c>
      <c r="I84" s="3071">
        <f>+((E84*E$6)+(G84*G$6))/I$6</f>
        <v>0.05</v>
      </c>
      <c r="J84" s="3071">
        <f>+((F84*F$6)+(H84*H$6))/J$6</f>
        <v>4.1889495464227357E-2</v>
      </c>
      <c r="K84" s="2619">
        <v>0.05</v>
      </c>
      <c r="L84" s="2619">
        <v>3.8166186015443859E-2</v>
      </c>
      <c r="M84" s="3326">
        <f>+((E84*E$6)+(G84*G$6)+(K84*K$6))/M$6</f>
        <v>0.05</v>
      </c>
      <c r="N84" s="3326">
        <f>+((F84*F$6)+(H84*H$6)+(L84*L$6))/N$6</f>
        <v>4.0579732189082084E-2</v>
      </c>
      <c r="O84" s="2619">
        <v>0.05</v>
      </c>
      <c r="P84" s="2619">
        <v>3.4138594926817221E-2</v>
      </c>
      <c r="Q84" s="370">
        <f>+((M84*M$6)+(O84*O$6))/Q$6</f>
        <v>0.05</v>
      </c>
      <c r="R84" s="370">
        <f>+((N84*N$6)+(P84*P$6))/R$6</f>
        <v>3.887220806140828E-2</v>
      </c>
      <c r="S84" s="2619">
        <v>0.05</v>
      </c>
      <c r="T84" s="2619">
        <v>3.4513028989228228E-2</v>
      </c>
      <c r="U84" s="370">
        <f>+((Q84*Q$6)+(S84*S$6))/U$6</f>
        <v>0.05</v>
      </c>
      <c r="V84" s="370">
        <f>+((R84*R$6)+(T84*T$6))/V$6</f>
        <v>3.7999292957901463E-2</v>
      </c>
      <c r="W84" s="2619">
        <v>0.05</v>
      </c>
      <c r="X84" s="2619">
        <v>3.549951756153763E-2</v>
      </c>
      <c r="Y84" s="372">
        <f>+((O84*O$6)+(S84*S$6)+(W84*W$6))/Y$6</f>
        <v>0.05</v>
      </c>
      <c r="Z84" s="372">
        <f>+((P84*P$6)+(T84*T$6)+(X84*X$6))/Z$6</f>
        <v>3.46955945595342E-2</v>
      </c>
      <c r="AA84" s="488">
        <f>+((M84*M$6)+(Y84*Y$6))/AA$6</f>
        <v>0.05</v>
      </c>
      <c r="AB84" s="488">
        <f>+((N84*N$6)+(Z84*Z$6))/AB$6</f>
        <v>3.7595997990554381E-2</v>
      </c>
      <c r="AC84" s="2619">
        <v>0.05</v>
      </c>
      <c r="AD84" s="2619">
        <v>3.8858986537832957E-2</v>
      </c>
      <c r="AE84" s="370">
        <f>+((AA84*AA$6)+(AC84*AC$6))/AE$6</f>
        <v>0.05</v>
      </c>
      <c r="AF84" s="376">
        <f>+((AB84*AB$6)+(AD84*AD$6))/AF$6</f>
        <v>3.7745815079969901E-2</v>
      </c>
      <c r="AG84" s="2619">
        <v>0.05</v>
      </c>
      <c r="AH84" s="2619">
        <v>3.3078521245884285E-2</v>
      </c>
      <c r="AI84" s="370">
        <f>+((AE84*AE$6)+(AG84*AG$6))/AI$6</f>
        <v>0.05</v>
      </c>
      <c r="AJ84" s="376">
        <f>+((AF84*AF$6)+(AH84*AH$6))/AJ$6</f>
        <v>3.716299250357559E-2</v>
      </c>
      <c r="AK84" s="2619">
        <v>0.05</v>
      </c>
      <c r="AL84" s="2619">
        <v>3.2638060149334992E-2</v>
      </c>
      <c r="AM84" s="372">
        <f>+((AC84*AC$6)+(AG84*AG$6)+(AK84*AK$6))/AM$6</f>
        <v>0.05</v>
      </c>
      <c r="AN84" s="372">
        <f>+((AD84*AD$6)+(AH84*AH$6)+(AL84*AL$6))/AN$6</f>
        <v>3.4599139798159123E-2</v>
      </c>
      <c r="AO84" s="376">
        <f>+((AK84*AK$6)+(AI84*AI$6))/AO$6</f>
        <v>0.05</v>
      </c>
      <c r="AP84" s="376">
        <f>+((AL84*AL$6)+(AJ84*AJ$6))/AP$6</f>
        <v>3.6647160865609076E-2</v>
      </c>
      <c r="AQ84" s="2619">
        <v>0.05</v>
      </c>
      <c r="AR84" s="2619">
        <v>3.3590154307706899E-2</v>
      </c>
      <c r="AS84" s="376">
        <f>+((AO84*AO$6)+(AQ84*AQ$6))/AS$6</f>
        <v>0.05</v>
      </c>
      <c r="AT84" s="376">
        <f>+((AP84*AP$6)+(AR84*AR$6))/AT$6</f>
        <v>3.6341841579296527E-2</v>
      </c>
      <c r="AU84" s="2619">
        <v>0.05</v>
      </c>
      <c r="AV84" s="2619">
        <v>3.347434243144469E-2</v>
      </c>
      <c r="AW84" s="376">
        <f>+((AS84*AS$6)+(AU84*AU$6))/AW$6</f>
        <v>0.05</v>
      </c>
      <c r="AX84" s="376">
        <f>+((AT84*AT$6)+(AV84*AV$6))/AX$6</f>
        <v>3.6128983548289147E-2</v>
      </c>
      <c r="AY84" s="2619">
        <v>0.05</v>
      </c>
      <c r="AZ84" s="2619">
        <v>3.2579820086642078E-2</v>
      </c>
      <c r="BA84" s="372">
        <f>+((AQ84*AQ$6)+(AU84*AU$6)+(AY84*AY$6))/BA$6</f>
        <v>0.05</v>
      </c>
      <c r="BB84" s="372">
        <f>+((AR84*AR$6)+(AV84*AV$6)+(AZ84*AZ$6))/BB$6</f>
        <v>3.3190268267081997E-2</v>
      </c>
      <c r="BC84" s="488">
        <f>+((AM84*AM$6)+(BA84*BA$6))/BC$6</f>
        <v>0.05</v>
      </c>
      <c r="BD84" s="488">
        <f>+((AN84*AN$6)+(BB84*BB$6))/BD$6</f>
        <v>3.3897423102528954E-2</v>
      </c>
      <c r="BE84" s="376">
        <f>+((AW84*AW$6)+(AY84*AY$6))/BE$6</f>
        <v>0.05</v>
      </c>
      <c r="BF84" s="376">
        <f>+((AX84*AX$6)+(AZ84*AZ$6))/BF$6</f>
        <v>3.5820732563946446E-2</v>
      </c>
      <c r="BG84" s="1520"/>
      <c r="BH84" s="1520"/>
      <c r="BI84" s="26"/>
      <c r="BJ84" s="26"/>
      <c r="BK84" s="26"/>
      <c r="BL84" s="26"/>
      <c r="BM84" s="26"/>
      <c r="BN84" s="26"/>
    </row>
    <row r="85" spans="1:66" x14ac:dyDescent="0.3">
      <c r="A85" s="144"/>
      <c r="B85" s="3819" t="s">
        <v>260</v>
      </c>
      <c r="C85" s="2546" t="s">
        <v>210</v>
      </c>
      <c r="D85" s="2599">
        <f>+(D86*D6)/1000000</f>
        <v>4513.5</v>
      </c>
      <c r="E85" s="2599">
        <f>+(E86*E6)/1000000</f>
        <v>388.08</v>
      </c>
      <c r="F85" s="2599">
        <v>338.28068159999998</v>
      </c>
      <c r="G85" s="2599">
        <f>+(G86*G6)/1000000</f>
        <v>401.7</v>
      </c>
      <c r="H85" s="2599">
        <v>383.98136640000001</v>
      </c>
      <c r="I85" s="2538">
        <f>+E85+G85</f>
        <v>789.78</v>
      </c>
      <c r="J85" s="2538">
        <f>+F85+H85</f>
        <v>722.26204800000005</v>
      </c>
      <c r="K85" s="2599">
        <f>+(K86*K6)/1000000</f>
        <v>388.08</v>
      </c>
      <c r="L85" s="2599">
        <v>385.35410880000001</v>
      </c>
      <c r="M85" s="2539">
        <f>E85+G85+K85</f>
        <v>1177.8599999999999</v>
      </c>
      <c r="N85" s="2539">
        <f>F85+H85+L85</f>
        <v>1107.6161568</v>
      </c>
      <c r="O85" s="2599">
        <f>+(O86*O6)/1000000</f>
        <v>397.79999999999995</v>
      </c>
      <c r="P85" s="2599">
        <v>403.9</v>
      </c>
      <c r="Q85" s="261">
        <f>+M85+O85</f>
        <v>1575.6599999999999</v>
      </c>
      <c r="R85" s="261">
        <f>+N85+P85</f>
        <v>1511.5161567999999</v>
      </c>
      <c r="S85" s="2599">
        <f>+(S86*S6)/1000000</f>
        <v>395.25</v>
      </c>
      <c r="T85" s="2599">
        <v>388.2912048</v>
      </c>
      <c r="U85" s="261">
        <f>+Q85+S85</f>
        <v>1970.9099999999999</v>
      </c>
      <c r="V85" s="261">
        <f>+R85+T85</f>
        <v>1899.8073615999999</v>
      </c>
      <c r="W85" s="2599">
        <f>+(W86*W6)/1000000</f>
        <v>217</v>
      </c>
      <c r="X85" s="2599">
        <v>381.38400000000001</v>
      </c>
      <c r="Y85" s="774">
        <f>+W85+S85+O85</f>
        <v>1010.05</v>
      </c>
      <c r="Z85" s="774">
        <f>+X85+T85+P85</f>
        <v>1173.5752047999999</v>
      </c>
      <c r="AA85" s="461">
        <f>M85+Y85</f>
        <v>2187.91</v>
      </c>
      <c r="AB85" s="460">
        <f>N85+Z85</f>
        <v>2281.1913616000002</v>
      </c>
      <c r="AC85" s="2599">
        <f>+(AC86*AC6)/1000000</f>
        <v>400.40000000000003</v>
      </c>
      <c r="AD85" s="2599">
        <v>323.8</v>
      </c>
      <c r="AE85" s="261">
        <f>+AA85+AC85</f>
        <v>2588.31</v>
      </c>
      <c r="AF85" s="261">
        <f>+AB85+AD85</f>
        <v>2604.9913616000003</v>
      </c>
      <c r="AG85" s="2599">
        <f>+(AG86*AG6)/1000000</f>
        <v>388.08000000000004</v>
      </c>
      <c r="AH85" s="2599">
        <v>365.8</v>
      </c>
      <c r="AI85" s="261">
        <f>+AE85+AG85</f>
        <v>2976.39</v>
      </c>
      <c r="AJ85" s="261">
        <f>+AF85+AH85</f>
        <v>2970.7913616000005</v>
      </c>
      <c r="AK85" s="2599">
        <f>+(AK86*AK6)/1000000</f>
        <v>400.40000000000003</v>
      </c>
      <c r="AL85" s="2599">
        <v>384.5</v>
      </c>
      <c r="AM85" s="774">
        <f>+AK85+AG85+AC85</f>
        <v>1188.8800000000001</v>
      </c>
      <c r="AN85" s="774">
        <f>+AL85+AH85+AD85</f>
        <v>1074.0999999999999</v>
      </c>
      <c r="AO85" s="261">
        <f>+AK85+AI85</f>
        <v>3376.79</v>
      </c>
      <c r="AP85" s="261">
        <f>+AL85+AJ85</f>
        <v>3355.2913616000005</v>
      </c>
      <c r="AQ85" s="2599">
        <f>+(AQ86*AQ6)/1000000</f>
        <v>401.28</v>
      </c>
      <c r="AR85" s="2599">
        <v>385.8</v>
      </c>
      <c r="AS85" s="775">
        <f>+AO85+AQ85</f>
        <v>3778.0699999999997</v>
      </c>
      <c r="AT85" s="775">
        <f>+AP85+AR85</f>
        <v>3741.0913616000007</v>
      </c>
      <c r="AU85" s="2599">
        <f>+(AU86*AU6)/1000000</f>
        <v>362.26</v>
      </c>
      <c r="AV85" s="2599">
        <v>344.7</v>
      </c>
      <c r="AW85" s="775">
        <f>+AS85+AU85</f>
        <v>4140.33</v>
      </c>
      <c r="AX85" s="775">
        <f>+AT85+AV85</f>
        <v>4085.7913616000005</v>
      </c>
      <c r="AY85" s="2599">
        <f>+(AY86*AY6)/1000000</f>
        <v>401.28</v>
      </c>
      <c r="AZ85" s="2599">
        <v>376.6</v>
      </c>
      <c r="BA85" s="774">
        <f>+AY85+AU85+AQ85</f>
        <v>1164.82</v>
      </c>
      <c r="BB85" s="774">
        <f>+AZ85+AV85+AR85</f>
        <v>1107.0999999999999</v>
      </c>
      <c r="BC85" s="461">
        <f>AM85+BA85</f>
        <v>2353.6999999999998</v>
      </c>
      <c r="BD85" s="461">
        <f>AN85+BB85</f>
        <v>2181.1999999999998</v>
      </c>
      <c r="BE85" s="261">
        <f>+AW85+AY85</f>
        <v>4541.6099999999997</v>
      </c>
      <c r="BF85" s="261">
        <f>+AX85+AZ85</f>
        <v>4462.3913616000009</v>
      </c>
      <c r="BG85" s="1520">
        <f t="shared" ref="BG85:BG107" si="409">AY85+AU85+AQ85+AK85+AG85+AC85+W85+S85+O85+K85+G85+E85-BE85</f>
        <v>0</v>
      </c>
      <c r="BH85" s="1520">
        <f t="shared" ref="BH85:BH107" si="410">AZ85+AV85+AR85+AL85+AH85+AD85+X85+T85+P85+L85+H85+F85-BF85</f>
        <v>0</v>
      </c>
      <c r="BI85" s="26"/>
      <c r="BJ85" s="26"/>
      <c r="BK85" s="26"/>
      <c r="BL85" s="26"/>
      <c r="BM85" s="26"/>
      <c r="BN85" s="26"/>
    </row>
    <row r="86" spans="1:66" x14ac:dyDescent="0.3">
      <c r="A86" s="144"/>
      <c r="B86" s="3819" t="s">
        <v>261</v>
      </c>
      <c r="C86" s="2546" t="s">
        <v>255</v>
      </c>
      <c r="D86" s="2599">
        <v>1530</v>
      </c>
      <c r="E86" s="2599">
        <v>1540</v>
      </c>
      <c r="F86" s="2599">
        <f t="shared" ref="F86:R86" si="411">+(F85*1000000)/F6</f>
        <v>1495.9857778155151</v>
      </c>
      <c r="G86" s="2599">
        <v>1545</v>
      </c>
      <c r="H86" s="2599">
        <f t="shared" ref="H86" si="412">+(H85*1000000)/H6</f>
        <v>1501.5055529073725</v>
      </c>
      <c r="I86" s="2538">
        <f t="shared" si="411"/>
        <v>1542.5390625</v>
      </c>
      <c r="J86" s="2538">
        <f t="shared" si="411"/>
        <v>1498.9152330621253</v>
      </c>
      <c r="K86" s="2599">
        <v>1540</v>
      </c>
      <c r="L86" s="2599">
        <f t="shared" ref="L86" si="413">+(L85*1000000)/L6</f>
        <v>1473.6863978302797</v>
      </c>
      <c r="M86" s="2539">
        <f t="shared" si="411"/>
        <v>1541.7015706806283</v>
      </c>
      <c r="N86" s="2539">
        <f t="shared" si="411"/>
        <v>1490.0403860165329</v>
      </c>
      <c r="O86" s="2599">
        <v>1559.9999999999998</v>
      </c>
      <c r="P86" s="2599">
        <f t="shared" ref="P86" si="414">+(P85*1000000)/P6</f>
        <v>1506.2897573415307</v>
      </c>
      <c r="Q86" s="775">
        <f t="shared" si="411"/>
        <v>1546.2806673209027</v>
      </c>
      <c r="R86" s="775">
        <f t="shared" si="411"/>
        <v>1494.3480404674813</v>
      </c>
      <c r="S86" s="2599">
        <v>1550</v>
      </c>
      <c r="T86" s="2599">
        <f t="shared" ref="T86" si="415">+(T85*1000000)/T6</f>
        <v>1533.1504598371025</v>
      </c>
      <c r="U86" s="775">
        <f t="shared" ref="U86:V86" si="416">+(U85*1000000)/U6</f>
        <v>1547.0251177394032</v>
      </c>
      <c r="V86" s="775">
        <f t="shared" si="416"/>
        <v>1502.1181314317434</v>
      </c>
      <c r="W86" s="2599">
        <v>1550</v>
      </c>
      <c r="X86" s="2599">
        <f t="shared" ref="X86" si="417">+(X85*1000000)/X6</f>
        <v>1567.5629908087797</v>
      </c>
      <c r="Y86" s="348">
        <f>+(Y85*1000000)/Y6</f>
        <v>1553.9230769230769</v>
      </c>
      <c r="Z86" s="348">
        <f>+(Z85*1000000)/Z6</f>
        <v>1534.6804503132128</v>
      </c>
      <c r="AA86" s="461">
        <f>+(AA85*1000000)/AA6</f>
        <v>1547.3196605374824</v>
      </c>
      <c r="AB86" s="460">
        <f>+(AB85*1000000)/AB6</f>
        <v>1512.6765129822979</v>
      </c>
      <c r="AC86" s="2599">
        <v>1540.0000000000002</v>
      </c>
      <c r="AD86" s="2599">
        <f t="shared" ref="AD86" si="418">+(AD85*1000000)/AD6</f>
        <v>1595.3717467448357</v>
      </c>
      <c r="AE86" s="775">
        <f t="shared" ref="AE86:AF86" si="419">+(AE85*1000000)/AE6</f>
        <v>1546.1827956989248</v>
      </c>
      <c r="AF86" s="775">
        <f t="shared" si="419"/>
        <v>1522.4859124875707</v>
      </c>
      <c r="AG86" s="2599">
        <v>1540.0000000000002</v>
      </c>
      <c r="AH86" s="2599">
        <f t="shared" ref="AH86" si="420">+(AH85*1000000)/AH6</f>
        <v>1498.2703128673488</v>
      </c>
      <c r="AI86" s="775">
        <f t="shared" ref="AI86:AJ86" si="421">+(AI85*1000000)/AI6</f>
        <v>1545.3738317757009</v>
      </c>
      <c r="AJ86" s="775">
        <f t="shared" si="421"/>
        <v>1519.4620192720804</v>
      </c>
      <c r="AK86" s="2599">
        <v>1540.0000000000002</v>
      </c>
      <c r="AL86" s="2599">
        <f t="shared" ref="AL86" si="422">+(AL85*1000000)/AL6</f>
        <v>1528.4563187457518</v>
      </c>
      <c r="AM86" s="348">
        <f>+(AM85*1000000)/AM6</f>
        <v>1540</v>
      </c>
      <c r="AN86" s="348">
        <f>+(AN85*1000000)/AN6</f>
        <v>1537.3466750387488</v>
      </c>
      <c r="AO86" s="775">
        <f t="shared" ref="AO86:AP86" si="423">+(AO85*1000000)/AO6</f>
        <v>1544.7346752058554</v>
      </c>
      <c r="AP86" s="775">
        <f t="shared" si="423"/>
        <v>1520.4873482420303</v>
      </c>
      <c r="AQ86" s="2599">
        <v>1520</v>
      </c>
      <c r="AR86" s="2599">
        <f t="shared" ref="AR86" si="424">+(AR85*1000000)/AR6</f>
        <v>1575.6495572416577</v>
      </c>
      <c r="AS86" s="775">
        <f t="shared" ref="AS86:AT86" si="425">+(AS85*1000000)/AS6</f>
        <v>1542.0693877551018</v>
      </c>
      <c r="AT86" s="775">
        <f t="shared" si="425"/>
        <v>1525.9966875136961</v>
      </c>
      <c r="AU86" s="2599">
        <v>1535</v>
      </c>
      <c r="AV86" s="2599">
        <f t="shared" ref="AV86" si="426">+(AV85*1000000)/AV6</f>
        <v>1753.5265112147865</v>
      </c>
      <c r="AW86" s="775">
        <f t="shared" ref="AW86:AX86" si="427">+(AW85*1000000)/AW6</f>
        <v>1541.4482501861505</v>
      </c>
      <c r="AX86" s="775">
        <f t="shared" si="427"/>
        <v>1542.886509540235</v>
      </c>
      <c r="AY86" s="2599">
        <v>1520</v>
      </c>
      <c r="AZ86" s="2599">
        <f t="shared" ref="AZ86" si="428">+(AZ85*1000000)/AZ6</f>
        <v>1495.2056940100852</v>
      </c>
      <c r="BA86" s="348">
        <f>+(BA85*1000000)/BA6</f>
        <v>1524.6335078534032</v>
      </c>
      <c r="BB86" s="348">
        <f>+(BB85*1000000)/BB6</f>
        <v>1596.859303295666</v>
      </c>
      <c r="BC86" s="461">
        <f>+(BC85*1000000)/BC6</f>
        <v>1532.3567708333333</v>
      </c>
      <c r="BD86" s="461">
        <f>+(BD85*1000000)/BD6</f>
        <v>1566.9881319974136</v>
      </c>
      <c r="BE86" s="775">
        <f t="shared" ref="BE86:BF86" si="429">+(BE85*1000000)/BE6</f>
        <v>1539.5288135593221</v>
      </c>
      <c r="BF86" s="775">
        <f t="shared" si="429"/>
        <v>1538.7453482552573</v>
      </c>
      <c r="BG86" s="1520"/>
      <c r="BH86" s="1520"/>
      <c r="BI86" s="26"/>
      <c r="BJ86" s="26"/>
      <c r="BK86" s="26"/>
      <c r="BL86" s="26"/>
      <c r="BM86" s="26"/>
      <c r="BN86" s="26"/>
    </row>
    <row r="87" spans="1:66" x14ac:dyDescent="0.3">
      <c r="A87" s="144"/>
      <c r="B87" s="1713" t="s">
        <v>259</v>
      </c>
      <c r="C87" s="546" t="s">
        <v>212</v>
      </c>
      <c r="D87" s="202">
        <v>880</v>
      </c>
      <c r="E87" s="202">
        <f>+$D$87</f>
        <v>880</v>
      </c>
      <c r="F87" s="1118">
        <v>919.02170003961578</v>
      </c>
      <c r="G87" s="202">
        <f>+$D$87</f>
        <v>880</v>
      </c>
      <c r="H87" s="1118">
        <v>916.02929177382873</v>
      </c>
      <c r="I87" s="60">
        <v>880</v>
      </c>
      <c r="J87" s="38">
        <f>+((F87*F85)+(H85*H87))/J85</f>
        <v>917.43082451472094</v>
      </c>
      <c r="K87" s="202">
        <f>+$D$87</f>
        <v>880</v>
      </c>
      <c r="L87" s="1118">
        <v>917</v>
      </c>
      <c r="M87" s="782">
        <f>+$D$87</f>
        <v>880</v>
      </c>
      <c r="N87" s="68">
        <f>+((F87*F85)+(H87*H85)+(L85*L87))/N85</f>
        <v>917.28093504633409</v>
      </c>
      <c r="O87" s="202">
        <f>+$D$87</f>
        <v>880</v>
      </c>
      <c r="P87" s="1118">
        <v>913</v>
      </c>
      <c r="Q87" s="60">
        <v>880</v>
      </c>
      <c r="R87" s="38">
        <f>+((N87*N85)+(P85*P87))/R85</f>
        <v>916.13700439270826</v>
      </c>
      <c r="S87" s="202">
        <f>+$D$87</f>
        <v>880</v>
      </c>
      <c r="T87" s="1118">
        <v>916.48533097577422</v>
      </c>
      <c r="U87" s="60">
        <v>880</v>
      </c>
      <c r="V87" s="38">
        <f>+((R87*R85)+(T85*T87))/V85</f>
        <v>916.20819695219427</v>
      </c>
      <c r="W87" s="202">
        <f>+$D$87</f>
        <v>880</v>
      </c>
      <c r="X87" s="1118">
        <v>917.97</v>
      </c>
      <c r="Y87" s="782">
        <v>880</v>
      </c>
      <c r="Z87" s="68">
        <f>+((P87*P85)+(T87*T85)+(X85*X87))/Z85</f>
        <v>915.76829455021061</v>
      </c>
      <c r="AA87" s="829">
        <v>880</v>
      </c>
      <c r="AB87" s="449">
        <f>+((N87*N85)+(Z85*Z87))/AB85</f>
        <v>916.50274632884657</v>
      </c>
      <c r="AC87" s="202">
        <f>+$D$87</f>
        <v>880</v>
      </c>
      <c r="AD87" s="1118">
        <v>918</v>
      </c>
      <c r="AE87" s="60">
        <v>880</v>
      </c>
      <c r="AF87" s="38">
        <f>+((AB87*AB85)+(AD85*AD87))/AF85</f>
        <v>916.68885471517967</v>
      </c>
      <c r="AG87" s="202">
        <f>+$D$87</f>
        <v>880</v>
      </c>
      <c r="AH87" s="1118">
        <v>919</v>
      </c>
      <c r="AI87" s="60">
        <v>880</v>
      </c>
      <c r="AJ87" s="38">
        <f>+((AF87*AF85)+(AH85*AH87))/AJ85</f>
        <v>916.97343105942082</v>
      </c>
      <c r="AK87" s="202">
        <f>+$D$87</f>
        <v>880</v>
      </c>
      <c r="AL87" s="1118">
        <v>920.71</v>
      </c>
      <c r="AM87" s="782">
        <v>880</v>
      </c>
      <c r="AN87" s="68">
        <f>+((AD87*AD85)+(AH87*AH85)+(AL85*AL87))/AN85</f>
        <v>919.31067405269539</v>
      </c>
      <c r="AO87" s="60">
        <v>880</v>
      </c>
      <c r="AP87" s="38">
        <f>+((AL87*AL85)+(AJ85*AJ87))/AP85</f>
        <v>917.40162360749446</v>
      </c>
      <c r="AQ87" s="202">
        <f>+$D$87</f>
        <v>880</v>
      </c>
      <c r="AR87" s="1118">
        <v>914.9</v>
      </c>
      <c r="AS87" s="60">
        <v>880</v>
      </c>
      <c r="AT87" s="38">
        <f>+((AP87*AP85)+(AR85*AR87))/AT85</f>
        <v>917.14364370417582</v>
      </c>
      <c r="AU87" s="202">
        <f>+$D$87</f>
        <v>880</v>
      </c>
      <c r="AV87" s="1118">
        <v>882</v>
      </c>
      <c r="AW87" s="60">
        <v>880</v>
      </c>
      <c r="AX87" s="38">
        <f>+((AT87*AT85)+(AV85*AV87))/AX85</f>
        <v>914.17873117861666</v>
      </c>
      <c r="AY87" s="202">
        <f>+$D$87</f>
        <v>880</v>
      </c>
      <c r="AZ87" s="1118">
        <v>896</v>
      </c>
      <c r="BA87" s="782">
        <v>880</v>
      </c>
      <c r="BB87" s="68">
        <f>+((AR87*AR85)+(AV87*AV85)+(AZ85*AZ87))/BB85</f>
        <v>898.22727847529586</v>
      </c>
      <c r="BC87" s="829">
        <v>880</v>
      </c>
      <c r="BD87" s="449">
        <f>+((AN87*AN85)+(BB85*BB87))/BD85</f>
        <v>908.60948789657084</v>
      </c>
      <c r="BE87" s="60">
        <v>880</v>
      </c>
      <c r="BF87" s="38">
        <f>+((AX87*AX85)+(AZ85*AZ87))/BF85</f>
        <v>912.6445514962204</v>
      </c>
      <c r="BG87" s="1520"/>
      <c r="BH87" s="1520"/>
      <c r="BI87" s="26"/>
      <c r="BJ87" s="26"/>
      <c r="BK87" s="26"/>
      <c r="BL87" s="26"/>
      <c r="BM87" s="26"/>
      <c r="BN87" s="26"/>
    </row>
    <row r="88" spans="1:66" x14ac:dyDescent="0.3">
      <c r="A88" s="144"/>
      <c r="B88" s="1699" t="s">
        <v>256</v>
      </c>
      <c r="C88" s="546" t="s">
        <v>301</v>
      </c>
      <c r="D88" s="1120">
        <v>5.916666666666667</v>
      </c>
      <c r="E88" s="1120">
        <f>+(EMD!D25/E2/24)</f>
        <v>6</v>
      </c>
      <c r="F88" s="1120">
        <f>+(EMD!E25/F2/24)</f>
        <v>6.8097944877542558</v>
      </c>
      <c r="G88" s="1120">
        <f>+(EMD!F25/G2/24)</f>
        <v>6</v>
      </c>
      <c r="H88" s="1120">
        <f>+(EMD!G25/H2/24)</f>
        <v>7.8944878481926963</v>
      </c>
      <c r="I88" s="82">
        <f>+((E88*E2)+(G88*G2))/I2</f>
        <v>6</v>
      </c>
      <c r="J88" s="2806">
        <f>+((F88*F$2)+(H88*H$2))/J$2</f>
        <v>7.3610320971573984</v>
      </c>
      <c r="K88" s="1120">
        <f>+(EMD!J25/K2/24)</f>
        <v>6</v>
      </c>
      <c r="L88" s="1120">
        <f>+(EMD!K25/L2/24)</f>
        <v>8.2055022791649517</v>
      </c>
      <c r="M88" s="378">
        <f>+((E88*E2)+(G88*G2)+(K88*K2))/M2</f>
        <v>6</v>
      </c>
      <c r="N88" s="348">
        <f>+((F88*F$2)+(H88*H$2)+(L88*L$2))/N$2</f>
        <v>7.6394288604565919</v>
      </c>
      <c r="O88" s="1120">
        <f>+(EMD!N25/O2/24)</f>
        <v>6</v>
      </c>
      <c r="P88" s="1120">
        <f>+(EMD!O25/P2/24)</f>
        <v>8.5703466622744049</v>
      </c>
      <c r="Q88" s="82">
        <f>+((M88*M2)+(O88*O2))/Q2</f>
        <v>6</v>
      </c>
      <c r="R88" s="105">
        <f>+((N88*N$2)+(P88*P$2))/R$2</f>
        <v>7.8759735478037411</v>
      </c>
      <c r="S88" s="1120">
        <f>+(EMD!R25/S2/24)</f>
        <v>6</v>
      </c>
      <c r="T88" s="1120">
        <f>+(EMD!S25/T2/24)</f>
        <v>7.8822144417125877</v>
      </c>
      <c r="U88" s="82">
        <f>+((Q88*Q2)+(S88*S2))/U2</f>
        <v>6</v>
      </c>
      <c r="V88" s="105">
        <f>+((R88*R$2)+(T88*T$2))/V$2</f>
        <v>7.877238042648016</v>
      </c>
      <c r="W88" s="1120">
        <f>+(EMD!V25/W2/24)</f>
        <v>5</v>
      </c>
      <c r="X88" s="1120">
        <f>+(EMD!W25/X2/24)</f>
        <v>8.4426111111111108</v>
      </c>
      <c r="Y88" s="653">
        <f>+(EMD!X25/Y2/24)</f>
        <v>5.6739130434782608</v>
      </c>
      <c r="Z88" s="653">
        <f>+(EMD!Y25/Z2/24)</f>
        <v>8.2968231256188041</v>
      </c>
      <c r="AA88" s="649">
        <f>+(EMD!Z25/AA2/24)</f>
        <v>5.8360655737704912</v>
      </c>
      <c r="AB88" s="649">
        <f>+(EMD!AA25/AB2/24)</f>
        <v>7.9699221522321295</v>
      </c>
      <c r="AC88" s="1120">
        <f>+(EMD!AB25/AC2/24)</f>
        <v>6</v>
      </c>
      <c r="AD88" s="1120">
        <f>+(EMD!AC25/AD2/24)</f>
        <v>7.1577822580645174</v>
      </c>
      <c r="AE88" s="82">
        <f>+(EMD!AD25/AE2/24)</f>
        <v>5.8598130841121501</v>
      </c>
      <c r="AF88" s="105">
        <f>+(EMD!AE25/AF2/24)</f>
        <v>7.8522757189648589</v>
      </c>
      <c r="AG88" s="1120">
        <f>+(EMD!AF25/AG2/24)</f>
        <v>6</v>
      </c>
      <c r="AH88" s="1120">
        <f>+(EMD!AG25/AH2/24)</f>
        <v>8.1262083333333326</v>
      </c>
      <c r="AI88" s="82">
        <f>+(EMD!AH25/AI2/24)</f>
        <v>5.8770491803278686</v>
      </c>
      <c r="AJ88" s="105">
        <f>+(EMD!AI25/AJ2/24)</f>
        <v>7.8859559584363934</v>
      </c>
      <c r="AK88" s="1120">
        <f>+(EMD!AJ25/AK2/24)</f>
        <v>6</v>
      </c>
      <c r="AL88" s="1120">
        <f>+(EMD!AK25/AL2/24)</f>
        <v>8.6895698924731182</v>
      </c>
      <c r="AM88" s="652">
        <f>(AC88*AC2+AG88*AG2+AK88*AK2)/AM2</f>
        <v>6</v>
      </c>
      <c r="AN88" s="652">
        <f>(AD88*AD2+AH88*AH2+AL88*AL2)/AN2</f>
        <v>7.9897192028985504</v>
      </c>
      <c r="AO88" s="52">
        <f>+((AK88*AK2)+(AI88*AI2))/AO2</f>
        <v>5.8909090909090907</v>
      </c>
      <c r="AP88" s="105">
        <f>+((AL88*AL$2)+(AJ88*AJ$2))/AP$2</f>
        <v>7.9765451655459882</v>
      </c>
      <c r="AQ88" s="1120">
        <f>+(EMD!AP25/AQ2/24)</f>
        <v>6</v>
      </c>
      <c r="AR88" s="1120">
        <f>+(EMD!AQ25/AR2/24)</f>
        <v>7.9370161290322585</v>
      </c>
      <c r="AS88" s="82">
        <f>+((AO88*AO2)+(AQ88*AQ2))/AS2</f>
        <v>5.9019607843137258</v>
      </c>
      <c r="AT88" s="105">
        <f>+((AP88*AP$2)+(AR88*AR$2))/AT$2</f>
        <v>7.9725405899514605</v>
      </c>
      <c r="AU88" s="1120">
        <f>+(EMD!AT25/AU2/24)</f>
        <v>6</v>
      </c>
      <c r="AV88" s="1120">
        <f>+(EMD!AU25/AV2/24)</f>
        <v>6.7931398809523804</v>
      </c>
      <c r="AW88" s="82">
        <f>+((AS88*AS2)+(AU88*AU2))/AW2</f>
        <v>5.9101796407185629</v>
      </c>
      <c r="AX88" s="105">
        <f>+((AT88*AT$2)+(AV88*AV$2))/AX$2</f>
        <v>7.8736686742269866</v>
      </c>
      <c r="AY88" s="1120">
        <f>+(EMD!AX25/AY2/24)</f>
        <v>6</v>
      </c>
      <c r="AZ88" s="1120">
        <f>+(EMD!AY25/AZ2/24)</f>
        <v>7.215040322580645</v>
      </c>
      <c r="BA88" s="652">
        <f>+(EMD!AZ25/BA2/24)</f>
        <v>6</v>
      </c>
      <c r="BB88" s="652">
        <f>+(EMD!BA25/BB2/24)</f>
        <v>7.3324629629629632</v>
      </c>
      <c r="BC88" s="648">
        <f>+(EMD!BB25/BC2/24)</f>
        <v>6</v>
      </c>
      <c r="BD88" s="648">
        <f>+(EMD!BC25/BD2/24)</f>
        <v>7.6647023809523809</v>
      </c>
      <c r="BE88" s="82">
        <f>+(EMD!BD25/BE2/24)</f>
        <v>5.9178082191780819</v>
      </c>
      <c r="BF88" s="105">
        <f>+(EMD!BE25/BF2/24)</f>
        <v>7.8177303758679813</v>
      </c>
      <c r="BG88" s="1520"/>
      <c r="BH88" s="1520"/>
      <c r="BI88" s="26"/>
      <c r="BJ88" s="26"/>
      <c r="BK88" s="26"/>
      <c r="BL88" s="26"/>
      <c r="BM88" s="26"/>
      <c r="BN88" s="26"/>
    </row>
    <row r="89" spans="1:66" x14ac:dyDescent="0.3">
      <c r="A89" s="144"/>
      <c r="B89" s="1699" t="s">
        <v>447</v>
      </c>
      <c r="C89" s="546" t="s">
        <v>301</v>
      </c>
      <c r="D89" s="188">
        <v>231.24770076193968</v>
      </c>
      <c r="E89" s="1120">
        <f>+(EMD!D59/E2/24)</f>
        <v>240.52556818181822</v>
      </c>
      <c r="F89" s="188">
        <f>+(EMD!E59/F2/24)</f>
        <v>196.99791666666673</v>
      </c>
      <c r="G89" s="1120">
        <f>+(EMD!F59/G2/24)</f>
        <v>240.1090542521994</v>
      </c>
      <c r="H89" s="188">
        <f>+(EMD!G59/H2/24)</f>
        <v>219.10752688172045</v>
      </c>
      <c r="I89" s="52">
        <f>+(EMD!H59/I2/24)</f>
        <v>240.31389716840536</v>
      </c>
      <c r="J89" s="105">
        <f>+(EMD!I59/J2/24)</f>
        <v>208.23394808743174</v>
      </c>
      <c r="K89" s="188">
        <f>+(EMD!J59/K2/24)</f>
        <v>240.52556818181822</v>
      </c>
      <c r="L89" s="188">
        <f>+(EMD!K59/L2/24)</f>
        <v>227.10277777777773</v>
      </c>
      <c r="M89" s="76">
        <f>+((E89*E2)+(G89*G2)+(K89*K2))/M2</f>
        <v>240.38367882117885</v>
      </c>
      <c r="N89" s="76">
        <f>+((F89*F2)+(H89*H2)+(L89*L2))/N2</f>
        <v>214.4544413919414</v>
      </c>
      <c r="O89" s="188">
        <f>+(EMD!N59/O2/24)</f>
        <v>234.9026301319648</v>
      </c>
      <c r="P89" s="188">
        <f>+(EMD!O59/P2/24)</f>
        <v>228.64650537634409</v>
      </c>
      <c r="Q89" s="82">
        <f>+(EMD!P59/Q2/24)</f>
        <v>238.99095333457532</v>
      </c>
      <c r="R89" s="105">
        <f>+(EMD!Q59/R2/24)</f>
        <v>218.06062158469945</v>
      </c>
      <c r="S89" s="188">
        <f>+(EMD!R59/S2/24)</f>
        <v>234.9026301319648</v>
      </c>
      <c r="T89" s="188">
        <f>+(EMD!S59/T2/24)</f>
        <v>218.68817204301078</v>
      </c>
      <c r="U89" s="82">
        <f>+(EMD!T59/U2/24)</f>
        <v>238.16260026737973</v>
      </c>
      <c r="V89" s="105">
        <f>+(EMD!U59/V2/24)</f>
        <v>218.18777233115466</v>
      </c>
      <c r="W89" s="188">
        <f>+(EMD!V59/W2/24)</f>
        <v>133.26704545454547</v>
      </c>
      <c r="X89" s="188">
        <f>+(EMD!W59/X2/24)</f>
        <v>221.31944444444446</v>
      </c>
      <c r="Y89" s="653">
        <f>+(EMD!X59/Y2/24)</f>
        <v>201.76059165019765</v>
      </c>
      <c r="Z89" s="653">
        <f>+(EMD!Y59/Z2/24)</f>
        <v>222.90172101449275</v>
      </c>
      <c r="AA89" s="649">
        <f>+(EMD!Z59/AA2/24)</f>
        <v>220.96660767511182</v>
      </c>
      <c r="AB89" s="649">
        <f>+(EMD!AA59/AB2/24)</f>
        <v>218.70116120218577</v>
      </c>
      <c r="AC89" s="188">
        <f>+(EMD!AB59/AC2/24)</f>
        <v>240.1090542521994</v>
      </c>
      <c r="AD89" s="188">
        <f>+(EMD!AC59/AD2/24)</f>
        <v>181.80107526881719</v>
      </c>
      <c r="AE89" s="82">
        <f>+(EMD!AD59/AE2/24)</f>
        <v>223.73957890824136</v>
      </c>
      <c r="AF89" s="105">
        <f>+(EMD!AE59/AF2/24)</f>
        <v>213.35582165109034</v>
      </c>
      <c r="AG89" s="188">
        <f>+(EMD!AF59/AG2/24)</f>
        <v>240.52556818181822</v>
      </c>
      <c r="AH89" s="188">
        <f>+(EMD!AG59/AH2/24)</f>
        <v>210.42361111111111</v>
      </c>
      <c r="AI89" s="82">
        <f>+(EMD!AH59/AI2/24)</f>
        <v>225.80343004843522</v>
      </c>
      <c r="AJ89" s="105">
        <f>+(EMD!AI59/AJ2/24)</f>
        <v>212.99530396174862</v>
      </c>
      <c r="AK89" s="188">
        <f>+(EMD!AJ59/AK2/24)</f>
        <v>240.1090542521994</v>
      </c>
      <c r="AL89" s="188">
        <f>+(EMD!AK59/AL2/24)</f>
        <v>212.12768817204301</v>
      </c>
      <c r="AM89" s="652">
        <f>+(EMD!AL59/AM2/24)</f>
        <v>240.24487401185775</v>
      </c>
      <c r="AN89" s="652">
        <f>+(EMD!AM59/AN2/24)</f>
        <v>201.35326086956522</v>
      </c>
      <c r="AO89" s="52">
        <f>+(EMD!AN59/AO2/24)</f>
        <v>227.41606404958679</v>
      </c>
      <c r="AP89" s="105">
        <f>+(EMD!AO59/AP2/24)</f>
        <v>212.89750000000001</v>
      </c>
      <c r="AQ89" s="188">
        <f>+(EMD!AP59/AQ2/24)</f>
        <v>244.27419354838707</v>
      </c>
      <c r="AR89" s="188">
        <f>+(EMD!AQ59/AR2/24)</f>
        <v>212.09408602150538</v>
      </c>
      <c r="AS89" s="82">
        <f>+(EMD!AR59/AS2/24)</f>
        <v>229.12391377005349</v>
      </c>
      <c r="AT89" s="105">
        <f>+(EMD!AS59/AT2/24)</f>
        <v>212.81610838779957</v>
      </c>
      <c r="AU89" s="188">
        <f>+(EMD!AT59/AU2/24)</f>
        <v>241.44784902597405</v>
      </c>
      <c r="AV89" s="188">
        <f>+(EMD!AU59/AV2/24)</f>
        <v>210.07589285714286</v>
      </c>
      <c r="AW89" s="82">
        <f>+(EMD!AV59/AW2/24)</f>
        <v>230.15705804300492</v>
      </c>
      <c r="AX89" s="105">
        <f>+(EMD!AW59/AX2/24)</f>
        <v>212.58638972055886</v>
      </c>
      <c r="AY89" s="188">
        <f>+(EMD!AX59/AY2/24)</f>
        <v>244.27419354838707</v>
      </c>
      <c r="AZ89" s="188">
        <f>+(EMD!AY59/AZ2/24)</f>
        <v>207.74462365591398</v>
      </c>
      <c r="BA89" s="351">
        <f>+(EMD!AZ59/BA2/24)</f>
        <v>243.39488636363635</v>
      </c>
      <c r="BB89" s="351">
        <f>+(EMD!BA59/BB2/24)</f>
        <v>209.96805555555557</v>
      </c>
      <c r="BC89" s="480">
        <f>+(EMD!BB59/BC2/24)</f>
        <v>241.80257242757239</v>
      </c>
      <c r="BD89" s="480">
        <f>+(EMD!BC59/BD2/24)</f>
        <v>205.6133241758242</v>
      </c>
      <c r="BE89" s="52">
        <f>+(EMD!BD59/BE2/24)</f>
        <v>231.356047633873</v>
      </c>
      <c r="BF89" s="105">
        <f>+(EMD!BE59/BF2/24)</f>
        <v>212.17517123287669</v>
      </c>
      <c r="BG89" s="1520"/>
      <c r="BH89" s="1520"/>
      <c r="BI89" s="26"/>
      <c r="BJ89" s="26"/>
      <c r="BK89" s="26"/>
      <c r="BL89" s="26"/>
      <c r="BM89" s="26"/>
      <c r="BN89" s="26"/>
    </row>
    <row r="90" spans="1:66" x14ac:dyDescent="0.3">
      <c r="A90" s="144"/>
      <c r="B90" s="1713" t="s">
        <v>258</v>
      </c>
      <c r="C90" s="546" t="s">
        <v>1082</v>
      </c>
      <c r="D90" s="259">
        <v>0.6835652542372882</v>
      </c>
      <c r="E90" s="259">
        <v>0.68174999999999997</v>
      </c>
      <c r="F90" s="259">
        <v>0.67300000000000004</v>
      </c>
      <c r="G90" s="259">
        <v>0.68174999999999997</v>
      </c>
      <c r="H90" s="259">
        <v>0.68600000000000005</v>
      </c>
      <c r="I90" s="374">
        <f>+((E90*E6)+(G90*G6))/I6</f>
        <v>0.68174999999999997</v>
      </c>
      <c r="J90" s="190">
        <f>+((F90*F6)+(H90*H6))/J6</f>
        <v>0.67989936049425503</v>
      </c>
      <c r="K90" s="259">
        <v>0.68174999999999997</v>
      </c>
      <c r="L90" s="259">
        <v>0.67400000000000004</v>
      </c>
      <c r="M90" s="375">
        <f>+((E90*E6)+(G90*G6)+(K90*K6))/M6</f>
        <v>0.68174999999999997</v>
      </c>
      <c r="N90" s="193">
        <f>+((F90*F6)+(H90*H6)+(L90*L6))/N6</f>
        <v>0.67782411914552887</v>
      </c>
      <c r="O90" s="259">
        <v>0.68175000000000008</v>
      </c>
      <c r="P90" s="259">
        <v>0.68500000000000005</v>
      </c>
      <c r="Q90" s="374">
        <f>+((M90*M6)+(O90*O6))/Q6</f>
        <v>0.68174999999999997</v>
      </c>
      <c r="R90" s="190">
        <f>+((N90*N6)+(P90*P6))/R6</f>
        <v>0.67972642136288819</v>
      </c>
      <c r="S90" s="259">
        <v>0.68175000000000008</v>
      </c>
      <c r="T90" s="259">
        <v>0.69199999999999995</v>
      </c>
      <c r="U90" s="374">
        <f>+((Q90*Q6)+(S90*S6))/U6</f>
        <v>0.68174999999999997</v>
      </c>
      <c r="V90" s="190">
        <f>+((R90*R6)+(T90*T6))/V6</f>
        <v>0.68218417590543223</v>
      </c>
      <c r="W90" s="259">
        <v>0.72</v>
      </c>
      <c r="X90" s="259">
        <v>0.71199999999999997</v>
      </c>
      <c r="Y90" s="377">
        <f>+((O90*O6)+(S90*S6)+(W90*W6))/Y6</f>
        <v>0.68998846153846161</v>
      </c>
      <c r="Z90" s="377">
        <f>+((P90*P6)+(T90*T6)+(X90*X6))/Z6</f>
        <v>0.69590864260687779</v>
      </c>
      <c r="AA90" s="658">
        <f>(M90*M6+Y90*Y6)/AA6</f>
        <v>0.68553712871287131</v>
      </c>
      <c r="AB90" s="658">
        <f>(N90*N6+Z90*Z6)/AB6</f>
        <v>0.68699443678812444</v>
      </c>
      <c r="AC90" s="259">
        <v>0.68174999999999997</v>
      </c>
      <c r="AD90" s="259">
        <v>0.72899999999999998</v>
      </c>
      <c r="AE90" s="374">
        <f>+((AA90*AA6)+(AC90*AC6))/AE6</f>
        <v>0.68494892473118285</v>
      </c>
      <c r="AF90" s="190">
        <f>+((AB90*AB6)+(AD90*AD6))/AF6</f>
        <v>0.69197718285753507</v>
      </c>
      <c r="AG90" s="259">
        <v>0.68174999999999997</v>
      </c>
      <c r="AH90" s="259">
        <v>0.67700000000000005</v>
      </c>
      <c r="AI90" s="374">
        <f>+((AE90*AE6)+(AG90*AG6))/AI6</f>
        <v>0.68453037383177573</v>
      </c>
      <c r="AJ90" s="190">
        <f>+((AF90*AF6)+(AH90*AH6))/AJ6</f>
        <v>0.69010692557130893</v>
      </c>
      <c r="AK90" s="259">
        <v>0.68174999999999997</v>
      </c>
      <c r="AL90" s="259">
        <v>0.69199999999999995</v>
      </c>
      <c r="AM90" s="377">
        <f>+((AC90*AC6)+(AG90*AG6)+(AK90*AK6))/AM6</f>
        <v>0.68174999999999997</v>
      </c>
      <c r="AN90" s="377">
        <f>+((AD90*AD6)+(AH90*AH6)+(AL90*AL6))/AN6</f>
        <v>0.69750670207864551</v>
      </c>
      <c r="AO90" s="374">
        <f>+((AK90*AK6)+(AI90*AI6))/AO6</f>
        <v>0.68419967978042084</v>
      </c>
      <c r="AP90" s="190">
        <f>+((AL90*AL6)+(AJ90*AJ6))/AP6</f>
        <v>0.69032273160041546</v>
      </c>
      <c r="AQ90" s="259">
        <v>0.68174999999999986</v>
      </c>
      <c r="AR90" s="259">
        <v>0.69699999999999995</v>
      </c>
      <c r="AS90" s="374">
        <f>+((AO90*AO6)+(AQ90*AQ6))/AS6</f>
        <v>0.68393571428571431</v>
      </c>
      <c r="AT90" s="190">
        <f>+((AP90*AP6)+(AR90*AR6))/AT6</f>
        <v>0.69098962543386455</v>
      </c>
      <c r="AU90" s="259">
        <v>0.68175000000000008</v>
      </c>
      <c r="AV90" s="259">
        <v>0.73699999999999999</v>
      </c>
      <c r="AW90" s="374">
        <f>+((AS90*AS6)+(AU90*AU6))/AW6</f>
        <v>0.6837436708860759</v>
      </c>
      <c r="AX90" s="190">
        <f>+((AT90*AT6)+(AV90*AV6))/AX6</f>
        <v>0.69440503280840438</v>
      </c>
      <c r="AY90" s="259">
        <v>0.68174999999999986</v>
      </c>
      <c r="AZ90" s="259">
        <v>0.64600000000000002</v>
      </c>
      <c r="BA90" s="377">
        <f>+((AQ90*AQ6)+(AU90*AU6)+(AY90*AY6))/BA6</f>
        <v>0.68174999999999997</v>
      </c>
      <c r="BB90" s="377">
        <f>+((AR90*AR6)+(AV90*AV6)+(AZ90*AZ6))/BB6</f>
        <v>0.68981341958960241</v>
      </c>
      <c r="BC90" s="658">
        <f>(AM90*AM6+BA90*BA6)/BC6</f>
        <v>0.68174999999999997</v>
      </c>
      <c r="BD90" s="658">
        <f>(AN90*AN6+BB90*BB6)/BD6</f>
        <v>0.69367490858457626</v>
      </c>
      <c r="BE90" s="374">
        <f>+((AW90*AW6)+(AY90*AY6))/BE6</f>
        <v>0.68356525423728809</v>
      </c>
      <c r="BF90" s="190">
        <f>+((AX90*AX6)+(AZ90*AZ6))/BF6</f>
        <v>0.69020097200039443</v>
      </c>
      <c r="BG90" s="1520"/>
      <c r="BH90" s="1520"/>
      <c r="BI90" s="26"/>
      <c r="BJ90" s="26"/>
      <c r="BK90" s="26"/>
      <c r="BL90" s="26"/>
      <c r="BM90" s="26"/>
      <c r="BN90" s="26"/>
    </row>
    <row r="91" spans="1:66" x14ac:dyDescent="0.3">
      <c r="A91" s="144"/>
      <c r="B91" s="1713" t="s">
        <v>231</v>
      </c>
      <c r="C91" s="546" t="s">
        <v>213</v>
      </c>
      <c r="D91" s="4439">
        <f>16.0411314841598*D2*24*1000</f>
        <v>140520311.80123985</v>
      </c>
      <c r="E91" s="1118">
        <f>+'POWER DISTRIBUTION'!I23</f>
        <v>11845370.205535013</v>
      </c>
      <c r="F91" s="1118">
        <f>+'POWER DISTRIBUTION'!J23</f>
        <v>10229684.000000009</v>
      </c>
      <c r="G91" s="1118">
        <f>+'POWER DISTRIBUTION'!K23</f>
        <v>12221413.704123424</v>
      </c>
      <c r="H91" s="1118">
        <f>+'POWER DISTRIBUTION'!L23</f>
        <v>12162087.999999993</v>
      </c>
      <c r="I91" s="60">
        <f>+'POWER DISTRIBUTION'!M23</f>
        <v>24066783.909658439</v>
      </c>
      <c r="J91" s="88">
        <f>+'POWER DISTRIBUTION'!N23</f>
        <v>22391772</v>
      </c>
      <c r="K91" s="1118">
        <f>+'POWER DISTRIBUTION'!O23</f>
        <v>11845370.205535013</v>
      </c>
      <c r="L91" s="1118">
        <f>+'POWER DISTRIBUTION'!P23</f>
        <v>12313432.000000006</v>
      </c>
      <c r="M91" s="774">
        <f>E91+G91+K91</f>
        <v>35912154.115193456</v>
      </c>
      <c r="N91" s="774">
        <f>F91+H91+L91</f>
        <v>34705204.000000007</v>
      </c>
      <c r="O91" s="1118">
        <f>+'POWER DISTRIBUTION'!S23</f>
        <v>11986386.517505666</v>
      </c>
      <c r="P91" s="1118">
        <f>+'POWER DISTRIBUTION'!T23</f>
        <v>12668533.999999953</v>
      </c>
      <c r="Q91" s="60">
        <f>+'POWER DISTRIBUTION'!U23</f>
        <v>47898540.632699125</v>
      </c>
      <c r="R91" s="88">
        <f>+'POWER DISTRIBUTION'!V23</f>
        <v>47373737.999999963</v>
      </c>
      <c r="S91" s="1118">
        <f>+'POWER DISTRIBUTION'!W23</f>
        <v>11986386.517505666</v>
      </c>
      <c r="T91" s="1118">
        <f>+'POWER DISTRIBUTION'!X23</f>
        <v>12400062.000000037</v>
      </c>
      <c r="U91" s="60">
        <f>+'POWER DISTRIBUTION'!Y23</f>
        <v>59884927.150204793</v>
      </c>
      <c r="V91" s="88">
        <f>+'POWER DISTRIBUTION'!Z23</f>
        <v>59773800</v>
      </c>
      <c r="W91" s="1118">
        <f>+'POWER DISTRIBUTION'!AA23</f>
        <v>8474361.2252972294</v>
      </c>
      <c r="X91" s="1118">
        <f>+'POWER DISTRIBUTION'!AB23</f>
        <v>12240051.999999998</v>
      </c>
      <c r="Y91" s="774">
        <f>O91+S91+W91</f>
        <v>32447134.260308564</v>
      </c>
      <c r="Z91" s="524">
        <f>P91+T91+X91</f>
        <v>37308647.999999993</v>
      </c>
      <c r="AA91" s="460">
        <f>M91+Y91</f>
        <v>68359288.37550202</v>
      </c>
      <c r="AB91" s="650">
        <f>N91+Z91</f>
        <v>72013852</v>
      </c>
      <c r="AC91" s="1118">
        <f>+'POWER DISTRIBUTION'!AG23</f>
        <v>12221413.704123424</v>
      </c>
      <c r="AD91" s="1118">
        <f>+'POWER DISTRIBUTION'!AH23</f>
        <v>11183425.999999981</v>
      </c>
      <c r="AE91" s="60">
        <f>+'POWER DISTRIBUTION'!AI23</f>
        <v>80580702.079625443</v>
      </c>
      <c r="AF91" s="88">
        <f>+'POWER DISTRIBUTION'!AJ23</f>
        <v>83197277.999999985</v>
      </c>
      <c r="AG91" s="1118">
        <f>+'POWER DISTRIBUTION'!AK23</f>
        <v>11845370.205535013</v>
      </c>
      <c r="AH91" s="1118">
        <f>+'POWER DISTRIBUTION'!AL23</f>
        <v>12323946.00000003</v>
      </c>
      <c r="AI91" s="60">
        <f>+'POWER DISTRIBUTION'!AM23</f>
        <v>92426072.285160452</v>
      </c>
      <c r="AJ91" s="88">
        <f>+'POWER DISTRIBUTION'!AN23</f>
        <v>95521224.000000015</v>
      </c>
      <c r="AK91" s="1118">
        <f>+'POWER DISTRIBUTION'!AO23</f>
        <v>12221413.704123424</v>
      </c>
      <c r="AL91" s="1118">
        <f>+'POWER DISTRIBUTION'!AP23</f>
        <v>12037367.999999981</v>
      </c>
      <c r="AM91" s="782">
        <f>+'POWER DISTRIBUTION'!AQ23</f>
        <v>36288197.613781862</v>
      </c>
      <c r="AN91" s="68">
        <f>+'POWER DISTRIBUTION'!AR23</f>
        <v>35544739.999999993</v>
      </c>
      <c r="AO91" s="60">
        <f>+'POWER DISTRIBUTION'!AS23</f>
        <v>104647485.98928387</v>
      </c>
      <c r="AP91" s="38">
        <f>+'POWER DISTRIBUTION'!AT23</f>
        <v>107558592</v>
      </c>
      <c r="AQ91" s="1118">
        <f>+'POWER DISTRIBUTION'!AU23</f>
        <v>12409435.453417631</v>
      </c>
      <c r="AR91" s="1118">
        <f>+'POWER DISTRIBUTION'!AV23</f>
        <v>11958026.000000011</v>
      </c>
      <c r="AS91" s="60">
        <f>+'POWER DISTRIBUTION'!AW23</f>
        <v>117056921.4427015</v>
      </c>
      <c r="AT91" s="88">
        <f>+'POWER DISTRIBUTION'!AX23</f>
        <v>119516618.00000001</v>
      </c>
      <c r="AU91" s="1118">
        <f>+'POWER DISTRIBUTION'!AY23</f>
        <v>11093283.208358185</v>
      </c>
      <c r="AV91" s="1118">
        <f>+'POWER DISTRIBUTION'!AZ23</f>
        <v>10781632.000000009</v>
      </c>
      <c r="AW91" s="60">
        <f>+'POWER DISTRIBUTION'!BA23</f>
        <v>128150204.65105969</v>
      </c>
      <c r="AX91" s="88">
        <f>+'POWER DISTRIBUTION'!BB23</f>
        <v>130298250.00000003</v>
      </c>
      <c r="AY91" s="1118">
        <f>+'POWER DISTRIBUTION'!BC23</f>
        <v>12409435.453417631</v>
      </c>
      <c r="AZ91" s="1118">
        <f>+'POWER DISTRIBUTION'!BD23</f>
        <v>11861079.99999998</v>
      </c>
      <c r="BA91" s="782">
        <f>+'POWER DISTRIBUTION'!BE23</f>
        <v>35912154.115193449</v>
      </c>
      <c r="BB91" s="68">
        <f>+'POWER DISTRIBUTION'!BF23</f>
        <v>34600738</v>
      </c>
      <c r="BC91" s="829">
        <f>+'POWER DISTRIBUTION'!BG23</f>
        <v>72200351.728975311</v>
      </c>
      <c r="BD91" s="449">
        <f>+'POWER DISTRIBUTION'!BH23</f>
        <v>70145478</v>
      </c>
      <c r="BE91" s="60">
        <f>+'POWER DISTRIBUTION'!BI23</f>
        <v>140559640.10447732</v>
      </c>
      <c r="BF91" s="38">
        <f>+'POWER DISTRIBUTION'!BJ23</f>
        <v>142159330</v>
      </c>
      <c r="BG91" s="1520">
        <f t="shared" si="409"/>
        <v>0</v>
      </c>
      <c r="BH91" s="1520">
        <f t="shared" si="410"/>
        <v>0</v>
      </c>
      <c r="BI91" s="26"/>
      <c r="BJ91" s="26"/>
      <c r="BK91" s="26"/>
      <c r="BL91" s="26"/>
      <c r="BM91" s="26"/>
      <c r="BN91" s="26"/>
    </row>
    <row r="92" spans="1:66" x14ac:dyDescent="0.3">
      <c r="A92" s="144"/>
      <c r="B92" s="1714" t="s">
        <v>232</v>
      </c>
      <c r="C92" s="546" t="s">
        <v>257</v>
      </c>
      <c r="D92" s="100">
        <f t="shared" ref="D92:AD92" si="430">+D91/D6</f>
        <v>47.63400400042029</v>
      </c>
      <c r="E92" s="100">
        <f t="shared" si="430"/>
        <v>47.005437323551639</v>
      </c>
      <c r="F92" s="188">
        <f t="shared" si="430"/>
        <v>45.238946850776792</v>
      </c>
      <c r="G92" s="100">
        <f t="shared" ref="G92:H92" si="431">+G91/G6</f>
        <v>47.005437323551632</v>
      </c>
      <c r="H92" s="188">
        <f t="shared" si="431"/>
        <v>47.558148037644223</v>
      </c>
      <c r="I92" s="261">
        <f t="shared" si="430"/>
        <v>47.005437323551639</v>
      </c>
      <c r="J92" s="261">
        <f t="shared" si="430"/>
        <v>46.469793392846213</v>
      </c>
      <c r="K92" s="100">
        <f t="shared" si="430"/>
        <v>47.005437323551639</v>
      </c>
      <c r="L92" s="188">
        <f t="shared" si="430"/>
        <v>47.089512826308045</v>
      </c>
      <c r="M92" s="348">
        <f t="shared" si="430"/>
        <v>47.005437323551647</v>
      </c>
      <c r="N92" s="348">
        <f t="shared" si="430"/>
        <v>46.687794546391849</v>
      </c>
      <c r="O92" s="100">
        <f t="shared" ref="O92:P92" si="432">+O91/O6</f>
        <v>47.005437323551632</v>
      </c>
      <c r="P92" s="188">
        <f t="shared" si="432"/>
        <v>47.245563269950139</v>
      </c>
      <c r="Q92" s="261">
        <f t="shared" si="430"/>
        <v>47.005437323551647</v>
      </c>
      <c r="R92" s="261">
        <f t="shared" si="430"/>
        <v>46.835657185295261</v>
      </c>
      <c r="S92" s="100">
        <f t="shared" si="430"/>
        <v>47.005437323551632</v>
      </c>
      <c r="T92" s="188">
        <f t="shared" si="430"/>
        <v>48.961090342236453</v>
      </c>
      <c r="U92" s="261">
        <f t="shared" ref="U92:X92" si="433">+U91/U6</f>
        <v>47.005437323551639</v>
      </c>
      <c r="V92" s="261">
        <f t="shared" si="433"/>
        <v>47.261270052641926</v>
      </c>
      <c r="W92" s="100">
        <f t="shared" si="433"/>
        <v>60.531151609265926</v>
      </c>
      <c r="X92" s="188">
        <f t="shared" si="433"/>
        <v>50.309012755582252</v>
      </c>
      <c r="Y92" s="348">
        <f t="shared" si="430"/>
        <v>49.918668092782404</v>
      </c>
      <c r="Z92" s="351">
        <f t="shared" si="430"/>
        <v>48.788396754662877</v>
      </c>
      <c r="AA92" s="461">
        <f t="shared" si="430"/>
        <v>48.344616955800582</v>
      </c>
      <c r="AB92" s="480">
        <f t="shared" si="430"/>
        <v>47.752969945221302</v>
      </c>
      <c r="AC92" s="100">
        <f t="shared" si="430"/>
        <v>47.005437323551632</v>
      </c>
      <c r="AD92" s="188">
        <f t="shared" si="430"/>
        <v>55.101055812883203</v>
      </c>
      <c r="AE92" s="261">
        <f t="shared" ref="AE92:AH92" si="434">+AE91/AE6</f>
        <v>48.136620119250566</v>
      </c>
      <c r="AF92" s="261">
        <f t="shared" si="434"/>
        <v>48.624607965883108</v>
      </c>
      <c r="AG92" s="100">
        <f t="shared" si="434"/>
        <v>47.005437323551639</v>
      </c>
      <c r="AH92" s="188">
        <f t="shared" si="434"/>
        <v>50.477316646201082</v>
      </c>
      <c r="AI92" s="261">
        <f t="shared" ref="AI92:AL92" si="435">+AI91/AI6</f>
        <v>47.988614893645092</v>
      </c>
      <c r="AJ92" s="261">
        <f t="shared" si="435"/>
        <v>48.855962683360964</v>
      </c>
      <c r="AK92" s="100">
        <f t="shared" si="435"/>
        <v>47.005437323551632</v>
      </c>
      <c r="AL92" s="188">
        <f t="shared" si="435"/>
        <v>47.850692277419725</v>
      </c>
      <c r="AM92" s="348">
        <f t="shared" ref="AM92:AT92" si="436">+AM91/AM6</f>
        <v>47.005437323551632</v>
      </c>
      <c r="AN92" s="351">
        <f t="shared" si="436"/>
        <v>50.874767576684484</v>
      </c>
      <c r="AO92" s="261">
        <f t="shared" si="436"/>
        <v>47.871677030779452</v>
      </c>
      <c r="AP92" s="261">
        <f t="shared" si="436"/>
        <v>48.741364223207206</v>
      </c>
      <c r="AQ92" s="100">
        <f t="shared" si="436"/>
        <v>47.005437323551632</v>
      </c>
      <c r="AR92" s="188">
        <f t="shared" si="436"/>
        <v>48.837891063722779</v>
      </c>
      <c r="AS92" s="261">
        <f t="shared" si="436"/>
        <v>47.778335282735306</v>
      </c>
      <c r="AT92" s="261">
        <f t="shared" si="436"/>
        <v>48.751004865285658</v>
      </c>
      <c r="AU92" s="100">
        <f t="shared" ref="AU92:AV92" si="437">+AU91/AU6</f>
        <v>47.005437323551632</v>
      </c>
      <c r="AV92" s="188">
        <f t="shared" si="437"/>
        <v>54.847338399076641</v>
      </c>
      <c r="AW92" s="261">
        <f t="shared" ref="AW92:AZ92" si="438">+AW91/AW6</f>
        <v>47.710426154527063</v>
      </c>
      <c r="AX92" s="261">
        <f t="shared" si="438"/>
        <v>49.203543291788471</v>
      </c>
      <c r="AY92" s="100">
        <f t="shared" si="438"/>
        <v>47.005437323551632</v>
      </c>
      <c r="AZ92" s="188">
        <f t="shared" si="438"/>
        <v>47.091753460194127</v>
      </c>
      <c r="BA92" s="348">
        <f t="shared" ref="BA92:BD92" si="439">+BA91/BA6</f>
        <v>47.005437323551632</v>
      </c>
      <c r="BB92" s="351">
        <f t="shared" si="439"/>
        <v>49.907425143343758</v>
      </c>
      <c r="BC92" s="461">
        <f t="shared" si="439"/>
        <v>47.005437323551632</v>
      </c>
      <c r="BD92" s="480">
        <f t="shared" si="439"/>
        <v>50.392963295106213</v>
      </c>
      <c r="BE92" s="261">
        <f t="shared" ref="BE92:BF92" si="440">+BE91/BE6</f>
        <v>47.647335628636377</v>
      </c>
      <c r="BF92" s="261">
        <f t="shared" si="440"/>
        <v>49.020130692918819</v>
      </c>
      <c r="BG92" s="1520"/>
      <c r="BH92" s="1520"/>
      <c r="BI92" s="26"/>
      <c r="BJ92" s="26"/>
      <c r="BK92" s="26"/>
      <c r="BL92" s="26"/>
      <c r="BM92" s="26"/>
      <c r="BN92" s="26"/>
    </row>
    <row r="93" spans="1:66" x14ac:dyDescent="0.3">
      <c r="A93" s="144"/>
      <c r="B93" s="1715" t="s">
        <v>797</v>
      </c>
      <c r="C93" s="1119" t="s">
        <v>49</v>
      </c>
      <c r="D93" s="360">
        <v>4.5999999999999996</v>
      </c>
      <c r="E93" s="360">
        <v>4.5999999999999996</v>
      </c>
      <c r="F93" s="1134">
        <v>4.1894733919807612</v>
      </c>
      <c r="G93" s="360">
        <v>4.5999999999999996</v>
      </c>
      <c r="H93" s="1134">
        <v>4.5061623758404199</v>
      </c>
      <c r="I93" s="655">
        <v>4.5999999999999996</v>
      </c>
      <c r="J93" s="4830">
        <f>AVERAGE(F93,H93)</f>
        <v>4.3478178839105901</v>
      </c>
      <c r="K93" s="360">
        <v>4.5999999999999996</v>
      </c>
      <c r="L93" s="1134">
        <v>4.570565078735414</v>
      </c>
      <c r="M93" s="654">
        <v>4.5999999999999996</v>
      </c>
      <c r="N93" s="1665">
        <f>AVERAGE(F93,H93,L93)</f>
        <v>4.4220669488521978</v>
      </c>
      <c r="O93" s="360">
        <v>4.5999999999999996</v>
      </c>
      <c r="P93" s="4911">
        <v>4.5550290656529127</v>
      </c>
      <c r="Q93" s="655">
        <v>4.5999999999999996</v>
      </c>
      <c r="R93" s="1661">
        <f>AVERAGE(F93,H93,L93,P93)</f>
        <v>4.4553074780523767</v>
      </c>
      <c r="S93" s="360">
        <v>4.5999999999999996</v>
      </c>
      <c r="T93" s="4911">
        <v>4.3585052447744994</v>
      </c>
      <c r="U93" s="655">
        <v>4.5999999999999996</v>
      </c>
      <c r="V93" s="1661">
        <f>AVERAGE(F93,H93,L93,P93,T93)</f>
        <v>4.4359470313968012</v>
      </c>
      <c r="W93" s="360">
        <v>4.5999999999999996</v>
      </c>
      <c r="X93" s="4911">
        <v>4.289585084407352</v>
      </c>
      <c r="Y93" s="654">
        <v>4.5999999999999996</v>
      </c>
      <c r="Z93" s="1665">
        <f>AVERAGE(P93,T93,X93)</f>
        <v>4.401039798278255</v>
      </c>
      <c r="AA93" s="651">
        <v>4.5999999999999996</v>
      </c>
      <c r="AB93" s="2093">
        <f>AVERAGE(F93,H93,L93,P93,T93,X93)</f>
        <v>4.4115533735652264</v>
      </c>
      <c r="AC93" s="360">
        <v>4.5999999999999996</v>
      </c>
      <c r="AD93" s="4911">
        <v>3.9089146542358315</v>
      </c>
      <c r="AE93" s="655">
        <v>4.5999999999999996</v>
      </c>
      <c r="AF93" s="4830">
        <f>AVERAGE(F93,H93,L93,P93,T93,X93,AD93)</f>
        <v>4.3397478422324562</v>
      </c>
      <c r="AG93" s="360">
        <v>4.5999999999999996</v>
      </c>
      <c r="AH93" s="4911">
        <v>4.4688035481815245</v>
      </c>
      <c r="AI93" s="655">
        <v>4.5999999999999996</v>
      </c>
      <c r="AJ93" s="4830">
        <f>AVERAGE(F93,H93,L93,P93,T93,X93,AD93,AH93)</f>
        <v>4.3558798054760892</v>
      </c>
      <c r="AK93" s="360">
        <v>4.5999999999999996</v>
      </c>
      <c r="AL93" s="1134">
        <v>4.6483957855321032</v>
      </c>
      <c r="AM93" s="654">
        <v>4.5999999999999996</v>
      </c>
      <c r="AN93" s="1665">
        <f>AVERAGE(AD93,AL93)</f>
        <v>4.2786552198839676</v>
      </c>
      <c r="AO93" s="655">
        <v>4.5999999999999996</v>
      </c>
      <c r="AP93" s="1661">
        <f>AVERAGE(F93,H93,L93,P93,T93,X93,AD93,AL93,AH93)</f>
        <v>4.3883815810378692</v>
      </c>
      <c r="AQ93" s="360">
        <v>4.5999999999999996</v>
      </c>
      <c r="AR93" s="1134">
        <v>3.9051862052866602</v>
      </c>
      <c r="AS93" s="655">
        <v>4.5999999999999996</v>
      </c>
      <c r="AT93" s="1661">
        <f>AVERAGE(F93,H93,L93,P93,T93,X93,AD93,AL93,AR93,AH93)</f>
        <v>4.3400620434627486</v>
      </c>
      <c r="AU93" s="360">
        <v>4.5999999999999996</v>
      </c>
      <c r="AV93" s="1134">
        <v>2.021938028312273</v>
      </c>
      <c r="AW93" s="655">
        <v>4.5999999999999996</v>
      </c>
      <c r="AX93" s="1661">
        <f>AVERAGE(F93,H93,L93,P93,T93,X93,AD93,AL93,AR93,AV93,AH93)</f>
        <v>4.1293234966308869</v>
      </c>
      <c r="AY93" s="360">
        <v>4.5999999999999996</v>
      </c>
      <c r="AZ93" s="1134">
        <v>4.5015092912411649</v>
      </c>
      <c r="BA93" s="654">
        <v>4.5999999999999996</v>
      </c>
      <c r="BB93" s="1665">
        <f>AVERAGE(AR93,AV93,AZ93)</f>
        <v>3.4762111749466995</v>
      </c>
      <c r="BC93" s="651">
        <v>4.5999999999999996</v>
      </c>
      <c r="BD93" s="2093">
        <f>AVERAGE(AD93,AL93,AR93,AV93,AZ93,AH93)</f>
        <v>3.9091245854649266</v>
      </c>
      <c r="BE93" s="655">
        <v>4.5999999999999996</v>
      </c>
      <c r="BF93" s="1661">
        <f>AVERAGE(F93,H93,L93,P93,T93,X93,AD93,AL93,AR93,AV93,AZ93,AH93)</f>
        <v>4.1603389795150765</v>
      </c>
      <c r="BG93" s="1520"/>
      <c r="BH93" s="1520"/>
      <c r="BI93" s="26"/>
      <c r="BJ93" s="26"/>
      <c r="BK93" s="26"/>
      <c r="BL93" s="26"/>
      <c r="BM93" s="26"/>
      <c r="BN93" s="26"/>
    </row>
    <row r="94" spans="1:66" hidden="1" x14ac:dyDescent="0.3">
      <c r="A94" s="144"/>
      <c r="B94" s="831" t="s">
        <v>814</v>
      </c>
      <c r="C94" s="1649"/>
      <c r="D94" s="831"/>
      <c r="E94" s="831"/>
      <c r="F94" s="392">
        <f>+SMS!F68</f>
        <v>0</v>
      </c>
      <c r="G94" s="831"/>
      <c r="H94" s="392">
        <f>+SMS!H68</f>
        <v>0</v>
      </c>
      <c r="I94" s="641"/>
      <c r="J94" s="775">
        <f>+F94+H94</f>
        <v>0</v>
      </c>
      <c r="K94" s="831"/>
      <c r="L94" s="392">
        <f>+SMS!L68</f>
        <v>0</v>
      </c>
      <c r="M94" s="640"/>
      <c r="N94" s="774">
        <f>+L94+H94+F94</f>
        <v>0</v>
      </c>
      <c r="O94" s="831"/>
      <c r="P94" s="392">
        <f>+SMS!P68</f>
        <v>0</v>
      </c>
      <c r="Q94" s="641"/>
      <c r="R94" s="775">
        <f>+N94+P94</f>
        <v>0</v>
      </c>
      <c r="S94" s="831"/>
      <c r="T94" s="392">
        <f>+SMS!T68</f>
        <v>0</v>
      </c>
      <c r="U94" s="641"/>
      <c r="V94" s="775">
        <f>+R94+T94</f>
        <v>0</v>
      </c>
      <c r="W94" s="831"/>
      <c r="X94" s="392">
        <f>+SMS!X68</f>
        <v>0</v>
      </c>
      <c r="Y94" s="640"/>
      <c r="Z94" s="68">
        <f>+X94+T94+P94</f>
        <v>0</v>
      </c>
      <c r="AA94" s="832"/>
      <c r="AB94" s="472">
        <f>+N94+Z94</f>
        <v>0</v>
      </c>
      <c r="AC94" s="831"/>
      <c r="AD94" s="392">
        <f>+SMS!AD68</f>
        <v>0</v>
      </c>
      <c r="AE94" s="641"/>
      <c r="AF94" s="775">
        <f>+AB94+AD94</f>
        <v>0</v>
      </c>
      <c r="AG94" s="831"/>
      <c r="AH94" s="392">
        <f>+SMS!AH68</f>
        <v>0</v>
      </c>
      <c r="AI94" s="641"/>
      <c r="AJ94" s="775">
        <f>+AF94+AH94</f>
        <v>0</v>
      </c>
      <c r="AK94" s="831"/>
      <c r="AL94" s="392">
        <f>+SMS!AL68</f>
        <v>0</v>
      </c>
      <c r="AM94" s="640"/>
      <c r="AN94" s="68">
        <f>+AL94+AH94+AD94</f>
        <v>0</v>
      </c>
      <c r="AO94" s="641"/>
      <c r="AP94" s="775">
        <f>+AL94+AJ94</f>
        <v>0</v>
      </c>
      <c r="AQ94" s="831"/>
      <c r="AR94" s="392">
        <f>+SMS!AR68</f>
        <v>0</v>
      </c>
      <c r="AS94" s="641"/>
      <c r="AT94" s="775">
        <f>+AP94+AR94</f>
        <v>0</v>
      </c>
      <c r="AU94" s="831"/>
      <c r="AV94" s="392">
        <f>+SMS!AV68</f>
        <v>0</v>
      </c>
      <c r="AW94" s="641"/>
      <c r="AX94" s="775">
        <f>+AT94+AV94</f>
        <v>0</v>
      </c>
      <c r="AY94" s="831"/>
      <c r="AZ94" s="392">
        <f>+SMS!AZ68</f>
        <v>0</v>
      </c>
      <c r="BA94" s="640"/>
      <c r="BB94" s="68">
        <f>+AZ94+AV94+AR94</f>
        <v>0</v>
      </c>
      <c r="BC94" s="832"/>
      <c r="BD94" s="472">
        <f>+AN94+BB94</f>
        <v>0</v>
      </c>
      <c r="BE94" s="641"/>
      <c r="BF94" s="775">
        <f>+AX94+AZ94</f>
        <v>0</v>
      </c>
      <c r="BG94" s="1520">
        <f t="shared" si="409"/>
        <v>0</v>
      </c>
      <c r="BH94" s="1520">
        <f t="shared" si="410"/>
        <v>0</v>
      </c>
      <c r="BI94" s="26"/>
      <c r="BJ94" s="26"/>
      <c r="BK94" s="26"/>
      <c r="BL94" s="26"/>
      <c r="BM94" s="26"/>
      <c r="BN94" s="26"/>
    </row>
    <row r="95" spans="1:66" x14ac:dyDescent="0.3">
      <c r="A95" s="144"/>
      <c r="B95" s="92"/>
      <c r="C95" s="342"/>
      <c r="D95" s="891"/>
      <c r="E95" s="891"/>
      <c r="F95" s="181"/>
      <c r="G95" s="891"/>
      <c r="H95" s="266"/>
      <c r="I95" s="342"/>
      <c r="J95" s="342"/>
      <c r="K95" s="891"/>
      <c r="L95" s="181"/>
      <c r="M95" s="342"/>
      <c r="N95" s="342"/>
      <c r="O95" s="891"/>
      <c r="P95" s="181"/>
      <c r="Q95" s="342"/>
      <c r="R95" s="342"/>
      <c r="S95" s="891"/>
      <c r="T95" s="266"/>
      <c r="U95" s="342"/>
      <c r="V95" s="342"/>
      <c r="W95" s="891"/>
      <c r="X95" s="181"/>
      <c r="Y95" s="342"/>
      <c r="Z95" s="342"/>
      <c r="AC95" s="891"/>
      <c r="AD95" s="181"/>
      <c r="AE95" s="342"/>
      <c r="AF95" s="342"/>
      <c r="AG95" s="891"/>
      <c r="AH95" s="266"/>
      <c r="AI95" s="342"/>
      <c r="AJ95" s="342"/>
      <c r="AK95" s="891"/>
      <c r="AL95" s="181"/>
      <c r="AM95" s="342"/>
      <c r="AN95" s="342"/>
      <c r="AO95" s="342"/>
      <c r="AP95" s="342"/>
      <c r="AQ95" s="891"/>
      <c r="AR95" s="181"/>
      <c r="AS95" s="342"/>
      <c r="AT95" s="342"/>
      <c r="AU95" s="891"/>
      <c r="AV95" s="181"/>
      <c r="AW95" s="342"/>
      <c r="AX95" s="342"/>
      <c r="AY95" s="891"/>
      <c r="AZ95" s="181"/>
      <c r="BA95" s="342"/>
      <c r="BB95" s="342"/>
      <c r="BE95" s="342"/>
      <c r="BF95" s="342"/>
      <c r="BG95" s="1520">
        <f t="shared" si="409"/>
        <v>0</v>
      </c>
      <c r="BH95" s="1520">
        <f t="shared" si="410"/>
        <v>0</v>
      </c>
      <c r="BI95" s="26"/>
      <c r="BJ95" s="26"/>
      <c r="BK95" s="26"/>
      <c r="BL95" s="26"/>
      <c r="BM95" s="26"/>
      <c r="BN95" s="26"/>
    </row>
    <row r="96" spans="1:66" ht="15" customHeight="1" x14ac:dyDescent="0.3">
      <c r="A96" s="144"/>
      <c r="B96" s="833" t="s">
        <v>917</v>
      </c>
      <c r="C96" s="891"/>
      <c r="D96" s="891"/>
      <c r="E96" s="891"/>
      <c r="F96" s="181"/>
      <c r="G96" s="891"/>
      <c r="H96" s="266"/>
      <c r="I96" s="342"/>
      <c r="J96" s="342"/>
      <c r="K96" s="891"/>
      <c r="L96" s="181"/>
      <c r="M96" s="342"/>
      <c r="N96" s="342"/>
      <c r="O96" s="891"/>
      <c r="P96" s="181"/>
      <c r="Q96" s="342"/>
      <c r="R96" s="342"/>
      <c r="S96" s="891"/>
      <c r="T96" s="266"/>
      <c r="U96" s="342"/>
      <c r="V96" s="342"/>
      <c r="W96" s="891"/>
      <c r="X96" s="181"/>
      <c r="Y96" s="342"/>
      <c r="Z96" s="342"/>
      <c r="AC96" s="891"/>
      <c r="AD96" s="181"/>
      <c r="AE96" s="342"/>
      <c r="AF96" s="342"/>
      <c r="AG96" s="891"/>
      <c r="AH96" s="266"/>
      <c r="AI96" s="342"/>
      <c r="AJ96" s="342"/>
      <c r="AK96" s="891"/>
      <c r="AL96" s="181"/>
      <c r="AM96" s="342"/>
      <c r="AN96" s="342"/>
      <c r="AO96" s="342"/>
      <c r="AP96" s="342"/>
      <c r="AQ96" s="891"/>
      <c r="AR96" s="181"/>
      <c r="AS96" s="342"/>
      <c r="AT96" s="342"/>
      <c r="AU96" s="891"/>
      <c r="AV96" s="181"/>
      <c r="AW96" s="342"/>
      <c r="AX96" s="342"/>
      <c r="AY96" s="891"/>
      <c r="AZ96" s="181"/>
      <c r="BA96" s="342"/>
      <c r="BB96" s="342"/>
      <c r="BE96" s="342"/>
      <c r="BF96" s="342"/>
      <c r="BG96" s="1520">
        <f t="shared" si="409"/>
        <v>0</v>
      </c>
      <c r="BH96" s="1520">
        <f t="shared" si="410"/>
        <v>0</v>
      </c>
      <c r="BI96" s="26"/>
      <c r="BJ96" s="26"/>
      <c r="BK96" s="26"/>
      <c r="BL96" s="26"/>
      <c r="BM96" s="26"/>
      <c r="BN96" s="26"/>
    </row>
    <row r="97" spans="1:66" ht="18.600000000000001" thickBot="1" x14ac:dyDescent="0.4">
      <c r="A97" s="144"/>
      <c r="B97" s="3098" t="s">
        <v>914</v>
      </c>
      <c r="C97" s="342"/>
      <c r="D97" s="3099"/>
      <c r="E97" s="3099"/>
      <c r="F97" s="2711"/>
      <c r="G97" s="3099"/>
      <c r="H97" s="5580"/>
      <c r="I97" s="342"/>
      <c r="J97" s="342"/>
      <c r="K97" s="3099"/>
      <c r="L97" s="2711"/>
      <c r="M97" s="342"/>
      <c r="N97" s="342"/>
      <c r="O97" s="3099"/>
      <c r="P97" s="2711"/>
      <c r="Q97" s="342"/>
      <c r="R97" s="342"/>
      <c r="S97" s="3099"/>
      <c r="T97" s="5580"/>
      <c r="U97" s="342"/>
      <c r="V97" s="342"/>
      <c r="W97" s="3099"/>
      <c r="X97" s="2711"/>
      <c r="Y97" s="342"/>
      <c r="Z97" s="342"/>
      <c r="AC97" s="3099"/>
      <c r="AD97" s="2711"/>
      <c r="AE97" s="342"/>
      <c r="AF97" s="342"/>
      <c r="AG97" s="3099"/>
      <c r="AH97" s="5580"/>
      <c r="AI97" s="342"/>
      <c r="AJ97" s="342"/>
      <c r="AK97" s="3099"/>
      <c r="AL97" s="2711"/>
      <c r="AM97" s="342"/>
      <c r="AN97" s="342"/>
      <c r="AO97" s="342"/>
      <c r="AP97" s="342"/>
      <c r="AQ97" s="3099"/>
      <c r="AR97" s="2711"/>
      <c r="AS97" s="342"/>
      <c r="AT97" s="342"/>
      <c r="AU97" s="3099"/>
      <c r="AV97" s="2711"/>
      <c r="AW97" s="342"/>
      <c r="AX97" s="342"/>
      <c r="AY97" s="3099"/>
      <c r="AZ97" s="2711"/>
      <c r="BA97" s="342"/>
      <c r="BB97" s="342"/>
      <c r="BE97" s="342"/>
      <c r="BF97" s="342"/>
      <c r="BG97" s="1520">
        <f t="shared" si="409"/>
        <v>0</v>
      </c>
      <c r="BH97" s="1520">
        <f t="shared" si="410"/>
        <v>0</v>
      </c>
      <c r="BI97" s="26"/>
      <c r="BJ97" s="26"/>
      <c r="BK97" s="26"/>
      <c r="BL97" s="26"/>
      <c r="BM97" s="26"/>
      <c r="BN97" s="26"/>
    </row>
    <row r="98" spans="1:66" ht="18" x14ac:dyDescent="0.35">
      <c r="A98" s="642"/>
      <c r="B98" s="902" t="s">
        <v>240</v>
      </c>
      <c r="C98" s="3100" t="s">
        <v>50</v>
      </c>
      <c r="D98" s="586"/>
      <c r="E98" s="586"/>
      <c r="F98" s="2485">
        <v>54078</v>
      </c>
      <c r="G98" s="586"/>
      <c r="H98" s="2485">
        <v>64925.1</v>
      </c>
      <c r="I98" s="2484"/>
      <c r="J98" s="4350">
        <f>+F98+H98</f>
        <v>119003.1</v>
      </c>
      <c r="K98" s="586"/>
      <c r="L98" s="2485">
        <v>62108.3</v>
      </c>
      <c r="M98" s="645"/>
      <c r="N98" s="645">
        <f>+F98+H98+L98</f>
        <v>181111.40000000002</v>
      </c>
      <c r="O98" s="586"/>
      <c r="P98" s="2485">
        <v>73148.350000000006</v>
      </c>
      <c r="Q98" s="644"/>
      <c r="R98" s="644">
        <f>+N98+P98</f>
        <v>254259.75000000003</v>
      </c>
      <c r="S98" s="586"/>
      <c r="T98" s="2485">
        <v>49554.400000000001</v>
      </c>
      <c r="U98" s="644"/>
      <c r="V98" s="644">
        <f>+R98+T98</f>
        <v>303814.15000000002</v>
      </c>
      <c r="W98" s="586"/>
      <c r="X98" s="2485">
        <v>44799.8</v>
      </c>
      <c r="Y98" s="645"/>
      <c r="Z98" s="645">
        <f>+P98+T98+X98</f>
        <v>167502.54999999999</v>
      </c>
      <c r="AA98" s="646"/>
      <c r="AB98" s="646">
        <f>+N98+Z98</f>
        <v>348613.95</v>
      </c>
      <c r="AC98" s="586"/>
      <c r="AD98" s="2485">
        <v>44690.3</v>
      </c>
      <c r="AE98" s="644"/>
      <c r="AF98" s="644">
        <f>+AB98+AD98</f>
        <v>393304.25</v>
      </c>
      <c r="AG98" s="586"/>
      <c r="AH98" s="2485">
        <v>49589.9</v>
      </c>
      <c r="AI98" s="644"/>
      <c r="AJ98" s="644">
        <f>+AF98+AH98</f>
        <v>442894.15</v>
      </c>
      <c r="AK98" s="586"/>
      <c r="AL98" s="2485">
        <v>66070.5</v>
      </c>
      <c r="AM98" s="645"/>
      <c r="AN98" s="645">
        <f>+AD98+AH98+AL98</f>
        <v>160350.70000000001</v>
      </c>
      <c r="AO98" s="644"/>
      <c r="AP98" s="644">
        <f>+AL98+AJ98</f>
        <v>508964.65</v>
      </c>
      <c r="AQ98" s="586"/>
      <c r="AR98" s="2485">
        <v>69909.899999999994</v>
      </c>
      <c r="AS98" s="644"/>
      <c r="AT98" s="644">
        <f>+AP98+AR98</f>
        <v>578874.55000000005</v>
      </c>
      <c r="AU98" s="586"/>
      <c r="AV98" s="2485">
        <v>43733.599999999999</v>
      </c>
      <c r="AW98" s="644"/>
      <c r="AX98" s="644">
        <f>+AT98+AV98</f>
        <v>622608.15</v>
      </c>
      <c r="AY98" s="586"/>
      <c r="AZ98" s="2485">
        <v>50059</v>
      </c>
      <c r="BA98" s="645"/>
      <c r="BB98" s="645">
        <f>+AR98+AV98+AZ98</f>
        <v>163702.5</v>
      </c>
      <c r="BC98" s="646"/>
      <c r="BD98" s="646">
        <f t="shared" ref="BD98:BD107" si="441">+AN98+BB98</f>
        <v>324053.2</v>
      </c>
      <c r="BE98" s="644"/>
      <c r="BF98" s="644">
        <f>+AX98+AZ98</f>
        <v>672667.15</v>
      </c>
      <c r="BG98" s="1520">
        <f t="shared" si="409"/>
        <v>0</v>
      </c>
      <c r="BH98" s="1520">
        <f t="shared" si="410"/>
        <v>0</v>
      </c>
      <c r="BI98" s="26"/>
      <c r="BJ98" s="26"/>
      <c r="BK98" s="26"/>
      <c r="BL98" s="26"/>
      <c r="BM98" s="26"/>
      <c r="BN98" s="26"/>
    </row>
    <row r="99" spans="1:66" ht="18" x14ac:dyDescent="0.35">
      <c r="A99" s="642"/>
      <c r="B99" s="904" t="s">
        <v>25</v>
      </c>
      <c r="C99" s="3102" t="s">
        <v>50</v>
      </c>
      <c r="D99" s="3103"/>
      <c r="E99" s="3103"/>
      <c r="F99" s="2548">
        <v>81202.082043343646</v>
      </c>
      <c r="G99" s="3103"/>
      <c r="H99" s="2548">
        <v>91305.727863777094</v>
      </c>
      <c r="I99" s="2732"/>
      <c r="J99" s="4350">
        <f t="shared" ref="J99:J107" si="442">+F99+H99</f>
        <v>172507.80990712074</v>
      </c>
      <c r="K99" s="3103"/>
      <c r="L99" s="2548">
        <v>94019.513828689378</v>
      </c>
      <c r="M99" s="645"/>
      <c r="N99" s="645">
        <f t="shared" ref="N99:N107" si="443">+F99+H99+L99</f>
        <v>266527.32373581012</v>
      </c>
      <c r="O99" s="3103"/>
      <c r="P99" s="2548">
        <v>100330.49597523219</v>
      </c>
      <c r="Q99" s="1114"/>
      <c r="R99" s="644">
        <f t="shared" ref="R99:R107" si="444">+N99+P99</f>
        <v>366857.81971104234</v>
      </c>
      <c r="S99" s="3103"/>
      <c r="T99" s="2548">
        <v>95643.7266460268</v>
      </c>
      <c r="U99" s="1114"/>
      <c r="V99" s="644">
        <f t="shared" ref="V99:V107" si="445">+R99+T99</f>
        <v>462501.54635706916</v>
      </c>
      <c r="W99" s="3103"/>
      <c r="X99" s="2548">
        <v>98019.232549019609</v>
      </c>
      <c r="Y99" s="645"/>
      <c r="Z99" s="645">
        <f t="shared" ref="Z99:Z107" si="446">+P99+T99+X99</f>
        <v>293993.45517027861</v>
      </c>
      <c r="AA99" s="1116"/>
      <c r="AB99" s="646">
        <f t="shared" ref="AB99:AB107" si="447">+N99+Z99</f>
        <v>560520.77890608879</v>
      </c>
      <c r="AC99" s="3103"/>
      <c r="AD99" s="2548">
        <v>85255.344767801871</v>
      </c>
      <c r="AE99" s="1114"/>
      <c r="AF99" s="644">
        <f t="shared" ref="AF99:AF107" si="448">+AB99+AD99</f>
        <v>645776.12367389072</v>
      </c>
      <c r="AG99" s="3103"/>
      <c r="AH99" s="2548">
        <v>92292</v>
      </c>
      <c r="AI99" s="1114"/>
      <c r="AJ99" s="644">
        <f t="shared" ref="AJ99:AJ107" si="449">+AF99+AH99</f>
        <v>738068.12367389072</v>
      </c>
      <c r="AK99" s="3103"/>
      <c r="AL99" s="2548">
        <v>98492.893292053646</v>
      </c>
      <c r="AM99" s="645"/>
      <c r="AN99" s="645">
        <f t="shared" ref="AN99:AN107" si="450">+AD99+AH99+AL99</f>
        <v>276040.23805985553</v>
      </c>
      <c r="AO99" s="1114"/>
      <c r="AP99" s="644">
        <f t="shared" ref="AP99:AP107" si="451">+AL99+AJ99</f>
        <v>836561.01696594432</v>
      </c>
      <c r="AQ99" s="3103"/>
      <c r="AR99" s="2548">
        <v>97384.190371517034</v>
      </c>
      <c r="AS99" s="1114"/>
      <c r="AT99" s="644">
        <f t="shared" ref="AT99:AT107" si="452">+AP99+AR99</f>
        <v>933945.20733746141</v>
      </c>
      <c r="AU99" s="3103"/>
      <c r="AV99" s="2548">
        <v>87196.794891640864</v>
      </c>
      <c r="AW99" s="1114"/>
      <c r="AX99" s="644">
        <f t="shared" ref="AX99:AX103" si="453">+AT99+AV99</f>
        <v>1021142.0022291023</v>
      </c>
      <c r="AY99" s="3103"/>
      <c r="AZ99" s="2548">
        <v>95429.557688338493</v>
      </c>
      <c r="BA99" s="645"/>
      <c r="BB99" s="645">
        <f t="shared" ref="BB99:BB107" si="454">+AR99+AV99+AZ99</f>
        <v>280010.54295149638</v>
      </c>
      <c r="BC99" s="1116"/>
      <c r="BD99" s="646">
        <f t="shared" si="441"/>
        <v>556050.78101135185</v>
      </c>
      <c r="BE99" s="1114"/>
      <c r="BF99" s="644">
        <f t="shared" ref="BF99:BF107" si="455">+AX99+AZ99</f>
        <v>1116571.5599174409</v>
      </c>
      <c r="BG99" s="1520">
        <f t="shared" si="409"/>
        <v>0</v>
      </c>
      <c r="BH99" s="1520">
        <f t="shared" si="410"/>
        <v>0</v>
      </c>
      <c r="BI99" s="26"/>
      <c r="BJ99" s="26"/>
      <c r="BK99" s="26"/>
      <c r="BL99" s="26"/>
      <c r="BM99" s="26"/>
      <c r="BN99" s="26"/>
    </row>
    <row r="100" spans="1:66" ht="18" x14ac:dyDescent="0.35">
      <c r="A100" s="642"/>
      <c r="B100" s="904" t="s">
        <v>915</v>
      </c>
      <c r="C100" s="3102" t="s">
        <v>50</v>
      </c>
      <c r="D100" s="3103"/>
      <c r="E100" s="3103"/>
      <c r="F100" s="3104">
        <v>6702.2691434468525</v>
      </c>
      <c r="G100" s="3103"/>
      <c r="H100" s="3104">
        <v>7718.4788441692444</v>
      </c>
      <c r="I100" s="2732"/>
      <c r="J100" s="4350">
        <f t="shared" si="442"/>
        <v>14420.747987616098</v>
      </c>
      <c r="K100" s="3103"/>
      <c r="L100" s="3104">
        <v>8601.9142414860689</v>
      </c>
      <c r="M100" s="645"/>
      <c r="N100" s="645">
        <f t="shared" si="443"/>
        <v>23022.662229102167</v>
      </c>
      <c r="O100" s="3103"/>
      <c r="P100" s="3104">
        <v>11281.726934984523</v>
      </c>
      <c r="Q100" s="1114"/>
      <c r="R100" s="644">
        <f t="shared" si="444"/>
        <v>34304.389164086693</v>
      </c>
      <c r="S100" s="3103"/>
      <c r="T100" s="3104">
        <v>9736.7554489164086</v>
      </c>
      <c r="U100" s="1114"/>
      <c r="V100" s="644">
        <f t="shared" si="445"/>
        <v>44041.144613003104</v>
      </c>
      <c r="W100" s="3103"/>
      <c r="X100" s="3104">
        <v>9223.1608875129023</v>
      </c>
      <c r="Y100" s="645"/>
      <c r="Z100" s="645">
        <f t="shared" si="446"/>
        <v>30241.643271413835</v>
      </c>
      <c r="AA100" s="1116"/>
      <c r="AB100" s="646">
        <f t="shared" si="447"/>
        <v>53264.305500515999</v>
      </c>
      <c r="AC100" s="3103"/>
      <c r="AD100" s="3104">
        <v>6343.1684210526319</v>
      </c>
      <c r="AE100" s="1114"/>
      <c r="AF100" s="644">
        <f t="shared" si="448"/>
        <v>59607.473921568628</v>
      </c>
      <c r="AG100" s="3103"/>
      <c r="AH100" s="3104">
        <v>9510</v>
      </c>
      <c r="AI100" s="1114"/>
      <c r="AJ100" s="644">
        <f t="shared" si="449"/>
        <v>69117.473921568628</v>
      </c>
      <c r="AK100" s="3103"/>
      <c r="AL100" s="3104">
        <v>9249.7928792569655</v>
      </c>
      <c r="AM100" s="645"/>
      <c r="AN100" s="645">
        <f t="shared" si="450"/>
        <v>25102.961300309598</v>
      </c>
      <c r="AO100" s="1114"/>
      <c r="AP100" s="644">
        <f t="shared" si="451"/>
        <v>78367.266800825601</v>
      </c>
      <c r="AQ100" s="3103"/>
      <c r="AR100" s="3104">
        <v>8042.2678679050568</v>
      </c>
      <c r="AS100" s="1114"/>
      <c r="AT100" s="644">
        <f t="shared" si="452"/>
        <v>86409.534668730659</v>
      </c>
      <c r="AU100" s="3103"/>
      <c r="AV100" s="3104">
        <v>6049.3302992776062</v>
      </c>
      <c r="AW100" s="1114"/>
      <c r="AX100" s="644">
        <f t="shared" si="453"/>
        <v>92458.86496800826</v>
      </c>
      <c r="AY100" s="3103"/>
      <c r="AZ100" s="3104">
        <v>8548.8579979360165</v>
      </c>
      <c r="BA100" s="645"/>
      <c r="BB100" s="645">
        <f t="shared" si="454"/>
        <v>22640.456165118681</v>
      </c>
      <c r="BC100" s="1116"/>
      <c r="BD100" s="646">
        <f t="shared" si="441"/>
        <v>47743.417465428283</v>
      </c>
      <c r="BE100" s="1114"/>
      <c r="BF100" s="644">
        <f t="shared" si="455"/>
        <v>101007.72296594428</v>
      </c>
      <c r="BG100" s="1520">
        <f t="shared" si="409"/>
        <v>0</v>
      </c>
      <c r="BH100" s="1520">
        <f t="shared" si="410"/>
        <v>0</v>
      </c>
      <c r="BI100" s="26"/>
      <c r="BJ100" s="26"/>
      <c r="BK100" s="26"/>
      <c r="BL100" s="26"/>
      <c r="BM100" s="26"/>
      <c r="BN100" s="26"/>
    </row>
    <row r="101" spans="1:66" ht="18" x14ac:dyDescent="0.35">
      <c r="A101" s="642"/>
      <c r="B101" s="904" t="s">
        <v>1882</v>
      </c>
      <c r="C101" s="4345" t="s">
        <v>50</v>
      </c>
      <c r="D101" s="4346"/>
      <c r="E101" s="4346"/>
      <c r="F101" s="4347">
        <v>0</v>
      </c>
      <c r="G101" s="4346"/>
      <c r="H101" s="4347"/>
      <c r="I101" s="4348"/>
      <c r="J101" s="4350">
        <f t="shared" si="442"/>
        <v>0</v>
      </c>
      <c r="K101" s="4346"/>
      <c r="L101" s="4347">
        <v>0</v>
      </c>
      <c r="M101" s="4349"/>
      <c r="N101" s="645">
        <f t="shared" si="443"/>
        <v>0</v>
      </c>
      <c r="O101" s="4346"/>
      <c r="P101" s="4347"/>
      <c r="Q101" s="4348"/>
      <c r="R101" s="644">
        <f t="shared" si="444"/>
        <v>0</v>
      </c>
      <c r="S101" s="4346"/>
      <c r="T101" s="4347"/>
      <c r="U101" s="4348"/>
      <c r="V101" s="644">
        <f t="shared" si="445"/>
        <v>0</v>
      </c>
      <c r="W101" s="4346"/>
      <c r="X101" s="4347"/>
      <c r="Y101" s="4349"/>
      <c r="Z101" s="645">
        <f t="shared" si="446"/>
        <v>0</v>
      </c>
      <c r="AA101" s="4351"/>
      <c r="AB101" s="646">
        <f t="shared" si="447"/>
        <v>0</v>
      </c>
      <c r="AC101" s="4346"/>
      <c r="AD101" s="4347">
        <v>6500</v>
      </c>
      <c r="AE101" s="4348"/>
      <c r="AF101" s="644">
        <f t="shared" si="448"/>
        <v>6500</v>
      </c>
      <c r="AG101" s="4346"/>
      <c r="AH101" s="4347">
        <v>700</v>
      </c>
      <c r="AI101" s="4348"/>
      <c r="AJ101" s="644">
        <f t="shared" si="449"/>
        <v>7200</v>
      </c>
      <c r="AK101" s="4346"/>
      <c r="AL101" s="4347">
        <v>799.7936016511868</v>
      </c>
      <c r="AM101" s="4349"/>
      <c r="AN101" s="645">
        <f t="shared" si="450"/>
        <v>7999.7936016511867</v>
      </c>
      <c r="AO101" s="4348"/>
      <c r="AP101" s="644">
        <f t="shared" si="451"/>
        <v>7999.7936016511867</v>
      </c>
      <c r="AQ101" s="4346"/>
      <c r="AR101" s="4347">
        <v>0</v>
      </c>
      <c r="AS101" s="4348"/>
      <c r="AT101" s="644">
        <f t="shared" si="452"/>
        <v>7999.7936016511867</v>
      </c>
      <c r="AU101" s="4346"/>
      <c r="AV101" s="4347">
        <v>0</v>
      </c>
      <c r="AW101" s="4348"/>
      <c r="AX101" s="644">
        <f t="shared" si="453"/>
        <v>7999.7936016511867</v>
      </c>
      <c r="AY101" s="4346"/>
      <c r="AZ101" s="4347">
        <v>0</v>
      </c>
      <c r="BA101" s="4349"/>
      <c r="BB101" s="645">
        <f t="shared" si="454"/>
        <v>0</v>
      </c>
      <c r="BC101" s="4351"/>
      <c r="BD101" s="646">
        <f t="shared" si="441"/>
        <v>7999.7936016511867</v>
      </c>
      <c r="BE101" s="4348"/>
      <c r="BF101" s="644">
        <f t="shared" si="455"/>
        <v>7999.7936016511867</v>
      </c>
      <c r="BG101" s="1520">
        <f t="shared" si="409"/>
        <v>0</v>
      </c>
      <c r="BH101" s="1520">
        <f t="shared" si="410"/>
        <v>0</v>
      </c>
      <c r="BI101" s="26"/>
      <c r="BJ101" s="26"/>
      <c r="BK101" s="26"/>
      <c r="BL101" s="26"/>
      <c r="BM101" s="26"/>
      <c r="BN101" s="26"/>
    </row>
    <row r="102" spans="1:66" ht="18" x14ac:dyDescent="0.35">
      <c r="A102" s="642"/>
      <c r="B102" s="904" t="s">
        <v>124</v>
      </c>
      <c r="C102" s="3102" t="s">
        <v>50</v>
      </c>
      <c r="D102" s="3103"/>
      <c r="E102" s="3103"/>
      <c r="F102" s="2548">
        <v>37497.146483516481</v>
      </c>
      <c r="G102" s="3103"/>
      <c r="H102" s="2548">
        <v>43820.499780219783</v>
      </c>
      <c r="I102" s="2876"/>
      <c r="J102" s="4350">
        <f t="shared" si="442"/>
        <v>81317.646263736271</v>
      </c>
      <c r="K102" s="3103"/>
      <c r="L102" s="2548">
        <v>44610.065274725261</v>
      </c>
      <c r="M102" s="645"/>
      <c r="N102" s="645">
        <f t="shared" si="443"/>
        <v>125927.71153846153</v>
      </c>
      <c r="O102" s="3103"/>
      <c r="P102" s="2548">
        <v>42070.860109890105</v>
      </c>
      <c r="Q102" s="644"/>
      <c r="R102" s="644">
        <f t="shared" si="444"/>
        <v>167998.57164835164</v>
      </c>
      <c r="S102" s="3103"/>
      <c r="T102" s="2548">
        <v>39478.498549450553</v>
      </c>
      <c r="U102" s="644"/>
      <c r="V102" s="644">
        <f t="shared" si="445"/>
        <v>207477.07019780221</v>
      </c>
      <c r="W102" s="3103"/>
      <c r="X102" s="2548">
        <v>34369.631934065947</v>
      </c>
      <c r="Y102" s="645"/>
      <c r="Z102" s="645">
        <f t="shared" si="446"/>
        <v>115918.9905934066</v>
      </c>
      <c r="AA102" s="646"/>
      <c r="AB102" s="646">
        <f t="shared" si="447"/>
        <v>241846.70213186814</v>
      </c>
      <c r="AC102" s="3103"/>
      <c r="AD102" s="2548">
        <v>27983.437582417573</v>
      </c>
      <c r="AE102" s="644"/>
      <c r="AF102" s="644">
        <f t="shared" si="448"/>
        <v>269830.13971428573</v>
      </c>
      <c r="AG102" s="3103"/>
      <c r="AH102" s="2548">
        <v>36662.43483516483</v>
      </c>
      <c r="AI102" s="644"/>
      <c r="AJ102" s="644">
        <f t="shared" si="449"/>
        <v>306492.57454945054</v>
      </c>
      <c r="AK102" s="3103"/>
      <c r="AL102" s="2548">
        <v>36176.249340659349</v>
      </c>
      <c r="AM102" s="645"/>
      <c r="AN102" s="645">
        <f t="shared" si="450"/>
        <v>100822.12175824176</v>
      </c>
      <c r="AO102" s="644"/>
      <c r="AP102" s="644">
        <f t="shared" si="451"/>
        <v>342668.8238901099</v>
      </c>
      <c r="AQ102" s="3103"/>
      <c r="AR102" s="2548">
        <v>34931.323340659335</v>
      </c>
      <c r="AS102" s="644"/>
      <c r="AT102" s="644">
        <f t="shared" si="452"/>
        <v>377600.14723076922</v>
      </c>
      <c r="AU102" s="3103"/>
      <c r="AV102" s="2548">
        <v>19267.00813186813</v>
      </c>
      <c r="AW102" s="644"/>
      <c r="AX102" s="644">
        <f t="shared" si="453"/>
        <v>396867.15536263736</v>
      </c>
      <c r="AY102" s="3103"/>
      <c r="AZ102" s="2548">
        <v>37482.176813186823</v>
      </c>
      <c r="BA102" s="645"/>
      <c r="BB102" s="645">
        <f t="shared" si="454"/>
        <v>91680.508285714284</v>
      </c>
      <c r="BC102" s="646"/>
      <c r="BD102" s="646">
        <f t="shared" si="441"/>
        <v>192502.63004395604</v>
      </c>
      <c r="BE102" s="644"/>
      <c r="BF102" s="644">
        <f t="shared" si="455"/>
        <v>434349.33217582421</v>
      </c>
      <c r="BG102" s="1520">
        <f t="shared" si="409"/>
        <v>0</v>
      </c>
      <c r="BH102" s="1520">
        <f t="shared" si="410"/>
        <v>0</v>
      </c>
      <c r="BI102" s="26"/>
      <c r="BJ102" s="26"/>
      <c r="BK102" s="26"/>
      <c r="BL102" s="26"/>
      <c r="BM102" s="26"/>
      <c r="BN102" s="26"/>
    </row>
    <row r="103" spans="1:66" ht="18" x14ac:dyDescent="0.35">
      <c r="A103" s="642"/>
      <c r="B103" s="904" t="s">
        <v>19</v>
      </c>
      <c r="C103" s="3102" t="s">
        <v>50</v>
      </c>
      <c r="D103" s="3103"/>
      <c r="E103" s="3103"/>
      <c r="F103" s="3104">
        <v>252189.2</v>
      </c>
      <c r="G103" s="3103"/>
      <c r="H103" s="3104">
        <v>288586</v>
      </c>
      <c r="I103" s="2732"/>
      <c r="J103" s="4350">
        <f t="shared" si="442"/>
        <v>540775.19999999995</v>
      </c>
      <c r="K103" s="3103"/>
      <c r="L103" s="3104">
        <v>305588</v>
      </c>
      <c r="M103" s="645"/>
      <c r="N103" s="645">
        <f t="shared" si="443"/>
        <v>846363.2</v>
      </c>
      <c r="O103" s="3103"/>
      <c r="P103" s="3104">
        <v>314445.58999999997</v>
      </c>
      <c r="Q103" s="1114"/>
      <c r="R103" s="644">
        <f t="shared" si="444"/>
        <v>1160808.79</v>
      </c>
      <c r="S103" s="3103"/>
      <c r="T103" s="3104">
        <v>298752</v>
      </c>
      <c r="U103" s="1114"/>
      <c r="V103" s="644">
        <f t="shared" si="445"/>
        <v>1459560.79</v>
      </c>
      <c r="W103" s="3103"/>
      <c r="X103" s="3104">
        <v>288743.09999999998</v>
      </c>
      <c r="Y103" s="645"/>
      <c r="Z103" s="645">
        <f t="shared" si="446"/>
        <v>901940.69</v>
      </c>
      <c r="AA103" s="1116"/>
      <c r="AB103" s="646">
        <f t="shared" si="447"/>
        <v>1748303.89</v>
      </c>
      <c r="AC103" s="3103"/>
      <c r="AD103" s="3104">
        <v>238110</v>
      </c>
      <c r="AE103" s="1114"/>
      <c r="AF103" s="644">
        <f t="shared" si="448"/>
        <v>1986413.89</v>
      </c>
      <c r="AG103" s="3103"/>
      <c r="AH103" s="3104">
        <v>290904.40000000002</v>
      </c>
      <c r="AI103" s="1114"/>
      <c r="AJ103" s="644">
        <f t="shared" si="449"/>
        <v>2277318.29</v>
      </c>
      <c r="AK103" s="3103"/>
      <c r="AL103" s="3104">
        <v>289069.39999999997</v>
      </c>
      <c r="AM103" s="645"/>
      <c r="AN103" s="645">
        <f t="shared" si="450"/>
        <v>818083.8</v>
      </c>
      <c r="AO103" s="1114"/>
      <c r="AP103" s="644">
        <f t="shared" si="451"/>
        <v>2566387.69</v>
      </c>
      <c r="AQ103" s="3103"/>
      <c r="AR103" s="3104">
        <v>281651.3</v>
      </c>
      <c r="AS103" s="1114"/>
      <c r="AT103" s="644">
        <f t="shared" si="452"/>
        <v>2848038.9899999998</v>
      </c>
      <c r="AU103" s="3103"/>
      <c r="AV103" s="3104">
        <v>233607.7</v>
      </c>
      <c r="AW103" s="1114"/>
      <c r="AX103" s="644">
        <f t="shared" si="453"/>
        <v>3081646.69</v>
      </c>
      <c r="AY103" s="3103"/>
      <c r="AZ103" s="3104">
        <v>298183.2</v>
      </c>
      <c r="BA103" s="645"/>
      <c r="BB103" s="645">
        <f t="shared" si="454"/>
        <v>813442.2</v>
      </c>
      <c r="BC103" s="1116"/>
      <c r="BD103" s="646">
        <f t="shared" si="441"/>
        <v>1631526</v>
      </c>
      <c r="BE103" s="1114"/>
      <c r="BF103" s="644">
        <f t="shared" si="455"/>
        <v>3379829.89</v>
      </c>
      <c r="BG103" s="1520">
        <f t="shared" si="409"/>
        <v>0</v>
      </c>
      <c r="BH103" s="1520">
        <f t="shared" si="410"/>
        <v>0</v>
      </c>
      <c r="BI103" s="26"/>
      <c r="BJ103" s="26"/>
      <c r="BK103" s="26"/>
      <c r="BL103" s="26"/>
      <c r="BM103" s="26"/>
      <c r="BN103" s="26"/>
    </row>
    <row r="104" spans="1:66" ht="18.75" hidden="1" customHeight="1" x14ac:dyDescent="0.3">
      <c r="A104" s="144"/>
      <c r="B104" s="904" t="s">
        <v>1800</v>
      </c>
      <c r="C104" s="3102" t="s">
        <v>50</v>
      </c>
      <c r="D104" s="3889"/>
      <c r="E104" s="3889"/>
      <c r="F104" s="3104">
        <v>0</v>
      </c>
      <c r="G104" s="3889"/>
      <c r="H104" s="3104"/>
      <c r="I104" s="3101"/>
      <c r="J104" s="4350">
        <f>+F104+H104</f>
        <v>0</v>
      </c>
      <c r="K104" s="3889"/>
      <c r="L104" s="3104">
        <v>0</v>
      </c>
      <c r="M104" s="3890"/>
      <c r="N104" s="645">
        <f>+F104+H104+L104</f>
        <v>0</v>
      </c>
      <c r="O104" s="3889"/>
      <c r="P104" s="3104"/>
      <c r="Q104" s="3101"/>
      <c r="R104" s="644">
        <f>+N104+P104</f>
        <v>0</v>
      </c>
      <c r="S104" s="3889"/>
      <c r="T104" s="3104"/>
      <c r="U104" s="3101"/>
      <c r="V104" s="644">
        <f>+R104+T104</f>
        <v>0</v>
      </c>
      <c r="W104" s="3889"/>
      <c r="X104" s="3104"/>
      <c r="Y104" s="3890"/>
      <c r="Z104" s="645">
        <f>+P104+T104+X104</f>
        <v>0</v>
      </c>
      <c r="AA104" s="1116"/>
      <c r="AB104" s="646">
        <f>+N104+Z104</f>
        <v>0</v>
      </c>
      <c r="AC104" s="3889"/>
      <c r="AD104" s="3104"/>
      <c r="AE104" s="3101"/>
      <c r="AF104" s="644">
        <f>+AB104+AD104</f>
        <v>0</v>
      </c>
      <c r="AG104" s="3889"/>
      <c r="AH104" s="3104"/>
      <c r="AI104" s="3101"/>
      <c r="AJ104" s="644">
        <f>+AF104+AH104</f>
        <v>0</v>
      </c>
      <c r="AK104" s="3889"/>
      <c r="AL104" s="3104"/>
      <c r="AM104" s="3890"/>
      <c r="AN104" s="645">
        <f>+AD104+AH104+AL104</f>
        <v>0</v>
      </c>
      <c r="AO104" s="3101"/>
      <c r="AP104" s="644">
        <f>+AL104+AJ104</f>
        <v>0</v>
      </c>
      <c r="AQ104" s="3889"/>
      <c r="AR104" s="3104"/>
      <c r="AS104" s="3987"/>
      <c r="AT104" s="616">
        <f>+AP104+AR104</f>
        <v>0</v>
      </c>
      <c r="AU104" s="3889"/>
      <c r="AV104" s="3104"/>
      <c r="AW104" s="3101"/>
      <c r="AX104" s="644">
        <f>+AT104+AV104</f>
        <v>0</v>
      </c>
      <c r="AY104" s="3889"/>
      <c r="AZ104" s="3104">
        <v>0</v>
      </c>
      <c r="BA104" s="3890"/>
      <c r="BB104" s="645">
        <f t="shared" si="454"/>
        <v>0</v>
      </c>
      <c r="BC104" s="3891"/>
      <c r="BD104" s="646">
        <f>+AN104+BB104</f>
        <v>0</v>
      </c>
      <c r="BE104" s="3101"/>
      <c r="BF104" s="644">
        <f t="shared" si="455"/>
        <v>0</v>
      </c>
      <c r="BG104" s="1520">
        <f t="shared" si="409"/>
        <v>0</v>
      </c>
      <c r="BH104" s="1520">
        <f t="shared" si="410"/>
        <v>0</v>
      </c>
      <c r="BI104" s="26"/>
      <c r="BJ104" s="26"/>
      <c r="BK104" s="26"/>
      <c r="BL104" s="26"/>
      <c r="BM104" s="26"/>
      <c r="BN104" s="26"/>
    </row>
    <row r="105" spans="1:66" ht="18" x14ac:dyDescent="0.35">
      <c r="A105" s="642"/>
      <c r="B105" s="904" t="s">
        <v>916</v>
      </c>
      <c r="C105" s="3102" t="s">
        <v>50</v>
      </c>
      <c r="D105" s="3103"/>
      <c r="E105" s="3103"/>
      <c r="F105" s="3104">
        <v>0</v>
      </c>
      <c r="G105" s="3103"/>
      <c r="H105" s="3104"/>
      <c r="I105" s="2732"/>
      <c r="J105" s="4350">
        <f t="shared" si="442"/>
        <v>0</v>
      </c>
      <c r="K105" s="3103"/>
      <c r="L105" s="3104">
        <v>0</v>
      </c>
      <c r="M105" s="645"/>
      <c r="N105" s="645">
        <f t="shared" si="443"/>
        <v>0</v>
      </c>
      <c r="O105" s="3103"/>
      <c r="P105" s="3104"/>
      <c r="Q105" s="1114"/>
      <c r="R105" s="644">
        <f t="shared" si="444"/>
        <v>0</v>
      </c>
      <c r="S105" s="3103"/>
      <c r="T105" s="3104"/>
      <c r="U105" s="1114"/>
      <c r="V105" s="644">
        <f t="shared" si="445"/>
        <v>0</v>
      </c>
      <c r="W105" s="3103"/>
      <c r="X105" s="3104"/>
      <c r="Y105" s="645"/>
      <c r="Z105" s="645">
        <f t="shared" si="446"/>
        <v>0</v>
      </c>
      <c r="AA105" s="1116"/>
      <c r="AB105" s="646">
        <f t="shared" si="447"/>
        <v>0</v>
      </c>
      <c r="AC105" s="3103"/>
      <c r="AD105" s="3104">
        <v>123</v>
      </c>
      <c r="AE105" s="1114"/>
      <c r="AF105" s="644">
        <f t="shared" si="448"/>
        <v>123</v>
      </c>
      <c r="AG105" s="3103"/>
      <c r="AH105" s="3104"/>
      <c r="AI105" s="1114"/>
      <c r="AJ105" s="644">
        <f t="shared" si="449"/>
        <v>123</v>
      </c>
      <c r="AK105" s="3103"/>
      <c r="AL105" s="3104">
        <v>61.6</v>
      </c>
      <c r="AM105" s="645"/>
      <c r="AN105" s="645">
        <f t="shared" si="450"/>
        <v>184.6</v>
      </c>
      <c r="AO105" s="1114"/>
      <c r="AP105" s="644">
        <f t="shared" si="451"/>
        <v>184.6</v>
      </c>
      <c r="AQ105" s="3103"/>
      <c r="AR105" s="3104">
        <v>664.7</v>
      </c>
      <c r="AS105" s="1114"/>
      <c r="AT105" s="644">
        <f t="shared" si="452"/>
        <v>849.30000000000007</v>
      </c>
      <c r="AU105" s="3103"/>
      <c r="AV105" s="3104">
        <v>177.9</v>
      </c>
      <c r="AW105" s="1114"/>
      <c r="AX105" s="644">
        <f t="shared" ref="AX105:AX107" si="456">+AT105+AV105</f>
        <v>1027.2</v>
      </c>
      <c r="AY105" s="3103"/>
      <c r="AZ105" s="3104">
        <v>572</v>
      </c>
      <c r="BA105" s="645"/>
      <c r="BB105" s="645">
        <f t="shared" si="454"/>
        <v>1414.6</v>
      </c>
      <c r="BC105" s="1116"/>
      <c r="BD105" s="646">
        <f t="shared" si="441"/>
        <v>1599.1999999999998</v>
      </c>
      <c r="BE105" s="1114"/>
      <c r="BF105" s="644">
        <f t="shared" si="455"/>
        <v>1599.2</v>
      </c>
      <c r="BG105" s="1520">
        <f t="shared" si="409"/>
        <v>0</v>
      </c>
      <c r="BH105" s="1520">
        <f t="shared" si="410"/>
        <v>0</v>
      </c>
      <c r="BI105" s="26"/>
      <c r="BJ105" s="26"/>
      <c r="BK105" s="26"/>
      <c r="BL105" s="26"/>
      <c r="BM105" s="26"/>
      <c r="BN105" s="26"/>
    </row>
    <row r="106" spans="1:66" ht="18" x14ac:dyDescent="0.35">
      <c r="A106" s="642"/>
      <c r="B106" s="904" t="s">
        <v>6</v>
      </c>
      <c r="C106" s="3102" t="s">
        <v>50</v>
      </c>
      <c r="D106" s="3103"/>
      <c r="E106" s="3103"/>
      <c r="F106" s="2548">
        <v>329.9</v>
      </c>
      <c r="G106" s="3103"/>
      <c r="H106" s="2548">
        <v>822.79999999999984</v>
      </c>
      <c r="I106" s="2876"/>
      <c r="J106" s="4350">
        <f t="shared" si="442"/>
        <v>1152.6999999999998</v>
      </c>
      <c r="K106" s="3103"/>
      <c r="L106" s="2548">
        <v>1133.6999999999998</v>
      </c>
      <c r="M106" s="645"/>
      <c r="N106" s="645">
        <f t="shared" si="443"/>
        <v>2286.3999999999996</v>
      </c>
      <c r="O106" s="3103"/>
      <c r="P106" s="2548">
        <v>512.09999999999991</v>
      </c>
      <c r="Q106" s="644"/>
      <c r="R106" s="644">
        <f t="shared" si="444"/>
        <v>2798.4999999999995</v>
      </c>
      <c r="S106" s="3103"/>
      <c r="T106" s="2548">
        <v>1048.7999999999997</v>
      </c>
      <c r="U106" s="644"/>
      <c r="V106" s="644">
        <f t="shared" si="445"/>
        <v>3847.2999999999993</v>
      </c>
      <c r="W106" s="3103"/>
      <c r="X106" s="2548">
        <v>490</v>
      </c>
      <c r="Y106" s="645"/>
      <c r="Z106" s="645">
        <f t="shared" si="446"/>
        <v>2050.8999999999996</v>
      </c>
      <c r="AA106" s="646"/>
      <c r="AB106" s="646">
        <f t="shared" si="447"/>
        <v>4337.2999999999993</v>
      </c>
      <c r="AC106" s="3103"/>
      <c r="AD106" s="2548">
        <v>1053.5</v>
      </c>
      <c r="AE106" s="644"/>
      <c r="AF106" s="644">
        <f t="shared" si="448"/>
        <v>5390.7999999999993</v>
      </c>
      <c r="AG106" s="3103"/>
      <c r="AH106" s="2548">
        <v>527</v>
      </c>
      <c r="AI106" s="644"/>
      <c r="AJ106" s="644">
        <f t="shared" si="449"/>
        <v>5917.7999999999993</v>
      </c>
      <c r="AK106" s="3103"/>
      <c r="AL106" s="2548">
        <v>793.09999999999991</v>
      </c>
      <c r="AM106" s="645"/>
      <c r="AN106" s="645">
        <f t="shared" si="450"/>
        <v>2373.6</v>
      </c>
      <c r="AO106" s="644"/>
      <c r="AP106" s="644">
        <f t="shared" si="451"/>
        <v>6710.9</v>
      </c>
      <c r="AQ106" s="3103"/>
      <c r="AR106" s="2548">
        <v>2995.0499999999988</v>
      </c>
      <c r="AS106" s="644"/>
      <c r="AT106" s="644">
        <f t="shared" si="452"/>
        <v>9705.9499999999989</v>
      </c>
      <c r="AU106" s="3103"/>
      <c r="AV106" s="2548">
        <v>1503.5</v>
      </c>
      <c r="AW106" s="644"/>
      <c r="AX106" s="644">
        <f t="shared" si="456"/>
        <v>11209.449999999999</v>
      </c>
      <c r="AY106" s="3103"/>
      <c r="AZ106" s="2548">
        <v>73.8</v>
      </c>
      <c r="BA106" s="645"/>
      <c r="BB106" s="645">
        <f t="shared" si="454"/>
        <v>4572.3499999999995</v>
      </c>
      <c r="BC106" s="646"/>
      <c r="BD106" s="646">
        <f t="shared" si="441"/>
        <v>6945.9499999999989</v>
      </c>
      <c r="BE106" s="644"/>
      <c r="BF106" s="644">
        <f t="shared" si="455"/>
        <v>11283.249999999998</v>
      </c>
      <c r="BG106" s="1520">
        <f t="shared" si="409"/>
        <v>0</v>
      </c>
      <c r="BH106" s="1520">
        <f t="shared" si="410"/>
        <v>0</v>
      </c>
      <c r="BI106" s="26"/>
      <c r="BJ106" s="26"/>
      <c r="BK106" s="26"/>
      <c r="BL106" s="26"/>
      <c r="BM106" s="26"/>
      <c r="BN106" s="26"/>
    </row>
    <row r="107" spans="1:66" ht="18.600000000000001" thickBot="1" x14ac:dyDescent="0.35">
      <c r="A107" s="144"/>
      <c r="B107" s="918" t="s">
        <v>1289</v>
      </c>
      <c r="C107" s="3105" t="s">
        <v>50</v>
      </c>
      <c r="D107" s="3106"/>
      <c r="E107" s="3106"/>
      <c r="F107" s="2368">
        <v>68796.23</v>
      </c>
      <c r="G107" s="3106"/>
      <c r="H107" s="2368">
        <v>70699.929999999993</v>
      </c>
      <c r="I107" s="2369"/>
      <c r="J107" s="4350">
        <f t="shared" si="442"/>
        <v>139496.15999999997</v>
      </c>
      <c r="K107" s="3106"/>
      <c r="L107" s="2368">
        <v>65129.030000000006</v>
      </c>
      <c r="M107" s="645"/>
      <c r="N107" s="645">
        <f t="shared" si="443"/>
        <v>204625.18999999997</v>
      </c>
      <c r="O107" s="3106"/>
      <c r="P107" s="2368">
        <v>55609.19</v>
      </c>
      <c r="Q107" s="644"/>
      <c r="R107" s="644">
        <f t="shared" si="444"/>
        <v>260234.37999999998</v>
      </c>
      <c r="S107" s="3106"/>
      <c r="T107" s="2368">
        <v>70042.69</v>
      </c>
      <c r="U107" s="644"/>
      <c r="V107" s="644">
        <f t="shared" si="445"/>
        <v>330277.06999999995</v>
      </c>
      <c r="W107" s="3106"/>
      <c r="X107" s="2368">
        <v>68744.03</v>
      </c>
      <c r="Y107" s="645"/>
      <c r="Z107" s="645">
        <f t="shared" si="446"/>
        <v>194395.91</v>
      </c>
      <c r="AA107" s="646"/>
      <c r="AB107" s="646">
        <f t="shared" si="447"/>
        <v>399021.1</v>
      </c>
      <c r="AC107" s="3106"/>
      <c r="AD107" s="2368">
        <v>56421.73</v>
      </c>
      <c r="AE107" s="644"/>
      <c r="AF107" s="644">
        <f t="shared" si="448"/>
        <v>455442.82999999996</v>
      </c>
      <c r="AG107" s="3106"/>
      <c r="AH107" s="2368">
        <v>67508.83</v>
      </c>
      <c r="AI107" s="644"/>
      <c r="AJ107" s="644">
        <f t="shared" si="449"/>
        <v>522951.66</v>
      </c>
      <c r="AK107" s="3106"/>
      <c r="AL107" s="2368">
        <v>70198.73</v>
      </c>
      <c r="AM107" s="645"/>
      <c r="AN107" s="645">
        <f t="shared" si="450"/>
        <v>194129.28999999998</v>
      </c>
      <c r="AO107" s="644"/>
      <c r="AP107" s="644">
        <f t="shared" si="451"/>
        <v>593150.39</v>
      </c>
      <c r="AQ107" s="3106"/>
      <c r="AR107" s="2368">
        <v>58461.93</v>
      </c>
      <c r="AS107" s="644"/>
      <c r="AT107" s="644">
        <f t="shared" si="452"/>
        <v>651612.32000000007</v>
      </c>
      <c r="AU107" s="3106"/>
      <c r="AV107" s="2368">
        <v>46259.03</v>
      </c>
      <c r="AW107" s="644"/>
      <c r="AX107" s="644">
        <f t="shared" si="456"/>
        <v>697871.35000000009</v>
      </c>
      <c r="AY107" s="3106"/>
      <c r="AZ107" s="2368">
        <v>64323.73</v>
      </c>
      <c r="BA107" s="645"/>
      <c r="BB107" s="645">
        <f t="shared" si="454"/>
        <v>169044.69</v>
      </c>
      <c r="BC107" s="646"/>
      <c r="BD107" s="646">
        <f t="shared" si="441"/>
        <v>363173.98</v>
      </c>
      <c r="BE107" s="644"/>
      <c r="BF107" s="644">
        <f t="shared" si="455"/>
        <v>762195.08000000007</v>
      </c>
      <c r="BG107" s="1520">
        <f t="shared" si="409"/>
        <v>0</v>
      </c>
      <c r="BH107" s="1520">
        <f t="shared" si="410"/>
        <v>0</v>
      </c>
      <c r="BI107" s="26"/>
      <c r="BJ107" s="26"/>
      <c r="BK107" s="26"/>
      <c r="BL107" s="26"/>
      <c r="BM107" s="26"/>
      <c r="BN107" s="26"/>
    </row>
    <row r="108" spans="1:66" x14ac:dyDescent="0.3">
      <c r="A108" s="144"/>
      <c r="B108" s="92"/>
      <c r="C108" s="342"/>
      <c r="D108" s="342"/>
      <c r="E108" s="342"/>
      <c r="F108" s="342"/>
      <c r="G108" s="342"/>
      <c r="H108" s="342"/>
      <c r="I108" s="342"/>
      <c r="J108" s="342"/>
      <c r="K108" s="342"/>
      <c r="L108" s="342"/>
      <c r="M108" s="342"/>
      <c r="N108" s="342"/>
      <c r="O108" s="342"/>
      <c r="P108" s="342"/>
      <c r="Q108" s="342"/>
      <c r="R108" s="342"/>
      <c r="S108" s="342"/>
      <c r="T108" s="342"/>
      <c r="U108" s="342"/>
      <c r="V108" s="342"/>
      <c r="W108" s="342"/>
      <c r="X108" s="342"/>
      <c r="Y108" s="342"/>
      <c r="Z108" s="342"/>
      <c r="AA108" s="342"/>
      <c r="AB108" s="342"/>
      <c r="AC108" s="342"/>
      <c r="AD108" s="342"/>
      <c r="AE108" s="342"/>
      <c r="AF108" s="342"/>
      <c r="AG108" s="342"/>
      <c r="AH108" s="342"/>
      <c r="AI108" s="342"/>
      <c r="AJ108" s="342"/>
      <c r="AK108" s="342"/>
      <c r="AL108" s="342"/>
      <c r="AM108" s="342"/>
      <c r="AN108" s="342"/>
      <c r="AO108" s="342"/>
      <c r="AP108" s="342"/>
      <c r="AQ108" s="342"/>
      <c r="AR108" s="342"/>
      <c r="AS108" s="342"/>
      <c r="AT108" s="342"/>
      <c r="AU108" s="342"/>
      <c r="AV108" s="342"/>
      <c r="AW108" s="342"/>
      <c r="AX108" s="342"/>
      <c r="AY108" s="342"/>
      <c r="AZ108" s="342"/>
      <c r="BA108" s="342"/>
      <c r="BB108" s="342"/>
      <c r="BC108" s="342"/>
      <c r="BD108" s="342"/>
      <c r="BE108" s="342"/>
      <c r="BF108" s="342"/>
      <c r="BG108" s="1520"/>
      <c r="BH108" s="1520"/>
      <c r="BI108" s="26"/>
      <c r="BJ108" s="26"/>
      <c r="BK108" s="26"/>
      <c r="BL108" s="26"/>
      <c r="BM108" s="26"/>
      <c r="BN108" s="26"/>
    </row>
    <row r="109" spans="1:66" x14ac:dyDescent="0.3">
      <c r="A109" s="144"/>
      <c r="B109" s="228" t="s">
        <v>1319</v>
      </c>
      <c r="C109" s="342" t="s">
        <v>1320</v>
      </c>
      <c r="D109" s="1326">
        <f t="shared" ref="D109:AI109" si="457">+D27+D28+D30</f>
        <v>4829654.6994228186</v>
      </c>
      <c r="E109" s="1326">
        <f t="shared" si="457"/>
        <v>412567.1133066272</v>
      </c>
      <c r="F109" s="1326">
        <f t="shared" si="457"/>
        <v>375063.43</v>
      </c>
      <c r="G109" s="1326">
        <f t="shared" ref="G109:H109" si="458">+G27+G28+G30</f>
        <v>425664.48198302806</v>
      </c>
      <c r="H109" s="1326">
        <f t="shared" si="458"/>
        <v>424211.02999999997</v>
      </c>
      <c r="I109" s="1326">
        <f t="shared" si="457"/>
        <v>838231.59528965526</v>
      </c>
      <c r="J109" s="1326">
        <f t="shared" si="457"/>
        <v>799274.46</v>
      </c>
      <c r="K109" s="1326">
        <f t="shared" si="457"/>
        <v>412567.1133066272</v>
      </c>
      <c r="L109" s="1326">
        <f t="shared" si="457"/>
        <v>432825.33</v>
      </c>
      <c r="M109" s="1326">
        <f t="shared" si="457"/>
        <v>1250798.7085962824</v>
      </c>
      <c r="N109" s="1326">
        <f t="shared" si="457"/>
        <v>1232099.79</v>
      </c>
      <c r="O109" s="1326">
        <f t="shared" ref="O109:P109" si="459">+O27+O28+O30</f>
        <v>417478.62656027748</v>
      </c>
      <c r="P109" s="1326">
        <f t="shared" si="459"/>
        <v>443203.12999999995</v>
      </c>
      <c r="Q109" s="1326">
        <f t="shared" si="457"/>
        <v>1668277.3351565597</v>
      </c>
      <c r="R109" s="1326">
        <f t="shared" si="457"/>
        <v>1675302.92</v>
      </c>
      <c r="S109" s="1326">
        <f t="shared" si="457"/>
        <v>417478.62656027748</v>
      </c>
      <c r="T109" s="1326">
        <f t="shared" si="457"/>
        <v>418349.09</v>
      </c>
      <c r="U109" s="1326">
        <f t="shared" si="457"/>
        <v>2085755.961716837</v>
      </c>
      <c r="V109" s="1326">
        <f t="shared" si="457"/>
        <v>2093652.01</v>
      </c>
      <c r="W109" s="1326">
        <f t="shared" ref="W109:X109" si="460">+W27+W28+W30</f>
        <v>229203.95183701508</v>
      </c>
      <c r="X109" s="1326">
        <f t="shared" si="460"/>
        <v>402286.92999999993</v>
      </c>
      <c r="Y109" s="1326">
        <f t="shared" si="457"/>
        <v>1064161.2049575702</v>
      </c>
      <c r="Z109" s="1326">
        <f t="shared" si="457"/>
        <v>1263839.1499999999</v>
      </c>
      <c r="AA109" s="1326">
        <f t="shared" si="457"/>
        <v>2314959.9135538526</v>
      </c>
      <c r="AB109" s="1326">
        <f t="shared" si="457"/>
        <v>2495938.94</v>
      </c>
      <c r="AC109" s="1326">
        <f t="shared" si="457"/>
        <v>425664.48198302806</v>
      </c>
      <c r="AD109" s="1326">
        <f t="shared" si="457"/>
        <v>339222.02999999997</v>
      </c>
      <c r="AE109" s="1326">
        <f t="shared" si="457"/>
        <v>2740624.3955368805</v>
      </c>
      <c r="AF109" s="1326">
        <f t="shared" si="457"/>
        <v>2835160.9699999997</v>
      </c>
      <c r="AG109" s="1326">
        <f t="shared" ref="AG109:AH109" si="461">+AG27+AG28+AG30</f>
        <v>412567.1133066272</v>
      </c>
      <c r="AH109" s="1326">
        <f t="shared" si="461"/>
        <v>408003</v>
      </c>
      <c r="AI109" s="1326">
        <f t="shared" si="457"/>
        <v>3153191.5088435076</v>
      </c>
      <c r="AJ109" s="1326">
        <f t="shared" ref="AJ109:BF109" si="462">+AJ27+AJ28+AJ30</f>
        <v>3243163.9699999997</v>
      </c>
      <c r="AK109" s="1326">
        <f t="shared" si="462"/>
        <v>425664.48198302806</v>
      </c>
      <c r="AL109" s="1326">
        <f t="shared" si="462"/>
        <v>425338.62999999995</v>
      </c>
      <c r="AM109" s="1326">
        <f t="shared" si="462"/>
        <v>1263896.0772726834</v>
      </c>
      <c r="AN109" s="1326">
        <f t="shared" si="462"/>
        <v>1172563.6599999999</v>
      </c>
      <c r="AO109" s="1326">
        <f t="shared" si="462"/>
        <v>3578855.990826536</v>
      </c>
      <c r="AP109" s="1326">
        <f t="shared" si="462"/>
        <v>3668502.5999999996</v>
      </c>
      <c r="AQ109" s="1326">
        <f t="shared" ref="AQ109:AR109" si="463">+AQ27+AQ28+AQ30</f>
        <v>432213.16632122849</v>
      </c>
      <c r="AR109" s="1326">
        <f t="shared" si="463"/>
        <v>410023.12999999995</v>
      </c>
      <c r="AS109" s="1326">
        <f t="shared" si="462"/>
        <v>4011069.1571477642</v>
      </c>
      <c r="AT109" s="1326">
        <f t="shared" si="462"/>
        <v>4078525.7299999995</v>
      </c>
      <c r="AU109" s="1326">
        <f t="shared" si="462"/>
        <v>386372.37595382542</v>
      </c>
      <c r="AV109" s="1326">
        <f t="shared" si="462"/>
        <v>323600.32999999996</v>
      </c>
      <c r="AW109" s="1326">
        <f t="shared" ref="AW109:AZ109" si="464">+AW27+AW28+AW30</f>
        <v>4397441.5331015904</v>
      </c>
      <c r="AX109" s="1326">
        <f t="shared" si="464"/>
        <v>4402126.0599999996</v>
      </c>
      <c r="AY109" s="1326">
        <f t="shared" si="464"/>
        <v>432213.16632122849</v>
      </c>
      <c r="AZ109" s="1326">
        <f t="shared" si="464"/>
        <v>412565.93</v>
      </c>
      <c r="BA109" s="1326">
        <f t="shared" si="462"/>
        <v>1250798.7085962824</v>
      </c>
      <c r="BB109" s="1326">
        <f t="shared" si="462"/>
        <v>1146189.3899999999</v>
      </c>
      <c r="BC109" s="1326">
        <f t="shared" si="462"/>
        <v>2514694.7858689656</v>
      </c>
      <c r="BD109" s="1326">
        <f t="shared" si="462"/>
        <v>2318753.0499999998</v>
      </c>
      <c r="BE109" s="1326">
        <f t="shared" si="462"/>
        <v>4829654.6994228186</v>
      </c>
      <c r="BF109" s="1326">
        <f t="shared" si="462"/>
        <v>4814691.99</v>
      </c>
      <c r="BG109" s="1520"/>
      <c r="BH109" s="1520"/>
      <c r="BI109" s="26"/>
      <c r="BJ109" s="26"/>
      <c r="BK109" s="26"/>
      <c r="BL109" s="26"/>
      <c r="BM109" s="26"/>
      <c r="BN109" s="26"/>
    </row>
    <row r="110" spans="1:66" x14ac:dyDescent="0.3">
      <c r="A110" s="144"/>
      <c r="B110" s="92"/>
      <c r="C110" s="342" t="s">
        <v>1321</v>
      </c>
      <c r="D110" s="1627">
        <f t="shared" ref="D110:AI110" si="465">+D27*100/D109</f>
        <v>70.000000000000014</v>
      </c>
      <c r="E110" s="1627">
        <f t="shared" si="465"/>
        <v>70</v>
      </c>
      <c r="F110" s="1627">
        <f t="shared" si="465"/>
        <v>67.239080067070262</v>
      </c>
      <c r="G110" s="1627">
        <f t="shared" ref="G110:H110" si="466">+G27*100/G109</f>
        <v>70</v>
      </c>
      <c r="H110" s="1627">
        <f t="shared" si="466"/>
        <v>68.028877042636068</v>
      </c>
      <c r="I110" s="1627">
        <f t="shared" si="465"/>
        <v>70</v>
      </c>
      <c r="J110" s="1627">
        <f t="shared" si="465"/>
        <v>67.65826096832869</v>
      </c>
      <c r="K110" s="1627">
        <f t="shared" si="465"/>
        <v>70</v>
      </c>
      <c r="L110" s="1627">
        <f t="shared" si="465"/>
        <v>70.603076765400957</v>
      </c>
      <c r="M110" s="1627">
        <f t="shared" si="465"/>
        <v>70</v>
      </c>
      <c r="N110" s="1627">
        <f t="shared" si="465"/>
        <v>68.692747687263221</v>
      </c>
      <c r="O110" s="1627">
        <f t="shared" ref="O110:P110" si="467">+O27*100/O109</f>
        <v>70.000000000000014</v>
      </c>
      <c r="P110" s="1627">
        <f t="shared" si="467"/>
        <v>70.948413654028116</v>
      </c>
      <c r="Q110" s="1627">
        <f t="shared" si="465"/>
        <v>70.000000000000014</v>
      </c>
      <c r="R110" s="1627">
        <f t="shared" si="465"/>
        <v>69.289486464931372</v>
      </c>
      <c r="S110" s="1627">
        <f t="shared" si="465"/>
        <v>70.000000000000014</v>
      </c>
      <c r="T110" s="1627">
        <f t="shared" si="465"/>
        <v>71.412130955035664</v>
      </c>
      <c r="U110" s="1627">
        <f t="shared" si="465"/>
        <v>70</v>
      </c>
      <c r="V110" s="1627">
        <f t="shared" si="465"/>
        <v>69.713628770618854</v>
      </c>
      <c r="W110" s="1627">
        <f t="shared" ref="W110:X110" si="468">+W27*100/W109</f>
        <v>70</v>
      </c>
      <c r="X110" s="1627">
        <f t="shared" si="468"/>
        <v>71.775411644618927</v>
      </c>
      <c r="Y110" s="1627">
        <f t="shared" si="465"/>
        <v>70</v>
      </c>
      <c r="Z110" s="1627">
        <f t="shared" si="465"/>
        <v>71.365148800778968</v>
      </c>
      <c r="AA110" s="1627">
        <f t="shared" si="465"/>
        <v>70</v>
      </c>
      <c r="AB110" s="1627">
        <f t="shared" si="465"/>
        <v>70.045939905885675</v>
      </c>
      <c r="AC110" s="1627">
        <f t="shared" si="465"/>
        <v>70</v>
      </c>
      <c r="AD110" s="1627">
        <f t="shared" si="465"/>
        <v>70.192964767058328</v>
      </c>
      <c r="AE110" s="1627">
        <f t="shared" si="465"/>
        <v>70.000000000000014</v>
      </c>
      <c r="AF110" s="1627">
        <f t="shared" si="465"/>
        <v>70.063531172270629</v>
      </c>
      <c r="AG110" s="1627">
        <f t="shared" ref="AG110:AH110" si="469">+AG27*100/AG109</f>
        <v>70</v>
      </c>
      <c r="AH110" s="1627">
        <f t="shared" si="469"/>
        <v>71.299475739148974</v>
      </c>
      <c r="AI110" s="1627">
        <f t="shared" si="465"/>
        <v>70.000000000000014</v>
      </c>
      <c r="AJ110" s="1627">
        <f t="shared" ref="AJ110:BF110" si="470">+AJ27*100/AJ109</f>
        <v>70.219017942530968</v>
      </c>
      <c r="AK110" s="1627">
        <f t="shared" si="470"/>
        <v>70</v>
      </c>
      <c r="AL110" s="1627">
        <f t="shared" si="470"/>
        <v>67.962178746849304</v>
      </c>
      <c r="AM110" s="1627">
        <f t="shared" si="470"/>
        <v>70</v>
      </c>
      <c r="AN110" s="1627">
        <f t="shared" si="470"/>
        <v>69.768783385287577</v>
      </c>
      <c r="AO110" s="1627">
        <f t="shared" si="470"/>
        <v>70</v>
      </c>
      <c r="AP110" s="1627">
        <f t="shared" si="470"/>
        <v>69.957352354064028</v>
      </c>
      <c r="AQ110" s="1627">
        <f t="shared" ref="AQ110:AR110" si="471">+AQ27*100/AQ109</f>
        <v>70</v>
      </c>
      <c r="AR110" s="1627">
        <f t="shared" si="471"/>
        <v>68.691563814948694</v>
      </c>
      <c r="AS110" s="1627">
        <f t="shared" si="470"/>
        <v>70.000000000000014</v>
      </c>
      <c r="AT110" s="1627">
        <f t="shared" si="470"/>
        <v>69.83009985816615</v>
      </c>
      <c r="AU110" s="1627">
        <f t="shared" si="470"/>
        <v>70</v>
      </c>
      <c r="AV110" s="1627">
        <f t="shared" si="470"/>
        <v>72.190192142263896</v>
      </c>
      <c r="AW110" s="1627">
        <f t="shared" ref="AW110:AZ110" si="472">+AW27*100/AW109</f>
        <v>70</v>
      </c>
      <c r="AX110" s="1627">
        <f t="shared" si="472"/>
        <v>70.003590265200174</v>
      </c>
      <c r="AY110" s="1627">
        <f t="shared" si="472"/>
        <v>70</v>
      </c>
      <c r="AZ110" s="1627">
        <f t="shared" si="472"/>
        <v>72.275284582999859</v>
      </c>
      <c r="BA110" s="1627">
        <f t="shared" si="470"/>
        <v>70</v>
      </c>
      <c r="BB110" s="1627">
        <f t="shared" si="470"/>
        <v>70.969266257123536</v>
      </c>
      <c r="BC110" s="1627">
        <f t="shared" si="470"/>
        <v>70</v>
      </c>
      <c r="BD110" s="1627">
        <f t="shared" si="470"/>
        <v>70.362197475061009</v>
      </c>
      <c r="BE110" s="1627">
        <f t="shared" si="470"/>
        <v>70.000000000000014</v>
      </c>
      <c r="BF110" s="1627">
        <f t="shared" si="470"/>
        <v>70.19824937960361</v>
      </c>
      <c r="BG110" s="1520"/>
      <c r="BH110" s="1520"/>
      <c r="BI110" s="26"/>
      <c r="BJ110" s="26"/>
      <c r="BK110" s="26"/>
      <c r="BL110" s="26"/>
      <c r="BM110" s="26"/>
      <c r="BN110" s="26"/>
    </row>
    <row r="111" spans="1:66" x14ac:dyDescent="0.3">
      <c r="A111" s="144"/>
      <c r="B111" s="92"/>
      <c r="C111" s="342" t="s">
        <v>1322</v>
      </c>
      <c r="D111" s="1326">
        <f t="shared" ref="D111:AI111" si="473">+D28*100/D109</f>
        <v>12.999999999999995</v>
      </c>
      <c r="E111" s="1326">
        <f t="shared" si="473"/>
        <v>12.999999999999995</v>
      </c>
      <c r="F111" s="1326">
        <f t="shared" si="473"/>
        <v>14.418361182267224</v>
      </c>
      <c r="G111" s="1326">
        <f t="shared" ref="G111:H111" si="474">+G28*100/G109</f>
        <v>12.999999999999996</v>
      </c>
      <c r="H111" s="1326">
        <f t="shared" si="474"/>
        <v>15.304906145415409</v>
      </c>
      <c r="I111" s="1326">
        <f t="shared" si="473"/>
        <v>12.999999999999996</v>
      </c>
      <c r="J111" s="1326">
        <f t="shared" si="473"/>
        <v>14.888890607113858</v>
      </c>
      <c r="K111" s="1326">
        <f t="shared" si="473"/>
        <v>12.999999999999995</v>
      </c>
      <c r="L111" s="1326">
        <f t="shared" si="473"/>
        <v>14.349506762924433</v>
      </c>
      <c r="M111" s="1326">
        <f t="shared" si="473"/>
        <v>12.999999999999996</v>
      </c>
      <c r="N111" s="1326">
        <f t="shared" si="473"/>
        <v>14.699410021001626</v>
      </c>
      <c r="O111" s="1326">
        <f t="shared" ref="O111:P111" si="475">+O28*100/O109</f>
        <v>12.999999999999996</v>
      </c>
      <c r="P111" s="1326">
        <f t="shared" si="475"/>
        <v>16.504475047367112</v>
      </c>
      <c r="Q111" s="1326">
        <f t="shared" si="473"/>
        <v>12.999999999999998</v>
      </c>
      <c r="R111" s="1326">
        <f t="shared" si="473"/>
        <v>15.176941851208618</v>
      </c>
      <c r="S111" s="1326">
        <f t="shared" si="473"/>
        <v>12.999999999999996</v>
      </c>
      <c r="T111" s="1326">
        <f t="shared" si="473"/>
        <v>11.845227152280884</v>
      </c>
      <c r="U111" s="1326">
        <f t="shared" si="473"/>
        <v>12.999999999999998</v>
      </c>
      <c r="V111" s="1326">
        <f t="shared" si="473"/>
        <v>14.511205708918171</v>
      </c>
      <c r="W111" s="1326">
        <f t="shared" ref="W111:X111" si="476">+W28*100/W109</f>
        <v>12.999999999999998</v>
      </c>
      <c r="X111" s="1326">
        <f t="shared" si="476"/>
        <v>11.136280266425759</v>
      </c>
      <c r="Y111" s="1326">
        <f t="shared" si="473"/>
        <v>12.999999999999995</v>
      </c>
      <c r="Z111" s="1326">
        <f t="shared" si="473"/>
        <v>13.25347058603146</v>
      </c>
      <c r="AA111" s="1326">
        <f t="shared" si="473"/>
        <v>12.999999999999995</v>
      </c>
      <c r="AB111" s="1326">
        <f t="shared" si="473"/>
        <v>13.967246730803438</v>
      </c>
      <c r="AC111" s="1326">
        <f t="shared" si="473"/>
        <v>12.999999999999996</v>
      </c>
      <c r="AD111" s="1326">
        <f t="shared" si="473"/>
        <v>13.174350734237397</v>
      </c>
      <c r="AE111" s="1326">
        <f t="shared" si="473"/>
        <v>12.999999999999998</v>
      </c>
      <c r="AF111" s="1326">
        <f t="shared" si="473"/>
        <v>13.872378117564169</v>
      </c>
      <c r="AG111" s="1326">
        <f t="shared" ref="AG111:AH111" si="477">+AG28*100/AG109</f>
        <v>12.999999999999995</v>
      </c>
      <c r="AH111" s="1326">
        <f t="shared" si="477"/>
        <v>12.154322394688274</v>
      </c>
      <c r="AI111" s="1326">
        <f t="shared" si="473"/>
        <v>12.999999999999998</v>
      </c>
      <c r="AJ111" s="1326">
        <f t="shared" ref="AJ111:BF111" si="478">+AJ28*100/AJ109</f>
        <v>13.656239835446865</v>
      </c>
      <c r="AK111" s="1326">
        <f t="shared" si="478"/>
        <v>12.999999999999996</v>
      </c>
      <c r="AL111" s="1326">
        <f t="shared" si="478"/>
        <v>15.533623174551535</v>
      </c>
      <c r="AM111" s="1326">
        <f t="shared" si="478"/>
        <v>12.999999999999996</v>
      </c>
      <c r="AN111" s="1326">
        <f t="shared" si="478"/>
        <v>13.675231927279752</v>
      </c>
      <c r="AO111" s="1326">
        <f t="shared" si="478"/>
        <v>12.999999999999996</v>
      </c>
      <c r="AP111" s="1627">
        <f t="shared" si="478"/>
        <v>13.873910025305694</v>
      </c>
      <c r="AQ111" s="1326">
        <f t="shared" ref="AQ111:AR111" si="479">+AQ28*100/AQ109</f>
        <v>12.999999999999996</v>
      </c>
      <c r="AR111" s="1326">
        <f t="shared" si="479"/>
        <v>17.050233239280917</v>
      </c>
      <c r="AS111" s="1326">
        <f t="shared" si="478"/>
        <v>12.999999999999998</v>
      </c>
      <c r="AT111" s="1627">
        <f t="shared" si="478"/>
        <v>14.193232759132307</v>
      </c>
      <c r="AU111" s="1326">
        <f t="shared" si="478"/>
        <v>12.999999999999996</v>
      </c>
      <c r="AV111" s="1326">
        <f t="shared" si="478"/>
        <v>13.514695735940691</v>
      </c>
      <c r="AW111" s="1326">
        <f t="shared" ref="AW111:AZ111" si="480">+AW28*100/AW109</f>
        <v>12.999999999999996</v>
      </c>
      <c r="AX111" s="1627">
        <f t="shared" si="480"/>
        <v>14.143353495878763</v>
      </c>
      <c r="AY111" s="1326">
        <f t="shared" si="480"/>
        <v>12.999999999999996</v>
      </c>
      <c r="AZ111" s="1326">
        <f t="shared" si="480"/>
        <v>12.133575838412057</v>
      </c>
      <c r="BA111" s="1326">
        <f t="shared" si="478"/>
        <v>12.999999999999996</v>
      </c>
      <c r="BB111" s="1326">
        <f t="shared" si="478"/>
        <v>14.282325541331351</v>
      </c>
      <c r="BC111" s="1326">
        <f t="shared" si="478"/>
        <v>12.999999999999996</v>
      </c>
      <c r="BD111" s="1326">
        <f t="shared" si="478"/>
        <v>13.97532609175436</v>
      </c>
      <c r="BE111" s="1326">
        <f t="shared" si="478"/>
        <v>12.999999999999996</v>
      </c>
      <c r="BF111" s="1627">
        <f t="shared" si="478"/>
        <v>13.971137746653653</v>
      </c>
      <c r="BG111" s="1520"/>
      <c r="BH111" s="1520"/>
      <c r="BI111" s="26"/>
      <c r="BJ111" s="26"/>
      <c r="BK111" s="26"/>
      <c r="BL111" s="26"/>
      <c r="BM111" s="26"/>
      <c r="BN111" s="26"/>
    </row>
    <row r="112" spans="1:66" x14ac:dyDescent="0.3">
      <c r="A112" s="144"/>
      <c r="B112" s="92"/>
      <c r="C112" s="342" t="s">
        <v>1323</v>
      </c>
      <c r="D112" s="1627">
        <f t="shared" ref="D112" si="481">100-D110-D111</f>
        <v>16.999999999999993</v>
      </c>
      <c r="E112" s="1627">
        <f t="shared" ref="E112" si="482">100-E110-E111</f>
        <v>17.000000000000007</v>
      </c>
      <c r="F112" s="1627">
        <f>100-F110-F111</f>
        <v>18.342558750662512</v>
      </c>
      <c r="G112" s="1627">
        <f t="shared" ref="G112" si="483">100-G110-G111</f>
        <v>17.000000000000004</v>
      </c>
      <c r="H112" s="1627">
        <f>100-H110-H111</f>
        <v>16.666216811948523</v>
      </c>
      <c r="I112" s="1627">
        <f t="shared" ref="I112:S112" si="484">100-I110-I111</f>
        <v>17.000000000000004</v>
      </c>
      <c r="J112" s="1627">
        <f t="shared" si="484"/>
        <v>17.452848424557452</v>
      </c>
      <c r="K112" s="1627">
        <f t="shared" si="484"/>
        <v>17.000000000000007</v>
      </c>
      <c r="L112" s="1627">
        <f>100-L110-L111</f>
        <v>15.047416471674611</v>
      </c>
      <c r="M112" s="1627">
        <f t="shared" si="484"/>
        <v>17.000000000000004</v>
      </c>
      <c r="N112" s="1627">
        <f t="shared" si="484"/>
        <v>16.607842291735153</v>
      </c>
      <c r="O112" s="1627">
        <f t="shared" ref="O112" si="485">100-O110-O111</f>
        <v>16.999999999999989</v>
      </c>
      <c r="P112" s="1627">
        <f>100-P110-P111</f>
        <v>12.547111298604772</v>
      </c>
      <c r="Q112" s="1627">
        <f t="shared" si="484"/>
        <v>16.999999999999986</v>
      </c>
      <c r="R112" s="1627">
        <f t="shared" si="484"/>
        <v>15.533571683860011</v>
      </c>
      <c r="S112" s="1627">
        <f t="shared" si="484"/>
        <v>16.999999999999989</v>
      </c>
      <c r="T112" s="1627">
        <f>100-T110-T111</f>
        <v>16.742641892683451</v>
      </c>
      <c r="U112" s="1627">
        <f t="shared" ref="U112:W112" si="486">100-U110-U111</f>
        <v>17</v>
      </c>
      <c r="V112" s="1627">
        <f t="shared" si="486"/>
        <v>15.775165520462975</v>
      </c>
      <c r="W112" s="1627">
        <f t="shared" si="486"/>
        <v>17</v>
      </c>
      <c r="X112" s="1627">
        <f>100-X110-X111</f>
        <v>17.088308088955316</v>
      </c>
      <c r="Y112" s="1627">
        <f t="shared" ref="Y112:Z112" si="487">100-Y110-Y111</f>
        <v>17.000000000000007</v>
      </c>
      <c r="Z112" s="1627">
        <f t="shared" si="487"/>
        <v>15.381380613189572</v>
      </c>
      <c r="AA112" s="1627">
        <f t="shared" ref="AA112:AF112" si="488">100-AA110-AA111</f>
        <v>17.000000000000007</v>
      </c>
      <c r="AB112" s="1627">
        <f t="shared" si="488"/>
        <v>15.986813363310887</v>
      </c>
      <c r="AC112" s="1627">
        <f t="shared" si="488"/>
        <v>17.000000000000004</v>
      </c>
      <c r="AD112" s="1627">
        <f>100-AD110-AD111</f>
        <v>16.632684498704275</v>
      </c>
      <c r="AE112" s="1627">
        <f t="shared" si="488"/>
        <v>16.999999999999986</v>
      </c>
      <c r="AF112" s="1627">
        <f t="shared" si="488"/>
        <v>16.064090710165203</v>
      </c>
      <c r="AG112" s="1627">
        <f t="shared" ref="AG112" si="489">100-AG110-AG111</f>
        <v>17.000000000000007</v>
      </c>
      <c r="AH112" s="1627">
        <f>100-AH110-AH111</f>
        <v>16.546201866162754</v>
      </c>
      <c r="AI112" s="1627">
        <f t="shared" ref="AI112:AK112" si="490">100-AI110-AI111</f>
        <v>16.999999999999986</v>
      </c>
      <c r="AJ112" s="1627">
        <f t="shared" si="490"/>
        <v>16.124742222022167</v>
      </c>
      <c r="AK112" s="1627">
        <f t="shared" si="490"/>
        <v>17.000000000000004</v>
      </c>
      <c r="AL112" s="1627">
        <f>100-AL110-AL111</f>
        <v>16.50419807859916</v>
      </c>
      <c r="AM112" s="1627">
        <f t="shared" ref="AM112:AT112" si="491">100-AM110-AM111</f>
        <v>17.000000000000004</v>
      </c>
      <c r="AN112" s="1627">
        <f t="shared" si="491"/>
        <v>16.555984687432669</v>
      </c>
      <c r="AO112" s="1627">
        <f t="shared" si="491"/>
        <v>17.000000000000004</v>
      </c>
      <c r="AP112" s="1627">
        <f t="shared" si="491"/>
        <v>16.168737620630278</v>
      </c>
      <c r="AQ112" s="1627">
        <f t="shared" si="491"/>
        <v>17.000000000000004</v>
      </c>
      <c r="AR112" s="1627">
        <f>100-AR110-AR111</f>
        <v>14.258202945770389</v>
      </c>
      <c r="AS112" s="1627">
        <f t="shared" si="491"/>
        <v>16.999999999999986</v>
      </c>
      <c r="AT112" s="1627">
        <f t="shared" si="491"/>
        <v>15.976667382701542</v>
      </c>
      <c r="AU112" s="1627">
        <f t="shared" ref="AU112" si="492">100-AU110-AU111</f>
        <v>17.000000000000004</v>
      </c>
      <c r="AV112" s="1627">
        <f>100-AV110-AV111</f>
        <v>14.295112121795412</v>
      </c>
      <c r="AW112" s="1627">
        <f t="shared" ref="AW112:AY112" si="493">100-AW110-AW111</f>
        <v>17.000000000000004</v>
      </c>
      <c r="AX112" s="1627">
        <f t="shared" si="493"/>
        <v>15.853056238921063</v>
      </c>
      <c r="AY112" s="1627">
        <f t="shared" si="493"/>
        <v>17.000000000000004</v>
      </c>
      <c r="AZ112" s="1627">
        <f>100-AZ110-AZ111</f>
        <v>15.591139578588084</v>
      </c>
      <c r="BA112" s="1627">
        <f t="shared" ref="BA112:BD112" si="494">100-BA110-BA111</f>
        <v>17.000000000000004</v>
      </c>
      <c r="BB112" s="1627">
        <f t="shared" si="494"/>
        <v>14.748408201545113</v>
      </c>
      <c r="BC112" s="1627">
        <f t="shared" si="494"/>
        <v>17.000000000000004</v>
      </c>
      <c r="BD112" s="1627">
        <f t="shared" si="494"/>
        <v>15.662476433184631</v>
      </c>
      <c r="BE112" s="1627">
        <f t="shared" ref="BE112:BF112" si="495">100-BE110-BE111</f>
        <v>16.999999999999989</v>
      </c>
      <c r="BF112" s="1627">
        <f t="shared" si="495"/>
        <v>15.830612873742737</v>
      </c>
      <c r="BG112" s="1520"/>
      <c r="BH112" s="1520"/>
      <c r="BI112" s="26"/>
      <c r="BJ112" s="26"/>
      <c r="BK112" s="26"/>
      <c r="BL112" s="26"/>
      <c r="BM112" s="26"/>
      <c r="BN112" s="26"/>
    </row>
    <row r="113" spans="2:61" x14ac:dyDescent="0.3">
      <c r="BH113" s="26"/>
      <c r="BI113" s="26"/>
    </row>
    <row r="114" spans="2:61" hidden="1" x14ac:dyDescent="0.3">
      <c r="AD114" s="26"/>
      <c r="AH114" s="114"/>
      <c r="AL114" s="26"/>
    </row>
    <row r="115" spans="2:61" hidden="1" x14ac:dyDescent="0.3">
      <c r="B115" t="s">
        <v>2294</v>
      </c>
    </row>
    <row r="116" spans="2:61" ht="18" hidden="1" x14ac:dyDescent="0.35">
      <c r="B116" t="s">
        <v>2295</v>
      </c>
      <c r="C116" s="6254" t="s">
        <v>49</v>
      </c>
      <c r="F116" s="5370">
        <v>94.5</v>
      </c>
      <c r="H116" s="5370">
        <v>94.5</v>
      </c>
      <c r="L116" s="5370">
        <v>94.5</v>
      </c>
      <c r="N116" s="5370">
        <v>94.5</v>
      </c>
      <c r="P116" s="5370">
        <v>94.5</v>
      </c>
      <c r="T116" s="5370">
        <v>94.5</v>
      </c>
      <c r="X116" s="5370">
        <v>94.5</v>
      </c>
      <c r="AD116" s="5370">
        <v>94.5</v>
      </c>
      <c r="AH116" s="5370">
        <v>94.5</v>
      </c>
      <c r="AL116" s="5370">
        <v>94.5</v>
      </c>
      <c r="AN116" s="5370">
        <v>94.5</v>
      </c>
      <c r="AR116" s="5370">
        <v>94.5</v>
      </c>
      <c r="AV116" s="5370">
        <v>94.5</v>
      </c>
      <c r="AZ116" s="5370">
        <v>94.5</v>
      </c>
      <c r="BB116" s="5370">
        <v>94.5</v>
      </c>
      <c r="BD116" s="5370">
        <v>94.5</v>
      </c>
      <c r="BF116" s="5370">
        <v>94.5</v>
      </c>
    </row>
    <row r="117" spans="2:61" ht="18" hidden="1" x14ac:dyDescent="0.35">
      <c r="B117" t="s">
        <v>2296</v>
      </c>
      <c r="C117" s="6254"/>
      <c r="F117" s="5371">
        <f>+'Quality Iron ore sinter pellet'!R53</f>
        <v>57.06</v>
      </c>
      <c r="H117" s="5371">
        <f>+'Quality Iron ore sinter pellet'!R54</f>
        <v>56.88</v>
      </c>
      <c r="L117" s="5371">
        <f>+'Quality Iron ore sinter pellet'!R55</f>
        <v>56.59</v>
      </c>
      <c r="N117" s="5371">
        <f>AVERAGE(F117,H117,L117)</f>
        <v>56.843333333333334</v>
      </c>
      <c r="P117" s="5371">
        <f>+'Quality Iron ore sinter pellet'!R56</f>
        <v>55.77</v>
      </c>
      <c r="T117" s="5371">
        <f>+'Quality Iron ore sinter pellet'!R57</f>
        <v>56.09</v>
      </c>
      <c r="X117" s="5371">
        <f>+'Quality Iron ore sinter pellet'!R58</f>
        <v>55.81</v>
      </c>
      <c r="AD117" s="5371">
        <f>+'Quality Iron ore sinter pellet'!R59</f>
        <v>55.81</v>
      </c>
      <c r="AH117" s="5371">
        <f>+'Quality Iron ore sinter pellet'!R60</f>
        <v>55.81</v>
      </c>
      <c r="AL117" s="5371">
        <f>+'Quality Iron ore sinter pellet'!R61</f>
        <v>53.71</v>
      </c>
      <c r="AN117" s="5371">
        <f>AVERAGE(AD117,AH117,AL117)</f>
        <v>55.110000000000007</v>
      </c>
      <c r="AR117" s="5371">
        <f>+'Quality Iron ore sinter pellet'!R62</f>
        <v>54.17</v>
      </c>
      <c r="AV117" s="5371">
        <f>+'Quality Iron ore sinter pellet'!R63</f>
        <v>55.25</v>
      </c>
      <c r="AZ117" s="5371">
        <f>+'Quality Iron ore sinter pellet'!R64</f>
        <v>55.76</v>
      </c>
      <c r="BB117" s="5371">
        <f>AVERAGE(AR117,AV117,AZ117)</f>
        <v>55.06</v>
      </c>
      <c r="BD117" s="5371">
        <f>AVERAGE(AN117,BB117)</f>
        <v>55.085000000000008</v>
      </c>
      <c r="BF117" s="5371">
        <f>'Quality Iron ore sinter pellet'!R65</f>
        <v>55.72005642302755</v>
      </c>
    </row>
    <row r="118" spans="2:61" ht="18" hidden="1" x14ac:dyDescent="0.35">
      <c r="B118" t="s">
        <v>2297</v>
      </c>
      <c r="C118" s="6254"/>
      <c r="F118" s="5372">
        <f>+'Quality Iron ore sinter pellet'!L53</f>
        <v>62.97</v>
      </c>
      <c r="H118" s="5372">
        <f>+'Quality Iron ore sinter pellet'!L54</f>
        <v>63.05</v>
      </c>
      <c r="L118" s="5372">
        <f>+'Quality Iron ore sinter pellet'!L55</f>
        <v>63.086674418604645</v>
      </c>
      <c r="N118" s="5371">
        <f t="shared" ref="N118:N119" si="496">AVERAGE(F118,H118,L118)</f>
        <v>63.035558139534885</v>
      </c>
      <c r="P118" s="5372">
        <f>+'Quality Iron ore sinter pellet'!L56</f>
        <v>62.5</v>
      </c>
      <c r="T118" s="5372">
        <f>+'Quality Iron ore sinter pellet'!L57</f>
        <v>63.167023255813973</v>
      </c>
      <c r="X118" s="5372">
        <f>+'Quality Iron ore sinter pellet'!L58</f>
        <v>62.72</v>
      </c>
      <c r="AD118" s="5372">
        <f>+'Quality Iron ore sinter pellet'!L59</f>
        <v>62.71</v>
      </c>
      <c r="AH118" s="5372">
        <f>+'Quality Iron ore sinter pellet'!L60</f>
        <v>63.103594594594576</v>
      </c>
      <c r="AL118" s="5372">
        <f>+'Quality Iron ore sinter pellet'!L61</f>
        <v>62.52</v>
      </c>
      <c r="AN118" s="5371">
        <f t="shared" ref="AN118:AN119" si="497">AVERAGE(AD118,AH118,AL118)</f>
        <v>62.77786486486486</v>
      </c>
      <c r="AR118" s="5372">
        <f>+'Quality Iron ore sinter pellet'!L62</f>
        <v>62.606999999999992</v>
      </c>
      <c r="AV118" s="5372">
        <f>+'Quality Iron ore sinter pellet'!L63</f>
        <v>62.828891304347806</v>
      </c>
      <c r="AZ118" s="5372">
        <f>+'Quality Iron ore sinter pellet'!L64</f>
        <v>62.996566037735839</v>
      </c>
      <c r="BB118" s="5371">
        <f t="shared" ref="BB118:BB119" si="498">AVERAGE(AR118,AV118,AZ118)</f>
        <v>62.810819114027879</v>
      </c>
      <c r="BD118" s="5371">
        <f t="shared" ref="BD118:BD119" si="499">AVERAGE(AN118,BB118)</f>
        <v>62.794341989446366</v>
      </c>
      <c r="BF118" s="5371">
        <f>'Quality Iron ore sinter pellet'!L65</f>
        <v>62.85497913425808</v>
      </c>
    </row>
    <row r="119" spans="2:61" ht="18" hidden="1" x14ac:dyDescent="0.35">
      <c r="B119" t="s">
        <v>2298</v>
      </c>
      <c r="C119" s="6254"/>
      <c r="F119" s="5372">
        <f>+'Quality Iron ore sinter pellet'!X53</f>
        <v>63.366999999999997</v>
      </c>
      <c r="H119" s="5372">
        <f>+'Quality Iron ore sinter pellet'!X54</f>
        <v>63.336250000000007</v>
      </c>
      <c r="L119" s="5372">
        <f>+'Quality Iron ore sinter pellet'!X55</f>
        <v>63.178235294117648</v>
      </c>
      <c r="N119" s="5371">
        <f t="shared" si="496"/>
        <v>63.293828431372553</v>
      </c>
      <c r="P119" s="5372">
        <f>+'Quality Iron ore sinter pellet'!X56</f>
        <v>63.954999999999998</v>
      </c>
      <c r="T119" s="5372">
        <f>+'Quality Iron ore sinter pellet'!X57</f>
        <v>63.846666666666678</v>
      </c>
      <c r="X119" s="5372">
        <f>+'Quality Iron ore sinter pellet'!X58</f>
        <v>63.853076923076927</v>
      </c>
      <c r="AD119" s="5372">
        <f>+'Quality Iron ore sinter pellet'!X59</f>
        <v>63.32866666666667</v>
      </c>
      <c r="AH119" s="5372">
        <f>+'Quality Iron ore sinter pellet'!X60</f>
        <v>62.823333333333338</v>
      </c>
      <c r="AL119" s="5372">
        <f>+'Quality Iron ore sinter pellet'!X61</f>
        <v>62.42</v>
      </c>
      <c r="AN119" s="5371">
        <f t="shared" si="497"/>
        <v>62.857333333333337</v>
      </c>
      <c r="AR119" s="5372">
        <f>+'Quality Iron ore sinter pellet'!X62</f>
        <v>62.94</v>
      </c>
      <c r="AV119" s="5372">
        <f>+'Quality Iron ore sinter pellet'!X63</f>
        <v>63.323571428571434</v>
      </c>
      <c r="AZ119" s="5372">
        <f>+'Quality Iron ore sinter pellet'!X64</f>
        <v>62.881333333333338</v>
      </c>
      <c r="BB119" s="5371">
        <f t="shared" si="498"/>
        <v>63.048301587301587</v>
      </c>
      <c r="BD119" s="5371">
        <f t="shared" si="499"/>
        <v>62.952817460317462</v>
      </c>
      <c r="BF119" s="5371">
        <f>'Quality Iron ore sinter pellet'!X65</f>
        <v>63.271094470480499</v>
      </c>
    </row>
    <row r="120" spans="2:61" ht="18" hidden="1" x14ac:dyDescent="0.35">
      <c r="C120" s="6254"/>
      <c r="F120" s="5373"/>
      <c r="H120" s="5373"/>
      <c r="L120" s="5373"/>
      <c r="N120" s="5373"/>
      <c r="P120" s="5373"/>
      <c r="T120" s="5373"/>
      <c r="X120" s="5373"/>
      <c r="AD120" s="5373"/>
      <c r="AH120" s="5373"/>
      <c r="AL120" s="5373"/>
      <c r="AN120" s="5373"/>
      <c r="AR120" s="5373"/>
      <c r="AV120" s="5373"/>
      <c r="AZ120" s="5373"/>
      <c r="BB120" s="5373"/>
      <c r="BD120" s="5373"/>
      <c r="BF120" s="5373"/>
    </row>
    <row r="121" spans="2:61" ht="18" hidden="1" x14ac:dyDescent="0.35">
      <c r="B121" t="s">
        <v>2299</v>
      </c>
      <c r="C121" s="6254"/>
      <c r="F121" s="5376">
        <f>+F52</f>
        <v>67.239080067070262</v>
      </c>
      <c r="H121" s="5376">
        <f>+H52</f>
        <v>68.028877042636068</v>
      </c>
      <c r="L121" s="5376">
        <f>+L52</f>
        <v>70.603076765400957</v>
      </c>
      <c r="N121" s="5376">
        <f>+N52</f>
        <v>68.692747687263221</v>
      </c>
      <c r="P121" s="5376">
        <f>+P52</f>
        <v>70.948413654028116</v>
      </c>
      <c r="T121" s="5376">
        <f>+T52</f>
        <v>71.412130955035664</v>
      </c>
      <c r="X121" s="5376">
        <f>+X52</f>
        <v>71.775411644618927</v>
      </c>
      <c r="AD121" s="5376">
        <f>+AD52</f>
        <v>70.192964767058328</v>
      </c>
      <c r="AH121" s="5376">
        <f>+AH52</f>
        <v>71.299475739148974</v>
      </c>
      <c r="AL121" s="5376">
        <f>+AL52</f>
        <v>67.962178746849304</v>
      </c>
      <c r="AN121" s="5376">
        <f>+AN52</f>
        <v>69.768783385287577</v>
      </c>
      <c r="AR121" s="5376">
        <f>+AR52</f>
        <v>68.691563814948694</v>
      </c>
      <c r="AV121" s="5376">
        <f>+AV52</f>
        <v>72.190192142263896</v>
      </c>
      <c r="AZ121" s="5376">
        <f>+AZ52</f>
        <v>72.275284582999859</v>
      </c>
      <c r="BB121" s="5376">
        <f>+BB52</f>
        <v>70.969266257123536</v>
      </c>
      <c r="BD121" s="5376">
        <f>+BD52</f>
        <v>70.362197475061009</v>
      </c>
      <c r="BF121" s="5376">
        <f>+BF52</f>
        <v>70.19824937960361</v>
      </c>
    </row>
    <row r="122" spans="2:61" ht="18" hidden="1" x14ac:dyDescent="0.35">
      <c r="B122" t="s">
        <v>2300</v>
      </c>
      <c r="C122" s="6254"/>
      <c r="F122" s="5377">
        <f t="shared" ref="F122:H122" si="500">100-F121-F123</f>
        <v>14.418361182267226</v>
      </c>
      <c r="H122" s="5377">
        <f t="shared" si="500"/>
        <v>15.304906145415409</v>
      </c>
      <c r="L122" s="5377">
        <f t="shared" ref="L122" si="501">100-L121-L123</f>
        <v>14.349506762924433</v>
      </c>
      <c r="N122" s="5377">
        <f t="shared" ref="N122" si="502">100-N121-N123</f>
        <v>14.699410021001626</v>
      </c>
      <c r="P122" s="5377">
        <f t="shared" ref="P122" si="503">100-P121-P123</f>
        <v>16.504475047367112</v>
      </c>
      <c r="T122" s="5377">
        <f t="shared" ref="T122" si="504">100-T121-T123</f>
        <v>11.845227152280884</v>
      </c>
      <c r="X122" s="5377">
        <f t="shared" ref="X122" si="505">100-X121-X123</f>
        <v>11.136280266425757</v>
      </c>
      <c r="AD122" s="5377">
        <f t="shared" ref="AD122" si="506">100-AD121-AD123</f>
        <v>13.174350734237397</v>
      </c>
      <c r="AH122" s="5377">
        <f t="shared" ref="AH122" si="507">100-AH121-AH123</f>
        <v>12.154322394688272</v>
      </c>
      <c r="AL122" s="5377">
        <f t="shared" ref="AL122" si="508">100-AL121-AL123</f>
        <v>15.533623174551536</v>
      </c>
      <c r="AN122" s="5377">
        <f t="shared" ref="AN122" si="509">100-AN121-AN123</f>
        <v>13.675231927279754</v>
      </c>
      <c r="AR122" s="5377">
        <f t="shared" ref="AR122" si="510">100-AR121-AR123</f>
        <v>17.050233239280917</v>
      </c>
      <c r="AV122" s="5377">
        <f t="shared" ref="AV122" si="511">100-AV121-AV123</f>
        <v>13.514695735940691</v>
      </c>
      <c r="AZ122" s="5377">
        <f t="shared" ref="AZ122:BB122" si="512">100-AZ121-AZ123</f>
        <v>12.133575838412057</v>
      </c>
      <c r="BB122" s="5377">
        <f t="shared" si="512"/>
        <v>14.282325541331351</v>
      </c>
      <c r="BD122" s="5377">
        <f t="shared" ref="BD122" si="513">100-BD121-BD123</f>
        <v>13.97532609175436</v>
      </c>
      <c r="BF122" s="5377">
        <f t="shared" ref="BF122" si="514">100-BF121-BF123</f>
        <v>13.971137746653653</v>
      </c>
    </row>
    <row r="123" spans="2:61" ht="18" hidden="1" x14ac:dyDescent="0.35">
      <c r="B123" t="s">
        <v>2301</v>
      </c>
      <c r="C123" s="6254"/>
      <c r="F123" s="5376">
        <f>+F53</f>
        <v>18.342558750662512</v>
      </c>
      <c r="H123" s="5376">
        <f>+H53</f>
        <v>16.666216811948523</v>
      </c>
      <c r="L123" s="5376">
        <f>+L53</f>
        <v>15.047416471674611</v>
      </c>
      <c r="N123" s="5376">
        <f>+N53</f>
        <v>16.607842291735153</v>
      </c>
      <c r="P123" s="5376">
        <f>+P53</f>
        <v>12.547111298604772</v>
      </c>
      <c r="T123" s="5376">
        <f>+T53</f>
        <v>16.742641892683451</v>
      </c>
      <c r="X123" s="5376">
        <f>+X53</f>
        <v>17.088308088955316</v>
      </c>
      <c r="AD123" s="5376">
        <f>+AD53</f>
        <v>16.632684498704275</v>
      </c>
      <c r="AH123" s="5376">
        <f>+AH53</f>
        <v>16.546201866162754</v>
      </c>
      <c r="AL123" s="5376">
        <f>+AL53</f>
        <v>16.50419807859916</v>
      </c>
      <c r="AN123" s="5376">
        <f>+AN53</f>
        <v>16.555984687432669</v>
      </c>
      <c r="AR123" s="5376">
        <f>+AR53</f>
        <v>14.258202945770389</v>
      </c>
      <c r="AV123" s="5376">
        <f>+AV53</f>
        <v>14.295112121795412</v>
      </c>
      <c r="AZ123" s="5376">
        <f>+AZ53</f>
        <v>15.591139578588084</v>
      </c>
      <c r="BB123" s="5376">
        <f>+BB53</f>
        <v>14.748408201545113</v>
      </c>
      <c r="BD123" s="5376">
        <f>+BD53</f>
        <v>15.662476433184631</v>
      </c>
      <c r="BF123" s="5376">
        <f>+BF53</f>
        <v>15.830612873742737</v>
      </c>
    </row>
    <row r="124" spans="2:61" ht="18" hidden="1" x14ac:dyDescent="0.35">
      <c r="B124" t="s">
        <v>2302</v>
      </c>
      <c r="C124" s="6254"/>
      <c r="F124" s="5377">
        <f t="shared" ref="F124:H124" si="515">+F121+F123</f>
        <v>85.581638817732767</v>
      </c>
      <c r="H124" s="5377">
        <f t="shared" si="515"/>
        <v>84.695093854584599</v>
      </c>
      <c r="L124" s="5377">
        <f t="shared" ref="L124" si="516">+L121+L123</f>
        <v>85.650493237075565</v>
      </c>
      <c r="N124" s="5377">
        <f t="shared" ref="N124" si="517">+N121+N123</f>
        <v>85.300589978998374</v>
      </c>
      <c r="P124" s="5377">
        <f t="shared" ref="P124" si="518">+P121+P123</f>
        <v>83.495524952632891</v>
      </c>
      <c r="T124" s="5377">
        <f t="shared" ref="T124" si="519">+T121+T123</f>
        <v>88.154772847719116</v>
      </c>
      <c r="X124" s="5377">
        <f t="shared" ref="X124" si="520">+X121+X123</f>
        <v>88.863719733574243</v>
      </c>
      <c r="AD124" s="5377">
        <f t="shared" ref="AD124" si="521">+AD121+AD123</f>
        <v>86.825649265762607</v>
      </c>
      <c r="AH124" s="5377">
        <f t="shared" ref="AH124" si="522">+AH121+AH123</f>
        <v>87.845677605311721</v>
      </c>
      <c r="AL124" s="5377">
        <f t="shared" ref="AL124" si="523">+AL121+AL123</f>
        <v>84.466376825448464</v>
      </c>
      <c r="AN124" s="5377">
        <f t="shared" ref="AN124" si="524">+AN121+AN123</f>
        <v>86.324768072720246</v>
      </c>
      <c r="AR124" s="5377">
        <f t="shared" ref="AR124" si="525">+AR121+AR123</f>
        <v>82.949766760719086</v>
      </c>
      <c r="AV124" s="5377">
        <f t="shared" ref="AV124" si="526">+AV121+AV123</f>
        <v>86.485304264059309</v>
      </c>
      <c r="AZ124" s="5377">
        <f t="shared" ref="AZ124:BB124" si="527">+AZ121+AZ123</f>
        <v>87.866424161587943</v>
      </c>
      <c r="BB124" s="5377">
        <f t="shared" si="527"/>
        <v>85.717674458668654</v>
      </c>
      <c r="BD124" s="5377">
        <f t="shared" ref="BD124" si="528">+BD121+BD123</f>
        <v>86.024673908245646</v>
      </c>
      <c r="BF124" s="5377">
        <f t="shared" ref="BF124" si="529">+BF121+BF123</f>
        <v>86.028862253346347</v>
      </c>
    </row>
    <row r="125" spans="2:61" ht="18" hidden="1" x14ac:dyDescent="0.35">
      <c r="C125" s="6254"/>
      <c r="F125" s="5373"/>
      <c r="H125" s="5373"/>
      <c r="L125" s="5373"/>
      <c r="N125" s="5373"/>
      <c r="P125" s="5373"/>
      <c r="T125" s="5373"/>
      <c r="X125" s="5373"/>
      <c r="AD125" s="5373"/>
      <c r="AH125" s="5373"/>
      <c r="AL125" s="5373"/>
      <c r="AN125" s="5373"/>
      <c r="AR125" s="5373"/>
      <c r="AV125" s="5373"/>
      <c r="AZ125" s="5373"/>
      <c r="BB125" s="5373"/>
      <c r="BD125" s="5373"/>
      <c r="BF125" s="5373"/>
    </row>
    <row r="126" spans="2:61" ht="18" hidden="1" x14ac:dyDescent="0.35">
      <c r="B126" t="s">
        <v>2303</v>
      </c>
      <c r="C126" s="6254"/>
      <c r="F126" s="5374">
        <f t="shared" ref="F126:H126" si="530">+((F121*F117)+(F122*F118)+(F123*F119))/100</f>
        <v>59.068990326276278</v>
      </c>
      <c r="H126" s="5374">
        <f t="shared" si="530"/>
        <v>58.900325332093558</v>
      </c>
      <c r="L126" s="5374">
        <f t="shared" ref="L126" si="531">+((L121*L117)+(L122*L118)+(L123*L119))/100</f>
        <v>58.513599937902598</v>
      </c>
      <c r="N126" s="5374">
        <f t="shared" ref="N126" si="532">+((N121*N117)+(N122*N118)+(N123*N119))/100</f>
        <v>58.824841899937539</v>
      </c>
      <c r="P126" s="5374">
        <f t="shared" ref="P126" si="533">+((P121*P117)+(P122*P118)+(P123*P119))/100</f>
        <v>57.907732230478608</v>
      </c>
      <c r="T126" s="5374">
        <f t="shared" ref="T126" si="534">+((T121*T117)+(T122*T118)+(T123*T119))/100</f>
        <v>58.226960403080064</v>
      </c>
      <c r="X126" s="5374">
        <f t="shared" ref="X126" si="535">+((X121*X117)+(X122*X118)+(X123*X119))/100</f>
        <v>57.953942730857072</v>
      </c>
      <c r="AD126" s="5374">
        <f t="shared" ref="AD126" si="536">+((AD121*AD117)+(AD122*AD118)+(AD123*AD119))/100</f>
        <v>57.969586305838291</v>
      </c>
      <c r="AH126" s="5374">
        <f t="shared" ref="AH126" si="537">+((AH121*AH117)+(AH122*AH118)+(AH123*AH119))/100</f>
        <v>57.856927292068796</v>
      </c>
      <c r="AL126" s="5374">
        <f t="shared" ref="AL126" si="538">+((AL121*AL117)+(AL122*AL118)+(AL123*AL119))/100</f>
        <v>56.516027854323987</v>
      </c>
      <c r="AN126" s="5374">
        <f t="shared" ref="AN126" si="539">+((AN121*AN117)+(AN122*AN118)+(AN123*AN119))/100</f>
        <v>57.4412456244917</v>
      </c>
      <c r="AR126" s="5374">
        <f t="shared" ref="AR126" si="540">+((AR121*AR117)+(AR122*AR118)+(AR123*AR119))/100</f>
        <v>56.85897257674219</v>
      </c>
      <c r="AV126" s="5374">
        <f t="shared" ref="AV126" si="541">+((AV121*AV117)+(AV122*AV118)+(AV123*AV119))/100</f>
        <v>57.4283901878878</v>
      </c>
      <c r="AZ126" s="5374">
        <f t="shared" ref="AZ126:BB126" si="542">+((AZ121*AZ117)+(AZ122*AZ118)+(AZ123*AZ119))/100</f>
        <v>57.748351248141965</v>
      </c>
      <c r="BB126" s="5374">
        <f t="shared" si="542"/>
        <v>57.345144544450939</v>
      </c>
      <c r="BD126" s="5374">
        <f t="shared" ref="BD126" si="543">+((BD121*BD117)+(BD122*BD118)+(BD123*BD119))/100</f>
        <v>57.39470073808188</v>
      </c>
      <c r="BF126" s="5374">
        <f t="shared" ref="BF126" si="544">+((BF121*BF117)+(BF122*BF118)+(BF123*BF119))/100</f>
        <v>57.912261904372144</v>
      </c>
    </row>
    <row r="127" spans="2:61" ht="18" hidden="1" x14ac:dyDescent="0.35">
      <c r="B127" t="s">
        <v>2304</v>
      </c>
      <c r="C127" s="6254" t="s">
        <v>242</v>
      </c>
      <c r="F127" s="5375">
        <f t="shared" ref="F127:H127" si="545">+F116*1000/F126</f>
        <v>1599.8241967234469</v>
      </c>
      <c r="H127" s="5375">
        <f t="shared" si="545"/>
        <v>1604.4053995828938</v>
      </c>
      <c r="L127" s="5375">
        <f t="shared" ref="L127" si="546">+L116*1000/L126</f>
        <v>1615.009161977521</v>
      </c>
      <c r="N127" s="5375">
        <f t="shared" ref="N127" si="547">+N116*1000/N126</f>
        <v>1606.4641560915159</v>
      </c>
      <c r="P127" s="5375">
        <f t="shared" ref="P127" si="548">+P116*1000/P126</f>
        <v>1631.9064200939606</v>
      </c>
      <c r="T127" s="5375">
        <f t="shared" ref="T127" si="549">+T116*1000/T126</f>
        <v>1622.9595250347497</v>
      </c>
      <c r="X127" s="5375">
        <f t="shared" ref="X127" si="550">+X116*1000/X126</f>
        <v>1630.605193487281</v>
      </c>
      <c r="AD127" s="5375">
        <f t="shared" ref="AD127" si="551">+AD116*1000/AD126</f>
        <v>1630.165161114538</v>
      </c>
      <c r="AH127" s="5375">
        <f t="shared" ref="AH127" si="552">+AH116*1000/AH126</f>
        <v>1633.3394188556285</v>
      </c>
      <c r="AL127" s="5375">
        <f t="shared" ref="AL127" si="553">+AL116*1000/AL126</f>
        <v>1672.0920345567049</v>
      </c>
      <c r="AN127" s="5375">
        <f t="shared" ref="AN127" si="554">+AN116*1000/AN126</f>
        <v>1645.1593097017947</v>
      </c>
      <c r="AR127" s="5375">
        <f t="shared" ref="AR127" si="555">+AR116*1000/AR126</f>
        <v>1662.0068164695372</v>
      </c>
      <c r="AV127" s="5375">
        <f t="shared" ref="AV127" si="556">+AV116*1000/AV126</f>
        <v>1645.5275812333489</v>
      </c>
      <c r="AZ127" s="5375">
        <f t="shared" ref="AZ127:BB127" si="557">+AZ116*1000/AZ126</f>
        <v>1636.4103555777363</v>
      </c>
      <c r="BB127" s="5375">
        <f t="shared" si="557"/>
        <v>1647.9163275410103</v>
      </c>
      <c r="BD127" s="5375">
        <f t="shared" ref="BD127" si="558">+BD116*1000/BD126</f>
        <v>1646.4934703858196</v>
      </c>
      <c r="BF127" s="5375">
        <f t="shared" ref="BF127" si="559">+BF116*1000/BF126</f>
        <v>1631.7787786642405</v>
      </c>
    </row>
    <row r="128" spans="2:61" ht="18" hidden="1" x14ac:dyDescent="0.35">
      <c r="C128" s="6254"/>
      <c r="F128" s="5375"/>
      <c r="H128" s="5375"/>
      <c r="L128" s="5375"/>
      <c r="N128" s="5375"/>
      <c r="P128" s="5375"/>
      <c r="T128" s="5375"/>
      <c r="X128" s="5375"/>
      <c r="AD128" s="5375"/>
      <c r="AH128" s="5375"/>
      <c r="AL128" s="5375"/>
      <c r="AN128" s="5375"/>
      <c r="AR128" s="5375"/>
      <c r="AV128" s="5375"/>
      <c r="AZ128" s="5375"/>
      <c r="BB128" s="5375"/>
      <c r="BD128" s="5375"/>
      <c r="BF128" s="5375"/>
    </row>
    <row r="129" spans="2:58" ht="18" hidden="1" x14ac:dyDescent="0.35">
      <c r="B129" s="32" t="s">
        <v>2309</v>
      </c>
      <c r="C129" s="6254"/>
      <c r="F129" s="5373"/>
      <c r="H129" s="5373"/>
      <c r="L129" s="5373"/>
      <c r="N129" s="5373"/>
      <c r="P129" s="5373"/>
      <c r="T129" s="5373"/>
      <c r="X129" s="5373"/>
      <c r="AD129" s="5373"/>
      <c r="AH129" s="5373"/>
      <c r="AL129" s="5373"/>
      <c r="AN129" s="5373"/>
      <c r="AR129" s="5373"/>
      <c r="AV129" s="5373"/>
      <c r="AZ129" s="5373"/>
      <c r="BB129" s="5373"/>
      <c r="BD129" s="5373"/>
      <c r="BF129" s="5373"/>
    </row>
    <row r="130" spans="2:58" ht="18" hidden="1" x14ac:dyDescent="0.35">
      <c r="B130" t="s">
        <v>2307</v>
      </c>
      <c r="C130" s="6254"/>
      <c r="F130" s="5375">
        <f t="shared" ref="F130:H130" si="560">+F127*F121/100</f>
        <v>1075.7070725672422</v>
      </c>
      <c r="H130" s="5375">
        <f t="shared" si="560"/>
        <v>1091.4589765476608</v>
      </c>
      <c r="L130" s="5375">
        <f t="shared" ref="L130" si="561">+L127*L121/100</f>
        <v>1140.2461583992479</v>
      </c>
      <c r="N130" s="5375">
        <f t="shared" ref="N130" si="562">+N127*N121/100</f>
        <v>1103.5243694302674</v>
      </c>
      <c r="P130" s="5375">
        <f t="shared" ref="P130" si="563">+P127*P121/100</f>
        <v>1157.8117173749049</v>
      </c>
      <c r="T130" s="5375">
        <f t="shared" ref="T130" si="564">+T127*T121/100</f>
        <v>1158.9899813650402</v>
      </c>
      <c r="X130" s="5375">
        <f t="shared" ref="X130" si="565">+X127*X121/100</f>
        <v>1170.3735899240307</v>
      </c>
      <c r="AD130" s="5375">
        <f t="shared" ref="AD130" si="566">+AD127*AD121/100</f>
        <v>1144.2612571859872</v>
      </c>
      <c r="AH130" s="5375">
        <f t="shared" ref="AH130" si="567">+AH127*AH121/100</f>
        <v>1164.5624426849258</v>
      </c>
      <c r="AL130" s="5375">
        <f t="shared" ref="AL130" si="568">+AL127*AL121/100</f>
        <v>1136.390177337257</v>
      </c>
      <c r="AN130" s="5375">
        <f t="shared" ref="AN130" si="569">+AN127*AN121/100</f>
        <v>1147.8076351287375</v>
      </c>
      <c r="AR130" s="5375">
        <f t="shared" ref="AR130" si="570">+AR127*AR121/100</f>
        <v>1141.6584729439694</v>
      </c>
      <c r="AV130" s="5375">
        <f t="shared" ref="AV130" si="571">+AV127*AV121/100</f>
        <v>1187.9095226463023</v>
      </c>
      <c r="AZ130" s="5375">
        <f t="shared" ref="AZ130:BB130" si="572">+AZ127*AZ121/100</f>
        <v>1182.7202414394887</v>
      </c>
      <c r="BB130" s="5375">
        <f t="shared" si="572"/>
        <v>1169.5141261871916</v>
      </c>
      <c r="BD130" s="5375">
        <f t="shared" ref="BD130" si="573">+BD127*BD121/100</f>
        <v>1158.5089870468555</v>
      </c>
      <c r="BF130" s="5375">
        <f t="shared" ref="BF130" si="574">+BF127*BF121/100</f>
        <v>1145.4801363701736</v>
      </c>
    </row>
    <row r="131" spans="2:58" ht="18" hidden="1" x14ac:dyDescent="0.35">
      <c r="B131" t="s">
        <v>2305</v>
      </c>
      <c r="C131" s="6254"/>
      <c r="F131" s="5375">
        <f t="shared" ref="F131:H131" si="575">+F127*F122/100</f>
        <v>230.66843096489191</v>
      </c>
      <c r="H131" s="5375">
        <f t="shared" si="575"/>
        <v>245.55274059813894</v>
      </c>
      <c r="L131" s="5375">
        <f t="shared" ref="L131" si="576">+L127*L122/100</f>
        <v>231.74584891981357</v>
      </c>
      <c r="N131" s="5375">
        <f t="shared" ref="N131" si="577">+N127*N122/100</f>
        <v>236.14075314431548</v>
      </c>
      <c r="P131" s="5375">
        <f t="shared" ref="P131" si="578">+P127*P122/100</f>
        <v>269.33758790078969</v>
      </c>
      <c r="T131" s="5375">
        <f t="shared" ref="T131" si="579">+T127*T122/100</f>
        <v>192.24324232994505</v>
      </c>
      <c r="X131" s="5375">
        <f t="shared" ref="X131" si="580">+X127*X122/100</f>
        <v>181.58876438563763</v>
      </c>
      <c r="AD131" s="5375">
        <f t="shared" ref="AD131" si="581">+AD127*AD122/100</f>
        <v>214.76367587257536</v>
      </c>
      <c r="AH131" s="5375">
        <f t="shared" ref="AH131" si="582">+AH127*AH122/100</f>
        <v>198.52133876724093</v>
      </c>
      <c r="AL131" s="5375">
        <f t="shared" ref="AL131" si="583">+AL127*AL122/100</f>
        <v>259.7364757797306</v>
      </c>
      <c r="AN131" s="5375">
        <f t="shared" ref="AN131" si="584">+AN127*AN122/100</f>
        <v>224.97935117495501</v>
      </c>
      <c r="AR131" s="5375">
        <f t="shared" ref="AR131" si="585">+AR127*AR122/100</f>
        <v>283.3760386608036</v>
      </c>
      <c r="AV131" s="5375">
        <f t="shared" ref="AV131" si="586">+AV127*AV122/100</f>
        <v>222.38804585467139</v>
      </c>
      <c r="AZ131" s="5375">
        <f t="shared" ref="AZ131:BB131" si="587">+AZ127*AZ122/100</f>
        <v>198.55509152165303</v>
      </c>
      <c r="BB131" s="5375">
        <f t="shared" si="587"/>
        <v>235.36077454815933</v>
      </c>
      <c r="BD131" s="5375">
        <f t="shared" ref="BD131" si="588">+BD127*BD122/100</f>
        <v>230.10283156586127</v>
      </c>
      <c r="BF131" s="5375">
        <f t="shared" ref="BF131" si="589">+BF127*BF122/100</f>
        <v>227.97806088784367</v>
      </c>
    </row>
    <row r="132" spans="2:58" ht="18" hidden="1" x14ac:dyDescent="0.35">
      <c r="B132" t="s">
        <v>2306</v>
      </c>
      <c r="C132" s="6254"/>
      <c r="F132" s="5375">
        <f t="shared" ref="F132:H132" si="590">+F127*F123/100</f>
        <v>293.44869319131283</v>
      </c>
      <c r="H132" s="5375">
        <f t="shared" si="590"/>
        <v>267.39368243709413</v>
      </c>
      <c r="L132" s="5375">
        <f t="shared" ref="L132" si="591">+L127*L123/100</f>
        <v>243.01715465845959</v>
      </c>
      <c r="N132" s="5375">
        <f t="shared" ref="N132" si="592">+N127*N123/100</f>
        <v>266.79903351693298</v>
      </c>
      <c r="P132" s="5375">
        <f t="shared" ref="P132" si="593">+P127*P123/100</f>
        <v>204.75711481826599</v>
      </c>
      <c r="T132" s="5375">
        <f t="shared" ref="T132" si="594">+T127*T123/100</f>
        <v>271.72630133976435</v>
      </c>
      <c r="X132" s="5375">
        <f t="shared" ref="X132" si="595">+X127*X123/100</f>
        <v>278.64283917761253</v>
      </c>
      <c r="AD132" s="5375">
        <f t="shared" ref="AD132" si="596">+AD127*AD123/100</f>
        <v>271.14022805597534</v>
      </c>
      <c r="AH132" s="5375">
        <f t="shared" ref="AH132" si="597">+AH127*AH123/100</f>
        <v>270.25563740346189</v>
      </c>
      <c r="AL132" s="5375">
        <f t="shared" ref="AL132" si="598">+AL127*AL123/100</f>
        <v>275.96538143971725</v>
      </c>
      <c r="AN132" s="5375">
        <f t="shared" ref="AN132" si="599">+AN127*AN123/100</f>
        <v>272.37232339810214</v>
      </c>
      <c r="AR132" s="5375">
        <f t="shared" ref="AR132" si="600">+AR127*AR123/100</f>
        <v>236.97230486476423</v>
      </c>
      <c r="AV132" s="5375">
        <f t="shared" ref="AV132" si="601">+AV127*AV123/100</f>
        <v>235.23001273237531</v>
      </c>
      <c r="AZ132" s="5375">
        <f t="shared" ref="AZ132:BB132" si="602">+AZ127*AZ123/100</f>
        <v>255.13502261659443</v>
      </c>
      <c r="BB132" s="5375">
        <f t="shared" si="602"/>
        <v>243.0414268056594</v>
      </c>
      <c r="BD132" s="5375">
        <f t="shared" ref="BD132" si="603">+BD127*BD123/100</f>
        <v>257.88165177310276</v>
      </c>
      <c r="BF132" s="5375">
        <f t="shared" ref="BF132" si="604">+BF127*BF123/100</f>
        <v>258.32058140622325</v>
      </c>
    </row>
    <row r="133" spans="2:58" ht="18" hidden="1" x14ac:dyDescent="0.35">
      <c r="C133" s="6254"/>
      <c r="F133" s="5375">
        <f>SUM(F130:F132)</f>
        <v>1599.8241967234471</v>
      </c>
      <c r="H133" s="5375">
        <f>SUM(H130:H132)</f>
        <v>1604.4053995828938</v>
      </c>
      <c r="L133" s="5375">
        <f>SUM(L130:L132)</f>
        <v>1615.009161977521</v>
      </c>
      <c r="N133" s="5375">
        <f>SUM(N130:N132)</f>
        <v>1606.4641560915159</v>
      </c>
      <c r="P133" s="5375">
        <f>SUM(P130:P132)</f>
        <v>1631.9064200939606</v>
      </c>
      <c r="T133" s="5375">
        <f>SUM(T130:T132)</f>
        <v>1622.9595250347497</v>
      </c>
      <c r="X133" s="5375">
        <f>SUM(X130:X132)</f>
        <v>1630.605193487281</v>
      </c>
      <c r="AD133" s="5375">
        <f>SUM(AD130:AD132)</f>
        <v>1630.1651611145378</v>
      </c>
      <c r="AH133" s="5375">
        <f>SUM(AH130:AH132)</f>
        <v>1633.3394188556285</v>
      </c>
      <c r="AL133" s="5375">
        <f>SUM(AL130:AL132)</f>
        <v>1672.0920345567049</v>
      </c>
      <c r="AN133" s="5375">
        <f>SUM(AN130:AN132)</f>
        <v>1645.1593097017949</v>
      </c>
      <c r="AR133" s="5375">
        <f>SUM(AR130:AR132)</f>
        <v>1662.0068164695372</v>
      </c>
      <c r="AV133" s="5375">
        <f>SUM(AV130:AV132)</f>
        <v>1645.5275812333491</v>
      </c>
      <c r="AZ133" s="5375">
        <f>SUM(AZ130:AZ132)</f>
        <v>1636.4103555777363</v>
      </c>
      <c r="BB133" s="5375">
        <f>SUM(BB130:BB132)</f>
        <v>1647.9163275410101</v>
      </c>
      <c r="BD133" s="5375">
        <f>SUM(BD130:BD132)</f>
        <v>1646.4934703858196</v>
      </c>
      <c r="BF133" s="5375">
        <f>SUM(BF130:BF132)</f>
        <v>1631.7787786642405</v>
      </c>
    </row>
    <row r="134" spans="2:58" hidden="1" x14ac:dyDescent="0.3">
      <c r="B134" s="32" t="s">
        <v>2308</v>
      </c>
      <c r="C134" s="6254"/>
    </row>
    <row r="135" spans="2:58" ht="15" hidden="1" customHeight="1" x14ac:dyDescent="0.3">
      <c r="C135" s="6254"/>
    </row>
    <row r="136" spans="2:58" ht="18" hidden="1" x14ac:dyDescent="0.35">
      <c r="B136" t="s">
        <v>2307</v>
      </c>
      <c r="C136" s="6254"/>
      <c r="F136" s="5375">
        <f>+F43</f>
        <v>1115.2616068238185</v>
      </c>
      <c r="H136" s="5375">
        <f>+H43</f>
        <v>1128.4752839801524</v>
      </c>
      <c r="L136" s="5375">
        <f>+L43</f>
        <v>1168.6416951476904</v>
      </c>
      <c r="N136" s="5375">
        <f>+N43</f>
        <v>1138.5851872020905</v>
      </c>
      <c r="P136" s="5375">
        <f>+P43</f>
        <v>1172.6817812780748</v>
      </c>
      <c r="T136" s="5375">
        <f>+T43</f>
        <v>1179.6089134008994</v>
      </c>
      <c r="X136" s="5375">
        <f>+X43</f>
        <v>1186.7907343029558</v>
      </c>
      <c r="AD136" s="5375">
        <f>+AD43</f>
        <v>1173.1746961624856</v>
      </c>
      <c r="AH136" s="5375">
        <f>+AH43</f>
        <v>1191.5058149107797</v>
      </c>
      <c r="AL136" s="5375">
        <f>+AL43</f>
        <v>1149.1026033447156</v>
      </c>
      <c r="AN136" s="5375">
        <f>+AN43</f>
        <v>1170.913131826082</v>
      </c>
      <c r="AR136" s="5375">
        <f>+AR43</f>
        <v>1150.2948318857887</v>
      </c>
      <c r="AV136" s="5375">
        <f>+AV43</f>
        <v>1188.3878595123601</v>
      </c>
      <c r="AZ136" s="5375">
        <f>+AZ43</f>
        <v>1183.869406527212</v>
      </c>
      <c r="BB136" s="5375">
        <f>+BB43</f>
        <v>1173.2930582271642</v>
      </c>
      <c r="BD136" s="5375">
        <f>+BD43</f>
        <v>1172.0985018567574</v>
      </c>
      <c r="BF136" s="5375">
        <f>+BF43</f>
        <v>1165.4506483646283</v>
      </c>
    </row>
    <row r="137" spans="2:58" ht="18" hidden="1" x14ac:dyDescent="0.35">
      <c r="B137" t="s">
        <v>2305</v>
      </c>
      <c r="C137" s="6254"/>
      <c r="F137" s="5375">
        <f>+F44</f>
        <v>239.15027754486891</v>
      </c>
      <c r="H137" s="5375">
        <f>+H44</f>
        <v>253.88054396242299</v>
      </c>
      <c r="L137" s="5375">
        <f>+L44</f>
        <v>237.51701308540027</v>
      </c>
      <c r="N137" s="5375">
        <f>+N44</f>
        <v>243.64334043993489</v>
      </c>
      <c r="P137" s="5375">
        <f>+P44</f>
        <v>272.79675754254362</v>
      </c>
      <c r="T137" s="5375">
        <f>+T44</f>
        <v>195.66333259102376</v>
      </c>
      <c r="X137" s="5375">
        <f>+X44</f>
        <v>184.13595870732692</v>
      </c>
      <c r="AD137" s="5375">
        <f>+AD44</f>
        <v>220.19037051745133</v>
      </c>
      <c r="AH137" s="5375">
        <f>+AH44</f>
        <v>203.11433793081414</v>
      </c>
      <c r="AL137" s="5375">
        <f>+AL44</f>
        <v>262.64206295888476</v>
      </c>
      <c r="AN137" s="5375">
        <f>+AN44</f>
        <v>229.50821079955625</v>
      </c>
      <c r="AR137" s="5375">
        <f>+AR44</f>
        <v>285.51970705497291</v>
      </c>
      <c r="AV137" s="5375">
        <f>+AV44</f>
        <v>222.47759509968952</v>
      </c>
      <c r="AZ137" s="5375">
        <f>+AZ44</f>
        <v>198.74801337347543</v>
      </c>
      <c r="BB137" s="5375">
        <f>+BB44</f>
        <v>236.12127187946777</v>
      </c>
      <c r="BD137" s="5375">
        <f>+BD44</f>
        <v>232.80197837639713</v>
      </c>
      <c r="BF137" s="5375">
        <f>+BF44</f>
        <v>231.95267245453604</v>
      </c>
    </row>
    <row r="138" spans="2:58" ht="18" hidden="1" x14ac:dyDescent="0.35">
      <c r="B138" t="s">
        <v>2306</v>
      </c>
      <c r="C138" s="6254"/>
      <c r="F138" s="5375">
        <f>+F46</f>
        <v>304.2390158389851</v>
      </c>
      <c r="H138" s="5375">
        <f>+H46</f>
        <v>276.46221086305951</v>
      </c>
      <c r="L138" s="5375">
        <f>+L46</f>
        <v>249.06900801904783</v>
      </c>
      <c r="N138" s="5375">
        <f>+N46</f>
        <v>275.27568573682476</v>
      </c>
      <c r="P138" s="5375">
        <f>+P46</f>
        <v>207.38686137920047</v>
      </c>
      <c r="T138" s="5375">
        <f>+T46</f>
        <v>276.56042952875976</v>
      </c>
      <c r="X138" s="5375">
        <f>+X46</f>
        <v>282.55143704782705</v>
      </c>
      <c r="AD138" s="5375">
        <f>+AD46</f>
        <v>277.99145751842343</v>
      </c>
      <c r="AH138" s="5375">
        <f>+AH46</f>
        <v>276.50828472214829</v>
      </c>
      <c r="AL138" s="5375">
        <f>+AL46</f>
        <v>279.05251608953694</v>
      </c>
      <c r="AN138" s="5375">
        <f>+AN46</f>
        <v>277.85520888005561</v>
      </c>
      <c r="AR138" s="5375">
        <f>+AR46</f>
        <v>238.76494069464175</v>
      </c>
      <c r="AV138" s="5375">
        <f>+AV46</f>
        <v>235.32473306666708</v>
      </c>
      <c r="AZ138" s="5375">
        <f>+AZ46</f>
        <v>255.38291916082667</v>
      </c>
      <c r="BB138" s="5375">
        <f>+BB46</f>
        <v>243.82674184737769</v>
      </c>
      <c r="BD138" s="5375">
        <f>+BD46</f>
        <v>260.90664904559344</v>
      </c>
      <c r="BF138" s="5375">
        <f>+BF46</f>
        <v>262.82419007265958</v>
      </c>
    </row>
    <row r="139" spans="2:58" ht="18" hidden="1" x14ac:dyDescent="0.35">
      <c r="C139" s="6254"/>
      <c r="F139" s="5375">
        <f>SUM(F136:F138)</f>
        <v>1658.6509002076725</v>
      </c>
      <c r="H139" s="5375">
        <f>SUM(H136:H138)</f>
        <v>1658.8180388056348</v>
      </c>
      <c r="L139" s="5375">
        <f>SUM(L136:L138)</f>
        <v>1655.2277162521386</v>
      </c>
      <c r="N139" s="5375">
        <f>SUM(N136:N138)</f>
        <v>1657.5042133788502</v>
      </c>
      <c r="P139" s="5375">
        <f>SUM(P136:P138)</f>
        <v>1652.8654001998189</v>
      </c>
      <c r="T139" s="5375">
        <f>SUM(T136:T138)</f>
        <v>1651.8326755206831</v>
      </c>
      <c r="X139" s="5375">
        <f>SUM(X136:X138)</f>
        <v>1653.4781300581096</v>
      </c>
      <c r="AD139" s="5375">
        <f>SUM(AD136:AD138)</f>
        <v>1671.3565241983604</v>
      </c>
      <c r="AH139" s="5375">
        <f>SUM(AH136:AH138)</f>
        <v>1671.1284375637422</v>
      </c>
      <c r="AL139" s="5375">
        <f>SUM(AL136:AL138)</f>
        <v>1690.7971823931373</v>
      </c>
      <c r="AN139" s="5375">
        <f>SUM(AN136:AN138)</f>
        <v>1678.276551505694</v>
      </c>
      <c r="AR139" s="5375">
        <f>SUM(AR136:AR138)</f>
        <v>1674.5794796354035</v>
      </c>
      <c r="AV139" s="5375">
        <f>SUM(AV136:AV138)</f>
        <v>1646.1901876787167</v>
      </c>
      <c r="AZ139" s="5375">
        <f>SUM(AZ136:AZ138)</f>
        <v>1638.0003390615143</v>
      </c>
      <c r="BB139" s="5375">
        <f>SUM(BB136:BB138)</f>
        <v>1653.2410719540096</v>
      </c>
      <c r="BD139" s="5375">
        <f>SUM(BD136:BD138)</f>
        <v>1665.8071292787479</v>
      </c>
      <c r="BF139" s="5375">
        <f>SUM(BF136:BF138)</f>
        <v>1660.2275108918238</v>
      </c>
    </row>
    <row r="140" spans="2:58" hidden="1" x14ac:dyDescent="0.3">
      <c r="C140" s="6254"/>
    </row>
    <row r="141" spans="2:58" hidden="1" x14ac:dyDescent="0.3">
      <c r="B141" s="32" t="s">
        <v>1474</v>
      </c>
      <c r="C141" s="6254"/>
    </row>
    <row r="142" spans="2:58" ht="15" hidden="1" customHeight="1" x14ac:dyDescent="0.3">
      <c r="C142" s="6254"/>
    </row>
    <row r="143" spans="2:58" ht="18" hidden="1" x14ac:dyDescent="0.35">
      <c r="B143" t="s">
        <v>2307</v>
      </c>
      <c r="C143" s="6254"/>
      <c r="F143" s="5375">
        <f>+F136-F130</f>
        <v>39.554534256576289</v>
      </c>
      <c r="H143" s="5375">
        <f>+H136-H130</f>
        <v>37.016307432491658</v>
      </c>
      <c r="L143" s="5375">
        <f>+L136-L130</f>
        <v>28.39553674844251</v>
      </c>
      <c r="N143" s="5375">
        <f>+N136-N130</f>
        <v>35.060817771823167</v>
      </c>
      <c r="P143" s="5375">
        <f>+P136-P130</f>
        <v>14.870063903169921</v>
      </c>
      <c r="T143" s="5375">
        <f>+T136-T130</f>
        <v>20.618932035859189</v>
      </c>
      <c r="X143" s="5375">
        <f>+X136-X130</f>
        <v>16.417144378925059</v>
      </c>
      <c r="AD143" s="5375">
        <f>+AD136-AD130</f>
        <v>28.913438976498355</v>
      </c>
      <c r="AH143" s="5375">
        <f>+AH136-AH130</f>
        <v>26.943372225853864</v>
      </c>
      <c r="AL143" s="5375">
        <f>+AL136-AL130</f>
        <v>12.712426007458589</v>
      </c>
      <c r="AN143" s="5375">
        <f>+AN136-AN130</f>
        <v>23.105496697344506</v>
      </c>
      <c r="AR143" s="5375">
        <f>+AR136-AR130</f>
        <v>8.6363589418192532</v>
      </c>
      <c r="AV143" s="5375">
        <f>+AV136-AV130</f>
        <v>0.47833686605781622</v>
      </c>
      <c r="AZ143" s="5375">
        <f>+AZ136-AZ130</f>
        <v>1.1491650877233042</v>
      </c>
      <c r="BB143" s="5375">
        <f>+BB136-BB130</f>
        <v>3.7789320399726876</v>
      </c>
      <c r="BD143" s="5375">
        <f>+BD136-BD130</f>
        <v>13.589514809901857</v>
      </c>
      <c r="BF143" s="5375">
        <f>+BF136-BF130</f>
        <v>19.970511994454682</v>
      </c>
    </row>
    <row r="144" spans="2:58" ht="18" hidden="1" x14ac:dyDescent="0.35">
      <c r="B144" t="s">
        <v>2305</v>
      </c>
      <c r="C144" s="6254"/>
      <c r="F144" s="5375">
        <f t="shared" ref="F144:H146" si="605">+F137-F131</f>
        <v>8.4818465799770024</v>
      </c>
      <c r="H144" s="5375">
        <f t="shared" si="605"/>
        <v>8.3278033642840512</v>
      </c>
      <c r="L144" s="5375">
        <f t="shared" ref="L144" si="606">+L137-L131</f>
        <v>5.771164165586697</v>
      </c>
      <c r="N144" s="5375">
        <f t="shared" ref="N144" si="607">+N137-N131</f>
        <v>7.5025872956194064</v>
      </c>
      <c r="P144" s="5375">
        <f t="shared" ref="P144" si="608">+P137-P131</f>
        <v>3.459169641753931</v>
      </c>
      <c r="T144" s="5375">
        <f t="shared" ref="T144" si="609">+T137-T131</f>
        <v>3.4200902610787125</v>
      </c>
      <c r="X144" s="5375">
        <f t="shared" ref="X144" si="610">+X137-X131</f>
        <v>2.5471943216892896</v>
      </c>
      <c r="AD144" s="5375">
        <f t="shared" ref="AD144" si="611">+AD137-AD131</f>
        <v>5.4266946448759654</v>
      </c>
      <c r="AH144" s="5375">
        <f t="shared" ref="AH144" si="612">+AH137-AH131</f>
        <v>4.5929991635732108</v>
      </c>
      <c r="AL144" s="5375">
        <f t="shared" ref="AL144" si="613">+AL137-AL131</f>
        <v>2.9055871791541676</v>
      </c>
      <c r="AN144" s="5375">
        <f t="shared" ref="AN144" si="614">+AN137-AN131</f>
        <v>4.5288596246012389</v>
      </c>
      <c r="AR144" s="5375">
        <f t="shared" ref="AR144" si="615">+AR137-AR131</f>
        <v>2.1436683941693104</v>
      </c>
      <c r="AV144" s="5375">
        <f t="shared" ref="AV144" si="616">+AV137-AV131</f>
        <v>8.9549245018133661E-2</v>
      </c>
      <c r="AZ144" s="5375">
        <f t="shared" ref="AZ144:BB144" si="617">+AZ137-AZ131</f>
        <v>0.19292185182240473</v>
      </c>
      <c r="BB144" s="5375">
        <f t="shared" si="617"/>
        <v>0.76049733130844288</v>
      </c>
      <c r="BD144" s="5375">
        <f t="shared" ref="BD144" si="618">+BD137-BD131</f>
        <v>2.6991468105358649</v>
      </c>
      <c r="BF144" s="5375">
        <f t="shared" ref="BF144" si="619">+BF137-BF131</f>
        <v>3.9746115666923743</v>
      </c>
    </row>
    <row r="145" spans="2:68" ht="18" hidden="1" x14ac:dyDescent="0.35">
      <c r="B145" t="s">
        <v>2306</v>
      </c>
      <c r="C145" s="6254"/>
      <c r="F145" s="5375">
        <f t="shared" si="605"/>
        <v>10.790322647672269</v>
      </c>
      <c r="H145" s="5375">
        <f t="shared" si="605"/>
        <v>9.0685284259653827</v>
      </c>
      <c r="L145" s="5375">
        <f t="shared" ref="L145" si="620">+L138-L132</f>
        <v>6.0518533605882396</v>
      </c>
      <c r="N145" s="5375">
        <f t="shared" ref="N145" si="621">+N138-N132</f>
        <v>8.4766522198917755</v>
      </c>
      <c r="P145" s="5375">
        <f t="shared" ref="P145" si="622">+P138-P132</f>
        <v>2.6297465609344783</v>
      </c>
      <c r="T145" s="5375">
        <f t="shared" ref="T145" si="623">+T138-T132</f>
        <v>4.8341281889954075</v>
      </c>
      <c r="X145" s="5375">
        <f t="shared" ref="X145" si="624">+X138-X132</f>
        <v>3.9085978702145212</v>
      </c>
      <c r="AD145" s="5375">
        <f t="shared" ref="AD145" si="625">+AD138-AD132</f>
        <v>6.8512294624480887</v>
      </c>
      <c r="AH145" s="5375">
        <f t="shared" ref="AH145" si="626">+AH138-AH132</f>
        <v>6.2526473186863996</v>
      </c>
      <c r="AL145" s="5375">
        <f t="shared" ref="AL145" si="627">+AL138-AL132</f>
        <v>3.0871346498196885</v>
      </c>
      <c r="AN145" s="5375">
        <f t="shared" ref="AN145" si="628">+AN138-AN132</f>
        <v>5.482885481953474</v>
      </c>
      <c r="AR145" s="5375">
        <f t="shared" ref="AR145" si="629">+AR138-AR132</f>
        <v>1.7926358298775256</v>
      </c>
      <c r="AV145" s="5375">
        <f t="shared" ref="AV145" si="630">+AV138-AV132</f>
        <v>9.472033429176463E-2</v>
      </c>
      <c r="AZ145" s="5375">
        <f t="shared" ref="AZ145:BB145" si="631">+AZ138-AZ132</f>
        <v>0.24789654423224761</v>
      </c>
      <c r="BB145" s="5375">
        <f t="shared" si="631"/>
        <v>0.7853150417182917</v>
      </c>
      <c r="BD145" s="5375">
        <f t="shared" ref="BD145" si="632">+BD138-BD132</f>
        <v>3.0249972724906797</v>
      </c>
      <c r="BF145" s="5375">
        <f t="shared" ref="BF145" si="633">+BF138-BF132</f>
        <v>4.5036086664363211</v>
      </c>
    </row>
    <row r="146" spans="2:68" ht="18" hidden="1" x14ac:dyDescent="0.35">
      <c r="C146" s="6254"/>
      <c r="F146" s="5375">
        <f t="shared" si="605"/>
        <v>58.826703484225391</v>
      </c>
      <c r="H146" s="5375">
        <f t="shared" si="605"/>
        <v>54.412639222741063</v>
      </c>
      <c r="L146" s="5375">
        <f t="shared" ref="L146" si="634">+L139-L133</f>
        <v>40.218554274617645</v>
      </c>
      <c r="N146" s="5375">
        <f t="shared" ref="N146" si="635">+N139-N133</f>
        <v>51.040057287334321</v>
      </c>
      <c r="P146" s="5375">
        <f t="shared" ref="P146" si="636">+P139-P133</f>
        <v>20.958980105858245</v>
      </c>
      <c r="T146" s="5375">
        <f t="shared" ref="T146" si="637">+T139-T133</f>
        <v>28.873150485933365</v>
      </c>
      <c r="X146" s="5375">
        <f t="shared" ref="X146" si="638">+X139-X133</f>
        <v>22.872936570828642</v>
      </c>
      <c r="AD146" s="5375">
        <f t="shared" ref="AD146" si="639">+AD139-AD133</f>
        <v>41.19136308382258</v>
      </c>
      <c r="AH146" s="5375">
        <f t="shared" ref="AH146" si="640">+AH139-AH133</f>
        <v>37.789018708113645</v>
      </c>
      <c r="AL146" s="5375">
        <f t="shared" ref="AL146" si="641">+AL139-AL133</f>
        <v>18.705147836432388</v>
      </c>
      <c r="AN146" s="5375">
        <f t="shared" ref="AN146" si="642">+AN139-AN133</f>
        <v>33.117241803899105</v>
      </c>
      <c r="AR146" s="5375">
        <f t="shared" ref="AR146" si="643">+AR139-AR133</f>
        <v>12.572663165866288</v>
      </c>
      <c r="AV146" s="5375">
        <f t="shared" ref="AV146" si="644">+AV139-AV133</f>
        <v>0.66260644536760083</v>
      </c>
      <c r="AZ146" s="5375">
        <f t="shared" ref="AZ146:BB146" si="645">+AZ139-AZ133</f>
        <v>1.5899834837780418</v>
      </c>
      <c r="BB146" s="5375">
        <f t="shared" si="645"/>
        <v>5.3247444129995074</v>
      </c>
      <c r="BD146" s="5375">
        <f t="shared" ref="BD146" si="646">+BD139-BD133</f>
        <v>19.313658892928288</v>
      </c>
      <c r="BF146" s="5375">
        <f t="shared" ref="BF146" si="647">+BF139-BF133</f>
        <v>28.448732227583378</v>
      </c>
    </row>
    <row r="147" spans="2:68" hidden="1" x14ac:dyDescent="0.3"/>
    <row r="148" spans="2:68" hidden="1" x14ac:dyDescent="0.3"/>
    <row r="149" spans="2:68" hidden="1" x14ac:dyDescent="0.3">
      <c r="B149" t="s">
        <v>240</v>
      </c>
      <c r="F149" s="1621">
        <f>+F98-F28</f>
        <v>0</v>
      </c>
      <c r="G149" s="1621"/>
      <c r="H149" s="1621">
        <f>+H98-H28</f>
        <v>0</v>
      </c>
      <c r="I149" s="1621">
        <f t="shared" ref="I149:BN149" si="648">+I98-I28</f>
        <v>-108970.10738765515</v>
      </c>
      <c r="J149" s="1621">
        <f t="shared" si="648"/>
        <v>0</v>
      </c>
      <c r="K149" s="1621"/>
      <c r="L149" s="1621">
        <f>+L98-L28</f>
        <v>0</v>
      </c>
      <c r="M149" s="1621"/>
      <c r="N149" s="1621">
        <f>+N98-N28</f>
        <v>0</v>
      </c>
      <c r="O149" s="1621"/>
      <c r="P149" s="1621">
        <f>+P98-P28</f>
        <v>0</v>
      </c>
      <c r="Q149" s="1621">
        <f t="shared" si="648"/>
        <v>-216876.05357035273</v>
      </c>
      <c r="R149" s="1621">
        <f t="shared" si="648"/>
        <v>0</v>
      </c>
      <c r="S149" s="1621"/>
      <c r="T149" s="1621">
        <f>+T98-T28</f>
        <v>0</v>
      </c>
      <c r="U149" s="1621">
        <f t="shared" si="648"/>
        <v>-271148.27502318879</v>
      </c>
      <c r="V149" s="1621">
        <f t="shared" si="648"/>
        <v>0</v>
      </c>
      <c r="W149" s="1621"/>
      <c r="X149" s="1621">
        <f>+X98-X28</f>
        <v>0</v>
      </c>
      <c r="Y149" s="1621"/>
      <c r="Z149" s="1621">
        <f>+Z98-Z28</f>
        <v>0</v>
      </c>
      <c r="AA149" s="1621"/>
      <c r="AB149" s="1621">
        <f>+AB98-AB28</f>
        <v>0</v>
      </c>
      <c r="AC149" s="1621"/>
      <c r="AD149" s="1621">
        <f>+AD98-AD28</f>
        <v>0</v>
      </c>
      <c r="AE149" s="1621">
        <f t="shared" si="648"/>
        <v>-356281.17141979438</v>
      </c>
      <c r="AF149" s="1621">
        <f t="shared" si="648"/>
        <v>0</v>
      </c>
      <c r="AG149" s="1621"/>
      <c r="AH149" s="1621">
        <f>+AH98-AH28</f>
        <v>-9.9999999998544808E-2</v>
      </c>
      <c r="AI149" s="1621">
        <f t="shared" si="648"/>
        <v>-409914.89614965592</v>
      </c>
      <c r="AJ149" s="1621">
        <f t="shared" si="648"/>
        <v>-9.9999999976716936E-2</v>
      </c>
      <c r="AK149" s="1621"/>
      <c r="AL149" s="1621">
        <f>+AL98-AL28</f>
        <v>0</v>
      </c>
      <c r="AM149" s="1621"/>
      <c r="AN149" s="1621">
        <f>+AN98-AN28</f>
        <v>-9.9999999976716936E-2</v>
      </c>
      <c r="AO149" s="1621">
        <f t="shared" si="648"/>
        <v>-465251.27880744956</v>
      </c>
      <c r="AP149" s="1621">
        <f t="shared" si="648"/>
        <v>-9.9999999976716936E-2</v>
      </c>
      <c r="AQ149" s="1621"/>
      <c r="AR149" s="1621">
        <f>+AR98-AR28</f>
        <v>0</v>
      </c>
      <c r="AS149" s="1621">
        <f t="shared" si="648"/>
        <v>-521438.99042920925</v>
      </c>
      <c r="AT149" s="1621">
        <f t="shared" si="648"/>
        <v>-9.9999999976716936E-2</v>
      </c>
      <c r="AU149" s="1621"/>
      <c r="AV149" s="1621">
        <f>+AV98-AV28</f>
        <v>0</v>
      </c>
      <c r="AW149" s="1621">
        <f t="shared" si="648"/>
        <v>-571667.39930320659</v>
      </c>
      <c r="AX149" s="1621">
        <f t="shared" si="648"/>
        <v>-9.9999999976716936E-2</v>
      </c>
      <c r="AY149" s="1621"/>
      <c r="AZ149" s="1621">
        <f>+AZ98-AZ28</f>
        <v>0</v>
      </c>
      <c r="BA149" s="1621"/>
      <c r="BB149" s="1621">
        <f>+BB98-BB28</f>
        <v>0</v>
      </c>
      <c r="BC149" s="1621"/>
      <c r="BD149" s="1621">
        <f>+BD98-BD28</f>
        <v>-9.9999999976716936E-2</v>
      </c>
      <c r="BE149" s="1621"/>
      <c r="BF149" s="1621">
        <f>+BF98-BF28</f>
        <v>-9.9999999976716936E-2</v>
      </c>
      <c r="BG149" s="1621">
        <f t="shared" si="648"/>
        <v>0</v>
      </c>
      <c r="BH149" s="1621">
        <f t="shared" si="648"/>
        <v>0</v>
      </c>
      <c r="BI149" s="1621">
        <f t="shared" si="648"/>
        <v>0</v>
      </c>
      <c r="BJ149" s="1621">
        <f t="shared" si="648"/>
        <v>0</v>
      </c>
      <c r="BK149" s="1621">
        <f t="shared" si="648"/>
        <v>0</v>
      </c>
      <c r="BL149" s="1621">
        <f t="shared" si="648"/>
        <v>0</v>
      </c>
      <c r="BM149" s="1621">
        <f t="shared" si="648"/>
        <v>0</v>
      </c>
      <c r="BN149" s="1621">
        <f t="shared" si="648"/>
        <v>0</v>
      </c>
      <c r="BO149" s="1621"/>
      <c r="BP149" s="1621"/>
    </row>
    <row r="150" spans="2:68" hidden="1" x14ac:dyDescent="0.3">
      <c r="B150" t="s">
        <v>25</v>
      </c>
      <c r="F150" s="2639">
        <f>+F99-F23</f>
        <v>2517.2645433436264</v>
      </c>
      <c r="H150" s="2639">
        <f>+H99-H23</f>
        <v>2830.4775637770945</v>
      </c>
      <c r="L150" s="2639">
        <f>+L99-L23</f>
        <v>2914.6049286893831</v>
      </c>
      <c r="N150" s="2639">
        <f>+N99-N23</f>
        <v>8262.3470358101185</v>
      </c>
      <c r="P150" s="2639">
        <f>+P99-P23</f>
        <v>3110.2453752321744</v>
      </c>
      <c r="T150" s="2639">
        <f>+T99-T23</f>
        <v>2964.9555260268098</v>
      </c>
      <c r="X150" s="2639">
        <f>+X99-X23</f>
        <v>3038.5962090196117</v>
      </c>
      <c r="Z150" s="2639">
        <f>+Z99-Z23</f>
        <v>9113.797110278625</v>
      </c>
      <c r="AB150" s="2639">
        <f>+AB99-AB23</f>
        <v>17376.144146088744</v>
      </c>
      <c r="AD150" s="2639">
        <f>+AD99-AD23</f>
        <v>2642.9156878018694</v>
      </c>
      <c r="AH150" s="2639">
        <f>+AH99-AH23</f>
        <v>2861</v>
      </c>
      <c r="AL150" s="2639">
        <f>+AL99-AL23</f>
        <v>3053.2796920536202</v>
      </c>
      <c r="AN150" s="2639">
        <f>+AN99-AN23</f>
        <v>8557.1953798554605</v>
      </c>
      <c r="AR150" s="2639">
        <f>+AR99-AR23</f>
        <v>3018.9099015170359</v>
      </c>
      <c r="AV150" s="2639">
        <f>+AV99-AV23</f>
        <v>2703.1006416408636</v>
      </c>
      <c r="AZ150" s="2639">
        <f>+AZ99-AZ23</f>
        <v>2958.3162883384939</v>
      </c>
      <c r="BB150" s="2639">
        <f>+BB99-BB23</f>
        <v>8680.3268314963789</v>
      </c>
      <c r="BD150" s="2639">
        <f>+BD99-BD23</f>
        <v>17237.522211351781</v>
      </c>
      <c r="BF150" s="2639">
        <f>+BF99-BF23</f>
        <v>34613.666357440874</v>
      </c>
    </row>
    <row r="151" spans="2:68" hidden="1" x14ac:dyDescent="0.3">
      <c r="B151" t="s">
        <v>915</v>
      </c>
      <c r="F151" s="2639">
        <f>+F100-F24</f>
        <v>207.77034344685217</v>
      </c>
      <c r="H151" s="2639">
        <f>+H100-H24</f>
        <v>239.27284416924522</v>
      </c>
      <c r="L151" s="2639">
        <f>+L100-L24</f>
        <v>266.65934148606902</v>
      </c>
      <c r="N151" s="2639">
        <f>+N100-N24</f>
        <v>713.70252910216732</v>
      </c>
      <c r="P151" s="2639">
        <f>+P100-P24</f>
        <v>349.73353498451979</v>
      </c>
      <c r="T151" s="2639">
        <f>+T100-T24</f>
        <v>301.83941891640825</v>
      </c>
      <c r="X151" s="2639">
        <f>+X100-X24</f>
        <v>285.91798751289934</v>
      </c>
      <c r="Z151" s="2639">
        <f>+Z100-Z24</f>
        <v>937.49094141382739</v>
      </c>
      <c r="AB151" s="2639">
        <f>+AB100-AB24</f>
        <v>1651.1934705159947</v>
      </c>
      <c r="AD151" s="2639">
        <f>+AD100-AD24</f>
        <v>196.6382210526308</v>
      </c>
      <c r="AH151" s="2639">
        <f>+AH100-AH24</f>
        <v>295</v>
      </c>
      <c r="AL151" s="2639">
        <f>+AL100-AL24</f>
        <v>286.74357925696677</v>
      </c>
      <c r="AN151" s="2639">
        <f>+AN100-AN24</f>
        <v>778.38180030959847</v>
      </c>
      <c r="AR151" s="2639">
        <f>+AR100-AR24</f>
        <v>249.31030390505657</v>
      </c>
      <c r="AV151" s="2639">
        <f>+AV100-AV24</f>
        <v>187.52923927760639</v>
      </c>
      <c r="AZ151" s="2639">
        <f>+AZ100-AZ24</f>
        <v>265.0145979360168</v>
      </c>
      <c r="BB151" s="2639">
        <f>+BB100-BB24</f>
        <v>701.85414111868158</v>
      </c>
      <c r="BD151" s="2639">
        <f>+BD100-BD24</f>
        <v>1480.2359414282837</v>
      </c>
      <c r="BF151" s="2639">
        <f>+BF100-BF24</f>
        <v>3131.429411944293</v>
      </c>
    </row>
    <row r="152" spans="2:68" hidden="1" x14ac:dyDescent="0.3">
      <c r="B152" t="s">
        <v>1882</v>
      </c>
      <c r="F152" s="2639">
        <f>+F101-F33</f>
        <v>0</v>
      </c>
      <c r="H152" s="2639">
        <f>+H101-H33</f>
        <v>0</v>
      </c>
      <c r="L152" s="2639">
        <f>+L101-L33</f>
        <v>0</v>
      </c>
      <c r="N152" s="2639">
        <f>+N101-N33</f>
        <v>0</v>
      </c>
      <c r="P152" s="2639">
        <f>+P101-P33</f>
        <v>0</v>
      </c>
      <c r="T152" s="2639">
        <f>+T101-T33</f>
        <v>0</v>
      </c>
      <c r="X152" s="2639">
        <f>+X101-X33</f>
        <v>0</v>
      </c>
      <c r="Z152" s="2639">
        <f>+Z101-Z33</f>
        <v>0</v>
      </c>
      <c r="AB152" s="2639">
        <f>+AB101-AB33</f>
        <v>0</v>
      </c>
      <c r="AD152" s="2639">
        <f>+AD101-AD33</f>
        <v>201.5</v>
      </c>
      <c r="AH152" s="2639">
        <f>+AH101-AH33</f>
        <v>22</v>
      </c>
      <c r="AL152" s="2639">
        <f>+AL101-AL33</f>
        <v>24.793601651186805</v>
      </c>
      <c r="AN152" s="2639">
        <f>+AN101-AN33</f>
        <v>248.29360165118669</v>
      </c>
      <c r="AR152" s="2639">
        <f>+AR101-AR33</f>
        <v>0</v>
      </c>
      <c r="AV152" s="2639">
        <f>+AV101-AV33</f>
        <v>0</v>
      </c>
      <c r="AZ152" s="2639">
        <f>+AZ101-AZ33</f>
        <v>0</v>
      </c>
      <c r="BB152" s="2639">
        <f>+BB101-BB33</f>
        <v>0</v>
      </c>
      <c r="BD152" s="2639">
        <f>+BD101-BD33</f>
        <v>248.29360165118669</v>
      </c>
      <c r="BF152" s="2639">
        <f>+BF101-BF33</f>
        <v>248.29360165118669</v>
      </c>
    </row>
    <row r="153" spans="2:68" hidden="1" x14ac:dyDescent="0.3">
      <c r="B153" t="s">
        <v>124</v>
      </c>
      <c r="F153" s="2639">
        <f>+F102-F25</f>
        <v>3374.7431835164825</v>
      </c>
      <c r="H153" s="2639">
        <f>+H102-H25</f>
        <v>3943.8449802197865</v>
      </c>
      <c r="L153" s="2639">
        <f>+L102-L25</f>
        <v>4014.9058747252639</v>
      </c>
      <c r="N153" s="2639">
        <f>+N102-N25</f>
        <v>11333.494038461533</v>
      </c>
      <c r="P153" s="2639">
        <f>+P102-P25</f>
        <v>3786.3774098900976</v>
      </c>
      <c r="T153" s="2639">
        <f>+T102-T25</f>
        <v>3553.064869450558</v>
      </c>
      <c r="X153" s="2639">
        <f>+X102-X25</f>
        <v>3093.2668740659428</v>
      </c>
      <c r="Z153" s="2639">
        <f>+Z102-Z25</f>
        <v>10432.709153406598</v>
      </c>
      <c r="AB153" s="2639">
        <f>+AB102-AB25</f>
        <v>21766.203191868117</v>
      </c>
      <c r="AD153" s="2639">
        <f>+AD102-AD25</f>
        <v>2518.5093824175747</v>
      </c>
      <c r="AH153" s="2639">
        <f>+AH102-AH25</f>
        <v>3299.4348351648296</v>
      </c>
      <c r="AL153" s="2639">
        <f>+AL102-AL25</f>
        <v>3255.8624406593517</v>
      </c>
      <c r="AN153" s="2639">
        <f>+AN102-AN25</f>
        <v>9073.8066582417669</v>
      </c>
      <c r="AR153" s="2639">
        <f>+AR102-AR25</f>
        <v>3143.819100659337</v>
      </c>
      <c r="AV153" s="2639">
        <f>+AV102-AV25</f>
        <v>1734.0307318681298</v>
      </c>
      <c r="AZ153" s="2639">
        <f>+AZ102-AZ25</f>
        <v>3373.3959131868105</v>
      </c>
      <c r="BB153" s="2639">
        <f>+BB102-BB25</f>
        <v>8251.2457457142737</v>
      </c>
      <c r="BD153" s="2639">
        <f>+BD102-BD25</f>
        <v>17325.052403956041</v>
      </c>
      <c r="BF153" s="2639">
        <f>+BF102-BF25</f>
        <v>39091.255595824216</v>
      </c>
    </row>
    <row r="154" spans="2:68" hidden="1" x14ac:dyDescent="0.3">
      <c r="B154" t="s">
        <v>19</v>
      </c>
      <c r="F154" s="2639">
        <f>+F103-F27</f>
        <v>0</v>
      </c>
      <c r="H154" s="2639">
        <f>+H103-H27</f>
        <v>0</v>
      </c>
      <c r="L154" s="2639">
        <f>+L103-L27</f>
        <v>0</v>
      </c>
      <c r="N154" s="2639">
        <f>+N103-N27</f>
        <v>0</v>
      </c>
      <c r="P154" s="2639">
        <f>+P103-P27</f>
        <v>0</v>
      </c>
      <c r="T154" s="2639">
        <f>+T103-T27</f>
        <v>0</v>
      </c>
      <c r="X154" s="2639">
        <f>+X103-X27</f>
        <v>0</v>
      </c>
      <c r="Z154" s="2639">
        <f>+Z103-Z27</f>
        <v>0</v>
      </c>
      <c r="AB154" s="2639">
        <f>+AB103-AB27</f>
        <v>0</v>
      </c>
      <c r="AD154" s="2639">
        <f>+AD103-AD27</f>
        <v>0</v>
      </c>
      <c r="AH154" s="2639">
        <f>+AH103-AH27</f>
        <v>0.40000000002328306</v>
      </c>
      <c r="AL154" s="2639">
        <f>+AL103-AL27</f>
        <v>0</v>
      </c>
      <c r="AN154" s="2639">
        <f>+AN103-AN27</f>
        <v>0.40000000013969839</v>
      </c>
      <c r="AR154" s="2639">
        <f>+AR103-AR27</f>
        <v>0</v>
      </c>
      <c r="AV154" s="2639">
        <f>+AV103-AV27</f>
        <v>0</v>
      </c>
      <c r="AZ154" s="2639">
        <f>+AZ103-AZ27</f>
        <v>0</v>
      </c>
      <c r="BB154" s="2639">
        <f>+BB103-BB27</f>
        <v>0</v>
      </c>
      <c r="BD154" s="2639">
        <f>+BD103-BD27</f>
        <v>0.40000000013969839</v>
      </c>
      <c r="BF154" s="2639">
        <f>+BF103-BF27</f>
        <v>0.40000000037252903</v>
      </c>
    </row>
    <row r="155" spans="2:68" hidden="1" x14ac:dyDescent="0.3">
      <c r="B155" t="s">
        <v>916</v>
      </c>
      <c r="F155" s="2639">
        <f>+F105-F29</f>
        <v>0</v>
      </c>
      <c r="H155" s="2639">
        <f>+H105-H29</f>
        <v>0</v>
      </c>
      <c r="L155" s="2639">
        <f>+L105-L29</f>
        <v>0</v>
      </c>
      <c r="N155" s="2639">
        <f>+N105-N29</f>
        <v>0</v>
      </c>
      <c r="P155" s="2639">
        <f>+P105-P29</f>
        <v>0</v>
      </c>
      <c r="T155" s="2639">
        <f>+T105-T29</f>
        <v>0</v>
      </c>
      <c r="X155" s="2639">
        <f>+X105-X29</f>
        <v>0</v>
      </c>
      <c r="Z155" s="2639">
        <f>+Z105-Z29</f>
        <v>0</v>
      </c>
      <c r="AB155" s="2639">
        <f>+AB105-AB29</f>
        <v>0</v>
      </c>
      <c r="AD155" s="2639">
        <f>+AD105-AD29</f>
        <v>0</v>
      </c>
      <c r="AH155" s="2639">
        <f>+AH105-AH29</f>
        <v>0</v>
      </c>
      <c r="AL155" s="2639">
        <f>+AL105-AL29</f>
        <v>0</v>
      </c>
      <c r="AN155" s="2639">
        <f>+AN105-AN29</f>
        <v>0</v>
      </c>
      <c r="AR155" s="2639">
        <f>+AR105-AR29</f>
        <v>0</v>
      </c>
      <c r="AV155" s="2639">
        <f>+AV105-AV29</f>
        <v>0</v>
      </c>
      <c r="AZ155" s="2639">
        <f>+AZ105-AZ29</f>
        <v>0</v>
      </c>
      <c r="BB155" s="2639">
        <f>+BB105-BB29</f>
        <v>0</v>
      </c>
      <c r="BD155" s="2639">
        <f>+BD105-BD29</f>
        <v>0</v>
      </c>
      <c r="BF155" s="2639">
        <f>+BF105-BF29</f>
        <v>0</v>
      </c>
    </row>
    <row r="156" spans="2:68" hidden="1" x14ac:dyDescent="0.3">
      <c r="B156" t="s">
        <v>6</v>
      </c>
      <c r="F156" s="2639">
        <f>+F106-F31</f>
        <v>0</v>
      </c>
      <c r="H156" s="2639">
        <f>+H106-H31</f>
        <v>0</v>
      </c>
      <c r="L156" s="2639">
        <f>+L106-L31</f>
        <v>0</v>
      </c>
      <c r="N156" s="2639">
        <f>+N106-N31</f>
        <v>0</v>
      </c>
      <c r="P156" s="2639">
        <f>+P106-P31</f>
        <v>0</v>
      </c>
      <c r="T156" s="2639">
        <f>+T106-T31</f>
        <v>0</v>
      </c>
      <c r="X156" s="2639">
        <f>+X106-X31</f>
        <v>0</v>
      </c>
      <c r="Z156" s="2639">
        <f>+Z106-Z31</f>
        <v>0</v>
      </c>
      <c r="AB156" s="2639">
        <f>+AB106-AB31</f>
        <v>0</v>
      </c>
      <c r="AD156" s="2639">
        <f>+AD106-AD31</f>
        <v>0</v>
      </c>
      <c r="AH156" s="2639">
        <f>+AH106-AH31</f>
        <v>0</v>
      </c>
      <c r="AL156" s="2639">
        <f>+AL106-AL31</f>
        <v>0</v>
      </c>
      <c r="AN156" s="2639">
        <f>+AN106-AN31</f>
        <v>0</v>
      </c>
      <c r="AR156" s="2639">
        <f>+AR106-AR31</f>
        <v>0</v>
      </c>
      <c r="AV156" s="2639">
        <f>+AV106-AV31</f>
        <v>0</v>
      </c>
      <c r="AZ156" s="2639">
        <f>+AZ106-AZ31</f>
        <v>0</v>
      </c>
      <c r="BB156" s="2639">
        <f>+BB106-BB31</f>
        <v>0</v>
      </c>
      <c r="BD156" s="2639">
        <f>+BD106-BD31</f>
        <v>0</v>
      </c>
      <c r="BF156" s="2639">
        <f>+BF106-BF31</f>
        <v>0</v>
      </c>
    </row>
    <row r="157" spans="2:68" hidden="1" x14ac:dyDescent="0.3">
      <c r="B157" t="s">
        <v>1289</v>
      </c>
      <c r="F157" s="2639">
        <f>+F107-F30</f>
        <v>0</v>
      </c>
      <c r="H157" s="2639">
        <f>+H107-H30</f>
        <v>0</v>
      </c>
      <c r="L157" s="2639">
        <f>+L107-L30</f>
        <v>0</v>
      </c>
      <c r="N157" s="2639">
        <f>+N107-N30</f>
        <v>0</v>
      </c>
      <c r="P157" s="2639">
        <f>+P107-P30</f>
        <v>0</v>
      </c>
      <c r="T157" s="2639">
        <f>+T107-T30</f>
        <v>0</v>
      </c>
      <c r="X157" s="2639">
        <f>+X107-X30</f>
        <v>0</v>
      </c>
      <c r="Z157" s="2639">
        <f>+Z107-Z30</f>
        <v>0</v>
      </c>
      <c r="AB157" s="2639">
        <f>+AB107-AB30</f>
        <v>0</v>
      </c>
      <c r="AD157" s="2639">
        <f>+AD107-AD30</f>
        <v>0</v>
      </c>
      <c r="AH157" s="2639">
        <f>+AH107-AH30</f>
        <v>-0.16999999999825377</v>
      </c>
      <c r="AL157" s="2639">
        <f>+AL107-AL30</f>
        <v>0</v>
      </c>
      <c r="AN157" s="2639">
        <f>+AN107-AN30</f>
        <v>-0.17000000001280569</v>
      </c>
      <c r="AR157" s="2639">
        <f>+AR107-AR30</f>
        <v>0</v>
      </c>
      <c r="AV157" s="2639">
        <f>+AV107-AV30</f>
        <v>0</v>
      </c>
      <c r="AZ157" s="2639">
        <f>+AZ107-AZ30</f>
        <v>0</v>
      </c>
      <c r="BB157" s="2639">
        <f>+BB107-BB30</f>
        <v>0</v>
      </c>
      <c r="BD157" s="2639">
        <f>+BD107-BD30</f>
        <v>-0.17000000004190952</v>
      </c>
      <c r="BF157" s="2639">
        <f>+BF107-BF30</f>
        <v>-0.16999999992549419</v>
      </c>
    </row>
    <row r="158" spans="2:68" hidden="1" x14ac:dyDescent="0.3"/>
    <row r="159" spans="2:68" hidden="1" x14ac:dyDescent="0.3"/>
  </sheetData>
  <mergeCells count="32">
    <mergeCell ref="C116:C126"/>
    <mergeCell ref="C127:C146"/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</mergeCells>
  <printOptions horizontalCentered="1" verticalCentered="1"/>
  <pageMargins left="0" right="0" top="0" bottom="0" header="0" footer="0"/>
  <pageSetup scale="4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2" tint="-0.499984740745262"/>
    <pageSetUpPr fitToPage="1"/>
  </sheetPr>
  <dimension ref="A1:BS505"/>
  <sheetViews>
    <sheetView zoomScale="110" zoomScaleNormal="110" workbookViewId="0">
      <pane xSplit="4" topLeftCell="E1" activePane="topRight" state="frozen"/>
      <selection pane="topRight" activeCell="B5" sqref="B5"/>
    </sheetView>
  </sheetViews>
  <sheetFormatPr defaultColWidth="9.109375" defaultRowHeight="21" customHeight="1" x14ac:dyDescent="0.25"/>
  <cols>
    <col min="1" max="1" width="2.6640625" style="4" customWidth="1"/>
    <col min="2" max="2" width="57.44140625" style="4" bestFit="1" customWidth="1"/>
    <col min="3" max="3" width="12.6640625" style="4" bestFit="1" customWidth="1"/>
    <col min="4" max="4" width="13.6640625" style="3235" customWidth="1"/>
    <col min="5" max="5" width="9.44140625" style="109" customWidth="1"/>
    <col min="6" max="6" width="22.88671875" style="44" customWidth="1"/>
    <col min="7" max="7" width="9.44140625" style="109" customWidth="1"/>
    <col min="8" max="8" width="22.88671875" style="44" customWidth="1"/>
    <col min="9" max="9" width="9.44140625" style="109" hidden="1" customWidth="1"/>
    <col min="10" max="10" width="23.88671875" style="44" hidden="1" customWidth="1"/>
    <col min="11" max="11" width="9.44140625" style="3236" customWidth="1"/>
    <col min="12" max="12" width="23.88671875" style="4" customWidth="1"/>
    <col min="13" max="13" width="9.44140625" style="109" customWidth="1"/>
    <col min="14" max="14" width="20.44140625" style="4" customWidth="1"/>
    <col min="15" max="15" width="9.44140625" style="3236" customWidth="1"/>
    <col min="16" max="16" width="20.6640625" style="4" customWidth="1"/>
    <col min="17" max="17" width="9.44140625" style="109" hidden="1" customWidth="1"/>
    <col min="18" max="18" width="17.33203125" style="4" hidden="1" customWidth="1"/>
    <col min="19" max="19" width="14.88671875" style="4" customWidth="1"/>
    <col min="20" max="20" width="18" style="4" customWidth="1"/>
    <col min="21" max="21" width="10.44140625" style="4" hidden="1" customWidth="1"/>
    <col min="22" max="22" width="17.6640625" style="4" hidden="1" customWidth="1"/>
    <col min="23" max="23" width="9.44140625" style="44" customWidth="1"/>
    <col min="24" max="24" width="18.109375" style="4" customWidth="1"/>
    <col min="25" max="25" width="12.109375" style="4" customWidth="1"/>
    <col min="26" max="26" width="18.109375" style="4" customWidth="1"/>
    <col min="27" max="27" width="10.44140625" style="4" customWidth="1"/>
    <col min="28" max="28" width="18.109375" style="4" customWidth="1"/>
    <col min="29" max="29" width="9.44140625" style="4" customWidth="1"/>
    <col min="30" max="30" width="26.109375" style="4" customWidth="1"/>
    <col min="31" max="31" width="10.44140625" style="4" hidden="1" customWidth="1"/>
    <col min="32" max="32" width="14.6640625" style="4" hidden="1" customWidth="1"/>
    <col min="33" max="33" width="9.44140625" style="4" customWidth="1"/>
    <col min="34" max="34" width="18.109375" style="4" customWidth="1"/>
    <col min="35" max="35" width="10.44140625" style="4" hidden="1" customWidth="1"/>
    <col min="36" max="36" width="32" style="4" hidden="1" customWidth="1"/>
    <col min="37" max="37" width="9.44140625" style="4" customWidth="1"/>
    <col min="38" max="38" width="18.109375" style="4" customWidth="1"/>
    <col min="39" max="39" width="9.44140625" style="4" customWidth="1"/>
    <col min="40" max="40" width="19.33203125" style="4" customWidth="1"/>
    <col min="41" max="41" width="10.44140625" style="4" hidden="1" customWidth="1"/>
    <col min="42" max="42" width="18.109375" style="4" hidden="1" customWidth="1"/>
    <col min="43" max="43" width="10.109375" style="4" customWidth="1"/>
    <col min="44" max="44" width="14.109375" style="4" customWidth="1"/>
    <col min="45" max="45" width="11.109375" style="4" hidden="1" customWidth="1"/>
    <col min="46" max="46" width="13.5546875" style="4" hidden="1" customWidth="1"/>
    <col min="47" max="47" width="12.88671875" style="4" customWidth="1"/>
    <col min="48" max="48" width="12.109375" style="4" customWidth="1"/>
    <col min="49" max="49" width="10.33203125" style="4" hidden="1" customWidth="1"/>
    <col min="50" max="50" width="17.88671875" style="4" hidden="1" customWidth="1"/>
    <col min="51" max="51" width="9.33203125" style="4" bestFit="1" customWidth="1"/>
    <col min="52" max="52" width="12" style="4" customWidth="1"/>
    <col min="53" max="53" width="9.33203125" style="4" bestFit="1" customWidth="1"/>
    <col min="54" max="54" width="11.6640625" style="4" customWidth="1"/>
    <col min="55" max="55" width="10.44140625" style="4" customWidth="1"/>
    <col min="56" max="56" width="10" style="4" customWidth="1"/>
    <col min="57" max="57" width="10.33203125" style="4" bestFit="1" customWidth="1"/>
    <col min="58" max="58" width="28.5546875" style="4" bestFit="1" customWidth="1"/>
    <col min="59" max="59" width="9.109375" style="3564" hidden="1" customWidth="1"/>
    <col min="60" max="60" width="11.88671875" style="4" hidden="1" customWidth="1"/>
    <col min="61" max="61" width="10.109375" style="4" hidden="1" customWidth="1"/>
    <col min="62" max="62" width="9.6640625" style="4" hidden="1" customWidth="1"/>
    <col min="63" max="78" width="0" style="4" hidden="1" customWidth="1"/>
    <col min="79" max="16384" width="9.109375" style="4"/>
  </cols>
  <sheetData>
    <row r="1" spans="1:66" ht="13.8" x14ac:dyDescent="0.25">
      <c r="B1" s="3237" t="s">
        <v>263</v>
      </c>
      <c r="C1" s="3238" t="s">
        <v>582</v>
      </c>
      <c r="D1" s="3238"/>
      <c r="E1" s="636"/>
      <c r="F1" s="199"/>
      <c r="G1" s="199"/>
      <c r="H1" s="199"/>
      <c r="I1" s="199"/>
      <c r="J1" s="199"/>
      <c r="K1" s="636"/>
      <c r="L1" s="199"/>
      <c r="M1" s="199"/>
      <c r="N1" s="199"/>
      <c r="O1" s="636"/>
      <c r="P1" s="44"/>
      <c r="Q1" s="199"/>
      <c r="R1" s="199"/>
      <c r="S1" s="594"/>
      <c r="T1" s="44"/>
      <c r="U1" s="44"/>
      <c r="V1" s="44"/>
      <c r="X1" s="44"/>
      <c r="Y1" s="44"/>
      <c r="Z1" s="44"/>
      <c r="AA1" s="44"/>
      <c r="AB1" s="44"/>
      <c r="AZ1" s="4">
        <f>2297+538</f>
        <v>2835</v>
      </c>
    </row>
    <row r="2" spans="1:66" ht="14.4" thickBot="1" x14ac:dyDescent="0.3">
      <c r="B2" s="44"/>
      <c r="C2" s="44" t="s">
        <v>1775</v>
      </c>
      <c r="D2" s="3239">
        <v>365</v>
      </c>
      <c r="E2" s="199">
        <v>30</v>
      </c>
      <c r="F2" s="199">
        <v>30</v>
      </c>
      <c r="G2" s="199">
        <v>31</v>
      </c>
      <c r="H2" s="199">
        <v>31</v>
      </c>
      <c r="I2" s="199">
        <f>+E2+G2</f>
        <v>61</v>
      </c>
      <c r="J2" s="199">
        <f>+F2+H2</f>
        <v>61</v>
      </c>
      <c r="K2" s="636">
        <v>30</v>
      </c>
      <c r="L2" s="199">
        <v>30</v>
      </c>
      <c r="M2" s="199">
        <f>+I2+K2</f>
        <v>91</v>
      </c>
      <c r="N2" s="199">
        <f>+J2+L2</f>
        <v>91</v>
      </c>
      <c r="O2" s="636">
        <v>31</v>
      </c>
      <c r="P2" s="199">
        <v>31</v>
      </c>
      <c r="Q2" s="199">
        <f>+M2+O2</f>
        <v>122</v>
      </c>
      <c r="R2" s="199">
        <f>+N2+P2</f>
        <v>122</v>
      </c>
      <c r="S2" s="199">
        <v>31</v>
      </c>
      <c r="T2" s="199">
        <v>31</v>
      </c>
      <c r="U2" s="199">
        <f>+Q2+S2</f>
        <v>153</v>
      </c>
      <c r="V2" s="199">
        <f>+R2+T2</f>
        <v>153</v>
      </c>
      <c r="W2" s="199">
        <v>30</v>
      </c>
      <c r="X2" s="199">
        <v>30</v>
      </c>
      <c r="Y2" s="199">
        <f>O2+S2+W2</f>
        <v>92</v>
      </c>
      <c r="Z2" s="199">
        <f>P2+T2+X2</f>
        <v>92</v>
      </c>
      <c r="AA2" s="199">
        <f>+U2+W2</f>
        <v>183</v>
      </c>
      <c r="AB2" s="199">
        <f>+V2+X2</f>
        <v>183</v>
      </c>
      <c r="AC2" s="199">
        <v>31</v>
      </c>
      <c r="AD2" s="199">
        <v>31</v>
      </c>
      <c r="AE2" s="199">
        <f>+AA2+AC2</f>
        <v>214</v>
      </c>
      <c r="AF2" s="199">
        <f>+AB2+AD2</f>
        <v>214</v>
      </c>
      <c r="AG2" s="199">
        <v>30</v>
      </c>
      <c r="AH2" s="199">
        <v>30</v>
      </c>
      <c r="AI2" s="199">
        <f>+AE2+AG2</f>
        <v>244</v>
      </c>
      <c r="AJ2" s="199">
        <f>+AF2+AH2</f>
        <v>244</v>
      </c>
      <c r="AK2" s="199">
        <v>31</v>
      </c>
      <c r="AL2" s="199">
        <v>31</v>
      </c>
      <c r="AM2" s="199">
        <f>AC2+AG2+AK2</f>
        <v>92</v>
      </c>
      <c r="AN2" s="199">
        <f>AD2+AH2+AL2</f>
        <v>92</v>
      </c>
      <c r="AO2" s="199">
        <f>AI2+AK2</f>
        <v>275</v>
      </c>
      <c r="AP2" s="199">
        <f>AJ2+AL2</f>
        <v>275</v>
      </c>
      <c r="AQ2" s="199">
        <v>31</v>
      </c>
      <c r="AR2" s="199">
        <v>31</v>
      </c>
      <c r="AS2" s="199">
        <f>+AO2+AQ2</f>
        <v>306</v>
      </c>
      <c r="AT2" s="199">
        <f>+AP2+AR2</f>
        <v>306</v>
      </c>
      <c r="AU2" s="199">
        <v>28</v>
      </c>
      <c r="AV2" s="199">
        <v>28</v>
      </c>
      <c r="AW2" s="199">
        <f>+AS2+AU2</f>
        <v>334</v>
      </c>
      <c r="AX2" s="199">
        <f>+AT2+AV2</f>
        <v>334</v>
      </c>
      <c r="AY2" s="199">
        <v>31</v>
      </c>
      <c r="AZ2" s="199">
        <v>31</v>
      </c>
      <c r="BA2" s="199">
        <f>AQ2+AU2+AY2</f>
        <v>90</v>
      </c>
      <c r="BB2" s="199">
        <f>AR2+AV2+AZ2</f>
        <v>90</v>
      </c>
      <c r="BC2" s="199">
        <f>+AM2+BA2</f>
        <v>182</v>
      </c>
      <c r="BD2" s="199">
        <f>+AN2+BB2</f>
        <v>182</v>
      </c>
      <c r="BE2" s="199">
        <f>+AW2+AY2</f>
        <v>365</v>
      </c>
      <c r="BF2" s="199">
        <f>+AX2+AZ2</f>
        <v>365</v>
      </c>
    </row>
    <row r="3" spans="1:66" ht="13.8" x14ac:dyDescent="0.25">
      <c r="B3" s="5874" t="s">
        <v>171</v>
      </c>
      <c r="C3" s="6295" t="s">
        <v>172</v>
      </c>
      <c r="D3" s="5876" t="s">
        <v>1963</v>
      </c>
      <c r="E3" s="5918" t="s">
        <v>1962</v>
      </c>
      <c r="F3" s="5918"/>
      <c r="G3" s="5918" t="s">
        <v>2013</v>
      </c>
      <c r="H3" s="5918"/>
      <c r="I3" s="5879" t="s">
        <v>14</v>
      </c>
      <c r="J3" s="5879"/>
      <c r="K3" s="5918" t="s">
        <v>2043</v>
      </c>
      <c r="L3" s="5918"/>
      <c r="M3" s="5886" t="s">
        <v>637</v>
      </c>
      <c r="N3" s="5886"/>
      <c r="O3" s="6256" t="s">
        <v>2066</v>
      </c>
      <c r="P3" s="6256"/>
      <c r="Q3" s="5879" t="s">
        <v>17</v>
      </c>
      <c r="R3" s="5879"/>
      <c r="S3" s="6256" t="s">
        <v>2068</v>
      </c>
      <c r="T3" s="6256"/>
      <c r="U3" s="5879" t="s">
        <v>18</v>
      </c>
      <c r="V3" s="5879"/>
      <c r="W3" s="6256" t="s">
        <v>2110</v>
      </c>
      <c r="X3" s="6256"/>
      <c r="Y3" s="5886" t="s">
        <v>660</v>
      </c>
      <c r="Z3" s="5886"/>
      <c r="AA3" s="5905" t="s">
        <v>657</v>
      </c>
      <c r="AB3" s="5905"/>
      <c r="AC3" s="6256" t="s">
        <v>2135</v>
      </c>
      <c r="AD3" s="6256"/>
      <c r="AE3" s="5879" t="s">
        <v>24</v>
      </c>
      <c r="AF3" s="5879"/>
      <c r="AG3" s="6256" t="s">
        <v>2238</v>
      </c>
      <c r="AH3" s="6256"/>
      <c r="AI3" s="5879" t="s">
        <v>27</v>
      </c>
      <c r="AJ3" s="5879"/>
      <c r="AK3" s="6256" t="s">
        <v>2262</v>
      </c>
      <c r="AL3" s="6256"/>
      <c r="AM3" s="5886" t="s">
        <v>662</v>
      </c>
      <c r="AN3" s="5886"/>
      <c r="AO3" s="5879" t="s">
        <v>1613</v>
      </c>
      <c r="AP3" s="5879"/>
      <c r="AQ3" s="6256" t="s">
        <v>2274</v>
      </c>
      <c r="AR3" s="6256"/>
      <c r="AS3" s="5879" t="s">
        <v>28</v>
      </c>
      <c r="AT3" s="5879"/>
      <c r="AU3" s="6256" t="s">
        <v>2311</v>
      </c>
      <c r="AV3" s="6256"/>
      <c r="AW3" s="5879" t="s">
        <v>30</v>
      </c>
      <c r="AX3" s="5879"/>
      <c r="AY3" s="6256" t="s">
        <v>2329</v>
      </c>
      <c r="AZ3" s="6256"/>
      <c r="BA3" s="5886" t="s">
        <v>663</v>
      </c>
      <c r="BB3" s="5886"/>
      <c r="BC3" s="5905" t="s">
        <v>670</v>
      </c>
      <c r="BD3" s="5905"/>
      <c r="BE3" s="5879" t="s">
        <v>2041</v>
      </c>
      <c r="BF3" s="5895"/>
    </row>
    <row r="4" spans="1:66" ht="14.4" thickBot="1" x14ac:dyDescent="0.3">
      <c r="B4" s="5875"/>
      <c r="C4" s="6296"/>
      <c r="D4" s="6297"/>
      <c r="E4" s="3108" t="s">
        <v>173</v>
      </c>
      <c r="F4" s="3108" t="s">
        <v>174</v>
      </c>
      <c r="G4" s="3108" t="s">
        <v>173</v>
      </c>
      <c r="H4" s="3108" t="s">
        <v>174</v>
      </c>
      <c r="I4" s="3109" t="s">
        <v>173</v>
      </c>
      <c r="J4" s="3109" t="s">
        <v>174</v>
      </c>
      <c r="K4" s="3111" t="s">
        <v>173</v>
      </c>
      <c r="L4" s="3108" t="s">
        <v>174</v>
      </c>
      <c r="M4" s="3240" t="s">
        <v>173</v>
      </c>
      <c r="N4" s="3240" t="s">
        <v>174</v>
      </c>
      <c r="O4" s="3111" t="s">
        <v>173</v>
      </c>
      <c r="P4" s="3108" t="s">
        <v>174</v>
      </c>
      <c r="Q4" s="3109" t="s">
        <v>173</v>
      </c>
      <c r="R4" s="3109" t="s">
        <v>174</v>
      </c>
      <c r="S4" s="3111" t="s">
        <v>173</v>
      </c>
      <c r="T4" s="3108" t="s">
        <v>174</v>
      </c>
      <c r="U4" s="3109" t="s">
        <v>173</v>
      </c>
      <c r="V4" s="3109" t="s">
        <v>174</v>
      </c>
      <c r="W4" s="3111" t="s">
        <v>173</v>
      </c>
      <c r="X4" s="3108" t="s">
        <v>174</v>
      </c>
      <c r="Y4" s="3240" t="s">
        <v>173</v>
      </c>
      <c r="Z4" s="3240" t="s">
        <v>174</v>
      </c>
      <c r="AA4" s="3241" t="s">
        <v>173</v>
      </c>
      <c r="AB4" s="3241" t="s">
        <v>174</v>
      </c>
      <c r="AC4" s="3111" t="s">
        <v>173</v>
      </c>
      <c r="AD4" s="3108" t="s">
        <v>174</v>
      </c>
      <c r="AE4" s="3109" t="s">
        <v>173</v>
      </c>
      <c r="AF4" s="3109" t="s">
        <v>174</v>
      </c>
      <c r="AG4" s="3111" t="s">
        <v>173</v>
      </c>
      <c r="AH4" s="3108" t="s">
        <v>174</v>
      </c>
      <c r="AI4" s="3109" t="s">
        <v>173</v>
      </c>
      <c r="AJ4" s="3109" t="s">
        <v>174</v>
      </c>
      <c r="AK4" s="3111" t="s">
        <v>173</v>
      </c>
      <c r="AL4" s="3108" t="s">
        <v>174</v>
      </c>
      <c r="AM4" s="3240" t="s">
        <v>173</v>
      </c>
      <c r="AN4" s="3240" t="s">
        <v>174</v>
      </c>
      <c r="AO4" s="3109" t="s">
        <v>173</v>
      </c>
      <c r="AP4" s="3109" t="s">
        <v>174</v>
      </c>
      <c r="AQ4" s="3111" t="s">
        <v>173</v>
      </c>
      <c r="AR4" s="3108" t="s">
        <v>174</v>
      </c>
      <c r="AS4" s="3109" t="s">
        <v>173</v>
      </c>
      <c r="AT4" s="3109" t="s">
        <v>174</v>
      </c>
      <c r="AU4" s="3111" t="s">
        <v>173</v>
      </c>
      <c r="AV4" s="3108" t="s">
        <v>174</v>
      </c>
      <c r="AW4" s="3109" t="s">
        <v>173</v>
      </c>
      <c r="AX4" s="3109" t="s">
        <v>174</v>
      </c>
      <c r="AY4" s="3111" t="s">
        <v>173</v>
      </c>
      <c r="AZ4" s="3108" t="s">
        <v>174</v>
      </c>
      <c r="BA4" s="3240" t="s">
        <v>173</v>
      </c>
      <c r="BB4" s="3240" t="s">
        <v>174</v>
      </c>
      <c r="BC4" s="3241" t="s">
        <v>173</v>
      </c>
      <c r="BD4" s="3241" t="s">
        <v>174</v>
      </c>
      <c r="BE4" s="3109" t="s">
        <v>173</v>
      </c>
      <c r="BF4" s="905" t="s">
        <v>174</v>
      </c>
    </row>
    <row r="5" spans="1:66" ht="14.4" thickBot="1" x14ac:dyDescent="0.3">
      <c r="A5" s="1257"/>
      <c r="B5" s="3242" t="s">
        <v>269</v>
      </c>
      <c r="C5" s="3243" t="s">
        <v>50</v>
      </c>
      <c r="D5" s="3244">
        <v>2770018.8857412655</v>
      </c>
      <c r="E5" s="3245">
        <f>+'Maj Production Summ'!E18</f>
        <v>237110.48158640199</v>
      </c>
      <c r="F5" s="3245">
        <f>+'Maj Production Summ'!F18</f>
        <v>207020</v>
      </c>
      <c r="G5" s="3245">
        <f>+'Maj Production Summ'!G18</f>
        <v>244664.77809253999</v>
      </c>
      <c r="H5" s="3245">
        <f>+'Maj Production Summ'!H18</f>
        <v>236638</v>
      </c>
      <c r="I5" s="3245">
        <f>+'Maj Production Summ'!I18</f>
        <v>481775.25967894198</v>
      </c>
      <c r="J5" s="3245">
        <f>+'Maj Production Summ'!J18</f>
        <v>443658</v>
      </c>
      <c r="K5" s="3245">
        <f>+'Maj Production Summ'!K18</f>
        <v>237110.48158640199</v>
      </c>
      <c r="L5" s="3245">
        <f>+'Maj Production Summ'!L18</f>
        <v>243453</v>
      </c>
      <c r="M5" s="3245">
        <f>+'Maj Production Summ'!M18</f>
        <v>718885.74126534397</v>
      </c>
      <c r="N5" s="3245">
        <f>+'Maj Production Summ'!N18</f>
        <v>687111</v>
      </c>
      <c r="O5" s="3245">
        <f>+'Maj Production Summ'!O18</f>
        <v>239943.34277620399</v>
      </c>
      <c r="P5" s="3245">
        <f>+'Maj Production Summ'!P18</f>
        <v>253662</v>
      </c>
      <c r="Q5" s="3245">
        <f>+'Maj Production Summ'!Q18</f>
        <v>958829.08404154796</v>
      </c>
      <c r="R5" s="3245">
        <f>+'Maj Production Summ'!R18</f>
        <v>940773</v>
      </c>
      <c r="S5" s="3245">
        <f>+'Maj Production Summ'!S18</f>
        <v>239943.34277620399</v>
      </c>
      <c r="T5" s="3245">
        <f>+'Maj Production Summ'!T18</f>
        <v>237622</v>
      </c>
      <c r="U5" s="3245">
        <f>+'Maj Production Summ'!U18</f>
        <v>1198772.426817752</v>
      </c>
      <c r="V5" s="3245">
        <f>+'Maj Production Summ'!V18</f>
        <v>1178395</v>
      </c>
      <c r="W5" s="3245">
        <f>+'Maj Production Summ'!W18</f>
        <v>125920.679886686</v>
      </c>
      <c r="X5" s="3245">
        <f>+'Maj Production Summ'!X18</f>
        <v>226847</v>
      </c>
      <c r="Y5" s="3245">
        <f>+'Maj Production Summ'!Y18</f>
        <v>605807.36543909402</v>
      </c>
      <c r="Z5" s="3245">
        <f>+'Maj Production Summ'!Z18</f>
        <v>718131</v>
      </c>
      <c r="AA5" s="3245">
        <f>+'Maj Production Summ'!AA18</f>
        <v>1324693.1067044381</v>
      </c>
      <c r="AB5" s="3245">
        <f>+'Maj Production Summ'!AB18</f>
        <v>1405242</v>
      </c>
      <c r="AC5" s="3245">
        <f>+'Maj Production Summ'!AC18</f>
        <v>244664.77809253999</v>
      </c>
      <c r="AD5" s="3245">
        <f>+'Maj Production Summ'!AD18</f>
        <v>179201</v>
      </c>
      <c r="AE5" s="3245">
        <f>+'Maj Production Summ'!AE18</f>
        <v>1569357.884796978</v>
      </c>
      <c r="AF5" s="3245">
        <f>+'Maj Production Summ'!AF18</f>
        <v>1584443</v>
      </c>
      <c r="AG5" s="3245">
        <f>+'Maj Production Summ'!AG18</f>
        <v>237110.48158640199</v>
      </c>
      <c r="AH5" s="3245">
        <f>+'Maj Production Summ'!AH18</f>
        <v>229502</v>
      </c>
      <c r="AI5" s="3245">
        <f>+'Maj Production Summ'!AI18</f>
        <v>1806468.36638338</v>
      </c>
      <c r="AJ5" s="3245">
        <f>+'Maj Production Summ'!AJ18</f>
        <v>1813945</v>
      </c>
      <c r="AK5" s="3245">
        <f>+'Maj Production Summ'!AK18</f>
        <v>244664.77809253999</v>
      </c>
      <c r="AL5" s="3245">
        <f>+'Maj Production Summ'!AL18</f>
        <v>234365</v>
      </c>
      <c r="AM5" s="3245">
        <f>+'Maj Production Summ'!AM18</f>
        <v>726440.03777148202</v>
      </c>
      <c r="AN5" s="3245">
        <f>+'Maj Production Summ'!AN18</f>
        <v>643068</v>
      </c>
      <c r="AO5" s="3245">
        <f>+'Maj Production Summ'!AO18</f>
        <v>2051133.1444759201</v>
      </c>
      <c r="AP5" s="3245">
        <f>+'Maj Production Summ'!AP18</f>
        <v>2048310</v>
      </c>
      <c r="AQ5" s="3245">
        <f>+'Maj Production Summ'!AQ18</f>
        <v>248441.92634560907</v>
      </c>
      <c r="AR5" s="3245">
        <f>+'Maj Production Summ'!AR18</f>
        <v>228047</v>
      </c>
      <c r="AS5" s="3245">
        <f>+'Maj Production Summ'!AS18</f>
        <v>2299575.0708215293</v>
      </c>
      <c r="AT5" s="3245">
        <f>+'Maj Production Summ'!AT18</f>
        <v>2276357</v>
      </c>
      <c r="AU5" s="3245">
        <f>+'Maj Production Summ'!AU18</f>
        <v>222001.88857412653</v>
      </c>
      <c r="AV5" s="3245">
        <f>+'Maj Production Summ'!AV18</f>
        <v>185016</v>
      </c>
      <c r="AW5" s="3245">
        <f>+'Maj Production Summ'!AW18</f>
        <v>2521576.9593956559</v>
      </c>
      <c r="AX5" s="3245">
        <f>+'Maj Production Summ'!AX18</f>
        <v>2461373</v>
      </c>
      <c r="AY5" s="3245">
        <f>+'Maj Production Summ'!AY18</f>
        <v>248441.92634560907</v>
      </c>
      <c r="AZ5" s="3245">
        <f>+'Maj Production Summ'!AZ18</f>
        <v>241240</v>
      </c>
      <c r="BA5" s="3245">
        <f>+'Maj Production Summ'!BA18</f>
        <v>718885.74126534467</v>
      </c>
      <c r="BB5" s="3245">
        <f>+'Maj Production Summ'!BB18</f>
        <v>654303</v>
      </c>
      <c r="BC5" s="3245">
        <f>+'Maj Production Summ'!BC18</f>
        <v>1445325.7790368267</v>
      </c>
      <c r="BD5" s="3245">
        <f>+'Maj Production Summ'!BD18</f>
        <v>1297371</v>
      </c>
      <c r="BE5" s="3245">
        <f>+'Maj Production Summ'!BE18</f>
        <v>2770018.885741265</v>
      </c>
      <c r="BF5" s="3246">
        <f>+'Maj Production Summ'!BF18</f>
        <v>2702613</v>
      </c>
      <c r="BG5" s="2446"/>
      <c r="BH5" s="2446"/>
      <c r="BI5" s="2445"/>
      <c r="BJ5" s="2445"/>
      <c r="BK5" s="3564"/>
      <c r="BL5" s="2445"/>
      <c r="BM5" s="3564"/>
      <c r="BN5" s="3564"/>
    </row>
    <row r="6" spans="1:66" ht="13.8" x14ac:dyDescent="0.25">
      <c r="A6" s="1257"/>
      <c r="B6" s="3247" t="s">
        <v>497</v>
      </c>
      <c r="C6" s="883"/>
      <c r="D6" s="882"/>
      <c r="E6" s="3248"/>
      <c r="F6" s="3248"/>
      <c r="G6" s="3248"/>
      <c r="H6" s="3248"/>
      <c r="I6" s="3248"/>
      <c r="J6" s="3248"/>
      <c r="K6" s="3248"/>
      <c r="L6" s="3248"/>
      <c r="M6" s="3248"/>
      <c r="N6" s="3248"/>
      <c r="O6" s="3248"/>
      <c r="P6" s="3248"/>
      <c r="Q6" s="3248"/>
      <c r="R6" s="3248"/>
      <c r="S6" s="3248"/>
      <c r="T6" s="3248"/>
      <c r="U6" s="3248"/>
      <c r="V6" s="3248"/>
      <c r="W6" s="3248"/>
      <c r="X6" s="3248"/>
      <c r="Y6" s="3248"/>
      <c r="Z6" s="3248"/>
      <c r="AA6" s="3248"/>
      <c r="AB6" s="3248"/>
      <c r="AC6" s="3248"/>
      <c r="AD6" s="3248"/>
      <c r="AE6" s="3248"/>
      <c r="AF6" s="3248"/>
      <c r="AG6" s="3248"/>
      <c r="AH6" s="3248"/>
      <c r="AI6" s="3248"/>
      <c r="AJ6" s="3248"/>
      <c r="AK6" s="3248"/>
      <c r="AL6" s="3248"/>
      <c r="AM6" s="3248"/>
      <c r="AN6" s="3248"/>
      <c r="AO6" s="3248"/>
      <c r="AP6" s="3248"/>
      <c r="AQ6" s="3248"/>
      <c r="AR6" s="3248"/>
      <c r="AS6" s="3248"/>
      <c r="AT6" s="3248"/>
      <c r="AU6" s="3248"/>
      <c r="AV6" s="3248"/>
      <c r="AW6" s="3248"/>
      <c r="AX6" s="3248"/>
      <c r="AY6" s="3248"/>
      <c r="AZ6" s="3248"/>
      <c r="BA6" s="3248"/>
      <c r="BB6" s="3248"/>
      <c r="BC6" s="3248"/>
      <c r="BD6" s="3248"/>
      <c r="BE6" s="3248"/>
      <c r="BF6" s="2448"/>
      <c r="BG6" s="2445"/>
      <c r="BH6" s="2445"/>
      <c r="BI6" s="2445"/>
      <c r="BJ6" s="2445"/>
      <c r="BK6" s="3564"/>
      <c r="BL6" s="2445"/>
      <c r="BM6" s="3564"/>
      <c r="BN6" s="3564"/>
    </row>
    <row r="7" spans="1:66" ht="13.8" x14ac:dyDescent="0.25">
      <c r="A7" s="6290"/>
      <c r="B7" s="8" t="s">
        <v>264</v>
      </c>
      <c r="C7" s="2803" t="s">
        <v>175</v>
      </c>
      <c r="D7" s="6298">
        <f>+(D5/D52)</f>
        <v>18466.792571608436</v>
      </c>
      <c r="E7" s="6257">
        <f>+(E5/E52)</f>
        <v>1580.7365439093467</v>
      </c>
      <c r="F7" s="2862">
        <v>552</v>
      </c>
      <c r="G7" s="6257">
        <f>+(G5/G52)</f>
        <v>1631.0985206169332</v>
      </c>
      <c r="H7" s="2862">
        <v>584</v>
      </c>
      <c r="I7" s="6259">
        <f>+(I5/I52)</f>
        <v>3211.8350645262799</v>
      </c>
      <c r="J7" s="2882">
        <f>+F7+H7</f>
        <v>1136</v>
      </c>
      <c r="K7" s="6257">
        <f>+(K5/K52)</f>
        <v>1580.7365439093467</v>
      </c>
      <c r="L7" s="2862">
        <v>451</v>
      </c>
      <c r="M7" s="6277">
        <f>+(M5/M52)</f>
        <v>4792.5716084356263</v>
      </c>
      <c r="N7" s="3249">
        <f>+L7+H7+F7</f>
        <v>1587</v>
      </c>
      <c r="O7" s="6257">
        <f>+(O5/O52)</f>
        <v>1599.6222851746934</v>
      </c>
      <c r="P7" s="2862">
        <v>529</v>
      </c>
      <c r="Q7" s="6259">
        <f>+(Q5/Q52)</f>
        <v>6392.1938936103197</v>
      </c>
      <c r="R7" s="2882">
        <f>+N7+P7</f>
        <v>2116</v>
      </c>
      <c r="S7" s="6257">
        <f>+(S5/S52)</f>
        <v>1599.6222851746934</v>
      </c>
      <c r="T7" s="2862">
        <v>486</v>
      </c>
      <c r="U7" s="6259">
        <f>+(U5/U52)</f>
        <v>7991.8161787850131</v>
      </c>
      <c r="V7" s="2882">
        <f>+R7+T7</f>
        <v>2602</v>
      </c>
      <c r="W7" s="6257">
        <f>+(W5/W52)</f>
        <v>839.47119924457331</v>
      </c>
      <c r="X7" s="2862">
        <v>481</v>
      </c>
      <c r="Y7" s="6277">
        <f>+(Y5/Y52)</f>
        <v>4038.71576959396</v>
      </c>
      <c r="Z7" s="3249">
        <f>+P7+T7+X7</f>
        <v>1496</v>
      </c>
      <c r="AA7" s="6264">
        <f>+(AA5/AA52)</f>
        <v>8831.2873780295868</v>
      </c>
      <c r="AB7" s="3250">
        <f>+Z7+N7</f>
        <v>3083</v>
      </c>
      <c r="AC7" s="6257">
        <f>+(AC5/AC52)</f>
        <v>1631.0985206169332</v>
      </c>
      <c r="AD7" s="2862">
        <v>354</v>
      </c>
      <c r="AE7" s="6259">
        <f>+(AE5/AE52)</f>
        <v>10462.38589864652</v>
      </c>
      <c r="AF7" s="2882">
        <f>+AB7+AD7</f>
        <v>3437</v>
      </c>
      <c r="AG7" s="6257">
        <f>+(AG5/AG52)</f>
        <v>1580.7365439093467</v>
      </c>
      <c r="AH7" s="2862">
        <v>531</v>
      </c>
      <c r="AI7" s="6259">
        <f>+(AI5/AI52)</f>
        <v>12043.122442555868</v>
      </c>
      <c r="AJ7" s="2882">
        <f>+AF7+AH7</f>
        <v>3968</v>
      </c>
      <c r="AK7" s="6257">
        <f>+(AK5/AK52)</f>
        <v>1631.0985206169332</v>
      </c>
      <c r="AL7" s="2862">
        <v>532</v>
      </c>
      <c r="AM7" s="6277">
        <f>+(AM5/AM52)</f>
        <v>4842.9335851432133</v>
      </c>
      <c r="AN7" s="3249">
        <f>+AD7+AH7+AL7</f>
        <v>1417</v>
      </c>
      <c r="AO7" s="6259">
        <f>+(AO5/AO52)</f>
        <v>13674.2209631728</v>
      </c>
      <c r="AP7" s="2882">
        <f>+AL7+AJ7</f>
        <v>4500</v>
      </c>
      <c r="AQ7" s="6257">
        <f>+(AQ5/AQ52)</f>
        <v>1656.2795089707272</v>
      </c>
      <c r="AR7" s="2862">
        <v>536</v>
      </c>
      <c r="AS7" s="6259">
        <f>+(AS5/AS52)</f>
        <v>15330.500472143529</v>
      </c>
      <c r="AT7" s="2882">
        <f>+AP7+AR7</f>
        <v>5036</v>
      </c>
      <c r="AU7" s="6257">
        <f>+(AU5/AU52)</f>
        <v>1480.0125904941769</v>
      </c>
      <c r="AV7" s="2862">
        <v>439</v>
      </c>
      <c r="AW7" s="6259">
        <f>+(AW5/AW52)</f>
        <v>16810.513062637703</v>
      </c>
      <c r="AX7" s="2882">
        <f>+AT7+AV7</f>
        <v>5475</v>
      </c>
      <c r="AY7" s="6257">
        <f>+(AY5/AY52)</f>
        <v>1656.2795089707272</v>
      </c>
      <c r="AZ7" s="2862">
        <v>538</v>
      </c>
      <c r="BA7" s="6277">
        <f>+(BA5/BA52)</f>
        <v>4792.5716084356309</v>
      </c>
      <c r="BB7" s="3249">
        <f>+AR7+AV7+AZ7</f>
        <v>1513</v>
      </c>
      <c r="BC7" s="6264">
        <f>+(BC5/BC52)</f>
        <v>9635.5051935788451</v>
      </c>
      <c r="BD7" s="3250">
        <f>+BB7+AN7</f>
        <v>2930</v>
      </c>
      <c r="BE7" s="6259">
        <f>+(BE5/BE52)</f>
        <v>18466.792571608432</v>
      </c>
      <c r="BF7" s="3072">
        <f>+AX7+AZ7</f>
        <v>6013</v>
      </c>
      <c r="BG7" s="2446"/>
      <c r="BH7" s="2446"/>
      <c r="BI7" s="2445"/>
      <c r="BJ7" s="2445"/>
      <c r="BK7" s="3564"/>
      <c r="BL7" s="2445"/>
      <c r="BM7" s="3564"/>
      <c r="BN7" s="3564"/>
    </row>
    <row r="8" spans="1:66" ht="13.8" x14ac:dyDescent="0.25">
      <c r="A8" s="6290"/>
      <c r="B8" s="8" t="s">
        <v>265</v>
      </c>
      <c r="C8" s="2803" t="s">
        <v>175</v>
      </c>
      <c r="D8" s="6298"/>
      <c r="E8" s="6257"/>
      <c r="F8" s="2862">
        <v>207</v>
      </c>
      <c r="G8" s="6257"/>
      <c r="H8" s="2862">
        <v>413</v>
      </c>
      <c r="I8" s="6259"/>
      <c r="J8" s="2882">
        <f>+F8+H8</f>
        <v>620</v>
      </c>
      <c r="K8" s="6257"/>
      <c r="L8" s="2862">
        <v>582</v>
      </c>
      <c r="M8" s="6277"/>
      <c r="N8" s="3249">
        <f>+L8+H8+F8</f>
        <v>1202</v>
      </c>
      <c r="O8" s="6257"/>
      <c r="P8" s="2862">
        <v>562</v>
      </c>
      <c r="Q8" s="6259"/>
      <c r="R8" s="2882">
        <f>+N8+P8</f>
        <v>1764</v>
      </c>
      <c r="S8" s="6257"/>
      <c r="T8" s="2862">
        <v>533</v>
      </c>
      <c r="U8" s="6259"/>
      <c r="V8" s="2882">
        <f>+R8+T8</f>
        <v>2297</v>
      </c>
      <c r="W8" s="6257"/>
      <c r="X8" s="2862">
        <v>517</v>
      </c>
      <c r="Y8" s="6277"/>
      <c r="Z8" s="3249">
        <f>+P8+T8+X8</f>
        <v>1612</v>
      </c>
      <c r="AA8" s="6264"/>
      <c r="AB8" s="3250">
        <f>+Z8+N8</f>
        <v>2814</v>
      </c>
      <c r="AC8" s="6257"/>
      <c r="AD8" s="2862">
        <v>393</v>
      </c>
      <c r="AE8" s="6259"/>
      <c r="AF8" s="2882">
        <f>+AB8+AD8</f>
        <v>3207</v>
      </c>
      <c r="AG8" s="6257"/>
      <c r="AH8" s="2862">
        <v>489</v>
      </c>
      <c r="AI8" s="6259"/>
      <c r="AJ8" s="2882">
        <f>+AF8+AH8</f>
        <v>3696</v>
      </c>
      <c r="AK8" s="6257"/>
      <c r="AL8" s="2862">
        <v>490</v>
      </c>
      <c r="AM8" s="6277"/>
      <c r="AN8" s="3249">
        <f>+AD8+AH8+AL8</f>
        <v>1372</v>
      </c>
      <c r="AO8" s="6259"/>
      <c r="AP8" s="2882">
        <f t="shared" ref="AP8:AP14" si="0">+AL8+AJ8</f>
        <v>4186</v>
      </c>
      <c r="AQ8" s="6257"/>
      <c r="AR8" s="2862">
        <v>436</v>
      </c>
      <c r="AS8" s="6259"/>
      <c r="AT8" s="2882">
        <f>+AP8+AR8</f>
        <v>4622</v>
      </c>
      <c r="AU8" s="6257"/>
      <c r="AV8" s="2862">
        <v>385</v>
      </c>
      <c r="AW8" s="6259"/>
      <c r="AX8" s="2882">
        <f>+AT8+AV8</f>
        <v>5007</v>
      </c>
      <c r="AY8" s="6257"/>
      <c r="AZ8" s="2862">
        <v>475</v>
      </c>
      <c r="BA8" s="6277"/>
      <c r="BB8" s="3249">
        <f>+AR8+AV8+AZ8</f>
        <v>1296</v>
      </c>
      <c r="BC8" s="6264"/>
      <c r="BD8" s="3250">
        <f t="shared" ref="BD8:BD9" si="1">+BB8+AN8</f>
        <v>2668</v>
      </c>
      <c r="BE8" s="6259"/>
      <c r="BF8" s="3072">
        <f>+AX8+AZ8</f>
        <v>5482</v>
      </c>
      <c r="BG8" s="2446"/>
      <c r="BH8" s="2446"/>
      <c r="BI8" s="2445"/>
      <c r="BJ8" s="2445"/>
      <c r="BK8" s="3564"/>
      <c r="BL8" s="2445"/>
      <c r="BM8" s="3564"/>
      <c r="BN8" s="3564"/>
    </row>
    <row r="9" spans="1:66" ht="14.4" thickBot="1" x14ac:dyDescent="0.3">
      <c r="A9" s="6290"/>
      <c r="B9" s="3051" t="s">
        <v>266</v>
      </c>
      <c r="C9" s="159" t="s">
        <v>175</v>
      </c>
      <c r="D9" s="6298"/>
      <c r="E9" s="6257"/>
      <c r="F9" s="2862">
        <v>574</v>
      </c>
      <c r="G9" s="6257"/>
      <c r="H9" s="2862">
        <v>519</v>
      </c>
      <c r="I9" s="6259"/>
      <c r="J9" s="2882">
        <f>+F9+H9</f>
        <v>1093</v>
      </c>
      <c r="K9" s="6257"/>
      <c r="L9" s="2862">
        <v>525</v>
      </c>
      <c r="M9" s="6277"/>
      <c r="N9" s="3249">
        <f>+L9+H9+F9</f>
        <v>1618</v>
      </c>
      <c r="O9" s="6257"/>
      <c r="P9" s="2862">
        <v>524</v>
      </c>
      <c r="Q9" s="6259"/>
      <c r="R9" s="2882">
        <f>+N9+P9</f>
        <v>2142</v>
      </c>
      <c r="S9" s="6257"/>
      <c r="T9" s="2862">
        <v>500</v>
      </c>
      <c r="U9" s="6259"/>
      <c r="V9" s="2882">
        <f>+R9+T9</f>
        <v>2642</v>
      </c>
      <c r="W9" s="6257"/>
      <c r="X9" s="2862">
        <v>456</v>
      </c>
      <c r="Y9" s="6277"/>
      <c r="Z9" s="3249">
        <f t="shared" ref="Z9:Z14" si="2">+P9+T9+X9</f>
        <v>1480</v>
      </c>
      <c r="AA9" s="6264"/>
      <c r="AB9" s="3250">
        <f>+Z9+N9</f>
        <v>3098</v>
      </c>
      <c r="AC9" s="6257"/>
      <c r="AD9" s="2862">
        <v>405</v>
      </c>
      <c r="AE9" s="6259"/>
      <c r="AF9" s="2882">
        <f>+AB9+AD9</f>
        <v>3503</v>
      </c>
      <c r="AG9" s="6257"/>
      <c r="AH9" s="2862">
        <v>437</v>
      </c>
      <c r="AI9" s="6259"/>
      <c r="AJ9" s="2882">
        <f>+AF9+AH9</f>
        <v>3940</v>
      </c>
      <c r="AK9" s="6257"/>
      <c r="AL9" s="2862">
        <v>482</v>
      </c>
      <c r="AM9" s="6277"/>
      <c r="AN9" s="3249">
        <f t="shared" ref="AN9" si="3">+AD9+AH9+AL9</f>
        <v>1324</v>
      </c>
      <c r="AO9" s="6259"/>
      <c r="AP9" s="2882">
        <f t="shared" si="0"/>
        <v>4422</v>
      </c>
      <c r="AQ9" s="6257"/>
      <c r="AR9" s="2862">
        <v>491</v>
      </c>
      <c r="AS9" s="6259"/>
      <c r="AT9" s="2882">
        <f>+AP9+AR9</f>
        <v>4913</v>
      </c>
      <c r="AU9" s="6257"/>
      <c r="AV9" s="2862">
        <v>364</v>
      </c>
      <c r="AW9" s="6259"/>
      <c r="AX9" s="2882">
        <f>+AT9+AV9</f>
        <v>5277</v>
      </c>
      <c r="AY9" s="6257"/>
      <c r="AZ9" s="2862">
        <v>515</v>
      </c>
      <c r="BA9" s="6277"/>
      <c r="BB9" s="3249">
        <f t="shared" ref="BB9" si="4">+AR9+AV9+AZ9</f>
        <v>1370</v>
      </c>
      <c r="BC9" s="6264"/>
      <c r="BD9" s="3250">
        <f t="shared" si="1"/>
        <v>2694</v>
      </c>
      <c r="BE9" s="6259"/>
      <c r="BF9" s="3072">
        <f>+AX9+AZ9</f>
        <v>5792</v>
      </c>
      <c r="BG9" s="2446"/>
      <c r="BH9" s="2446"/>
      <c r="BI9" s="2445"/>
      <c r="BJ9" s="2445"/>
      <c r="BK9" s="3564"/>
      <c r="BL9" s="2445"/>
      <c r="BM9" s="3564"/>
      <c r="BN9" s="3564"/>
    </row>
    <row r="10" spans="1:66" ht="14.4" thickBot="1" x14ac:dyDescent="0.3">
      <c r="A10" s="6290"/>
      <c r="B10" s="3251" t="s">
        <v>267</v>
      </c>
      <c r="C10" s="3252" t="s">
        <v>175</v>
      </c>
      <c r="D10" s="6299"/>
      <c r="E10" s="6258"/>
      <c r="F10" s="3253">
        <f>SUM(F7:F9)</f>
        <v>1333</v>
      </c>
      <c r="G10" s="6258"/>
      <c r="H10" s="3253">
        <f>SUM(H7:H9)</f>
        <v>1516</v>
      </c>
      <c r="I10" s="6260"/>
      <c r="J10" s="3254">
        <f>SUM(J7:J9)</f>
        <v>2849</v>
      </c>
      <c r="K10" s="6258"/>
      <c r="L10" s="3253">
        <f>SUM(L7:L9)</f>
        <v>1558</v>
      </c>
      <c r="M10" s="6278"/>
      <c r="N10" s="3255">
        <f>SUM(N7:N9)</f>
        <v>4407</v>
      </c>
      <c r="O10" s="6258"/>
      <c r="P10" s="3253">
        <f>SUM(P7:P9)</f>
        <v>1615</v>
      </c>
      <c r="Q10" s="6260"/>
      <c r="R10" s="3254">
        <f>SUM(R7:R9)</f>
        <v>6022</v>
      </c>
      <c r="S10" s="6258"/>
      <c r="T10" s="3253">
        <f>SUM(T7:T9)</f>
        <v>1519</v>
      </c>
      <c r="U10" s="6260"/>
      <c r="V10" s="3254">
        <f>SUM(V7:V9)</f>
        <v>7541</v>
      </c>
      <c r="W10" s="6258"/>
      <c r="X10" s="3253">
        <f>SUM(X7:X9)</f>
        <v>1454</v>
      </c>
      <c r="Y10" s="6278"/>
      <c r="Z10" s="3255">
        <f>SUM(Z7:Z9)</f>
        <v>4588</v>
      </c>
      <c r="AA10" s="6265"/>
      <c r="AB10" s="3256">
        <f>SUM(AB7:AB9)</f>
        <v>8995</v>
      </c>
      <c r="AC10" s="6258"/>
      <c r="AD10" s="3253">
        <f>SUM(AD7:AD9)</f>
        <v>1152</v>
      </c>
      <c r="AE10" s="6260"/>
      <c r="AF10" s="3254">
        <f>SUM(AF7:AF9)</f>
        <v>10147</v>
      </c>
      <c r="AG10" s="6258"/>
      <c r="AH10" s="3253">
        <f>SUM(AH7:AH9)</f>
        <v>1457</v>
      </c>
      <c r="AI10" s="6260"/>
      <c r="AJ10" s="3254">
        <f>SUM(AJ7:AJ9)</f>
        <v>11604</v>
      </c>
      <c r="AK10" s="6258"/>
      <c r="AL10" s="3253">
        <f>SUM(AL7:AL9)</f>
        <v>1504</v>
      </c>
      <c r="AM10" s="6278"/>
      <c r="AN10" s="3255">
        <f>SUM(AN7:AN9)</f>
        <v>4113</v>
      </c>
      <c r="AO10" s="6260"/>
      <c r="AP10" s="3254">
        <f>SUM(AP7:AP9)</f>
        <v>13108</v>
      </c>
      <c r="AQ10" s="6258"/>
      <c r="AR10" s="3253">
        <f>SUM(AR7:AR9)</f>
        <v>1463</v>
      </c>
      <c r="AS10" s="6260"/>
      <c r="AT10" s="3254">
        <f>SUM(AT7:AT9)</f>
        <v>14571</v>
      </c>
      <c r="AU10" s="6258"/>
      <c r="AV10" s="3253">
        <f>SUM(AV7:AV9)</f>
        <v>1188</v>
      </c>
      <c r="AW10" s="6260"/>
      <c r="AX10" s="3254">
        <f>SUM(AX7:AX9)</f>
        <v>15759</v>
      </c>
      <c r="AY10" s="6258"/>
      <c r="AZ10" s="3253">
        <f>SUM(AZ7:AZ9)</f>
        <v>1528</v>
      </c>
      <c r="BA10" s="6278"/>
      <c r="BB10" s="3255">
        <f>SUM(BB7:BB9)</f>
        <v>4179</v>
      </c>
      <c r="BC10" s="6265"/>
      <c r="BD10" s="3256">
        <f>SUM(BD7:BD9)</f>
        <v>8292</v>
      </c>
      <c r="BE10" s="6260"/>
      <c r="BF10" s="4479">
        <f>SUM(BF7:BF9)</f>
        <v>17287</v>
      </c>
      <c r="BG10" s="2446"/>
      <c r="BH10" s="2446"/>
      <c r="BI10" s="2445"/>
      <c r="BJ10" s="2445"/>
      <c r="BK10" s="3564"/>
      <c r="BL10" s="2445"/>
      <c r="BM10" s="3564"/>
      <c r="BN10" s="3564"/>
    </row>
    <row r="11" spans="1:66" ht="13.8" x14ac:dyDescent="0.25">
      <c r="B11" s="3257" t="s">
        <v>613</v>
      </c>
      <c r="C11" s="751" t="s">
        <v>175</v>
      </c>
      <c r="D11" s="3258" t="s">
        <v>32</v>
      </c>
      <c r="E11" s="2060" t="s">
        <v>32</v>
      </c>
      <c r="F11" s="201">
        <v>9</v>
      </c>
      <c r="G11" s="2060" t="s">
        <v>32</v>
      </c>
      <c r="H11" s="201">
        <v>2</v>
      </c>
      <c r="I11" s="3259" t="s">
        <v>32</v>
      </c>
      <c r="J11" s="3260">
        <f t="shared" ref="J11:J20" si="5">+F11+H11</f>
        <v>11</v>
      </c>
      <c r="K11" s="2060" t="s">
        <v>32</v>
      </c>
      <c r="L11" s="201">
        <v>1</v>
      </c>
      <c r="M11" s="3261" t="s">
        <v>32</v>
      </c>
      <c r="N11" s="3262">
        <f t="shared" ref="N11:N20" si="6">+L11+H11+F11</f>
        <v>12</v>
      </c>
      <c r="O11" s="2060" t="s">
        <v>32</v>
      </c>
      <c r="P11" s="201">
        <v>4</v>
      </c>
      <c r="Q11" s="3259" t="s">
        <v>32</v>
      </c>
      <c r="R11" s="3260">
        <f t="shared" ref="R11:R20" si="7">+N11+P11</f>
        <v>16</v>
      </c>
      <c r="S11" s="2060" t="s">
        <v>32</v>
      </c>
      <c r="T11" s="201">
        <v>4</v>
      </c>
      <c r="U11" s="3259" t="s">
        <v>32</v>
      </c>
      <c r="V11" s="3260">
        <f t="shared" ref="V11:V20" si="8">+R11+T11</f>
        <v>20</v>
      </c>
      <c r="W11" s="2060" t="s">
        <v>32</v>
      </c>
      <c r="X11" s="201">
        <v>6</v>
      </c>
      <c r="Y11" s="3261" t="s">
        <v>32</v>
      </c>
      <c r="Z11" s="3262">
        <f t="shared" si="2"/>
        <v>14</v>
      </c>
      <c r="AA11" s="3263" t="s">
        <v>32</v>
      </c>
      <c r="AB11" s="3264">
        <f>+Z11+N11</f>
        <v>26</v>
      </c>
      <c r="AC11" s="2060" t="s">
        <v>32</v>
      </c>
      <c r="AD11" s="201">
        <v>6</v>
      </c>
      <c r="AE11" s="3259" t="s">
        <v>32</v>
      </c>
      <c r="AF11" s="3260">
        <f t="shared" ref="AF11:AF20" si="9">+AB11+AD11</f>
        <v>32</v>
      </c>
      <c r="AG11" s="2060" t="s">
        <v>32</v>
      </c>
      <c r="AH11" s="201">
        <v>3</v>
      </c>
      <c r="AI11" s="3259" t="s">
        <v>32</v>
      </c>
      <c r="AJ11" s="3260">
        <f t="shared" ref="AJ11:AJ20" si="10">+AF11+AH11</f>
        <v>35</v>
      </c>
      <c r="AK11" s="2060" t="s">
        <v>32</v>
      </c>
      <c r="AL11" s="201">
        <v>1</v>
      </c>
      <c r="AM11" s="3261" t="s">
        <v>32</v>
      </c>
      <c r="AN11" s="3262">
        <f t="shared" ref="AN11:AN14" si="11">+AD11+AH11+AL11</f>
        <v>10</v>
      </c>
      <c r="AO11" s="3259" t="s">
        <v>32</v>
      </c>
      <c r="AP11" s="3260">
        <f t="shared" si="0"/>
        <v>36</v>
      </c>
      <c r="AQ11" s="2060" t="s">
        <v>32</v>
      </c>
      <c r="AR11" s="201">
        <v>1</v>
      </c>
      <c r="AS11" s="3259" t="s">
        <v>32</v>
      </c>
      <c r="AT11" s="3260">
        <f t="shared" ref="AT11:AT20" si="12">+AP11+AR11</f>
        <v>37</v>
      </c>
      <c r="AU11" s="2060" t="s">
        <v>32</v>
      </c>
      <c r="AV11" s="201">
        <v>1</v>
      </c>
      <c r="AW11" s="3259" t="s">
        <v>32</v>
      </c>
      <c r="AX11" s="3260">
        <f t="shared" ref="AX11:AX20" si="13">+AT11+AV11</f>
        <v>38</v>
      </c>
      <c r="AY11" s="2060" t="s">
        <v>32</v>
      </c>
      <c r="AZ11" s="201">
        <v>4</v>
      </c>
      <c r="BA11" s="3261" t="s">
        <v>32</v>
      </c>
      <c r="BB11" s="3262">
        <f t="shared" ref="BB11:BB14" si="14">+AR11+AV11+AZ11</f>
        <v>6</v>
      </c>
      <c r="BC11" s="3263" t="s">
        <v>32</v>
      </c>
      <c r="BD11" s="3264">
        <f t="shared" ref="BD11:BD13" si="15">+BB11+AN11</f>
        <v>16</v>
      </c>
      <c r="BE11" s="3259" t="s">
        <v>32</v>
      </c>
      <c r="BF11" s="3028">
        <f t="shared" ref="BF11:BF20" si="16">+AX11+AZ11</f>
        <v>42</v>
      </c>
      <c r="BG11" s="2446"/>
      <c r="BH11" s="2446"/>
      <c r="BI11" s="2445"/>
      <c r="BJ11" s="2445"/>
      <c r="BK11" s="3564"/>
      <c r="BL11" s="2445"/>
      <c r="BM11" s="3564">
        <f>15834-491</f>
        <v>15343</v>
      </c>
      <c r="BN11" s="3564"/>
    </row>
    <row r="12" spans="1:66" ht="13.8" x14ac:dyDescent="0.25">
      <c r="B12" s="1871" t="s">
        <v>96</v>
      </c>
      <c r="C12" s="2803" t="s">
        <v>175</v>
      </c>
      <c r="D12" s="1965" t="s">
        <v>32</v>
      </c>
      <c r="E12" s="2546" t="s">
        <v>32</v>
      </c>
      <c r="F12" s="2862">
        <v>2</v>
      </c>
      <c r="G12" s="2546" t="s">
        <v>32</v>
      </c>
      <c r="H12" s="2862">
        <v>6</v>
      </c>
      <c r="I12" s="2882" t="s">
        <v>32</v>
      </c>
      <c r="J12" s="2882">
        <f t="shared" si="5"/>
        <v>8</v>
      </c>
      <c r="K12" s="2546" t="s">
        <v>32</v>
      </c>
      <c r="L12" s="2862">
        <v>1</v>
      </c>
      <c r="M12" s="3249" t="s">
        <v>32</v>
      </c>
      <c r="N12" s="3249">
        <f t="shared" si="6"/>
        <v>9</v>
      </c>
      <c r="O12" s="2546" t="s">
        <v>32</v>
      </c>
      <c r="P12" s="2862">
        <v>5</v>
      </c>
      <c r="Q12" s="2882" t="s">
        <v>32</v>
      </c>
      <c r="R12" s="2882">
        <f t="shared" si="7"/>
        <v>14</v>
      </c>
      <c r="S12" s="2546" t="s">
        <v>32</v>
      </c>
      <c r="T12" s="2862">
        <v>6</v>
      </c>
      <c r="U12" s="2882" t="s">
        <v>32</v>
      </c>
      <c r="V12" s="2882">
        <f t="shared" si="8"/>
        <v>20</v>
      </c>
      <c r="W12" s="2546" t="s">
        <v>32</v>
      </c>
      <c r="X12" s="2862">
        <v>4</v>
      </c>
      <c r="Y12" s="3249" t="s">
        <v>32</v>
      </c>
      <c r="Z12" s="3249">
        <f t="shared" si="2"/>
        <v>15</v>
      </c>
      <c r="AA12" s="3250" t="s">
        <v>32</v>
      </c>
      <c r="AB12" s="3250">
        <f>+Z12+N12</f>
        <v>24</v>
      </c>
      <c r="AC12" s="2546" t="s">
        <v>32</v>
      </c>
      <c r="AD12" s="2862">
        <v>1</v>
      </c>
      <c r="AE12" s="2882" t="s">
        <v>32</v>
      </c>
      <c r="AF12" s="2882">
        <f t="shared" si="9"/>
        <v>25</v>
      </c>
      <c r="AG12" s="2546" t="s">
        <v>32</v>
      </c>
      <c r="AH12" s="2862">
        <v>4</v>
      </c>
      <c r="AI12" s="2882" t="s">
        <v>32</v>
      </c>
      <c r="AJ12" s="2882">
        <f t="shared" si="10"/>
        <v>29</v>
      </c>
      <c r="AK12" s="2546" t="s">
        <v>32</v>
      </c>
      <c r="AL12" s="2862">
        <v>5</v>
      </c>
      <c r="AM12" s="3249" t="s">
        <v>32</v>
      </c>
      <c r="AN12" s="3249">
        <f t="shared" si="11"/>
        <v>10</v>
      </c>
      <c r="AO12" s="2882" t="s">
        <v>32</v>
      </c>
      <c r="AP12" s="2882">
        <f t="shared" si="0"/>
        <v>34</v>
      </c>
      <c r="AQ12" s="2546" t="s">
        <v>32</v>
      </c>
      <c r="AR12" s="2862">
        <v>1</v>
      </c>
      <c r="AS12" s="2882" t="s">
        <v>32</v>
      </c>
      <c r="AT12" s="2882">
        <f t="shared" si="12"/>
        <v>35</v>
      </c>
      <c r="AU12" s="2546" t="s">
        <v>32</v>
      </c>
      <c r="AV12" s="2862">
        <v>1</v>
      </c>
      <c r="AW12" s="2882" t="s">
        <v>32</v>
      </c>
      <c r="AX12" s="2882">
        <f t="shared" si="13"/>
        <v>36</v>
      </c>
      <c r="AY12" s="2546" t="s">
        <v>32</v>
      </c>
      <c r="AZ12" s="2862">
        <v>2</v>
      </c>
      <c r="BA12" s="3249" t="s">
        <v>32</v>
      </c>
      <c r="BB12" s="3249">
        <f t="shared" si="14"/>
        <v>4</v>
      </c>
      <c r="BC12" s="3250" t="s">
        <v>32</v>
      </c>
      <c r="BD12" s="3250">
        <f t="shared" si="15"/>
        <v>14</v>
      </c>
      <c r="BE12" s="2882" t="s">
        <v>32</v>
      </c>
      <c r="BF12" s="3072">
        <f t="shared" si="16"/>
        <v>38</v>
      </c>
      <c r="BG12" s="2446"/>
      <c r="BH12" s="2446"/>
      <c r="BI12" s="2445"/>
      <c r="BJ12" s="2445"/>
      <c r="BK12" s="3564"/>
      <c r="BL12" s="2445"/>
      <c r="BM12" s="3564"/>
      <c r="BN12" s="3564"/>
    </row>
    <row r="13" spans="1:66" ht="15" customHeight="1" thickBot="1" x14ac:dyDescent="0.3">
      <c r="B13" s="1871" t="s">
        <v>151</v>
      </c>
      <c r="C13" s="2803" t="s">
        <v>175</v>
      </c>
      <c r="D13" s="1965" t="s">
        <v>32</v>
      </c>
      <c r="E13" s="2546" t="s">
        <v>32</v>
      </c>
      <c r="F13" s="2862">
        <v>0</v>
      </c>
      <c r="G13" s="2546" t="s">
        <v>32</v>
      </c>
      <c r="H13" s="2862">
        <v>0</v>
      </c>
      <c r="I13" s="2882" t="s">
        <v>32</v>
      </c>
      <c r="J13" s="2882">
        <f t="shared" si="5"/>
        <v>0</v>
      </c>
      <c r="K13" s="2546" t="s">
        <v>32</v>
      </c>
      <c r="L13" s="2862">
        <v>0</v>
      </c>
      <c r="M13" s="3249" t="s">
        <v>32</v>
      </c>
      <c r="N13" s="3249">
        <f t="shared" si="6"/>
        <v>0</v>
      </c>
      <c r="O13" s="2546" t="s">
        <v>32</v>
      </c>
      <c r="P13" s="2862">
        <v>0</v>
      </c>
      <c r="Q13" s="2882" t="s">
        <v>32</v>
      </c>
      <c r="R13" s="2882">
        <f t="shared" si="7"/>
        <v>0</v>
      </c>
      <c r="S13" s="2546" t="s">
        <v>32</v>
      </c>
      <c r="T13" s="2862">
        <v>0</v>
      </c>
      <c r="U13" s="2882" t="s">
        <v>32</v>
      </c>
      <c r="V13" s="2882">
        <f t="shared" si="8"/>
        <v>0</v>
      </c>
      <c r="W13" s="2546" t="s">
        <v>32</v>
      </c>
      <c r="X13" s="2862">
        <v>0</v>
      </c>
      <c r="Y13" s="3249" t="s">
        <v>32</v>
      </c>
      <c r="Z13" s="3249">
        <f t="shared" si="2"/>
        <v>0</v>
      </c>
      <c r="AA13" s="3250" t="s">
        <v>32</v>
      </c>
      <c r="AB13" s="3250">
        <f>+Z13+N13</f>
        <v>0</v>
      </c>
      <c r="AC13" s="2546" t="s">
        <v>32</v>
      </c>
      <c r="AD13" s="2862">
        <v>0</v>
      </c>
      <c r="AE13" s="2882" t="s">
        <v>32</v>
      </c>
      <c r="AF13" s="2882">
        <f t="shared" si="9"/>
        <v>0</v>
      </c>
      <c r="AG13" s="2546" t="s">
        <v>32</v>
      </c>
      <c r="AH13" s="2862">
        <v>0</v>
      </c>
      <c r="AI13" s="2882" t="s">
        <v>32</v>
      </c>
      <c r="AJ13" s="2882">
        <f t="shared" si="10"/>
        <v>0</v>
      </c>
      <c r="AK13" s="2546" t="s">
        <v>32</v>
      </c>
      <c r="AL13" s="2862">
        <v>0</v>
      </c>
      <c r="AM13" s="3249" t="s">
        <v>32</v>
      </c>
      <c r="AN13" s="3249">
        <f t="shared" si="11"/>
        <v>0</v>
      </c>
      <c r="AO13" s="2882" t="s">
        <v>32</v>
      </c>
      <c r="AP13" s="2882">
        <f t="shared" si="0"/>
        <v>0</v>
      </c>
      <c r="AQ13" s="2546" t="s">
        <v>32</v>
      </c>
      <c r="AR13" s="2862">
        <v>0</v>
      </c>
      <c r="AS13" s="2882" t="s">
        <v>32</v>
      </c>
      <c r="AT13" s="2882">
        <f t="shared" si="12"/>
        <v>0</v>
      </c>
      <c r="AU13" s="2546" t="s">
        <v>32</v>
      </c>
      <c r="AV13" s="2862">
        <v>0</v>
      </c>
      <c r="AW13" s="2882" t="s">
        <v>32</v>
      </c>
      <c r="AX13" s="2882">
        <f t="shared" si="13"/>
        <v>0</v>
      </c>
      <c r="AY13" s="2546" t="s">
        <v>32</v>
      </c>
      <c r="AZ13" s="2862">
        <v>0</v>
      </c>
      <c r="BA13" s="3249" t="s">
        <v>32</v>
      </c>
      <c r="BB13" s="3249">
        <f t="shared" si="14"/>
        <v>0</v>
      </c>
      <c r="BC13" s="3250" t="s">
        <v>32</v>
      </c>
      <c r="BD13" s="3250">
        <f t="shared" si="15"/>
        <v>0</v>
      </c>
      <c r="BE13" s="2882" t="s">
        <v>32</v>
      </c>
      <c r="BF13" s="3072">
        <f t="shared" si="16"/>
        <v>0</v>
      </c>
      <c r="BG13" s="2446"/>
      <c r="BH13" s="2446"/>
      <c r="BI13" s="2445"/>
      <c r="BJ13" s="2445"/>
      <c r="BK13" s="3564"/>
      <c r="BL13" s="2445"/>
      <c r="BM13" s="3564"/>
      <c r="BN13" s="3564"/>
    </row>
    <row r="14" spans="1:66" s="5589" customFormat="1" ht="14.4" hidden="1" thickBot="1" x14ac:dyDescent="0.3">
      <c r="B14" s="5590" t="s">
        <v>119</v>
      </c>
      <c r="C14" s="5591" t="s">
        <v>175</v>
      </c>
      <c r="D14" s="5592" t="s">
        <v>32</v>
      </c>
      <c r="E14" s="5593" t="s">
        <v>32</v>
      </c>
      <c r="F14" s="5593">
        <f>+F10+F13-F11-F25</f>
        <v>1</v>
      </c>
      <c r="G14" s="5593" t="s">
        <v>32</v>
      </c>
      <c r="H14" s="5593">
        <f>+H10+H13-H11-H25</f>
        <v>-2</v>
      </c>
      <c r="I14" s="5593" t="s">
        <v>32</v>
      </c>
      <c r="J14" s="5593">
        <f t="shared" si="5"/>
        <v>-1</v>
      </c>
      <c r="K14" s="5593" t="s">
        <v>32</v>
      </c>
      <c r="L14" s="5593">
        <f>+L10+L13-L11-L25</f>
        <v>1</v>
      </c>
      <c r="M14" s="5593" t="s">
        <v>32</v>
      </c>
      <c r="N14" s="5593">
        <f t="shared" si="6"/>
        <v>0</v>
      </c>
      <c r="O14" s="5593" t="s">
        <v>32</v>
      </c>
      <c r="P14" s="5593">
        <f>+P10+P13-P11-P25</f>
        <v>1</v>
      </c>
      <c r="Q14" s="5593" t="s">
        <v>32</v>
      </c>
      <c r="R14" s="5593">
        <f t="shared" si="7"/>
        <v>1</v>
      </c>
      <c r="S14" s="5593" t="s">
        <v>32</v>
      </c>
      <c r="T14" s="5593">
        <f>+T10+T13-T11-T25</f>
        <v>0</v>
      </c>
      <c r="U14" s="5593" t="s">
        <v>32</v>
      </c>
      <c r="V14" s="5593">
        <f t="shared" si="8"/>
        <v>1</v>
      </c>
      <c r="W14" s="5593" t="s">
        <v>32</v>
      </c>
      <c r="X14" s="5593">
        <f>+X10+X13-X11-X25</f>
        <v>0</v>
      </c>
      <c r="Y14" s="5593" t="s">
        <v>32</v>
      </c>
      <c r="Z14" s="5593">
        <f t="shared" si="2"/>
        <v>1</v>
      </c>
      <c r="AA14" s="5593" t="s">
        <v>32</v>
      </c>
      <c r="AB14" s="5593">
        <f>+Z14+N14</f>
        <v>1</v>
      </c>
      <c r="AC14" s="5593" t="s">
        <v>32</v>
      </c>
      <c r="AD14" s="5593">
        <f>+AD10+AD13-AD11-AD25</f>
        <v>1</v>
      </c>
      <c r="AE14" s="5593" t="s">
        <v>32</v>
      </c>
      <c r="AF14" s="5593">
        <f t="shared" si="9"/>
        <v>2</v>
      </c>
      <c r="AG14" s="5593" t="s">
        <v>32</v>
      </c>
      <c r="AH14" s="5593">
        <f>+AH10+AH13-AH11-AH25</f>
        <v>-3</v>
      </c>
      <c r="AI14" s="5593" t="s">
        <v>32</v>
      </c>
      <c r="AJ14" s="5593">
        <f t="shared" si="10"/>
        <v>-1</v>
      </c>
      <c r="AK14" s="5593" t="s">
        <v>32</v>
      </c>
      <c r="AL14" s="5593">
        <f>+AL10+AL13-AL11-AL25</f>
        <v>-1</v>
      </c>
      <c r="AM14" s="5593" t="s">
        <v>32</v>
      </c>
      <c r="AN14" s="5593">
        <f t="shared" si="11"/>
        <v>-3</v>
      </c>
      <c r="AO14" s="5593" t="s">
        <v>32</v>
      </c>
      <c r="AP14" s="5593">
        <f t="shared" si="0"/>
        <v>-2</v>
      </c>
      <c r="AQ14" s="5593" t="s">
        <v>32</v>
      </c>
      <c r="AR14" s="5593">
        <f>+AR10+AR13-AR11-AR25</f>
        <v>1</v>
      </c>
      <c r="AS14" s="5593" t="s">
        <v>32</v>
      </c>
      <c r="AT14" s="5593">
        <f t="shared" si="12"/>
        <v>-1</v>
      </c>
      <c r="AU14" s="5593" t="s">
        <v>32</v>
      </c>
      <c r="AV14" s="5593">
        <f>+AV10+AV13-AV11-AV25</f>
        <v>2</v>
      </c>
      <c r="AW14" s="5593" t="s">
        <v>32</v>
      </c>
      <c r="AX14" s="5593">
        <f t="shared" si="13"/>
        <v>1</v>
      </c>
      <c r="AY14" s="5593" t="s">
        <v>32</v>
      </c>
      <c r="AZ14" s="5593">
        <f>+AZ10+AZ13-AZ11-AZ25</f>
        <v>-2</v>
      </c>
      <c r="BA14" s="5593" t="s">
        <v>32</v>
      </c>
      <c r="BB14" s="5593">
        <f t="shared" si="14"/>
        <v>1</v>
      </c>
      <c r="BC14" s="5593" t="s">
        <v>32</v>
      </c>
      <c r="BD14" s="5593">
        <f>+BB14+AN14</f>
        <v>-2</v>
      </c>
      <c r="BE14" s="5593" t="s">
        <v>32</v>
      </c>
      <c r="BF14" s="5594">
        <f t="shared" si="16"/>
        <v>-1</v>
      </c>
      <c r="BG14" s="5595"/>
      <c r="BH14" s="5595"/>
      <c r="BI14" s="5596"/>
      <c r="BJ14" s="5596"/>
      <c r="BK14" s="5597"/>
      <c r="BL14" s="5596"/>
      <c r="BM14" s="5597"/>
      <c r="BN14" s="5597"/>
    </row>
    <row r="15" spans="1:66" ht="13.8" x14ac:dyDescent="0.25">
      <c r="B15" s="3268" t="s">
        <v>815</v>
      </c>
      <c r="C15" s="751" t="s">
        <v>50</v>
      </c>
      <c r="D15" s="1109">
        <v>2933450</v>
      </c>
      <c r="E15" s="155">
        <v>251100</v>
      </c>
      <c r="F15" s="270">
        <v>219393.565</v>
      </c>
      <c r="G15" s="155">
        <v>259100</v>
      </c>
      <c r="H15" s="270">
        <v>252686.9</v>
      </c>
      <c r="I15" s="368">
        <f>+E15+G15</f>
        <v>510200</v>
      </c>
      <c r="J15" s="368">
        <f t="shared" si="5"/>
        <v>472080.46499999997</v>
      </c>
      <c r="K15" s="155">
        <v>251100</v>
      </c>
      <c r="L15" s="270">
        <v>258527.52499999999</v>
      </c>
      <c r="M15" s="613">
        <f>+K15+G15+E15</f>
        <v>761300</v>
      </c>
      <c r="N15" s="613">
        <f t="shared" si="6"/>
        <v>730607.99</v>
      </c>
      <c r="O15" s="155">
        <v>254100</v>
      </c>
      <c r="P15" s="270">
        <v>266778.07500000001</v>
      </c>
      <c r="Q15" s="368">
        <f>+M15+O15</f>
        <v>1015400</v>
      </c>
      <c r="R15" s="368">
        <f t="shared" si="7"/>
        <v>997386.06499999994</v>
      </c>
      <c r="S15" s="155">
        <v>254100</v>
      </c>
      <c r="T15" s="270">
        <v>251918.72</v>
      </c>
      <c r="U15" s="368">
        <f>+Q15+S15</f>
        <v>1269500</v>
      </c>
      <c r="V15" s="368">
        <f t="shared" si="8"/>
        <v>1249304.7849999999</v>
      </c>
      <c r="W15" s="155">
        <v>133350</v>
      </c>
      <c r="X15" s="270">
        <v>241323.3</v>
      </c>
      <c r="Y15" s="613">
        <f>+W15+S15+O15</f>
        <v>641550</v>
      </c>
      <c r="Z15" s="613">
        <f>+X15+T15+P15</f>
        <v>760020.09499999997</v>
      </c>
      <c r="AA15" s="1039">
        <f>+Y15+M15</f>
        <v>1402850</v>
      </c>
      <c r="AB15" s="1039">
        <f t="shared" ref="AB15:AB24" si="17">+Z15+N15</f>
        <v>1490628.085</v>
      </c>
      <c r="AC15" s="155">
        <v>259100</v>
      </c>
      <c r="AD15" s="270">
        <v>190772.82</v>
      </c>
      <c r="AE15" s="368">
        <f>+AA15+AC15</f>
        <v>1661950</v>
      </c>
      <c r="AF15" s="368">
        <f t="shared" si="9"/>
        <v>1681400.905</v>
      </c>
      <c r="AG15" s="155">
        <v>251100</v>
      </c>
      <c r="AH15" s="270">
        <v>243243.53</v>
      </c>
      <c r="AI15" s="368">
        <f>+AE15+AG15</f>
        <v>1913050</v>
      </c>
      <c r="AJ15" s="368">
        <f t="shared" si="10"/>
        <v>1924644.4350000001</v>
      </c>
      <c r="AK15" s="155">
        <v>259100</v>
      </c>
      <c r="AL15" s="270">
        <v>250346.23999999999</v>
      </c>
      <c r="AM15" s="613">
        <f>+AK15+AG15+AC15</f>
        <v>769300</v>
      </c>
      <c r="AN15" s="613">
        <f>+AL15+AH15+AD15</f>
        <v>684362.59000000008</v>
      </c>
      <c r="AO15" s="368">
        <f>+AK15+AI15</f>
        <v>2172150</v>
      </c>
      <c r="AP15" s="368">
        <f>+AL15+AJ15</f>
        <v>2174990.6749999998</v>
      </c>
      <c r="AQ15" s="155">
        <v>263100</v>
      </c>
      <c r="AR15" s="270">
        <v>242224.07</v>
      </c>
      <c r="AS15" s="368">
        <f>+AO15+AQ15</f>
        <v>2435250</v>
      </c>
      <c r="AT15" s="368">
        <f t="shared" si="12"/>
        <v>2417214.7449999996</v>
      </c>
      <c r="AU15" s="155">
        <v>235100</v>
      </c>
      <c r="AV15" s="270">
        <v>194681.07500000001</v>
      </c>
      <c r="AW15" s="368">
        <f>+AS15+AU15</f>
        <v>2670350</v>
      </c>
      <c r="AX15" s="368">
        <f t="shared" si="13"/>
        <v>2611895.8199999998</v>
      </c>
      <c r="AY15" s="155">
        <v>263100</v>
      </c>
      <c r="AZ15" s="270">
        <v>250513.94500000001</v>
      </c>
      <c r="BA15" s="613">
        <f>+AY15+AU15+AQ15</f>
        <v>761300</v>
      </c>
      <c r="BB15" s="613">
        <f>+AZ15+AV15+AR15</f>
        <v>687419.09000000008</v>
      </c>
      <c r="BC15" s="1039">
        <f>+BA15+AM15</f>
        <v>1530600</v>
      </c>
      <c r="BD15" s="1039">
        <f>+BB15+AN15</f>
        <v>1371781.6800000002</v>
      </c>
      <c r="BE15" s="368">
        <f>+AW15+AY15</f>
        <v>2933450</v>
      </c>
      <c r="BF15" s="42">
        <f t="shared" si="16"/>
        <v>2862409.7649999997</v>
      </c>
      <c r="BH15" s="2446"/>
      <c r="BI15" s="2445"/>
      <c r="BJ15" s="2445"/>
      <c r="BK15" s="3564"/>
      <c r="BL15" s="2445"/>
      <c r="BM15" s="3564"/>
      <c r="BN15" s="3564"/>
    </row>
    <row r="16" spans="1:66" ht="13.8" x14ac:dyDescent="0.25">
      <c r="B16" s="1699" t="s">
        <v>804</v>
      </c>
      <c r="C16" s="2803" t="s">
        <v>50</v>
      </c>
      <c r="D16" s="1965"/>
      <c r="E16" s="2537"/>
      <c r="F16" s="2599">
        <v>3370</v>
      </c>
      <c r="G16" s="2537"/>
      <c r="H16" s="2599">
        <v>2255</v>
      </c>
      <c r="I16" s="2538"/>
      <c r="J16" s="2882">
        <f t="shared" si="5"/>
        <v>5625</v>
      </c>
      <c r="K16" s="2537"/>
      <c r="L16" s="2599">
        <v>2392</v>
      </c>
      <c r="M16" s="2539"/>
      <c r="N16" s="2539">
        <f t="shared" si="6"/>
        <v>8017</v>
      </c>
      <c r="O16" s="2537"/>
      <c r="P16" s="2599">
        <v>2490</v>
      </c>
      <c r="Q16" s="2538"/>
      <c r="R16" s="2882">
        <f t="shared" si="7"/>
        <v>10507</v>
      </c>
      <c r="S16" s="2537"/>
      <c r="T16" s="2599">
        <v>904</v>
      </c>
      <c r="U16" s="2538"/>
      <c r="V16" s="2882">
        <f t="shared" si="8"/>
        <v>11411</v>
      </c>
      <c r="W16" s="2537"/>
      <c r="X16" s="2599">
        <v>550</v>
      </c>
      <c r="Y16" s="2539"/>
      <c r="Z16" s="2539">
        <f t="shared" ref="Y16:Z24" si="18">+X16+T16+P16</f>
        <v>3944</v>
      </c>
      <c r="AA16" s="2579"/>
      <c r="AB16" s="2579">
        <f t="shared" si="17"/>
        <v>11961</v>
      </c>
      <c r="AC16" s="2537"/>
      <c r="AD16" s="2599">
        <v>2202</v>
      </c>
      <c r="AE16" s="2538"/>
      <c r="AF16" s="2538">
        <f t="shared" si="9"/>
        <v>14163</v>
      </c>
      <c r="AG16" s="2537"/>
      <c r="AH16" s="2599">
        <v>4618</v>
      </c>
      <c r="AI16" s="2538"/>
      <c r="AJ16" s="2538">
        <f t="shared" si="10"/>
        <v>18781</v>
      </c>
      <c r="AK16" s="2537"/>
      <c r="AL16" s="2599">
        <v>2620</v>
      </c>
      <c r="AM16" s="2539"/>
      <c r="AN16" s="2539">
        <f t="shared" ref="AN16:AN20" si="19">+AL16+AH16+AD16</f>
        <v>9440</v>
      </c>
      <c r="AO16" s="2538"/>
      <c r="AP16" s="2538">
        <f t="shared" ref="AO16:AP24" si="20">+AL16+AJ16</f>
        <v>21401</v>
      </c>
      <c r="AQ16" s="2537"/>
      <c r="AR16" s="2599">
        <v>1852</v>
      </c>
      <c r="AS16" s="2538"/>
      <c r="AT16" s="2538">
        <f t="shared" si="12"/>
        <v>23253</v>
      </c>
      <c r="AU16" s="2537"/>
      <c r="AV16" s="2599">
        <v>2468</v>
      </c>
      <c r="AW16" s="2538"/>
      <c r="AX16" s="2538">
        <f t="shared" si="13"/>
        <v>25721</v>
      </c>
      <c r="AY16" s="2537"/>
      <c r="AZ16" s="2599">
        <v>5897</v>
      </c>
      <c r="BA16" s="2539"/>
      <c r="BB16" s="2539">
        <f t="shared" ref="BB16:BB20" si="21">+AZ16+AV16+AR16</f>
        <v>10217</v>
      </c>
      <c r="BC16" s="2579"/>
      <c r="BD16" s="2579">
        <f>+BB16+AN16</f>
        <v>19657</v>
      </c>
      <c r="BE16" s="2538"/>
      <c r="BF16" s="38">
        <f t="shared" si="16"/>
        <v>31618</v>
      </c>
      <c r="BG16" s="2446"/>
      <c r="BH16" s="2446"/>
      <c r="BI16" s="2445"/>
      <c r="BJ16" s="2445"/>
      <c r="BK16" s="3564"/>
      <c r="BL16" s="2445"/>
      <c r="BM16" s="3564"/>
      <c r="BN16" s="3564"/>
    </row>
    <row r="17" spans="1:66" ht="13.8" x14ac:dyDescent="0.25">
      <c r="B17" s="1699" t="s">
        <v>805</v>
      </c>
      <c r="C17" s="2803" t="s">
        <v>50</v>
      </c>
      <c r="D17" s="1965"/>
      <c r="E17" s="2537"/>
      <c r="F17" s="2599">
        <v>3462.8999999999996</v>
      </c>
      <c r="G17" s="2537"/>
      <c r="H17" s="2599">
        <v>3789.7999999999997</v>
      </c>
      <c r="I17" s="2538"/>
      <c r="J17" s="2882">
        <f t="shared" si="5"/>
        <v>7252.6999999999989</v>
      </c>
      <c r="K17" s="2537"/>
      <c r="L17" s="2599">
        <v>5415.2</v>
      </c>
      <c r="M17" s="2539"/>
      <c r="N17" s="2539">
        <f t="shared" si="6"/>
        <v>12667.9</v>
      </c>
      <c r="O17" s="2537"/>
      <c r="P17" s="2599">
        <v>8216.6</v>
      </c>
      <c r="Q17" s="2538"/>
      <c r="R17" s="2882">
        <f t="shared" si="7"/>
        <v>20884.5</v>
      </c>
      <c r="S17" s="2537"/>
      <c r="T17" s="2599">
        <v>7341.5999999999995</v>
      </c>
      <c r="U17" s="2538"/>
      <c r="V17" s="2538">
        <f t="shared" si="8"/>
        <v>28226.1</v>
      </c>
      <c r="W17" s="2537"/>
      <c r="X17" s="2599">
        <v>7070</v>
      </c>
      <c r="Y17" s="2539"/>
      <c r="Z17" s="2539">
        <f t="shared" si="18"/>
        <v>22628.199999999997</v>
      </c>
      <c r="AA17" s="2579"/>
      <c r="AB17" s="2579">
        <f t="shared" si="17"/>
        <v>35296.1</v>
      </c>
      <c r="AC17" s="2537"/>
      <c r="AD17" s="2599">
        <v>3190.6</v>
      </c>
      <c r="AE17" s="2538"/>
      <c r="AF17" s="2538">
        <f t="shared" si="9"/>
        <v>38486.699999999997</v>
      </c>
      <c r="AG17" s="2537"/>
      <c r="AH17" s="2599">
        <v>3495.7999999999997</v>
      </c>
      <c r="AI17" s="2538"/>
      <c r="AJ17" s="2538">
        <f t="shared" si="10"/>
        <v>41982.5</v>
      </c>
      <c r="AK17" s="2537"/>
      <c r="AL17" s="2599">
        <v>3376.7999999999997</v>
      </c>
      <c r="AM17" s="2539"/>
      <c r="AN17" s="2539">
        <f t="shared" si="19"/>
        <v>10063.199999999999</v>
      </c>
      <c r="AO17" s="2538"/>
      <c r="AP17" s="2538">
        <f t="shared" si="20"/>
        <v>45359.3</v>
      </c>
      <c r="AQ17" s="2537"/>
      <c r="AR17" s="2599">
        <v>5061.7</v>
      </c>
      <c r="AS17" s="2538"/>
      <c r="AT17" s="2538">
        <f t="shared" si="12"/>
        <v>50421</v>
      </c>
      <c r="AU17" s="2537"/>
      <c r="AV17" s="2599">
        <v>5033</v>
      </c>
      <c r="AW17" s="2538"/>
      <c r="AX17" s="2538">
        <f t="shared" si="13"/>
        <v>55454</v>
      </c>
      <c r="AY17" s="2537"/>
      <c r="AZ17" s="2599">
        <v>7018.9</v>
      </c>
      <c r="BA17" s="2539"/>
      <c r="BB17" s="2539">
        <f t="shared" si="21"/>
        <v>17113.599999999999</v>
      </c>
      <c r="BC17" s="2579"/>
      <c r="BD17" s="2579">
        <f>+BB17+AN17</f>
        <v>27176.799999999996</v>
      </c>
      <c r="BE17" s="2538"/>
      <c r="BF17" s="38">
        <f t="shared" si="16"/>
        <v>62472.9</v>
      </c>
      <c r="BG17" s="2446"/>
      <c r="BH17" s="2446"/>
      <c r="BI17" s="2445"/>
      <c r="BJ17" s="2445"/>
      <c r="BK17" s="3564"/>
      <c r="BL17" s="2445"/>
      <c r="BM17" s="3564"/>
      <c r="BN17" s="3564"/>
    </row>
    <row r="18" spans="1:66" ht="13.8" x14ac:dyDescent="0.25">
      <c r="B18" s="1699" t="s">
        <v>1016</v>
      </c>
      <c r="C18" s="2803" t="s">
        <v>50</v>
      </c>
      <c r="D18" s="1965"/>
      <c r="E18" s="2537"/>
      <c r="F18" s="2599">
        <v>863</v>
      </c>
      <c r="G18" s="2537"/>
      <c r="H18" s="2599">
        <v>626</v>
      </c>
      <c r="I18" s="2538"/>
      <c r="J18" s="2538">
        <f t="shared" si="5"/>
        <v>1489</v>
      </c>
      <c r="K18" s="2537"/>
      <c r="L18" s="2599">
        <v>597</v>
      </c>
      <c r="M18" s="2539"/>
      <c r="N18" s="2539">
        <f t="shared" si="6"/>
        <v>2086</v>
      </c>
      <c r="O18" s="2537"/>
      <c r="P18" s="2599">
        <v>588</v>
      </c>
      <c r="Q18" s="2538"/>
      <c r="R18" s="2882">
        <f t="shared" si="7"/>
        <v>2674</v>
      </c>
      <c r="S18" s="2537"/>
      <c r="T18" s="2599">
        <v>352.5</v>
      </c>
      <c r="U18" s="2538"/>
      <c r="V18" s="2538">
        <f t="shared" si="8"/>
        <v>3026.5</v>
      </c>
      <c r="W18" s="2537"/>
      <c r="X18" s="2599">
        <v>102</v>
      </c>
      <c r="Y18" s="2539"/>
      <c r="Z18" s="2539">
        <f t="shared" si="18"/>
        <v>1042.5</v>
      </c>
      <c r="AA18" s="2579"/>
      <c r="AB18" s="2579">
        <f t="shared" si="17"/>
        <v>3128.5</v>
      </c>
      <c r="AC18" s="2537"/>
      <c r="AD18" s="2599">
        <v>138</v>
      </c>
      <c r="AE18" s="2538"/>
      <c r="AF18" s="2538">
        <f t="shared" si="9"/>
        <v>3266.5</v>
      </c>
      <c r="AG18" s="2537"/>
      <c r="AH18" s="2599">
        <v>260</v>
      </c>
      <c r="AI18" s="2538"/>
      <c r="AJ18" s="2538">
        <f t="shared" si="10"/>
        <v>3526.5</v>
      </c>
      <c r="AK18" s="2537"/>
      <c r="AL18" s="2599">
        <v>550</v>
      </c>
      <c r="AM18" s="2539"/>
      <c r="AN18" s="2539">
        <f t="shared" si="19"/>
        <v>948</v>
      </c>
      <c r="AO18" s="2538"/>
      <c r="AP18" s="2538">
        <f t="shared" si="20"/>
        <v>4076.5</v>
      </c>
      <c r="AQ18" s="2537"/>
      <c r="AR18" s="2599">
        <v>665</v>
      </c>
      <c r="AS18" s="2538"/>
      <c r="AT18" s="2538">
        <f t="shared" si="12"/>
        <v>4741.5</v>
      </c>
      <c r="AU18" s="2537"/>
      <c r="AV18" s="2599">
        <v>544</v>
      </c>
      <c r="AW18" s="2538"/>
      <c r="AX18" s="2538">
        <f t="shared" si="13"/>
        <v>5285.5</v>
      </c>
      <c r="AY18" s="2537"/>
      <c r="AZ18" s="2599">
        <v>350</v>
      </c>
      <c r="BA18" s="2539"/>
      <c r="BB18" s="2539">
        <f t="shared" si="21"/>
        <v>1559</v>
      </c>
      <c r="BC18" s="2579"/>
      <c r="BD18" s="2579">
        <f>+BB18+AN18</f>
        <v>2507</v>
      </c>
      <c r="BE18" s="2538"/>
      <c r="BF18" s="38">
        <f t="shared" si="16"/>
        <v>5635.5</v>
      </c>
      <c r="BG18" s="2446"/>
      <c r="BH18" s="2446"/>
      <c r="BI18" s="2445"/>
      <c r="BJ18" s="2445"/>
      <c r="BK18" s="3564"/>
      <c r="BL18" s="2445"/>
      <c r="BM18" s="3564"/>
      <c r="BN18" s="3564"/>
    </row>
    <row r="19" spans="1:66" ht="13.8" x14ac:dyDescent="0.25">
      <c r="B19" s="3269" t="s">
        <v>281</v>
      </c>
      <c r="C19" s="2803" t="s">
        <v>50</v>
      </c>
      <c r="D19" s="152">
        <f>+D5*D90/1000</f>
        <v>105260.7176581681</v>
      </c>
      <c r="E19" s="2599">
        <f>+E5*E90/1000</f>
        <v>9010.1983002832749</v>
      </c>
      <c r="F19" s="2599">
        <f>SUM(F16:F18)</f>
        <v>7695.9</v>
      </c>
      <c r="G19" s="2599">
        <f>+G5*G90/1000</f>
        <v>9297.261567516518</v>
      </c>
      <c r="H19" s="2599">
        <f>SUM(H16:H18)</f>
        <v>6670.7999999999993</v>
      </c>
      <c r="I19" s="2538">
        <f>+E19+G19</f>
        <v>18307.459867799793</v>
      </c>
      <c r="J19" s="2538">
        <f t="shared" si="5"/>
        <v>14366.699999999999</v>
      </c>
      <c r="K19" s="2599">
        <f>+K5*K90/1000</f>
        <v>9010.1983002832749</v>
      </c>
      <c r="L19" s="2599">
        <f>SUM(L16:L18)</f>
        <v>8404.2000000000007</v>
      </c>
      <c r="M19" s="2539">
        <f>+K19+G19+E19</f>
        <v>27317.658168083068</v>
      </c>
      <c r="N19" s="2539">
        <f t="shared" si="6"/>
        <v>22770.9</v>
      </c>
      <c r="O19" s="2599">
        <f>+O5*O90/1000</f>
        <v>9117.847025495752</v>
      </c>
      <c r="P19" s="2599">
        <f>SUM(P16:P18)</f>
        <v>11294.6</v>
      </c>
      <c r="Q19" s="2538">
        <f>+M19+O19</f>
        <v>36435.505193578821</v>
      </c>
      <c r="R19" s="2882">
        <f t="shared" si="7"/>
        <v>34065.5</v>
      </c>
      <c r="S19" s="2599">
        <f>+S5*S90/1000</f>
        <v>9117.847025495752</v>
      </c>
      <c r="T19" s="2599">
        <f>SUM(T16:T18)</f>
        <v>8598.0999999999985</v>
      </c>
      <c r="U19" s="2538">
        <f>+Q19+S19</f>
        <v>45553.352219074572</v>
      </c>
      <c r="V19" s="2538">
        <f t="shared" si="8"/>
        <v>42663.6</v>
      </c>
      <c r="W19" s="2599">
        <f>+W5*W90/1000</f>
        <v>4784.9858356940686</v>
      </c>
      <c r="X19" s="2599">
        <f>SUM(X16:X18)</f>
        <v>7722</v>
      </c>
      <c r="Y19" s="2539">
        <f t="shared" si="18"/>
        <v>23020.679886685575</v>
      </c>
      <c r="Z19" s="2539">
        <f t="shared" si="18"/>
        <v>27614.699999999997</v>
      </c>
      <c r="AA19" s="2579">
        <f>+Y19+M19</f>
        <v>50338.338054768639</v>
      </c>
      <c r="AB19" s="2579">
        <f t="shared" si="17"/>
        <v>50385.599999999999</v>
      </c>
      <c r="AC19" s="2599">
        <f>+AC5*AC90/1000</f>
        <v>9297.261567516518</v>
      </c>
      <c r="AD19" s="2599">
        <f>SUM(AD16:AD18)</f>
        <v>5530.6</v>
      </c>
      <c r="AE19" s="2538">
        <f>+AA19+AC19</f>
        <v>59635.599622285154</v>
      </c>
      <c r="AF19" s="2538">
        <f t="shared" si="9"/>
        <v>55916.2</v>
      </c>
      <c r="AG19" s="2599">
        <f>+AG5*AG90/1000</f>
        <v>9010.1983002832749</v>
      </c>
      <c r="AH19" s="2599">
        <f>SUM(AH16:AH18)</f>
        <v>8373.7999999999993</v>
      </c>
      <c r="AI19" s="2538">
        <f>+AE19+AG19</f>
        <v>68645.797922568425</v>
      </c>
      <c r="AJ19" s="2538">
        <f t="shared" si="10"/>
        <v>64290</v>
      </c>
      <c r="AK19" s="2599">
        <f>+AK5*AK90/1000</f>
        <v>9297.261567516518</v>
      </c>
      <c r="AL19" s="2599">
        <f>SUM(AL16:AL18)</f>
        <v>6546.7999999999993</v>
      </c>
      <c r="AM19" s="2539">
        <f t="shared" ref="AM19:AM20" si="22">+AK19+AG19+AC19</f>
        <v>27604.721435316311</v>
      </c>
      <c r="AN19" s="2539">
        <f t="shared" si="19"/>
        <v>20451.199999999997</v>
      </c>
      <c r="AO19" s="2538">
        <f>+AK19+AI19</f>
        <v>77943.059490084939</v>
      </c>
      <c r="AP19" s="2538">
        <f t="shared" si="20"/>
        <v>70836.800000000003</v>
      </c>
      <c r="AQ19" s="2599">
        <f>+AQ5*AQ90/1000</f>
        <v>9440.793201133145</v>
      </c>
      <c r="AR19" s="2599">
        <f>SUM(AR16:AR18)</f>
        <v>7578.7</v>
      </c>
      <c r="AS19" s="2538">
        <f>+AO19+AQ19</f>
        <v>87383.852691218082</v>
      </c>
      <c r="AT19" s="2538">
        <f t="shared" si="12"/>
        <v>78415.5</v>
      </c>
      <c r="AU19" s="2599">
        <f>+AU5*AU90/1000</f>
        <v>8436.0717658168069</v>
      </c>
      <c r="AV19" s="2599">
        <f>SUM(AV16:AV18)</f>
        <v>8045</v>
      </c>
      <c r="AW19" s="2538">
        <f>+AS19+AU19</f>
        <v>95819.924457034882</v>
      </c>
      <c r="AX19" s="2538">
        <f t="shared" si="13"/>
        <v>86460.5</v>
      </c>
      <c r="AY19" s="2599">
        <f>+AY5*AY90/1000</f>
        <v>9440.793201133145</v>
      </c>
      <c r="AZ19" s="2599">
        <f>SUM(AZ16:AZ18)</f>
        <v>13265.9</v>
      </c>
      <c r="BA19" s="2539">
        <f t="shared" ref="BA19:BA20" si="23">+AY19+AU19+AQ19</f>
        <v>27317.658168083093</v>
      </c>
      <c r="BB19" s="2539">
        <f t="shared" si="21"/>
        <v>28889.600000000002</v>
      </c>
      <c r="BC19" s="2579">
        <f t="shared" ref="BC19:BC20" si="24">+BA19+AM19</f>
        <v>54922.3796033994</v>
      </c>
      <c r="BD19" s="2579">
        <f t="shared" ref="BD19:BD20" si="25">+BB19+AN19</f>
        <v>49340.800000000003</v>
      </c>
      <c r="BE19" s="2538">
        <f>+AW19+AY19</f>
        <v>105260.71765816803</v>
      </c>
      <c r="BF19" s="38">
        <f t="shared" si="16"/>
        <v>99726.399999999994</v>
      </c>
      <c r="BG19" s="2446"/>
      <c r="BH19" s="2446"/>
      <c r="BI19" s="2445"/>
      <c r="BJ19" s="2445"/>
      <c r="BK19" s="3564"/>
      <c r="BL19" s="2445"/>
      <c r="BM19" s="3564"/>
      <c r="BN19" s="3564"/>
    </row>
    <row r="20" spans="1:66" ht="14.4" thickBot="1" x14ac:dyDescent="0.3">
      <c r="B20" s="1426" t="s">
        <v>282</v>
      </c>
      <c r="C20" s="742" t="s">
        <v>50</v>
      </c>
      <c r="D20" s="3270">
        <v>2841045.0110166827</v>
      </c>
      <c r="E20" s="107">
        <v>243190.23752451516</v>
      </c>
      <c r="F20" s="2272">
        <v>210019</v>
      </c>
      <c r="G20" s="107">
        <v>250938.23394106681</v>
      </c>
      <c r="H20" s="2272">
        <v>239902</v>
      </c>
      <c r="I20" s="584">
        <f>+E20+G20</f>
        <v>494128.47146558197</v>
      </c>
      <c r="J20" s="584">
        <f t="shared" si="5"/>
        <v>449921</v>
      </c>
      <c r="K20" s="107">
        <v>243190.23752451516</v>
      </c>
      <c r="L20" s="2272">
        <v>246853</v>
      </c>
      <c r="M20" s="483">
        <f>+K20+G20+E20</f>
        <v>737318.70899009716</v>
      </c>
      <c r="N20" s="483">
        <f t="shared" si="6"/>
        <v>696774</v>
      </c>
      <c r="O20" s="107">
        <v>246095.73618072201</v>
      </c>
      <c r="P20" s="2272">
        <v>257058</v>
      </c>
      <c r="Q20" s="584">
        <f>+M20+O20</f>
        <v>983414.44517081918</v>
      </c>
      <c r="R20" s="3266">
        <f t="shared" si="7"/>
        <v>953832</v>
      </c>
      <c r="S20" s="107">
        <v>246095.73618072201</v>
      </c>
      <c r="T20" s="2272">
        <v>240774</v>
      </c>
      <c r="U20" s="584">
        <f>+Q20+S20</f>
        <v>1229510.1813515411</v>
      </c>
      <c r="V20" s="584">
        <f t="shared" si="8"/>
        <v>1194606</v>
      </c>
      <c r="W20" s="107">
        <v>129149.41526839545</v>
      </c>
      <c r="X20" s="2272">
        <v>230197</v>
      </c>
      <c r="Y20" s="483">
        <f t="shared" si="18"/>
        <v>621340.88762983948</v>
      </c>
      <c r="Z20" s="483">
        <f t="shared" si="18"/>
        <v>728029</v>
      </c>
      <c r="AA20" s="1127">
        <f>+Y20+M20</f>
        <v>1358659.5966199366</v>
      </c>
      <c r="AB20" s="1127">
        <f t="shared" si="17"/>
        <v>1424803</v>
      </c>
      <c r="AC20" s="107">
        <v>250938.23394106681</v>
      </c>
      <c r="AD20" s="2272">
        <v>181931</v>
      </c>
      <c r="AE20" s="584">
        <f>+AA20+AC20</f>
        <v>1609597.8305610034</v>
      </c>
      <c r="AF20" s="584">
        <f t="shared" si="9"/>
        <v>1606734</v>
      </c>
      <c r="AG20" s="107">
        <v>243190.23752451516</v>
      </c>
      <c r="AH20" s="2272">
        <v>232890</v>
      </c>
      <c r="AI20" s="584">
        <f>+AE20+AG20</f>
        <v>1852788.0680855187</v>
      </c>
      <c r="AJ20" s="584">
        <f t="shared" si="10"/>
        <v>1839624</v>
      </c>
      <c r="AK20" s="107">
        <v>250938.23394106681</v>
      </c>
      <c r="AL20" s="2272">
        <v>237877</v>
      </c>
      <c r="AM20" s="483">
        <f t="shared" si="22"/>
        <v>745066.70540664881</v>
      </c>
      <c r="AN20" s="483">
        <f t="shared" si="19"/>
        <v>652698</v>
      </c>
      <c r="AO20" s="584">
        <f>+AK20+AI20</f>
        <v>2103726.3020265857</v>
      </c>
      <c r="AP20" s="584">
        <f t="shared" si="20"/>
        <v>2077501</v>
      </c>
      <c r="AQ20" s="107">
        <v>254812.23214934263</v>
      </c>
      <c r="AR20" s="229">
        <v>231328</v>
      </c>
      <c r="AS20" s="584">
        <f>+AO20+AQ20</f>
        <v>2358538.5341759282</v>
      </c>
      <c r="AT20" s="584">
        <f t="shared" si="12"/>
        <v>2308829</v>
      </c>
      <c r="AU20" s="107">
        <v>227694.24469141182</v>
      </c>
      <c r="AV20" s="229">
        <v>187823</v>
      </c>
      <c r="AW20" s="584">
        <f>+AS20+AU20</f>
        <v>2586232.7788673402</v>
      </c>
      <c r="AX20" s="584">
        <f t="shared" si="13"/>
        <v>2496652</v>
      </c>
      <c r="AY20" s="107">
        <v>254812.23214934263</v>
      </c>
      <c r="AZ20" s="229">
        <v>244718</v>
      </c>
      <c r="BA20" s="483">
        <f t="shared" si="23"/>
        <v>737318.70899009705</v>
      </c>
      <c r="BB20" s="483">
        <f t="shared" si="21"/>
        <v>663869</v>
      </c>
      <c r="BC20" s="1127">
        <f t="shared" si="24"/>
        <v>1482385.4143967459</v>
      </c>
      <c r="BD20" s="1127">
        <f t="shared" si="25"/>
        <v>1316567</v>
      </c>
      <c r="BE20" s="584">
        <f>+AW20+AY20</f>
        <v>2841045.0110166827</v>
      </c>
      <c r="BF20" s="43">
        <f t="shared" si="16"/>
        <v>2741370</v>
      </c>
      <c r="BG20" s="2446"/>
      <c r="BH20" s="2446"/>
      <c r="BI20" s="2445"/>
      <c r="BJ20" s="2445"/>
      <c r="BK20" s="3564"/>
      <c r="BL20" s="2445"/>
      <c r="BM20" s="3564"/>
      <c r="BN20" s="3564"/>
    </row>
    <row r="21" spans="1:66" ht="13.8" x14ac:dyDescent="0.25">
      <c r="A21" s="1257"/>
      <c r="B21" s="3247" t="s">
        <v>298</v>
      </c>
      <c r="C21" s="883"/>
      <c r="D21" s="882"/>
      <c r="E21" s="3248"/>
      <c r="F21" s="3248"/>
      <c r="G21" s="3248"/>
      <c r="H21" s="3248"/>
      <c r="I21" s="3248"/>
      <c r="J21" s="3248"/>
      <c r="K21" s="3248"/>
      <c r="L21" s="3248"/>
      <c r="M21" s="3248"/>
      <c r="N21" s="3248"/>
      <c r="O21" s="3248"/>
      <c r="P21" s="3248"/>
      <c r="Q21" s="3248"/>
      <c r="R21" s="3248"/>
      <c r="S21" s="3248"/>
      <c r="T21" s="3248"/>
      <c r="U21" s="3248"/>
      <c r="V21" s="3248"/>
      <c r="W21" s="3248"/>
      <c r="X21" s="3248"/>
      <c r="Y21" s="3248"/>
      <c r="Z21" s="3248"/>
      <c r="AA21" s="3248"/>
      <c r="AB21" s="3248"/>
      <c r="AC21" s="3248"/>
      <c r="AD21" s="3248"/>
      <c r="AE21" s="3248"/>
      <c r="AF21" s="3248"/>
      <c r="AG21" s="3248"/>
      <c r="AH21" s="3248"/>
      <c r="AI21" s="3248"/>
      <c r="AJ21" s="3248"/>
      <c r="AK21" s="3248"/>
      <c r="AL21" s="3248"/>
      <c r="AM21" s="3248"/>
      <c r="AN21" s="3248"/>
      <c r="AO21" s="3248"/>
      <c r="AP21" s="3248"/>
      <c r="AQ21" s="3248"/>
      <c r="AR21" s="3248"/>
      <c r="AS21" s="3248"/>
      <c r="AT21" s="3248"/>
      <c r="AU21" s="3248"/>
      <c r="AV21" s="3248"/>
      <c r="AW21" s="3248"/>
      <c r="AX21" s="3248"/>
      <c r="AY21" s="3248"/>
      <c r="AZ21" s="3248"/>
      <c r="BA21" s="3248"/>
      <c r="BB21" s="3248"/>
      <c r="BC21" s="3248"/>
      <c r="BD21" s="3248"/>
      <c r="BE21" s="3248"/>
      <c r="BF21" s="2448"/>
      <c r="BG21" s="2446"/>
      <c r="BH21" s="2446"/>
      <c r="BI21" s="2445"/>
      <c r="BJ21" s="2445"/>
      <c r="BK21" s="3564"/>
      <c r="BL21" s="2445"/>
      <c r="BM21" s="3564"/>
      <c r="BN21" s="3564"/>
    </row>
    <row r="22" spans="1:66" ht="13.8" x14ac:dyDescent="0.25">
      <c r="B22" s="1709" t="s">
        <v>283</v>
      </c>
      <c r="C22" s="59" t="s">
        <v>175</v>
      </c>
      <c r="D22" s="5888">
        <f>+D29/150</f>
        <v>13189.747716727199</v>
      </c>
      <c r="E22" s="6261">
        <f>+E29/150</f>
        <v>1144.5008359058334</v>
      </c>
      <c r="F22" s="2599">
        <v>401</v>
      </c>
      <c r="G22" s="6261">
        <f>+G29/150</f>
        <v>1173.7546331938931</v>
      </c>
      <c r="H22" s="2599">
        <v>524</v>
      </c>
      <c r="I22" s="6262">
        <f>+E22+G22</f>
        <v>2318.2554690997267</v>
      </c>
      <c r="J22" s="2882">
        <f>+F22+H22</f>
        <v>925</v>
      </c>
      <c r="K22" s="6261">
        <f>+K29/150</f>
        <v>1140.9828060025734</v>
      </c>
      <c r="L22" s="2599">
        <v>541</v>
      </c>
      <c r="M22" s="6266">
        <f>+K22+G22+E22</f>
        <v>3459.2382751023001</v>
      </c>
      <c r="N22" s="2539">
        <f>+L22+H22+F22</f>
        <v>1466</v>
      </c>
      <c r="O22" s="6261">
        <f>+O29/150</f>
        <v>1142.2783977516533</v>
      </c>
      <c r="P22" s="2599">
        <v>587</v>
      </c>
      <c r="Q22" s="6262">
        <f>+M22+O22</f>
        <v>4601.5166728539534</v>
      </c>
      <c r="R22" s="2882">
        <f>+N22+P22</f>
        <v>2053</v>
      </c>
      <c r="S22" s="6261">
        <f>+S29/150</f>
        <v>1142.2783977516533</v>
      </c>
      <c r="T22" s="2599">
        <v>512</v>
      </c>
      <c r="U22" s="6262">
        <f>+Q22+S22</f>
        <v>5743.7950706056072</v>
      </c>
      <c r="V22" s="2882">
        <f>+R22+T22</f>
        <v>2565</v>
      </c>
      <c r="W22" s="6261">
        <f>+W29/150</f>
        <v>603.76319572653995</v>
      </c>
      <c r="X22" s="2599">
        <v>490</v>
      </c>
      <c r="Y22" s="6266">
        <f>+W22+S22+O22</f>
        <v>2888.3199912298464</v>
      </c>
      <c r="Z22" s="2539">
        <f t="shared" si="18"/>
        <v>1589</v>
      </c>
      <c r="AA22" s="6267">
        <f>+Y22+M22</f>
        <v>6347.5582663321466</v>
      </c>
      <c r="AB22" s="3250">
        <f t="shared" si="17"/>
        <v>3055</v>
      </c>
      <c r="AC22" s="6261">
        <f>+AC29/150</f>
        <v>1159.6825333333334</v>
      </c>
      <c r="AD22" s="2599">
        <v>440</v>
      </c>
      <c r="AE22" s="6262">
        <f>+AA22+AC22</f>
        <v>7507.2407996654802</v>
      </c>
      <c r="AF22" s="2882">
        <f>+AB22+AD22</f>
        <v>3495</v>
      </c>
      <c r="AG22" s="6261">
        <f>+AG29/150</f>
        <v>1123.3926564863066</v>
      </c>
      <c r="AH22" s="2599">
        <v>542</v>
      </c>
      <c r="AI22" s="6262">
        <f>+AE22+AG22</f>
        <v>8630.633456151787</v>
      </c>
      <c r="AJ22" s="2882">
        <f>+AF22+AH22</f>
        <v>4037</v>
      </c>
      <c r="AK22" s="6261">
        <f>+AK29/150</f>
        <v>1156.16448367762</v>
      </c>
      <c r="AL22" s="2599">
        <v>455</v>
      </c>
      <c r="AM22" s="6266">
        <f>+AK22+AG22+AC22</f>
        <v>3439.2396734972599</v>
      </c>
      <c r="AN22" s="2539">
        <f t="shared" ref="AN22:AN24" si="26">+AL22+AH22+AD22</f>
        <v>1437</v>
      </c>
      <c r="AO22" s="6262">
        <f>+AK22+AI22</f>
        <v>9786.7979398294065</v>
      </c>
      <c r="AP22" s="2538">
        <f t="shared" si="20"/>
        <v>4492</v>
      </c>
      <c r="AQ22" s="6261">
        <f>+AQ29/150</f>
        <v>1177.8274421281592</v>
      </c>
      <c r="AR22" s="2599">
        <v>459</v>
      </c>
      <c r="AS22" s="6262">
        <f>+AO22+AQ22</f>
        <v>10964.625381957565</v>
      </c>
      <c r="AT22" s="2882">
        <f>+AP22+AR22</f>
        <v>4951</v>
      </c>
      <c r="AU22" s="6261">
        <f>+AU29/150</f>
        <v>1050.8129422971672</v>
      </c>
      <c r="AV22" s="2599">
        <v>366</v>
      </c>
      <c r="AW22" s="6262">
        <f>+AS22+AU22</f>
        <v>12015.438324254732</v>
      </c>
      <c r="AX22" s="2882">
        <f>+AT22+AV22</f>
        <v>5317</v>
      </c>
      <c r="AY22" s="6261">
        <f>+AY29/150</f>
        <v>1174.3094122249049</v>
      </c>
      <c r="AZ22" s="2599">
        <v>472</v>
      </c>
      <c r="BA22" s="6266">
        <f>+AY22+AU22+AQ22</f>
        <v>3402.9497966502313</v>
      </c>
      <c r="BB22" s="2539">
        <f t="shared" ref="BB22:BB24" si="27">+AZ22+AV22+AR22</f>
        <v>1297</v>
      </c>
      <c r="BC22" s="6267">
        <f>+BA22+AM22</f>
        <v>6842.1894701474912</v>
      </c>
      <c r="BD22" s="2579">
        <f t="shared" ref="BD22:BD24" si="28">+BB22+AN22</f>
        <v>2734</v>
      </c>
      <c r="BE22" s="6262">
        <f>+AW22+AY22</f>
        <v>13189.747736479636</v>
      </c>
      <c r="BF22" s="3072">
        <f>+AX22+AZ22</f>
        <v>5789</v>
      </c>
      <c r="BG22" s="2446"/>
      <c r="BH22" s="2446"/>
      <c r="BI22" s="2445"/>
      <c r="BJ22" s="2445"/>
      <c r="BK22" s="3564"/>
      <c r="BL22" s="2445"/>
      <c r="BM22" s="3564"/>
      <c r="BN22" s="3564"/>
    </row>
    <row r="23" spans="1:66" ht="13.8" x14ac:dyDescent="0.25">
      <c r="B23" s="1699" t="s">
        <v>284</v>
      </c>
      <c r="C23" s="2803" t="s">
        <v>175</v>
      </c>
      <c r="D23" s="5888"/>
      <c r="E23" s="6261"/>
      <c r="F23" s="2599">
        <v>553</v>
      </c>
      <c r="G23" s="6261"/>
      <c r="H23" s="2599">
        <v>599</v>
      </c>
      <c r="I23" s="6262"/>
      <c r="J23" s="2882">
        <f>+F23+H23</f>
        <v>1152</v>
      </c>
      <c r="K23" s="6261"/>
      <c r="L23" s="2599">
        <v>626</v>
      </c>
      <c r="M23" s="6266"/>
      <c r="N23" s="2539">
        <f>+L23+H23+F23</f>
        <v>1778</v>
      </c>
      <c r="O23" s="6261"/>
      <c r="P23" s="2599">
        <v>611</v>
      </c>
      <c r="Q23" s="6262"/>
      <c r="R23" s="2882">
        <f>+N23+P23</f>
        <v>2389</v>
      </c>
      <c r="S23" s="6261"/>
      <c r="T23" s="2599">
        <v>633</v>
      </c>
      <c r="U23" s="6262"/>
      <c r="V23" s="2882">
        <f>+R23+T23</f>
        <v>3022</v>
      </c>
      <c r="W23" s="6261"/>
      <c r="X23" s="2599">
        <v>612</v>
      </c>
      <c r="Y23" s="6266"/>
      <c r="Z23" s="2539">
        <f t="shared" si="18"/>
        <v>1856</v>
      </c>
      <c r="AA23" s="6267"/>
      <c r="AB23" s="3250">
        <f t="shared" si="17"/>
        <v>3634</v>
      </c>
      <c r="AC23" s="6261"/>
      <c r="AD23" s="2599">
        <v>426</v>
      </c>
      <c r="AE23" s="6262"/>
      <c r="AF23" s="2882">
        <f>+AB23+AD23</f>
        <v>4060</v>
      </c>
      <c r="AG23" s="6261"/>
      <c r="AH23" s="2599">
        <v>589</v>
      </c>
      <c r="AI23" s="6262"/>
      <c r="AJ23" s="2882">
        <f>+AF23+AH23</f>
        <v>4649</v>
      </c>
      <c r="AK23" s="6261"/>
      <c r="AL23" s="2599">
        <v>630</v>
      </c>
      <c r="AM23" s="6266"/>
      <c r="AN23" s="2539">
        <f t="shared" si="26"/>
        <v>1645</v>
      </c>
      <c r="AO23" s="6262"/>
      <c r="AP23" s="2538">
        <f t="shared" si="20"/>
        <v>5279</v>
      </c>
      <c r="AQ23" s="6261"/>
      <c r="AR23" s="2599">
        <v>597</v>
      </c>
      <c r="AS23" s="6262"/>
      <c r="AT23" s="2882">
        <f>+AP23+AR23</f>
        <v>5876</v>
      </c>
      <c r="AU23" s="6261"/>
      <c r="AV23" s="2599">
        <v>502</v>
      </c>
      <c r="AW23" s="6262"/>
      <c r="AX23" s="2882">
        <f>+AT23+AV23</f>
        <v>6378</v>
      </c>
      <c r="AY23" s="6261"/>
      <c r="AZ23" s="2599">
        <v>645</v>
      </c>
      <c r="BA23" s="6266"/>
      <c r="BB23" s="2539">
        <f t="shared" si="27"/>
        <v>1744</v>
      </c>
      <c r="BC23" s="6267"/>
      <c r="BD23" s="2579">
        <f t="shared" si="28"/>
        <v>3389</v>
      </c>
      <c r="BE23" s="6262"/>
      <c r="BF23" s="3072">
        <f>+AX23+AZ23</f>
        <v>7023</v>
      </c>
      <c r="BG23" s="2446"/>
      <c r="BH23" s="2446"/>
      <c r="BI23" s="2445"/>
      <c r="BJ23" s="2445"/>
      <c r="BK23" s="3564"/>
      <c r="BL23" s="2445"/>
      <c r="BM23" s="3564"/>
      <c r="BN23" s="3564"/>
    </row>
    <row r="24" spans="1:66" ht="14.4" thickBot="1" x14ac:dyDescent="0.3">
      <c r="B24" s="1700" t="s">
        <v>285</v>
      </c>
      <c r="C24" s="742" t="s">
        <v>175</v>
      </c>
      <c r="D24" s="152">
        <f>+D38/150</f>
        <v>5277.0448548812665</v>
      </c>
      <c r="E24" s="2599">
        <f>+E38/150</f>
        <v>436.23570800351797</v>
      </c>
      <c r="F24" s="2599">
        <v>369</v>
      </c>
      <c r="G24" s="2599">
        <f>+G38/150</f>
        <v>457.34388742304327</v>
      </c>
      <c r="H24" s="2599">
        <v>393</v>
      </c>
      <c r="I24" s="2538">
        <f>+E24+G24</f>
        <v>893.57959542656124</v>
      </c>
      <c r="J24" s="2882">
        <f>+F24+H24</f>
        <v>762</v>
      </c>
      <c r="K24" s="2599">
        <f>+K38/150</f>
        <v>439.7537379067727</v>
      </c>
      <c r="L24" s="2599">
        <v>389</v>
      </c>
      <c r="M24" s="2539">
        <f>+K24+G24+E24</f>
        <v>1333.3333333333339</v>
      </c>
      <c r="N24" s="2539">
        <f>+L24+H24+F24</f>
        <v>1151</v>
      </c>
      <c r="O24" s="2599">
        <f>+O38/150</f>
        <v>457.3438874230427</v>
      </c>
      <c r="P24" s="2599">
        <v>412</v>
      </c>
      <c r="Q24" s="2538">
        <f>+M24+O24</f>
        <v>1790.6772207563768</v>
      </c>
      <c r="R24" s="2882">
        <f>+N24+P24</f>
        <v>1563</v>
      </c>
      <c r="S24" s="2599">
        <f>+S38/150</f>
        <v>457.3438874230427</v>
      </c>
      <c r="T24" s="2599">
        <v>370</v>
      </c>
      <c r="U24" s="2538">
        <f>+Q24+S24</f>
        <v>2248.0211081794196</v>
      </c>
      <c r="V24" s="2882">
        <f>+R24+T24</f>
        <v>1933</v>
      </c>
      <c r="W24" s="2599">
        <f>+W38/150</f>
        <v>235.70800351803064</v>
      </c>
      <c r="X24" s="2599">
        <v>346</v>
      </c>
      <c r="Y24" s="2539">
        <f t="shared" si="18"/>
        <v>1150.395778364116</v>
      </c>
      <c r="Z24" s="2539">
        <f t="shared" si="18"/>
        <v>1128</v>
      </c>
      <c r="AA24" s="2579">
        <f>+Y24+M24</f>
        <v>2483.7291116974502</v>
      </c>
      <c r="AB24" s="3250">
        <f t="shared" si="17"/>
        <v>2279</v>
      </c>
      <c r="AC24" s="2599">
        <f>+AC38/150</f>
        <v>471.41599999999994</v>
      </c>
      <c r="AD24" s="2599">
        <v>279</v>
      </c>
      <c r="AE24" s="2538">
        <f>+AA24+AC24</f>
        <v>2955.1451116974504</v>
      </c>
      <c r="AF24" s="2882">
        <f>+AB24+AD24</f>
        <v>2558</v>
      </c>
      <c r="AG24" s="2599">
        <f>+AG38/150</f>
        <v>457.34388742304327</v>
      </c>
      <c r="AH24" s="2599">
        <v>326</v>
      </c>
      <c r="AI24" s="2538">
        <f>+AE24+AG24</f>
        <v>3412.4889991204936</v>
      </c>
      <c r="AJ24" s="2882">
        <f>+AF24+AH24</f>
        <v>2884</v>
      </c>
      <c r="AK24" s="2599">
        <f>+AK38/150</f>
        <v>474.93403693931401</v>
      </c>
      <c r="AL24" s="2599">
        <v>419</v>
      </c>
      <c r="AM24" s="2539">
        <f t="shared" ref="AM24" si="29">+AK24+AG24+AC24</f>
        <v>1403.6939243623572</v>
      </c>
      <c r="AN24" s="2539">
        <f t="shared" si="26"/>
        <v>1024</v>
      </c>
      <c r="AO24" s="2538">
        <f t="shared" si="20"/>
        <v>3887.4230360598076</v>
      </c>
      <c r="AP24" s="2538">
        <f t="shared" si="20"/>
        <v>3303</v>
      </c>
      <c r="AQ24" s="2599">
        <f>+AQ38/150</f>
        <v>478.45206684256789</v>
      </c>
      <c r="AR24" s="2599">
        <v>405</v>
      </c>
      <c r="AS24" s="2538">
        <f>+AO24+AQ24</f>
        <v>4365.8751029023751</v>
      </c>
      <c r="AT24" s="2882">
        <f>+AP24+AR24</f>
        <v>3708</v>
      </c>
      <c r="AU24" s="2599">
        <f>+AU38/150</f>
        <v>429.19964819700959</v>
      </c>
      <c r="AV24" s="2599">
        <v>317</v>
      </c>
      <c r="AW24" s="2538">
        <f>+AS24+AU24</f>
        <v>4795.0747510993851</v>
      </c>
      <c r="AX24" s="2882">
        <f>+AT24+AV24</f>
        <v>4025</v>
      </c>
      <c r="AY24" s="2599">
        <f>+AY38/150</f>
        <v>481.97009674582222</v>
      </c>
      <c r="AZ24" s="2599">
        <v>409</v>
      </c>
      <c r="BA24" s="2539">
        <f t="shared" ref="BA24" si="30">+AY24+AU24+AQ24</f>
        <v>1389.6218117853996</v>
      </c>
      <c r="BB24" s="2539">
        <f t="shared" si="27"/>
        <v>1131</v>
      </c>
      <c r="BC24" s="2579">
        <f>+BA24+AM24</f>
        <v>2793.315736147757</v>
      </c>
      <c r="BD24" s="2579">
        <f t="shared" si="28"/>
        <v>2155</v>
      </c>
      <c r="BE24" s="2538">
        <f>+AW24+AY24</f>
        <v>5277.0448478452072</v>
      </c>
      <c r="BF24" s="3072">
        <f>+AX24+AZ24</f>
        <v>4434</v>
      </c>
      <c r="BG24" s="2446"/>
      <c r="BH24" s="2446"/>
      <c r="BI24" s="2445"/>
      <c r="BJ24" s="2445"/>
      <c r="BK24" s="3564"/>
      <c r="BL24" s="2445"/>
      <c r="BM24" s="3564"/>
      <c r="BN24" s="3564"/>
    </row>
    <row r="25" spans="1:66" ht="14.4" thickBot="1" x14ac:dyDescent="0.3">
      <c r="B25" s="2284" t="s">
        <v>286</v>
      </c>
      <c r="C25" s="3252" t="s">
        <v>175</v>
      </c>
      <c r="D25" s="3271">
        <f t="shared" ref="D25:J25" si="31">SUM(D22:D24)</f>
        <v>18466.792571608465</v>
      </c>
      <c r="E25" s="3272">
        <f t="shared" si="31"/>
        <v>1580.7365439093514</v>
      </c>
      <c r="F25" s="3111">
        <f t="shared" si="31"/>
        <v>1323</v>
      </c>
      <c r="G25" s="3272">
        <f t="shared" ref="G25:H25" si="32">SUM(G22:G24)</f>
        <v>1631.0985206169364</v>
      </c>
      <c r="H25" s="3111">
        <f t="shared" si="32"/>
        <v>1516</v>
      </c>
      <c r="I25" s="3273">
        <f t="shared" si="31"/>
        <v>3211.8350645262881</v>
      </c>
      <c r="J25" s="3109">
        <f t="shared" si="31"/>
        <v>2839</v>
      </c>
      <c r="K25" s="3272">
        <f t="shared" ref="K25:L25" si="33">SUM(K22:K24)</f>
        <v>1580.736543909346</v>
      </c>
      <c r="L25" s="3111">
        <f t="shared" si="33"/>
        <v>1556</v>
      </c>
      <c r="M25" s="3274">
        <f t="shared" ref="M25:R25" si="34">SUM(M22:M24)</f>
        <v>4792.5716084356336</v>
      </c>
      <c r="N25" s="3240">
        <f t="shared" si="34"/>
        <v>4395</v>
      </c>
      <c r="O25" s="3272">
        <f t="shared" si="34"/>
        <v>1599.6222851746961</v>
      </c>
      <c r="P25" s="3111">
        <f t="shared" si="34"/>
        <v>1610</v>
      </c>
      <c r="Q25" s="3273">
        <f t="shared" si="34"/>
        <v>6392.1938936103306</v>
      </c>
      <c r="R25" s="3109">
        <f t="shared" si="34"/>
        <v>6005</v>
      </c>
      <c r="S25" s="3272">
        <f t="shared" ref="S25:T25" si="35">SUM(S22:S24)</f>
        <v>1599.6222851746961</v>
      </c>
      <c r="T25" s="3111">
        <f t="shared" si="35"/>
        <v>1515</v>
      </c>
      <c r="U25" s="3273">
        <f t="shared" ref="U25:X25" si="36">SUM(U22:U24)</f>
        <v>7991.8161787850268</v>
      </c>
      <c r="V25" s="3109">
        <f t="shared" si="36"/>
        <v>7520</v>
      </c>
      <c r="W25" s="3272">
        <f t="shared" si="36"/>
        <v>839.47119924457058</v>
      </c>
      <c r="X25" s="3111">
        <f t="shared" si="36"/>
        <v>1448</v>
      </c>
      <c r="Y25" s="3274">
        <f t="shared" ref="Y25:AF25" si="37">SUM(Y22:Y24)</f>
        <v>4038.7157695939622</v>
      </c>
      <c r="Z25" s="3240">
        <f t="shared" si="37"/>
        <v>4573</v>
      </c>
      <c r="AA25" s="2566">
        <f t="shared" si="37"/>
        <v>8831.2873780295959</v>
      </c>
      <c r="AB25" s="3241">
        <f t="shared" si="37"/>
        <v>8968</v>
      </c>
      <c r="AC25" s="3272">
        <f t="shared" si="37"/>
        <v>1631.0985333333333</v>
      </c>
      <c r="AD25" s="3111">
        <f t="shared" si="37"/>
        <v>1145</v>
      </c>
      <c r="AE25" s="3273">
        <f t="shared" si="37"/>
        <v>10462.38591136293</v>
      </c>
      <c r="AF25" s="3109">
        <f t="shared" si="37"/>
        <v>10113</v>
      </c>
      <c r="AG25" s="3272">
        <f t="shared" ref="AG25:AH25" si="38">SUM(AG22:AG24)</f>
        <v>1580.7365439093498</v>
      </c>
      <c r="AH25" s="3111">
        <f t="shared" si="38"/>
        <v>1457</v>
      </c>
      <c r="AI25" s="3273">
        <f t="shared" ref="AI25:AL25" si="39">SUM(AI22:AI24)</f>
        <v>12043.122455272282</v>
      </c>
      <c r="AJ25" s="3109">
        <f t="shared" si="39"/>
        <v>11570</v>
      </c>
      <c r="AK25" s="3272">
        <f t="shared" si="39"/>
        <v>1631.0985206169339</v>
      </c>
      <c r="AL25" s="3111">
        <f t="shared" si="39"/>
        <v>1504</v>
      </c>
      <c r="AM25" s="3274">
        <f t="shared" ref="AM25:AT25" si="40">SUM(AM22:AM24)</f>
        <v>4842.9335978596173</v>
      </c>
      <c r="AN25" s="3240">
        <f t="shared" si="40"/>
        <v>4106</v>
      </c>
      <c r="AO25" s="3273">
        <f t="shared" si="40"/>
        <v>13674.220975889213</v>
      </c>
      <c r="AP25" s="3109">
        <f t="shared" si="40"/>
        <v>13074</v>
      </c>
      <c r="AQ25" s="3272">
        <f>SUM(AQ22:AQ24)</f>
        <v>1656.279508970727</v>
      </c>
      <c r="AR25" s="3111">
        <f>SUM(AR22:AR24)</f>
        <v>1461</v>
      </c>
      <c r="AS25" s="3273">
        <f t="shared" si="40"/>
        <v>15330.50048485994</v>
      </c>
      <c r="AT25" s="3109">
        <f t="shared" si="40"/>
        <v>14535</v>
      </c>
      <c r="AU25" s="3272">
        <f>SUM(AU22:AU24)</f>
        <v>1480.0125904941767</v>
      </c>
      <c r="AV25" s="3111">
        <f>SUM(AV22:AV24)</f>
        <v>1185</v>
      </c>
      <c r="AW25" s="3273">
        <f t="shared" ref="AW25:AX25" si="41">SUM(AW22:AW24)</f>
        <v>16810.513075354116</v>
      </c>
      <c r="AX25" s="3109">
        <f t="shared" si="41"/>
        <v>15720</v>
      </c>
      <c r="AY25" s="3272">
        <f>SUM(AY22:AY24)</f>
        <v>1656.2795089707272</v>
      </c>
      <c r="AZ25" s="3111">
        <f>SUM(AZ22:AZ24)</f>
        <v>1526</v>
      </c>
      <c r="BA25" s="3274">
        <f t="shared" ref="BA25:BD25" si="42">SUM(BA22:BA24)</f>
        <v>4792.5716084356309</v>
      </c>
      <c r="BB25" s="3240">
        <f t="shared" si="42"/>
        <v>4172</v>
      </c>
      <c r="BC25" s="2566">
        <f t="shared" si="42"/>
        <v>9635.5052062952491</v>
      </c>
      <c r="BD25" s="3241">
        <f t="shared" si="42"/>
        <v>8278</v>
      </c>
      <c r="BE25" s="3273">
        <f t="shared" ref="BE25:BF25" si="43">SUM(BE22:BE24)</f>
        <v>18466.792584324845</v>
      </c>
      <c r="BF25" s="905">
        <f t="shared" si="43"/>
        <v>17246</v>
      </c>
      <c r="BG25" s="2446"/>
      <c r="BH25" s="2446"/>
      <c r="BI25" s="2445"/>
      <c r="BJ25" s="2445"/>
      <c r="BK25" s="3564"/>
      <c r="BL25" s="2445"/>
      <c r="BM25" s="3564"/>
      <c r="BN25" s="3564"/>
    </row>
    <row r="26" spans="1:66" ht="14.4" thickBot="1" x14ac:dyDescent="0.3">
      <c r="B26" s="3276" t="s">
        <v>557</v>
      </c>
      <c r="C26" s="3227" t="s">
        <v>353</v>
      </c>
      <c r="D26" s="3277">
        <f>+'Maj Production Summ'!D21</f>
        <v>54.152138305122264</v>
      </c>
      <c r="E26" s="3277">
        <f>+'Maj Production Summ'!E21</f>
        <v>54.508156686529361</v>
      </c>
      <c r="F26" s="3277">
        <f>+'Maj Production Summ'!F21</f>
        <v>49.612499999999997</v>
      </c>
      <c r="G26" s="3277">
        <f>+'Maj Production Summ'!G21</f>
        <v>54.369950687231139</v>
      </c>
      <c r="H26" s="3277">
        <f>+'Maj Production Summ'!H21</f>
        <v>50.886713286713288</v>
      </c>
      <c r="I26" s="2227">
        <f>+'Maj Production Summ'!I21</f>
        <v>54.437882449598057</v>
      </c>
      <c r="J26" s="2227">
        <f>+'Maj Production Summ'!J21</f>
        <v>50.284870848708486</v>
      </c>
      <c r="K26" s="3277">
        <f>+'Maj Production Summ'!K21</f>
        <v>54.508156686529261</v>
      </c>
      <c r="L26" s="3277">
        <f>+'Maj Production Summ'!L21</f>
        <v>52.547595930600707</v>
      </c>
      <c r="M26" s="2228">
        <f>+'Maj Production Summ'!M21</f>
        <v>54.461041004950381</v>
      </c>
      <c r="N26" s="2228">
        <f>+'Maj Production Summ'!N21</f>
        <v>51.063335382708765</v>
      </c>
      <c r="O26" s="3277">
        <f>+'Maj Production Summ'!O21</f>
        <v>53.320742839156438</v>
      </c>
      <c r="P26" s="3277">
        <f>+'Maj Production Summ'!P21</f>
        <v>51.935483870967744</v>
      </c>
      <c r="Q26" s="3277">
        <f>+'Maj Production Summ'!Q21</f>
        <v>54.171134691612941</v>
      </c>
      <c r="R26" s="3277">
        <f>+'Maj Production Summ'!R21</f>
        <v>51.29428011118744</v>
      </c>
      <c r="S26" s="3277">
        <f>+'Maj Production Summ'!S21</f>
        <v>53.320742839156438</v>
      </c>
      <c r="T26" s="3277">
        <f>+'Maj Production Summ'!T21</f>
        <v>50.459118769515442</v>
      </c>
      <c r="U26" s="3277">
        <f>+'Maj Production Summ'!U21</f>
        <v>53.998757964763648</v>
      </c>
      <c r="V26" s="3277">
        <f>+'Maj Production Summ'!V21</f>
        <v>51.123809811571604</v>
      </c>
      <c r="W26" s="3277">
        <f>+'Maj Production Summ'!W21</f>
        <v>49.331711652010291</v>
      </c>
      <c r="X26" s="3277">
        <f>+'Maj Production Summ'!X21</f>
        <v>48.797337714309791</v>
      </c>
      <c r="Y26" s="3277">
        <f>+'Maj Production Summ'!Y21</f>
        <v>52.439366885097684</v>
      </c>
      <c r="Z26" s="3277">
        <f>+'Maj Production Summ'!Z21</f>
        <v>50.420044531151902</v>
      </c>
      <c r="AA26" s="3277">
        <f>+'Maj Production Summ'!AA21</f>
        <v>53.517482869692472</v>
      </c>
      <c r="AB26" s="3277">
        <f>+'Maj Production Summ'!AB21</f>
        <v>50.733268014271722</v>
      </c>
      <c r="AC26" s="3277">
        <f>+'Maj Production Summ'!AC21</f>
        <v>54.369951111111114</v>
      </c>
      <c r="AD26" s="3277">
        <f>+'Maj Production Summ'!AD21</f>
        <v>45.927576601671305</v>
      </c>
      <c r="AE26" s="3277">
        <f>+'Maj Production Summ'!AE21</f>
        <v>53.648620486527129</v>
      </c>
      <c r="AF26" s="3277">
        <f>+'Maj Production Summ'!AF21</f>
        <v>50.139268860859914</v>
      </c>
      <c r="AG26" s="3277">
        <f>+'Maj Production Summ'!AG21</f>
        <v>54.508156686529261</v>
      </c>
      <c r="AH26" s="3277">
        <f>+'Maj Production Summ'!AH21</f>
        <v>50.055827535858455</v>
      </c>
      <c r="AI26" s="3277">
        <f>+'Maj Production Summ'!AI21</f>
        <v>53.759891347876056</v>
      </c>
      <c r="AJ26" s="3277">
        <f>+'Maj Production Summ'!AJ21</f>
        <v>50.128745860665624</v>
      </c>
      <c r="AK26" s="3277">
        <f>+'Maj Production Summ'!AK21</f>
        <v>54.369950687231139</v>
      </c>
      <c r="AL26" s="3277">
        <f>+'Maj Production Summ'!AL21</f>
        <v>48.993552765524257</v>
      </c>
      <c r="AM26" s="3277">
        <f>+'Maj Production Summ'!AM21</f>
        <v>54.414984245613667</v>
      </c>
      <c r="AN26" s="3277">
        <f>+'Maj Production Summ'!AN21</f>
        <v>48.456398059986981</v>
      </c>
      <c r="AO26" s="3277">
        <f>+'Maj Production Summ'!AO21</f>
        <v>53.831940815940698</v>
      </c>
      <c r="AP26" s="3277">
        <f>+'Maj Production Summ'!AP21</f>
        <v>49.995485509547876</v>
      </c>
      <c r="AQ26" s="3277">
        <f>+'Maj Production Summ'!AQ21</f>
        <v>55.20931696569091</v>
      </c>
      <c r="AR26" s="3277">
        <f>+'Maj Production Summ'!AR21</f>
        <v>48.03836054344103</v>
      </c>
      <c r="AS26" s="3277">
        <f>+'Maj Production Summ'!AS21</f>
        <v>53.977429655602265</v>
      </c>
      <c r="AT26" s="3277">
        <f>+'Maj Production Summ'!AT21</f>
        <v>49.791583503861681</v>
      </c>
      <c r="AU26" s="3277">
        <f>+'Maj Production Summ'!AU21</f>
        <v>54.815281129413961</v>
      </c>
      <c r="AV26" s="3277">
        <f>+'Maj Production Summ'!AV21</f>
        <v>42.97176011966819</v>
      </c>
      <c r="AW26" s="3277">
        <f>+'Maj Production Summ'!AW21</f>
        <v>54.050165227717514</v>
      </c>
      <c r="AX26" s="3277">
        <f>+'Maj Production Summ'!AX21</f>
        <v>49.202947377572968</v>
      </c>
      <c r="AY26" s="3277">
        <f>+'Maj Production Summ'!AY21</f>
        <v>55.20931696569091</v>
      </c>
      <c r="AZ26" s="3277">
        <f>+'Maj Production Summ'!AZ21</f>
        <v>50.91380908248378</v>
      </c>
      <c r="BA26" s="3277">
        <f>+'Maj Production Summ'!BA21</f>
        <v>55.087029982018748</v>
      </c>
      <c r="BB26" s="3277">
        <f>+'Maj Production Summ'!BB21</f>
        <v>47.429751596339308</v>
      </c>
      <c r="BC26" s="3277">
        <f>+'Maj Production Summ'!BC21</f>
        <v>54.74718867213209</v>
      </c>
      <c r="BD26" s="3277">
        <f>+'Maj Production Summ'!BD21</f>
        <v>47.933486834327496</v>
      </c>
      <c r="BE26" s="3277">
        <f>+'Maj Production Summ'!BE21</f>
        <v>54.152138342411838</v>
      </c>
      <c r="BF26" s="2462">
        <f>+'Maj Production Summ'!BF21</f>
        <v>49.349681060350129</v>
      </c>
      <c r="BG26" s="2446"/>
      <c r="BH26" s="2446"/>
      <c r="BI26" s="2445"/>
      <c r="BJ26" s="2445"/>
      <c r="BK26" s="3564"/>
      <c r="BL26" s="2445"/>
      <c r="BM26" s="3564"/>
      <c r="BN26" s="3564"/>
    </row>
    <row r="27" spans="1:66" ht="14.4" thickBot="1" x14ac:dyDescent="0.3">
      <c r="B27" s="1712" t="s">
        <v>448</v>
      </c>
      <c r="C27" s="828" t="s">
        <v>50</v>
      </c>
      <c r="D27" s="3228">
        <f>+D20-D5</f>
        <v>71026.125275417231</v>
      </c>
      <c r="E27" s="3278">
        <f>+E20-E5</f>
        <v>6079.7559381131723</v>
      </c>
      <c r="F27" s="3279">
        <v>2999</v>
      </c>
      <c r="G27" s="3278">
        <f>+G20-G5</f>
        <v>6273.4558485268208</v>
      </c>
      <c r="H27" s="3279">
        <v>3264</v>
      </c>
      <c r="I27" s="3280">
        <f>+E27+G27</f>
        <v>12353.211786639993</v>
      </c>
      <c r="J27" s="3280">
        <f>+F27+H27</f>
        <v>6263</v>
      </c>
      <c r="K27" s="3278">
        <f>+K20-K5</f>
        <v>6079.7559381131723</v>
      </c>
      <c r="L27" s="3279">
        <v>3400</v>
      </c>
      <c r="M27" s="3281">
        <f>+K27+G27+E27</f>
        <v>18432.967724753165</v>
      </c>
      <c r="N27" s="3281">
        <f>+L27+H27+F27</f>
        <v>9663</v>
      </c>
      <c r="O27" s="3278">
        <f>+O20-O5</f>
        <v>6152.3934045180213</v>
      </c>
      <c r="P27" s="3279">
        <v>3396</v>
      </c>
      <c r="Q27" s="3280">
        <f>+M27+O27</f>
        <v>24585.361129271187</v>
      </c>
      <c r="R27" s="3280">
        <f>+N27+P27</f>
        <v>13059</v>
      </c>
      <c r="S27" s="3278">
        <f>+S20-S5</f>
        <v>6152.3934045180213</v>
      </c>
      <c r="T27" s="3279">
        <v>3152</v>
      </c>
      <c r="U27" s="3280">
        <f>+Q27+S27</f>
        <v>30737.754533789208</v>
      </c>
      <c r="V27" s="3280">
        <f>+R27+T27</f>
        <v>16211</v>
      </c>
      <c r="W27" s="3278">
        <f>+W20-W5</f>
        <v>3228.7353817094408</v>
      </c>
      <c r="X27" s="3279">
        <v>3350</v>
      </c>
      <c r="Y27" s="3282">
        <f>+W27+S27+O27</f>
        <v>15533.522190745483</v>
      </c>
      <c r="Z27" s="3282">
        <f>+X27+T27+P27</f>
        <v>9898</v>
      </c>
      <c r="AA27" s="3226">
        <f>+Y27+M27</f>
        <v>33966.489915498649</v>
      </c>
      <c r="AB27" s="3226">
        <f t="shared" ref="AB27:AB33" si="44">+Z27+N27</f>
        <v>19561</v>
      </c>
      <c r="AC27" s="3278">
        <f>+AC20-AC5</f>
        <v>6273.4558485268208</v>
      </c>
      <c r="AD27" s="3279">
        <v>2730</v>
      </c>
      <c r="AE27" s="3280">
        <f>+AA27+AC27</f>
        <v>40239.94576402547</v>
      </c>
      <c r="AF27" s="3280">
        <f>+AB27+AD27</f>
        <v>22291</v>
      </c>
      <c r="AG27" s="3278">
        <f>+AG20-AG5</f>
        <v>6079.7559381131723</v>
      </c>
      <c r="AH27" s="3279">
        <v>3388</v>
      </c>
      <c r="AI27" s="3280">
        <f>+AE27+AG27</f>
        <v>46319.701702138642</v>
      </c>
      <c r="AJ27" s="3280">
        <f>+AF27+AH27</f>
        <v>25679</v>
      </c>
      <c r="AK27" s="3278">
        <f>+AK20-AK5</f>
        <v>6273.4558485268208</v>
      </c>
      <c r="AL27" s="3279">
        <v>3512</v>
      </c>
      <c r="AM27" s="3282">
        <f>+AK27+AG27+AC27</f>
        <v>18626.667635166814</v>
      </c>
      <c r="AN27" s="3282">
        <f>+AL27+AH27+AD27</f>
        <v>9630</v>
      </c>
      <c r="AO27" s="3280">
        <f>+AK27+AI27</f>
        <v>52593.157550665463</v>
      </c>
      <c r="AP27" s="3280">
        <f>+AL27+AJ27</f>
        <v>29191</v>
      </c>
      <c r="AQ27" s="3278">
        <f>+AQ20-AQ5</f>
        <v>6370.3058037335577</v>
      </c>
      <c r="AR27" s="3279">
        <v>3281</v>
      </c>
      <c r="AS27" s="3280">
        <f>+AO27+AQ27</f>
        <v>58963.46335439902</v>
      </c>
      <c r="AT27" s="3280">
        <f>+AP27+AR27</f>
        <v>32472</v>
      </c>
      <c r="AU27" s="3278">
        <f>+AU20-AU5</f>
        <v>5692.3561172852933</v>
      </c>
      <c r="AV27" s="3279">
        <v>2807</v>
      </c>
      <c r="AW27" s="3280">
        <f>+AS27+AU27</f>
        <v>64655.819471684314</v>
      </c>
      <c r="AX27" s="3280">
        <f>+AT27+AV27</f>
        <v>35279</v>
      </c>
      <c r="AY27" s="3278">
        <f>+AY20-AY5</f>
        <v>6370.3058037335577</v>
      </c>
      <c r="AZ27" s="3279">
        <v>3478</v>
      </c>
      <c r="BA27" s="3282">
        <f>+AY27+AU27+AQ27</f>
        <v>18432.967724752409</v>
      </c>
      <c r="BB27" s="3282">
        <f>+AZ27+AV27+AR27</f>
        <v>9566</v>
      </c>
      <c r="BC27" s="3226">
        <f t="shared" ref="BC27:BD33" si="45">+BA27+AM27</f>
        <v>37059.635359919223</v>
      </c>
      <c r="BD27" s="3226">
        <f t="shared" si="45"/>
        <v>19196</v>
      </c>
      <c r="BE27" s="3280">
        <f>+AW27+AY27</f>
        <v>71026.125275417871</v>
      </c>
      <c r="BF27" s="3283">
        <f>+AX27+AZ27</f>
        <v>38757</v>
      </c>
      <c r="BG27" s="2446"/>
      <c r="BH27" s="2446"/>
      <c r="BI27" s="2445"/>
      <c r="BJ27" s="2445"/>
      <c r="BK27" s="3564"/>
      <c r="BL27" s="2445"/>
      <c r="BM27" s="3564"/>
      <c r="BN27" s="3564"/>
    </row>
    <row r="28" spans="1:66" ht="14.4" thickBot="1" x14ac:dyDescent="0.3">
      <c r="A28" s="1257"/>
      <c r="B28" s="1297" t="s">
        <v>270</v>
      </c>
      <c r="C28" s="485"/>
      <c r="D28" s="882"/>
      <c r="E28" s="3248"/>
      <c r="F28" s="1676"/>
      <c r="G28" s="3248"/>
      <c r="H28" s="1676"/>
      <c r="I28" s="3248"/>
      <c r="J28" s="3284"/>
      <c r="K28" s="3248"/>
      <c r="L28" s="1676"/>
      <c r="M28" s="3248"/>
      <c r="N28" s="1676"/>
      <c r="O28" s="3248"/>
      <c r="P28" s="1676"/>
      <c r="Q28" s="3248"/>
      <c r="R28" s="1676"/>
      <c r="S28" s="3248"/>
      <c r="T28" s="1676"/>
      <c r="U28" s="3248"/>
      <c r="V28" s="1676"/>
      <c r="W28" s="3248"/>
      <c r="X28" s="1676"/>
      <c r="Y28" s="3248"/>
      <c r="Z28" s="1676"/>
      <c r="AA28" s="3248"/>
      <c r="AB28" s="1676"/>
      <c r="AC28" s="3248"/>
      <c r="AD28" s="1676"/>
      <c r="AE28" s="3248"/>
      <c r="AF28" s="1676"/>
      <c r="AG28" s="3248"/>
      <c r="AH28" s="1676"/>
      <c r="AI28" s="3248"/>
      <c r="AJ28" s="1676"/>
      <c r="AK28" s="3248"/>
      <c r="AL28" s="1676"/>
      <c r="AM28" s="3248"/>
      <c r="AN28" s="1676"/>
      <c r="AO28" s="3248"/>
      <c r="AP28" s="1676"/>
      <c r="AQ28" s="3248"/>
      <c r="AR28" s="1676"/>
      <c r="AS28" s="3248"/>
      <c r="AT28" s="1676"/>
      <c r="AU28" s="3248"/>
      <c r="AV28" s="1676"/>
      <c r="AW28" s="3248"/>
      <c r="AX28" s="1676"/>
      <c r="AY28" s="3248"/>
      <c r="AZ28" s="1676"/>
      <c r="BA28" s="3248"/>
      <c r="BB28" s="1676"/>
      <c r="BC28" s="3248"/>
      <c r="BD28" s="1676"/>
      <c r="BE28" s="3248"/>
      <c r="BF28" s="3284"/>
      <c r="BG28" s="2446"/>
      <c r="BH28" s="2446"/>
      <c r="BI28" s="2445"/>
      <c r="BJ28" s="2445"/>
      <c r="BK28" s="3564"/>
      <c r="BL28" s="2445"/>
      <c r="BM28" s="3564"/>
      <c r="BN28" s="3564"/>
    </row>
    <row r="29" spans="1:66" ht="13.8" x14ac:dyDescent="0.25">
      <c r="B29" s="3257" t="s">
        <v>160</v>
      </c>
      <c r="C29" s="751" t="s">
        <v>50</v>
      </c>
      <c r="D29" s="6291">
        <v>1978462.1575090799</v>
      </c>
      <c r="E29" s="6283">
        <v>171675.125385875</v>
      </c>
      <c r="F29" s="2599">
        <v>62420</v>
      </c>
      <c r="G29" s="6283">
        <v>176063.19497908399</v>
      </c>
      <c r="H29" s="2599">
        <v>81452.42</v>
      </c>
      <c r="I29" s="6276">
        <f>+E29+G29</f>
        <v>347738.32036495896</v>
      </c>
      <c r="J29" s="38">
        <f>+F29+H29</f>
        <v>143872.41999999998</v>
      </c>
      <c r="K29" s="6283">
        <v>171147.420900386</v>
      </c>
      <c r="L29" s="2599">
        <v>84359</v>
      </c>
      <c r="M29" s="6268">
        <f>E29+G29+K29</f>
        <v>518885.74126534496</v>
      </c>
      <c r="N29" s="2539">
        <f>+L29+H29+F29</f>
        <v>228231.41999999998</v>
      </c>
      <c r="O29" s="6283">
        <v>171341.75966274799</v>
      </c>
      <c r="P29" s="2599">
        <v>92367</v>
      </c>
      <c r="Q29" s="6276">
        <f>+M29+O29</f>
        <v>690227.50092809298</v>
      </c>
      <c r="R29" s="2538">
        <f>+N29+P29</f>
        <v>320598.42</v>
      </c>
      <c r="S29" s="6283">
        <v>171341.75966274799</v>
      </c>
      <c r="T29" s="2599">
        <v>80201</v>
      </c>
      <c r="U29" s="6276">
        <f>+Q29+S29</f>
        <v>861569.26059084095</v>
      </c>
      <c r="V29" s="2538">
        <f>+R29+T29</f>
        <v>400799.42</v>
      </c>
      <c r="W29" s="6283">
        <v>90564.479358981</v>
      </c>
      <c r="X29" s="2599">
        <v>76461.27</v>
      </c>
      <c r="Y29" s="6268">
        <f>+W29+S29+O29</f>
        <v>433247.99868447694</v>
      </c>
      <c r="Z29" s="2539">
        <f>+X29+T29+P29</f>
        <v>249029.27000000002</v>
      </c>
      <c r="AA29" s="6269">
        <f>+Y29+M29</f>
        <v>952133.73994982196</v>
      </c>
      <c r="AB29" s="2579">
        <f t="shared" si="44"/>
        <v>477260.69</v>
      </c>
      <c r="AC29" s="6283">
        <v>173952.38</v>
      </c>
      <c r="AD29" s="2599">
        <v>68585</v>
      </c>
      <c r="AE29" s="6276">
        <f>AA29+AC29</f>
        <v>1126086.1199498218</v>
      </c>
      <c r="AF29" s="2538">
        <f>+AB29+AD29</f>
        <v>545845.68999999994</v>
      </c>
      <c r="AG29" s="6283">
        <v>168508.89847294599</v>
      </c>
      <c r="AH29" s="2599">
        <v>85308</v>
      </c>
      <c r="AI29" s="6263">
        <f>AE29+AG29</f>
        <v>1294595.0184227678</v>
      </c>
      <c r="AJ29" s="2538">
        <f>+AF29+AH29</f>
        <v>631153.68999999994</v>
      </c>
      <c r="AK29" s="6283">
        <v>173424.67255164299</v>
      </c>
      <c r="AL29" s="2599">
        <v>70881</v>
      </c>
      <c r="AM29" s="6268">
        <f>+AK29+AG29+AC29</f>
        <v>515885.95102458901</v>
      </c>
      <c r="AN29" s="2539">
        <f>+AL29+AH29+AD29</f>
        <v>224774</v>
      </c>
      <c r="AO29" s="6276">
        <f>AK29+AI29</f>
        <v>1468019.6909744106</v>
      </c>
      <c r="AP29" s="2538">
        <f t="shared" ref="AP29:AP33" si="46">+AL29+AJ29</f>
        <v>702034.69</v>
      </c>
      <c r="AQ29" s="6279">
        <v>176674.11631922389</v>
      </c>
      <c r="AR29" s="2599">
        <v>71675.960000000006</v>
      </c>
      <c r="AS29" s="6276">
        <f>AO29+AQ29</f>
        <v>1644693.8072936344</v>
      </c>
      <c r="AT29" s="2538">
        <f>+AP29+AR29</f>
        <v>773710.64999999991</v>
      </c>
      <c r="AU29" s="6279">
        <v>157621.94134457508</v>
      </c>
      <c r="AV29" s="2599">
        <v>56908.77</v>
      </c>
      <c r="AW29" s="6276">
        <f>AS29+AU29</f>
        <v>1802315.7486382094</v>
      </c>
      <c r="AX29" s="2538">
        <f>+AT29+AV29</f>
        <v>830619.41999999993</v>
      </c>
      <c r="AY29" s="6279">
        <v>176146.41183373574</v>
      </c>
      <c r="AZ29" s="2599">
        <v>74754.41</v>
      </c>
      <c r="BA29" s="6268">
        <f>+AY29+AU29+AQ29</f>
        <v>510442.46949753468</v>
      </c>
      <c r="BB29" s="2539">
        <f>+AZ29+AV29+AR29</f>
        <v>203339.14</v>
      </c>
      <c r="BC29" s="6269">
        <f>+BA29+AM29</f>
        <v>1026328.4205221237</v>
      </c>
      <c r="BD29" s="2579">
        <f t="shared" si="45"/>
        <v>428113.14</v>
      </c>
      <c r="BE29" s="6263">
        <f>AW29+AY29</f>
        <v>1978462.1604719451</v>
      </c>
      <c r="BF29" s="38">
        <f t="shared" ref="BF29:BF49" si="47">+AX29+AZ29</f>
        <v>905373.83</v>
      </c>
      <c r="BG29" s="2446"/>
      <c r="BH29" s="2446"/>
      <c r="BI29" s="2445"/>
      <c r="BJ29" s="2445"/>
      <c r="BK29" s="3564"/>
      <c r="BL29" s="2445"/>
      <c r="BM29" s="3564"/>
      <c r="BN29" s="3564"/>
    </row>
    <row r="30" spans="1:66" ht="14.4" thickBot="1" x14ac:dyDescent="0.3">
      <c r="B30" s="3286" t="s">
        <v>1659</v>
      </c>
      <c r="C30" s="2907" t="s">
        <v>50</v>
      </c>
      <c r="D30" s="6292"/>
      <c r="E30" s="6280"/>
      <c r="F30" s="2599">
        <v>72</v>
      </c>
      <c r="G30" s="6280"/>
      <c r="H30" s="2599">
        <v>78</v>
      </c>
      <c r="I30" s="6276"/>
      <c r="J30" s="38">
        <f t="shared" ref="J30:J49" si="48">+F30+H30</f>
        <v>150</v>
      </c>
      <c r="K30" s="6280"/>
      <c r="L30" s="2599">
        <v>28</v>
      </c>
      <c r="M30" s="6268"/>
      <c r="N30" s="2539">
        <f>+L30+H30+F30</f>
        <v>178</v>
      </c>
      <c r="O30" s="6280"/>
      <c r="P30" s="2599">
        <v>13</v>
      </c>
      <c r="Q30" s="6276"/>
      <c r="R30" s="2538">
        <f t="shared" ref="R30:R49" si="49">+N30+P30</f>
        <v>191</v>
      </c>
      <c r="S30" s="6280"/>
      <c r="T30" s="2599">
        <v>33</v>
      </c>
      <c r="U30" s="6276"/>
      <c r="V30" s="2538">
        <f t="shared" ref="V30:V49" si="50">+R30+T30</f>
        <v>224</v>
      </c>
      <c r="W30" s="6280"/>
      <c r="X30" s="2599">
        <v>130</v>
      </c>
      <c r="Y30" s="6268"/>
      <c r="Z30" s="2539">
        <f>+X30+T30+P30</f>
        <v>176</v>
      </c>
      <c r="AA30" s="6269"/>
      <c r="AB30" s="3250">
        <f t="shared" si="44"/>
        <v>354</v>
      </c>
      <c r="AC30" s="6280"/>
      <c r="AD30" s="2599">
        <v>47.5</v>
      </c>
      <c r="AE30" s="6276"/>
      <c r="AF30" s="2538">
        <f t="shared" ref="AF30:AF49" si="51">+AB30+AD30</f>
        <v>401.5</v>
      </c>
      <c r="AG30" s="6280"/>
      <c r="AH30" s="2599">
        <v>0</v>
      </c>
      <c r="AI30" s="6104"/>
      <c r="AJ30" s="2538">
        <f t="shared" ref="AJ30:AJ49" si="52">+AF30+AH30</f>
        <v>401.5</v>
      </c>
      <c r="AK30" s="6280"/>
      <c r="AL30" s="2599">
        <v>19</v>
      </c>
      <c r="AM30" s="6268"/>
      <c r="AN30" s="2539">
        <f>+AL30+AH30+AD30</f>
        <v>66.5</v>
      </c>
      <c r="AO30" s="6276"/>
      <c r="AP30" s="2538">
        <f t="shared" si="46"/>
        <v>420.5</v>
      </c>
      <c r="AQ30" s="6280"/>
      <c r="AR30" s="2599">
        <v>183.5</v>
      </c>
      <c r="AS30" s="6276"/>
      <c r="AT30" s="2538">
        <f t="shared" ref="AT30:AT49" si="53">+AP30+AR30</f>
        <v>604</v>
      </c>
      <c r="AU30" s="6280"/>
      <c r="AV30" s="2599">
        <v>128</v>
      </c>
      <c r="AW30" s="6276"/>
      <c r="AX30" s="2538">
        <f t="shared" ref="AX30:AX49" si="54">+AT30+AV30</f>
        <v>732</v>
      </c>
      <c r="AY30" s="6280"/>
      <c r="AZ30" s="2599">
        <v>52</v>
      </c>
      <c r="BA30" s="6268"/>
      <c r="BB30" s="2539">
        <f>+AZ30+AV30+AR30</f>
        <v>363.5</v>
      </c>
      <c r="BC30" s="6269"/>
      <c r="BD30" s="2579">
        <f t="shared" si="45"/>
        <v>430</v>
      </c>
      <c r="BE30" s="6104"/>
      <c r="BF30" s="38">
        <f t="shared" si="47"/>
        <v>784</v>
      </c>
      <c r="BG30" s="2446"/>
      <c r="BH30" s="2446"/>
      <c r="BI30" s="2445"/>
      <c r="BJ30" s="2445"/>
      <c r="BK30" s="3564"/>
      <c r="BL30" s="2445"/>
      <c r="BM30" s="3564"/>
      <c r="BN30" s="3564"/>
    </row>
    <row r="31" spans="1:66" ht="14.4" thickBot="1" x14ac:dyDescent="0.3">
      <c r="B31" s="3287" t="s">
        <v>161</v>
      </c>
      <c r="C31" s="3252" t="s">
        <v>50</v>
      </c>
      <c r="D31" s="6292"/>
      <c r="E31" s="6280"/>
      <c r="F31" s="3275">
        <f>SUM(F29:F30)</f>
        <v>62492</v>
      </c>
      <c r="G31" s="6280"/>
      <c r="H31" s="3275">
        <f>SUM(H29:H30)</f>
        <v>81530.42</v>
      </c>
      <c r="I31" s="6276"/>
      <c r="J31" s="1986">
        <f t="shared" si="48"/>
        <v>144022.41999999998</v>
      </c>
      <c r="K31" s="6280"/>
      <c r="L31" s="3275">
        <f>SUM(L29:L30)</f>
        <v>84387</v>
      </c>
      <c r="M31" s="6268"/>
      <c r="N31" s="3274">
        <f>SUM(N29:N30)</f>
        <v>228409.41999999998</v>
      </c>
      <c r="O31" s="6280"/>
      <c r="P31" s="3275">
        <f>SUM(P29:P30)</f>
        <v>92380</v>
      </c>
      <c r="Q31" s="6276"/>
      <c r="R31" s="3273">
        <f t="shared" si="49"/>
        <v>320789.42</v>
      </c>
      <c r="S31" s="6280"/>
      <c r="T31" s="3275">
        <f>SUM(T29:T30)</f>
        <v>80234</v>
      </c>
      <c r="U31" s="6276"/>
      <c r="V31" s="3273">
        <f t="shared" si="50"/>
        <v>401023.42</v>
      </c>
      <c r="W31" s="6280"/>
      <c r="X31" s="3275">
        <f>SUM(X29:X30)</f>
        <v>76591.27</v>
      </c>
      <c r="Y31" s="6268"/>
      <c r="Z31" s="3274">
        <f>SUM(Z29:Z30)</f>
        <v>249205.27000000002</v>
      </c>
      <c r="AA31" s="6269"/>
      <c r="AB31" s="2566">
        <f>SUM(AB29:AB30)</f>
        <v>477614.69</v>
      </c>
      <c r="AC31" s="6280"/>
      <c r="AD31" s="3275">
        <f>SUM(AD29:AD30)</f>
        <v>68632.5</v>
      </c>
      <c r="AE31" s="6276"/>
      <c r="AF31" s="3273">
        <f t="shared" si="51"/>
        <v>546247.18999999994</v>
      </c>
      <c r="AG31" s="6280"/>
      <c r="AH31" s="3275">
        <f>SUM(AH29:AH30)</f>
        <v>85308</v>
      </c>
      <c r="AI31" s="6104"/>
      <c r="AJ31" s="3273">
        <f t="shared" si="52"/>
        <v>631555.18999999994</v>
      </c>
      <c r="AK31" s="6280"/>
      <c r="AL31" s="3275">
        <f>SUM(AL29:AL30)</f>
        <v>70900</v>
      </c>
      <c r="AM31" s="6268"/>
      <c r="AN31" s="3274">
        <f>SUM(AN29:AN30)</f>
        <v>224840.5</v>
      </c>
      <c r="AO31" s="6276"/>
      <c r="AP31" s="3273">
        <f>+AL31+AJ31</f>
        <v>702455.19</v>
      </c>
      <c r="AQ31" s="6280"/>
      <c r="AR31" s="3275">
        <f>SUM(AR29:AR30)</f>
        <v>71859.460000000006</v>
      </c>
      <c r="AS31" s="6276"/>
      <c r="AT31" s="3273">
        <f t="shared" si="53"/>
        <v>774314.64999999991</v>
      </c>
      <c r="AU31" s="6280"/>
      <c r="AV31" s="3275">
        <f>SUM(AV29:AV30)</f>
        <v>57036.77</v>
      </c>
      <c r="AW31" s="6276"/>
      <c r="AX31" s="3273">
        <f t="shared" si="54"/>
        <v>831351.41999999993</v>
      </c>
      <c r="AY31" s="6280"/>
      <c r="AZ31" s="3275">
        <f>SUM(AZ29:AZ30)</f>
        <v>74806.41</v>
      </c>
      <c r="BA31" s="6268"/>
      <c r="BB31" s="3274">
        <f>SUM(BB29:BB30)</f>
        <v>203702.64</v>
      </c>
      <c r="BC31" s="6269"/>
      <c r="BD31" s="2566">
        <f>SUM(BD29:BD30)</f>
        <v>428543.14</v>
      </c>
      <c r="BE31" s="6104"/>
      <c r="BF31" s="1986">
        <f t="shared" si="47"/>
        <v>906157.83</v>
      </c>
      <c r="BG31" s="2446"/>
      <c r="BH31" s="2446"/>
      <c r="BI31" s="2445"/>
      <c r="BJ31" s="2445"/>
      <c r="BK31" s="3564"/>
      <c r="BL31" s="2445"/>
      <c r="BM31" s="3564"/>
      <c r="BN31" s="3564"/>
    </row>
    <row r="32" spans="1:66" ht="13.8" x14ac:dyDescent="0.25">
      <c r="B32" s="1705" t="s">
        <v>162</v>
      </c>
      <c r="C32" s="59" t="s">
        <v>50</v>
      </c>
      <c r="D32" s="6292"/>
      <c r="E32" s="6280"/>
      <c r="F32" s="2599">
        <v>86697</v>
      </c>
      <c r="G32" s="6280"/>
      <c r="H32" s="2599">
        <v>93593.12</v>
      </c>
      <c r="I32" s="6276"/>
      <c r="J32" s="38">
        <f t="shared" si="48"/>
        <v>180290.12</v>
      </c>
      <c r="K32" s="6280"/>
      <c r="L32" s="2599">
        <v>98320</v>
      </c>
      <c r="M32" s="6268"/>
      <c r="N32" s="2539">
        <f>+L32+H32+F32</f>
        <v>278610.12</v>
      </c>
      <c r="O32" s="6280"/>
      <c r="P32" s="2599">
        <v>96684</v>
      </c>
      <c r="Q32" s="6276"/>
      <c r="R32" s="2538">
        <f t="shared" si="49"/>
        <v>375294.12</v>
      </c>
      <c r="S32" s="6280"/>
      <c r="T32" s="2599">
        <v>99276</v>
      </c>
      <c r="U32" s="6276"/>
      <c r="V32" s="2538">
        <f t="shared" si="50"/>
        <v>474570.12</v>
      </c>
      <c r="W32" s="6280"/>
      <c r="X32" s="2599">
        <v>95618.33</v>
      </c>
      <c r="Y32" s="6268"/>
      <c r="Z32" s="2539">
        <f>+X32+T32+P32</f>
        <v>291578.33</v>
      </c>
      <c r="AA32" s="6269"/>
      <c r="AB32" s="3250">
        <f t="shared" si="44"/>
        <v>570188.44999999995</v>
      </c>
      <c r="AC32" s="6280"/>
      <c r="AD32" s="2599">
        <v>66561</v>
      </c>
      <c r="AE32" s="6276"/>
      <c r="AF32" s="2538">
        <f t="shared" si="51"/>
        <v>636749.44999999995</v>
      </c>
      <c r="AG32" s="6280"/>
      <c r="AH32" s="2599">
        <v>92702.44</v>
      </c>
      <c r="AI32" s="6104"/>
      <c r="AJ32" s="2538">
        <f t="shared" si="52"/>
        <v>729451.8899999999</v>
      </c>
      <c r="AK32" s="6280"/>
      <c r="AL32" s="2599">
        <v>97862</v>
      </c>
      <c r="AM32" s="6268"/>
      <c r="AN32" s="2539">
        <f>+AL32+AH32+AD32</f>
        <v>257125.44</v>
      </c>
      <c r="AO32" s="6276"/>
      <c r="AP32" s="2538">
        <f t="shared" si="46"/>
        <v>827313.8899999999</v>
      </c>
      <c r="AQ32" s="6280"/>
      <c r="AR32" s="2599">
        <v>92891.32</v>
      </c>
      <c r="AS32" s="6276"/>
      <c r="AT32" s="2538">
        <f t="shared" si="53"/>
        <v>920205.21</v>
      </c>
      <c r="AU32" s="6280"/>
      <c r="AV32" s="2599">
        <v>78443.02</v>
      </c>
      <c r="AW32" s="6276"/>
      <c r="AX32" s="2538">
        <f t="shared" si="54"/>
        <v>998648.23</v>
      </c>
      <c r="AY32" s="6280"/>
      <c r="AZ32" s="2599">
        <v>101786.5</v>
      </c>
      <c r="BA32" s="6268"/>
      <c r="BB32" s="2539">
        <f>+AZ32+AV32+AR32</f>
        <v>273120.84000000003</v>
      </c>
      <c r="BC32" s="6269"/>
      <c r="BD32" s="2579">
        <f t="shared" si="45"/>
        <v>530246.28</v>
      </c>
      <c r="BE32" s="6104"/>
      <c r="BF32" s="38">
        <f t="shared" si="47"/>
        <v>1100434.73</v>
      </c>
      <c r="BG32" s="2446"/>
      <c r="BH32" s="2446"/>
      <c r="BI32" s="2445"/>
      <c r="BJ32" s="2445"/>
      <c r="BK32" s="3564"/>
      <c r="BL32" s="2445"/>
      <c r="BM32" s="3564"/>
      <c r="BN32" s="3564"/>
    </row>
    <row r="33" spans="1:66" ht="14.4" thickBot="1" x14ac:dyDescent="0.3">
      <c r="B33" s="3286" t="s">
        <v>1660</v>
      </c>
      <c r="C33" s="2907" t="s">
        <v>50</v>
      </c>
      <c r="D33" s="6292"/>
      <c r="E33" s="6280"/>
      <c r="F33" s="2599">
        <v>72</v>
      </c>
      <c r="G33" s="6280"/>
      <c r="H33" s="2599">
        <v>76</v>
      </c>
      <c r="I33" s="6276"/>
      <c r="J33" s="38">
        <f t="shared" si="48"/>
        <v>148</v>
      </c>
      <c r="K33" s="6280"/>
      <c r="L33" s="2599">
        <v>28</v>
      </c>
      <c r="M33" s="6268"/>
      <c r="N33" s="2539">
        <f>+L33+H33+F33</f>
        <v>176</v>
      </c>
      <c r="O33" s="6280"/>
      <c r="P33" s="2599">
        <v>13</v>
      </c>
      <c r="Q33" s="6276"/>
      <c r="R33" s="2538">
        <f t="shared" si="49"/>
        <v>189</v>
      </c>
      <c r="S33" s="6280"/>
      <c r="T33" s="2599">
        <v>33</v>
      </c>
      <c r="U33" s="6276"/>
      <c r="V33" s="2538">
        <f t="shared" si="50"/>
        <v>222</v>
      </c>
      <c r="W33" s="6280"/>
      <c r="X33" s="2599">
        <v>130</v>
      </c>
      <c r="Y33" s="6268"/>
      <c r="Z33" s="2539">
        <f>+X33+T33+P33</f>
        <v>176</v>
      </c>
      <c r="AA33" s="6269"/>
      <c r="AB33" s="3250">
        <f t="shared" si="44"/>
        <v>352</v>
      </c>
      <c r="AC33" s="6280"/>
      <c r="AD33" s="2599">
        <v>47.5</v>
      </c>
      <c r="AE33" s="6276"/>
      <c r="AF33" s="2538">
        <f t="shared" si="51"/>
        <v>399.5</v>
      </c>
      <c r="AG33" s="6280"/>
      <c r="AH33" s="2599">
        <v>0</v>
      </c>
      <c r="AI33" s="6104"/>
      <c r="AJ33" s="2538">
        <f t="shared" si="52"/>
        <v>399.5</v>
      </c>
      <c r="AK33" s="6280"/>
      <c r="AL33" s="2599">
        <v>19</v>
      </c>
      <c r="AM33" s="6268"/>
      <c r="AN33" s="2539">
        <f>+AL33+AH33+AD33</f>
        <v>66.5</v>
      </c>
      <c r="AO33" s="6276"/>
      <c r="AP33" s="2538">
        <f t="shared" si="46"/>
        <v>418.5</v>
      </c>
      <c r="AQ33" s="6280"/>
      <c r="AR33" s="2599">
        <v>183.5</v>
      </c>
      <c r="AS33" s="6276"/>
      <c r="AT33" s="2538">
        <f t="shared" si="53"/>
        <v>602</v>
      </c>
      <c r="AU33" s="6280"/>
      <c r="AV33" s="2599">
        <v>128</v>
      </c>
      <c r="AW33" s="6276"/>
      <c r="AX33" s="2538">
        <f t="shared" si="54"/>
        <v>730</v>
      </c>
      <c r="AY33" s="6280"/>
      <c r="AZ33" s="2599">
        <v>52</v>
      </c>
      <c r="BA33" s="6268"/>
      <c r="BB33" s="2539">
        <f>+AZ33+AV33+AR33</f>
        <v>363.5</v>
      </c>
      <c r="BC33" s="6269"/>
      <c r="BD33" s="2579">
        <f t="shared" si="45"/>
        <v>430</v>
      </c>
      <c r="BE33" s="6104"/>
      <c r="BF33" s="38">
        <f t="shared" si="47"/>
        <v>782</v>
      </c>
      <c r="BG33" s="2446"/>
      <c r="BH33" s="2446"/>
      <c r="BI33" s="2445"/>
      <c r="BJ33" s="2445"/>
      <c r="BK33" s="3564"/>
      <c r="BL33" s="2445"/>
      <c r="BM33" s="3564"/>
      <c r="BN33" s="3564"/>
    </row>
    <row r="34" spans="1:66" ht="14.4" thickBot="1" x14ac:dyDescent="0.3">
      <c r="B34" s="3287" t="s">
        <v>163</v>
      </c>
      <c r="C34" s="3252" t="s">
        <v>50</v>
      </c>
      <c r="D34" s="6292"/>
      <c r="E34" s="6280"/>
      <c r="F34" s="3275">
        <f>SUM(F32:F33)</f>
        <v>86769</v>
      </c>
      <c r="G34" s="6280"/>
      <c r="H34" s="3275">
        <f>SUM(H32:H33)</f>
        <v>93669.119999999995</v>
      </c>
      <c r="I34" s="6276"/>
      <c r="J34" s="1986">
        <f t="shared" si="48"/>
        <v>180438.12</v>
      </c>
      <c r="K34" s="6280"/>
      <c r="L34" s="3275">
        <f>SUM(L32:L33)</f>
        <v>98348</v>
      </c>
      <c r="M34" s="6268"/>
      <c r="N34" s="3274">
        <f>SUM(N32:N33)</f>
        <v>278786.12</v>
      </c>
      <c r="O34" s="6280"/>
      <c r="P34" s="3275">
        <f>SUM(P32:P33)</f>
        <v>96697</v>
      </c>
      <c r="Q34" s="6276"/>
      <c r="R34" s="3273">
        <f t="shared" si="49"/>
        <v>375483.12</v>
      </c>
      <c r="S34" s="6280"/>
      <c r="T34" s="3275">
        <f>SUM(T32:T33)</f>
        <v>99309</v>
      </c>
      <c r="U34" s="6276"/>
      <c r="V34" s="3273">
        <f t="shared" si="50"/>
        <v>474792.12</v>
      </c>
      <c r="W34" s="6280"/>
      <c r="X34" s="3275">
        <f>SUM(X32:X33)</f>
        <v>95748.33</v>
      </c>
      <c r="Y34" s="6268"/>
      <c r="Z34" s="3274">
        <f>SUM(Z32:Z33)</f>
        <v>291754.33</v>
      </c>
      <c r="AA34" s="6269"/>
      <c r="AB34" s="2566">
        <f>SUM(AB32:AB33)</f>
        <v>570540.44999999995</v>
      </c>
      <c r="AC34" s="6280"/>
      <c r="AD34" s="3275">
        <f>SUM(AD32:AD33)</f>
        <v>66608.5</v>
      </c>
      <c r="AE34" s="6276"/>
      <c r="AF34" s="3273">
        <f t="shared" si="51"/>
        <v>637148.94999999995</v>
      </c>
      <c r="AG34" s="6280"/>
      <c r="AH34" s="3275">
        <f>SUM(AH32:AH33)</f>
        <v>92702.44</v>
      </c>
      <c r="AI34" s="6104"/>
      <c r="AJ34" s="3273">
        <f t="shared" si="52"/>
        <v>729851.3899999999</v>
      </c>
      <c r="AK34" s="6280"/>
      <c r="AL34" s="3275">
        <f>SUM(AL32:AL33)</f>
        <v>97881</v>
      </c>
      <c r="AM34" s="6268"/>
      <c r="AN34" s="3274">
        <f>SUM(AN32:AN33)</f>
        <v>257191.94</v>
      </c>
      <c r="AO34" s="6276"/>
      <c r="AP34" s="3273">
        <f>+AL34+AJ34</f>
        <v>827732.3899999999</v>
      </c>
      <c r="AQ34" s="6280"/>
      <c r="AR34" s="3275">
        <f>SUM(AR32:AR33)</f>
        <v>93074.82</v>
      </c>
      <c r="AS34" s="6276"/>
      <c r="AT34" s="3273">
        <f t="shared" si="53"/>
        <v>920807.21</v>
      </c>
      <c r="AU34" s="6280"/>
      <c r="AV34" s="3275">
        <f>SUM(AV32:AV33)</f>
        <v>78571.02</v>
      </c>
      <c r="AW34" s="6276"/>
      <c r="AX34" s="3273">
        <f t="shared" si="54"/>
        <v>999378.23</v>
      </c>
      <c r="AY34" s="6280"/>
      <c r="AZ34" s="3275">
        <f>SUM(AZ32:AZ33)</f>
        <v>101838.5</v>
      </c>
      <c r="BA34" s="6268"/>
      <c r="BB34" s="3274">
        <f>SUM(BB32:BB33)</f>
        <v>273484.34000000003</v>
      </c>
      <c r="BC34" s="6269"/>
      <c r="BD34" s="2566">
        <f>SUM(BD32:BD33)</f>
        <v>530676.28</v>
      </c>
      <c r="BE34" s="6104"/>
      <c r="BF34" s="1986">
        <f t="shared" si="47"/>
        <v>1101216.73</v>
      </c>
      <c r="BG34" s="2446"/>
      <c r="BH34" s="2446"/>
      <c r="BI34" s="2445"/>
      <c r="BJ34" s="2445"/>
      <c r="BK34" s="3564"/>
      <c r="BL34" s="2445"/>
      <c r="BM34" s="3564"/>
      <c r="BN34" s="3564"/>
    </row>
    <row r="35" spans="1:66" ht="13.8" x14ac:dyDescent="0.25">
      <c r="B35" s="3288" t="s">
        <v>450</v>
      </c>
      <c r="C35" s="2216" t="s">
        <v>50</v>
      </c>
      <c r="D35" s="6292"/>
      <c r="E35" s="6280"/>
      <c r="F35" s="3275">
        <f>+F29+F32</f>
        <v>149117</v>
      </c>
      <c r="G35" s="6280"/>
      <c r="H35" s="3275">
        <f>+H29+H32</f>
        <v>175045.53999999998</v>
      </c>
      <c r="I35" s="6276"/>
      <c r="J35" s="1986">
        <f t="shared" si="48"/>
        <v>324162.53999999998</v>
      </c>
      <c r="K35" s="6280"/>
      <c r="L35" s="3275">
        <f>+L29+L32</f>
        <v>182679</v>
      </c>
      <c r="M35" s="6268"/>
      <c r="N35" s="3274">
        <f>+N29+N32</f>
        <v>506841.54</v>
      </c>
      <c r="O35" s="6280"/>
      <c r="P35" s="3275">
        <f>+P29+P32</f>
        <v>189051</v>
      </c>
      <c r="Q35" s="6276"/>
      <c r="R35" s="3273">
        <f t="shared" si="49"/>
        <v>695892.54</v>
      </c>
      <c r="S35" s="6280"/>
      <c r="T35" s="3275">
        <f>+T29+T32</f>
        <v>179477</v>
      </c>
      <c r="U35" s="6276"/>
      <c r="V35" s="3273">
        <f t="shared" si="50"/>
        <v>875369.54</v>
      </c>
      <c r="W35" s="6280"/>
      <c r="X35" s="3275">
        <f>+X29+X32</f>
        <v>172079.6</v>
      </c>
      <c r="Y35" s="6268"/>
      <c r="Z35" s="3274">
        <f>+Z29+Z32</f>
        <v>540607.60000000009</v>
      </c>
      <c r="AA35" s="6269"/>
      <c r="AB35" s="2566">
        <f>+AB29+AB32</f>
        <v>1047449.1399999999</v>
      </c>
      <c r="AC35" s="6280"/>
      <c r="AD35" s="3275">
        <f>+AD29+AD32</f>
        <v>135146</v>
      </c>
      <c r="AE35" s="6276"/>
      <c r="AF35" s="3273">
        <f t="shared" si="51"/>
        <v>1182595.1399999999</v>
      </c>
      <c r="AG35" s="6280"/>
      <c r="AH35" s="3275">
        <f>+AH29+AH32</f>
        <v>178010.44</v>
      </c>
      <c r="AI35" s="6104"/>
      <c r="AJ35" s="3273">
        <f t="shared" si="52"/>
        <v>1360605.5799999998</v>
      </c>
      <c r="AK35" s="6280"/>
      <c r="AL35" s="3275">
        <f>+AL29+AL32</f>
        <v>168743</v>
      </c>
      <c r="AM35" s="6268"/>
      <c r="AN35" s="3274">
        <f>+AN29+AN32</f>
        <v>481899.44</v>
      </c>
      <c r="AO35" s="6276"/>
      <c r="AP35" s="3273">
        <f t="shared" ref="AP35:AP49" si="55">+AL35+AJ35</f>
        <v>1529348.5799999998</v>
      </c>
      <c r="AQ35" s="6280"/>
      <c r="AR35" s="3275">
        <f>+AR29+AR32</f>
        <v>164567.28000000003</v>
      </c>
      <c r="AS35" s="6276"/>
      <c r="AT35" s="3273">
        <f t="shared" si="53"/>
        <v>1693915.8599999999</v>
      </c>
      <c r="AU35" s="6280"/>
      <c r="AV35" s="3275">
        <f>+AV29+AV32</f>
        <v>135351.79</v>
      </c>
      <c r="AW35" s="6276"/>
      <c r="AX35" s="3273">
        <f t="shared" si="54"/>
        <v>1829267.65</v>
      </c>
      <c r="AY35" s="6280"/>
      <c r="AZ35" s="3275">
        <f>+AZ29+AZ32</f>
        <v>176540.91</v>
      </c>
      <c r="BA35" s="6268"/>
      <c r="BB35" s="3274">
        <f>+BB29+BB32</f>
        <v>476459.98000000004</v>
      </c>
      <c r="BC35" s="6269"/>
      <c r="BD35" s="2566">
        <f>+BD29+BD32</f>
        <v>958359.42</v>
      </c>
      <c r="BE35" s="6104"/>
      <c r="BF35" s="1986">
        <f t="shared" si="47"/>
        <v>2005808.5599999998</v>
      </c>
      <c r="BG35" s="2446"/>
      <c r="BH35" s="2446"/>
      <c r="BI35" s="2445"/>
      <c r="BJ35" s="2445"/>
      <c r="BK35" s="3564"/>
      <c r="BL35" s="2445"/>
      <c r="BM35" s="3564"/>
      <c r="BN35" s="3564"/>
    </row>
    <row r="36" spans="1:66" ht="14.4" thickBot="1" x14ac:dyDescent="0.3">
      <c r="B36" s="3289" t="s">
        <v>1661</v>
      </c>
      <c r="C36" s="3290" t="s">
        <v>50</v>
      </c>
      <c r="D36" s="6292"/>
      <c r="E36" s="6280"/>
      <c r="F36" s="3291">
        <f>+F30+F33</f>
        <v>144</v>
      </c>
      <c r="G36" s="6280"/>
      <c r="H36" s="3291">
        <f>+H30+H33</f>
        <v>154</v>
      </c>
      <c r="I36" s="6276"/>
      <c r="J36" s="1986">
        <f t="shared" si="48"/>
        <v>298</v>
      </c>
      <c r="K36" s="6280"/>
      <c r="L36" s="3291">
        <f>+L30+L33</f>
        <v>56</v>
      </c>
      <c r="M36" s="6268"/>
      <c r="N36" s="3274">
        <f>+N30+N33</f>
        <v>354</v>
      </c>
      <c r="O36" s="6280"/>
      <c r="P36" s="3291">
        <f>+P30+P33</f>
        <v>26</v>
      </c>
      <c r="Q36" s="6276"/>
      <c r="R36" s="3273">
        <f t="shared" si="49"/>
        <v>380</v>
      </c>
      <c r="S36" s="6280"/>
      <c r="T36" s="3291">
        <f>+T30+T33</f>
        <v>66</v>
      </c>
      <c r="U36" s="6276"/>
      <c r="V36" s="3273">
        <f t="shared" si="50"/>
        <v>446</v>
      </c>
      <c r="W36" s="6280"/>
      <c r="X36" s="3291">
        <f>+X30+X33</f>
        <v>260</v>
      </c>
      <c r="Y36" s="6268"/>
      <c r="Z36" s="3274">
        <f>+Z30+Z33</f>
        <v>352</v>
      </c>
      <c r="AA36" s="6269"/>
      <c r="AB36" s="2566">
        <f>+AB30+AB33</f>
        <v>706</v>
      </c>
      <c r="AC36" s="6280"/>
      <c r="AD36" s="3291">
        <f>+AD30+AD33</f>
        <v>95</v>
      </c>
      <c r="AE36" s="6276"/>
      <c r="AF36" s="3273">
        <f t="shared" si="51"/>
        <v>801</v>
      </c>
      <c r="AG36" s="6280"/>
      <c r="AH36" s="3291">
        <f>+AH30+AH33</f>
        <v>0</v>
      </c>
      <c r="AI36" s="6104"/>
      <c r="AJ36" s="3273">
        <f t="shared" si="52"/>
        <v>801</v>
      </c>
      <c r="AK36" s="6280"/>
      <c r="AL36" s="3291">
        <f>+AL30+AL33</f>
        <v>38</v>
      </c>
      <c r="AM36" s="6268"/>
      <c r="AN36" s="3274">
        <f>+AN30+AN33</f>
        <v>133</v>
      </c>
      <c r="AO36" s="6276"/>
      <c r="AP36" s="3273">
        <f t="shared" si="55"/>
        <v>839</v>
      </c>
      <c r="AQ36" s="6280"/>
      <c r="AR36" s="3275">
        <f>+AR30+AR33</f>
        <v>367</v>
      </c>
      <c r="AS36" s="6276"/>
      <c r="AT36" s="3273">
        <f t="shared" si="53"/>
        <v>1206</v>
      </c>
      <c r="AU36" s="6280"/>
      <c r="AV36" s="3275">
        <f>+AV30+AV33</f>
        <v>256</v>
      </c>
      <c r="AW36" s="6276"/>
      <c r="AX36" s="3273">
        <f t="shared" si="54"/>
        <v>1462</v>
      </c>
      <c r="AY36" s="6280"/>
      <c r="AZ36" s="3275">
        <f>+AZ30+AZ33</f>
        <v>104</v>
      </c>
      <c r="BA36" s="6268"/>
      <c r="BB36" s="3274">
        <f>+BB30+BB33</f>
        <v>727</v>
      </c>
      <c r="BC36" s="6269"/>
      <c r="BD36" s="2566">
        <f>+BD30+BD33</f>
        <v>860</v>
      </c>
      <c r="BE36" s="6104"/>
      <c r="BF36" s="1986">
        <f t="shared" si="47"/>
        <v>1566</v>
      </c>
      <c r="BG36" s="2446"/>
      <c r="BH36" s="2446"/>
      <c r="BI36" s="2445"/>
      <c r="BJ36" s="2445"/>
      <c r="BK36" s="3564"/>
      <c r="BL36" s="2445"/>
      <c r="BM36" s="3564"/>
      <c r="BN36" s="3564"/>
    </row>
    <row r="37" spans="1:66" ht="13.8" x14ac:dyDescent="0.25">
      <c r="B37" s="3292" t="s">
        <v>449</v>
      </c>
      <c r="C37" s="3293" t="s">
        <v>50</v>
      </c>
      <c r="D37" s="6293"/>
      <c r="E37" s="6281"/>
      <c r="F37" s="3275">
        <f>+F31+F34</f>
        <v>149261</v>
      </c>
      <c r="G37" s="6281"/>
      <c r="H37" s="3275">
        <f>+H31+H34</f>
        <v>175199.53999999998</v>
      </c>
      <c r="I37" s="6276"/>
      <c r="J37" s="1986">
        <f t="shared" si="48"/>
        <v>324460.53999999998</v>
      </c>
      <c r="K37" s="6281"/>
      <c r="L37" s="3275">
        <f>+L31+L34</f>
        <v>182735</v>
      </c>
      <c r="M37" s="6268"/>
      <c r="N37" s="3274">
        <f>+N31+N34</f>
        <v>507195.54</v>
      </c>
      <c r="O37" s="6281"/>
      <c r="P37" s="3275">
        <f>+P31+P34</f>
        <v>189077</v>
      </c>
      <c r="Q37" s="6276"/>
      <c r="R37" s="3273">
        <f t="shared" si="49"/>
        <v>696272.54</v>
      </c>
      <c r="S37" s="6281"/>
      <c r="T37" s="3275">
        <f>+T31+T34</f>
        <v>179543</v>
      </c>
      <c r="U37" s="6276"/>
      <c r="V37" s="3273">
        <f t="shared" si="50"/>
        <v>875815.54</v>
      </c>
      <c r="W37" s="6281"/>
      <c r="X37" s="3275">
        <f>+X31+X34</f>
        <v>172339.6</v>
      </c>
      <c r="Y37" s="6268"/>
      <c r="Z37" s="3274">
        <f>+Z31+Z34</f>
        <v>540959.60000000009</v>
      </c>
      <c r="AA37" s="6269"/>
      <c r="AB37" s="2566">
        <f>+AB31+AB34</f>
        <v>1048155.1399999999</v>
      </c>
      <c r="AC37" s="6281"/>
      <c r="AD37" s="3275">
        <f>+AD31+AD34</f>
        <v>135241</v>
      </c>
      <c r="AE37" s="6276"/>
      <c r="AF37" s="3273">
        <f t="shared" si="51"/>
        <v>1183396.1399999999</v>
      </c>
      <c r="AG37" s="6281"/>
      <c r="AH37" s="3275">
        <f>+AH31+AH34</f>
        <v>178010.44</v>
      </c>
      <c r="AI37" s="6105"/>
      <c r="AJ37" s="3273">
        <f t="shared" si="52"/>
        <v>1361406.5799999998</v>
      </c>
      <c r="AK37" s="6281"/>
      <c r="AL37" s="3275">
        <f>+AL31+AL34</f>
        <v>168781</v>
      </c>
      <c r="AM37" s="6268"/>
      <c r="AN37" s="3274">
        <f>+AN31+AN34</f>
        <v>482032.44</v>
      </c>
      <c r="AO37" s="6276"/>
      <c r="AP37" s="3273">
        <f t="shared" si="55"/>
        <v>1530187.5799999998</v>
      </c>
      <c r="AQ37" s="6281"/>
      <c r="AR37" s="3275">
        <f>+AR31+AR34</f>
        <v>164934.28000000003</v>
      </c>
      <c r="AS37" s="6276"/>
      <c r="AT37" s="3273">
        <f t="shared" si="53"/>
        <v>1695121.8599999999</v>
      </c>
      <c r="AU37" s="6281"/>
      <c r="AV37" s="3275">
        <f>+AV31+AV34</f>
        <v>135607.79</v>
      </c>
      <c r="AW37" s="6276"/>
      <c r="AX37" s="3273">
        <f t="shared" si="54"/>
        <v>1830729.65</v>
      </c>
      <c r="AY37" s="6281"/>
      <c r="AZ37" s="3275">
        <f>+AZ31+AZ34</f>
        <v>176644.91</v>
      </c>
      <c r="BA37" s="6268"/>
      <c r="BB37" s="3274">
        <f>+BB31+BB34</f>
        <v>477186.98000000004</v>
      </c>
      <c r="BC37" s="6269"/>
      <c r="BD37" s="2566">
        <f>+BD31+BD34</f>
        <v>959219.42</v>
      </c>
      <c r="BE37" s="6105"/>
      <c r="BF37" s="1986">
        <f t="shared" si="47"/>
        <v>2007374.5599999998</v>
      </c>
      <c r="BG37" s="2446"/>
      <c r="BH37" s="2446"/>
      <c r="BI37" s="2445"/>
      <c r="BJ37" s="2445"/>
      <c r="BK37" s="3564"/>
      <c r="BL37" s="2445"/>
      <c r="BM37" s="3564"/>
      <c r="BN37" s="3564"/>
    </row>
    <row r="38" spans="1:66" ht="13.8" x14ac:dyDescent="0.25">
      <c r="B38" s="1871" t="s">
        <v>515</v>
      </c>
      <c r="C38" s="2803" t="s">
        <v>50</v>
      </c>
      <c r="D38" s="5896">
        <v>791556.72823219001</v>
      </c>
      <c r="E38" s="6284">
        <v>65435.356200527698</v>
      </c>
      <c r="F38" s="2599">
        <v>0</v>
      </c>
      <c r="G38" s="6284">
        <v>68601.583113456494</v>
      </c>
      <c r="H38" s="2599">
        <v>4718.04</v>
      </c>
      <c r="I38" s="6276">
        <f>+E38+G38</f>
        <v>134036.93931398418</v>
      </c>
      <c r="J38" s="38">
        <f t="shared" si="48"/>
        <v>4718.04</v>
      </c>
      <c r="K38" s="6284">
        <v>65963.060686015902</v>
      </c>
      <c r="L38" s="2599">
        <v>0</v>
      </c>
      <c r="M38" s="6268">
        <f>+K38+G38+E38</f>
        <v>200000.00000000009</v>
      </c>
      <c r="N38" s="2539">
        <f>+L38+H38+F38</f>
        <v>4718.04</v>
      </c>
      <c r="O38" s="6284">
        <v>68601.583113456407</v>
      </c>
      <c r="P38" s="2599">
        <v>0</v>
      </c>
      <c r="Q38" s="6276">
        <f>+M38+O38</f>
        <v>268601.58311345649</v>
      </c>
      <c r="R38" s="2538">
        <f t="shared" si="49"/>
        <v>4718.04</v>
      </c>
      <c r="S38" s="6284">
        <v>68601.583113456407</v>
      </c>
      <c r="T38" s="2599">
        <v>9565.49</v>
      </c>
      <c r="U38" s="6285">
        <f>+Q38+S38</f>
        <v>337203.16622691287</v>
      </c>
      <c r="V38" s="2538">
        <f t="shared" si="50"/>
        <v>14283.529999999999</v>
      </c>
      <c r="W38" s="6284">
        <v>35356.200527704597</v>
      </c>
      <c r="X38" s="2599">
        <v>0</v>
      </c>
      <c r="Y38" s="6268">
        <f>+W38+S38+O38</f>
        <v>172559.36675461743</v>
      </c>
      <c r="Z38" s="2539">
        <f t="shared" ref="Z38:Z45" si="56">+X38+T38+P38</f>
        <v>9565.49</v>
      </c>
      <c r="AA38" s="6269">
        <f>+Y38+M38</f>
        <v>372559.36675461754</v>
      </c>
      <c r="AB38" s="2579">
        <f t="shared" ref="AB38:AB45" si="57">+Z38+N38</f>
        <v>14283.529999999999</v>
      </c>
      <c r="AC38" s="6284">
        <v>70712.399999999994</v>
      </c>
      <c r="AD38" s="2599">
        <v>14823.38</v>
      </c>
      <c r="AE38" s="6276">
        <f>+AA38+AC38</f>
        <v>443271.76675461757</v>
      </c>
      <c r="AF38" s="2538">
        <f t="shared" si="51"/>
        <v>29106.909999999996</v>
      </c>
      <c r="AG38" s="6284">
        <v>68601.583113456494</v>
      </c>
      <c r="AH38" s="2599"/>
      <c r="AI38" s="6263">
        <f>+AE38+AG38</f>
        <v>511873.34986807406</v>
      </c>
      <c r="AJ38" s="2538">
        <f t="shared" si="52"/>
        <v>29106.909999999996</v>
      </c>
      <c r="AK38" s="6284">
        <v>71240.105540897101</v>
      </c>
      <c r="AL38" s="2599"/>
      <c r="AM38" s="6268">
        <f>+AK38+AG38+AC38</f>
        <v>210554.0886543536</v>
      </c>
      <c r="AN38" s="2539">
        <f t="shared" ref="AN38:AN45" si="58">+AL38+AH38+AD38</f>
        <v>14823.38</v>
      </c>
      <c r="AO38" s="6276">
        <f>+AK38+AI38</f>
        <v>583113.45540897117</v>
      </c>
      <c r="AP38" s="2538">
        <f t="shared" si="55"/>
        <v>29106.909999999996</v>
      </c>
      <c r="AQ38" s="6279">
        <v>71767.810026385181</v>
      </c>
      <c r="AR38" s="2599">
        <v>11159.83</v>
      </c>
      <c r="AS38" s="6276">
        <f>+AO38+AQ38</f>
        <v>654881.26543535641</v>
      </c>
      <c r="AT38" s="2538">
        <f t="shared" si="53"/>
        <v>40266.74</v>
      </c>
      <c r="AU38" s="6279">
        <v>64379.947229551442</v>
      </c>
      <c r="AV38" s="2599">
        <v>8522.07</v>
      </c>
      <c r="AW38" s="6276">
        <f>+AS38+AU38</f>
        <v>719261.2126649078</v>
      </c>
      <c r="AX38" s="2538">
        <f t="shared" si="54"/>
        <v>48788.81</v>
      </c>
      <c r="AY38" s="6279">
        <v>72295.514511873334</v>
      </c>
      <c r="AZ38" s="2599">
        <v>6952.48</v>
      </c>
      <c r="BA38" s="6268">
        <f>+AY38+AU38+AQ38</f>
        <v>208443.27176780996</v>
      </c>
      <c r="BB38" s="2539">
        <f t="shared" ref="BB38:BB45" si="59">+AZ38+AV38+AR38</f>
        <v>26634.379999999997</v>
      </c>
      <c r="BC38" s="6269">
        <f>+BA38+AM38</f>
        <v>418997.36042216356</v>
      </c>
      <c r="BD38" s="2579">
        <f t="shared" ref="BD38:BD45" si="60">+BB38+AN38</f>
        <v>41457.759999999995</v>
      </c>
      <c r="BE38" s="6263">
        <f>+AW38+AY38</f>
        <v>791556.72717678116</v>
      </c>
      <c r="BF38" s="38">
        <f t="shared" si="47"/>
        <v>55741.289999999994</v>
      </c>
      <c r="BG38" s="2446"/>
      <c r="BH38" s="2446"/>
      <c r="BI38" s="2445"/>
      <c r="BJ38" s="2445"/>
      <c r="BK38" s="3564"/>
      <c r="BL38" s="2445"/>
      <c r="BM38" s="3564"/>
      <c r="BN38" s="3564"/>
    </row>
    <row r="39" spans="1:66" ht="13.8" x14ac:dyDescent="0.25">
      <c r="B39" s="1871" t="s">
        <v>1188</v>
      </c>
      <c r="C39" s="2803" t="s">
        <v>50</v>
      </c>
      <c r="D39" s="5896"/>
      <c r="E39" s="6284"/>
      <c r="F39" s="2599">
        <v>1877.01</v>
      </c>
      <c r="G39" s="6284"/>
      <c r="H39" s="2599">
        <v>4240.2</v>
      </c>
      <c r="I39" s="6276"/>
      <c r="J39" s="38">
        <f t="shared" si="48"/>
        <v>6117.21</v>
      </c>
      <c r="K39" s="6284"/>
      <c r="L39" s="2599">
        <v>5410.51</v>
      </c>
      <c r="M39" s="6268"/>
      <c r="N39" s="2539">
        <f t="shared" ref="N39:N45" si="61">+L39+H39+F39</f>
        <v>11527.72</v>
      </c>
      <c r="O39" s="6284"/>
      <c r="P39" s="2599">
        <v>5924.69</v>
      </c>
      <c r="Q39" s="6276"/>
      <c r="R39" s="2538">
        <f t="shared" si="49"/>
        <v>17452.41</v>
      </c>
      <c r="S39" s="6284"/>
      <c r="T39" s="2599">
        <v>4826.59</v>
      </c>
      <c r="U39" s="6286"/>
      <c r="V39" s="2538">
        <f t="shared" si="50"/>
        <v>22279</v>
      </c>
      <c r="W39" s="6284"/>
      <c r="X39" s="2599">
        <v>6252.37</v>
      </c>
      <c r="Y39" s="6268"/>
      <c r="Z39" s="2539">
        <f t="shared" si="56"/>
        <v>17003.649999999998</v>
      </c>
      <c r="AA39" s="6269"/>
      <c r="AB39" s="2579">
        <f t="shared" si="57"/>
        <v>28531.369999999995</v>
      </c>
      <c r="AC39" s="6284"/>
      <c r="AD39" s="2599">
        <v>0</v>
      </c>
      <c r="AE39" s="6276"/>
      <c r="AF39" s="2538">
        <f t="shared" si="51"/>
        <v>28531.369999999995</v>
      </c>
      <c r="AG39" s="6284"/>
      <c r="AH39" s="2599">
        <v>5072.0200000000004</v>
      </c>
      <c r="AI39" s="6104"/>
      <c r="AJ39" s="2538">
        <f t="shared" si="52"/>
        <v>33603.39</v>
      </c>
      <c r="AK39" s="6284"/>
      <c r="AL39" s="2599"/>
      <c r="AM39" s="6268"/>
      <c r="AN39" s="2539">
        <f t="shared" si="58"/>
        <v>5072.0200000000004</v>
      </c>
      <c r="AO39" s="6276"/>
      <c r="AP39" s="2538">
        <f t="shared" si="55"/>
        <v>33603.39</v>
      </c>
      <c r="AQ39" s="6280"/>
      <c r="AR39" s="2599">
        <v>0</v>
      </c>
      <c r="AS39" s="6276"/>
      <c r="AT39" s="2538">
        <f t="shared" si="53"/>
        <v>33603.39</v>
      </c>
      <c r="AU39" s="6280"/>
      <c r="AV39" s="2599">
        <v>0</v>
      </c>
      <c r="AW39" s="6276"/>
      <c r="AX39" s="2538">
        <f t="shared" si="54"/>
        <v>33603.39</v>
      </c>
      <c r="AY39" s="6280"/>
      <c r="AZ39" s="2599">
        <v>0</v>
      </c>
      <c r="BA39" s="6268"/>
      <c r="BB39" s="2539">
        <f t="shared" si="59"/>
        <v>0</v>
      </c>
      <c r="BC39" s="6269"/>
      <c r="BD39" s="2579">
        <f t="shared" si="60"/>
        <v>5072.0200000000004</v>
      </c>
      <c r="BE39" s="6104"/>
      <c r="BF39" s="38">
        <f t="shared" si="47"/>
        <v>33603.39</v>
      </c>
      <c r="BG39" s="2446"/>
      <c r="BH39" s="2446"/>
      <c r="BI39" s="2445"/>
      <c r="BJ39" s="2445"/>
      <c r="BK39" s="3564"/>
      <c r="BL39" s="2445"/>
      <c r="BM39" s="3564"/>
      <c r="BN39" s="3564"/>
    </row>
    <row r="40" spans="1:66" ht="13.8" x14ac:dyDescent="0.25">
      <c r="B40" s="1871" t="s">
        <v>1189</v>
      </c>
      <c r="C40" s="2803" t="s">
        <v>50</v>
      </c>
      <c r="D40" s="5896"/>
      <c r="E40" s="6284"/>
      <c r="F40" s="2599">
        <v>39956.639999999999</v>
      </c>
      <c r="G40" s="6284"/>
      <c r="H40" s="2599">
        <v>40263.629999999997</v>
      </c>
      <c r="I40" s="6276"/>
      <c r="J40" s="38">
        <f t="shared" si="48"/>
        <v>80220.26999999999</v>
      </c>
      <c r="K40" s="6284"/>
      <c r="L40" s="2599">
        <v>50304.05</v>
      </c>
      <c r="M40" s="6268"/>
      <c r="N40" s="2539">
        <f t="shared" si="61"/>
        <v>130524.31999999999</v>
      </c>
      <c r="O40" s="6284"/>
      <c r="P40" s="2599">
        <v>48455.39</v>
      </c>
      <c r="Q40" s="6276"/>
      <c r="R40" s="2538">
        <f t="shared" si="49"/>
        <v>178979.71</v>
      </c>
      <c r="S40" s="6284"/>
      <c r="T40" s="2599">
        <v>38287.4</v>
      </c>
      <c r="U40" s="6286"/>
      <c r="V40" s="2538">
        <f t="shared" si="50"/>
        <v>217267.11</v>
      </c>
      <c r="W40" s="6284"/>
      <c r="X40" s="2599">
        <v>38145.660000000003</v>
      </c>
      <c r="Y40" s="6268"/>
      <c r="Z40" s="2539">
        <f t="shared" si="56"/>
        <v>124888.45</v>
      </c>
      <c r="AA40" s="6269"/>
      <c r="AB40" s="2579">
        <f t="shared" si="57"/>
        <v>255412.77</v>
      </c>
      <c r="AC40" s="6284"/>
      <c r="AD40" s="2599">
        <v>29076.93</v>
      </c>
      <c r="AE40" s="6276"/>
      <c r="AF40" s="2538">
        <f t="shared" si="51"/>
        <v>284489.7</v>
      </c>
      <c r="AG40" s="6284"/>
      <c r="AH40" s="2599">
        <v>40044.449999999997</v>
      </c>
      <c r="AI40" s="6104"/>
      <c r="AJ40" s="2538">
        <f t="shared" si="52"/>
        <v>324534.15000000002</v>
      </c>
      <c r="AK40" s="6284"/>
      <c r="AL40" s="2599">
        <v>56432.95</v>
      </c>
      <c r="AM40" s="6268"/>
      <c r="AN40" s="2539">
        <f t="shared" si="58"/>
        <v>125554.32999999999</v>
      </c>
      <c r="AO40" s="6276"/>
      <c r="AP40" s="2538">
        <f t="shared" si="55"/>
        <v>380967.10000000003</v>
      </c>
      <c r="AQ40" s="6280"/>
      <c r="AR40" s="2599">
        <v>42695.8</v>
      </c>
      <c r="AS40" s="6276"/>
      <c r="AT40" s="2538">
        <f t="shared" si="53"/>
        <v>423662.9</v>
      </c>
      <c r="AU40" s="6280"/>
      <c r="AV40" s="2599">
        <v>36998.6</v>
      </c>
      <c r="AW40" s="6276"/>
      <c r="AX40" s="2538">
        <f t="shared" si="54"/>
        <v>460661.5</v>
      </c>
      <c r="AY40" s="6280"/>
      <c r="AZ40" s="2599">
        <v>47127.39</v>
      </c>
      <c r="BA40" s="6268"/>
      <c r="BB40" s="2539">
        <f t="shared" si="59"/>
        <v>126821.79</v>
      </c>
      <c r="BC40" s="6269"/>
      <c r="BD40" s="2579">
        <f t="shared" si="60"/>
        <v>252376.12</v>
      </c>
      <c r="BE40" s="6104"/>
      <c r="BF40" s="38">
        <f t="shared" si="47"/>
        <v>507788.89</v>
      </c>
      <c r="BG40" s="2446"/>
      <c r="BH40" s="2446"/>
      <c r="BI40" s="2445"/>
      <c r="BJ40" s="2445"/>
      <c r="BK40" s="3564"/>
      <c r="BL40" s="2445"/>
      <c r="BM40" s="3564"/>
      <c r="BN40" s="3564"/>
    </row>
    <row r="41" spans="1:66" ht="13.8" x14ac:dyDescent="0.25">
      <c r="A41" s="2445">
        <f>+J38+J39+J40+J41</f>
        <v>119023.12999999999</v>
      </c>
      <c r="B41" s="1871" t="s">
        <v>1190</v>
      </c>
      <c r="C41" s="2803" t="s">
        <v>50</v>
      </c>
      <c r="D41" s="5896"/>
      <c r="E41" s="6284"/>
      <c r="F41" s="2599">
        <v>15818.92</v>
      </c>
      <c r="G41" s="6284"/>
      <c r="H41" s="2599">
        <v>12148.69</v>
      </c>
      <c r="I41" s="6276"/>
      <c r="J41" s="38">
        <f t="shared" si="48"/>
        <v>27967.61</v>
      </c>
      <c r="K41" s="6284"/>
      <c r="L41" s="2599">
        <v>4969.74</v>
      </c>
      <c r="M41" s="6268"/>
      <c r="N41" s="2539">
        <f t="shared" si="61"/>
        <v>32937.35</v>
      </c>
      <c r="O41" s="6284"/>
      <c r="P41" s="2599">
        <v>10197.709999999999</v>
      </c>
      <c r="Q41" s="6276"/>
      <c r="R41" s="2538">
        <f t="shared" si="49"/>
        <v>43135.06</v>
      </c>
      <c r="S41" s="6284"/>
      <c r="T41" s="2599">
        <v>5371.31</v>
      </c>
      <c r="U41" s="6286"/>
      <c r="V41" s="2538">
        <f t="shared" si="50"/>
        <v>48506.369999999995</v>
      </c>
      <c r="W41" s="6284"/>
      <c r="X41" s="2599">
        <v>9948.9699999999993</v>
      </c>
      <c r="Y41" s="6268"/>
      <c r="Z41" s="2539">
        <f t="shared" si="56"/>
        <v>25517.989999999998</v>
      </c>
      <c r="AA41" s="6269"/>
      <c r="AB41" s="2579">
        <f t="shared" si="57"/>
        <v>58455.34</v>
      </c>
      <c r="AC41" s="6284"/>
      <c r="AD41" s="2599">
        <v>0</v>
      </c>
      <c r="AE41" s="6276"/>
      <c r="AF41" s="2538">
        <f t="shared" si="51"/>
        <v>58455.34</v>
      </c>
      <c r="AG41" s="6284"/>
      <c r="AH41" s="2599">
        <v>6374.74</v>
      </c>
      <c r="AI41" s="6104"/>
      <c r="AJ41" s="2538">
        <f t="shared" si="52"/>
        <v>64830.079999999994</v>
      </c>
      <c r="AK41" s="6284"/>
      <c r="AL41" s="2599">
        <v>9146.43</v>
      </c>
      <c r="AM41" s="6268"/>
      <c r="AN41" s="2539">
        <f t="shared" si="58"/>
        <v>15521.17</v>
      </c>
      <c r="AO41" s="6276"/>
      <c r="AP41" s="2538">
        <f t="shared" si="55"/>
        <v>73976.509999999995</v>
      </c>
      <c r="AQ41" s="6280"/>
      <c r="AR41" s="2599">
        <v>9043.4699999999993</v>
      </c>
      <c r="AS41" s="6276"/>
      <c r="AT41" s="2538">
        <f t="shared" si="53"/>
        <v>83019.98</v>
      </c>
      <c r="AU41" s="6280"/>
      <c r="AV41" s="2599">
        <v>3834.71</v>
      </c>
      <c r="AW41" s="6276"/>
      <c r="AX41" s="2538">
        <f t="shared" si="54"/>
        <v>86854.69</v>
      </c>
      <c r="AY41" s="6280"/>
      <c r="AZ41" s="2599">
        <v>10406.17</v>
      </c>
      <c r="BA41" s="6268"/>
      <c r="BB41" s="2539">
        <f t="shared" si="59"/>
        <v>23284.35</v>
      </c>
      <c r="BC41" s="6269"/>
      <c r="BD41" s="2579">
        <f t="shared" si="60"/>
        <v>38805.519999999997</v>
      </c>
      <c r="BE41" s="6104"/>
      <c r="BF41" s="38">
        <f t="shared" si="47"/>
        <v>97260.86</v>
      </c>
      <c r="BG41" s="2446"/>
      <c r="BH41" s="2446"/>
      <c r="BI41" s="2445"/>
      <c r="BJ41" s="2445"/>
      <c r="BK41" s="3564"/>
      <c r="BL41" s="2445"/>
      <c r="BM41" s="3564"/>
      <c r="BN41" s="3564"/>
    </row>
    <row r="42" spans="1:66" ht="13.8" x14ac:dyDescent="0.25">
      <c r="B42" s="1871" t="s">
        <v>1662</v>
      </c>
      <c r="C42" s="2803" t="s">
        <v>50</v>
      </c>
      <c r="D42" s="5896"/>
      <c r="E42" s="6284"/>
      <c r="F42" s="2599">
        <v>0</v>
      </c>
      <c r="G42" s="6284"/>
      <c r="H42" s="2599">
        <v>0</v>
      </c>
      <c r="I42" s="6276"/>
      <c r="J42" s="38">
        <f t="shared" si="48"/>
        <v>0</v>
      </c>
      <c r="K42" s="6284"/>
      <c r="L42" s="2599">
        <v>0</v>
      </c>
      <c r="M42" s="6268"/>
      <c r="N42" s="2539">
        <f t="shared" si="61"/>
        <v>0</v>
      </c>
      <c r="O42" s="6284"/>
      <c r="P42" s="2599">
        <v>0</v>
      </c>
      <c r="Q42" s="6276"/>
      <c r="R42" s="2538">
        <f t="shared" si="49"/>
        <v>0</v>
      </c>
      <c r="S42" s="6284"/>
      <c r="T42" s="2599">
        <v>0</v>
      </c>
      <c r="U42" s="6286"/>
      <c r="V42" s="2538">
        <f t="shared" si="50"/>
        <v>0</v>
      </c>
      <c r="W42" s="6284"/>
      <c r="X42" s="2599">
        <v>0</v>
      </c>
      <c r="Y42" s="6268"/>
      <c r="Z42" s="2539">
        <f t="shared" si="56"/>
        <v>0</v>
      </c>
      <c r="AA42" s="6269"/>
      <c r="AB42" s="2579">
        <f t="shared" si="57"/>
        <v>0</v>
      </c>
      <c r="AC42" s="6284"/>
      <c r="AD42" s="2599">
        <v>17</v>
      </c>
      <c r="AE42" s="6276"/>
      <c r="AF42" s="2538">
        <f t="shared" si="51"/>
        <v>17</v>
      </c>
      <c r="AG42" s="6284"/>
      <c r="AH42" s="2599">
        <v>0</v>
      </c>
      <c r="AI42" s="6104"/>
      <c r="AJ42" s="2538">
        <f t="shared" si="52"/>
        <v>17</v>
      </c>
      <c r="AK42" s="6284"/>
      <c r="AL42" s="2599"/>
      <c r="AM42" s="6268"/>
      <c r="AN42" s="2539">
        <f t="shared" si="58"/>
        <v>17</v>
      </c>
      <c r="AO42" s="6276"/>
      <c r="AP42" s="2538">
        <f t="shared" si="55"/>
        <v>17</v>
      </c>
      <c r="AQ42" s="6280"/>
      <c r="AR42" s="2599">
        <v>35</v>
      </c>
      <c r="AS42" s="6276"/>
      <c r="AT42" s="2538">
        <f t="shared" si="53"/>
        <v>52</v>
      </c>
      <c r="AU42" s="6280"/>
      <c r="AV42" s="2599">
        <v>22</v>
      </c>
      <c r="AW42" s="6276"/>
      <c r="AX42" s="2538">
        <f t="shared" si="54"/>
        <v>74</v>
      </c>
      <c r="AY42" s="6280"/>
      <c r="AZ42" s="2599">
        <v>0</v>
      </c>
      <c r="BA42" s="6268"/>
      <c r="BB42" s="2539">
        <f t="shared" si="59"/>
        <v>57</v>
      </c>
      <c r="BC42" s="6269"/>
      <c r="BD42" s="2579">
        <f t="shared" si="60"/>
        <v>74</v>
      </c>
      <c r="BE42" s="6104"/>
      <c r="BF42" s="38">
        <f t="shared" si="47"/>
        <v>74</v>
      </c>
      <c r="BG42" s="2446"/>
      <c r="BH42" s="2446"/>
      <c r="BI42" s="2445"/>
      <c r="BJ42" s="2445"/>
      <c r="BK42" s="3564"/>
      <c r="BL42" s="2445"/>
      <c r="BM42" s="3564"/>
      <c r="BN42" s="3564"/>
    </row>
    <row r="43" spans="1:66" ht="13.8" x14ac:dyDescent="0.25">
      <c r="B43" s="1871" t="s">
        <v>1663</v>
      </c>
      <c r="C43" s="2803" t="s">
        <v>50</v>
      </c>
      <c r="D43" s="5896"/>
      <c r="E43" s="6284"/>
      <c r="F43" s="2599">
        <v>0</v>
      </c>
      <c r="G43" s="6284"/>
      <c r="H43" s="2599">
        <v>0</v>
      </c>
      <c r="I43" s="6276"/>
      <c r="J43" s="38">
        <f t="shared" si="48"/>
        <v>0</v>
      </c>
      <c r="K43" s="6284"/>
      <c r="L43" s="2599">
        <v>0</v>
      </c>
      <c r="M43" s="6268"/>
      <c r="N43" s="2539">
        <f t="shared" si="61"/>
        <v>0</v>
      </c>
      <c r="O43" s="6284"/>
      <c r="P43" s="2599">
        <v>0</v>
      </c>
      <c r="Q43" s="6276"/>
      <c r="R43" s="2538">
        <f t="shared" si="49"/>
        <v>0</v>
      </c>
      <c r="S43" s="6284"/>
      <c r="T43" s="2599">
        <v>11</v>
      </c>
      <c r="U43" s="6286"/>
      <c r="V43" s="2538">
        <f t="shared" si="50"/>
        <v>11</v>
      </c>
      <c r="W43" s="6284"/>
      <c r="X43" s="2599">
        <v>25</v>
      </c>
      <c r="Y43" s="6268"/>
      <c r="Z43" s="2539">
        <f t="shared" si="56"/>
        <v>36</v>
      </c>
      <c r="AA43" s="6269"/>
      <c r="AB43" s="2579">
        <f t="shared" si="57"/>
        <v>36</v>
      </c>
      <c r="AC43" s="6284"/>
      <c r="AD43" s="2599">
        <v>0</v>
      </c>
      <c r="AE43" s="6276"/>
      <c r="AF43" s="2538">
        <f t="shared" si="51"/>
        <v>36</v>
      </c>
      <c r="AG43" s="6284"/>
      <c r="AH43" s="2599">
        <v>0</v>
      </c>
      <c r="AI43" s="6104"/>
      <c r="AJ43" s="2538">
        <f t="shared" si="52"/>
        <v>36</v>
      </c>
      <c r="AK43" s="6284"/>
      <c r="AL43" s="2599"/>
      <c r="AM43" s="6268"/>
      <c r="AN43" s="2539">
        <f t="shared" si="58"/>
        <v>0</v>
      </c>
      <c r="AO43" s="6276"/>
      <c r="AP43" s="2538">
        <f t="shared" si="55"/>
        <v>36</v>
      </c>
      <c r="AQ43" s="6280"/>
      <c r="AR43" s="2599">
        <v>0</v>
      </c>
      <c r="AS43" s="6276"/>
      <c r="AT43" s="2538">
        <f t="shared" si="53"/>
        <v>36</v>
      </c>
      <c r="AU43" s="6280"/>
      <c r="AV43" s="2599">
        <v>0</v>
      </c>
      <c r="AW43" s="6276"/>
      <c r="AX43" s="2538">
        <f t="shared" si="54"/>
        <v>36</v>
      </c>
      <c r="AY43" s="6280"/>
      <c r="AZ43" s="2599">
        <v>0</v>
      </c>
      <c r="BA43" s="6268"/>
      <c r="BB43" s="2539">
        <f t="shared" si="59"/>
        <v>0</v>
      </c>
      <c r="BC43" s="6269"/>
      <c r="BD43" s="2579">
        <f t="shared" si="60"/>
        <v>0</v>
      </c>
      <c r="BE43" s="6104"/>
      <c r="BF43" s="38">
        <f t="shared" si="47"/>
        <v>36</v>
      </c>
      <c r="BG43" s="2446"/>
      <c r="BH43" s="2446"/>
      <c r="BI43" s="2445"/>
      <c r="BJ43" s="2445"/>
      <c r="BK43" s="3564"/>
      <c r="BL43" s="2445"/>
      <c r="BM43" s="3564"/>
      <c r="BN43" s="3564"/>
    </row>
    <row r="44" spans="1:66" ht="13.8" x14ac:dyDescent="0.25">
      <c r="B44" s="1871" t="s">
        <v>1664</v>
      </c>
      <c r="C44" s="2803" t="s">
        <v>50</v>
      </c>
      <c r="D44" s="5896"/>
      <c r="E44" s="6284"/>
      <c r="F44" s="2599">
        <v>60</v>
      </c>
      <c r="G44" s="6284"/>
      <c r="H44" s="2599">
        <v>68</v>
      </c>
      <c r="I44" s="6276"/>
      <c r="J44" s="38">
        <f t="shared" si="48"/>
        <v>128</v>
      </c>
      <c r="K44" s="6284"/>
      <c r="L44" s="2599">
        <v>34</v>
      </c>
      <c r="M44" s="6268"/>
      <c r="N44" s="2539">
        <f t="shared" si="61"/>
        <v>162</v>
      </c>
      <c r="O44" s="6284"/>
      <c r="P44" s="2599">
        <v>0</v>
      </c>
      <c r="Q44" s="6276"/>
      <c r="R44" s="2538">
        <f t="shared" si="49"/>
        <v>162</v>
      </c>
      <c r="S44" s="6284"/>
      <c r="T44" s="2599">
        <v>17</v>
      </c>
      <c r="U44" s="6286"/>
      <c r="V44" s="2538">
        <f t="shared" si="50"/>
        <v>179</v>
      </c>
      <c r="W44" s="6284"/>
      <c r="X44" s="2599">
        <v>82</v>
      </c>
      <c r="Y44" s="6268"/>
      <c r="Z44" s="2539">
        <f t="shared" si="56"/>
        <v>99</v>
      </c>
      <c r="AA44" s="6269"/>
      <c r="AB44" s="2579">
        <f t="shared" si="57"/>
        <v>261</v>
      </c>
      <c r="AC44" s="6284"/>
      <c r="AD44" s="2599">
        <v>43</v>
      </c>
      <c r="AE44" s="6276"/>
      <c r="AF44" s="2538">
        <f t="shared" si="51"/>
        <v>304</v>
      </c>
      <c r="AG44" s="6284"/>
      <c r="AH44" s="2599">
        <v>0</v>
      </c>
      <c r="AI44" s="6104"/>
      <c r="AJ44" s="2538">
        <f t="shared" si="52"/>
        <v>304</v>
      </c>
      <c r="AK44" s="6284"/>
      <c r="AL44" s="2599"/>
      <c r="AM44" s="6268"/>
      <c r="AN44" s="2539">
        <f t="shared" si="58"/>
        <v>43</v>
      </c>
      <c r="AO44" s="6276"/>
      <c r="AP44" s="2538">
        <f t="shared" si="55"/>
        <v>304</v>
      </c>
      <c r="AQ44" s="6280"/>
      <c r="AR44" s="2599">
        <v>120</v>
      </c>
      <c r="AS44" s="6276"/>
      <c r="AT44" s="2538">
        <f t="shared" si="53"/>
        <v>424</v>
      </c>
      <c r="AU44" s="6280"/>
      <c r="AV44" s="2599">
        <v>31</v>
      </c>
      <c r="AW44" s="6276"/>
      <c r="AX44" s="2538">
        <f t="shared" si="54"/>
        <v>455</v>
      </c>
      <c r="AY44" s="6280"/>
      <c r="AZ44" s="2599">
        <v>62</v>
      </c>
      <c r="BA44" s="6268"/>
      <c r="BB44" s="2539">
        <f t="shared" si="59"/>
        <v>213</v>
      </c>
      <c r="BC44" s="6269"/>
      <c r="BD44" s="2579">
        <f t="shared" si="60"/>
        <v>256</v>
      </c>
      <c r="BE44" s="6104"/>
      <c r="BF44" s="38">
        <f t="shared" si="47"/>
        <v>517</v>
      </c>
      <c r="BG44" s="2446"/>
      <c r="BH44" s="2446"/>
      <c r="BI44" s="2445"/>
      <c r="BJ44" s="2445"/>
      <c r="BK44" s="3564"/>
      <c r="BL44" s="2445"/>
      <c r="BM44" s="3564"/>
      <c r="BN44" s="3564"/>
    </row>
    <row r="45" spans="1:66" ht="13.8" x14ac:dyDescent="0.25">
      <c r="A45" s="2445"/>
      <c r="B45" s="1871" t="s">
        <v>1665</v>
      </c>
      <c r="C45" s="2803" t="s">
        <v>50</v>
      </c>
      <c r="D45" s="5896"/>
      <c r="E45" s="6284"/>
      <c r="F45" s="2599">
        <v>46</v>
      </c>
      <c r="G45" s="6284"/>
      <c r="H45" s="2599">
        <v>0</v>
      </c>
      <c r="I45" s="6276"/>
      <c r="J45" s="38">
        <f t="shared" si="48"/>
        <v>46</v>
      </c>
      <c r="K45" s="6284"/>
      <c r="L45" s="2599">
        <v>0</v>
      </c>
      <c r="M45" s="6268"/>
      <c r="N45" s="2539">
        <f t="shared" si="61"/>
        <v>46</v>
      </c>
      <c r="O45" s="6284"/>
      <c r="P45" s="2599">
        <v>7</v>
      </c>
      <c r="Q45" s="6276"/>
      <c r="R45" s="2538">
        <f t="shared" si="49"/>
        <v>53</v>
      </c>
      <c r="S45" s="6284"/>
      <c r="T45" s="2599">
        <v>0</v>
      </c>
      <c r="U45" s="6286"/>
      <c r="V45" s="2538">
        <f t="shared" si="50"/>
        <v>53</v>
      </c>
      <c r="W45" s="6284"/>
      <c r="X45" s="2599">
        <v>53</v>
      </c>
      <c r="Y45" s="6268"/>
      <c r="Z45" s="2539">
        <f t="shared" si="56"/>
        <v>60</v>
      </c>
      <c r="AA45" s="6269"/>
      <c r="AB45" s="2579">
        <f t="shared" si="57"/>
        <v>106</v>
      </c>
      <c r="AC45" s="6284"/>
      <c r="AD45" s="2599">
        <v>0</v>
      </c>
      <c r="AE45" s="6276"/>
      <c r="AF45" s="2538">
        <f t="shared" si="51"/>
        <v>106</v>
      </c>
      <c r="AG45" s="6284"/>
      <c r="AH45" s="2599">
        <v>0</v>
      </c>
      <c r="AI45" s="6104"/>
      <c r="AJ45" s="2538">
        <f t="shared" si="52"/>
        <v>106</v>
      </c>
      <c r="AK45" s="6284"/>
      <c r="AL45" s="2599">
        <v>5</v>
      </c>
      <c r="AM45" s="6268"/>
      <c r="AN45" s="2539">
        <f t="shared" si="58"/>
        <v>5</v>
      </c>
      <c r="AO45" s="6276"/>
      <c r="AP45" s="2538">
        <f t="shared" si="55"/>
        <v>111</v>
      </c>
      <c r="AQ45" s="6280"/>
      <c r="AR45" s="2599">
        <v>59</v>
      </c>
      <c r="AS45" s="6276"/>
      <c r="AT45" s="2538">
        <f t="shared" si="53"/>
        <v>170</v>
      </c>
      <c r="AU45" s="6280"/>
      <c r="AV45" s="2599">
        <v>0</v>
      </c>
      <c r="AW45" s="6276"/>
      <c r="AX45" s="2538">
        <f t="shared" si="54"/>
        <v>170</v>
      </c>
      <c r="AY45" s="6280"/>
      <c r="AZ45" s="2599">
        <v>47</v>
      </c>
      <c r="BA45" s="6268"/>
      <c r="BB45" s="2539">
        <f t="shared" si="59"/>
        <v>106</v>
      </c>
      <c r="BC45" s="6269"/>
      <c r="BD45" s="2579">
        <f t="shared" si="60"/>
        <v>111</v>
      </c>
      <c r="BE45" s="6104"/>
      <c r="BF45" s="38">
        <f t="shared" si="47"/>
        <v>217</v>
      </c>
      <c r="BG45" s="2446"/>
      <c r="BH45" s="2446"/>
      <c r="BI45" s="2445"/>
      <c r="BJ45" s="2445"/>
      <c r="BK45" s="3564"/>
      <c r="BL45" s="2445"/>
      <c r="BM45" s="3564"/>
      <c r="BN45" s="3564"/>
    </row>
    <row r="46" spans="1:66" ht="16.5" customHeight="1" thickBot="1" x14ac:dyDescent="0.3">
      <c r="A46" s="2445"/>
      <c r="B46" s="3295" t="s">
        <v>164</v>
      </c>
      <c r="C46" s="3296" t="s">
        <v>50</v>
      </c>
      <c r="D46" s="5896"/>
      <c r="E46" s="6284"/>
      <c r="F46" s="3275">
        <f>SUM(F38:F45)</f>
        <v>57758.57</v>
      </c>
      <c r="G46" s="6284"/>
      <c r="H46" s="3275">
        <f>SUM(H38:H45)</f>
        <v>61438.559999999998</v>
      </c>
      <c r="I46" s="6276"/>
      <c r="J46" s="1986">
        <f t="shared" si="48"/>
        <v>119197.13</v>
      </c>
      <c r="K46" s="6284"/>
      <c r="L46" s="3275">
        <f>SUM(L38:L45)</f>
        <v>60718.3</v>
      </c>
      <c r="M46" s="6268"/>
      <c r="N46" s="3274">
        <f>SUM(N38:N45)</f>
        <v>179915.43</v>
      </c>
      <c r="O46" s="6284"/>
      <c r="P46" s="3275">
        <f>SUM(P38:P45)</f>
        <v>64584.79</v>
      </c>
      <c r="Q46" s="6276"/>
      <c r="R46" s="3273">
        <f t="shared" si="49"/>
        <v>244500.22</v>
      </c>
      <c r="S46" s="6284"/>
      <c r="T46" s="3275">
        <f>SUM(T38:T45)</f>
        <v>58078.79</v>
      </c>
      <c r="U46" s="6287"/>
      <c r="V46" s="3273">
        <f t="shared" si="50"/>
        <v>302579.01</v>
      </c>
      <c r="W46" s="6284"/>
      <c r="X46" s="3275">
        <f>SUM(X38:X45)</f>
        <v>54507.000000000007</v>
      </c>
      <c r="Y46" s="6268"/>
      <c r="Z46" s="3274">
        <f>SUM(Z38:Z45)</f>
        <v>177170.58</v>
      </c>
      <c r="AA46" s="6269"/>
      <c r="AB46" s="2566">
        <f>SUM(AB38:AB45)</f>
        <v>357086.01</v>
      </c>
      <c r="AC46" s="6284"/>
      <c r="AD46" s="3275">
        <f>SUM(AD38:AD45)</f>
        <v>43960.31</v>
      </c>
      <c r="AE46" s="6276"/>
      <c r="AF46" s="3273">
        <f t="shared" si="51"/>
        <v>401046.32</v>
      </c>
      <c r="AG46" s="6284"/>
      <c r="AH46" s="3275">
        <f>SUM(AH38:AH45)</f>
        <v>51491.21</v>
      </c>
      <c r="AI46" s="6105"/>
      <c r="AJ46" s="3273">
        <f t="shared" si="52"/>
        <v>452537.53</v>
      </c>
      <c r="AK46" s="6284"/>
      <c r="AL46" s="3275">
        <f>SUM(AL38:AL45)</f>
        <v>65584.38</v>
      </c>
      <c r="AM46" s="6268"/>
      <c r="AN46" s="3274">
        <f>SUM(AN38:AN45)</f>
        <v>161035.9</v>
      </c>
      <c r="AO46" s="6276"/>
      <c r="AP46" s="3273">
        <f t="shared" si="55"/>
        <v>518121.91000000003</v>
      </c>
      <c r="AQ46" s="6281"/>
      <c r="AR46" s="3275">
        <f>SUM(AR38:AR45)</f>
        <v>63113.100000000006</v>
      </c>
      <c r="AS46" s="6276"/>
      <c r="AT46" s="3273">
        <f t="shared" si="53"/>
        <v>581235.01</v>
      </c>
      <c r="AU46" s="6281"/>
      <c r="AV46" s="3275">
        <f>SUM(AV38:AV45)</f>
        <v>49408.38</v>
      </c>
      <c r="AW46" s="6276"/>
      <c r="AX46" s="3273">
        <f t="shared" si="54"/>
        <v>630643.39</v>
      </c>
      <c r="AY46" s="6281"/>
      <c r="AZ46" s="3275">
        <f>SUM(AZ38:AZ45)</f>
        <v>64595.039999999994</v>
      </c>
      <c r="BA46" s="6268"/>
      <c r="BB46" s="3274">
        <f>SUM(BB38:BB45)</f>
        <v>177116.52</v>
      </c>
      <c r="BC46" s="6269"/>
      <c r="BD46" s="2566">
        <f>SUM(BD38:BD45)</f>
        <v>338152.42000000004</v>
      </c>
      <c r="BE46" s="6105"/>
      <c r="BF46" s="1986">
        <f t="shared" si="47"/>
        <v>695238.43</v>
      </c>
      <c r="BG46" s="2446"/>
      <c r="BH46" s="2446"/>
      <c r="BI46" s="2445"/>
      <c r="BJ46" s="2445"/>
      <c r="BK46" s="3564"/>
      <c r="BL46" s="2445"/>
      <c r="BM46" s="3564"/>
      <c r="BN46" s="3564"/>
    </row>
    <row r="47" spans="1:66" ht="13.8" x14ac:dyDescent="0.25">
      <c r="A47" s="6290"/>
      <c r="B47" s="1705" t="s">
        <v>165</v>
      </c>
      <c r="C47" s="59" t="s">
        <v>50</v>
      </c>
      <c r="D47" s="6300">
        <f>+D29+D38</f>
        <v>2770018.8857412701</v>
      </c>
      <c r="E47" s="6272">
        <f>+E29+E38</f>
        <v>237110.48158640269</v>
      </c>
      <c r="F47" s="2599">
        <f>+F35+F38+F39+F40+F41</f>
        <v>206769.57000000004</v>
      </c>
      <c r="G47" s="6272">
        <f>+G29+G38</f>
        <v>244664.77809254048</v>
      </c>
      <c r="H47" s="2599">
        <f>+H35+H38+H39+H40+H41</f>
        <v>236416.1</v>
      </c>
      <c r="I47" s="6288">
        <f>+E47+G47</f>
        <v>481775.2596789432</v>
      </c>
      <c r="J47" s="38">
        <f t="shared" si="48"/>
        <v>443185.67000000004</v>
      </c>
      <c r="K47" s="6272">
        <f>+K29+K38</f>
        <v>237110.4815864019</v>
      </c>
      <c r="L47" s="2599">
        <f>+L35+L38+L39+L40+L41</f>
        <v>243363.3</v>
      </c>
      <c r="M47" s="6277">
        <f>+K47+G47+E47</f>
        <v>718885.74126534513</v>
      </c>
      <c r="N47" s="2539">
        <f>+L47+H47+F47</f>
        <v>686548.97000000009</v>
      </c>
      <c r="O47" s="6272">
        <f>+O29+O38</f>
        <v>239943.3427762044</v>
      </c>
      <c r="P47" s="2599">
        <f>+P35+P38+P39+P40+P41</f>
        <v>253628.79</v>
      </c>
      <c r="Q47" s="6259">
        <f>+M47+O47</f>
        <v>958829.08404154959</v>
      </c>
      <c r="R47" s="2538">
        <f t="shared" si="49"/>
        <v>940177.76000000013</v>
      </c>
      <c r="S47" s="6272">
        <f>+S29+S38</f>
        <v>239943.3427762044</v>
      </c>
      <c r="T47" s="2599">
        <f>+T35+T38+T39+T40+T41</f>
        <v>237527.78999999998</v>
      </c>
      <c r="U47" s="6259">
        <f>+Q47+S47</f>
        <v>1198772.4268177541</v>
      </c>
      <c r="V47" s="2538">
        <f t="shared" si="50"/>
        <v>1177705.55</v>
      </c>
      <c r="W47" s="6272">
        <f>+W29+W38</f>
        <v>125920.6798866856</v>
      </c>
      <c r="X47" s="2599">
        <f>+X35+X38+X39+X40+X41</f>
        <v>226426.6</v>
      </c>
      <c r="Y47" s="6268">
        <f>+W47+S47+O47</f>
        <v>605807.36543909437</v>
      </c>
      <c r="Z47" s="2539">
        <f>+X47+T47+P47</f>
        <v>717583.18</v>
      </c>
      <c r="AA47" s="6269">
        <f>+Y47+M47</f>
        <v>1324693.1067044395</v>
      </c>
      <c r="AB47" s="2579">
        <f>+Z47+N47</f>
        <v>1404132.1500000001</v>
      </c>
      <c r="AC47" s="6272">
        <f>+AC29+AC38</f>
        <v>244664.78</v>
      </c>
      <c r="AD47" s="2599">
        <f>+AD35+AD38+AD39+AD40+AD41</f>
        <v>179046.31</v>
      </c>
      <c r="AE47" s="6259">
        <f>+AA47+AC47</f>
        <v>1569357.8867044395</v>
      </c>
      <c r="AF47" s="2538">
        <f t="shared" si="51"/>
        <v>1583178.4600000002</v>
      </c>
      <c r="AG47" s="6272">
        <f>+AG29+AG38</f>
        <v>237110.48158640249</v>
      </c>
      <c r="AH47" s="2599">
        <f>+AH35+AH38+AH39+AH40+AH41</f>
        <v>229501.64999999997</v>
      </c>
      <c r="AI47" s="6259">
        <f>+AE47+AG47</f>
        <v>1806468.368290842</v>
      </c>
      <c r="AJ47" s="2538">
        <f t="shared" si="52"/>
        <v>1812680.11</v>
      </c>
      <c r="AK47" s="6272">
        <f>+AK29+AK38</f>
        <v>244664.7780925401</v>
      </c>
      <c r="AL47" s="2599">
        <f>+AL35+AL38+AL39+AL40+AL41</f>
        <v>234322.38</v>
      </c>
      <c r="AM47" s="6268">
        <f>+AK47+AG47+AC47</f>
        <v>726440.03967894264</v>
      </c>
      <c r="AN47" s="2539">
        <f>+AL47+AH47+AD47</f>
        <v>642870.34</v>
      </c>
      <c r="AO47" s="6259">
        <f>+AK47+AI47</f>
        <v>2051133.1463833821</v>
      </c>
      <c r="AP47" s="2538">
        <f t="shared" si="55"/>
        <v>2047002.4900000002</v>
      </c>
      <c r="AQ47" s="6272">
        <f>+AQ29+AQ38</f>
        <v>248441.92634560907</v>
      </c>
      <c r="AR47" s="2599">
        <f>+AR35+AR38+AR39+AR40+AR41</f>
        <v>227466.38000000003</v>
      </c>
      <c r="AS47" s="6259">
        <f>+AO47+AQ47</f>
        <v>2299575.072728991</v>
      </c>
      <c r="AT47" s="2538">
        <f t="shared" si="53"/>
        <v>2274468.87</v>
      </c>
      <c r="AU47" s="6272">
        <f>+AU29+AU38</f>
        <v>222001.88857412653</v>
      </c>
      <c r="AV47" s="2599">
        <f>+AV35+AV38+AV39+AV40+AV41</f>
        <v>184707.17</v>
      </c>
      <c r="AW47" s="6259">
        <f>+AS47+AU47</f>
        <v>2521576.9613031177</v>
      </c>
      <c r="AX47" s="2538">
        <f t="shared" si="54"/>
        <v>2459176.04</v>
      </c>
      <c r="AY47" s="6272">
        <f>+AY29+AY38</f>
        <v>248441.92634560907</v>
      </c>
      <c r="AZ47" s="2599">
        <f>+AZ35+AZ38+AZ39+AZ40+AZ41</f>
        <v>241026.95000000004</v>
      </c>
      <c r="BA47" s="6268">
        <f>+AY47+AU47+AQ47</f>
        <v>718885.74126534467</v>
      </c>
      <c r="BB47" s="2539">
        <f>+AZ47+AV47+AR47</f>
        <v>653200.50000000012</v>
      </c>
      <c r="BC47" s="6269">
        <f>+BA47+AM47</f>
        <v>1445325.7809442873</v>
      </c>
      <c r="BD47" s="2579">
        <f t="shared" ref="BD47:BD48" si="62">+BB47+AN47</f>
        <v>1296070.8400000001</v>
      </c>
      <c r="BE47" s="6259">
        <f>+AW47+AY47</f>
        <v>2770018.8876487268</v>
      </c>
      <c r="BF47" s="38">
        <f t="shared" si="47"/>
        <v>2700202.99</v>
      </c>
      <c r="BG47" s="2446"/>
      <c r="BH47" s="2446"/>
      <c r="BI47" s="2445"/>
      <c r="BJ47" s="2445"/>
      <c r="BK47" s="3564"/>
      <c r="BL47" s="2445"/>
      <c r="BM47" s="3564"/>
      <c r="BN47" s="3564"/>
    </row>
    <row r="48" spans="1:66" ht="14.4" thickBot="1" x14ac:dyDescent="0.3">
      <c r="A48" s="6290"/>
      <c r="B48" s="3286" t="s">
        <v>1666</v>
      </c>
      <c r="C48" s="2907" t="s">
        <v>50</v>
      </c>
      <c r="D48" s="6300"/>
      <c r="E48" s="6272"/>
      <c r="F48" s="2599">
        <f>+F36+F42+F43+F44+F45</f>
        <v>250</v>
      </c>
      <c r="G48" s="6272"/>
      <c r="H48" s="2599">
        <f>+H36+H42+H43+H44+H45</f>
        <v>222</v>
      </c>
      <c r="I48" s="6104"/>
      <c r="J48" s="38">
        <f t="shared" si="48"/>
        <v>472</v>
      </c>
      <c r="K48" s="6272"/>
      <c r="L48" s="2599">
        <f>+L36+L42+L43+L44+L45</f>
        <v>90</v>
      </c>
      <c r="M48" s="6277"/>
      <c r="N48" s="2539">
        <f>+L48+H48+F48</f>
        <v>562</v>
      </c>
      <c r="O48" s="6272"/>
      <c r="P48" s="2599">
        <f>+P36+P42+P43+P44+P45</f>
        <v>33</v>
      </c>
      <c r="Q48" s="6259"/>
      <c r="R48" s="2538">
        <f t="shared" si="49"/>
        <v>595</v>
      </c>
      <c r="S48" s="6272"/>
      <c r="T48" s="2599">
        <f>+T36+T42+T43+T44+T45</f>
        <v>94</v>
      </c>
      <c r="U48" s="6259"/>
      <c r="V48" s="2538">
        <f t="shared" si="50"/>
        <v>689</v>
      </c>
      <c r="W48" s="6272"/>
      <c r="X48" s="2599">
        <f>+X36+X42+X43+X44+X45</f>
        <v>420</v>
      </c>
      <c r="Y48" s="6268"/>
      <c r="Z48" s="2539">
        <f>+X48+T48+P48</f>
        <v>547</v>
      </c>
      <c r="AA48" s="6269"/>
      <c r="AB48" s="2579">
        <f>+Z48+N48</f>
        <v>1109</v>
      </c>
      <c r="AC48" s="6272"/>
      <c r="AD48" s="2599">
        <f>+AD36+AD42+AD43+AD44+AD45</f>
        <v>155</v>
      </c>
      <c r="AE48" s="6259"/>
      <c r="AF48" s="2538">
        <f t="shared" si="51"/>
        <v>1264</v>
      </c>
      <c r="AG48" s="6272"/>
      <c r="AH48" s="2599">
        <f>+AH36+AH42+AH43+AH44+AH45</f>
        <v>0</v>
      </c>
      <c r="AI48" s="6259"/>
      <c r="AJ48" s="2538">
        <f t="shared" si="52"/>
        <v>1264</v>
      </c>
      <c r="AK48" s="6272"/>
      <c r="AL48" s="2599">
        <f>+AL36+AL42+AL43+AL44+AL45</f>
        <v>43</v>
      </c>
      <c r="AM48" s="6268"/>
      <c r="AN48" s="2539">
        <f>+AL48+AH48+AD48</f>
        <v>198</v>
      </c>
      <c r="AO48" s="6259"/>
      <c r="AP48" s="2538">
        <f t="shared" si="55"/>
        <v>1307</v>
      </c>
      <c r="AQ48" s="6272"/>
      <c r="AR48" s="2599">
        <f>+AR36+AR42+AR43+AR44+AR45</f>
        <v>581</v>
      </c>
      <c r="AS48" s="6259"/>
      <c r="AT48" s="2538">
        <f t="shared" si="53"/>
        <v>1888</v>
      </c>
      <c r="AU48" s="6272"/>
      <c r="AV48" s="2599">
        <f>+AV36+AV42+AV43+AV44+AV45</f>
        <v>309</v>
      </c>
      <c r="AW48" s="6259"/>
      <c r="AX48" s="2538">
        <f t="shared" si="54"/>
        <v>2197</v>
      </c>
      <c r="AY48" s="6272"/>
      <c r="AZ48" s="2599">
        <f>+AZ36+AZ42+AZ43+AZ44+AZ45</f>
        <v>213</v>
      </c>
      <c r="BA48" s="6268"/>
      <c r="BB48" s="2539">
        <f>+AZ48+AV48+AR48</f>
        <v>1103</v>
      </c>
      <c r="BC48" s="6269"/>
      <c r="BD48" s="2579">
        <f t="shared" si="62"/>
        <v>1301</v>
      </c>
      <c r="BE48" s="6259"/>
      <c r="BF48" s="38">
        <f t="shared" si="47"/>
        <v>2410</v>
      </c>
      <c r="BG48" s="2446"/>
      <c r="BH48" s="2446"/>
      <c r="BI48" s="2445"/>
      <c r="BJ48" s="2445"/>
      <c r="BK48" s="3564"/>
      <c r="BL48" s="2445"/>
      <c r="BM48" s="3564"/>
      <c r="BN48" s="3564"/>
    </row>
    <row r="49" spans="1:66" ht="14.4" thickBot="1" x14ac:dyDescent="0.3">
      <c r="A49" s="6290"/>
      <c r="B49" s="3287" t="s">
        <v>297</v>
      </c>
      <c r="C49" s="3252" t="s">
        <v>50</v>
      </c>
      <c r="D49" s="6301"/>
      <c r="E49" s="6273"/>
      <c r="F49" s="3277">
        <f>SUM(F47:F48)</f>
        <v>207019.57000000004</v>
      </c>
      <c r="G49" s="6273"/>
      <c r="H49" s="3277">
        <f>SUM(H47:H48)</f>
        <v>236638.1</v>
      </c>
      <c r="I49" s="6289"/>
      <c r="J49" s="1907">
        <f t="shared" si="48"/>
        <v>443657.67000000004</v>
      </c>
      <c r="K49" s="6273"/>
      <c r="L49" s="3277">
        <f>SUM(L47:L48)</f>
        <v>243453.3</v>
      </c>
      <c r="M49" s="6278"/>
      <c r="N49" s="2228">
        <f>SUM(N47:N48)</f>
        <v>687110.97000000009</v>
      </c>
      <c r="O49" s="6273"/>
      <c r="P49" s="3277">
        <f>SUM(P47:P48)</f>
        <v>253661.79</v>
      </c>
      <c r="Q49" s="6260"/>
      <c r="R49" s="2227">
        <f t="shared" si="49"/>
        <v>940772.76000000013</v>
      </c>
      <c r="S49" s="6273"/>
      <c r="T49" s="3277">
        <f>SUM(T47:T48)</f>
        <v>237621.78999999998</v>
      </c>
      <c r="U49" s="6260"/>
      <c r="V49" s="2227">
        <f t="shared" si="50"/>
        <v>1178394.55</v>
      </c>
      <c r="W49" s="6273"/>
      <c r="X49" s="3277">
        <f>SUM(X47:X48)</f>
        <v>226846.6</v>
      </c>
      <c r="Y49" s="6270"/>
      <c r="Z49" s="2228">
        <f>SUM(Z47:Z48)</f>
        <v>718130.18</v>
      </c>
      <c r="AA49" s="6271"/>
      <c r="AB49" s="2229">
        <f>SUM(AB47:AB48)</f>
        <v>1405241.1500000001</v>
      </c>
      <c r="AC49" s="6273"/>
      <c r="AD49" s="3277">
        <f>SUM(AD47:AD48)</f>
        <v>179201.31</v>
      </c>
      <c r="AE49" s="6260"/>
      <c r="AF49" s="2227">
        <f t="shared" si="51"/>
        <v>1584442.4600000002</v>
      </c>
      <c r="AG49" s="6273"/>
      <c r="AH49" s="3277">
        <f>SUM(AH47:AH48)</f>
        <v>229501.64999999997</v>
      </c>
      <c r="AI49" s="6260"/>
      <c r="AJ49" s="2227">
        <f t="shared" si="52"/>
        <v>1813944.11</v>
      </c>
      <c r="AK49" s="6273"/>
      <c r="AL49" s="3277">
        <f>SUM(AL47:AL48)</f>
        <v>234365.38</v>
      </c>
      <c r="AM49" s="6270"/>
      <c r="AN49" s="2228">
        <f>SUM(AN47:AN48)</f>
        <v>643068.34</v>
      </c>
      <c r="AO49" s="6260"/>
      <c r="AP49" s="2227">
        <f t="shared" si="55"/>
        <v>2048309.4900000002</v>
      </c>
      <c r="AQ49" s="6273"/>
      <c r="AR49" s="3277">
        <f>SUM(AR47:AR48)</f>
        <v>228047.38000000003</v>
      </c>
      <c r="AS49" s="6260"/>
      <c r="AT49" s="2227">
        <f t="shared" si="53"/>
        <v>2276356.87</v>
      </c>
      <c r="AU49" s="6273"/>
      <c r="AV49" s="3277">
        <f>SUM(AV47:AV48)</f>
        <v>185016.17</v>
      </c>
      <c r="AW49" s="6260"/>
      <c r="AX49" s="2227">
        <f t="shared" si="54"/>
        <v>2461373.04</v>
      </c>
      <c r="AY49" s="6273"/>
      <c r="AZ49" s="3277">
        <f>SUM(AZ47:AZ48)</f>
        <v>241239.95000000004</v>
      </c>
      <c r="BA49" s="6270"/>
      <c r="BB49" s="2228">
        <f>SUM(BB47:BB48)</f>
        <v>654303.50000000012</v>
      </c>
      <c r="BC49" s="6271"/>
      <c r="BD49" s="2229">
        <f>SUM(BD47:BD48)</f>
        <v>1297371.8400000001</v>
      </c>
      <c r="BE49" s="6260"/>
      <c r="BF49" s="1907">
        <f t="shared" si="47"/>
        <v>2702612.99</v>
      </c>
      <c r="BG49" s="2446"/>
      <c r="BH49" s="2446"/>
      <c r="BI49" s="2445"/>
      <c r="BJ49" s="2445"/>
      <c r="BK49" s="3564"/>
      <c r="BL49" s="2445"/>
      <c r="BM49" s="3564"/>
      <c r="BN49" s="3564"/>
    </row>
    <row r="50" spans="1:66" ht="13.8" x14ac:dyDescent="0.25">
      <c r="A50" s="2594"/>
      <c r="B50" s="3297" t="s">
        <v>268</v>
      </c>
      <c r="C50" s="3298"/>
      <c r="D50" s="3299"/>
      <c r="E50" s="3300"/>
      <c r="F50" s="3862"/>
      <c r="G50" s="3300"/>
      <c r="H50" s="3862"/>
      <c r="I50" s="3300"/>
      <c r="J50" s="3301"/>
      <c r="K50" s="3300"/>
      <c r="L50" s="3862"/>
      <c r="M50" s="3302"/>
      <c r="N50" s="3302"/>
      <c r="O50" s="3300"/>
      <c r="P50" s="3862"/>
      <c r="Q50" s="3302"/>
      <c r="R50" s="3302"/>
      <c r="S50" s="3300"/>
      <c r="T50" s="3862"/>
      <c r="U50" s="3302"/>
      <c r="V50" s="3302"/>
      <c r="W50" s="3300"/>
      <c r="X50" s="3862"/>
      <c r="Y50" s="3302"/>
      <c r="Z50" s="3302"/>
      <c r="AA50" s="3302"/>
      <c r="AB50" s="3302"/>
      <c r="AC50" s="3300"/>
      <c r="AD50" s="3862"/>
      <c r="AE50" s="3302"/>
      <c r="AF50" s="3302"/>
      <c r="AG50" s="3300"/>
      <c r="AH50" s="3862"/>
      <c r="AI50" s="3302"/>
      <c r="AJ50" s="3302"/>
      <c r="AK50" s="3300"/>
      <c r="AL50" s="3862"/>
      <c r="AM50" s="3302"/>
      <c r="AN50" s="3302"/>
      <c r="AO50" s="3302"/>
      <c r="AP50" s="3302"/>
      <c r="AQ50" s="3300"/>
      <c r="AR50" s="3862"/>
      <c r="AS50" s="3302"/>
      <c r="AT50" s="3302"/>
      <c r="AU50" s="3300"/>
      <c r="AV50" s="3862"/>
      <c r="AW50" s="3302"/>
      <c r="AX50" s="3302"/>
      <c r="AY50" s="3300"/>
      <c r="AZ50" s="3862"/>
      <c r="BA50" s="3302"/>
      <c r="BB50" s="3302"/>
      <c r="BC50" s="3302"/>
      <c r="BD50" s="3302"/>
      <c r="BE50" s="3302"/>
      <c r="BF50" s="3303"/>
      <c r="BG50" s="2446"/>
      <c r="BH50" s="2446"/>
      <c r="BI50" s="2445"/>
      <c r="BJ50" s="2445"/>
      <c r="BK50" s="3564"/>
      <c r="BL50" s="2445"/>
      <c r="BM50" s="3564"/>
      <c r="BN50" s="3564"/>
    </row>
    <row r="51" spans="1:66" ht="13.8" x14ac:dyDescent="0.25">
      <c r="A51" s="3233"/>
      <c r="B51" s="3269" t="s">
        <v>275</v>
      </c>
      <c r="C51" s="2803" t="s">
        <v>49</v>
      </c>
      <c r="D51" s="1333">
        <v>91</v>
      </c>
      <c r="E51" s="2615">
        <v>91</v>
      </c>
      <c r="F51" s="2615">
        <v>91.5368481043987</v>
      </c>
      <c r="G51" s="2615">
        <v>91</v>
      </c>
      <c r="H51" s="2615">
        <v>91.702888177306576</v>
      </c>
      <c r="I51" s="3058">
        <f>+((E51*E15)+(G15*G51))/I15</f>
        <v>91</v>
      </c>
      <c r="J51" s="105">
        <f>+((F51*F15)+(H15*H51))/J15</f>
        <v>91.625723104339372</v>
      </c>
      <c r="K51" s="2797">
        <v>91</v>
      </c>
      <c r="L51" s="2797">
        <v>91.478019092307079</v>
      </c>
      <c r="M51" s="2539">
        <f>+$D$51</f>
        <v>91</v>
      </c>
      <c r="N51" s="3304">
        <f>+((F51*F15)+(H51*H15)+(L15*L51))/N15</f>
        <v>91.573457658045413</v>
      </c>
      <c r="O51" s="2797">
        <v>91</v>
      </c>
      <c r="P51" s="2797">
        <v>91.096502143164116</v>
      </c>
      <c r="Q51" s="3058">
        <f>+((M51*M15)+(O15*O51))/Q15</f>
        <v>91</v>
      </c>
      <c r="R51" s="3058">
        <f>+((N51*N15)+(P15*P51))/R15</f>
        <v>91.445882911830523</v>
      </c>
      <c r="S51" s="2797">
        <v>91</v>
      </c>
      <c r="T51" s="2797">
        <v>91.196842369840709</v>
      </c>
      <c r="U51" s="3058">
        <f>+((Q51*Q15)+(S15*S51))/U15</f>
        <v>91</v>
      </c>
      <c r="V51" s="3058">
        <f>+((R51*R15)+(T15*T51))/V15</f>
        <v>91.395664602159854</v>
      </c>
      <c r="W51" s="2797">
        <v>91</v>
      </c>
      <c r="X51" s="2797">
        <v>91.283791205631914</v>
      </c>
      <c r="Y51" s="3304">
        <f>+((O51*O15)+(S51*S15)+(W15*W51))/Y15</f>
        <v>91</v>
      </c>
      <c r="Z51" s="3304">
        <f>+((P51*P15)+(T51*T15)+(X15*X51))/Z15</f>
        <v>91.189229686213508</v>
      </c>
      <c r="AA51" s="3305">
        <f>+((Y51*Y15)+(M15*M51))/AA15</f>
        <v>91</v>
      </c>
      <c r="AB51" s="3305">
        <f>+((Z51*Z15)+(N15*N51))/AB15</f>
        <v>91.377553003764504</v>
      </c>
      <c r="AC51" s="2797">
        <v>91</v>
      </c>
      <c r="AD51" s="2797">
        <v>91.973148618954397</v>
      </c>
      <c r="AE51" s="3058">
        <f>+((AA51*AA15)+(AC15*AC51))/AE15</f>
        <v>91</v>
      </c>
      <c r="AF51" s="3058">
        <f>+((AB51*AB15)+(AD15*AD51))/AF15</f>
        <v>91.445129662461142</v>
      </c>
      <c r="AG51" s="2797">
        <v>91</v>
      </c>
      <c r="AH51" s="2797">
        <v>91.9149532711387</v>
      </c>
      <c r="AI51" s="3058">
        <f>+((AE51*AE15)+(AG15*AG51))/AI15</f>
        <v>91</v>
      </c>
      <c r="AJ51" s="3058">
        <f>+((AF51*AF15)+(AH15*AH51))/AJ15</f>
        <v>91.504507670665589</v>
      </c>
      <c r="AK51" s="2797">
        <v>91</v>
      </c>
      <c r="AL51" s="2797">
        <v>91.883340213984127</v>
      </c>
      <c r="AM51" s="3304">
        <f>+((AC51*AC15)+(AG51*AG15)+(AK15*AK51))/AM15</f>
        <v>91</v>
      </c>
      <c r="AN51" s="3304">
        <f>+((AD51*AD15)+(AH51*AH15)+(AL15*AL51))/AN15</f>
        <v>91.919611446010776</v>
      </c>
      <c r="AO51" s="3058">
        <f>+((AK51*AK15)+(AI15*AI51))/AO15</f>
        <v>91</v>
      </c>
      <c r="AP51" s="3058">
        <f>+((AL51*AL15)+(AJ15*AJ51))/AP15</f>
        <v>91.548112134767223</v>
      </c>
      <c r="AQ51" s="2615">
        <f>+$D$51</f>
        <v>91</v>
      </c>
      <c r="AR51" s="2615">
        <v>91.56534312244834</v>
      </c>
      <c r="AS51" s="3058">
        <f>+((AO51*AO15)+(AQ15*AQ51))/AS15</f>
        <v>91</v>
      </c>
      <c r="AT51" s="3058">
        <f>+((AP51*AP15)+(AR15*AR51))/AT15</f>
        <v>91.549838816260831</v>
      </c>
      <c r="AU51" s="2615">
        <f>+$D$51</f>
        <v>91</v>
      </c>
      <c r="AV51" s="2615">
        <v>91.430499119943164</v>
      </c>
      <c r="AW51" s="3058">
        <f>+((AS51*AS15)+(AU15*AU51))/AW15</f>
        <v>91</v>
      </c>
      <c r="AX51" s="3058">
        <f>+((AT51*AT15)+(AV15*AV51))/AX15</f>
        <v>91.54094367573056</v>
      </c>
      <c r="AY51" s="2615">
        <f>+$D$51</f>
        <v>91</v>
      </c>
      <c r="AZ51" s="2615">
        <v>91.607352897769729</v>
      </c>
      <c r="BA51" s="3304">
        <f>+((AQ51*AQ15)+(AU51*AU15)+(AY15*AY51))/BA15</f>
        <v>91</v>
      </c>
      <c r="BB51" s="3304">
        <f>+((AR51*AR15)+(AV51*AV15)+(AZ15*AZ51))/BB15</f>
        <v>91.542464006855724</v>
      </c>
      <c r="BC51" s="3305">
        <f>+((BA51*BA15)+(AM15*AM51))/BC15</f>
        <v>91</v>
      </c>
      <c r="BD51" s="3305">
        <f>+((BB51*BB15)+(AN15*AN51))/BD15</f>
        <v>91.730617560759441</v>
      </c>
      <c r="BE51" s="3058">
        <f>+((AW51*AW15)+(AY15*AY51))/BE15</f>
        <v>91</v>
      </c>
      <c r="BF51" s="105">
        <f>+((AX51*AX15)+(AZ15*AZ51))/BF15</f>
        <v>91.546755714384432</v>
      </c>
      <c r="BG51" s="2446"/>
      <c r="BH51" s="2446"/>
      <c r="BI51" s="2445"/>
      <c r="BJ51" s="2445"/>
      <c r="BK51" s="3564"/>
      <c r="BL51" s="2445"/>
      <c r="BM51" s="3564"/>
      <c r="BN51" s="3564"/>
    </row>
    <row r="52" spans="1:66" ht="13.8" x14ac:dyDescent="0.25">
      <c r="B52" s="3269" t="s">
        <v>537</v>
      </c>
      <c r="C52" s="2803" t="s">
        <v>538</v>
      </c>
      <c r="D52" s="762">
        <v>150</v>
      </c>
      <c r="E52" s="2794">
        <f>+$D$52</f>
        <v>150</v>
      </c>
      <c r="F52" s="2797">
        <f>+F49/F25</f>
        <v>156.4773771730915</v>
      </c>
      <c r="G52" s="2794">
        <f>+$D$52</f>
        <v>150</v>
      </c>
      <c r="H52" s="2797">
        <f>+H49/H25</f>
        <v>156.09373350923482</v>
      </c>
      <c r="I52" s="2538">
        <f>+I47/I25</f>
        <v>150</v>
      </c>
      <c r="J52" s="105">
        <f>+J49/J25</f>
        <v>156.27251497005989</v>
      </c>
      <c r="K52" s="2794">
        <f>+$D$52</f>
        <v>150</v>
      </c>
      <c r="L52" s="2797">
        <f>+L49/L25</f>
        <v>156.46098971722364</v>
      </c>
      <c r="M52" s="3249">
        <f>+$D$52</f>
        <v>150</v>
      </c>
      <c r="N52" s="3304">
        <f>+N49/N25</f>
        <v>156.33924232081912</v>
      </c>
      <c r="O52" s="2794">
        <f>+$D$52</f>
        <v>150</v>
      </c>
      <c r="P52" s="2797">
        <f>+P49/P25</f>
        <v>157.55390683229814</v>
      </c>
      <c r="Q52" s="2538">
        <f>+Q47/Q25</f>
        <v>150</v>
      </c>
      <c r="R52" s="3058">
        <f>+R49/R25</f>
        <v>156.66490591174025</v>
      </c>
      <c r="S52" s="2794">
        <f>+$D$52</f>
        <v>150</v>
      </c>
      <c r="T52" s="2797">
        <f>+T49/T25</f>
        <v>156.84606600660064</v>
      </c>
      <c r="U52" s="2538">
        <f>+U47/U25</f>
        <v>150</v>
      </c>
      <c r="V52" s="3058">
        <f>+V49/V25</f>
        <v>156.70140292553191</v>
      </c>
      <c r="W52" s="2794">
        <f>+$D$52</f>
        <v>150</v>
      </c>
      <c r="X52" s="2797">
        <f>+X49/X25</f>
        <v>156.66201657458564</v>
      </c>
      <c r="Y52" s="2539">
        <f>+Y47/Y25</f>
        <v>150</v>
      </c>
      <c r="Z52" s="3304">
        <f>+Z49/Z25</f>
        <v>157.03699540782856</v>
      </c>
      <c r="AA52" s="2579">
        <f>+AA47/AA25</f>
        <v>150</v>
      </c>
      <c r="AB52" s="3305">
        <f>+AB49/AB25</f>
        <v>156.69504348795721</v>
      </c>
      <c r="AC52" s="2794">
        <f>+$D$52</f>
        <v>150</v>
      </c>
      <c r="AD52" s="2797">
        <f>+AD49/AD25</f>
        <v>156.50769432314411</v>
      </c>
      <c r="AE52" s="2538">
        <f>+AE47/AE25</f>
        <v>150</v>
      </c>
      <c r="AF52" s="3058">
        <f>+AF49/AF25</f>
        <v>156.67383170177001</v>
      </c>
      <c r="AG52" s="2794">
        <f>+$D$52</f>
        <v>150</v>
      </c>
      <c r="AH52" s="2797">
        <f>+AH49/AH25</f>
        <v>157.51657515442687</v>
      </c>
      <c r="AI52" s="2538">
        <f>+AI47/AI25</f>
        <v>149.99999999999997</v>
      </c>
      <c r="AJ52" s="3058">
        <f>+AJ49/AJ25</f>
        <v>156.77995764909249</v>
      </c>
      <c r="AK52" s="2794">
        <f>+$D$52</f>
        <v>150</v>
      </c>
      <c r="AL52" s="2797">
        <f>+AL49/AL25</f>
        <v>155.82804521276597</v>
      </c>
      <c r="AM52" s="2539">
        <f>+AM47/AM25</f>
        <v>150</v>
      </c>
      <c r="AN52" s="3304">
        <f>+AN49/AN25</f>
        <v>156.61674135411593</v>
      </c>
      <c r="AO52" s="2538">
        <f>+AO47/AO25</f>
        <v>150</v>
      </c>
      <c r="AP52" s="3058">
        <f>+AP49/AP25</f>
        <v>156.67045204222123</v>
      </c>
      <c r="AQ52" s="2794">
        <f>+$D$52</f>
        <v>150</v>
      </c>
      <c r="AR52" s="2794">
        <f>+AR49/AR25</f>
        <v>156.08992470910337</v>
      </c>
      <c r="AS52" s="2538">
        <f>+AS47/AS25</f>
        <v>150</v>
      </c>
      <c r="AT52" s="3058">
        <f>+AT49/AT25</f>
        <v>156.61209975920193</v>
      </c>
      <c r="AU52" s="2794">
        <f>+$D$52</f>
        <v>150</v>
      </c>
      <c r="AV52" s="2794">
        <f>+AV49/AV25</f>
        <v>156.13178902953587</v>
      </c>
      <c r="AW52" s="2538">
        <f>+AW47/AW25</f>
        <v>150.00000000000003</v>
      </c>
      <c r="AX52" s="3058">
        <f>+AX49/AX25</f>
        <v>156.575893129771</v>
      </c>
      <c r="AY52" s="2794">
        <f>+$D$52</f>
        <v>150</v>
      </c>
      <c r="AZ52" s="2794">
        <f>+AZ49/AZ25</f>
        <v>158.08646788990828</v>
      </c>
      <c r="BA52" s="2539">
        <f>+BA47/BA25</f>
        <v>150</v>
      </c>
      <c r="BB52" s="3304">
        <f>+BB49/BB25</f>
        <v>156.83209491850434</v>
      </c>
      <c r="BC52" s="2579">
        <f>+BC47/BC25</f>
        <v>150</v>
      </c>
      <c r="BD52" s="3305">
        <f>+BD49/BD25</f>
        <v>156.72527663686881</v>
      </c>
      <c r="BE52" s="2538">
        <f>+BE47/BE25</f>
        <v>150</v>
      </c>
      <c r="BF52" s="105">
        <f>+BF49/BF25</f>
        <v>156.70955525919055</v>
      </c>
      <c r="BG52" s="2446"/>
      <c r="BH52" s="2446"/>
      <c r="BI52" s="2445"/>
      <c r="BJ52" s="2445"/>
      <c r="BK52" s="3564"/>
      <c r="BL52" s="2445"/>
      <c r="BM52" s="3564"/>
      <c r="BN52" s="3564"/>
    </row>
    <row r="53" spans="1:66" ht="13.8" x14ac:dyDescent="0.25">
      <c r="B53" s="3269" t="s">
        <v>276</v>
      </c>
      <c r="C53" s="2803" t="s">
        <v>49</v>
      </c>
      <c r="D53" s="1333">
        <v>97.5</v>
      </c>
      <c r="E53" s="2795">
        <f>+$D$53</f>
        <v>97.5</v>
      </c>
      <c r="F53" s="2615">
        <f>+F49/F20*100</f>
        <v>98.571829215451956</v>
      </c>
      <c r="G53" s="2795">
        <f>+$D$53</f>
        <v>97.5</v>
      </c>
      <c r="H53" s="2615">
        <f>+H49/H20*100</f>
        <v>98.639486123500433</v>
      </c>
      <c r="I53" s="3058">
        <f>+I47/I20*100</f>
        <v>97.500000000000156</v>
      </c>
      <c r="J53" s="105">
        <f>+J49/J20*100</f>
        <v>98.607904498789793</v>
      </c>
      <c r="K53" s="2794">
        <f>+$D$53</f>
        <v>97.5</v>
      </c>
      <c r="L53" s="2797">
        <f>+L49/L20*100</f>
        <v>98.62278359995625</v>
      </c>
      <c r="M53" s="3304">
        <f>+$D$53</f>
        <v>97.5</v>
      </c>
      <c r="N53" s="3304">
        <f>+N49/N20*100</f>
        <v>98.61317586477108</v>
      </c>
      <c r="O53" s="2794">
        <f>+$D$53</f>
        <v>97.5</v>
      </c>
      <c r="P53" s="2797">
        <f>+P49/P20*100</f>
        <v>98.678815675839687</v>
      </c>
      <c r="Q53" s="2538">
        <f>+Q47/Q20*100</f>
        <v>97.500000000000085</v>
      </c>
      <c r="R53" s="3058">
        <f>+R49/R20*100</f>
        <v>98.63086581284756</v>
      </c>
      <c r="S53" s="2794">
        <f>+$D$53</f>
        <v>97.5</v>
      </c>
      <c r="T53" s="2797">
        <f>+T49/T20*100</f>
        <v>98.690801332369773</v>
      </c>
      <c r="U53" s="2538">
        <f>+U47/U20*100</f>
        <v>97.500000000000114</v>
      </c>
      <c r="V53" s="3058">
        <f>+V49/V20*100</f>
        <v>98.642945875041647</v>
      </c>
      <c r="W53" s="2794">
        <f>+$D$53</f>
        <v>97.5</v>
      </c>
      <c r="X53" s="2797">
        <f>+X49/X20*100</f>
        <v>98.544550971559147</v>
      </c>
      <c r="Y53" s="2539">
        <f>+Y47/Y20*100</f>
        <v>97.500000000000142</v>
      </c>
      <c r="Z53" s="3304">
        <f>+Z49/Z20*100</f>
        <v>98.640326140854285</v>
      </c>
      <c r="AA53" s="2579">
        <f>+AA47/AA20*100</f>
        <v>97.500000000000099</v>
      </c>
      <c r="AB53" s="3305">
        <f>+AB49/AB20*100</f>
        <v>98.627048792008452</v>
      </c>
      <c r="AC53" s="2794">
        <f>+$D$53</f>
        <v>97.5</v>
      </c>
      <c r="AD53" s="2797">
        <f>+AD49/AD20*100</f>
        <v>98.499601497270945</v>
      </c>
      <c r="AE53" s="2538">
        <f>+AE47/AE20*100</f>
        <v>97.500000118505454</v>
      </c>
      <c r="AF53" s="3058">
        <f>+AF49/AF20*100</f>
        <v>98.612617894436809</v>
      </c>
      <c r="AG53" s="2794">
        <f>+$D$53</f>
        <v>97.5</v>
      </c>
      <c r="AH53" s="2797">
        <f>+AH49/AH20*100</f>
        <v>98.54508566275922</v>
      </c>
      <c r="AI53" s="2538">
        <f>+AI47/AI20*100</f>
        <v>97.500000102950864</v>
      </c>
      <c r="AJ53" s="3058">
        <f>+AJ49/AJ20*100</f>
        <v>98.604068548790408</v>
      </c>
      <c r="AK53" s="2794">
        <f>+$D$53</f>
        <v>97.5</v>
      </c>
      <c r="AL53" s="2797">
        <f>+AL49/AL20*100</f>
        <v>98.52376648435957</v>
      </c>
      <c r="AM53" s="2539">
        <f>+AM47/AM20*100</f>
        <v>97.500000256011987</v>
      </c>
      <c r="AN53" s="3304">
        <f>+AN49/AN20*100</f>
        <v>98.524637734449925</v>
      </c>
      <c r="AO53" s="2538">
        <f>+AO47/AO20*100</f>
        <v>97.500000090670596</v>
      </c>
      <c r="AP53" s="3058">
        <f>+AP49/AP20*100</f>
        <v>98.594873841215971</v>
      </c>
      <c r="AQ53" s="2795">
        <f>+$D$53</f>
        <v>97.5</v>
      </c>
      <c r="AR53" s="2795">
        <f>+AR49/AR20*100</f>
        <v>98.581831857795009</v>
      </c>
      <c r="AS53" s="2538">
        <f>+AS47/AS20*100</f>
        <v>97.500000080874699</v>
      </c>
      <c r="AT53" s="3058">
        <f>+AT49/AT20*100</f>
        <v>98.59356712861802</v>
      </c>
      <c r="AU53" s="2795">
        <f>+$D$53</f>
        <v>97.5</v>
      </c>
      <c r="AV53" s="2795">
        <f>+AV49/AV20*100</f>
        <v>98.505598355898911</v>
      </c>
      <c r="AW53" s="2538">
        <f>+AW47/AW20*100</f>
        <v>97.500000073754421</v>
      </c>
      <c r="AX53" s="3058">
        <f>+AX49/AX20*100</f>
        <v>98.586949242425462</v>
      </c>
      <c r="AY53" s="2795">
        <f>+$D$53</f>
        <v>97.5</v>
      </c>
      <c r="AZ53" s="2795">
        <f>+AZ49/AZ20*100</f>
        <v>98.578751869498788</v>
      </c>
      <c r="BA53" s="2539">
        <f>+BA47/BA20*100</f>
        <v>97.500000000000014</v>
      </c>
      <c r="BB53" s="3304">
        <f>+BB49/BB20*100</f>
        <v>98.559128382256162</v>
      </c>
      <c r="BC53" s="2579">
        <f>+BC47/BC20*100</f>
        <v>97.50000012867504</v>
      </c>
      <c r="BD53" s="3305">
        <f>+BD49/BD20*100</f>
        <v>98.542029383996407</v>
      </c>
      <c r="BE53" s="3058">
        <f>+BE47/BE20*100</f>
        <v>97.500000067139425</v>
      </c>
      <c r="BF53" s="105">
        <f>+BF49/BF20*100</f>
        <v>98.586217475204009</v>
      </c>
      <c r="BG53" s="2446"/>
      <c r="BH53" s="2446"/>
      <c r="BI53" s="2445"/>
      <c r="BJ53" s="2445"/>
      <c r="BK53" s="3564"/>
      <c r="BL53" s="2445"/>
      <c r="BM53" s="3564"/>
      <c r="BN53" s="3564"/>
    </row>
    <row r="54" spans="1:66" ht="13.8" x14ac:dyDescent="0.25">
      <c r="A54" s="1257"/>
      <c r="B54" s="991" t="s">
        <v>277</v>
      </c>
      <c r="C54" s="409"/>
      <c r="D54" s="3306"/>
      <c r="E54" s="3307"/>
      <c r="F54" s="3307"/>
      <c r="G54" s="3307"/>
      <c r="H54" s="3307"/>
      <c r="I54" s="3307"/>
      <c r="J54" s="3308"/>
      <c r="K54" s="3307"/>
      <c r="L54" s="3307"/>
      <c r="M54" s="3307"/>
      <c r="N54" s="3307"/>
      <c r="O54" s="3307"/>
      <c r="P54" s="3307"/>
      <c r="Q54" s="3307"/>
      <c r="R54" s="3307"/>
      <c r="S54" s="3307"/>
      <c r="T54" s="3307"/>
      <c r="U54" s="3307"/>
      <c r="V54" s="3307"/>
      <c r="W54" s="3307"/>
      <c r="X54" s="3307"/>
      <c r="Y54" s="3307"/>
      <c r="Z54" s="3307"/>
      <c r="AA54" s="3307"/>
      <c r="AB54" s="3307"/>
      <c r="AC54" s="3307"/>
      <c r="AD54" s="3307"/>
      <c r="AE54" s="3307"/>
      <c r="AF54" s="3307"/>
      <c r="AG54" s="3307"/>
      <c r="AH54" s="3307"/>
      <c r="AI54" s="3307"/>
      <c r="AJ54" s="3307"/>
      <c r="AK54" s="3307"/>
      <c r="AL54" s="3307"/>
      <c r="AM54" s="3307"/>
      <c r="AN54" s="3307"/>
      <c r="AO54" s="3307"/>
      <c r="AP54" s="3307"/>
      <c r="AQ54" s="3307"/>
      <c r="AR54" s="3307"/>
      <c r="AS54" s="3307"/>
      <c r="AT54" s="3307"/>
      <c r="AU54" s="3307"/>
      <c r="AV54" s="3307"/>
      <c r="AW54" s="3307"/>
      <c r="AX54" s="3307"/>
      <c r="AY54" s="3307"/>
      <c r="AZ54" s="3307"/>
      <c r="BA54" s="3307"/>
      <c r="BB54" s="3307"/>
      <c r="BC54" s="3307"/>
      <c r="BD54" s="3307"/>
      <c r="BE54" s="3307"/>
      <c r="BF54" s="3308"/>
      <c r="BG54" s="2446"/>
      <c r="BH54" s="2446"/>
      <c r="BI54" s="2445"/>
      <c r="BJ54" s="2445"/>
      <c r="BK54" s="3564"/>
      <c r="BL54" s="2445"/>
      <c r="BM54" s="3564"/>
      <c r="BN54" s="3564"/>
    </row>
    <row r="55" spans="1:66" ht="13.8" x14ac:dyDescent="0.25">
      <c r="B55" s="734" t="s">
        <v>83</v>
      </c>
      <c r="C55" s="2803" t="s">
        <v>50</v>
      </c>
      <c r="D55" s="152">
        <f>+(D72*D$5/1000)</f>
        <v>4535.1641842747895</v>
      </c>
      <c r="E55" s="2599">
        <f>+E72*E$5/1000</f>
        <v>394.50038410815114</v>
      </c>
      <c r="F55" s="2599">
        <v>365</v>
      </c>
      <c r="G55" s="2599">
        <f>+G72*G$5/1000</f>
        <v>400.57305907569491</v>
      </c>
      <c r="H55" s="2599">
        <v>297</v>
      </c>
      <c r="I55" s="2538">
        <f t="shared" ref="I55:I70" si="63">+E55+G55</f>
        <v>795.07344318384605</v>
      </c>
      <c r="J55" s="38">
        <f t="shared" ref="J55:J70" si="64">+F55+H55</f>
        <v>662</v>
      </c>
      <c r="K55" s="2599">
        <f>+K72*K$5/1000</f>
        <v>388.20492139678475</v>
      </c>
      <c r="L55" s="2599">
        <v>405</v>
      </c>
      <c r="M55" s="2539">
        <f t="shared" ref="M55:M70" si="65">+K55+G55+E55</f>
        <v>1183.2783645806308</v>
      </c>
      <c r="N55" s="2539">
        <f t="shared" ref="N55:N70" si="66">+L55+H55+F55</f>
        <v>1067</v>
      </c>
      <c r="O55" s="2599">
        <f>+O72*O$5/1000</f>
        <v>392.84297302637651</v>
      </c>
      <c r="P55" s="2599">
        <v>383</v>
      </c>
      <c r="Q55" s="2538">
        <f>+M55+O55</f>
        <v>1576.1213376070073</v>
      </c>
      <c r="R55" s="2538">
        <f>+N55+P55</f>
        <v>1450</v>
      </c>
      <c r="S55" s="2599">
        <f>+S72*S$5/1000</f>
        <v>392.84297302637651</v>
      </c>
      <c r="T55" s="2599">
        <v>300</v>
      </c>
      <c r="U55" s="2538">
        <f>+Q55+S55</f>
        <v>1968.9643106333838</v>
      </c>
      <c r="V55" s="2538">
        <f>+R55+T55</f>
        <v>1750</v>
      </c>
      <c r="W55" s="2599">
        <f>+W72*W$5/1000</f>
        <v>206.16139493533055</v>
      </c>
      <c r="X55" s="2599">
        <v>293</v>
      </c>
      <c r="Y55" s="2539">
        <f t="shared" ref="Y55:Y70" si="67">+W55+S55+O55</f>
        <v>991.8473409880836</v>
      </c>
      <c r="Z55" s="2539">
        <f t="shared" ref="Z55:Z70" si="68">+X55+T55+P55</f>
        <v>976</v>
      </c>
      <c r="AA55" s="2579">
        <f>+Y55+M55</f>
        <v>2175.1257055687142</v>
      </c>
      <c r="AB55" s="2579">
        <f>+Z55+N55</f>
        <v>2043</v>
      </c>
      <c r="AC55" s="2599">
        <f>+AC72*AC$5/1000</f>
        <v>400.57305907569491</v>
      </c>
      <c r="AD55" s="2599">
        <v>251</v>
      </c>
      <c r="AE55" s="2538">
        <f>+AA55+AC55</f>
        <v>2575.698764644409</v>
      </c>
      <c r="AF55" s="2538">
        <f>+AB55+AD55</f>
        <v>2294</v>
      </c>
      <c r="AG55" s="2599">
        <f>+AG72*AG$5/1000</f>
        <v>388.20492139678475</v>
      </c>
      <c r="AH55" s="2599">
        <v>290</v>
      </c>
      <c r="AI55" s="2538">
        <f>+AE55+AG55</f>
        <v>2963.9036860411939</v>
      </c>
      <c r="AJ55" s="2538">
        <f>+AF55+AH55</f>
        <v>2584</v>
      </c>
      <c r="AK55" s="2599">
        <f>+AK72*AK$5/1000</f>
        <v>400.57305907569491</v>
      </c>
      <c r="AL55" s="2599">
        <v>401.53</v>
      </c>
      <c r="AM55" s="2539">
        <f t="shared" ref="AM55:AM70" si="69">+AK55+AG55+AC55</f>
        <v>1189.3510395481744</v>
      </c>
      <c r="AN55" s="2539">
        <f t="shared" ref="AN55:AN70" si="70">+AL55+AH55+AD55</f>
        <v>942.53</v>
      </c>
      <c r="AO55" s="2538">
        <f t="shared" ref="AO55" si="71">+AK55+AI55</f>
        <v>3364.4767451168887</v>
      </c>
      <c r="AP55" s="2538">
        <f t="shared" ref="AP55" si="72">+AL55+AJ55</f>
        <v>2985.5299999999997</v>
      </c>
      <c r="AQ55" s="2599">
        <f>+AQ72*AQ$5/1000</f>
        <v>406.75712791515014</v>
      </c>
      <c r="AR55" s="2599">
        <v>267.8</v>
      </c>
      <c r="AS55" s="2538">
        <f>+AO55+AQ55</f>
        <v>3771.2338730320389</v>
      </c>
      <c r="AT55" s="2538">
        <f>+AP55+AR55</f>
        <v>3253.33</v>
      </c>
      <c r="AU55" s="2599">
        <f>+AU72*AU$5/1000</f>
        <v>363.4686460389654</v>
      </c>
      <c r="AV55" s="2599">
        <v>135</v>
      </c>
      <c r="AW55" s="2538">
        <f>+AS55+AU55</f>
        <v>4134.7025190710046</v>
      </c>
      <c r="AX55" s="2538">
        <f>+AT55+AV55</f>
        <v>3388.33</v>
      </c>
      <c r="AY55" s="2599">
        <f>+AY72*AY$5/1000</f>
        <v>406.75712791515014</v>
      </c>
      <c r="AZ55" s="2599">
        <v>421</v>
      </c>
      <c r="BA55" s="2539">
        <f t="shared" ref="BA55:BA70" si="73">+AY55+AU55+AQ55</f>
        <v>1176.9829018692658</v>
      </c>
      <c r="BB55" s="2539">
        <f t="shared" ref="BB55:BB70" si="74">+AZ55+AV55+AR55</f>
        <v>823.8</v>
      </c>
      <c r="BC55" s="2579">
        <f t="shared" ref="BC55:BD56" si="75">+BA55+AM55</f>
        <v>2366.3339414174402</v>
      </c>
      <c r="BD55" s="2579">
        <f t="shared" si="75"/>
        <v>1766.33</v>
      </c>
      <c r="BE55" s="2538">
        <f t="shared" ref="BE55:BE70" si="76">+AW55+AY55</f>
        <v>4541.4596469861544</v>
      </c>
      <c r="BF55" s="38">
        <f t="shared" ref="BF55:BF70" si="77">+AX55+AZ55</f>
        <v>3809.33</v>
      </c>
      <c r="BG55" s="2446"/>
      <c r="BH55" s="2446"/>
      <c r="BI55" s="2445"/>
      <c r="BJ55" s="2445"/>
      <c r="BK55" s="3564"/>
      <c r="BL55" s="2445"/>
      <c r="BM55" s="3564"/>
      <c r="BN55" s="3564"/>
    </row>
    <row r="56" spans="1:66" ht="13.8" x14ac:dyDescent="0.25">
      <c r="B56" s="734" t="s">
        <v>832</v>
      </c>
      <c r="C56" s="2803" t="s">
        <v>50</v>
      </c>
      <c r="D56" s="152">
        <f>+D73*D$5/1000</f>
        <v>2327.1642288886505</v>
      </c>
      <c r="E56" s="2599">
        <f>+E73*E$5/1000</f>
        <v>191.46683458737897</v>
      </c>
      <c r="F56" s="2599">
        <v>105</v>
      </c>
      <c r="G56" s="2599">
        <f>+G73*G$5/1000</f>
        <v>205.54918328420422</v>
      </c>
      <c r="H56" s="2599">
        <v>178</v>
      </c>
      <c r="I56" s="2538">
        <f t="shared" si="63"/>
        <v>397.01601787158319</v>
      </c>
      <c r="J56" s="38">
        <f t="shared" si="64"/>
        <v>283</v>
      </c>
      <c r="K56" s="2599">
        <f>+K73*K$5/1000</f>
        <v>199.20262417083617</v>
      </c>
      <c r="L56" s="2599">
        <v>105</v>
      </c>
      <c r="M56" s="2539">
        <f t="shared" si="65"/>
        <v>596.21864204241933</v>
      </c>
      <c r="N56" s="2539">
        <f t="shared" si="66"/>
        <v>388</v>
      </c>
      <c r="O56" s="2599">
        <f>+O73*O$5/1000</f>
        <v>201.58258383834942</v>
      </c>
      <c r="P56" s="2599">
        <v>137</v>
      </c>
      <c r="Q56" s="2538">
        <f t="shared" ref="Q56:Q62" si="78">+M56+O56</f>
        <v>797.8012258807687</v>
      </c>
      <c r="R56" s="2538">
        <f t="shared" ref="R56:R62" si="79">+N56+P56</f>
        <v>525</v>
      </c>
      <c r="S56" s="2599">
        <f>+S73*S$5/1000</f>
        <v>201.58258383834942</v>
      </c>
      <c r="T56" s="2599">
        <v>131</v>
      </c>
      <c r="U56" s="2538">
        <f t="shared" ref="U56:U70" si="80">+Q56+S56</f>
        <v>999.38380971911806</v>
      </c>
      <c r="V56" s="2538">
        <f t="shared" ref="V56:V70" si="81">+R56+T56</f>
        <v>656</v>
      </c>
      <c r="W56" s="2599">
        <f>+W73*W$5/1000</f>
        <v>105.78920722095233</v>
      </c>
      <c r="X56" s="2599">
        <v>129</v>
      </c>
      <c r="Y56" s="2539">
        <f t="shared" si="67"/>
        <v>508.95437489765118</v>
      </c>
      <c r="Z56" s="2539">
        <f t="shared" si="68"/>
        <v>397</v>
      </c>
      <c r="AA56" s="2579">
        <f>+Y56+M56</f>
        <v>1105.1730169400705</v>
      </c>
      <c r="AB56" s="2579">
        <f>+Z56+N56</f>
        <v>785</v>
      </c>
      <c r="AC56" s="2599">
        <f>+AC73*AC$5/1000</f>
        <v>205.54918328420422</v>
      </c>
      <c r="AD56" s="2599">
        <v>94</v>
      </c>
      <c r="AE56" s="2538">
        <f t="shared" ref="AE56:AE70" si="82">+AA56+AC56</f>
        <v>1310.7222002242747</v>
      </c>
      <c r="AF56" s="2538">
        <f t="shared" ref="AF56:AF70" si="83">+AB56+AD56</f>
        <v>879</v>
      </c>
      <c r="AG56" s="2599">
        <f>+AG73*AG$5/1000</f>
        <v>199.20262417083617</v>
      </c>
      <c r="AH56" s="2599">
        <v>112</v>
      </c>
      <c r="AI56" s="2538">
        <f t="shared" ref="AI56:AI70" si="84">+AE56+AG56</f>
        <v>1509.9248243951108</v>
      </c>
      <c r="AJ56" s="2538">
        <f t="shared" ref="AJ56:AJ70" si="85">+AF56+AH56</f>
        <v>991</v>
      </c>
      <c r="AK56" s="2599">
        <f>+AK73*AK$5/1000</f>
        <v>205.54918328420422</v>
      </c>
      <c r="AL56" s="2599">
        <v>70</v>
      </c>
      <c r="AM56" s="2539">
        <f t="shared" si="69"/>
        <v>610.30099073924464</v>
      </c>
      <c r="AN56" s="2539">
        <f t="shared" si="70"/>
        <v>276</v>
      </c>
      <c r="AO56" s="2538">
        <f t="shared" ref="AO56:AO70" si="86">+AK56+AI56</f>
        <v>1715.474007679315</v>
      </c>
      <c r="AP56" s="2538">
        <f t="shared" ref="AP56:AP70" si="87">+AL56+AJ56</f>
        <v>1061</v>
      </c>
      <c r="AQ56" s="2599">
        <f>+AQ73*AQ$5/1000</f>
        <v>208.72246284088834</v>
      </c>
      <c r="AR56" s="2599">
        <v>88</v>
      </c>
      <c r="AS56" s="2538">
        <f t="shared" ref="AS56:AS70" si="88">+AO56+AQ56</f>
        <v>1924.1964705202033</v>
      </c>
      <c r="AT56" s="2538">
        <f t="shared" ref="AT56:AT70" si="89">+AP56+AR56</f>
        <v>1149</v>
      </c>
      <c r="AU56" s="2599">
        <f>+AU73*AU$5/1000</f>
        <v>186.50950594410051</v>
      </c>
      <c r="AV56" s="2599">
        <v>143.714</v>
      </c>
      <c r="AW56" s="2538">
        <f t="shared" ref="AW56:AW70" si="90">+AS56+AU56</f>
        <v>2110.7059764643036</v>
      </c>
      <c r="AX56" s="2538">
        <f t="shared" ref="AX56:AX70" si="91">+AT56+AV56</f>
        <v>1292.7139999999999</v>
      </c>
      <c r="AY56" s="2599">
        <f>+AY73*AY$5/1000</f>
        <v>208.72246284088834</v>
      </c>
      <c r="AZ56" s="2599">
        <v>122</v>
      </c>
      <c r="BA56" s="2539">
        <f t="shared" si="73"/>
        <v>603.95443162587719</v>
      </c>
      <c r="BB56" s="2539">
        <f t="shared" si="74"/>
        <v>353.714</v>
      </c>
      <c r="BC56" s="2579">
        <f t="shared" si="75"/>
        <v>1214.2554223651218</v>
      </c>
      <c r="BD56" s="2579">
        <f t="shared" si="75"/>
        <v>629.71399999999994</v>
      </c>
      <c r="BE56" s="2538">
        <f t="shared" si="76"/>
        <v>2319.4284393051921</v>
      </c>
      <c r="BF56" s="38">
        <f t="shared" si="77"/>
        <v>1414.7139999999999</v>
      </c>
      <c r="BG56" s="2446"/>
      <c r="BH56" s="2446"/>
      <c r="BI56" s="2445"/>
      <c r="BJ56" s="2445"/>
      <c r="BK56" s="3564"/>
      <c r="BL56" s="2445"/>
      <c r="BM56" s="3564"/>
      <c r="BN56" s="3564"/>
    </row>
    <row r="57" spans="1:66" ht="13.8" x14ac:dyDescent="0.25">
      <c r="B57" s="736" t="s">
        <v>874</v>
      </c>
      <c r="C57" s="3309" t="s">
        <v>50</v>
      </c>
      <c r="D57" s="1319">
        <f>SUM(D55:D56)</f>
        <v>6862.32841316344</v>
      </c>
      <c r="E57" s="3275">
        <f>SUM(E55:E56)</f>
        <v>585.96721869553016</v>
      </c>
      <c r="F57" s="3275">
        <f>SUM(F55:F56)</f>
        <v>470</v>
      </c>
      <c r="G57" s="3275">
        <f>SUM(G55:G56)</f>
        <v>606.12224235989913</v>
      </c>
      <c r="H57" s="3275">
        <f>SUM(H55:H56)</f>
        <v>475</v>
      </c>
      <c r="I57" s="2538">
        <f t="shared" si="63"/>
        <v>1192.0894610554292</v>
      </c>
      <c r="J57" s="38">
        <f t="shared" si="64"/>
        <v>945</v>
      </c>
      <c r="K57" s="3275">
        <f>SUM(K55:K56)</f>
        <v>587.4075455676209</v>
      </c>
      <c r="L57" s="3275">
        <f>SUM(L55:L56)</f>
        <v>510</v>
      </c>
      <c r="M57" s="2539">
        <f t="shared" si="65"/>
        <v>1779.4970066230501</v>
      </c>
      <c r="N57" s="2539">
        <f t="shared" si="66"/>
        <v>1455</v>
      </c>
      <c r="O57" s="3275">
        <f>SUM(O55:O56)</f>
        <v>594.42555686472588</v>
      </c>
      <c r="P57" s="3275">
        <f>SUM(P55:P56)</f>
        <v>520</v>
      </c>
      <c r="Q57" s="2538">
        <f t="shared" si="78"/>
        <v>2373.9225634877757</v>
      </c>
      <c r="R57" s="2538">
        <f t="shared" si="79"/>
        <v>1975</v>
      </c>
      <c r="S57" s="3275">
        <f>SUM(S55:S56)</f>
        <v>594.42555686472588</v>
      </c>
      <c r="T57" s="3275">
        <f>SUM(T55:T56)</f>
        <v>431</v>
      </c>
      <c r="U57" s="2538">
        <f t="shared" si="80"/>
        <v>2968.3481203525016</v>
      </c>
      <c r="V57" s="2538">
        <f t="shared" si="81"/>
        <v>2406</v>
      </c>
      <c r="W57" s="3275">
        <f>SUM(W55:W56)</f>
        <v>311.95060215628291</v>
      </c>
      <c r="X57" s="3275">
        <f>SUM(X55:X56)</f>
        <v>422</v>
      </c>
      <c r="Y57" s="3274">
        <f t="shared" si="67"/>
        <v>1500.8017158857347</v>
      </c>
      <c r="Z57" s="3274">
        <f t="shared" si="68"/>
        <v>1373</v>
      </c>
      <c r="AA57" s="3310">
        <f t="shared" ref="AA57:AB57" si="92">SUM(AA55:AA56)</f>
        <v>3280.2987225087845</v>
      </c>
      <c r="AB57" s="3310">
        <f t="shared" si="92"/>
        <v>2828</v>
      </c>
      <c r="AC57" s="3275">
        <f>SUM(AC55:AC56)</f>
        <v>606.12224235989913</v>
      </c>
      <c r="AD57" s="3275">
        <f>SUM(AD55:AD56)</f>
        <v>345</v>
      </c>
      <c r="AE57" s="2538">
        <f t="shared" si="82"/>
        <v>3886.4209648686838</v>
      </c>
      <c r="AF57" s="2538">
        <f t="shared" si="83"/>
        <v>3173</v>
      </c>
      <c r="AG57" s="3275">
        <f>SUM(AG55:AG56)</f>
        <v>587.4075455676209</v>
      </c>
      <c r="AH57" s="3275">
        <f>SUM(AH55:AH56)</f>
        <v>402</v>
      </c>
      <c r="AI57" s="2538">
        <f t="shared" si="84"/>
        <v>4473.8285104363049</v>
      </c>
      <c r="AJ57" s="2538">
        <f t="shared" si="85"/>
        <v>3575</v>
      </c>
      <c r="AK57" s="3275">
        <f>SUM(AK55:AK56)</f>
        <v>606.12224235989913</v>
      </c>
      <c r="AL57" s="3275">
        <f>SUM(AL55:AL56)</f>
        <v>471.53</v>
      </c>
      <c r="AM57" s="3274">
        <f t="shared" si="69"/>
        <v>1799.6520302874192</v>
      </c>
      <c r="AN57" s="3274">
        <f t="shared" si="70"/>
        <v>1218.53</v>
      </c>
      <c r="AO57" s="2538">
        <f t="shared" si="86"/>
        <v>5079.9507527962041</v>
      </c>
      <c r="AP57" s="2538">
        <f t="shared" si="87"/>
        <v>4046.5299999999997</v>
      </c>
      <c r="AQ57" s="3275">
        <f>SUM(AQ55:AQ56)</f>
        <v>615.47959075603853</v>
      </c>
      <c r="AR57" s="3275">
        <f>SUM(AR55:AR56)</f>
        <v>355.8</v>
      </c>
      <c r="AS57" s="2538">
        <f t="shared" si="88"/>
        <v>5695.4303435522424</v>
      </c>
      <c r="AT57" s="2538">
        <f t="shared" si="89"/>
        <v>4402.33</v>
      </c>
      <c r="AU57" s="3275">
        <f>SUM(AU55:AU56)</f>
        <v>549.97815198306591</v>
      </c>
      <c r="AV57" s="3275">
        <f>SUM(AV55:AV56)</f>
        <v>278.714</v>
      </c>
      <c r="AW57" s="2538">
        <f t="shared" si="90"/>
        <v>6245.4084955353082</v>
      </c>
      <c r="AX57" s="2538">
        <f t="shared" si="91"/>
        <v>4681.0439999999999</v>
      </c>
      <c r="AY57" s="3275">
        <f>SUM(AY55:AY56)</f>
        <v>615.47959075603853</v>
      </c>
      <c r="AZ57" s="3275">
        <f>SUM(AZ55:AZ56)</f>
        <v>543</v>
      </c>
      <c r="BA57" s="3274">
        <f t="shared" si="73"/>
        <v>1780.9373334951431</v>
      </c>
      <c r="BB57" s="3274">
        <f t="shared" si="74"/>
        <v>1177.5139999999999</v>
      </c>
      <c r="BC57" s="3310">
        <f t="shared" ref="BC57:BD57" si="93">SUM(BC55:BC56)</f>
        <v>3580.589363782562</v>
      </c>
      <c r="BD57" s="3310">
        <f t="shared" si="93"/>
        <v>2396.0439999999999</v>
      </c>
      <c r="BE57" s="2538">
        <f t="shared" si="76"/>
        <v>6860.8880862913466</v>
      </c>
      <c r="BF57" s="38">
        <f t="shared" si="77"/>
        <v>5224.0439999999999</v>
      </c>
      <c r="BG57" s="2446"/>
      <c r="BH57" s="2446"/>
      <c r="BI57" s="2445"/>
      <c r="BJ57" s="2445"/>
      <c r="BK57" s="3564"/>
      <c r="BL57" s="2445"/>
      <c r="BM57" s="3564"/>
      <c r="BN57" s="3564"/>
    </row>
    <row r="58" spans="1:66" ht="13.8" x14ac:dyDescent="0.25">
      <c r="B58" s="734" t="s">
        <v>84</v>
      </c>
      <c r="C58" s="2803" t="s">
        <v>50</v>
      </c>
      <c r="D58" s="152">
        <f>+D75*D$5/1000</f>
        <v>48123.44947497479</v>
      </c>
      <c r="E58" s="2599">
        <f>+E75*E$5/1000</f>
        <v>4119.9845127353037</v>
      </c>
      <c r="F58" s="2599">
        <v>3332</v>
      </c>
      <c r="G58" s="2599">
        <f>+G75*G$5/1000</f>
        <v>4250.5533617296896</v>
      </c>
      <c r="H58" s="2599">
        <v>3570</v>
      </c>
      <c r="I58" s="2538">
        <f t="shared" si="63"/>
        <v>8370.5378744649934</v>
      </c>
      <c r="J58" s="38">
        <f t="shared" si="64"/>
        <v>6902</v>
      </c>
      <c r="K58" s="2599">
        <f>+K75*K$5/1000</f>
        <v>4119.3128102289647</v>
      </c>
      <c r="L58" s="2599">
        <v>3768</v>
      </c>
      <c r="M58" s="2539">
        <f t="shared" si="65"/>
        <v>12489.850684693958</v>
      </c>
      <c r="N58" s="2539">
        <f t="shared" si="66"/>
        <v>10670</v>
      </c>
      <c r="O58" s="2599">
        <f>+O75*O$5/1000</f>
        <v>4168.5280170417409</v>
      </c>
      <c r="P58" s="2599">
        <v>4098</v>
      </c>
      <c r="Q58" s="2538">
        <f t="shared" si="78"/>
        <v>16658.378701735699</v>
      </c>
      <c r="R58" s="2538">
        <f t="shared" si="79"/>
        <v>14768</v>
      </c>
      <c r="S58" s="2599">
        <f>+S75*S$5/1000</f>
        <v>4168.5280170417409</v>
      </c>
      <c r="T58" s="2599">
        <v>3587.02</v>
      </c>
      <c r="U58" s="2538">
        <f t="shared" si="80"/>
        <v>20826.906718777442</v>
      </c>
      <c r="V58" s="2538">
        <f t="shared" si="81"/>
        <v>18355.02</v>
      </c>
      <c r="W58" s="2599">
        <f>+W75*W$5/1000</f>
        <v>2187.6159428276978</v>
      </c>
      <c r="X58" s="2599">
        <v>3011.1099999999997</v>
      </c>
      <c r="Y58" s="2539">
        <f t="shared" si="67"/>
        <v>10524.671976911181</v>
      </c>
      <c r="Z58" s="2539">
        <f t="shared" si="68"/>
        <v>10696.13</v>
      </c>
      <c r="AA58" s="2579">
        <f t="shared" ref="AA58:AB70" si="94">+Y58+M58</f>
        <v>23014.522661605137</v>
      </c>
      <c r="AB58" s="2579">
        <f t="shared" si="94"/>
        <v>21366.129999999997</v>
      </c>
      <c r="AC58" s="2599">
        <f>+AC75*AC$5/1000</f>
        <v>4250.5533617296896</v>
      </c>
      <c r="AD58" s="2599">
        <v>2470</v>
      </c>
      <c r="AE58" s="2538">
        <f t="shared" si="82"/>
        <v>27265.076023334826</v>
      </c>
      <c r="AF58" s="2538">
        <f t="shared" si="83"/>
        <v>23836.129999999997</v>
      </c>
      <c r="AG58" s="2599">
        <f>+AG75*AG$5/1000</f>
        <v>4119.3128102289647</v>
      </c>
      <c r="AH58" s="2599">
        <v>2814</v>
      </c>
      <c r="AI58" s="2538">
        <f t="shared" si="84"/>
        <v>31384.388833563789</v>
      </c>
      <c r="AJ58" s="2538">
        <f t="shared" si="85"/>
        <v>26650.129999999997</v>
      </c>
      <c r="AK58" s="2599">
        <f>+AK75*AK$5/1000</f>
        <v>4250.5533617296896</v>
      </c>
      <c r="AL58" s="2599">
        <v>3092</v>
      </c>
      <c r="AM58" s="2539">
        <f t="shared" si="69"/>
        <v>12620.419533688344</v>
      </c>
      <c r="AN58" s="2539">
        <f t="shared" si="70"/>
        <v>8376</v>
      </c>
      <c r="AO58" s="2538">
        <f t="shared" si="86"/>
        <v>35634.942195293479</v>
      </c>
      <c r="AP58" s="2538">
        <f t="shared" si="87"/>
        <v>29742.129999999997</v>
      </c>
      <c r="AQ58" s="2599">
        <f>+AQ75*AQ$5/1000</f>
        <v>4316.1736374800548</v>
      </c>
      <c r="AR58" s="2599">
        <v>3008</v>
      </c>
      <c r="AS58" s="2538">
        <f t="shared" si="88"/>
        <v>39951.115832773532</v>
      </c>
      <c r="AT58" s="2538">
        <f t="shared" si="89"/>
        <v>32750.129999999997</v>
      </c>
      <c r="AU58" s="2599">
        <f>+AU75*AU$5/1000</f>
        <v>3856.8317072275213</v>
      </c>
      <c r="AV58" s="2599">
        <v>2409</v>
      </c>
      <c r="AW58" s="2538">
        <f t="shared" si="90"/>
        <v>43807.947540001056</v>
      </c>
      <c r="AX58" s="2538">
        <f t="shared" si="91"/>
        <v>35159.129999999997</v>
      </c>
      <c r="AY58" s="2599">
        <f>+AY75*AY$5/1000</f>
        <v>4316.1736374800548</v>
      </c>
      <c r="AZ58" s="2599">
        <v>3289</v>
      </c>
      <c r="BA58" s="2539">
        <f t="shared" si="73"/>
        <v>12489.17898218763</v>
      </c>
      <c r="BB58" s="2539">
        <f t="shared" si="74"/>
        <v>8706</v>
      </c>
      <c r="BC58" s="2579">
        <f t="shared" ref="BC58:BD59" si="95">+BA58+AM58</f>
        <v>25109.598515875972</v>
      </c>
      <c r="BD58" s="2579">
        <f t="shared" si="95"/>
        <v>17082</v>
      </c>
      <c r="BE58" s="2538">
        <f t="shared" si="76"/>
        <v>48124.121177481109</v>
      </c>
      <c r="BF58" s="38">
        <f t="shared" si="77"/>
        <v>38448.129999999997</v>
      </c>
      <c r="BG58" s="2446"/>
      <c r="BH58" s="2446"/>
      <c r="BI58" s="2445"/>
      <c r="BJ58" s="2445"/>
      <c r="BK58" s="3564"/>
      <c r="BL58" s="2445"/>
      <c r="BM58" s="3564"/>
      <c r="BN58" s="3564"/>
    </row>
    <row r="59" spans="1:66" ht="13.8" x14ac:dyDescent="0.25">
      <c r="B59" s="734" t="s">
        <v>1527</v>
      </c>
      <c r="C59" s="2803" t="s">
        <v>50</v>
      </c>
      <c r="D59" s="152">
        <f>+D76*D$5/1000</f>
        <v>0</v>
      </c>
      <c r="E59" s="2599">
        <f>+E76*E$5/1000</f>
        <v>0</v>
      </c>
      <c r="F59" s="2599">
        <v>0</v>
      </c>
      <c r="G59" s="2599">
        <f>+G76*G$5/1000</f>
        <v>0</v>
      </c>
      <c r="H59" s="2599"/>
      <c r="I59" s="2538">
        <f t="shared" si="63"/>
        <v>0</v>
      </c>
      <c r="J59" s="38">
        <f t="shared" si="64"/>
        <v>0</v>
      </c>
      <c r="K59" s="2599">
        <f>+K76*K$5/1000</f>
        <v>0</v>
      </c>
      <c r="L59" s="2599">
        <v>0</v>
      </c>
      <c r="M59" s="2539">
        <f t="shared" si="65"/>
        <v>0</v>
      </c>
      <c r="N59" s="2539">
        <f t="shared" si="66"/>
        <v>0</v>
      </c>
      <c r="O59" s="2599">
        <f>+O76*O$5/1000</f>
        <v>0</v>
      </c>
      <c r="P59" s="2599">
        <v>0</v>
      </c>
      <c r="Q59" s="2538">
        <f t="shared" si="78"/>
        <v>0</v>
      </c>
      <c r="R59" s="2538">
        <f t="shared" si="79"/>
        <v>0</v>
      </c>
      <c r="S59" s="2599">
        <f>+S76*S$5/1000</f>
        <v>0</v>
      </c>
      <c r="T59" s="2599">
        <v>0</v>
      </c>
      <c r="U59" s="2538">
        <f t="shared" si="80"/>
        <v>0</v>
      </c>
      <c r="V59" s="2538">
        <f t="shared" si="81"/>
        <v>0</v>
      </c>
      <c r="W59" s="2599">
        <f>+W76*W$5/1000</f>
        <v>0</v>
      </c>
      <c r="X59" s="2599">
        <v>0</v>
      </c>
      <c r="Y59" s="2539">
        <f t="shared" si="67"/>
        <v>0</v>
      </c>
      <c r="Z59" s="2539">
        <f t="shared" si="68"/>
        <v>0</v>
      </c>
      <c r="AA59" s="2579">
        <f t="shared" si="94"/>
        <v>0</v>
      </c>
      <c r="AB59" s="2579">
        <f t="shared" si="94"/>
        <v>0</v>
      </c>
      <c r="AC59" s="2599">
        <f>+AC76*AC$5/1000</f>
        <v>0</v>
      </c>
      <c r="AD59" s="2599">
        <v>0</v>
      </c>
      <c r="AE59" s="2538">
        <f t="shared" si="82"/>
        <v>0</v>
      </c>
      <c r="AF59" s="2538">
        <f t="shared" si="83"/>
        <v>0</v>
      </c>
      <c r="AG59" s="2599">
        <f>+AG76*AG$5/1000</f>
        <v>0</v>
      </c>
      <c r="AH59" s="2599">
        <v>0</v>
      </c>
      <c r="AI59" s="2538">
        <f t="shared" si="84"/>
        <v>0</v>
      </c>
      <c r="AJ59" s="2538">
        <f t="shared" si="85"/>
        <v>0</v>
      </c>
      <c r="AK59" s="2599">
        <f>+AK76*AK$5/1000</f>
        <v>0</v>
      </c>
      <c r="AL59" s="2599">
        <v>0</v>
      </c>
      <c r="AM59" s="2539">
        <f t="shared" si="69"/>
        <v>0</v>
      </c>
      <c r="AN59" s="2539">
        <f t="shared" si="70"/>
        <v>0</v>
      </c>
      <c r="AO59" s="2538">
        <f t="shared" si="86"/>
        <v>0</v>
      </c>
      <c r="AP59" s="2538">
        <f t="shared" si="87"/>
        <v>0</v>
      </c>
      <c r="AQ59" s="2599">
        <f>+AQ76*AQ$5/1000</f>
        <v>0</v>
      </c>
      <c r="AR59" s="2599">
        <v>0</v>
      </c>
      <c r="AS59" s="2538">
        <f t="shared" si="88"/>
        <v>0</v>
      </c>
      <c r="AT59" s="2538">
        <f t="shared" si="89"/>
        <v>0</v>
      </c>
      <c r="AU59" s="2599">
        <f>+AU76*AU$5/1000</f>
        <v>0</v>
      </c>
      <c r="AV59" s="2599">
        <v>0</v>
      </c>
      <c r="AW59" s="2538">
        <f t="shared" si="90"/>
        <v>0</v>
      </c>
      <c r="AX59" s="2538">
        <f t="shared" si="91"/>
        <v>0</v>
      </c>
      <c r="AY59" s="2599">
        <f>+AY76*AY$5/1000</f>
        <v>0</v>
      </c>
      <c r="AZ59" s="2599">
        <v>0</v>
      </c>
      <c r="BA59" s="2539">
        <f t="shared" si="73"/>
        <v>0</v>
      </c>
      <c r="BB59" s="2539">
        <f t="shared" si="74"/>
        <v>0</v>
      </c>
      <c r="BC59" s="2579">
        <f t="shared" si="95"/>
        <v>0</v>
      </c>
      <c r="BD59" s="2579">
        <f t="shared" si="95"/>
        <v>0</v>
      </c>
      <c r="BE59" s="2538">
        <f t="shared" si="76"/>
        <v>0</v>
      </c>
      <c r="BF59" s="38">
        <f t="shared" si="77"/>
        <v>0</v>
      </c>
      <c r="BG59" s="2446"/>
      <c r="BH59" s="2446"/>
      <c r="BI59" s="2445"/>
      <c r="BJ59" s="2445"/>
      <c r="BK59" s="3564"/>
      <c r="BL59" s="2445"/>
      <c r="BM59" s="3564"/>
      <c r="BN59" s="3564"/>
    </row>
    <row r="60" spans="1:66" ht="13.8" x14ac:dyDescent="0.25">
      <c r="A60" s="3234"/>
      <c r="B60" s="736" t="s">
        <v>1528</v>
      </c>
      <c r="C60" s="3311" t="s">
        <v>50</v>
      </c>
      <c r="D60" s="1319">
        <f>SUM(D58:D59)</f>
        <v>48123.44947497479</v>
      </c>
      <c r="E60" s="3275">
        <f>SUM(E58:E59)</f>
        <v>4119.9845127353037</v>
      </c>
      <c r="F60" s="3275">
        <f>+F58+F59</f>
        <v>3332</v>
      </c>
      <c r="G60" s="3275">
        <f>SUM(G58:G59)</f>
        <v>4250.5533617296896</v>
      </c>
      <c r="H60" s="3275">
        <f>+H58+H59</f>
        <v>3570</v>
      </c>
      <c r="I60" s="2538">
        <f t="shared" si="63"/>
        <v>8370.5378744649934</v>
      </c>
      <c r="J60" s="38">
        <f t="shared" si="64"/>
        <v>6902</v>
      </c>
      <c r="K60" s="3275">
        <f>SUM(K58:K59)</f>
        <v>4119.3128102289647</v>
      </c>
      <c r="L60" s="3275">
        <f>+L58+L59</f>
        <v>3768</v>
      </c>
      <c r="M60" s="3274">
        <f t="shared" si="65"/>
        <v>12489.850684693958</v>
      </c>
      <c r="N60" s="3274">
        <f t="shared" si="66"/>
        <v>10670</v>
      </c>
      <c r="O60" s="3275">
        <f>SUM(O58:O59)</f>
        <v>4168.5280170417409</v>
      </c>
      <c r="P60" s="3275">
        <f>+P58+P59</f>
        <v>4098</v>
      </c>
      <c r="Q60" s="2538">
        <f t="shared" si="78"/>
        <v>16658.378701735699</v>
      </c>
      <c r="R60" s="2538">
        <f t="shared" si="79"/>
        <v>14768</v>
      </c>
      <c r="S60" s="3275">
        <f>SUM(S58:S59)</f>
        <v>4168.5280170417409</v>
      </c>
      <c r="T60" s="3275">
        <f>+T58+T59</f>
        <v>3587.02</v>
      </c>
      <c r="U60" s="2538">
        <f t="shared" si="80"/>
        <v>20826.906718777442</v>
      </c>
      <c r="V60" s="2538">
        <f t="shared" si="81"/>
        <v>18355.02</v>
      </c>
      <c r="W60" s="3275">
        <f>SUM(W58:W59)</f>
        <v>2187.6159428276978</v>
      </c>
      <c r="X60" s="3275">
        <f>+X58+X59</f>
        <v>3011.1099999999997</v>
      </c>
      <c r="Y60" s="3274">
        <f t="shared" si="67"/>
        <v>10524.671976911181</v>
      </c>
      <c r="Z60" s="3274">
        <f t="shared" si="68"/>
        <v>10696.13</v>
      </c>
      <c r="AA60" s="2566">
        <f t="shared" si="94"/>
        <v>23014.522661605137</v>
      </c>
      <c r="AB60" s="2566">
        <f t="shared" si="94"/>
        <v>21366.129999999997</v>
      </c>
      <c r="AC60" s="3275">
        <f>SUM(AC58:AC59)</f>
        <v>4250.5533617296896</v>
      </c>
      <c r="AD60" s="3275">
        <f>+AD58+AD59</f>
        <v>2470</v>
      </c>
      <c r="AE60" s="2538">
        <f t="shared" si="82"/>
        <v>27265.076023334826</v>
      </c>
      <c r="AF60" s="2538">
        <f t="shared" si="83"/>
        <v>23836.129999999997</v>
      </c>
      <c r="AG60" s="3275">
        <f>SUM(AG58:AG59)</f>
        <v>4119.3128102289647</v>
      </c>
      <c r="AH60" s="3275">
        <f>+AH58+AH59</f>
        <v>2814</v>
      </c>
      <c r="AI60" s="2538">
        <f t="shared" si="84"/>
        <v>31384.388833563789</v>
      </c>
      <c r="AJ60" s="2538">
        <f t="shared" si="85"/>
        <v>26650.129999999997</v>
      </c>
      <c r="AK60" s="3275">
        <f>SUM(AK58:AK59)</f>
        <v>4250.5533617296896</v>
      </c>
      <c r="AL60" s="3275">
        <f>+AL58+AL59</f>
        <v>3092</v>
      </c>
      <c r="AM60" s="3274">
        <f t="shared" si="69"/>
        <v>12620.419533688344</v>
      </c>
      <c r="AN60" s="3274">
        <f t="shared" si="70"/>
        <v>8376</v>
      </c>
      <c r="AO60" s="2538">
        <f t="shared" si="86"/>
        <v>35634.942195293479</v>
      </c>
      <c r="AP60" s="2538">
        <f t="shared" si="87"/>
        <v>29742.129999999997</v>
      </c>
      <c r="AQ60" s="3275">
        <f>SUM(AQ58:AQ59)</f>
        <v>4316.1736374800548</v>
      </c>
      <c r="AR60" s="3275">
        <f t="shared" ref="AR60" si="96">+AR58+AR59</f>
        <v>3008</v>
      </c>
      <c r="AS60" s="2538">
        <f t="shared" si="88"/>
        <v>39951.115832773532</v>
      </c>
      <c r="AT60" s="2538">
        <f t="shared" si="89"/>
        <v>32750.129999999997</v>
      </c>
      <c r="AU60" s="3275">
        <f>SUM(AU58:AU59)</f>
        <v>3856.8317072275213</v>
      </c>
      <c r="AV60" s="3275">
        <f t="shared" ref="AV60" si="97">+AV58+AV59</f>
        <v>2409</v>
      </c>
      <c r="AW60" s="2538">
        <f t="shared" si="90"/>
        <v>43807.947540001056</v>
      </c>
      <c r="AX60" s="2538">
        <f t="shared" si="91"/>
        <v>35159.129999999997</v>
      </c>
      <c r="AY60" s="3275">
        <f>SUM(AY58:AY59)</f>
        <v>4316.1736374800548</v>
      </c>
      <c r="AZ60" s="3275">
        <f t="shared" ref="AZ60" si="98">+AZ58+AZ59</f>
        <v>3289</v>
      </c>
      <c r="BA60" s="3274">
        <f t="shared" si="73"/>
        <v>12489.17898218763</v>
      </c>
      <c r="BB60" s="3274">
        <f t="shared" si="74"/>
        <v>8706</v>
      </c>
      <c r="BC60" s="2566">
        <f>+BA60+AM60</f>
        <v>25109.598515875972</v>
      </c>
      <c r="BD60" s="2566">
        <f>+BB60+AN60</f>
        <v>17082</v>
      </c>
      <c r="BE60" s="2538">
        <f t="shared" si="76"/>
        <v>48124.121177481109</v>
      </c>
      <c r="BF60" s="38">
        <f t="shared" si="77"/>
        <v>38448.129999999997</v>
      </c>
      <c r="BG60" s="2446"/>
      <c r="BH60" s="2446"/>
      <c r="BI60" s="2445"/>
      <c r="BJ60" s="2445"/>
      <c r="BK60" s="3564"/>
      <c r="BL60" s="2445"/>
      <c r="BM60" s="3564"/>
      <c r="BN60" s="3564"/>
    </row>
    <row r="61" spans="1:66" ht="13.8" x14ac:dyDescent="0.25">
      <c r="A61" s="3234"/>
      <c r="B61" s="736" t="s">
        <v>85</v>
      </c>
      <c r="C61" s="3311" t="s">
        <v>50</v>
      </c>
      <c r="D61" s="1319">
        <f>+D78*D$5/1000</f>
        <v>6002.5358622615822</v>
      </c>
      <c r="E61" s="3275">
        <f>+E78*E$5/1000</f>
        <v>515.71146989808574</v>
      </c>
      <c r="F61" s="3275">
        <v>467</v>
      </c>
      <c r="G61" s="3275">
        <f>+G78*G$5/1000</f>
        <v>530.18017757656514</v>
      </c>
      <c r="H61" s="3275">
        <v>551</v>
      </c>
      <c r="I61" s="2538">
        <f t="shared" si="63"/>
        <v>1045.8916474746509</v>
      </c>
      <c r="J61" s="38">
        <f t="shared" si="64"/>
        <v>1018</v>
      </c>
      <c r="K61" s="3275">
        <f>+K78*K$5/1000</f>
        <v>513.81027630056133</v>
      </c>
      <c r="L61" s="3275">
        <v>526.21</v>
      </c>
      <c r="M61" s="3274">
        <f t="shared" si="65"/>
        <v>1559.7019237752124</v>
      </c>
      <c r="N61" s="3274">
        <f t="shared" si="66"/>
        <v>1544.21</v>
      </c>
      <c r="O61" s="3275">
        <f>+O78*O$5/1000</f>
        <v>519.94898927906331</v>
      </c>
      <c r="P61" s="3275">
        <v>485.89400000000001</v>
      </c>
      <c r="Q61" s="2538">
        <f t="shared" si="78"/>
        <v>2079.6509130542759</v>
      </c>
      <c r="R61" s="2538">
        <f t="shared" si="79"/>
        <v>2030.104</v>
      </c>
      <c r="S61" s="3275">
        <f>+S78*S$5/1000</f>
        <v>519.94898927906331</v>
      </c>
      <c r="T61" s="3275">
        <v>516</v>
      </c>
      <c r="U61" s="2538">
        <f t="shared" si="80"/>
        <v>2599.5999023333393</v>
      </c>
      <c r="V61" s="2538">
        <f t="shared" si="81"/>
        <v>2546.1040000000003</v>
      </c>
      <c r="W61" s="3275">
        <f>+W78*W$5/1000</f>
        <v>272.86579189438544</v>
      </c>
      <c r="X61" s="3275">
        <v>481</v>
      </c>
      <c r="Y61" s="3274">
        <f t="shared" si="67"/>
        <v>1312.7637704525121</v>
      </c>
      <c r="Z61" s="3274">
        <f t="shared" si="68"/>
        <v>1482.894</v>
      </c>
      <c r="AA61" s="2566">
        <f t="shared" si="94"/>
        <v>2872.4656942277243</v>
      </c>
      <c r="AB61" s="2566">
        <f t="shared" si="94"/>
        <v>3027.1040000000003</v>
      </c>
      <c r="AC61" s="3275">
        <f>+AC78*AC$5/1000</f>
        <v>530.18017757656514</v>
      </c>
      <c r="AD61" s="3275">
        <v>387</v>
      </c>
      <c r="AE61" s="2538">
        <f t="shared" si="82"/>
        <v>3402.6458718042895</v>
      </c>
      <c r="AF61" s="2538">
        <f t="shared" si="83"/>
        <v>3414.1040000000003</v>
      </c>
      <c r="AG61" s="3275">
        <f>+AG78*AG$5/1000</f>
        <v>513.81027630056133</v>
      </c>
      <c r="AH61" s="3275">
        <v>503</v>
      </c>
      <c r="AI61" s="2538">
        <f t="shared" si="84"/>
        <v>3916.4561481048509</v>
      </c>
      <c r="AJ61" s="2538">
        <f t="shared" si="85"/>
        <v>3917.1040000000003</v>
      </c>
      <c r="AK61" s="3275">
        <f>+AK78*AK$5/1000</f>
        <v>530.18017757656514</v>
      </c>
      <c r="AL61" s="3275">
        <v>537</v>
      </c>
      <c r="AM61" s="3274">
        <f t="shared" si="69"/>
        <v>1574.1706314536918</v>
      </c>
      <c r="AN61" s="3274">
        <f t="shared" si="70"/>
        <v>1427</v>
      </c>
      <c r="AO61" s="2538">
        <f t="shared" si="86"/>
        <v>4446.6363256814157</v>
      </c>
      <c r="AP61" s="2538">
        <f t="shared" si="87"/>
        <v>4454.1040000000003</v>
      </c>
      <c r="AQ61" s="3275">
        <f>+AQ78*AQ$5/1000</f>
        <v>538.36512821456722</v>
      </c>
      <c r="AR61" s="3275">
        <v>559</v>
      </c>
      <c r="AS61" s="2538">
        <f t="shared" si="88"/>
        <v>4985.0014538959831</v>
      </c>
      <c r="AT61" s="2538">
        <f t="shared" si="89"/>
        <v>5013.1040000000003</v>
      </c>
      <c r="AU61" s="3275">
        <f>+AU78*AU$5/1000</f>
        <v>481.07047374855478</v>
      </c>
      <c r="AV61" s="3275">
        <v>418</v>
      </c>
      <c r="AW61" s="2538">
        <f t="shared" si="90"/>
        <v>5466.0719276445379</v>
      </c>
      <c r="AX61" s="2538">
        <f t="shared" si="91"/>
        <v>5431.1040000000003</v>
      </c>
      <c r="AY61" s="3275">
        <f>+AY78*AY$5/1000</f>
        <v>538.36512821456722</v>
      </c>
      <c r="AZ61" s="3275">
        <v>487</v>
      </c>
      <c r="BA61" s="3274">
        <f t="shared" si="73"/>
        <v>1557.8007301776893</v>
      </c>
      <c r="BB61" s="3274">
        <f t="shared" si="74"/>
        <v>1464</v>
      </c>
      <c r="BC61" s="2566">
        <f t="shared" ref="BC61:BC70" si="99">+BA61+AM61</f>
        <v>3131.9713616313811</v>
      </c>
      <c r="BD61" s="2566">
        <f t="shared" ref="BD61:BD70" si="100">+BB61+AN61</f>
        <v>2891</v>
      </c>
      <c r="BE61" s="2538">
        <f t="shared" si="76"/>
        <v>6004.4370558591054</v>
      </c>
      <c r="BF61" s="38">
        <f t="shared" si="77"/>
        <v>5918.1040000000003</v>
      </c>
      <c r="BG61" s="2446"/>
      <c r="BH61" s="2446"/>
      <c r="BI61" s="2445"/>
      <c r="BJ61" s="2445"/>
      <c r="BK61" s="3564"/>
      <c r="BL61" s="2445"/>
      <c r="BM61" s="3564"/>
      <c r="BN61" s="3564"/>
    </row>
    <row r="62" spans="1:66" ht="13.8" x14ac:dyDescent="0.25">
      <c r="A62" s="3234"/>
      <c r="B62" s="3312" t="str">
        <f>+'Maj Techno Summ'!B19</f>
        <v>Ferro Alloys (FeMn+LCFeMn+SiMn+FeSi)</v>
      </c>
      <c r="C62" s="3311" t="s">
        <v>50</v>
      </c>
      <c r="D62" s="1319">
        <f>+D57+D60+D61</f>
        <v>60988.313750399815</v>
      </c>
      <c r="E62" s="3275">
        <f>+E57+E60+E61</f>
        <v>5221.66320132892</v>
      </c>
      <c r="F62" s="3275">
        <f>+F57+F60+F61</f>
        <v>4269</v>
      </c>
      <c r="G62" s="3275">
        <f>+G57+G60+G61</f>
        <v>5386.8557816661541</v>
      </c>
      <c r="H62" s="3275">
        <f>+H57+H60+H61</f>
        <v>4596</v>
      </c>
      <c r="I62" s="2538">
        <f t="shared" si="63"/>
        <v>10608.518982995074</v>
      </c>
      <c r="J62" s="38">
        <f t="shared" si="64"/>
        <v>8865</v>
      </c>
      <c r="K62" s="3275">
        <f>+K57+K60+K61</f>
        <v>5220.5306320971467</v>
      </c>
      <c r="L62" s="3275">
        <f>+L57+L60+L61</f>
        <v>4804.21</v>
      </c>
      <c r="M62" s="3274">
        <f t="shared" si="65"/>
        <v>15829.049615092221</v>
      </c>
      <c r="N62" s="3274">
        <f t="shared" si="66"/>
        <v>13669.21</v>
      </c>
      <c r="O62" s="3275">
        <f>+O57+O60+O61</f>
        <v>5282.9025631855302</v>
      </c>
      <c r="P62" s="3275">
        <f>+P57+P60+P61</f>
        <v>5103.8940000000002</v>
      </c>
      <c r="Q62" s="2538">
        <f t="shared" si="78"/>
        <v>21111.952178277752</v>
      </c>
      <c r="R62" s="2538">
        <f t="shared" si="79"/>
        <v>18773.103999999999</v>
      </c>
      <c r="S62" s="3275">
        <f>+S57+S60+S61</f>
        <v>5282.9025631855302</v>
      </c>
      <c r="T62" s="3275">
        <f>+T57+T60+T61</f>
        <v>4534.0200000000004</v>
      </c>
      <c r="U62" s="2538">
        <f t="shared" si="80"/>
        <v>26394.854741463281</v>
      </c>
      <c r="V62" s="2538">
        <f t="shared" si="81"/>
        <v>23307.124</v>
      </c>
      <c r="W62" s="3275">
        <f>+W57+W60+W61</f>
        <v>2772.4323368783662</v>
      </c>
      <c r="X62" s="3275">
        <f>+X57+X60+X61</f>
        <v>3914.1099999999997</v>
      </c>
      <c r="Y62" s="3274">
        <f t="shared" si="67"/>
        <v>13338.237463249427</v>
      </c>
      <c r="Z62" s="3274">
        <f t="shared" si="68"/>
        <v>13552.024000000001</v>
      </c>
      <c r="AA62" s="2566">
        <f t="shared" si="94"/>
        <v>29167.287078341647</v>
      </c>
      <c r="AB62" s="2566">
        <f t="shared" si="94"/>
        <v>27221.234</v>
      </c>
      <c r="AC62" s="3275">
        <f>+AC57+AC60+AC61</f>
        <v>5386.8557816661541</v>
      </c>
      <c r="AD62" s="3275">
        <f>+AD57+AD60+AD61</f>
        <v>3202</v>
      </c>
      <c r="AE62" s="2538">
        <f t="shared" si="82"/>
        <v>34554.1428600078</v>
      </c>
      <c r="AF62" s="2538">
        <f t="shared" si="83"/>
        <v>30423.234</v>
      </c>
      <c r="AG62" s="3275">
        <f>+AG57+AG60+AG61</f>
        <v>5220.5306320971467</v>
      </c>
      <c r="AH62" s="3275">
        <f>+AH57+AH60+AH61</f>
        <v>3719</v>
      </c>
      <c r="AI62" s="2538">
        <f t="shared" si="84"/>
        <v>39774.67349210495</v>
      </c>
      <c r="AJ62" s="2538">
        <f t="shared" si="85"/>
        <v>34142.233999999997</v>
      </c>
      <c r="AK62" s="3275">
        <f>+AK57+AK60+AK61</f>
        <v>5386.8557816661541</v>
      </c>
      <c r="AL62" s="3275">
        <f>+AL57+AL60+AL61</f>
        <v>4100.53</v>
      </c>
      <c r="AM62" s="3274">
        <f t="shared" si="69"/>
        <v>15994.242195429455</v>
      </c>
      <c r="AN62" s="3274">
        <f t="shared" si="70"/>
        <v>11021.529999999999</v>
      </c>
      <c r="AO62" s="2538">
        <f t="shared" si="86"/>
        <v>45161.529273771106</v>
      </c>
      <c r="AP62" s="2538">
        <f t="shared" si="87"/>
        <v>38242.763999999996</v>
      </c>
      <c r="AQ62" s="3275">
        <f>+AQ57+AQ60+AQ61</f>
        <v>5470.0183564506606</v>
      </c>
      <c r="AR62" s="3275">
        <f>+AR57+AR60+AR61</f>
        <v>3922.8</v>
      </c>
      <c r="AS62" s="2538">
        <f t="shared" si="88"/>
        <v>50631.547630221765</v>
      </c>
      <c r="AT62" s="2538">
        <f t="shared" si="89"/>
        <v>42165.563999999998</v>
      </c>
      <c r="AU62" s="3275">
        <f>+AU57+AU60+AU61</f>
        <v>4887.8803329591419</v>
      </c>
      <c r="AV62" s="3275">
        <f>+AV57+AV60+AV61</f>
        <v>3105.7139999999999</v>
      </c>
      <c r="AW62" s="2538">
        <f t="shared" si="90"/>
        <v>55519.427963180904</v>
      </c>
      <c r="AX62" s="2538">
        <f t="shared" si="91"/>
        <v>45271.277999999998</v>
      </c>
      <c r="AY62" s="3275">
        <f>+AY57+AY60+AY61</f>
        <v>5470.0183564506606</v>
      </c>
      <c r="AZ62" s="3275">
        <f>+AZ57+AZ60+AZ61</f>
        <v>4319</v>
      </c>
      <c r="BA62" s="3274">
        <f t="shared" si="73"/>
        <v>15827.917045860462</v>
      </c>
      <c r="BB62" s="3274">
        <f t="shared" si="74"/>
        <v>11347.513999999999</v>
      </c>
      <c r="BC62" s="2566">
        <f t="shared" si="99"/>
        <v>31822.159241289919</v>
      </c>
      <c r="BD62" s="2566">
        <f t="shared" si="100"/>
        <v>22369.043999999998</v>
      </c>
      <c r="BE62" s="2538">
        <f t="shared" si="76"/>
        <v>60989.446319631563</v>
      </c>
      <c r="BF62" s="38">
        <f t="shared" si="77"/>
        <v>49590.277999999998</v>
      </c>
      <c r="BG62" s="2446"/>
      <c r="BH62" s="2446"/>
      <c r="BI62" s="2445"/>
      <c r="BJ62" s="2445"/>
      <c r="BK62" s="3564"/>
      <c r="BL62" s="2445"/>
      <c r="BM62" s="3564"/>
      <c r="BN62" s="3564"/>
    </row>
    <row r="63" spans="1:66" ht="13.8" x14ac:dyDescent="0.25">
      <c r="B63" s="734" t="s">
        <v>86</v>
      </c>
      <c r="C63" s="2803" t="s">
        <v>50</v>
      </c>
      <c r="D63" s="152">
        <f t="shared" ref="D63:E70" si="101">+D80*D$5/1000</f>
        <v>5526.7416808309736</v>
      </c>
      <c r="E63" s="2599">
        <f t="shared" si="101"/>
        <v>473.08283286118927</v>
      </c>
      <c r="F63" s="2599">
        <v>212</v>
      </c>
      <c r="G63" s="2599">
        <f t="shared" ref="G63" si="102">+G80*G$5/1000</f>
        <v>488.15516525023583</v>
      </c>
      <c r="H63" s="2599">
        <v>280</v>
      </c>
      <c r="I63" s="2538">
        <f t="shared" si="63"/>
        <v>961.2379981114251</v>
      </c>
      <c r="J63" s="105">
        <f t="shared" si="64"/>
        <v>492</v>
      </c>
      <c r="K63" s="2599">
        <f t="shared" ref="K63:K70" si="103">+K80*K$5/1000</f>
        <v>473.08283286118927</v>
      </c>
      <c r="L63" s="2599">
        <v>254.5</v>
      </c>
      <c r="M63" s="2539">
        <f t="shared" si="65"/>
        <v>1434.3208309726144</v>
      </c>
      <c r="N63" s="2539">
        <f t="shared" si="66"/>
        <v>746.5</v>
      </c>
      <c r="O63" s="2599">
        <f t="shared" ref="O63:O70" si="104">+O80*O$5/1000</f>
        <v>478.73495750708219</v>
      </c>
      <c r="P63" s="2599">
        <v>257</v>
      </c>
      <c r="Q63" s="2538">
        <f t="shared" ref="Q63:Q70" si="105">+M63+O63</f>
        <v>1913.0557884796967</v>
      </c>
      <c r="R63" s="2538">
        <f t="shared" ref="R63:R70" si="106">+N63+P63</f>
        <v>1003.5</v>
      </c>
      <c r="S63" s="2599">
        <f t="shared" ref="S63:S70" si="107">+S80*S$5/1000</f>
        <v>478.73495750708219</v>
      </c>
      <c r="T63" s="2599">
        <v>267</v>
      </c>
      <c r="U63" s="2538">
        <f t="shared" si="80"/>
        <v>2391.7907459867788</v>
      </c>
      <c r="V63" s="2538">
        <f t="shared" si="81"/>
        <v>1270.5</v>
      </c>
      <c r="W63" s="2599">
        <f t="shared" ref="W63:W70" si="108">+W80*W$5/1000</f>
        <v>251.23694050991594</v>
      </c>
      <c r="X63" s="2599">
        <v>295.5</v>
      </c>
      <c r="Y63" s="2539">
        <f t="shared" si="67"/>
        <v>1208.7068555240803</v>
      </c>
      <c r="Z63" s="2539">
        <f t="shared" si="68"/>
        <v>819.5</v>
      </c>
      <c r="AA63" s="2579">
        <f t="shared" si="94"/>
        <v>2643.0276864966945</v>
      </c>
      <c r="AB63" s="2579">
        <f t="shared" si="94"/>
        <v>1566</v>
      </c>
      <c r="AC63" s="2599">
        <f t="shared" ref="AC63:AC70" si="109">+AC80*AC$5/1000</f>
        <v>488.15516525023583</v>
      </c>
      <c r="AD63" s="2599">
        <v>209.5</v>
      </c>
      <c r="AE63" s="2538">
        <f t="shared" si="82"/>
        <v>3131.1828517469303</v>
      </c>
      <c r="AF63" s="2538">
        <f t="shared" si="83"/>
        <v>1775.5</v>
      </c>
      <c r="AG63" s="2599">
        <f t="shared" ref="AG63:AG70" si="110">+AG80*AG$5/1000</f>
        <v>473.08283286118927</v>
      </c>
      <c r="AH63" s="2599">
        <v>275</v>
      </c>
      <c r="AI63" s="2538">
        <f t="shared" si="84"/>
        <v>3604.2656846081195</v>
      </c>
      <c r="AJ63" s="2538">
        <f t="shared" si="85"/>
        <v>2050.5</v>
      </c>
      <c r="AK63" s="2599">
        <f t="shared" ref="AK63:AK70" si="111">+AK80*AK$5/1000</f>
        <v>488.15516525023583</v>
      </c>
      <c r="AL63" s="2599">
        <v>257.5</v>
      </c>
      <c r="AM63" s="2539">
        <f t="shared" si="69"/>
        <v>1449.393163361661</v>
      </c>
      <c r="AN63" s="2539">
        <f t="shared" si="70"/>
        <v>742</v>
      </c>
      <c r="AO63" s="2538">
        <f t="shared" si="86"/>
        <v>4092.4208498583553</v>
      </c>
      <c r="AP63" s="2538">
        <f t="shared" si="87"/>
        <v>2308</v>
      </c>
      <c r="AQ63" s="2599">
        <f t="shared" ref="AQ63:AQ70" si="112">+AQ80*AQ$5/1000</f>
        <v>495.69133144475921</v>
      </c>
      <c r="AR63" s="2599">
        <v>286.5</v>
      </c>
      <c r="AS63" s="2538">
        <f t="shared" si="88"/>
        <v>4588.1121813031141</v>
      </c>
      <c r="AT63" s="2538">
        <f t="shared" si="89"/>
        <v>2594.5</v>
      </c>
      <c r="AU63" s="2599">
        <f t="shared" ref="AU63:AU70" si="113">+AU80*AU$5/1000</f>
        <v>442.93816808309725</v>
      </c>
      <c r="AV63" s="2599">
        <v>238</v>
      </c>
      <c r="AW63" s="2538">
        <f t="shared" si="90"/>
        <v>5031.0503493862116</v>
      </c>
      <c r="AX63" s="2538">
        <f t="shared" si="91"/>
        <v>2832.5</v>
      </c>
      <c r="AY63" s="2599">
        <f t="shared" ref="AY63:AY70" si="114">+AY80*AY$5/1000</f>
        <v>495.69133144475921</v>
      </c>
      <c r="AZ63" s="2599">
        <v>280</v>
      </c>
      <c r="BA63" s="2539">
        <f t="shared" si="73"/>
        <v>1434.3208309726158</v>
      </c>
      <c r="BB63" s="2539">
        <f t="shared" si="74"/>
        <v>804.5</v>
      </c>
      <c r="BC63" s="2579">
        <f t="shared" si="99"/>
        <v>2883.7139943342768</v>
      </c>
      <c r="BD63" s="2579">
        <f t="shared" si="100"/>
        <v>1546.5</v>
      </c>
      <c r="BE63" s="2538">
        <f t="shared" si="76"/>
        <v>5526.7416808309708</v>
      </c>
      <c r="BF63" s="38">
        <f t="shared" si="77"/>
        <v>3112.5</v>
      </c>
      <c r="BG63" s="2446"/>
      <c r="BH63" s="2446"/>
      <c r="BI63" s="2445"/>
      <c r="BJ63" s="2445"/>
      <c r="BK63" s="3564"/>
      <c r="BL63" s="2445"/>
      <c r="BM63" s="3564"/>
      <c r="BN63" s="3564"/>
    </row>
    <row r="64" spans="1:66" ht="13.8" x14ac:dyDescent="0.25">
      <c r="B64" s="734" t="s">
        <v>842</v>
      </c>
      <c r="C64" s="2803" t="s">
        <v>50</v>
      </c>
      <c r="D64" s="1110">
        <f t="shared" si="101"/>
        <v>1862.4048565201583</v>
      </c>
      <c r="E64" s="2599">
        <f t="shared" si="101"/>
        <v>156.8892028100299</v>
      </c>
      <c r="F64" s="2599">
        <v>138.047</v>
      </c>
      <c r="G64" s="2599">
        <f t="shared" ref="G64" si="115">+G81*G$5/1000</f>
        <v>164.49883186158709</v>
      </c>
      <c r="H64" s="2599">
        <v>160.51899999999998</v>
      </c>
      <c r="I64" s="2538">
        <f t="shared" si="63"/>
        <v>321.38803467161699</v>
      </c>
      <c r="J64" s="38">
        <f t="shared" si="64"/>
        <v>298.56599999999997</v>
      </c>
      <c r="K64" s="2599">
        <f t="shared" si="103"/>
        <v>159.41974789828058</v>
      </c>
      <c r="L64" s="2599">
        <v>143.19</v>
      </c>
      <c r="M64" s="2539">
        <f t="shared" si="65"/>
        <v>480.80778256989754</v>
      </c>
      <c r="N64" s="2539">
        <f t="shared" si="66"/>
        <v>441.75599999999997</v>
      </c>
      <c r="O64" s="2599">
        <f t="shared" si="104"/>
        <v>161.3244043845207</v>
      </c>
      <c r="P64" s="2599">
        <v>136.78199999999998</v>
      </c>
      <c r="Q64" s="2538">
        <f t="shared" si="105"/>
        <v>642.13218695441822</v>
      </c>
      <c r="R64" s="2538">
        <f t="shared" si="106"/>
        <v>578.53800000000001</v>
      </c>
      <c r="S64" s="2599">
        <f t="shared" si="107"/>
        <v>161.3244043845207</v>
      </c>
      <c r="T64" s="2599">
        <v>140.16299999999998</v>
      </c>
      <c r="U64" s="2538">
        <f t="shared" si="80"/>
        <v>803.45659133893889</v>
      </c>
      <c r="V64" s="2538">
        <f t="shared" si="81"/>
        <v>718.70100000000002</v>
      </c>
      <c r="W64" s="2599">
        <f t="shared" si="108"/>
        <v>84.661980813364451</v>
      </c>
      <c r="X64" s="2599">
        <v>121.396</v>
      </c>
      <c r="Y64" s="2539">
        <f t="shared" si="67"/>
        <v>407.31078958240585</v>
      </c>
      <c r="Z64" s="2539">
        <f t="shared" si="68"/>
        <v>398.34099999999995</v>
      </c>
      <c r="AA64" s="2579">
        <f t="shared" si="94"/>
        <v>888.11857215230339</v>
      </c>
      <c r="AB64" s="2579">
        <f t="shared" si="94"/>
        <v>840.09699999999998</v>
      </c>
      <c r="AC64" s="2599">
        <f t="shared" si="109"/>
        <v>164.49883186158709</v>
      </c>
      <c r="AD64" s="2599">
        <v>113.938</v>
      </c>
      <c r="AE64" s="2538">
        <f t="shared" si="82"/>
        <v>1052.6174040138906</v>
      </c>
      <c r="AF64" s="2538">
        <f t="shared" si="83"/>
        <v>954.03499999999997</v>
      </c>
      <c r="AG64" s="2599">
        <f t="shared" si="110"/>
        <v>159.41974789828058</v>
      </c>
      <c r="AH64" s="2599">
        <v>117.123</v>
      </c>
      <c r="AI64" s="2538">
        <f t="shared" si="84"/>
        <v>1212.0371519121711</v>
      </c>
      <c r="AJ64" s="2538">
        <f t="shared" si="85"/>
        <v>1071.1579999999999</v>
      </c>
      <c r="AK64" s="2599">
        <f t="shared" si="111"/>
        <v>164.49883186158709</v>
      </c>
      <c r="AL64" s="2599">
        <v>132.74</v>
      </c>
      <c r="AM64" s="2539">
        <f t="shared" si="69"/>
        <v>488.41741162145479</v>
      </c>
      <c r="AN64" s="2539">
        <f t="shared" si="70"/>
        <v>363.80099999999999</v>
      </c>
      <c r="AO64" s="2538">
        <f t="shared" si="86"/>
        <v>1376.5359837737583</v>
      </c>
      <c r="AP64" s="2538">
        <f t="shared" si="87"/>
        <v>1203.8979999999999</v>
      </c>
      <c r="AQ64" s="2599">
        <f t="shared" si="112"/>
        <v>167.03837384324041</v>
      </c>
      <c r="AR64" s="2599">
        <v>125.49199999999999</v>
      </c>
      <c r="AS64" s="2538">
        <f t="shared" si="88"/>
        <v>1543.5743576169987</v>
      </c>
      <c r="AT64" s="2538">
        <f t="shared" si="89"/>
        <v>1329.3899999999999</v>
      </c>
      <c r="AU64" s="2599">
        <f t="shared" si="113"/>
        <v>149.26157997166789</v>
      </c>
      <c r="AV64" s="2599">
        <v>110.79299999999999</v>
      </c>
      <c r="AW64" s="2538">
        <f t="shared" si="90"/>
        <v>1692.8359375886666</v>
      </c>
      <c r="AX64" s="2538">
        <f t="shared" si="91"/>
        <v>1440.1829999999998</v>
      </c>
      <c r="AY64" s="2599">
        <f t="shared" si="114"/>
        <v>167.03837384324041</v>
      </c>
      <c r="AZ64" s="2599">
        <v>150.929</v>
      </c>
      <c r="BA64" s="2539">
        <f t="shared" si="73"/>
        <v>483.33832765814873</v>
      </c>
      <c r="BB64" s="2539">
        <f t="shared" si="74"/>
        <v>387.21399999999994</v>
      </c>
      <c r="BC64" s="2579">
        <f t="shared" si="99"/>
        <v>971.75573927960352</v>
      </c>
      <c r="BD64" s="2579">
        <f t="shared" si="100"/>
        <v>751.01499999999987</v>
      </c>
      <c r="BE64" s="2538">
        <f t="shared" si="76"/>
        <v>1859.874311431907</v>
      </c>
      <c r="BF64" s="38">
        <f t="shared" si="77"/>
        <v>1591.1119999999999</v>
      </c>
      <c r="BG64" s="2446"/>
      <c r="BH64" s="2446"/>
      <c r="BI64" s="2445"/>
      <c r="BJ64" s="2445"/>
      <c r="BK64" s="3564"/>
      <c r="BL64" s="2445"/>
      <c r="BM64" s="3564"/>
      <c r="BN64" s="3564"/>
    </row>
    <row r="65" spans="1:71" ht="13.8" x14ac:dyDescent="0.25">
      <c r="B65" s="734" t="s">
        <v>129</v>
      </c>
      <c r="C65" s="2803" t="s">
        <v>50</v>
      </c>
      <c r="D65" s="1110">
        <f t="shared" si="101"/>
        <v>66480.453257790374</v>
      </c>
      <c r="E65" s="2599">
        <f t="shared" si="101"/>
        <v>5690.6515580736477</v>
      </c>
      <c r="F65" s="2599">
        <v>5058.3090000000002</v>
      </c>
      <c r="G65" s="2599">
        <f t="shared" ref="G65" si="116">+G82*G$5/1000</f>
        <v>5871.9546742209595</v>
      </c>
      <c r="H65" s="2599">
        <v>5465.9269999999997</v>
      </c>
      <c r="I65" s="2538">
        <f t="shared" si="63"/>
        <v>11562.606232294607</v>
      </c>
      <c r="J65" s="2806">
        <f t="shared" si="64"/>
        <v>10524.236000000001</v>
      </c>
      <c r="K65" s="2599">
        <f t="shared" si="103"/>
        <v>5690.6515580736477</v>
      </c>
      <c r="L65" s="2599">
        <v>5370.6959999999999</v>
      </c>
      <c r="M65" s="2539">
        <f t="shared" si="65"/>
        <v>17253.257790368254</v>
      </c>
      <c r="N65" s="2539">
        <f t="shared" si="66"/>
        <v>15894.932000000001</v>
      </c>
      <c r="O65" s="2599">
        <f t="shared" si="104"/>
        <v>5758.640226628896</v>
      </c>
      <c r="P65" s="2599">
        <v>5399.335</v>
      </c>
      <c r="Q65" s="2538">
        <f t="shared" si="105"/>
        <v>23011.898016997151</v>
      </c>
      <c r="R65" s="2538">
        <f t="shared" si="106"/>
        <v>21294.267</v>
      </c>
      <c r="S65" s="2599">
        <f t="shared" si="107"/>
        <v>5758.640226628896</v>
      </c>
      <c r="T65" s="2599">
        <v>4868.924</v>
      </c>
      <c r="U65" s="2538">
        <f t="shared" si="80"/>
        <v>28770.538243626048</v>
      </c>
      <c r="V65" s="2538">
        <f t="shared" si="81"/>
        <v>26163.190999999999</v>
      </c>
      <c r="W65" s="2599">
        <f t="shared" si="108"/>
        <v>3022.0963172804641</v>
      </c>
      <c r="X65" s="2599">
        <v>4874.7340000000004</v>
      </c>
      <c r="Y65" s="2539">
        <f t="shared" si="67"/>
        <v>14539.376770538256</v>
      </c>
      <c r="Z65" s="2539">
        <f t="shared" si="68"/>
        <v>15142.992999999999</v>
      </c>
      <c r="AA65" s="2579">
        <f t="shared" si="94"/>
        <v>31792.63456090651</v>
      </c>
      <c r="AB65" s="2579">
        <f t="shared" si="94"/>
        <v>31037.924999999999</v>
      </c>
      <c r="AC65" s="2599">
        <f t="shared" si="109"/>
        <v>5871.9546742209595</v>
      </c>
      <c r="AD65" s="2599">
        <v>3683.8</v>
      </c>
      <c r="AE65" s="2538">
        <f t="shared" si="82"/>
        <v>37664.589235127467</v>
      </c>
      <c r="AF65" s="2538">
        <f t="shared" si="83"/>
        <v>34721.724999999999</v>
      </c>
      <c r="AG65" s="2599">
        <f t="shared" si="110"/>
        <v>5690.6515580736477</v>
      </c>
      <c r="AH65" s="2599">
        <v>3829.7159999999999</v>
      </c>
      <c r="AI65" s="2538">
        <f t="shared" si="84"/>
        <v>43355.240793201112</v>
      </c>
      <c r="AJ65" s="2538">
        <f t="shared" si="85"/>
        <v>38551.440999999999</v>
      </c>
      <c r="AK65" s="2599">
        <f t="shared" si="111"/>
        <v>5871.9546742209595</v>
      </c>
      <c r="AL65" s="2599">
        <v>0</v>
      </c>
      <c r="AM65" s="2539">
        <f t="shared" si="69"/>
        <v>17434.560906515566</v>
      </c>
      <c r="AN65" s="2539">
        <f t="shared" si="70"/>
        <v>7513.5159999999996</v>
      </c>
      <c r="AO65" s="2538">
        <f t="shared" si="86"/>
        <v>49227.195467422069</v>
      </c>
      <c r="AP65" s="2538">
        <f t="shared" si="87"/>
        <v>38551.440999999999</v>
      </c>
      <c r="AQ65" s="2599">
        <f t="shared" si="112"/>
        <v>5962.6062322946173</v>
      </c>
      <c r="AR65" s="2599">
        <v>2786.6930000000002</v>
      </c>
      <c r="AS65" s="2538">
        <f t="shared" si="88"/>
        <v>55189.801699716685</v>
      </c>
      <c r="AT65" s="2538">
        <f t="shared" si="89"/>
        <v>41338.133999999998</v>
      </c>
      <c r="AU65" s="2599">
        <f t="shared" si="113"/>
        <v>5328.0453257790368</v>
      </c>
      <c r="AV65" s="2599">
        <v>4252.25</v>
      </c>
      <c r="AW65" s="2538">
        <f t="shared" si="90"/>
        <v>60517.847025495721</v>
      </c>
      <c r="AX65" s="2538">
        <f t="shared" si="91"/>
        <v>45590.383999999998</v>
      </c>
      <c r="AY65" s="2599">
        <f t="shared" si="114"/>
        <v>5962.6062322946173</v>
      </c>
      <c r="AZ65" s="2599">
        <v>4804.491</v>
      </c>
      <c r="BA65" s="2539">
        <f t="shared" si="73"/>
        <v>17253.257790368272</v>
      </c>
      <c r="BB65" s="2539">
        <f t="shared" si="74"/>
        <v>11843.434000000001</v>
      </c>
      <c r="BC65" s="2579">
        <f t="shared" si="99"/>
        <v>34687.818696883842</v>
      </c>
      <c r="BD65" s="2579">
        <f t="shared" si="100"/>
        <v>19356.95</v>
      </c>
      <c r="BE65" s="2538">
        <f t="shared" si="76"/>
        <v>66480.453257790345</v>
      </c>
      <c r="BF65" s="38">
        <f t="shared" si="77"/>
        <v>50394.875</v>
      </c>
      <c r="BG65" s="2446"/>
      <c r="BH65" s="2446"/>
      <c r="BI65" s="2445"/>
      <c r="BJ65" s="2445"/>
      <c r="BK65" s="3564"/>
      <c r="BL65" s="2445"/>
      <c r="BM65" s="3564"/>
      <c r="BN65" s="3564"/>
    </row>
    <row r="66" spans="1:71" ht="13.8" x14ac:dyDescent="0.25">
      <c r="B66" s="734" t="s">
        <v>544</v>
      </c>
      <c r="C66" s="2803" t="s">
        <v>50</v>
      </c>
      <c r="D66" s="1110">
        <f t="shared" si="101"/>
        <v>0</v>
      </c>
      <c r="E66" s="2599">
        <f t="shared" si="101"/>
        <v>0</v>
      </c>
      <c r="F66" s="2599">
        <v>0</v>
      </c>
      <c r="G66" s="2599">
        <f t="shared" ref="G66" si="117">+G83*G$5/1000</f>
        <v>0</v>
      </c>
      <c r="H66" s="2599">
        <v>0</v>
      </c>
      <c r="I66" s="2538">
        <f t="shared" si="63"/>
        <v>0</v>
      </c>
      <c r="J66" s="38">
        <f t="shared" si="64"/>
        <v>0</v>
      </c>
      <c r="K66" s="2599">
        <f t="shared" si="103"/>
        <v>0</v>
      </c>
      <c r="L66" s="2599">
        <v>0</v>
      </c>
      <c r="M66" s="2539">
        <f t="shared" si="65"/>
        <v>0</v>
      </c>
      <c r="N66" s="2539">
        <f t="shared" si="66"/>
        <v>0</v>
      </c>
      <c r="O66" s="2599">
        <f t="shared" si="104"/>
        <v>0</v>
      </c>
      <c r="P66" s="2599">
        <v>0</v>
      </c>
      <c r="Q66" s="2538">
        <f t="shared" si="105"/>
        <v>0</v>
      </c>
      <c r="R66" s="2538">
        <f t="shared" si="106"/>
        <v>0</v>
      </c>
      <c r="S66" s="2599">
        <f t="shared" si="107"/>
        <v>0</v>
      </c>
      <c r="T66" s="2599">
        <v>0</v>
      </c>
      <c r="U66" s="2538">
        <f t="shared" si="80"/>
        <v>0</v>
      </c>
      <c r="V66" s="2538">
        <f t="shared" si="81"/>
        <v>0</v>
      </c>
      <c r="W66" s="2599">
        <f t="shared" si="108"/>
        <v>0</v>
      </c>
      <c r="X66" s="2599">
        <v>0</v>
      </c>
      <c r="Y66" s="2539">
        <f t="shared" si="67"/>
        <v>0</v>
      </c>
      <c r="Z66" s="2539">
        <f t="shared" si="68"/>
        <v>0</v>
      </c>
      <c r="AA66" s="2579">
        <f t="shared" si="94"/>
        <v>0</v>
      </c>
      <c r="AB66" s="2579">
        <f t="shared" si="94"/>
        <v>0</v>
      </c>
      <c r="AC66" s="2599">
        <f t="shared" si="109"/>
        <v>0</v>
      </c>
      <c r="AD66" s="2599">
        <v>0</v>
      </c>
      <c r="AE66" s="2538">
        <f t="shared" si="82"/>
        <v>0</v>
      </c>
      <c r="AF66" s="2538">
        <f t="shared" si="83"/>
        <v>0</v>
      </c>
      <c r="AG66" s="2599">
        <f t="shared" si="110"/>
        <v>0</v>
      </c>
      <c r="AH66" s="2599">
        <v>0</v>
      </c>
      <c r="AI66" s="2538">
        <f t="shared" si="84"/>
        <v>0</v>
      </c>
      <c r="AJ66" s="2538">
        <f t="shared" si="85"/>
        <v>0</v>
      </c>
      <c r="AK66" s="2599">
        <f t="shared" si="111"/>
        <v>0</v>
      </c>
      <c r="AL66" s="2599">
        <v>0</v>
      </c>
      <c r="AM66" s="2539">
        <f t="shared" si="69"/>
        <v>0</v>
      </c>
      <c r="AN66" s="2539">
        <f t="shared" si="70"/>
        <v>0</v>
      </c>
      <c r="AO66" s="2538">
        <f t="shared" si="86"/>
        <v>0</v>
      </c>
      <c r="AP66" s="2538">
        <f t="shared" si="87"/>
        <v>0</v>
      </c>
      <c r="AQ66" s="2599">
        <f t="shared" si="112"/>
        <v>0</v>
      </c>
      <c r="AR66" s="2599">
        <v>0</v>
      </c>
      <c r="AS66" s="2538">
        <f t="shared" si="88"/>
        <v>0</v>
      </c>
      <c r="AT66" s="2538">
        <f t="shared" si="89"/>
        <v>0</v>
      </c>
      <c r="AU66" s="2599">
        <f t="shared" si="113"/>
        <v>0</v>
      </c>
      <c r="AV66" s="2599">
        <v>0</v>
      </c>
      <c r="AW66" s="2538">
        <f t="shared" si="90"/>
        <v>0</v>
      </c>
      <c r="AX66" s="2538">
        <f t="shared" si="91"/>
        <v>0</v>
      </c>
      <c r="AY66" s="2599">
        <f t="shared" si="114"/>
        <v>0</v>
      </c>
      <c r="AZ66" s="2599">
        <v>0</v>
      </c>
      <c r="BA66" s="2539">
        <f t="shared" si="73"/>
        <v>0</v>
      </c>
      <c r="BB66" s="2539">
        <f t="shared" si="74"/>
        <v>0</v>
      </c>
      <c r="BC66" s="2579">
        <f t="shared" si="99"/>
        <v>0</v>
      </c>
      <c r="BD66" s="2579">
        <f t="shared" si="100"/>
        <v>0</v>
      </c>
      <c r="BE66" s="2538">
        <f t="shared" si="76"/>
        <v>0</v>
      </c>
      <c r="BF66" s="38">
        <f t="shared" si="77"/>
        <v>0</v>
      </c>
      <c r="BG66" s="2446"/>
      <c r="BH66" s="2446"/>
      <c r="BI66" s="2445"/>
      <c r="BJ66" s="2445"/>
      <c r="BK66" s="3564"/>
      <c r="BL66" s="2445"/>
      <c r="BM66" s="3564"/>
      <c r="BN66" s="3564"/>
    </row>
    <row r="67" spans="1:71" ht="13.8" x14ac:dyDescent="0.25">
      <c r="B67" s="734" t="s">
        <v>130</v>
      </c>
      <c r="C67" s="2803" t="s">
        <v>50</v>
      </c>
      <c r="D67" s="1110">
        <f t="shared" si="101"/>
        <v>16620.113314447593</v>
      </c>
      <c r="E67" s="2599">
        <f t="shared" si="101"/>
        <v>1422.6628895184119</v>
      </c>
      <c r="F67" s="2599">
        <v>0</v>
      </c>
      <c r="G67" s="2599">
        <f t="shared" ref="G67" si="118">+G84*G$5/1000</f>
        <v>1467.9886685552399</v>
      </c>
      <c r="H67" s="2599">
        <v>0</v>
      </c>
      <c r="I67" s="2538">
        <f t="shared" si="63"/>
        <v>2890.6515580736518</v>
      </c>
      <c r="J67" s="38">
        <f t="shared" si="64"/>
        <v>0</v>
      </c>
      <c r="K67" s="2599">
        <f t="shared" si="103"/>
        <v>1422.6628895184119</v>
      </c>
      <c r="L67" s="2599">
        <v>0</v>
      </c>
      <c r="M67" s="2539">
        <f t="shared" si="65"/>
        <v>4313.3144475920635</v>
      </c>
      <c r="N67" s="2539">
        <f t="shared" si="66"/>
        <v>0</v>
      </c>
      <c r="O67" s="2599">
        <f t="shared" si="104"/>
        <v>1439.660056657224</v>
      </c>
      <c r="P67" s="2599">
        <v>0</v>
      </c>
      <c r="Q67" s="2538">
        <f t="shared" si="105"/>
        <v>5752.9745042492877</v>
      </c>
      <c r="R67" s="2538">
        <f t="shared" si="106"/>
        <v>0</v>
      </c>
      <c r="S67" s="2599">
        <f t="shared" si="107"/>
        <v>1439.660056657224</v>
      </c>
      <c r="T67" s="2599">
        <v>0</v>
      </c>
      <c r="U67" s="2538">
        <f t="shared" si="80"/>
        <v>7192.634560906512</v>
      </c>
      <c r="V67" s="2538">
        <f t="shared" si="81"/>
        <v>0</v>
      </c>
      <c r="W67" s="2599">
        <f t="shared" si="108"/>
        <v>755.52407932011602</v>
      </c>
      <c r="X67" s="2599">
        <v>0</v>
      </c>
      <c r="Y67" s="2539">
        <f t="shared" si="67"/>
        <v>3634.844192634564</v>
      </c>
      <c r="Z67" s="2539">
        <f t="shared" si="68"/>
        <v>0</v>
      </c>
      <c r="AA67" s="2579">
        <f t="shared" si="94"/>
        <v>7948.1586402266275</v>
      </c>
      <c r="AB67" s="2579">
        <f t="shared" si="94"/>
        <v>0</v>
      </c>
      <c r="AC67" s="2599">
        <f t="shared" si="109"/>
        <v>1467.9886685552399</v>
      </c>
      <c r="AD67" s="2599">
        <v>0</v>
      </c>
      <c r="AE67" s="2538">
        <f t="shared" si="82"/>
        <v>9416.1473087818667</v>
      </c>
      <c r="AF67" s="2538">
        <f t="shared" si="83"/>
        <v>0</v>
      </c>
      <c r="AG67" s="2599">
        <f t="shared" si="110"/>
        <v>1422.6628895184119</v>
      </c>
      <c r="AH67" s="2599">
        <v>861.56200000000001</v>
      </c>
      <c r="AI67" s="2538">
        <f t="shared" si="84"/>
        <v>10838.810198300278</v>
      </c>
      <c r="AJ67" s="2538">
        <f t="shared" si="85"/>
        <v>861.56200000000001</v>
      </c>
      <c r="AK67" s="2599">
        <f t="shared" si="111"/>
        <v>1467.9886685552399</v>
      </c>
      <c r="AL67" s="2599">
        <v>5175.049</v>
      </c>
      <c r="AM67" s="2539">
        <f t="shared" si="69"/>
        <v>4358.6402266288915</v>
      </c>
      <c r="AN67" s="2539">
        <f t="shared" si="70"/>
        <v>6036.6109999999999</v>
      </c>
      <c r="AO67" s="2538">
        <f t="shared" si="86"/>
        <v>12306.798866855517</v>
      </c>
      <c r="AP67" s="2538">
        <f t="shared" si="87"/>
        <v>6036.6109999999999</v>
      </c>
      <c r="AQ67" s="2599">
        <f t="shared" si="112"/>
        <v>1490.6515580736543</v>
      </c>
      <c r="AR67" s="2599">
        <v>2399.634</v>
      </c>
      <c r="AS67" s="2538">
        <f t="shared" si="88"/>
        <v>13797.450424929171</v>
      </c>
      <c r="AT67" s="2538">
        <f t="shared" si="89"/>
        <v>8436.244999999999</v>
      </c>
      <c r="AU67" s="2599">
        <f t="shared" si="113"/>
        <v>1332.0113314447592</v>
      </c>
      <c r="AV67" s="2599">
        <v>0</v>
      </c>
      <c r="AW67" s="2538">
        <f t="shared" si="90"/>
        <v>15129.46175637393</v>
      </c>
      <c r="AX67" s="2538">
        <f t="shared" si="91"/>
        <v>8436.244999999999</v>
      </c>
      <c r="AY67" s="2599">
        <f t="shared" si="114"/>
        <v>1490.6515580736543</v>
      </c>
      <c r="AZ67" s="2599">
        <v>0</v>
      </c>
      <c r="BA67" s="2539">
        <f t="shared" si="73"/>
        <v>4313.3144475920681</v>
      </c>
      <c r="BB67" s="2539">
        <f t="shared" si="74"/>
        <v>2399.634</v>
      </c>
      <c r="BC67" s="2579">
        <f t="shared" si="99"/>
        <v>8671.9546742209604</v>
      </c>
      <c r="BD67" s="2579">
        <f t="shared" si="100"/>
        <v>8436.244999999999</v>
      </c>
      <c r="BE67" s="2538">
        <f t="shared" si="76"/>
        <v>16620.113314447586</v>
      </c>
      <c r="BF67" s="38">
        <f t="shared" si="77"/>
        <v>8436.244999999999</v>
      </c>
      <c r="BG67" s="2446"/>
      <c r="BH67" s="2446"/>
      <c r="BI67" s="2445"/>
      <c r="BJ67" s="2445"/>
      <c r="BK67" s="3564"/>
      <c r="BL67" s="2445"/>
      <c r="BM67" s="3564"/>
      <c r="BN67" s="3564"/>
    </row>
    <row r="68" spans="1:71" ht="13.8" x14ac:dyDescent="0.25">
      <c r="B68" s="734" t="s">
        <v>1191</v>
      </c>
      <c r="C68" s="2803" t="s">
        <v>50</v>
      </c>
      <c r="D68" s="1110">
        <f t="shared" si="101"/>
        <v>0</v>
      </c>
      <c r="E68" s="2599">
        <f t="shared" si="101"/>
        <v>0</v>
      </c>
      <c r="F68" s="2599">
        <v>0</v>
      </c>
      <c r="G68" s="2599">
        <f t="shared" ref="G68" si="119">+G85*G$5/1000</f>
        <v>0</v>
      </c>
      <c r="H68" s="2599">
        <v>0</v>
      </c>
      <c r="I68" s="2538">
        <f t="shared" si="63"/>
        <v>0</v>
      </c>
      <c r="J68" s="38">
        <f t="shared" si="64"/>
        <v>0</v>
      </c>
      <c r="K68" s="2599">
        <f t="shared" si="103"/>
        <v>0</v>
      </c>
      <c r="L68" s="2599">
        <v>0</v>
      </c>
      <c r="M68" s="2539">
        <f t="shared" si="65"/>
        <v>0</v>
      </c>
      <c r="N68" s="2539">
        <f t="shared" si="66"/>
        <v>0</v>
      </c>
      <c r="O68" s="2599">
        <f t="shared" si="104"/>
        <v>0</v>
      </c>
      <c r="P68" s="2599">
        <v>0</v>
      </c>
      <c r="Q68" s="2538">
        <f t="shared" si="105"/>
        <v>0</v>
      </c>
      <c r="R68" s="2538">
        <f t="shared" si="106"/>
        <v>0</v>
      </c>
      <c r="S68" s="2599">
        <f t="shared" si="107"/>
        <v>0</v>
      </c>
      <c r="T68" s="2599">
        <v>0</v>
      </c>
      <c r="U68" s="2538">
        <f t="shared" si="80"/>
        <v>0</v>
      </c>
      <c r="V68" s="2538">
        <f t="shared" si="81"/>
        <v>0</v>
      </c>
      <c r="W68" s="2599">
        <f t="shared" si="108"/>
        <v>0</v>
      </c>
      <c r="X68" s="2599">
        <v>0</v>
      </c>
      <c r="Y68" s="2539">
        <f t="shared" si="67"/>
        <v>0</v>
      </c>
      <c r="Z68" s="2539">
        <f t="shared" si="68"/>
        <v>0</v>
      </c>
      <c r="AA68" s="2579">
        <f t="shared" si="94"/>
        <v>0</v>
      </c>
      <c r="AB68" s="2579">
        <f t="shared" si="94"/>
        <v>0</v>
      </c>
      <c r="AC68" s="2599">
        <f t="shared" si="109"/>
        <v>0</v>
      </c>
      <c r="AD68" s="2599">
        <v>0</v>
      </c>
      <c r="AE68" s="2538">
        <f t="shared" si="82"/>
        <v>0</v>
      </c>
      <c r="AF68" s="2538">
        <f t="shared" si="83"/>
        <v>0</v>
      </c>
      <c r="AG68" s="2599">
        <f t="shared" si="110"/>
        <v>0</v>
      </c>
      <c r="AH68" s="2599">
        <v>0</v>
      </c>
      <c r="AI68" s="2538">
        <f t="shared" si="84"/>
        <v>0</v>
      </c>
      <c r="AJ68" s="2538">
        <f t="shared" si="85"/>
        <v>0</v>
      </c>
      <c r="AK68" s="2599">
        <f t="shared" si="111"/>
        <v>0</v>
      </c>
      <c r="AL68" s="2599">
        <v>0</v>
      </c>
      <c r="AM68" s="2539">
        <f t="shared" si="69"/>
        <v>0</v>
      </c>
      <c r="AN68" s="2539">
        <f t="shared" si="70"/>
        <v>0</v>
      </c>
      <c r="AO68" s="2538">
        <f t="shared" si="86"/>
        <v>0</v>
      </c>
      <c r="AP68" s="2538">
        <f t="shared" si="87"/>
        <v>0</v>
      </c>
      <c r="AQ68" s="2599">
        <f t="shared" si="112"/>
        <v>0</v>
      </c>
      <c r="AR68" s="2599">
        <v>0</v>
      </c>
      <c r="AS68" s="2538">
        <f t="shared" si="88"/>
        <v>0</v>
      </c>
      <c r="AT68" s="2538">
        <f t="shared" si="89"/>
        <v>0</v>
      </c>
      <c r="AU68" s="2599">
        <f t="shared" si="113"/>
        <v>0</v>
      </c>
      <c r="AV68" s="2599">
        <v>0</v>
      </c>
      <c r="AW68" s="2538">
        <f t="shared" si="90"/>
        <v>0</v>
      </c>
      <c r="AX68" s="2538">
        <f t="shared" si="91"/>
        <v>0</v>
      </c>
      <c r="AY68" s="2599">
        <f t="shared" si="114"/>
        <v>0</v>
      </c>
      <c r="AZ68" s="2599">
        <v>0</v>
      </c>
      <c r="BA68" s="2539">
        <f t="shared" si="73"/>
        <v>0</v>
      </c>
      <c r="BB68" s="2539">
        <f t="shared" si="74"/>
        <v>0</v>
      </c>
      <c r="BC68" s="2579">
        <f t="shared" si="99"/>
        <v>0</v>
      </c>
      <c r="BD68" s="2579">
        <f t="shared" si="100"/>
        <v>0</v>
      </c>
      <c r="BE68" s="2538">
        <f t="shared" si="76"/>
        <v>0</v>
      </c>
      <c r="BF68" s="38">
        <f t="shared" si="77"/>
        <v>0</v>
      </c>
      <c r="BG68" s="2446"/>
      <c r="BH68" s="2446"/>
      <c r="BI68" s="2445"/>
      <c r="BJ68" s="2445"/>
      <c r="BK68" s="3564"/>
      <c r="BL68" s="2445"/>
      <c r="BM68" s="3564"/>
      <c r="BN68" s="3564"/>
    </row>
    <row r="69" spans="1:71" ht="13.8" x14ac:dyDescent="0.25">
      <c r="B69" s="734" t="s">
        <v>131</v>
      </c>
      <c r="C69" s="2803" t="s">
        <v>50</v>
      </c>
      <c r="D69" s="1110">
        <f t="shared" si="101"/>
        <v>41550.283286118967</v>
      </c>
      <c r="E69" s="2599">
        <f t="shared" si="101"/>
        <v>3556.6572237960286</v>
      </c>
      <c r="F69" s="2599">
        <v>4545.46</v>
      </c>
      <c r="G69" s="2599">
        <f t="shared" ref="G69" si="120">+G86*G$5/1000</f>
        <v>3669.9716713880985</v>
      </c>
      <c r="H69" s="2599">
        <v>4272.8</v>
      </c>
      <c r="I69" s="2538">
        <f t="shared" si="63"/>
        <v>7226.628895184127</v>
      </c>
      <c r="J69" s="38">
        <f t="shared" si="64"/>
        <v>8818.26</v>
      </c>
      <c r="K69" s="2599">
        <f t="shared" si="103"/>
        <v>3556.6572237960299</v>
      </c>
      <c r="L69" s="2599">
        <v>4275.8</v>
      </c>
      <c r="M69" s="2539">
        <f t="shared" si="65"/>
        <v>10783.286118980157</v>
      </c>
      <c r="N69" s="2539">
        <f t="shared" si="66"/>
        <v>13094.060000000001</v>
      </c>
      <c r="O69" s="2599">
        <f t="shared" si="104"/>
        <v>3599.1501416430601</v>
      </c>
      <c r="P69" s="2599">
        <v>3451.2</v>
      </c>
      <c r="Q69" s="2538">
        <f t="shared" si="105"/>
        <v>14382.436260623217</v>
      </c>
      <c r="R69" s="2538">
        <f t="shared" si="106"/>
        <v>16545.260000000002</v>
      </c>
      <c r="S69" s="2599">
        <f t="shared" si="107"/>
        <v>3599.1501416430601</v>
      </c>
      <c r="T69" s="2599">
        <v>1721.75</v>
      </c>
      <c r="U69" s="2538">
        <f t="shared" si="80"/>
        <v>17981.586402266279</v>
      </c>
      <c r="V69" s="2538">
        <f t="shared" si="81"/>
        <v>18267.010000000002</v>
      </c>
      <c r="W69" s="2599">
        <f t="shared" si="108"/>
        <v>1888.8101983002903</v>
      </c>
      <c r="X69" s="2599">
        <v>879.2</v>
      </c>
      <c r="Y69" s="2539">
        <f t="shared" si="67"/>
        <v>9087.110481586411</v>
      </c>
      <c r="Z69" s="2539">
        <f t="shared" si="68"/>
        <v>6052.15</v>
      </c>
      <c r="AA69" s="2579">
        <f t="shared" si="94"/>
        <v>19870.396600566568</v>
      </c>
      <c r="AB69" s="2579">
        <f t="shared" si="94"/>
        <v>19146.21</v>
      </c>
      <c r="AC69" s="2599">
        <f t="shared" si="109"/>
        <v>3669.9716713880998</v>
      </c>
      <c r="AD69" s="2599">
        <v>2267.1</v>
      </c>
      <c r="AE69" s="2538">
        <f t="shared" si="82"/>
        <v>23540.368271954667</v>
      </c>
      <c r="AF69" s="2538">
        <f t="shared" si="83"/>
        <v>21413.309999999998</v>
      </c>
      <c r="AG69" s="2599">
        <f t="shared" si="110"/>
        <v>3556.6572237960299</v>
      </c>
      <c r="AH69" s="2599">
        <v>4063.5</v>
      </c>
      <c r="AI69" s="2538">
        <f t="shared" si="84"/>
        <v>27097.025495750699</v>
      </c>
      <c r="AJ69" s="2538">
        <f t="shared" si="85"/>
        <v>25476.809999999998</v>
      </c>
      <c r="AK69" s="2599">
        <f t="shared" si="111"/>
        <v>3669.9716713880998</v>
      </c>
      <c r="AL69" s="2599">
        <v>3801.4</v>
      </c>
      <c r="AM69" s="2539">
        <f t="shared" si="69"/>
        <v>10896.60056657223</v>
      </c>
      <c r="AN69" s="2539">
        <f t="shared" si="70"/>
        <v>10132</v>
      </c>
      <c r="AO69" s="2538">
        <f t="shared" si="86"/>
        <v>30766.997167138798</v>
      </c>
      <c r="AP69" s="2538">
        <f t="shared" si="87"/>
        <v>29278.21</v>
      </c>
      <c r="AQ69" s="2599">
        <f t="shared" si="112"/>
        <v>3726.6288951841361</v>
      </c>
      <c r="AR69" s="2599">
        <v>2897.4</v>
      </c>
      <c r="AS69" s="2538">
        <f t="shared" si="88"/>
        <v>34493.626062322932</v>
      </c>
      <c r="AT69" s="2538">
        <f t="shared" si="89"/>
        <v>32175.61</v>
      </c>
      <c r="AU69" s="2599">
        <f t="shared" si="113"/>
        <v>3330.0283286118979</v>
      </c>
      <c r="AV69" s="2599">
        <v>2360.04</v>
      </c>
      <c r="AW69" s="2538">
        <f t="shared" si="90"/>
        <v>37823.654390934833</v>
      </c>
      <c r="AX69" s="2538">
        <f t="shared" si="91"/>
        <v>34535.65</v>
      </c>
      <c r="AY69" s="2599">
        <f t="shared" si="114"/>
        <v>3726.6288951841361</v>
      </c>
      <c r="AZ69" s="2599">
        <v>3046.4</v>
      </c>
      <c r="BA69" s="2539">
        <f t="shared" si="73"/>
        <v>10783.28611898017</v>
      </c>
      <c r="BB69" s="2539">
        <f t="shared" si="74"/>
        <v>8303.84</v>
      </c>
      <c r="BC69" s="2579">
        <f t="shared" si="99"/>
        <v>21679.886685552399</v>
      </c>
      <c r="BD69" s="2579">
        <f t="shared" si="100"/>
        <v>18435.84</v>
      </c>
      <c r="BE69" s="2538">
        <f t="shared" si="76"/>
        <v>41550.283286118967</v>
      </c>
      <c r="BF69" s="38">
        <f t="shared" si="77"/>
        <v>37582.050000000003</v>
      </c>
      <c r="BG69" s="2446"/>
      <c r="BH69" s="2446"/>
      <c r="BI69" s="2445"/>
      <c r="BJ69" s="2445"/>
      <c r="BK69" s="3564"/>
      <c r="BL69" s="2445"/>
      <c r="BM69" s="3564"/>
      <c r="BN69" s="3564"/>
    </row>
    <row r="70" spans="1:71" ht="13.8" x14ac:dyDescent="0.25">
      <c r="B70" s="734" t="s">
        <v>1777</v>
      </c>
      <c r="C70" s="2803" t="s">
        <v>50</v>
      </c>
      <c r="D70" s="1110">
        <f t="shared" si="101"/>
        <v>185591.26534466477</v>
      </c>
      <c r="E70" s="2599">
        <f t="shared" si="101"/>
        <v>15886.402266288935</v>
      </c>
      <c r="F70" s="2599">
        <v>13904.931</v>
      </c>
      <c r="G70" s="2599">
        <f t="shared" ref="G70" si="121">+G87*G$5/1000</f>
        <v>16392.540132200178</v>
      </c>
      <c r="H70" s="2599">
        <v>15703.071</v>
      </c>
      <c r="I70" s="2538">
        <f t="shared" si="63"/>
        <v>32278.942398489111</v>
      </c>
      <c r="J70" s="38">
        <f t="shared" si="64"/>
        <v>29608.002</v>
      </c>
      <c r="K70" s="2599">
        <f t="shared" si="103"/>
        <v>15886.402266288935</v>
      </c>
      <c r="L70" s="2599">
        <v>15937.584999999999</v>
      </c>
      <c r="M70" s="2539">
        <f t="shared" si="65"/>
        <v>48165.344664778044</v>
      </c>
      <c r="N70" s="2539">
        <f t="shared" si="66"/>
        <v>45545.587</v>
      </c>
      <c r="O70" s="2599">
        <f t="shared" si="104"/>
        <v>16076.203966005669</v>
      </c>
      <c r="P70" s="2599">
        <v>17069.062000000002</v>
      </c>
      <c r="Q70" s="2538">
        <f t="shared" si="105"/>
        <v>64241.548630783713</v>
      </c>
      <c r="R70" s="2538">
        <f t="shared" si="106"/>
        <v>62614.649000000005</v>
      </c>
      <c r="S70" s="2599">
        <f t="shared" si="107"/>
        <v>16076.203966005669</v>
      </c>
      <c r="T70" s="2599">
        <v>15781.566000000001</v>
      </c>
      <c r="U70" s="2538">
        <f t="shared" si="80"/>
        <v>80317.752596789389</v>
      </c>
      <c r="V70" s="2538">
        <f t="shared" si="81"/>
        <v>78396.215000000011</v>
      </c>
      <c r="W70" s="2599">
        <f t="shared" si="108"/>
        <v>8436.6855524079638</v>
      </c>
      <c r="X70" s="2599">
        <v>15556.172</v>
      </c>
      <c r="Y70" s="2539">
        <f t="shared" si="67"/>
        <v>40589.093484419303</v>
      </c>
      <c r="Z70" s="2539">
        <f t="shared" si="68"/>
        <v>48406.8</v>
      </c>
      <c r="AA70" s="2579">
        <f t="shared" si="94"/>
        <v>88754.438149197347</v>
      </c>
      <c r="AB70" s="2579">
        <f t="shared" si="94"/>
        <v>93952.387000000002</v>
      </c>
      <c r="AC70" s="2599">
        <f t="shared" si="109"/>
        <v>16392.540132200178</v>
      </c>
      <c r="AD70" s="2599">
        <v>12822.339</v>
      </c>
      <c r="AE70" s="2538">
        <f t="shared" si="82"/>
        <v>105146.97828139752</v>
      </c>
      <c r="AF70" s="2538">
        <f t="shared" si="83"/>
        <v>106774.726</v>
      </c>
      <c r="AG70" s="2599">
        <f t="shared" si="110"/>
        <v>15886.402266288935</v>
      </c>
      <c r="AH70" s="2599">
        <v>14313.882</v>
      </c>
      <c r="AI70" s="2538">
        <f t="shared" si="84"/>
        <v>121033.38054768645</v>
      </c>
      <c r="AJ70" s="2538">
        <f t="shared" si="85"/>
        <v>121088.60799999999</v>
      </c>
      <c r="AK70" s="2599">
        <f t="shared" si="111"/>
        <v>16392.540132200178</v>
      </c>
      <c r="AL70" s="2599">
        <v>15349.977000000001</v>
      </c>
      <c r="AM70" s="2539">
        <f t="shared" si="69"/>
        <v>48671.482530689289</v>
      </c>
      <c r="AN70" s="2539">
        <f t="shared" si="70"/>
        <v>42486.198000000004</v>
      </c>
      <c r="AO70" s="2538">
        <f t="shared" si="86"/>
        <v>137425.92067988662</v>
      </c>
      <c r="AP70" s="2538">
        <f t="shared" si="87"/>
        <v>136438.58499999999</v>
      </c>
      <c r="AQ70" s="2599">
        <f t="shared" si="112"/>
        <v>16645.609065155808</v>
      </c>
      <c r="AR70" s="2599">
        <v>16655.484</v>
      </c>
      <c r="AS70" s="2538">
        <f t="shared" si="88"/>
        <v>154071.52974504244</v>
      </c>
      <c r="AT70" s="2538">
        <f t="shared" si="89"/>
        <v>153094.06899999999</v>
      </c>
      <c r="AU70" s="2599">
        <f t="shared" si="113"/>
        <v>14874.126534466477</v>
      </c>
      <c r="AV70" s="2599">
        <v>14758.846</v>
      </c>
      <c r="AW70" s="2538">
        <f t="shared" si="90"/>
        <v>168945.65627950893</v>
      </c>
      <c r="AX70" s="2538">
        <f t="shared" si="91"/>
        <v>167852.91499999998</v>
      </c>
      <c r="AY70" s="2599">
        <f t="shared" si="114"/>
        <v>16645.609065155808</v>
      </c>
      <c r="AZ70" s="2599">
        <v>15525.558999999999</v>
      </c>
      <c r="BA70" s="2539">
        <f t="shared" si="73"/>
        <v>48165.344664778095</v>
      </c>
      <c r="BB70" s="2539">
        <f t="shared" si="74"/>
        <v>46939.888999999996</v>
      </c>
      <c r="BC70" s="2579">
        <f t="shared" si="99"/>
        <v>96836.827195467384</v>
      </c>
      <c r="BD70" s="2579">
        <f t="shared" si="100"/>
        <v>89426.087</v>
      </c>
      <c r="BE70" s="2538">
        <f t="shared" si="76"/>
        <v>185591.26534466475</v>
      </c>
      <c r="BF70" s="38">
        <f t="shared" si="77"/>
        <v>183378.47399999999</v>
      </c>
      <c r="BG70" s="2446"/>
      <c r="BH70" s="2446"/>
      <c r="BI70" s="2445"/>
      <c r="BJ70" s="2445"/>
      <c r="BK70" s="3564"/>
      <c r="BL70" s="2445"/>
      <c r="BM70" s="3564"/>
      <c r="BN70" s="3564"/>
    </row>
    <row r="71" spans="1:71" ht="13.8" x14ac:dyDescent="0.25">
      <c r="A71" s="1257"/>
      <c r="B71" s="991" t="s">
        <v>287</v>
      </c>
      <c r="C71" s="409"/>
      <c r="D71" s="3306"/>
      <c r="E71" s="3307"/>
      <c r="F71" s="3307"/>
      <c r="G71" s="3307"/>
      <c r="H71" s="3307"/>
      <c r="I71" s="3307"/>
      <c r="J71" s="3308"/>
      <c r="K71" s="3307"/>
      <c r="L71" s="3307"/>
      <c r="M71" s="3307"/>
      <c r="N71" s="3307"/>
      <c r="O71" s="3307"/>
      <c r="P71" s="3307"/>
      <c r="Q71" s="3307"/>
      <c r="R71" s="3307"/>
      <c r="S71" s="3307"/>
      <c r="T71" s="3307"/>
      <c r="U71" s="3307"/>
      <c r="V71" s="3307"/>
      <c r="W71" s="3307"/>
      <c r="X71" s="3307"/>
      <c r="Y71" s="3307"/>
      <c r="Z71" s="3307"/>
      <c r="AA71" s="3307"/>
      <c r="AB71" s="3307"/>
      <c r="AC71" s="3307"/>
      <c r="AD71" s="3307"/>
      <c r="AE71" s="3307"/>
      <c r="AF71" s="3307"/>
      <c r="AG71" s="3307"/>
      <c r="AH71" s="3307"/>
      <c r="AI71" s="3307"/>
      <c r="AJ71" s="3307"/>
      <c r="AK71" s="3307"/>
      <c r="AL71" s="3307"/>
      <c r="AM71" s="3307"/>
      <c r="AN71" s="3307"/>
      <c r="AO71" s="3307"/>
      <c r="AP71" s="3307"/>
      <c r="AQ71" s="3307"/>
      <c r="AR71" s="3307"/>
      <c r="AS71" s="3307"/>
      <c r="AT71" s="3307"/>
      <c r="AU71" s="3307"/>
      <c r="AV71" s="3307"/>
      <c r="AW71" s="3307"/>
      <c r="AX71" s="3307"/>
      <c r="AY71" s="3307"/>
      <c r="AZ71" s="3307"/>
      <c r="BA71" s="3307"/>
      <c r="BB71" s="3307"/>
      <c r="BC71" s="3307"/>
      <c r="BD71" s="3307"/>
      <c r="BE71" s="3307"/>
      <c r="BF71" s="3308"/>
      <c r="BG71" s="2446"/>
      <c r="BH71" s="2446"/>
      <c r="BI71" s="2445"/>
      <c r="BJ71" s="2445"/>
      <c r="BK71" s="3564"/>
      <c r="BL71" s="2445"/>
      <c r="BM71" s="3564"/>
      <c r="BN71" s="3564"/>
    </row>
    <row r="72" spans="1:71" ht="13.8" x14ac:dyDescent="0.25">
      <c r="B72" s="734" t="s">
        <v>83</v>
      </c>
      <c r="C72" s="2803" t="s">
        <v>271</v>
      </c>
      <c r="D72" s="1333">
        <v>1.6372322252457012</v>
      </c>
      <c r="E72" s="2795">
        <v>1.6637829819614995</v>
      </c>
      <c r="F72" s="2795">
        <f>+F55/F$49*1000</f>
        <v>1.7631183370731567</v>
      </c>
      <c r="G72" s="2795">
        <v>1.6372322252457012</v>
      </c>
      <c r="H72" s="2795">
        <f>+H55/H$49*1000</f>
        <v>1.2550810710532241</v>
      </c>
      <c r="I72" s="3058">
        <f t="shared" ref="I72:J72" si="122">+I55/I$5*1000</f>
        <v>1.6502994440056717</v>
      </c>
      <c r="J72" s="2806">
        <f t="shared" si="122"/>
        <v>1.4921403423357631</v>
      </c>
      <c r="K72" s="2795">
        <v>1.6372322252457012</v>
      </c>
      <c r="L72" s="2795">
        <f>+L55/L$49*1000</f>
        <v>1.6635634020980614</v>
      </c>
      <c r="M72" s="3322">
        <f>+M55/M$5*1000</f>
        <v>1.6459894760158797</v>
      </c>
      <c r="N72" s="3322">
        <f>+N55/N$5*1000</f>
        <v>1.5528786469726144</v>
      </c>
      <c r="O72" s="2795">
        <v>1.6372322252457012</v>
      </c>
      <c r="P72" s="2795">
        <f>+P55/P$49*1000</f>
        <v>1.5098844804335725</v>
      </c>
      <c r="Q72" s="2873">
        <f t="shared" ref="Q72:R72" si="123">+Q55/Q$5*1000</f>
        <v>1.6437980072147154</v>
      </c>
      <c r="R72" s="2873">
        <f t="shared" si="123"/>
        <v>1.5412857299263478</v>
      </c>
      <c r="S72" s="2795">
        <v>1.6372322252457012</v>
      </c>
      <c r="T72" s="2795">
        <f>+T55/T$49*1000</f>
        <v>1.2625104793630249</v>
      </c>
      <c r="U72" s="3058">
        <f t="shared" ref="U72:V72" si="124">+U55/U$5*1000</f>
        <v>1.6424838164322602</v>
      </c>
      <c r="V72" s="3058">
        <f t="shared" si="124"/>
        <v>1.4850707954463485</v>
      </c>
      <c r="W72" s="2795">
        <v>1.6372322252457012</v>
      </c>
      <c r="X72" s="2795">
        <f>+X55/X$49*1000</f>
        <v>1.2916217390959353</v>
      </c>
      <c r="Y72" s="3304">
        <f>+Y55/Y$5*1000</f>
        <v>1.6372322252457012</v>
      </c>
      <c r="Z72" s="3304">
        <f>+Z55/Z$5*1000</f>
        <v>1.3590835098331639</v>
      </c>
      <c r="AA72" s="3305">
        <f>+AA55/AA$47*1000</f>
        <v>1.6419846185959055</v>
      </c>
      <c r="AB72" s="3305">
        <f>+AB55/AB$49*1000</f>
        <v>1.4538429934250072</v>
      </c>
      <c r="AC72" s="2795">
        <v>1.6372322252457012</v>
      </c>
      <c r="AD72" s="2795">
        <f>+AD55/AD$49*1000</f>
        <v>1.4006594036617255</v>
      </c>
      <c r="AE72" s="3058">
        <f t="shared" ref="AE72:AF72" si="125">+AE55/AE$5*1000</f>
        <v>1.6412437147678509</v>
      </c>
      <c r="AF72" s="3058">
        <f t="shared" si="125"/>
        <v>1.4478274068552797</v>
      </c>
      <c r="AG72" s="2794">
        <v>1.6372322252457012</v>
      </c>
      <c r="AH72" s="2794">
        <f>+AH55/AH$49*1000</f>
        <v>1.2636074729745954</v>
      </c>
      <c r="AI72" s="3058">
        <f t="shared" ref="AI72:AJ72" si="126">+AI55/AI$5*1000</f>
        <v>1.6407171812120045</v>
      </c>
      <c r="AJ72" s="3058">
        <f t="shared" si="126"/>
        <v>1.4245194865334947</v>
      </c>
      <c r="AK72" s="2794">
        <v>1.6372322252457012</v>
      </c>
      <c r="AL72" s="2794">
        <f>+AL55/AL$49*1000</f>
        <v>1.7132649881991955</v>
      </c>
      <c r="AM72" s="3304">
        <f>+AM55/AM$5*1000</f>
        <v>1.6372322252457008</v>
      </c>
      <c r="AN72" s="3304">
        <f>+AN55/AN$5*1000</f>
        <v>1.4656770357100648</v>
      </c>
      <c r="AO72" s="3058">
        <f t="shared" ref="AO72:AP72" si="127">+AO55/AO$5*1000</f>
        <v>1.6403014861214862</v>
      </c>
      <c r="AP72" s="3058">
        <f t="shared" si="127"/>
        <v>1.4575576939037547</v>
      </c>
      <c r="AQ72" s="2794">
        <v>1.6372322252457012</v>
      </c>
      <c r="AR72" s="2794">
        <f>+AR55/AR$49*1000</f>
        <v>1.174317372118022</v>
      </c>
      <c r="AS72" s="3058">
        <f t="shared" ref="AS72:AT72" si="128">+AS55/AS$5*1000</f>
        <v>1.6399698887345981</v>
      </c>
      <c r="AT72" s="3058">
        <f t="shared" si="128"/>
        <v>1.4291826809239501</v>
      </c>
      <c r="AU72" s="2794">
        <v>1.6372322252457012</v>
      </c>
      <c r="AV72" s="2794">
        <f>+AV55/AV$49*1000</f>
        <v>0.72966595298129877</v>
      </c>
      <c r="AW72" s="3058">
        <f t="shared" ref="AW72:AX72" si="129">+AW55/AW$5*1000</f>
        <v>1.63972886239489</v>
      </c>
      <c r="AX72" s="3058">
        <f t="shared" si="129"/>
        <v>1.3766015959385269</v>
      </c>
      <c r="AY72" s="2794">
        <v>1.6372322252457012</v>
      </c>
      <c r="AZ72" s="2794">
        <f>+AZ55/AZ$49*1000</f>
        <v>1.7451504197376924</v>
      </c>
      <c r="BA72" s="3304">
        <f>+BA55/BA$5*1000</f>
        <v>1.6372322252457014</v>
      </c>
      <c r="BB72" s="3304">
        <f>+BB55/BB$5*1000</f>
        <v>1.2590497063287192</v>
      </c>
      <c r="BC72" s="3305">
        <f>+BC55/BC$47*1000</f>
        <v>1.637232223084973</v>
      </c>
      <c r="BD72" s="3305">
        <f>+BD55/BD$49*1000</f>
        <v>1.3614678117262049</v>
      </c>
      <c r="BE72" s="3058">
        <f t="shared" ref="BE72:BF72" si="130">+BE55/BE$5*1000</f>
        <v>1.639504939971139</v>
      </c>
      <c r="BF72" s="105">
        <f t="shared" si="130"/>
        <v>1.4094988812678693</v>
      </c>
      <c r="BG72" s="2446">
        <f>BA55/$BA$5*1000</f>
        <v>1.6372322252457014</v>
      </c>
      <c r="BH72" s="2446">
        <f>BB55/$BB$5*1000</f>
        <v>1.2590497063287192</v>
      </c>
      <c r="BI72" s="2446">
        <f>BC55/$BC$5*1000</f>
        <v>1.637232225245701</v>
      </c>
      <c r="BJ72" s="2446">
        <f>BD55/$BD$5*1000</f>
        <v>1.3614686932265325</v>
      </c>
      <c r="BK72" s="2446">
        <f>BE55/$BE$5*1000</f>
        <v>1.639504939971139</v>
      </c>
      <c r="BL72" s="2446">
        <f>BF55/$BF$5*1000</f>
        <v>1.4094988812678693</v>
      </c>
      <c r="BM72" s="3564"/>
      <c r="BN72" s="3564">
        <f>BG72-BA72</f>
        <v>0</v>
      </c>
      <c r="BO72" s="3564">
        <f t="shared" ref="BO72:BS72" si="131">BH72-BB72</f>
        <v>0</v>
      </c>
      <c r="BP72" s="3564">
        <f t="shared" si="131"/>
        <v>2.1607280409341456E-9</v>
      </c>
      <c r="BQ72" s="3564">
        <f t="shared" si="131"/>
        <v>8.8150032762079888E-7</v>
      </c>
      <c r="BR72" s="3564">
        <f t="shared" si="131"/>
        <v>0</v>
      </c>
      <c r="BS72" s="3564">
        <f t="shared" si="131"/>
        <v>0</v>
      </c>
    </row>
    <row r="73" spans="1:71" ht="13.8" x14ac:dyDescent="0.25">
      <c r="B73" s="734" t="s">
        <v>832</v>
      </c>
      <c r="C73" s="2803" t="s">
        <v>271</v>
      </c>
      <c r="D73" s="1333">
        <v>0.84012576263208183</v>
      </c>
      <c r="E73" s="2795">
        <v>0.80750050907222048</v>
      </c>
      <c r="F73" s="2795">
        <f>+F56/F$49*1000</f>
        <v>0.50719842573337381</v>
      </c>
      <c r="G73" s="2795">
        <v>0.84012576263208183</v>
      </c>
      <c r="H73" s="2795">
        <f>+H56/H$49*1000</f>
        <v>0.75220347019351486</v>
      </c>
      <c r="I73" s="3058">
        <f t="shared" ref="I73:J73" si="132">+I56/I$5*1000</f>
        <v>0.8240689198863328</v>
      </c>
      <c r="J73" s="2806">
        <f t="shared" si="132"/>
        <v>0.63787872640637611</v>
      </c>
      <c r="K73" s="2795">
        <v>0.84012576263208183</v>
      </c>
      <c r="L73" s="2795">
        <f>+L56/L$49*1000</f>
        <v>0.43129421535875667</v>
      </c>
      <c r="M73" s="3304">
        <f t="shared" ref="M73:N79" si="133">+M56/M$5*1000</f>
        <v>0.82936495720862036</v>
      </c>
      <c r="N73" s="3322">
        <f t="shared" si="133"/>
        <v>0.56468314435367795</v>
      </c>
      <c r="O73" s="2795">
        <v>0.84012576263208183</v>
      </c>
      <c r="P73" s="2795">
        <f>+P56/P$49*1000</f>
        <v>0.54008922668250503</v>
      </c>
      <c r="Q73" s="2873">
        <f t="shared" ref="Q73:R73" si="134">+Q56/Q$5*1000</f>
        <v>0.83205780796507256</v>
      </c>
      <c r="R73" s="2873">
        <f t="shared" si="134"/>
        <v>0.55805172980091911</v>
      </c>
      <c r="S73" s="2795">
        <v>0.84012576263208183</v>
      </c>
      <c r="T73" s="2795">
        <f>+T56/T$49*1000</f>
        <v>0.55129624265518751</v>
      </c>
      <c r="U73" s="3058">
        <f t="shared" ref="U73:V73" si="135">+U56/U$5*1000</f>
        <v>0.83367266994292755</v>
      </c>
      <c r="V73" s="3058">
        <f t="shared" si="135"/>
        <v>0.55668939532160266</v>
      </c>
      <c r="W73" s="2795">
        <v>0.84012576263208183</v>
      </c>
      <c r="X73" s="2795">
        <f>+X56/X$49*1000</f>
        <v>0.56866622642790321</v>
      </c>
      <c r="Y73" s="3304">
        <f t="shared" ref="Y73:Z73" si="136">+Y56/Y$5*1000</f>
        <v>0.84012576263208194</v>
      </c>
      <c r="Z73" s="3304">
        <f t="shared" si="136"/>
        <v>0.5528239276677932</v>
      </c>
      <c r="AA73" s="3305">
        <f>+AA56/AA$47*1000</f>
        <v>0.83428607829741841</v>
      </c>
      <c r="AB73" s="3305">
        <f>+AB56/AB$49*1000</f>
        <v>0.55862298083143946</v>
      </c>
      <c r="AC73" s="2795">
        <v>0.84012576263208183</v>
      </c>
      <c r="AD73" s="2795">
        <f>+AD56/AD$49*1000</f>
        <v>0.5245497368294908</v>
      </c>
      <c r="AE73" s="3058">
        <f t="shared" ref="AE73:AF73" si="137">+AE56/AE$5*1000</f>
        <v>0.83519649209513358</v>
      </c>
      <c r="AF73" s="3058">
        <f t="shared" si="137"/>
        <v>0.554769089200432</v>
      </c>
      <c r="AG73" s="2794">
        <v>0.84012576263208183</v>
      </c>
      <c r="AH73" s="2794">
        <f>+AH56/AH$49*1000</f>
        <v>0.48801392059708509</v>
      </c>
      <c r="AI73" s="3058">
        <f t="shared" ref="AI73:AJ73" si="138">+AI56/AI$5*1000</f>
        <v>0.83584349025609517</v>
      </c>
      <c r="AJ73" s="3058">
        <f t="shared" si="138"/>
        <v>0.54632306933231167</v>
      </c>
      <c r="AK73" s="2794">
        <v>0.84012576263208183</v>
      </c>
      <c r="AL73" s="2794">
        <f>+AL56/AL$49*1000</f>
        <v>0.29867892604274571</v>
      </c>
      <c r="AM73" s="3304">
        <f t="shared" ref="AM73:AP73" si="139">+AM56/AM$5*1000</f>
        <v>0.84012576263208183</v>
      </c>
      <c r="AN73" s="3304">
        <f t="shared" si="139"/>
        <v>0.42919255817425217</v>
      </c>
      <c r="AO73" s="3058">
        <f t="shared" si="139"/>
        <v>0.83635429143125251</v>
      </c>
      <c r="AP73" s="3058">
        <f t="shared" si="139"/>
        <v>0.51798799986330202</v>
      </c>
      <c r="AQ73" s="2794">
        <v>0.84012576263208183</v>
      </c>
      <c r="AR73" s="2794">
        <f>+AR56/AR$49*1000</f>
        <v>0.38588472272735602</v>
      </c>
      <c r="AS73" s="3058">
        <f t="shared" ref="AS73:AT73" si="140">+AS56/AS$5*1000</f>
        <v>0.83676175435002398</v>
      </c>
      <c r="AT73" s="3058">
        <f t="shared" si="140"/>
        <v>0.50475386769298491</v>
      </c>
      <c r="AU73" s="2794">
        <v>0.84012576263208183</v>
      </c>
      <c r="AV73" s="2794">
        <f>+AV56/AV$49*1000</f>
        <v>0.77676453901299536</v>
      </c>
      <c r="AW73" s="3058">
        <f t="shared" ref="AW73:AX73" si="141">+AW56/AW$5*1000</f>
        <v>0.83705792464497086</v>
      </c>
      <c r="AX73" s="3058">
        <f t="shared" si="141"/>
        <v>0.5252003658120894</v>
      </c>
      <c r="AY73" s="2794">
        <v>0.84012576263208183</v>
      </c>
      <c r="AZ73" s="2794">
        <f>+AZ56/AZ$49*1000</f>
        <v>0.50572054918764486</v>
      </c>
      <c r="BA73" s="3304">
        <f t="shared" ref="BA73:BB73" si="142">+BA56/BA$5*1000</f>
        <v>0.84012576263208194</v>
      </c>
      <c r="BB73" s="3304">
        <f t="shared" si="142"/>
        <v>0.54059663489239695</v>
      </c>
      <c r="BC73" s="3305">
        <f>+BC56/BC$47*1000</f>
        <v>0.84012576152333052</v>
      </c>
      <c r="BD73" s="3305">
        <f>+BD56/BD$49*1000</f>
        <v>0.48537665192424706</v>
      </c>
      <c r="BE73" s="3058">
        <f t="shared" ref="BE73:BF73" si="143">+BE56/BE$5*1000</f>
        <v>0.83733307785174416</v>
      </c>
      <c r="BF73" s="105">
        <f t="shared" si="143"/>
        <v>0.52346155368896685</v>
      </c>
      <c r="BG73" s="2446">
        <f t="shared" ref="BG73:BG79" si="144">BA56/$BA$5*1000</f>
        <v>0.84012576263208194</v>
      </c>
      <c r="BH73" s="2446">
        <f t="shared" ref="BH73:BH79" si="145">BB56/$BB$5*1000</f>
        <v>0.54059663489239695</v>
      </c>
      <c r="BI73" s="2446">
        <f t="shared" ref="BI73:BI79" si="146">BC56/$BC$5*1000</f>
        <v>0.84012576263208194</v>
      </c>
      <c r="BJ73" s="2446">
        <f t="shared" ref="BJ73:BJ79" si="147">BD56/$BD$5*1000</f>
        <v>0.48537696618777504</v>
      </c>
      <c r="BK73" s="2446">
        <f t="shared" ref="BK73:BK79" si="148">BE56/$BE$5*1000</f>
        <v>0.83733307785174416</v>
      </c>
      <c r="BL73" s="2446">
        <f t="shared" ref="BL73:BL79" si="149">BF56/$BF$5*1000</f>
        <v>0.52346155368896685</v>
      </c>
      <c r="BM73" s="3564"/>
      <c r="BN73" s="3564">
        <f t="shared" ref="BN73:BN79" si="150">BG73-BA73</f>
        <v>0</v>
      </c>
      <c r="BO73" s="3564">
        <f t="shared" ref="BO73:BO79" si="151">BH73-BB73</f>
        <v>0</v>
      </c>
      <c r="BP73" s="3564">
        <f t="shared" ref="BP73:BP79" si="152">BI73-BC73</f>
        <v>1.1087514240060159E-9</v>
      </c>
      <c r="BQ73" s="3564">
        <f t="shared" ref="BQ73:BQ79" si="153">BJ73-BD73</f>
        <v>3.1426352797847557E-7</v>
      </c>
      <c r="BR73" s="3564">
        <f t="shared" ref="BR73:BR79" si="154">BK73-BE73</f>
        <v>0</v>
      </c>
      <c r="BS73" s="3564">
        <f t="shared" ref="BS73:BS79" si="155">BL73-BF73</f>
        <v>0</v>
      </c>
    </row>
    <row r="74" spans="1:71" ht="13.8" x14ac:dyDescent="0.25">
      <c r="B74" s="736" t="s">
        <v>874</v>
      </c>
      <c r="C74" s="3311" t="s">
        <v>271</v>
      </c>
      <c r="D74" s="3313">
        <f>SUM(D72:D73)</f>
        <v>2.4773579878777832</v>
      </c>
      <c r="E74" s="3314">
        <f>SUM(E72:E73)</f>
        <v>2.47128349103372</v>
      </c>
      <c r="F74" s="3314">
        <f>SUM(F72:F73)</f>
        <v>2.2703167628065306</v>
      </c>
      <c r="G74" s="3314">
        <f>SUM(G72:G73)</f>
        <v>2.4773579878777832</v>
      </c>
      <c r="H74" s="3314">
        <f>SUM(H72:H73)</f>
        <v>2.0072845412467388</v>
      </c>
      <c r="I74" s="3315">
        <f t="shared" ref="I74:J74" si="156">+I57/I$5*1000</f>
        <v>2.4743683638920047</v>
      </c>
      <c r="J74" s="3316">
        <f t="shared" si="156"/>
        <v>2.130019068742139</v>
      </c>
      <c r="K74" s="3314">
        <f>SUM(K72:K73)</f>
        <v>2.4773579878777832</v>
      </c>
      <c r="L74" s="3314">
        <f>SUM(L72:L73)</f>
        <v>2.0948576174568183</v>
      </c>
      <c r="M74" s="3318">
        <f t="shared" si="133"/>
        <v>2.4753544332245001</v>
      </c>
      <c r="N74" s="3329">
        <f t="shared" si="133"/>
        <v>2.1175617913262923</v>
      </c>
      <c r="O74" s="3314">
        <f>SUM(O72:O73)</f>
        <v>2.4773579878777832</v>
      </c>
      <c r="P74" s="3314">
        <f>SUM(P72:P73)</f>
        <v>2.0499737071160773</v>
      </c>
      <c r="Q74" s="3315">
        <f t="shared" ref="Q74:R74" si="157">+Q57/Q$5*1000</f>
        <v>2.4758558151797878</v>
      </c>
      <c r="R74" s="3315">
        <f t="shared" si="157"/>
        <v>2.0993374597272667</v>
      </c>
      <c r="S74" s="3314">
        <f>SUM(S72:S73)</f>
        <v>2.4773579878777832</v>
      </c>
      <c r="T74" s="3314">
        <f>SUM(T72:T73)</f>
        <v>1.8138067220182124</v>
      </c>
      <c r="U74" s="3319">
        <f t="shared" ref="U74:V74" si="158">+U57/U$5*1000</f>
        <v>2.4761564863751877</v>
      </c>
      <c r="V74" s="3319">
        <f t="shared" si="158"/>
        <v>2.0417601907679512</v>
      </c>
      <c r="W74" s="3314">
        <f>SUM(W72:W73)</f>
        <v>2.4773579878777832</v>
      </c>
      <c r="X74" s="3314">
        <f>SUM(X72:X73)</f>
        <v>1.8602879655238385</v>
      </c>
      <c r="Y74" s="3318">
        <f t="shared" ref="Y74:Z74" si="159">+Y57/Y$5*1000</f>
        <v>2.4773579878777832</v>
      </c>
      <c r="Z74" s="3318">
        <f t="shared" si="159"/>
        <v>1.9119074375009573</v>
      </c>
      <c r="AA74" s="3320">
        <f>+AA57/AA$47*1000</f>
        <v>2.4762706968933239</v>
      </c>
      <c r="AB74" s="3320">
        <f>+AB57/AB$49*1000</f>
        <v>2.0124659742564468</v>
      </c>
      <c r="AC74" s="3314">
        <f>SUM(AC72:AC73)</f>
        <v>2.4773579878777832</v>
      </c>
      <c r="AD74" s="3314">
        <f>SUM(AD72:AD73)</f>
        <v>1.9252091404912162</v>
      </c>
      <c r="AE74" s="3319">
        <f t="shared" ref="AE74:AF74" si="160">+AE57/AE$5*1000</f>
        <v>2.4764402068629847</v>
      </c>
      <c r="AF74" s="3319">
        <f t="shared" si="160"/>
        <v>2.0025964960557117</v>
      </c>
      <c r="AG74" s="3317">
        <f>SUM(AG72:AG73)</f>
        <v>2.4773579878777832</v>
      </c>
      <c r="AH74" s="3317">
        <f>SUM(AH72:AH73)</f>
        <v>1.7516213935716805</v>
      </c>
      <c r="AI74" s="3319">
        <f t="shared" ref="AI74:AJ74" si="161">+AI57/AI$5*1000</f>
        <v>2.4765606714680999</v>
      </c>
      <c r="AJ74" s="3319">
        <f t="shared" si="161"/>
        <v>1.9708425558658065</v>
      </c>
      <c r="AK74" s="3317">
        <f>SUM(AK72:AK73)</f>
        <v>2.4773579878777832</v>
      </c>
      <c r="AL74" s="3317">
        <f>SUM(AL72:AL73)</f>
        <v>2.0119439142419413</v>
      </c>
      <c r="AM74" s="3318">
        <f t="shared" ref="AM74:AP74" si="162">+AM57/AM$5*1000</f>
        <v>2.4773579878777827</v>
      </c>
      <c r="AN74" s="3318">
        <f t="shared" si="162"/>
        <v>1.894869593884317</v>
      </c>
      <c r="AO74" s="3319">
        <f t="shared" si="162"/>
        <v>2.4766557775527387</v>
      </c>
      <c r="AP74" s="3319">
        <f t="shared" si="162"/>
        <v>1.9755456937670568</v>
      </c>
      <c r="AQ74" s="3317">
        <f t="shared" ref="AQ74" si="163">SUM(AQ72:AQ73)</f>
        <v>2.4773579878777832</v>
      </c>
      <c r="AR74" s="3317">
        <f>SUM(AR72:AR73)</f>
        <v>1.5602020948453781</v>
      </c>
      <c r="AS74" s="3319">
        <f t="shared" ref="AS74:AT74" si="164">+AS57/AS$5*1000</f>
        <v>2.4767316430846225</v>
      </c>
      <c r="AT74" s="3319">
        <f t="shared" si="164"/>
        <v>1.9339365486169349</v>
      </c>
      <c r="AU74" s="3317">
        <f t="shared" ref="AU74" si="165">SUM(AU72:AU73)</f>
        <v>2.4773579878777832</v>
      </c>
      <c r="AV74" s="3317">
        <f>SUM(AV72:AV73)</f>
        <v>1.5064304919942941</v>
      </c>
      <c r="AW74" s="3319">
        <f t="shared" ref="AW74:AX74" si="166">+AW57/AW$5*1000</f>
        <v>2.4767867870398605</v>
      </c>
      <c r="AX74" s="3319">
        <f t="shared" si="166"/>
        <v>1.9018019617506163</v>
      </c>
      <c r="AY74" s="3317">
        <f t="shared" ref="AY74" si="167">SUM(AY72:AY73)</f>
        <v>2.4773579878777832</v>
      </c>
      <c r="AZ74" s="3317">
        <f>SUM(AZ72:AZ73)</f>
        <v>2.2508709689253372</v>
      </c>
      <c r="BA74" s="3318">
        <f t="shared" ref="BA74:BB74" si="168">+BA57/BA$5*1000</f>
        <v>2.4773579878777836</v>
      </c>
      <c r="BB74" s="3318">
        <f t="shared" si="168"/>
        <v>1.7996463412211161</v>
      </c>
      <c r="BC74" s="3320">
        <f>+BC57/BC$47*1000</f>
        <v>2.4773579846083038</v>
      </c>
      <c r="BD74" s="3320">
        <f>+BD57/BD$49*1000</f>
        <v>1.8468444636504517</v>
      </c>
      <c r="BE74" s="3319">
        <f t="shared" ref="BE74:BF74" si="169">+BE57/BE$5*1000</f>
        <v>2.476838017822883</v>
      </c>
      <c r="BF74" s="3321">
        <f t="shared" si="169"/>
        <v>1.9329604349568363</v>
      </c>
      <c r="BG74" s="2446">
        <f t="shared" si="144"/>
        <v>2.4773579878777836</v>
      </c>
      <c r="BH74" s="2446">
        <f t="shared" si="145"/>
        <v>1.7996463412211161</v>
      </c>
      <c r="BI74" s="2446">
        <f t="shared" si="146"/>
        <v>2.4773579878777832</v>
      </c>
      <c r="BJ74" s="2446">
        <f t="shared" si="147"/>
        <v>1.8468456594143079</v>
      </c>
      <c r="BK74" s="2446">
        <f t="shared" si="148"/>
        <v>2.476838017822883</v>
      </c>
      <c r="BL74" s="2446">
        <f t="shared" si="149"/>
        <v>1.9329604349568363</v>
      </c>
      <c r="BM74" s="3564"/>
      <c r="BN74" s="3564">
        <f t="shared" si="150"/>
        <v>0</v>
      </c>
      <c r="BO74" s="3564">
        <f t="shared" si="151"/>
        <v>0</v>
      </c>
      <c r="BP74" s="3564">
        <f t="shared" si="152"/>
        <v>3.269479353917859E-9</v>
      </c>
      <c r="BQ74" s="3564">
        <f t="shared" si="153"/>
        <v>1.195763856154386E-6</v>
      </c>
      <c r="BR74" s="3564">
        <f t="shared" si="154"/>
        <v>0</v>
      </c>
      <c r="BS74" s="3564">
        <f t="shared" si="155"/>
        <v>0</v>
      </c>
    </row>
    <row r="75" spans="1:71" ht="13.8" x14ac:dyDescent="0.25">
      <c r="B75" s="734" t="s">
        <v>84</v>
      </c>
      <c r="C75" s="2803" t="s">
        <v>271</v>
      </c>
      <c r="D75" s="1333">
        <f>'Maj Techno Summ'!D69</f>
        <v>17.372968004908316</v>
      </c>
      <c r="E75" s="2795">
        <v>17.375800872109483</v>
      </c>
      <c r="F75" s="2795">
        <f>+F58/F$49*1000</f>
        <v>16.095096709939064</v>
      </c>
      <c r="G75" s="2795">
        <v>17.372968004908316</v>
      </c>
      <c r="H75" s="2795">
        <f>+H58/H$49*1000</f>
        <v>15.086328025791282</v>
      </c>
      <c r="I75" s="3058">
        <f t="shared" ref="I75:J75" si="170">+I58/I$5*1000</f>
        <v>17.374362228652362</v>
      </c>
      <c r="J75" s="2806">
        <f t="shared" si="170"/>
        <v>15.557028161331477</v>
      </c>
      <c r="K75" s="2795">
        <v>17.372968004908316</v>
      </c>
      <c r="L75" s="2795">
        <f>+L58/L$49*1000</f>
        <v>15.47730098544567</v>
      </c>
      <c r="M75" s="3304">
        <f t="shared" si="133"/>
        <v>17.373902371063856</v>
      </c>
      <c r="N75" s="3304">
        <f t="shared" si="133"/>
        <v>15.528786469726143</v>
      </c>
      <c r="O75" s="2795">
        <v>17.372968004908316</v>
      </c>
      <c r="P75" s="2795">
        <f>+P58/P$49*1000</f>
        <v>16.155369714926319</v>
      </c>
      <c r="Q75" s="2873">
        <f t="shared" ref="Q75:R75" si="171">+Q58/Q$5*1000</f>
        <v>17.373668549476186</v>
      </c>
      <c r="R75" s="2873">
        <f t="shared" si="171"/>
        <v>15.697729420380901</v>
      </c>
      <c r="S75" s="2795">
        <v>17.372968004908316</v>
      </c>
      <c r="T75" s="2795">
        <f>+T58/T$49*1000</f>
        <v>15.095501132282525</v>
      </c>
      <c r="U75" s="3058">
        <f t="shared" ref="U75:V75" si="172">+U58/U$5*1000</f>
        <v>17.373528330197182</v>
      </c>
      <c r="V75" s="3058">
        <f t="shared" si="172"/>
        <v>15.576288086762078</v>
      </c>
      <c r="W75" s="2795">
        <v>17.372968004908316</v>
      </c>
      <c r="X75" s="2795">
        <f>+X58/X$49*1000</f>
        <v>13.273771791157548</v>
      </c>
      <c r="Y75" s="3322">
        <f t="shared" ref="Y75:Z75" si="173">+Y58/Y$5*1000</f>
        <v>17.372968004908316</v>
      </c>
      <c r="Z75" s="3304">
        <f t="shared" si="173"/>
        <v>14.89439948978668</v>
      </c>
      <c r="AA75" s="3323">
        <f>+AA58/AA$47*1000</f>
        <v>17.373475067640744</v>
      </c>
      <c r="AB75" s="3305">
        <f>+AB58/AB$49*1000</f>
        <v>15.204600292270117</v>
      </c>
      <c r="AC75" s="2795">
        <v>17.372968004908316</v>
      </c>
      <c r="AD75" s="2795">
        <f>+AD58/AD$49*1000</f>
        <v>13.783381382647258</v>
      </c>
      <c r="AE75" s="3058">
        <f t="shared" ref="AE75:AF75" si="174">+AE58/AE$5*1000</f>
        <v>17.373396015952096</v>
      </c>
      <c r="AF75" s="3058">
        <f t="shared" si="174"/>
        <v>15.043854528058123</v>
      </c>
      <c r="AG75" s="2794">
        <v>17.372968004908316</v>
      </c>
      <c r="AH75" s="2794">
        <f>+AH58/AH$49*1000</f>
        <v>12.261349755001763</v>
      </c>
      <c r="AI75" s="3058">
        <f t="shared" ref="AI75:AJ75" si="175">+AI58/AI$5*1000</f>
        <v>17.373339836775862</v>
      </c>
      <c r="AJ75" s="3058">
        <f t="shared" si="175"/>
        <v>14.691807083456222</v>
      </c>
      <c r="AK75" s="2794">
        <v>17.372968004908316</v>
      </c>
      <c r="AL75" s="2794">
        <f>+AL58/AL$49*1000</f>
        <v>13.193074847488139</v>
      </c>
      <c r="AM75" s="3304">
        <f t="shared" ref="AM75:AP75" si="176">+AM58/AM$5*1000</f>
        <v>17.372968004908312</v>
      </c>
      <c r="AN75" s="3304">
        <f t="shared" si="176"/>
        <v>13.025061113288174</v>
      </c>
      <c r="AO75" s="3058">
        <f t="shared" si="176"/>
        <v>17.373295483652512</v>
      </c>
      <c r="AP75" s="3058">
        <f t="shared" si="176"/>
        <v>14.520326513076633</v>
      </c>
      <c r="AQ75" s="2794">
        <v>17.372968004908316</v>
      </c>
      <c r="AR75" s="2794">
        <f>+AR58/AR$49*1000</f>
        <v>13.190241431407806</v>
      </c>
      <c r="AS75" s="3058">
        <f t="shared" ref="AS75:AT75" si="177">+AS58/AS$5*1000</f>
        <v>17.373260103442021</v>
      </c>
      <c r="AT75" s="3058">
        <f t="shared" si="177"/>
        <v>14.387079882461318</v>
      </c>
      <c r="AU75" s="2794">
        <v>17.372968004908316</v>
      </c>
      <c r="AV75" s="2794">
        <f>+AV58/AV$49*1000</f>
        <v>13.0204835609774</v>
      </c>
      <c r="AW75" s="3058">
        <f t="shared" ref="AW75:AX75" si="178">+AW58/AW$5*1000</f>
        <v>17.373234386826116</v>
      </c>
      <c r="AX75" s="3058">
        <f t="shared" si="178"/>
        <v>14.284356739104554</v>
      </c>
      <c r="AY75" s="2794">
        <v>17.372968004908316</v>
      </c>
      <c r="AZ75" s="2794">
        <f>+AZ58/AZ$49*1000</f>
        <v>13.633728576050522</v>
      </c>
      <c r="BA75" s="3304">
        <f t="shared" ref="BA75:BB75" si="179">+BA58/BA$5*1000</f>
        <v>17.372968004908316</v>
      </c>
      <c r="BB75" s="3304">
        <f t="shared" si="179"/>
        <v>13.305762009344296</v>
      </c>
      <c r="BC75" s="3305">
        <f>+BC58/BC$47*1000</f>
        <v>17.372967981980434</v>
      </c>
      <c r="BD75" s="3305">
        <f>+BD58/BD$49*1000</f>
        <v>13.166618446104085</v>
      </c>
      <c r="BE75" s="3058">
        <f t="shared" ref="BE75:BF75" si="180">+BE58/BE$5*1000</f>
        <v>17.373210495134568</v>
      </c>
      <c r="BF75" s="105">
        <f t="shared" si="180"/>
        <v>14.226280270242167</v>
      </c>
      <c r="BG75" s="2446">
        <f t="shared" si="144"/>
        <v>17.372968004908316</v>
      </c>
      <c r="BH75" s="2446">
        <f t="shared" si="145"/>
        <v>13.305762009344296</v>
      </c>
      <c r="BI75" s="2446">
        <f t="shared" si="146"/>
        <v>17.372968004908312</v>
      </c>
      <c r="BJ75" s="2446">
        <f t="shared" si="147"/>
        <v>13.16662697100521</v>
      </c>
      <c r="BK75" s="2446">
        <f t="shared" si="148"/>
        <v>17.373210495134568</v>
      </c>
      <c r="BL75" s="2446">
        <f t="shared" si="149"/>
        <v>14.226280270242167</v>
      </c>
      <c r="BM75" s="3564"/>
      <c r="BN75" s="3564">
        <f t="shared" si="150"/>
        <v>0</v>
      </c>
      <c r="BO75" s="3564">
        <f t="shared" si="151"/>
        <v>0</v>
      </c>
      <c r="BP75" s="3564">
        <f t="shared" si="152"/>
        <v>2.2927878262635204E-8</v>
      </c>
      <c r="BQ75" s="3564">
        <f t="shared" si="153"/>
        <v>8.5249011245736028E-6</v>
      </c>
      <c r="BR75" s="3564">
        <f t="shared" si="154"/>
        <v>0</v>
      </c>
      <c r="BS75" s="3564">
        <f t="shared" si="155"/>
        <v>0</v>
      </c>
    </row>
    <row r="76" spans="1:71" ht="13.8" x14ac:dyDescent="0.25">
      <c r="B76" s="734" t="s">
        <v>1527</v>
      </c>
      <c r="C76" s="2803" t="s">
        <v>271</v>
      </c>
      <c r="D76" s="1110">
        <v>0</v>
      </c>
      <c r="E76" s="2537">
        <f>+$D$76</f>
        <v>0</v>
      </c>
      <c r="F76" s="2537">
        <f>+F59/F$49*1000</f>
        <v>0</v>
      </c>
      <c r="G76" s="2537">
        <f>+$D$76</f>
        <v>0</v>
      </c>
      <c r="H76" s="2537">
        <f>+H59/H$49*1000</f>
        <v>0</v>
      </c>
      <c r="I76" s="2538">
        <f t="shared" ref="I76:J76" si="181">+I59/I$5*1000</f>
        <v>0</v>
      </c>
      <c r="J76" s="38">
        <f t="shared" si="181"/>
        <v>0</v>
      </c>
      <c r="K76" s="2537">
        <f>+$D$76</f>
        <v>0</v>
      </c>
      <c r="L76" s="2537">
        <f>+L59/L$49*1000</f>
        <v>0</v>
      </c>
      <c r="M76" s="3304">
        <f t="shared" si="133"/>
        <v>0</v>
      </c>
      <c r="N76" s="3304">
        <f t="shared" si="133"/>
        <v>0</v>
      </c>
      <c r="O76" s="2537">
        <f>+$D$76</f>
        <v>0</v>
      </c>
      <c r="P76" s="2537">
        <f>+P59/P$49*1000</f>
        <v>0</v>
      </c>
      <c r="Q76" s="2873">
        <f t="shared" ref="Q76:R76" si="182">+Q59/Q$5*1000</f>
        <v>0</v>
      </c>
      <c r="R76" s="2873">
        <f t="shared" si="182"/>
        <v>0</v>
      </c>
      <c r="S76" s="2537">
        <f>+$D$76</f>
        <v>0</v>
      </c>
      <c r="T76" s="2537">
        <f>+T59/T$49*1000</f>
        <v>0</v>
      </c>
      <c r="U76" s="3058">
        <f t="shared" ref="U76:V76" si="183">+U59/U$5*1000</f>
        <v>0</v>
      </c>
      <c r="V76" s="3058">
        <f t="shared" si="183"/>
        <v>0</v>
      </c>
      <c r="W76" s="2537">
        <f>+$D$76</f>
        <v>0</v>
      </c>
      <c r="X76" s="2537">
        <f>+X59/X$49*1000</f>
        <v>0</v>
      </c>
      <c r="Y76" s="3304">
        <f t="shared" ref="Y76:Z76" si="184">+Y59/Y$5*1000</f>
        <v>0</v>
      </c>
      <c r="Z76" s="3304">
        <f t="shared" si="184"/>
        <v>0</v>
      </c>
      <c r="AA76" s="3305">
        <f t="shared" ref="AA76" si="185">+AA59/AA$5*1000</f>
        <v>0</v>
      </c>
      <c r="AB76" s="3305">
        <f t="shared" ref="AB76" si="186">+AB59/AB$5*1000</f>
        <v>0</v>
      </c>
      <c r="AC76" s="2537">
        <f>+$D$76</f>
        <v>0</v>
      </c>
      <c r="AD76" s="2537">
        <f>+AD59/AD$49*1000</f>
        <v>0</v>
      </c>
      <c r="AE76" s="3058">
        <f t="shared" ref="AE76:AF76" si="187">+AE59/AE$5*1000</f>
        <v>0</v>
      </c>
      <c r="AF76" s="3058">
        <f t="shared" si="187"/>
        <v>0</v>
      </c>
      <c r="AG76" s="2794">
        <f>+$D$76</f>
        <v>0</v>
      </c>
      <c r="AH76" s="2794">
        <f>+AH59/AH$49*1000</f>
        <v>0</v>
      </c>
      <c r="AI76" s="3058">
        <f t="shared" ref="AI76:AJ76" si="188">+AI59/AI$5*1000</f>
        <v>0</v>
      </c>
      <c r="AJ76" s="3058">
        <f t="shared" si="188"/>
        <v>0</v>
      </c>
      <c r="AK76" s="2794">
        <f>+$D$76</f>
        <v>0</v>
      </c>
      <c r="AL76" s="2794">
        <f>+AL59/AL$49*1000</f>
        <v>0</v>
      </c>
      <c r="AM76" s="3304">
        <f t="shared" ref="AM76:AP76" si="189">+AM59/AM$5*1000</f>
        <v>0</v>
      </c>
      <c r="AN76" s="3304">
        <f t="shared" si="189"/>
        <v>0</v>
      </c>
      <c r="AO76" s="3058">
        <f t="shared" si="189"/>
        <v>0</v>
      </c>
      <c r="AP76" s="3058">
        <f t="shared" si="189"/>
        <v>0</v>
      </c>
      <c r="AQ76" s="2794">
        <f>+$D$76</f>
        <v>0</v>
      </c>
      <c r="AR76" s="2794">
        <f>+AR59/AR$49*1000</f>
        <v>0</v>
      </c>
      <c r="AS76" s="3058">
        <f t="shared" ref="AS76:AT76" si="190">+AS59/AS$5*1000</f>
        <v>0</v>
      </c>
      <c r="AT76" s="3058">
        <f t="shared" si="190"/>
        <v>0</v>
      </c>
      <c r="AU76" s="2794">
        <f>+$D$76</f>
        <v>0</v>
      </c>
      <c r="AV76" s="2794">
        <f>+AV59/AV$49*1000</f>
        <v>0</v>
      </c>
      <c r="AW76" s="3058">
        <f t="shared" ref="AW76:AX76" si="191">+AW59/AW$5*1000</f>
        <v>0</v>
      </c>
      <c r="AX76" s="3058">
        <f t="shared" si="191"/>
        <v>0</v>
      </c>
      <c r="AY76" s="2794">
        <f>+$D$76</f>
        <v>0</v>
      </c>
      <c r="AZ76" s="2794">
        <f>+AZ59/AZ$49*1000</f>
        <v>0</v>
      </c>
      <c r="BA76" s="3304">
        <f t="shared" ref="BA76:BD79" si="192">+BA59/BA$5*1000</f>
        <v>0</v>
      </c>
      <c r="BB76" s="3304">
        <f t="shared" si="192"/>
        <v>0</v>
      </c>
      <c r="BC76" s="3305">
        <f t="shared" si="192"/>
        <v>0</v>
      </c>
      <c r="BD76" s="3305">
        <f t="shared" si="192"/>
        <v>0</v>
      </c>
      <c r="BE76" s="3058">
        <f t="shared" ref="BE76:BF76" si="193">+BE59/BE$5*1000</f>
        <v>0</v>
      </c>
      <c r="BF76" s="105">
        <f t="shared" si="193"/>
        <v>0</v>
      </c>
      <c r="BG76" s="2446">
        <f t="shared" si="144"/>
        <v>0</v>
      </c>
      <c r="BH76" s="2446">
        <f t="shared" si="145"/>
        <v>0</v>
      </c>
      <c r="BI76" s="2446">
        <f t="shared" si="146"/>
        <v>0</v>
      </c>
      <c r="BJ76" s="2446">
        <f t="shared" si="147"/>
        <v>0</v>
      </c>
      <c r="BK76" s="2446">
        <f t="shared" si="148"/>
        <v>0</v>
      </c>
      <c r="BL76" s="2446">
        <f t="shared" si="149"/>
        <v>0</v>
      </c>
      <c r="BM76" s="3564"/>
      <c r="BN76" s="3564">
        <f t="shared" si="150"/>
        <v>0</v>
      </c>
      <c r="BO76" s="3564">
        <f t="shared" si="151"/>
        <v>0</v>
      </c>
      <c r="BP76" s="3564">
        <f t="shared" si="152"/>
        <v>0</v>
      </c>
      <c r="BQ76" s="3564">
        <f t="shared" si="153"/>
        <v>0</v>
      </c>
      <c r="BR76" s="3564">
        <f t="shared" si="154"/>
        <v>0</v>
      </c>
      <c r="BS76" s="3564">
        <f t="shared" si="155"/>
        <v>0</v>
      </c>
    </row>
    <row r="77" spans="1:71" ht="13.8" x14ac:dyDescent="0.25">
      <c r="B77" s="736" t="s">
        <v>1528</v>
      </c>
      <c r="C77" s="3311" t="s">
        <v>271</v>
      </c>
      <c r="D77" s="3313">
        <f>SUM(D75:D76)</f>
        <v>17.372968004908316</v>
      </c>
      <c r="E77" s="3314">
        <f>SUM(E75:E76)</f>
        <v>17.375800872109483</v>
      </c>
      <c r="F77" s="3314">
        <f>SUM(F75:F76)</f>
        <v>16.095096709939064</v>
      </c>
      <c r="G77" s="3314">
        <f>SUM(G75:G76)</f>
        <v>17.372968004908316</v>
      </c>
      <c r="H77" s="3314">
        <f>SUM(H75:H76)</f>
        <v>15.086328025791282</v>
      </c>
      <c r="I77" s="3315">
        <f t="shared" ref="I77:J77" si="194">+I60/I$5*1000</f>
        <v>17.374362228652362</v>
      </c>
      <c r="J77" s="3316">
        <f t="shared" si="194"/>
        <v>15.557028161331477</v>
      </c>
      <c r="K77" s="3314">
        <f>SUM(K75:K76)</f>
        <v>17.372968004908316</v>
      </c>
      <c r="L77" s="3314">
        <f>SUM(L75:L76)</f>
        <v>15.47730098544567</v>
      </c>
      <c r="M77" s="3318">
        <f t="shared" si="133"/>
        <v>17.373902371063856</v>
      </c>
      <c r="N77" s="3318">
        <f t="shared" si="133"/>
        <v>15.528786469726143</v>
      </c>
      <c r="O77" s="3314">
        <f>SUM(O75:O76)</f>
        <v>17.372968004908316</v>
      </c>
      <c r="P77" s="3314">
        <f>SUM(P75:P76)</f>
        <v>16.155369714926319</v>
      </c>
      <c r="Q77" s="3319">
        <f t="shared" ref="Q77:R77" si="195">+Q60/Q$5*1000</f>
        <v>17.373668549476186</v>
      </c>
      <c r="R77" s="3319">
        <f t="shared" si="195"/>
        <v>15.697729420380901</v>
      </c>
      <c r="S77" s="3314">
        <f>SUM(S75:S76)</f>
        <v>17.372968004908316</v>
      </c>
      <c r="T77" s="3314">
        <f>SUM(T75:T76)</f>
        <v>15.095501132282525</v>
      </c>
      <c r="U77" s="3319">
        <f t="shared" ref="U77:V77" si="196">+U60/U$5*1000</f>
        <v>17.373528330197182</v>
      </c>
      <c r="V77" s="3319">
        <f t="shared" si="196"/>
        <v>15.576288086762078</v>
      </c>
      <c r="W77" s="3314">
        <f>SUM(W75:W76)</f>
        <v>17.372968004908316</v>
      </c>
      <c r="X77" s="3314">
        <f>SUM(X75:X76)</f>
        <v>13.273771791157548</v>
      </c>
      <c r="Y77" s="3318">
        <f t="shared" ref="Y77:Z77" si="197">+Y60/Y$5*1000</f>
        <v>17.372968004908316</v>
      </c>
      <c r="Z77" s="3318">
        <f t="shared" si="197"/>
        <v>14.89439948978668</v>
      </c>
      <c r="AA77" s="3320">
        <f t="shared" ref="AA77" si="198">+AA60/AA$5*1000</f>
        <v>17.373475067640761</v>
      </c>
      <c r="AB77" s="3320">
        <f t="shared" ref="AB77" si="199">+AB60/AB$5*1000</f>
        <v>15.204591095341584</v>
      </c>
      <c r="AC77" s="3314">
        <f>SUM(AC75:AC76)</f>
        <v>17.372968004908316</v>
      </c>
      <c r="AD77" s="3314">
        <f>SUM(AD75:AD76)</f>
        <v>13.783381382647258</v>
      </c>
      <c r="AE77" s="3319">
        <f t="shared" ref="AE77:AF77" si="200">+AE60/AE$5*1000</f>
        <v>17.373396015952096</v>
      </c>
      <c r="AF77" s="3319">
        <f t="shared" si="200"/>
        <v>15.043854528058123</v>
      </c>
      <c r="AG77" s="3317">
        <f>SUM(AG75:AG76)</f>
        <v>17.372968004908316</v>
      </c>
      <c r="AH77" s="3317">
        <f>SUM(AH75:AH76)</f>
        <v>12.261349755001763</v>
      </c>
      <c r="AI77" s="3319">
        <f t="shared" ref="AI77:AJ77" si="201">+AI60/AI$5*1000</f>
        <v>17.373339836775862</v>
      </c>
      <c r="AJ77" s="3319">
        <f t="shared" si="201"/>
        <v>14.691807083456222</v>
      </c>
      <c r="AK77" s="3317">
        <f>SUM(AK75:AK76)</f>
        <v>17.372968004908316</v>
      </c>
      <c r="AL77" s="3317">
        <f>SUM(AL75:AL76)</f>
        <v>13.193074847488139</v>
      </c>
      <c r="AM77" s="3318">
        <f t="shared" ref="AM77:AP77" si="202">+AM60/AM$5*1000</f>
        <v>17.372968004908312</v>
      </c>
      <c r="AN77" s="3318">
        <f t="shared" si="202"/>
        <v>13.025061113288174</v>
      </c>
      <c r="AO77" s="3319">
        <f t="shared" si="202"/>
        <v>17.373295483652512</v>
      </c>
      <c r="AP77" s="3319">
        <f t="shared" si="202"/>
        <v>14.520326513076633</v>
      </c>
      <c r="AQ77" s="3317">
        <f t="shared" ref="AQ77:AR77" si="203">SUM(AQ75:AQ76)</f>
        <v>17.372968004908316</v>
      </c>
      <c r="AR77" s="3317">
        <f t="shared" si="203"/>
        <v>13.190241431407806</v>
      </c>
      <c r="AS77" s="3319">
        <f t="shared" ref="AS77:AT77" si="204">+AS60/AS$5*1000</f>
        <v>17.373260103442021</v>
      </c>
      <c r="AT77" s="3319">
        <f t="shared" si="204"/>
        <v>14.387079882461318</v>
      </c>
      <c r="AU77" s="3317">
        <f t="shared" ref="AU77:AV77" si="205">SUM(AU75:AU76)</f>
        <v>17.372968004908316</v>
      </c>
      <c r="AV77" s="3317">
        <f t="shared" si="205"/>
        <v>13.0204835609774</v>
      </c>
      <c r="AW77" s="3319">
        <f t="shared" ref="AW77:AX77" si="206">+AW60/AW$5*1000</f>
        <v>17.373234386826116</v>
      </c>
      <c r="AX77" s="3319">
        <f t="shared" si="206"/>
        <v>14.284356739104554</v>
      </c>
      <c r="AY77" s="3317">
        <f t="shared" ref="AY77:AZ77" si="207">SUM(AY75:AY76)</f>
        <v>17.372968004908316</v>
      </c>
      <c r="AZ77" s="3317">
        <f t="shared" si="207"/>
        <v>13.633728576050522</v>
      </c>
      <c r="BA77" s="3318">
        <f t="shared" ref="BA77:BB77" si="208">+BA60/BA$5*1000</f>
        <v>17.372968004908316</v>
      </c>
      <c r="BB77" s="3318">
        <f t="shared" si="208"/>
        <v>13.305762009344296</v>
      </c>
      <c r="BC77" s="3320">
        <f t="shared" si="192"/>
        <v>17.372968004908312</v>
      </c>
      <c r="BD77" s="3320">
        <f t="shared" si="192"/>
        <v>13.16662697100521</v>
      </c>
      <c r="BE77" s="3319">
        <f t="shared" ref="BE77:BF77" si="209">+BE60/BE$5*1000</f>
        <v>17.373210495134568</v>
      </c>
      <c r="BF77" s="3321">
        <f t="shared" si="209"/>
        <v>14.226280270242167</v>
      </c>
      <c r="BG77" s="2446">
        <f t="shared" si="144"/>
        <v>17.372968004908316</v>
      </c>
      <c r="BH77" s="2446">
        <f t="shared" si="145"/>
        <v>13.305762009344296</v>
      </c>
      <c r="BI77" s="2446">
        <f t="shared" si="146"/>
        <v>17.372968004908312</v>
      </c>
      <c r="BJ77" s="2446">
        <f t="shared" si="147"/>
        <v>13.16662697100521</v>
      </c>
      <c r="BK77" s="2446">
        <f t="shared" si="148"/>
        <v>17.373210495134568</v>
      </c>
      <c r="BL77" s="2446">
        <f t="shared" si="149"/>
        <v>14.226280270242167</v>
      </c>
      <c r="BM77" s="3564"/>
      <c r="BN77" s="3564">
        <f t="shared" si="150"/>
        <v>0</v>
      </c>
      <c r="BO77" s="3564">
        <f t="shared" si="151"/>
        <v>0</v>
      </c>
      <c r="BP77" s="3564">
        <f t="shared" si="152"/>
        <v>0</v>
      </c>
      <c r="BQ77" s="3564">
        <f t="shared" si="153"/>
        <v>0</v>
      </c>
      <c r="BR77" s="3564">
        <f t="shared" si="154"/>
        <v>0</v>
      </c>
      <c r="BS77" s="3564">
        <f t="shared" si="155"/>
        <v>0</v>
      </c>
    </row>
    <row r="78" spans="1:71" ht="13.8" x14ac:dyDescent="0.25">
      <c r="A78" s="3234"/>
      <c r="B78" s="736" t="s">
        <v>85</v>
      </c>
      <c r="C78" s="3311" t="s">
        <v>271</v>
      </c>
      <c r="D78" s="3313">
        <f>'Maj Techno Summ'!D72</f>
        <v>2.1669656814109719</v>
      </c>
      <c r="E78" s="3314">
        <v>2.1749838575152265</v>
      </c>
      <c r="F78" s="2795">
        <f>+F61/F$49*1000</f>
        <v>2.2558253792141483</v>
      </c>
      <c r="G78" s="3314">
        <v>2.1669656814109719</v>
      </c>
      <c r="H78" s="2795">
        <f>+H61/H$49*1000</f>
        <v>2.3284500678462177</v>
      </c>
      <c r="I78" s="3058">
        <f t="shared" ref="I78:J78" si="210">+I61/I$5*1000</f>
        <v>2.1709119064595379</v>
      </c>
      <c r="J78" s="105">
        <f t="shared" si="210"/>
        <v>2.2945602243169287</v>
      </c>
      <c r="K78" s="3314">
        <v>2.1669656814109719</v>
      </c>
      <c r="L78" s="2795">
        <f>+L61/L$49*1000</f>
        <v>2.1614412291802991</v>
      </c>
      <c r="M78" s="3304">
        <f t="shared" si="133"/>
        <v>2.1696103208695017</v>
      </c>
      <c r="N78" s="3304">
        <f t="shared" si="133"/>
        <v>2.2473952534597759</v>
      </c>
      <c r="O78" s="3314">
        <v>2.1669656814109719</v>
      </c>
      <c r="P78" s="2795">
        <f>+P61/P$49*1000</f>
        <v>1.9155190854720372</v>
      </c>
      <c r="Q78" s="3058">
        <f t="shared" ref="Q78:R78" si="211">+Q61/Q$5*1000</f>
        <v>2.1689485098724441</v>
      </c>
      <c r="R78" s="3058">
        <f t="shared" si="211"/>
        <v>2.1579105692871714</v>
      </c>
      <c r="S78" s="3314">
        <v>2.1669656814109719</v>
      </c>
      <c r="T78" s="2795">
        <f>+T61/T$49*1000</f>
        <v>2.1715180245044028</v>
      </c>
      <c r="U78" s="3058">
        <f t="shared" ref="U78:V78" si="212">+U61/U$5*1000</f>
        <v>2.1685516318007148</v>
      </c>
      <c r="V78" s="3058">
        <f t="shared" si="212"/>
        <v>2.1606541100395034</v>
      </c>
      <c r="W78" s="3314">
        <v>2.1669656814109719</v>
      </c>
      <c r="X78" s="2795">
        <f>+X61/X$49*1000</f>
        <v>2.1203756194714845</v>
      </c>
      <c r="Y78" s="3318">
        <f t="shared" ref="Y78:Z78" si="213">+Y61/Y$5*1000</f>
        <v>2.1669656814109719</v>
      </c>
      <c r="Z78" s="3318">
        <f t="shared" si="213"/>
        <v>2.0649352276952255</v>
      </c>
      <c r="AA78" s="3320">
        <f t="shared" ref="AA78" si="214">+AA61/AA$5*1000</f>
        <v>2.1684008769199559</v>
      </c>
      <c r="AB78" s="3320">
        <f t="shared" ref="AB78" si="215">+AB61/AB$5*1000</f>
        <v>2.1541513846013713</v>
      </c>
      <c r="AC78" s="3314">
        <v>2.1669656814109719</v>
      </c>
      <c r="AD78" s="2795">
        <f>+AD61/AD$49*1000</f>
        <v>2.1595824271597124</v>
      </c>
      <c r="AE78" s="3058">
        <f t="shared" ref="AE78:AF78" si="216">+AE61/AE$5*1000</f>
        <v>2.1681771282173008</v>
      </c>
      <c r="AF78" s="3058">
        <f t="shared" si="216"/>
        <v>2.154766059744655</v>
      </c>
      <c r="AG78" s="3317">
        <v>2.1669656814109719</v>
      </c>
      <c r="AH78" s="2794">
        <f>+AH61/AH$49*1000</f>
        <v>2.1917053755386946</v>
      </c>
      <c r="AI78" s="3058">
        <f t="shared" ref="AI78:AJ78" si="217">+AI61/AI$5*1000</f>
        <v>2.1680181181061857</v>
      </c>
      <c r="AJ78" s="3058">
        <f t="shared" si="217"/>
        <v>2.1594392332733356</v>
      </c>
      <c r="AK78" s="3317">
        <v>2.1669656814109719</v>
      </c>
      <c r="AL78" s="2794">
        <f>+AL61/AL$49*1000</f>
        <v>2.2912940469279208</v>
      </c>
      <c r="AM78" s="3318">
        <f t="shared" ref="AM78:AP78" si="218">+AM61/AM$5*1000</f>
        <v>2.1669656814109723</v>
      </c>
      <c r="AN78" s="3318">
        <f t="shared" si="218"/>
        <v>2.219049929400934</v>
      </c>
      <c r="AO78" s="3058">
        <f t="shared" si="218"/>
        <v>2.167892580575292</v>
      </c>
      <c r="AP78" s="3058">
        <f t="shared" si="218"/>
        <v>2.1745263168172784</v>
      </c>
      <c r="AQ78" s="3317">
        <v>2.1669656814109719</v>
      </c>
      <c r="AR78" s="2794">
        <f>+AR61/AR$49*1000</f>
        <v>2.4512450000521815</v>
      </c>
      <c r="AS78" s="3058">
        <f t="shared" ref="AS78:AT78" si="219">+AS61/AS$5*1000</f>
        <v>2.1677924400681028</v>
      </c>
      <c r="AT78" s="3058">
        <f t="shared" si="219"/>
        <v>2.2022485928173832</v>
      </c>
      <c r="AU78" s="3317">
        <v>2.1669656814109719</v>
      </c>
      <c r="AV78" s="2794">
        <f>+AV61/AV$49*1000</f>
        <v>2.259261987749503</v>
      </c>
      <c r="AW78" s="3058">
        <f t="shared" ref="AW78:AX78" si="220">+AW61/AW$5*1000</f>
        <v>2.1677196514972072</v>
      </c>
      <c r="AX78" s="3058">
        <f t="shared" si="220"/>
        <v>2.206534320478855</v>
      </c>
      <c r="AY78" s="3317">
        <v>2.1669656814109719</v>
      </c>
      <c r="AZ78" s="2794">
        <f>+AZ61/AZ$49*1000</f>
        <v>2.0187369463474019</v>
      </c>
      <c r="BA78" s="3318">
        <f t="shared" ref="BA78:BB78" si="221">+BA61/BA$5*1000</f>
        <v>2.1669656814109719</v>
      </c>
      <c r="BB78" s="3318">
        <f t="shared" si="221"/>
        <v>2.2374954722811906</v>
      </c>
      <c r="BC78" s="3320">
        <f t="shared" si="192"/>
        <v>2.1669656814109723</v>
      </c>
      <c r="BD78" s="3320">
        <f t="shared" si="192"/>
        <v>2.228352568386375</v>
      </c>
      <c r="BE78" s="3058">
        <f t="shared" ref="BE78:BF78" si="222">+BE61/BE$5*1000</f>
        <v>2.1676520282107394</v>
      </c>
      <c r="BF78" s="105">
        <f t="shared" si="222"/>
        <v>2.189771158504751</v>
      </c>
      <c r="BG78" s="2446">
        <f t="shared" si="144"/>
        <v>2.1669656814109719</v>
      </c>
      <c r="BH78" s="2446">
        <f t="shared" si="145"/>
        <v>2.2374954722811906</v>
      </c>
      <c r="BI78" s="2446">
        <f t="shared" si="146"/>
        <v>2.1669656814109723</v>
      </c>
      <c r="BJ78" s="2446">
        <f t="shared" si="147"/>
        <v>2.228352568386375</v>
      </c>
      <c r="BK78" s="2446">
        <f t="shared" si="148"/>
        <v>2.1676520282107394</v>
      </c>
      <c r="BL78" s="2446">
        <f t="shared" si="149"/>
        <v>2.189771158504751</v>
      </c>
      <c r="BM78" s="3564"/>
      <c r="BN78" s="3564">
        <f t="shared" si="150"/>
        <v>0</v>
      </c>
      <c r="BO78" s="3564">
        <f t="shared" si="151"/>
        <v>0</v>
      </c>
      <c r="BP78" s="3564">
        <f t="shared" si="152"/>
        <v>0</v>
      </c>
      <c r="BQ78" s="3564">
        <f t="shared" si="153"/>
        <v>0</v>
      </c>
      <c r="BR78" s="3564">
        <f t="shared" si="154"/>
        <v>0</v>
      </c>
      <c r="BS78" s="3564">
        <f t="shared" si="155"/>
        <v>0</v>
      </c>
    </row>
    <row r="79" spans="1:71" ht="13.8" x14ac:dyDescent="0.25">
      <c r="A79" s="3234"/>
      <c r="B79" s="3312" t="str">
        <f>+'Maj Techno Summ'!B19</f>
        <v>Ferro Alloys (FeMn+LCFeMn+SiMn+FeSi)</v>
      </c>
      <c r="C79" s="3311" t="s">
        <v>271</v>
      </c>
      <c r="D79" s="3313">
        <f>+D74+D77+D78</f>
        <v>22.017291674197072</v>
      </c>
      <c r="E79" s="3314">
        <f>+$D$79</f>
        <v>22.017291674197072</v>
      </c>
      <c r="F79" s="3314">
        <f>+F74+F77+F78</f>
        <v>20.621238851959742</v>
      </c>
      <c r="G79" s="3314">
        <f>+$D$79</f>
        <v>22.017291674197072</v>
      </c>
      <c r="H79" s="3314">
        <f>+H74+H77+H78</f>
        <v>19.422062634884242</v>
      </c>
      <c r="I79" s="3315">
        <f t="shared" ref="I79:J79" si="223">+I62/I$5*1000</f>
        <v>22.019642499003908</v>
      </c>
      <c r="J79" s="3316">
        <f t="shared" si="223"/>
        <v>19.981607454390545</v>
      </c>
      <c r="K79" s="3314">
        <f>+$D$79</f>
        <v>22.017291674197072</v>
      </c>
      <c r="L79" s="3314">
        <f>+L74+L77+L78</f>
        <v>19.733599832082785</v>
      </c>
      <c r="M79" s="3318">
        <f t="shared" si="133"/>
        <v>22.018867125157861</v>
      </c>
      <c r="N79" s="3318">
        <f t="shared" si="133"/>
        <v>19.893743514512209</v>
      </c>
      <c r="O79" s="3314">
        <f>+$D$79</f>
        <v>22.017291674197072</v>
      </c>
      <c r="P79" s="3314">
        <f>+P74+P77+P78</f>
        <v>20.120862507514435</v>
      </c>
      <c r="Q79" s="3058">
        <f t="shared" ref="Q79:R79" si="224">+Q62/Q$5*1000</f>
        <v>22.018472874528417</v>
      </c>
      <c r="R79" s="3058">
        <f t="shared" si="224"/>
        <v>19.954977449395336</v>
      </c>
      <c r="S79" s="3314">
        <f>+$D$79</f>
        <v>22.017291674197072</v>
      </c>
      <c r="T79" s="3314">
        <f>+T74+T77+T78</f>
        <v>19.080825878805143</v>
      </c>
      <c r="U79" s="3058">
        <f t="shared" ref="U79:V79" si="225">+U62/U$5*1000</f>
        <v>22.018236448373084</v>
      </c>
      <c r="V79" s="3058">
        <f t="shared" si="225"/>
        <v>19.778702387569535</v>
      </c>
      <c r="W79" s="3314">
        <f>+$D$79</f>
        <v>22.017291674197072</v>
      </c>
      <c r="X79" s="3314">
        <f>+X74+X77+X78</f>
        <v>17.25443537615287</v>
      </c>
      <c r="Y79" s="3318">
        <f t="shared" ref="Y79:Z79" si="226">+Y62/Y$5*1000</f>
        <v>22.017291674197072</v>
      </c>
      <c r="Z79" s="3318">
        <f t="shared" si="226"/>
        <v>18.871242154982866</v>
      </c>
      <c r="AA79" s="3320">
        <f t="shared" ref="AA79" si="227">+AA62/AA$5*1000</f>
        <v>22.018146641454045</v>
      </c>
      <c r="AB79" s="3320">
        <f t="shared" ref="AB79" si="228">+AB62/AB$5*1000</f>
        <v>19.371207236902968</v>
      </c>
      <c r="AC79" s="3314">
        <f>+$D$79</f>
        <v>22.017291674197072</v>
      </c>
      <c r="AD79" s="3314">
        <f>+AD74+AD77+AD78</f>
        <v>17.868172950298188</v>
      </c>
      <c r="AE79" s="3058">
        <f t="shared" ref="AE79:AF79" si="229">+AE62/AE$5*1000</f>
        <v>22.018013351032383</v>
      </c>
      <c r="AF79" s="3058">
        <f t="shared" si="229"/>
        <v>19.201217083858491</v>
      </c>
      <c r="AG79" s="3317">
        <f>+$D$79</f>
        <v>22.017291674197072</v>
      </c>
      <c r="AH79" s="3317">
        <f>+AH74+AH77+AH78</f>
        <v>16.204676524112138</v>
      </c>
      <c r="AI79" s="3058">
        <f t="shared" ref="AI79:AJ79" si="230">+AI62/AI$5*1000</f>
        <v>22.017918626350149</v>
      </c>
      <c r="AJ79" s="3058">
        <f t="shared" si="230"/>
        <v>18.822088872595366</v>
      </c>
      <c r="AK79" s="3317">
        <f>+$D$79</f>
        <v>22.017291674197072</v>
      </c>
      <c r="AL79" s="3317">
        <f>+AL74+AL77+AL78</f>
        <v>17.496312808658001</v>
      </c>
      <c r="AM79" s="3318">
        <f t="shared" ref="AM79:AP79" si="231">+AM62/AM$5*1000</f>
        <v>22.017291674197068</v>
      </c>
      <c r="AN79" s="3318">
        <f t="shared" si="231"/>
        <v>17.138980636573425</v>
      </c>
      <c r="AO79" s="3058">
        <f t="shared" si="231"/>
        <v>22.017843841780547</v>
      </c>
      <c r="AP79" s="3058">
        <f t="shared" si="231"/>
        <v>18.670398523660968</v>
      </c>
      <c r="AQ79" s="3317">
        <f>+$D$79</f>
        <v>22.017291674197072</v>
      </c>
      <c r="AR79" s="3317">
        <f>+AR74+AR77+AR78</f>
        <v>17.201688526305364</v>
      </c>
      <c r="AS79" s="3058">
        <f t="shared" ref="AS79:AT79" si="232">+AS62/AS$5*1000</f>
        <v>22.017784186594749</v>
      </c>
      <c r="AT79" s="3058">
        <f t="shared" si="232"/>
        <v>18.523265023895636</v>
      </c>
      <c r="AU79" s="3317">
        <f>+$D$79</f>
        <v>22.017291674197072</v>
      </c>
      <c r="AV79" s="3317">
        <f>+AV74+AV77+AV78</f>
        <v>16.786176040721198</v>
      </c>
      <c r="AW79" s="3058">
        <f t="shared" ref="AW79:AX79" si="233">+AW62/AW$5*1000</f>
        <v>22.017740825363187</v>
      </c>
      <c r="AX79" s="3058">
        <f t="shared" si="233"/>
        <v>18.392693021334026</v>
      </c>
      <c r="AY79" s="3317">
        <f>+$D$79</f>
        <v>22.017291674197072</v>
      </c>
      <c r="AZ79" s="3317">
        <f>+AZ74+AZ77+AZ78</f>
        <v>17.903336491323262</v>
      </c>
      <c r="BA79" s="3318">
        <f t="shared" ref="BA79:BB79" si="234">+BA62/BA$5*1000</f>
        <v>22.017291674197072</v>
      </c>
      <c r="BB79" s="3318">
        <f t="shared" si="234"/>
        <v>17.342903822846601</v>
      </c>
      <c r="BC79" s="3320">
        <f t="shared" si="192"/>
        <v>22.017291674197072</v>
      </c>
      <c r="BD79" s="3320">
        <f t="shared" si="192"/>
        <v>17.241825198805891</v>
      </c>
      <c r="BE79" s="3058">
        <f t="shared" ref="BE79:BF79" si="235">+BE62/BE$5*1000</f>
        <v>22.017700541168193</v>
      </c>
      <c r="BF79" s="105">
        <f t="shared" si="235"/>
        <v>18.349011863703755</v>
      </c>
      <c r="BG79" s="2446">
        <f t="shared" si="144"/>
        <v>22.017291674197072</v>
      </c>
      <c r="BH79" s="2446">
        <f t="shared" si="145"/>
        <v>17.342903822846601</v>
      </c>
      <c r="BI79" s="2446">
        <f t="shared" si="146"/>
        <v>22.017291674197072</v>
      </c>
      <c r="BJ79" s="2446">
        <f t="shared" si="147"/>
        <v>17.241825198805891</v>
      </c>
      <c r="BK79" s="2446">
        <f t="shared" si="148"/>
        <v>22.017700541168193</v>
      </c>
      <c r="BL79" s="2446">
        <f t="shared" si="149"/>
        <v>18.349011863703755</v>
      </c>
      <c r="BM79" s="3564"/>
      <c r="BN79" s="3564">
        <f t="shared" si="150"/>
        <v>0</v>
      </c>
      <c r="BO79" s="3564">
        <f t="shared" si="151"/>
        <v>0</v>
      </c>
      <c r="BP79" s="3564">
        <f t="shared" si="152"/>
        <v>0</v>
      </c>
      <c r="BQ79" s="3564">
        <f t="shared" si="153"/>
        <v>0</v>
      </c>
      <c r="BR79" s="3564">
        <f t="shared" si="154"/>
        <v>0</v>
      </c>
      <c r="BS79" s="3564">
        <f t="shared" si="155"/>
        <v>0</v>
      </c>
    </row>
    <row r="80" spans="1:71" ht="13.8" x14ac:dyDescent="0.25">
      <c r="B80" s="8" t="s">
        <v>86</v>
      </c>
      <c r="C80" s="2803" t="s">
        <v>271</v>
      </c>
      <c r="D80" s="1333">
        <v>1.9952000000000001</v>
      </c>
      <c r="E80" s="2795">
        <v>1.9952000000000001</v>
      </c>
      <c r="F80" s="2795">
        <f t="shared" ref="F80:H87" si="236">+F63/F$49*1000</f>
        <v>1.024057773861669</v>
      </c>
      <c r="G80" s="2795">
        <v>1.9952000000000001</v>
      </c>
      <c r="H80" s="2795">
        <f t="shared" si="236"/>
        <v>1.1832414137875515</v>
      </c>
      <c r="I80" s="3058">
        <f t="shared" ref="I80:I87" si="237">+I63/I$47*1000</f>
        <v>1.9951999999999952</v>
      </c>
      <c r="J80" s="2806">
        <f t="shared" ref="J80:J87" si="238">+J63/J$49*1000</f>
        <v>1.108963133670156</v>
      </c>
      <c r="K80" s="2795">
        <v>1.9952000000000001</v>
      </c>
      <c r="L80" s="2795">
        <f t="shared" ref="L80" si="239">+L63/L$49*1000</f>
        <v>1.0453750267505104</v>
      </c>
      <c r="M80" s="3304">
        <f t="shared" ref="M80:M87" si="240">+M63/M$47*1000</f>
        <v>1.995199999999997</v>
      </c>
      <c r="N80" s="3304">
        <f t="shared" ref="N80:N87" si="241">+N63/N$49*1000</f>
        <v>1.0864329527441543</v>
      </c>
      <c r="O80" s="2795">
        <v>1.9952000000000001</v>
      </c>
      <c r="P80" s="2795">
        <f t="shared" ref="P80:P87" si="242">+P63/P$49*1000</f>
        <v>1.0131600821708306</v>
      </c>
      <c r="Q80" s="3058">
        <f t="shared" ref="Q80:Q87" si="243">+Q63/Q$47*1000</f>
        <v>1.995199999999997</v>
      </c>
      <c r="R80" s="3058">
        <f t="shared" ref="R80:R87" si="244">+R63/R$49*1000</f>
        <v>1.0666762927957225</v>
      </c>
      <c r="S80" s="2795">
        <v>1.9952000000000001</v>
      </c>
      <c r="T80" s="2795">
        <f t="shared" ref="T80:T87" si="245">+T63/T$49*1000</f>
        <v>1.1236343266330922</v>
      </c>
      <c r="U80" s="3058">
        <f t="shared" ref="U80:U87" si="246">+U63/U$47*1000</f>
        <v>1.9951999999999965</v>
      </c>
      <c r="V80" s="3058">
        <f t="shared" ref="V80:V87" si="247">+V63/V$49*1000</f>
        <v>1.0781618092174645</v>
      </c>
      <c r="W80" s="2795">
        <v>1.9952000000000001</v>
      </c>
      <c r="X80" s="2795">
        <f t="shared" ref="X80:X87" si="248">+X63/X$49*1000</f>
        <v>1.3026424023988017</v>
      </c>
      <c r="Y80" s="3304">
        <f t="shared" ref="Y80:Y87" si="249">+Y63/Y$47*1000</f>
        <v>1.9951999999999985</v>
      </c>
      <c r="Z80" s="3304">
        <f t="shared" ref="Z80:Z87" si="250">+Z63/Z$49*1000</f>
        <v>1.1411580000717976</v>
      </c>
      <c r="AA80" s="3305">
        <f t="shared" ref="AA80:AA87" si="251">+AA63/AA$47*1000</f>
        <v>1.9951999999999979</v>
      </c>
      <c r="AB80" s="3305">
        <f t="shared" ref="AB80:AB87" si="252">+AB63/AB$49*1000</f>
        <v>1.1143994751363491</v>
      </c>
      <c r="AC80" s="2795">
        <v>1.9952000000000001</v>
      </c>
      <c r="AD80" s="2795">
        <f t="shared" ref="AD80:AD87" si="253">+AD63/AD$49*1000</f>
        <v>1.1690762751678545</v>
      </c>
      <c r="AE80" s="3058">
        <f t="shared" ref="AE80:AE87" si="254">+AE63/AE$47*1000</f>
        <v>1.9951999975749524</v>
      </c>
      <c r="AF80" s="3058">
        <f t="shared" ref="AF80:AF87" si="255">+AF63/AF$49*1000</f>
        <v>1.1205834511655284</v>
      </c>
      <c r="AG80" s="2794">
        <v>1.9952000000000001</v>
      </c>
      <c r="AH80" s="2794">
        <f t="shared" ref="AH80:AH87" si="256">+AH63/AH$49*1000</f>
        <v>1.1982484657517714</v>
      </c>
      <c r="AI80" s="3058">
        <f t="shared" ref="AI80:AI87" si="257">+AI63/AI$47*1000</f>
        <v>1.9951999978932551</v>
      </c>
      <c r="AJ80" s="3058">
        <f t="shared" ref="AJ80:AJ87" si="258">+AJ63/AJ$49*1000</f>
        <v>1.1304096905168703</v>
      </c>
      <c r="AK80" s="2794">
        <v>1.9952000000000001</v>
      </c>
      <c r="AL80" s="2794">
        <f t="shared" ref="AL80:AL87" si="259">+AL63/AL$49*1000</f>
        <v>1.0987117636572432</v>
      </c>
      <c r="AM80" s="3304">
        <f t="shared" ref="AM80:AM87" si="260">+AM63/AM$47*1000</f>
        <v>1.9951999947610743</v>
      </c>
      <c r="AN80" s="3304">
        <f t="shared" ref="AN80:AN87" si="261">+AN63/AN$49*1000</f>
        <v>1.1538431514137362</v>
      </c>
      <c r="AO80" s="3058">
        <f t="shared" ref="AO80:AO87" si="262">+AO63/AO$47*1000</f>
        <v>1.9951999981445532</v>
      </c>
      <c r="AP80" s="3058">
        <f t="shared" ref="AP80:AP87" si="263">+AP63/AP$49*1000</f>
        <v>1.1267828476447668</v>
      </c>
      <c r="AQ80" s="2794">
        <v>1.9952000000000001</v>
      </c>
      <c r="AR80" s="2794">
        <f t="shared" ref="AR80:AR87" si="264">+AR63/AR$49*1000</f>
        <v>1.256317875697585</v>
      </c>
      <c r="AS80" s="3058">
        <f t="shared" ref="AS80:AS87" si="265">+AS63/AS$47*1000</f>
        <v>1.9951999983450122</v>
      </c>
      <c r="AT80" s="3058">
        <f t="shared" ref="AT80:AT87" si="266">+AT63/AT$49*1000</f>
        <v>1.1397597776485722</v>
      </c>
      <c r="AU80" s="2794">
        <v>1.9952000000000001</v>
      </c>
      <c r="AV80" s="2794">
        <f t="shared" ref="AV80:AV87" si="267">+AV63/AV$49*1000</f>
        <v>1.2863740504411048</v>
      </c>
      <c r="AW80" s="3058">
        <f t="shared" ref="AW80:AW87" si="268">+AW63/AW$47*1000</f>
        <v>1.9951999984907189</v>
      </c>
      <c r="AX80" s="3058">
        <f t="shared" ref="AX80:AX87" si="269">+AX63/AX$49*1000</f>
        <v>1.1507804603238849</v>
      </c>
      <c r="AY80" s="2794">
        <v>1.9952000000000001</v>
      </c>
      <c r="AZ80" s="2794">
        <f t="shared" ref="AZ80:AZ87" si="270">+AZ63/AZ$49*1000</f>
        <v>1.1606701128896768</v>
      </c>
      <c r="BA80" s="3304">
        <f t="shared" ref="BA80:BA87" si="271">+BA63/BA$47*1000</f>
        <v>1.9952000000000003</v>
      </c>
      <c r="BB80" s="3304">
        <f t="shared" ref="BB80:BB87" si="272">+BB63/BB$49*1000</f>
        <v>1.2295517294344289</v>
      </c>
      <c r="BC80" s="3305">
        <f t="shared" ref="BC80:BC87" si="273">+BC63/BC$47*1000</f>
        <v>1.9951999973668462</v>
      </c>
      <c r="BD80" s="3305">
        <f t="shared" ref="BD80:BD87" si="274">+BD63/BD$49*1000</f>
        <v>1.1920252562287772</v>
      </c>
      <c r="BE80" s="3058">
        <f t="shared" ref="BE80:BE87" si="275">+BE63/BE$47*1000</f>
        <v>1.9951999986260855</v>
      </c>
      <c r="BF80" s="105">
        <f t="shared" ref="BF80:BF87" si="276">+BF63/BF$49*1000</f>
        <v>1.15166322796369</v>
      </c>
      <c r="BG80" s="2446"/>
      <c r="BH80" s="2446"/>
      <c r="BI80" s="2445"/>
      <c r="BJ80" s="2445"/>
      <c r="BK80" s="3564"/>
      <c r="BL80" s="2445"/>
      <c r="BM80" s="3564"/>
      <c r="BN80" s="3564"/>
    </row>
    <row r="81" spans="1:66" ht="13.8" x14ac:dyDescent="0.25">
      <c r="B81" s="734" t="s">
        <v>842</v>
      </c>
      <c r="C81" s="2803" t="s">
        <v>271</v>
      </c>
      <c r="D81" s="1333">
        <v>0.67234373964268945</v>
      </c>
      <c r="E81" s="2795">
        <v>0.66167130934218188</v>
      </c>
      <c r="F81" s="2795">
        <f t="shared" si="236"/>
        <v>0.66683067692585773</v>
      </c>
      <c r="G81" s="2795">
        <v>0.67234373964268945</v>
      </c>
      <c r="H81" s="2795">
        <f t="shared" si="236"/>
        <v>0.67833117321344272</v>
      </c>
      <c r="I81" s="2873">
        <f t="shared" si="237"/>
        <v>0.66709119701537012</v>
      </c>
      <c r="J81" s="2806">
        <f t="shared" si="238"/>
        <v>0.67296481090927585</v>
      </c>
      <c r="K81" s="2795">
        <v>0.67234373964268945</v>
      </c>
      <c r="L81" s="2795">
        <f t="shared" ref="L81" si="277">+L64/L$49*1000</f>
        <v>0.58816208283067017</v>
      </c>
      <c r="M81" s="3322">
        <f t="shared" si="240"/>
        <v>0.6688236460548026</v>
      </c>
      <c r="N81" s="3322">
        <f t="shared" si="241"/>
        <v>0.64291798455786542</v>
      </c>
      <c r="O81" s="2795">
        <v>0.67234373964268945</v>
      </c>
      <c r="P81" s="2795">
        <f t="shared" si="242"/>
        <v>0.53922981462836794</v>
      </c>
      <c r="Q81" s="2873">
        <f t="shared" si="243"/>
        <v>0.66970453612835157</v>
      </c>
      <c r="R81" s="2873">
        <f t="shared" si="244"/>
        <v>0.61496040765466031</v>
      </c>
      <c r="S81" s="2795">
        <v>0.67234373964268945</v>
      </c>
      <c r="T81" s="2795">
        <f t="shared" si="245"/>
        <v>0.58985752106319866</v>
      </c>
      <c r="U81" s="2873">
        <f t="shared" si="246"/>
        <v>0.67023279261751501</v>
      </c>
      <c r="V81" s="2873">
        <f t="shared" si="247"/>
        <v>0.60989844190980014</v>
      </c>
      <c r="W81" s="2795">
        <v>0.67234373964268945</v>
      </c>
      <c r="X81" s="2795">
        <f t="shared" si="248"/>
        <v>0.53514577692590504</v>
      </c>
      <c r="Y81" s="3322">
        <f t="shared" si="249"/>
        <v>0.67234373964268901</v>
      </c>
      <c r="Z81" s="3322">
        <f t="shared" si="250"/>
        <v>0.55469190836680882</v>
      </c>
      <c r="AA81" s="3323">
        <f t="shared" si="251"/>
        <v>0.67043345183682379</v>
      </c>
      <c r="AB81" s="3323">
        <f t="shared" si="252"/>
        <v>0.59783119786949013</v>
      </c>
      <c r="AC81" s="2795">
        <v>0.67234373964268945</v>
      </c>
      <c r="AD81" s="2795">
        <f t="shared" si="253"/>
        <v>0.6358100842008354</v>
      </c>
      <c r="AE81" s="2873">
        <f t="shared" si="254"/>
        <v>0.67073126718362885</v>
      </c>
      <c r="AF81" s="2873">
        <f t="shared" si="255"/>
        <v>0.60212663071399886</v>
      </c>
      <c r="AG81" s="2794">
        <v>0.67234373964268945</v>
      </c>
      <c r="AH81" s="2794">
        <f t="shared" si="256"/>
        <v>0.51033620019725356</v>
      </c>
      <c r="AI81" s="2873">
        <f t="shared" si="257"/>
        <v>0.67094291446626253</v>
      </c>
      <c r="AJ81" s="2873">
        <f t="shared" si="258"/>
        <v>0.59051323251629828</v>
      </c>
      <c r="AK81" s="2794">
        <v>0.67234373964268945</v>
      </c>
      <c r="AL81" s="2794">
        <f t="shared" si="259"/>
        <v>0.56638058061305818</v>
      </c>
      <c r="AM81" s="3322">
        <f t="shared" si="260"/>
        <v>0.67234373787727297</v>
      </c>
      <c r="AN81" s="3322">
        <f t="shared" si="261"/>
        <v>0.56572680906666939</v>
      </c>
      <c r="AO81" s="2873">
        <f t="shared" si="262"/>
        <v>0.67111000872903182</v>
      </c>
      <c r="AP81" s="2873">
        <f t="shared" si="263"/>
        <v>0.58775200030928909</v>
      </c>
      <c r="AQ81" s="2794">
        <v>0.67234373964268945</v>
      </c>
      <c r="AR81" s="2794">
        <f t="shared" si="264"/>
        <v>0.55028915482387897</v>
      </c>
      <c r="AS81" s="2873">
        <f t="shared" si="265"/>
        <v>0.67124329878266675</v>
      </c>
      <c r="AT81" s="3058">
        <f t="shared" si="266"/>
        <v>0.58399894037704192</v>
      </c>
      <c r="AU81" s="2794">
        <v>0.67234373964268945</v>
      </c>
      <c r="AV81" s="2794">
        <f t="shared" si="267"/>
        <v>0.59882874021227428</v>
      </c>
      <c r="AW81" s="2873">
        <f t="shared" si="268"/>
        <v>0.67134018257917116</v>
      </c>
      <c r="AX81" s="3058">
        <f t="shared" si="269"/>
        <v>0.58511366485106209</v>
      </c>
      <c r="AY81" s="2794">
        <v>0.67234373964268945</v>
      </c>
      <c r="AZ81" s="2794">
        <f t="shared" si="270"/>
        <v>0.62563849810116434</v>
      </c>
      <c r="BA81" s="3322">
        <f t="shared" si="271"/>
        <v>0.67234373964268945</v>
      </c>
      <c r="BB81" s="3322">
        <f t="shared" si="272"/>
        <v>0.59179570337007192</v>
      </c>
      <c r="BC81" s="3323">
        <f t="shared" si="273"/>
        <v>0.67234373875536757</v>
      </c>
      <c r="BD81" s="3323">
        <f t="shared" si="274"/>
        <v>0.57887413372560936</v>
      </c>
      <c r="BE81" s="2873">
        <f t="shared" si="275"/>
        <v>0.67143019122538283</v>
      </c>
      <c r="BF81" s="105">
        <f t="shared" si="276"/>
        <v>0.5887309821596024</v>
      </c>
      <c r="BG81" s="2446"/>
      <c r="BH81" s="2446"/>
      <c r="BI81" s="2445"/>
      <c r="BJ81" s="2445"/>
      <c r="BK81" s="3564"/>
      <c r="BL81" s="2445"/>
      <c r="BM81" s="3564"/>
      <c r="BN81" s="3564"/>
    </row>
    <row r="82" spans="1:66" ht="13.8" x14ac:dyDescent="0.25">
      <c r="B82" s="8" t="s">
        <v>129</v>
      </c>
      <c r="C82" s="2803" t="s">
        <v>271</v>
      </c>
      <c r="D82" s="1333">
        <v>24</v>
      </c>
      <c r="E82" s="2795">
        <v>24</v>
      </c>
      <c r="F82" s="2795">
        <f t="shared" si="236"/>
        <v>24.433965349266252</v>
      </c>
      <c r="G82" s="2795">
        <v>24</v>
      </c>
      <c r="H82" s="2795">
        <f t="shared" si="236"/>
        <v>23.098254254069818</v>
      </c>
      <c r="I82" s="3058">
        <f t="shared" si="237"/>
        <v>23.99999999999994</v>
      </c>
      <c r="J82" s="105">
        <f t="shared" si="238"/>
        <v>23.721523849683475</v>
      </c>
      <c r="K82" s="2795">
        <v>24</v>
      </c>
      <c r="L82" s="2794">
        <f t="shared" ref="L82" si="278">+L65/L$49*1000</f>
        <v>22.060477307146794</v>
      </c>
      <c r="M82" s="2539">
        <f t="shared" si="240"/>
        <v>23.999999999999957</v>
      </c>
      <c r="N82" s="3304">
        <f t="shared" si="241"/>
        <v>23.13299116735103</v>
      </c>
      <c r="O82" s="2795">
        <v>24</v>
      </c>
      <c r="P82" s="2794">
        <f t="shared" si="242"/>
        <v>21.28556689598382</v>
      </c>
      <c r="Q82" s="3058">
        <f t="shared" si="243"/>
        <v>23.999999999999957</v>
      </c>
      <c r="R82" s="3058">
        <f t="shared" si="244"/>
        <v>22.634867744257388</v>
      </c>
      <c r="S82" s="2795">
        <v>24</v>
      </c>
      <c r="T82" s="2794">
        <f t="shared" si="245"/>
        <v>20.490225244073791</v>
      </c>
      <c r="U82" s="3058">
        <f t="shared" si="246"/>
        <v>23.999999999999957</v>
      </c>
      <c r="V82" s="3058">
        <f t="shared" si="247"/>
        <v>22.202403261284601</v>
      </c>
      <c r="W82" s="2795">
        <v>24</v>
      </c>
      <c r="X82" s="2794">
        <f t="shared" si="248"/>
        <v>21.489120842013946</v>
      </c>
      <c r="Y82" s="3304">
        <f t="shared" si="249"/>
        <v>23.999999999999986</v>
      </c>
      <c r="Z82" s="3304">
        <f t="shared" si="250"/>
        <v>21.086696286737315</v>
      </c>
      <c r="AA82" s="3305">
        <f t="shared" si="251"/>
        <v>23.999999999999972</v>
      </c>
      <c r="AB82" s="3305">
        <f t="shared" si="252"/>
        <v>22.087258830984272</v>
      </c>
      <c r="AC82" s="2795">
        <v>24</v>
      </c>
      <c r="AD82" s="2794">
        <f t="shared" si="253"/>
        <v>20.556769367366794</v>
      </c>
      <c r="AE82" s="3058">
        <f t="shared" si="254"/>
        <v>23.999999970829418</v>
      </c>
      <c r="AF82" s="3058">
        <f t="shared" si="255"/>
        <v>21.914159634424337</v>
      </c>
      <c r="AG82" s="2794">
        <v>24</v>
      </c>
      <c r="AH82" s="2794">
        <f t="shared" si="256"/>
        <v>16.687095713690947</v>
      </c>
      <c r="AI82" s="3058">
        <f t="shared" si="257"/>
        <v>23.999999974658234</v>
      </c>
      <c r="AJ82" s="3058">
        <f t="shared" si="258"/>
        <v>21.252827354201116</v>
      </c>
      <c r="AK82" s="2794">
        <v>24</v>
      </c>
      <c r="AL82" s="2794">
        <f t="shared" si="259"/>
        <v>0</v>
      </c>
      <c r="AM82" s="3304">
        <f t="shared" si="260"/>
        <v>23.999999936981641</v>
      </c>
      <c r="AN82" s="3304">
        <f t="shared" si="261"/>
        <v>11.683853072287775</v>
      </c>
      <c r="AO82" s="3058">
        <f t="shared" si="262"/>
        <v>23.999999977681064</v>
      </c>
      <c r="AP82" s="3058">
        <f t="shared" si="263"/>
        <v>18.821101590463261</v>
      </c>
      <c r="AQ82" s="2794">
        <v>24</v>
      </c>
      <c r="AR82" s="2794">
        <f t="shared" si="264"/>
        <v>12.219798359446182</v>
      </c>
      <c r="AS82" s="3058">
        <f t="shared" si="265"/>
        <v>23.999999980092365</v>
      </c>
      <c r="AT82" s="3058">
        <f t="shared" si="266"/>
        <v>18.159777381478854</v>
      </c>
      <c r="AU82" s="2794">
        <v>24</v>
      </c>
      <c r="AV82" s="2794">
        <f t="shared" si="267"/>
        <v>22.98312628566465</v>
      </c>
      <c r="AW82" s="3058">
        <f t="shared" si="268"/>
        <v>23.99999998184505</v>
      </c>
      <c r="AX82" s="3058">
        <f t="shared" si="269"/>
        <v>18.522338247436071</v>
      </c>
      <c r="AY82" s="2794">
        <v>24</v>
      </c>
      <c r="AZ82" s="2794">
        <f t="shared" si="270"/>
        <v>19.915818254812269</v>
      </c>
      <c r="BA82" s="3304">
        <f t="shared" si="271"/>
        <v>24</v>
      </c>
      <c r="BB82" s="3304">
        <f t="shared" si="272"/>
        <v>18.10082629849909</v>
      </c>
      <c r="BC82" s="3305">
        <f t="shared" si="273"/>
        <v>23.999999968326136</v>
      </c>
      <c r="BD82" s="3305">
        <f t="shared" si="274"/>
        <v>14.920124981285243</v>
      </c>
      <c r="BE82" s="3058">
        <f t="shared" si="275"/>
        <v>23.999999983473362</v>
      </c>
      <c r="BF82" s="105">
        <f t="shared" si="276"/>
        <v>18.646722703719409</v>
      </c>
      <c r="BG82" s="2446"/>
      <c r="BH82" s="2446"/>
      <c r="BI82" s="2445"/>
      <c r="BJ82" s="2445"/>
      <c r="BK82" s="3564"/>
      <c r="BL82" s="2445"/>
      <c r="BM82" s="3564"/>
      <c r="BN82" s="3564"/>
    </row>
    <row r="83" spans="1:66" ht="13.8" x14ac:dyDescent="0.25">
      <c r="B83" s="8" t="s">
        <v>544</v>
      </c>
      <c r="C83" s="2803" t="s">
        <v>271</v>
      </c>
      <c r="D83" s="1110">
        <v>0</v>
      </c>
      <c r="E83" s="2537">
        <v>0</v>
      </c>
      <c r="F83" s="2537">
        <f t="shared" si="236"/>
        <v>0</v>
      </c>
      <c r="G83" s="2537">
        <v>0</v>
      </c>
      <c r="H83" s="2537">
        <f t="shared" si="236"/>
        <v>0</v>
      </c>
      <c r="I83" s="2538">
        <f t="shared" si="237"/>
        <v>0</v>
      </c>
      <c r="J83" s="38">
        <f t="shared" si="238"/>
        <v>0</v>
      </c>
      <c r="K83" s="2537">
        <v>0</v>
      </c>
      <c r="L83" s="2537">
        <f t="shared" ref="L83" si="279">+L66/L$49*1000</f>
        <v>0</v>
      </c>
      <c r="M83" s="3304">
        <f t="shared" si="240"/>
        <v>0</v>
      </c>
      <c r="N83" s="3304">
        <f t="shared" si="241"/>
        <v>0</v>
      </c>
      <c r="O83" s="2537">
        <v>0</v>
      </c>
      <c r="P83" s="2537">
        <f t="shared" si="242"/>
        <v>0</v>
      </c>
      <c r="Q83" s="3058">
        <f t="shared" si="243"/>
        <v>0</v>
      </c>
      <c r="R83" s="3058">
        <f t="shared" si="244"/>
        <v>0</v>
      </c>
      <c r="S83" s="2537">
        <v>0</v>
      </c>
      <c r="T83" s="2537">
        <f t="shared" si="245"/>
        <v>0</v>
      </c>
      <c r="U83" s="3058">
        <f t="shared" si="246"/>
        <v>0</v>
      </c>
      <c r="V83" s="3058">
        <f t="shared" si="247"/>
        <v>0</v>
      </c>
      <c r="W83" s="2537">
        <v>0</v>
      </c>
      <c r="X83" s="2537">
        <f t="shared" si="248"/>
        <v>0</v>
      </c>
      <c r="Y83" s="3304">
        <f t="shared" si="249"/>
        <v>0</v>
      </c>
      <c r="Z83" s="3304">
        <f t="shared" si="250"/>
        <v>0</v>
      </c>
      <c r="AA83" s="3305">
        <f t="shared" si="251"/>
        <v>0</v>
      </c>
      <c r="AB83" s="3305">
        <f t="shared" si="252"/>
        <v>0</v>
      </c>
      <c r="AC83" s="2537">
        <v>0</v>
      </c>
      <c r="AD83" s="2537">
        <f t="shared" si="253"/>
        <v>0</v>
      </c>
      <c r="AE83" s="3058">
        <f t="shared" si="254"/>
        <v>0</v>
      </c>
      <c r="AF83" s="3058">
        <f t="shared" si="255"/>
        <v>0</v>
      </c>
      <c r="AG83" s="2794">
        <v>0</v>
      </c>
      <c r="AH83" s="2794">
        <f t="shared" si="256"/>
        <v>0</v>
      </c>
      <c r="AI83" s="3058">
        <f t="shared" si="257"/>
        <v>0</v>
      </c>
      <c r="AJ83" s="3058">
        <f t="shared" si="258"/>
        <v>0</v>
      </c>
      <c r="AK83" s="2794">
        <v>0</v>
      </c>
      <c r="AL83" s="2794">
        <f t="shared" si="259"/>
        <v>0</v>
      </c>
      <c r="AM83" s="3304">
        <f t="shared" si="260"/>
        <v>0</v>
      </c>
      <c r="AN83" s="3304">
        <f t="shared" si="261"/>
        <v>0</v>
      </c>
      <c r="AO83" s="3058">
        <f t="shared" si="262"/>
        <v>0</v>
      </c>
      <c r="AP83" s="3058">
        <f t="shared" si="263"/>
        <v>0</v>
      </c>
      <c r="AQ83" s="2794">
        <v>0</v>
      </c>
      <c r="AR83" s="2794">
        <f t="shared" si="264"/>
        <v>0</v>
      </c>
      <c r="AS83" s="3058">
        <f t="shared" si="265"/>
        <v>0</v>
      </c>
      <c r="AT83" s="3058">
        <f t="shared" si="266"/>
        <v>0</v>
      </c>
      <c r="AU83" s="2794">
        <v>0</v>
      </c>
      <c r="AV83" s="2794">
        <f t="shared" si="267"/>
        <v>0</v>
      </c>
      <c r="AW83" s="3058">
        <f t="shared" si="268"/>
        <v>0</v>
      </c>
      <c r="AX83" s="3058">
        <f t="shared" si="269"/>
        <v>0</v>
      </c>
      <c r="AY83" s="2794">
        <v>0</v>
      </c>
      <c r="AZ83" s="2794">
        <f t="shared" si="270"/>
        <v>0</v>
      </c>
      <c r="BA83" s="3304">
        <f t="shared" si="271"/>
        <v>0</v>
      </c>
      <c r="BB83" s="3304">
        <f t="shared" si="272"/>
        <v>0</v>
      </c>
      <c r="BC83" s="3305">
        <f t="shared" si="273"/>
        <v>0</v>
      </c>
      <c r="BD83" s="3305">
        <f t="shared" si="274"/>
        <v>0</v>
      </c>
      <c r="BE83" s="3058">
        <f t="shared" si="275"/>
        <v>0</v>
      </c>
      <c r="BF83" s="105">
        <f t="shared" si="276"/>
        <v>0</v>
      </c>
      <c r="BG83" s="2446"/>
      <c r="BH83" s="2446"/>
      <c r="BI83" s="2445"/>
      <c r="BJ83" s="2445"/>
      <c r="BK83" s="3564"/>
      <c r="BL83" s="2445"/>
      <c r="BM83" s="3564"/>
      <c r="BN83" s="3564"/>
    </row>
    <row r="84" spans="1:66" ht="13.8" x14ac:dyDescent="0.25">
      <c r="A84" s="4">
        <f>5021-2500</f>
        <v>2521</v>
      </c>
      <c r="B84" s="8" t="s">
        <v>130</v>
      </c>
      <c r="C84" s="2803" t="s">
        <v>271</v>
      </c>
      <c r="D84" s="1333">
        <v>6</v>
      </c>
      <c r="E84" s="2795">
        <v>6</v>
      </c>
      <c r="F84" s="2795">
        <f t="shared" si="236"/>
        <v>0</v>
      </c>
      <c r="G84" s="2795">
        <v>6</v>
      </c>
      <c r="H84" s="2795">
        <f t="shared" si="236"/>
        <v>0</v>
      </c>
      <c r="I84" s="3058">
        <f t="shared" si="237"/>
        <v>5.9999999999999849</v>
      </c>
      <c r="J84" s="105">
        <f t="shared" si="238"/>
        <v>0</v>
      </c>
      <c r="K84" s="2795">
        <v>6</v>
      </c>
      <c r="L84" s="2795">
        <f t="shared" ref="L84" si="280">+L67/L$49*1000</f>
        <v>0</v>
      </c>
      <c r="M84" s="3304">
        <f t="shared" si="240"/>
        <v>5.9999999999999893</v>
      </c>
      <c r="N84" s="3304">
        <f t="shared" si="241"/>
        <v>0</v>
      </c>
      <c r="O84" s="2795">
        <v>6</v>
      </c>
      <c r="P84" s="2795">
        <f t="shared" si="242"/>
        <v>0</v>
      </c>
      <c r="Q84" s="3058">
        <f t="shared" si="243"/>
        <v>5.9999999999999893</v>
      </c>
      <c r="R84" s="3058">
        <f t="shared" si="244"/>
        <v>0</v>
      </c>
      <c r="S84" s="2795">
        <v>6</v>
      </c>
      <c r="T84" s="2795">
        <f t="shared" si="245"/>
        <v>0</v>
      </c>
      <c r="U84" s="3058">
        <f t="shared" si="246"/>
        <v>5.9999999999999893</v>
      </c>
      <c r="V84" s="3058">
        <f t="shared" si="247"/>
        <v>0</v>
      </c>
      <c r="W84" s="2795">
        <v>6</v>
      </c>
      <c r="X84" s="2795">
        <f t="shared" si="248"/>
        <v>0</v>
      </c>
      <c r="Y84" s="3304">
        <f t="shared" si="249"/>
        <v>5.9999999999999964</v>
      </c>
      <c r="Z84" s="3304">
        <f t="shared" si="250"/>
        <v>0</v>
      </c>
      <c r="AA84" s="3305">
        <f t="shared" si="251"/>
        <v>5.9999999999999929</v>
      </c>
      <c r="AB84" s="3305">
        <f t="shared" si="252"/>
        <v>0</v>
      </c>
      <c r="AC84" s="2795">
        <v>6</v>
      </c>
      <c r="AD84" s="2795">
        <f t="shared" si="253"/>
        <v>0</v>
      </c>
      <c r="AE84" s="3058">
        <f t="shared" si="254"/>
        <v>5.9999999927073544</v>
      </c>
      <c r="AF84" s="3058">
        <f t="shared" si="255"/>
        <v>0</v>
      </c>
      <c r="AG84" s="2794">
        <v>6</v>
      </c>
      <c r="AH84" s="2794">
        <f t="shared" si="256"/>
        <v>3.7540557987273737</v>
      </c>
      <c r="AI84" s="3058">
        <f t="shared" si="257"/>
        <v>5.9999999936645585</v>
      </c>
      <c r="AJ84" s="3058">
        <f t="shared" si="258"/>
        <v>0.47496612230241203</v>
      </c>
      <c r="AK84" s="2794">
        <v>6</v>
      </c>
      <c r="AL84" s="2794">
        <f t="shared" si="259"/>
        <v>22.081115393408361</v>
      </c>
      <c r="AM84" s="3304">
        <f t="shared" si="260"/>
        <v>5.9999999842454104</v>
      </c>
      <c r="AN84" s="3304">
        <f t="shared" si="261"/>
        <v>9.387199811453943</v>
      </c>
      <c r="AO84" s="3058">
        <f t="shared" si="262"/>
        <v>5.999999994420266</v>
      </c>
      <c r="AP84" s="3058">
        <f t="shared" si="263"/>
        <v>2.9471186016913875</v>
      </c>
      <c r="AQ84" s="2794">
        <v>6</v>
      </c>
      <c r="AR84" s="2794">
        <f t="shared" si="264"/>
        <v>10.522523872012911</v>
      </c>
      <c r="AS84" s="3058">
        <f t="shared" si="265"/>
        <v>5.9999999950230913</v>
      </c>
      <c r="AT84" s="3058">
        <f t="shared" si="266"/>
        <v>3.7060291868910689</v>
      </c>
      <c r="AU84" s="2794">
        <v>6</v>
      </c>
      <c r="AV84" s="2794">
        <f t="shared" si="267"/>
        <v>0</v>
      </c>
      <c r="AW84" s="3058">
        <f t="shared" si="268"/>
        <v>5.9999999954612626</v>
      </c>
      <c r="AX84" s="3058">
        <f t="shared" si="269"/>
        <v>3.4274548647855503</v>
      </c>
      <c r="AY84" s="2794">
        <v>6</v>
      </c>
      <c r="AZ84" s="2794">
        <f t="shared" si="270"/>
        <v>0</v>
      </c>
      <c r="BA84" s="3304">
        <f t="shared" si="271"/>
        <v>6</v>
      </c>
      <c r="BB84" s="3304">
        <f t="shared" si="272"/>
        <v>3.6674631879548247</v>
      </c>
      <c r="BC84" s="3305">
        <f t="shared" si="273"/>
        <v>5.9999999920815341</v>
      </c>
      <c r="BD84" s="3305">
        <f t="shared" si="274"/>
        <v>6.5025652167693098</v>
      </c>
      <c r="BE84" s="3058">
        <f t="shared" si="275"/>
        <v>5.9999999958683405</v>
      </c>
      <c r="BF84" s="105">
        <f t="shared" si="276"/>
        <v>3.1215142646080443</v>
      </c>
      <c r="BG84" s="2446"/>
      <c r="BH84" s="2446"/>
      <c r="BI84" s="2445"/>
      <c r="BJ84" s="2445"/>
      <c r="BK84" s="3564"/>
      <c r="BL84" s="2445"/>
      <c r="BM84" s="3564"/>
      <c r="BN84" s="3564"/>
    </row>
    <row r="85" spans="1:66" ht="13.8" x14ac:dyDescent="0.25">
      <c r="B85" s="8" t="s">
        <v>1191</v>
      </c>
      <c r="C85" s="2803" t="s">
        <v>271</v>
      </c>
      <c r="D85" s="1110">
        <v>0</v>
      </c>
      <c r="E85" s="2537">
        <v>0</v>
      </c>
      <c r="F85" s="2537">
        <f t="shared" si="236"/>
        <v>0</v>
      </c>
      <c r="G85" s="2537">
        <v>0</v>
      </c>
      <c r="H85" s="2537">
        <f t="shared" si="236"/>
        <v>0</v>
      </c>
      <c r="I85" s="2538">
        <f t="shared" si="237"/>
        <v>0</v>
      </c>
      <c r="J85" s="38">
        <f t="shared" si="238"/>
        <v>0</v>
      </c>
      <c r="K85" s="2537">
        <v>0</v>
      </c>
      <c r="L85" s="2537">
        <f t="shared" ref="L85" si="281">+L68/L$49*1000</f>
        <v>0</v>
      </c>
      <c r="M85" s="3304">
        <f t="shared" si="240"/>
        <v>0</v>
      </c>
      <c r="N85" s="3304">
        <f t="shared" si="241"/>
        <v>0</v>
      </c>
      <c r="O85" s="2537">
        <v>0</v>
      </c>
      <c r="P85" s="2537">
        <f t="shared" si="242"/>
        <v>0</v>
      </c>
      <c r="Q85" s="3058">
        <f t="shared" si="243"/>
        <v>0</v>
      </c>
      <c r="R85" s="3058">
        <f t="shared" si="244"/>
        <v>0</v>
      </c>
      <c r="S85" s="2537">
        <v>0</v>
      </c>
      <c r="T85" s="2537">
        <f t="shared" si="245"/>
        <v>0</v>
      </c>
      <c r="U85" s="3058">
        <f t="shared" si="246"/>
        <v>0</v>
      </c>
      <c r="V85" s="3058">
        <f t="shared" si="247"/>
        <v>0</v>
      </c>
      <c r="W85" s="2537">
        <v>0</v>
      </c>
      <c r="X85" s="2537">
        <f t="shared" si="248"/>
        <v>0</v>
      </c>
      <c r="Y85" s="3304">
        <f t="shared" si="249"/>
        <v>0</v>
      </c>
      <c r="Z85" s="3304">
        <f t="shared" si="250"/>
        <v>0</v>
      </c>
      <c r="AA85" s="3305">
        <f t="shared" si="251"/>
        <v>0</v>
      </c>
      <c r="AB85" s="3305">
        <f t="shared" si="252"/>
        <v>0</v>
      </c>
      <c r="AC85" s="2537">
        <v>0</v>
      </c>
      <c r="AD85" s="2537">
        <f t="shared" si="253"/>
        <v>0</v>
      </c>
      <c r="AE85" s="3058">
        <f t="shared" si="254"/>
        <v>0</v>
      </c>
      <c r="AF85" s="3058">
        <f t="shared" si="255"/>
        <v>0</v>
      </c>
      <c r="AG85" s="2794">
        <v>0</v>
      </c>
      <c r="AH85" s="2794">
        <f t="shared" si="256"/>
        <v>0</v>
      </c>
      <c r="AI85" s="3058">
        <f t="shared" si="257"/>
        <v>0</v>
      </c>
      <c r="AJ85" s="3058">
        <f t="shared" si="258"/>
        <v>0</v>
      </c>
      <c r="AK85" s="2794">
        <v>0</v>
      </c>
      <c r="AL85" s="2794">
        <f t="shared" si="259"/>
        <v>0</v>
      </c>
      <c r="AM85" s="3304">
        <f t="shared" si="260"/>
        <v>0</v>
      </c>
      <c r="AN85" s="3304">
        <f t="shared" si="261"/>
        <v>0</v>
      </c>
      <c r="AO85" s="3058">
        <f t="shared" si="262"/>
        <v>0</v>
      </c>
      <c r="AP85" s="3058">
        <f t="shared" si="263"/>
        <v>0</v>
      </c>
      <c r="AQ85" s="2794">
        <v>0</v>
      </c>
      <c r="AR85" s="2794">
        <f t="shared" si="264"/>
        <v>0</v>
      </c>
      <c r="AS85" s="3058">
        <f t="shared" si="265"/>
        <v>0</v>
      </c>
      <c r="AT85" s="2873">
        <f t="shared" si="266"/>
        <v>0</v>
      </c>
      <c r="AU85" s="2794">
        <v>0</v>
      </c>
      <c r="AV85" s="2794">
        <f t="shared" si="267"/>
        <v>0</v>
      </c>
      <c r="AW85" s="3058">
        <f t="shared" si="268"/>
        <v>0</v>
      </c>
      <c r="AX85" s="3058">
        <f t="shared" si="269"/>
        <v>0</v>
      </c>
      <c r="AY85" s="2794">
        <v>0</v>
      </c>
      <c r="AZ85" s="2794">
        <f t="shared" si="270"/>
        <v>0</v>
      </c>
      <c r="BA85" s="3304">
        <f t="shared" si="271"/>
        <v>0</v>
      </c>
      <c r="BB85" s="3304">
        <f t="shared" si="272"/>
        <v>0</v>
      </c>
      <c r="BC85" s="3305">
        <f t="shared" si="273"/>
        <v>0</v>
      </c>
      <c r="BD85" s="3305">
        <f t="shared" si="274"/>
        <v>0</v>
      </c>
      <c r="BE85" s="3058">
        <f t="shared" si="275"/>
        <v>0</v>
      </c>
      <c r="BF85" s="105">
        <f t="shared" si="276"/>
        <v>0</v>
      </c>
      <c r="BG85" s="2446"/>
      <c r="BH85" s="2446"/>
      <c r="BI85" s="2445"/>
      <c r="BJ85" s="2445"/>
      <c r="BK85" s="3564"/>
      <c r="BL85" s="2445"/>
      <c r="BM85" s="3564"/>
      <c r="BN85" s="3564"/>
    </row>
    <row r="86" spans="1:66" ht="13.8" x14ac:dyDescent="0.25">
      <c r="B86" s="8" t="s">
        <v>131</v>
      </c>
      <c r="C86" s="2803" t="s">
        <v>271</v>
      </c>
      <c r="D86" s="1333">
        <v>14.999999999999995</v>
      </c>
      <c r="E86" s="2795">
        <v>14.999999999999995</v>
      </c>
      <c r="F86" s="2795">
        <f t="shared" si="236"/>
        <v>21.956668154609726</v>
      </c>
      <c r="G86" s="2795">
        <v>14.999999999999995</v>
      </c>
      <c r="H86" s="2795">
        <f t="shared" si="236"/>
        <v>18.056263974398039</v>
      </c>
      <c r="I86" s="3058">
        <f t="shared" si="237"/>
        <v>14.999999999999956</v>
      </c>
      <c r="J86" s="105">
        <f t="shared" si="238"/>
        <v>19.876270819345915</v>
      </c>
      <c r="K86" s="2795">
        <v>15</v>
      </c>
      <c r="L86" s="2794">
        <f t="shared" ref="L86" si="282">+L69/L$49*1000</f>
        <v>17.563121962199734</v>
      </c>
      <c r="M86" s="3304">
        <f t="shared" si="240"/>
        <v>14.999999999999972</v>
      </c>
      <c r="N86" s="3304">
        <f t="shared" si="241"/>
        <v>19.056688907178998</v>
      </c>
      <c r="O86" s="2795">
        <v>15</v>
      </c>
      <c r="P86" s="2794">
        <f t="shared" si="242"/>
        <v>13.605517803844243</v>
      </c>
      <c r="Q86" s="3058">
        <f t="shared" si="243"/>
        <v>14.999999999999972</v>
      </c>
      <c r="R86" s="3058">
        <f t="shared" si="244"/>
        <v>17.586882511351625</v>
      </c>
      <c r="S86" s="2795">
        <v>15</v>
      </c>
      <c r="T86" s="2794">
        <f t="shared" si="245"/>
        <v>7.2457580594776267</v>
      </c>
      <c r="U86" s="3058">
        <f t="shared" si="246"/>
        <v>14.999999999999973</v>
      </c>
      <c r="V86" s="3058">
        <f t="shared" si="247"/>
        <v>15.501607674611192</v>
      </c>
      <c r="W86" s="2795">
        <v>15</v>
      </c>
      <c r="X86" s="2794">
        <f t="shared" si="248"/>
        <v>3.8757468703520352</v>
      </c>
      <c r="Y86" s="3304">
        <f t="shared" si="249"/>
        <v>14.999999999999993</v>
      </c>
      <c r="Z86" s="3304">
        <f t="shared" si="250"/>
        <v>8.4276502625192542</v>
      </c>
      <c r="AA86" s="3305">
        <f t="shared" si="251"/>
        <v>14.999999999999982</v>
      </c>
      <c r="AB86" s="3305">
        <f t="shared" si="252"/>
        <v>13.624857199776706</v>
      </c>
      <c r="AC86" s="2795">
        <v>15</v>
      </c>
      <c r="AD86" s="2794">
        <f t="shared" si="253"/>
        <v>12.651135195384452</v>
      </c>
      <c r="AE86" s="3058">
        <f t="shared" si="254"/>
        <v>14.999999981768386</v>
      </c>
      <c r="AF86" s="3058">
        <f t="shared" si="255"/>
        <v>13.514728707787846</v>
      </c>
      <c r="AG86" s="2794">
        <v>15</v>
      </c>
      <c r="AH86" s="2794">
        <f t="shared" si="256"/>
        <v>17.705755056662994</v>
      </c>
      <c r="AI86" s="3058">
        <f t="shared" si="257"/>
        <v>14.999999984161398</v>
      </c>
      <c r="AJ86" s="3058">
        <f t="shared" si="258"/>
        <v>14.044980691273887</v>
      </c>
      <c r="AK86" s="2794">
        <v>15</v>
      </c>
      <c r="AL86" s="2794">
        <f t="shared" si="259"/>
        <v>16.219972420841337</v>
      </c>
      <c r="AM86" s="3304">
        <f t="shared" si="260"/>
        <v>14.999999960613527</v>
      </c>
      <c r="AN86" s="3304">
        <f t="shared" si="261"/>
        <v>15.755712682107784</v>
      </c>
      <c r="AO86" s="3058">
        <f t="shared" si="262"/>
        <v>14.999999986050669</v>
      </c>
      <c r="AP86" s="3058">
        <f t="shared" si="263"/>
        <v>14.293840917565634</v>
      </c>
      <c r="AQ86" s="2794">
        <v>15</v>
      </c>
      <c r="AR86" s="2794">
        <f t="shared" si="264"/>
        <v>12.705254495798197</v>
      </c>
      <c r="AS86" s="3058">
        <f t="shared" si="265"/>
        <v>14.999999987557731</v>
      </c>
      <c r="AT86" s="3058">
        <f t="shared" si="266"/>
        <v>14.134694969862084</v>
      </c>
      <c r="AU86" s="2794">
        <v>15</v>
      </c>
      <c r="AV86" s="2794">
        <f t="shared" si="267"/>
        <v>12.755858042029514</v>
      </c>
      <c r="AW86" s="3058">
        <f t="shared" si="268"/>
        <v>14.99999998865316</v>
      </c>
      <c r="AX86" s="3058">
        <f t="shared" si="269"/>
        <v>14.031050734186964</v>
      </c>
      <c r="AY86" s="2794">
        <v>15</v>
      </c>
      <c r="AZ86" s="2794">
        <f t="shared" si="270"/>
        <v>12.628090828239683</v>
      </c>
      <c r="BA86" s="3304">
        <f t="shared" si="271"/>
        <v>15</v>
      </c>
      <c r="BB86" s="3304">
        <f t="shared" si="272"/>
        <v>12.691113527590787</v>
      </c>
      <c r="BC86" s="3305">
        <f t="shared" si="273"/>
        <v>14.999999980203834</v>
      </c>
      <c r="BD86" s="3305">
        <f t="shared" si="274"/>
        <v>14.210143485155342</v>
      </c>
      <c r="BE86" s="3058">
        <f t="shared" si="275"/>
        <v>14.999999989670853</v>
      </c>
      <c r="BF86" s="105">
        <f t="shared" si="276"/>
        <v>13.905820085620174</v>
      </c>
      <c r="BG86" s="2446"/>
      <c r="BH86" s="2446"/>
      <c r="BI86" s="2445"/>
      <c r="BJ86" s="2445"/>
      <c r="BK86" s="3564"/>
      <c r="BL86" s="2445"/>
      <c r="BM86" s="3564"/>
      <c r="BN86" s="3564"/>
    </row>
    <row r="87" spans="1:66" ht="13.8" x14ac:dyDescent="0.25">
      <c r="B87" s="8" t="s">
        <v>118</v>
      </c>
      <c r="C87" s="2803" t="s">
        <v>271</v>
      </c>
      <c r="D87" s="1333">
        <v>67</v>
      </c>
      <c r="E87" s="2795">
        <v>67</v>
      </c>
      <c r="F87" s="2795">
        <f t="shared" si="236"/>
        <v>67.167229648868457</v>
      </c>
      <c r="G87" s="2795">
        <v>67</v>
      </c>
      <c r="H87" s="2795">
        <f t="shared" si="236"/>
        <v>66.359014038736788</v>
      </c>
      <c r="I87" s="3058">
        <f t="shared" si="237"/>
        <v>66.999999999999829</v>
      </c>
      <c r="J87" s="105">
        <f t="shared" si="238"/>
        <v>66.736143657789114</v>
      </c>
      <c r="K87" s="2794">
        <v>67</v>
      </c>
      <c r="L87" s="2794">
        <f t="shared" ref="L87" si="283">+L70/L$49*1000</f>
        <v>65.464649688461819</v>
      </c>
      <c r="M87" s="3304">
        <f t="shared" si="240"/>
        <v>66.999999999999886</v>
      </c>
      <c r="N87" s="3304">
        <f t="shared" si="241"/>
        <v>66.28563505542634</v>
      </c>
      <c r="O87" s="2794">
        <v>67</v>
      </c>
      <c r="P87" s="2794">
        <f t="shared" si="242"/>
        <v>67.290631356027248</v>
      </c>
      <c r="Q87" s="3058">
        <f t="shared" si="243"/>
        <v>66.999999999999872</v>
      </c>
      <c r="R87" s="3058">
        <f t="shared" si="244"/>
        <v>66.556613522695955</v>
      </c>
      <c r="S87" s="2794">
        <v>67</v>
      </c>
      <c r="T87" s="2794">
        <f t="shared" si="245"/>
        <v>66.414641519197389</v>
      </c>
      <c r="U87" s="3058">
        <f t="shared" si="246"/>
        <v>66.999999999999886</v>
      </c>
      <c r="V87" s="3058">
        <f t="shared" si="247"/>
        <v>66.527985045416258</v>
      </c>
      <c r="W87" s="2794">
        <v>67</v>
      </c>
      <c r="X87" s="2794">
        <f t="shared" si="248"/>
        <v>68.575733557390777</v>
      </c>
      <c r="Y87" s="3304">
        <f t="shared" si="249"/>
        <v>66.999999999999957</v>
      </c>
      <c r="Z87" s="3304">
        <f t="shared" si="250"/>
        <v>67.406720046217799</v>
      </c>
      <c r="AA87" s="3305">
        <f t="shared" si="251"/>
        <v>66.999999999999915</v>
      </c>
      <c r="AB87" s="3305">
        <f t="shared" si="252"/>
        <v>66.85855093269933</v>
      </c>
      <c r="AC87" s="2794">
        <v>67</v>
      </c>
      <c r="AD87" s="2794">
        <f t="shared" si="253"/>
        <v>71.552707957324643</v>
      </c>
      <c r="AE87" s="3058">
        <f t="shared" si="254"/>
        <v>66.999999918565464</v>
      </c>
      <c r="AF87" s="3058">
        <f t="shared" si="255"/>
        <v>67.389462663099792</v>
      </c>
      <c r="AG87" s="2794">
        <v>67</v>
      </c>
      <c r="AH87" s="2794">
        <f t="shared" si="256"/>
        <v>62.36940780164327</v>
      </c>
      <c r="AI87" s="3058">
        <f t="shared" si="257"/>
        <v>66.999999929254244</v>
      </c>
      <c r="AJ87" s="3058">
        <f t="shared" si="258"/>
        <v>66.754321333527741</v>
      </c>
      <c r="AK87" s="2794">
        <v>67</v>
      </c>
      <c r="AL87" s="2794">
        <f t="shared" si="259"/>
        <v>65.495923502012104</v>
      </c>
      <c r="AM87" s="3304">
        <f t="shared" si="260"/>
        <v>66.999999824073754</v>
      </c>
      <c r="AN87" s="3304">
        <f t="shared" si="261"/>
        <v>66.067936107692702</v>
      </c>
      <c r="AO87" s="3058">
        <f t="shared" si="262"/>
        <v>66.999999937692976</v>
      </c>
      <c r="AP87" s="3058">
        <f t="shared" si="263"/>
        <v>66.610336800226406</v>
      </c>
      <c r="AQ87" s="2794">
        <v>67</v>
      </c>
      <c r="AR87" s="2794">
        <f t="shared" si="264"/>
        <v>73.035191195794482</v>
      </c>
      <c r="AS87" s="3058">
        <f t="shared" si="265"/>
        <v>66.99999994442453</v>
      </c>
      <c r="AT87" s="3058">
        <f t="shared" si="266"/>
        <v>67.253984213819692</v>
      </c>
      <c r="AU87" s="2794">
        <v>67</v>
      </c>
      <c r="AV87" s="2794">
        <f t="shared" si="267"/>
        <v>79.770573566623924</v>
      </c>
      <c r="AW87" s="3058">
        <f t="shared" si="268"/>
        <v>66.999999949317456</v>
      </c>
      <c r="AX87" s="3058">
        <f t="shared" si="269"/>
        <v>68.194829581784973</v>
      </c>
      <c r="AY87" s="2794">
        <v>67</v>
      </c>
      <c r="AZ87" s="2794">
        <f t="shared" si="270"/>
        <v>64.357329704304775</v>
      </c>
      <c r="BA87" s="3304">
        <f t="shared" si="271"/>
        <v>67</v>
      </c>
      <c r="BB87" s="3304">
        <f t="shared" si="272"/>
        <v>71.74023828391563</v>
      </c>
      <c r="BC87" s="3305">
        <f t="shared" si="273"/>
        <v>66.99999991157712</v>
      </c>
      <c r="BD87" s="3305">
        <f t="shared" si="274"/>
        <v>68.928648089047456</v>
      </c>
      <c r="BE87" s="3058">
        <f t="shared" si="275"/>
        <v>66.999999953863153</v>
      </c>
      <c r="BF87" s="105">
        <f t="shared" si="276"/>
        <v>67.852287648480498</v>
      </c>
      <c r="BG87" s="2446"/>
      <c r="BH87" s="2446"/>
      <c r="BI87" s="2445"/>
      <c r="BJ87" s="2445"/>
      <c r="BK87" s="3564"/>
      <c r="BL87" s="2445"/>
      <c r="BM87" s="3564"/>
      <c r="BN87" s="3564"/>
    </row>
    <row r="88" spans="1:66" ht="13.8" x14ac:dyDescent="0.25">
      <c r="B88" s="3324" t="s">
        <v>558</v>
      </c>
      <c r="C88" s="2803" t="s">
        <v>175</v>
      </c>
      <c r="D88" s="1110">
        <f>12*D7</f>
        <v>221601.51085930123</v>
      </c>
      <c r="E88" s="2537">
        <f>12*E25</f>
        <v>18968.838526912215</v>
      </c>
      <c r="F88" s="2546">
        <v>11328</v>
      </c>
      <c r="G88" s="2537">
        <f>12*G25</f>
        <v>19573.182247403238</v>
      </c>
      <c r="H88" s="2546">
        <v>11446</v>
      </c>
      <c r="I88" s="2538">
        <f>12*I25</f>
        <v>38542.020774315461</v>
      </c>
      <c r="J88" s="3072">
        <f>+F88+H88</f>
        <v>22774</v>
      </c>
      <c r="K88" s="2537">
        <f>12*K25</f>
        <v>18968.83852691215</v>
      </c>
      <c r="L88" s="2546">
        <v>12140</v>
      </c>
      <c r="M88" s="2539">
        <f>12*M25</f>
        <v>57510.859301227603</v>
      </c>
      <c r="N88" s="2539">
        <f>+L88+H88+F88</f>
        <v>34914</v>
      </c>
      <c r="O88" s="2537">
        <f>12*O25</f>
        <v>19195.467422096353</v>
      </c>
      <c r="P88" s="2546">
        <v>12992</v>
      </c>
      <c r="Q88" s="2538">
        <f>12*Q25</f>
        <v>76706.32672332396</v>
      </c>
      <c r="R88" s="2882">
        <f>+N88+P88</f>
        <v>47906</v>
      </c>
      <c r="S88" s="2537">
        <f>12*S25</f>
        <v>19195.467422096353</v>
      </c>
      <c r="T88" s="2546">
        <v>12999</v>
      </c>
      <c r="U88" s="2538">
        <f>12*U25</f>
        <v>95901.794145420325</v>
      </c>
      <c r="V88" s="2882">
        <f>+R88+T88</f>
        <v>60905</v>
      </c>
      <c r="W88" s="2537">
        <f>12*W25</f>
        <v>10073.654390934847</v>
      </c>
      <c r="X88" s="2546">
        <v>11367</v>
      </c>
      <c r="Y88" s="2539">
        <f>12*Y25</f>
        <v>48464.589235127547</v>
      </c>
      <c r="Z88" s="2539">
        <f>P88+T88+X88</f>
        <v>37358</v>
      </c>
      <c r="AA88" s="2579">
        <f>12*AA25</f>
        <v>105975.44853635515</v>
      </c>
      <c r="AB88" s="2579">
        <f>+Z88+N88</f>
        <v>72272</v>
      </c>
      <c r="AC88" s="2537">
        <f>12*AC25</f>
        <v>19573.182399999998</v>
      </c>
      <c r="AD88" s="2546">
        <v>12678</v>
      </c>
      <c r="AE88" s="2538">
        <f>12*AE25</f>
        <v>125548.63093635516</v>
      </c>
      <c r="AF88" s="2882">
        <f>+AB88+AD88</f>
        <v>84950</v>
      </c>
      <c r="AG88" s="2537">
        <f>12*AG25</f>
        <v>18968.838526912197</v>
      </c>
      <c r="AH88" s="2546">
        <v>12092</v>
      </c>
      <c r="AI88" s="2538">
        <f>12*AI25</f>
        <v>144517.46946326736</v>
      </c>
      <c r="AJ88" s="2882">
        <f>+AF88+AH88</f>
        <v>97042</v>
      </c>
      <c r="AK88" s="2537">
        <f>12*AK25</f>
        <v>19573.182247403209</v>
      </c>
      <c r="AL88" s="2546">
        <v>11240</v>
      </c>
      <c r="AM88" s="2539">
        <f>12*AM25</f>
        <v>58115.203174315408</v>
      </c>
      <c r="AN88" s="2539">
        <f>AD88+AH88+AL88</f>
        <v>36010</v>
      </c>
      <c r="AO88" s="2538">
        <f>12*AO25</f>
        <v>164090.65171067056</v>
      </c>
      <c r="AP88" s="2538">
        <f t="shared" ref="AP88" si="284">+AL88+AJ88</f>
        <v>108282</v>
      </c>
      <c r="AQ88" s="2537">
        <f>12*AQ25</f>
        <v>19875.354107648724</v>
      </c>
      <c r="AR88" s="2546">
        <v>11806</v>
      </c>
      <c r="AS88" s="2538">
        <f>12*AS25</f>
        <v>183966.00581831927</v>
      </c>
      <c r="AT88" s="2882">
        <f>+AP88+AR88</f>
        <v>120088</v>
      </c>
      <c r="AU88" s="2537">
        <f>12*AU25</f>
        <v>17760.15108593012</v>
      </c>
      <c r="AV88" s="2546">
        <v>11266</v>
      </c>
      <c r="AW88" s="2538">
        <f>12*AW25</f>
        <v>201726.15690424939</v>
      </c>
      <c r="AX88" s="2882">
        <f>+AT88+AV88</f>
        <v>131354</v>
      </c>
      <c r="AY88" s="2537">
        <f>12*AY25</f>
        <v>19875.354107648727</v>
      </c>
      <c r="AZ88" s="2546">
        <v>10632</v>
      </c>
      <c r="BA88" s="2539">
        <f>12*BA25</f>
        <v>57510.859301227567</v>
      </c>
      <c r="BB88" s="2539">
        <f>AR88+AV88+AZ88</f>
        <v>33704</v>
      </c>
      <c r="BC88" s="2579">
        <f>12*BC25</f>
        <v>115626.06247554299</v>
      </c>
      <c r="BD88" s="2579">
        <f t="shared" ref="BD88" si="285">+BB88+AN88</f>
        <v>69714</v>
      </c>
      <c r="BE88" s="2538">
        <f>12*BE25</f>
        <v>221601.51101189814</v>
      </c>
      <c r="BF88" s="3072">
        <f>+AX88+AZ88</f>
        <v>141986</v>
      </c>
      <c r="BG88" s="2446"/>
      <c r="BH88" s="2446"/>
      <c r="BI88" s="2445"/>
      <c r="BJ88" s="2445"/>
      <c r="BK88" s="3564"/>
      <c r="BL88" s="2445"/>
      <c r="BM88" s="3564"/>
      <c r="BN88" s="3564"/>
    </row>
    <row r="89" spans="1:66" ht="13.8" x14ac:dyDescent="0.25">
      <c r="B89" s="3230" t="s">
        <v>299</v>
      </c>
      <c r="C89" s="3311" t="s">
        <v>271</v>
      </c>
      <c r="D89" s="1292">
        <f>+'Maj Techno Summ'!D16</f>
        <v>1059</v>
      </c>
      <c r="E89" s="3272">
        <f>+'Maj Techno Summ'!E16</f>
        <v>1059</v>
      </c>
      <c r="F89" s="3275">
        <f>+(F15*1000)/F5</f>
        <v>1059.7699014587963</v>
      </c>
      <c r="G89" s="3272">
        <f>+'Maj Techno Summ'!G16</f>
        <v>1059</v>
      </c>
      <c r="H89" s="3275">
        <f>+(H15*1000)/H5</f>
        <v>1067.8204683947633</v>
      </c>
      <c r="I89" s="3273">
        <f>+(I15*1000)/I5</f>
        <v>1059.0000000000009</v>
      </c>
      <c r="J89" s="1986">
        <f>+(J15*1000)/J5</f>
        <v>1064.0639073340274</v>
      </c>
      <c r="K89" s="3272">
        <f>+'Maj Techno Summ'!K16</f>
        <v>1059</v>
      </c>
      <c r="L89" s="3275">
        <f>+(L15*1000)/L5</f>
        <v>1061.9196518424501</v>
      </c>
      <c r="M89" s="3274">
        <f>+(M15*1000)/M5</f>
        <v>1059.0000000000011</v>
      </c>
      <c r="N89" s="3274">
        <f>+(N15*1000)/N5</f>
        <v>1063.3041677400013</v>
      </c>
      <c r="O89" s="3272">
        <f>+'Maj Techno Summ'!O16</f>
        <v>1059</v>
      </c>
      <c r="P89" s="3275">
        <f>+(P15*1000)/P5</f>
        <v>1051.7068973673629</v>
      </c>
      <c r="Q89" s="3273">
        <f>+(Q15*1000)/Q5</f>
        <v>1059.0000000000007</v>
      </c>
      <c r="R89" s="3273">
        <f>+(R15*1000)/R5</f>
        <v>1060.1771787668226</v>
      </c>
      <c r="S89" s="3272">
        <f>+'Maj Techno Summ'!S16</f>
        <v>1059</v>
      </c>
      <c r="T89" s="3275">
        <f>+(T15*1000)/T5</f>
        <v>1060.1658095630876</v>
      </c>
      <c r="U89" s="3273">
        <f>+(U15*1000)/U5</f>
        <v>1059.0000000000005</v>
      </c>
      <c r="V89" s="3273">
        <f>+(V15*1000)/V5</f>
        <v>1060.1748861799313</v>
      </c>
      <c r="W89" s="3272">
        <f>+'Maj Techno Summ'!W16</f>
        <v>1059</v>
      </c>
      <c r="X89" s="3275">
        <f>+(X15*1000)/X5</f>
        <v>1063.8152587426769</v>
      </c>
      <c r="Y89" s="3274">
        <f>Y15/Y5*1000</f>
        <v>1058.9999999999991</v>
      </c>
      <c r="Z89" s="3274">
        <f>+(Z15*1000)/Z5</f>
        <v>1058.3307154265726</v>
      </c>
      <c r="AA89" s="2566">
        <f>+(AA15*1000)/AA5</f>
        <v>1059</v>
      </c>
      <c r="AB89" s="2566">
        <f>+(AB15*1000)/AB5</f>
        <v>1060.7625483724512</v>
      </c>
      <c r="AC89" s="3272">
        <f>+'Maj Techno Summ'!AC16</f>
        <v>1059</v>
      </c>
      <c r="AD89" s="3275">
        <f>+(AD15*1000)/AD5</f>
        <v>1064.5745280439282</v>
      </c>
      <c r="AE89" s="3273">
        <f>+(AE15*1000)/AE5</f>
        <v>1059.0000000000002</v>
      </c>
      <c r="AF89" s="3273">
        <f>+(AF15*1000)/AF5</f>
        <v>1061.1936844682957</v>
      </c>
      <c r="AG89" s="3272">
        <f>+'Maj Techno Summ'!AG16</f>
        <v>1059</v>
      </c>
      <c r="AH89" s="3275">
        <f>+(AH15*1000)/AH5</f>
        <v>1059.8754259222142</v>
      </c>
      <c r="AI89" s="3273">
        <f>+(AI15*1000)/AI5</f>
        <v>1059.0000000000002</v>
      </c>
      <c r="AJ89" s="3319">
        <f>+(AJ15*1000)/AJ5</f>
        <v>1061.026897177147</v>
      </c>
      <c r="AK89" s="3272">
        <f>+'Maj Techno Summ'!AK16</f>
        <v>1059</v>
      </c>
      <c r="AL89" s="3275">
        <f>+(AL15*1000)/AL5</f>
        <v>1068.1895334200926</v>
      </c>
      <c r="AM89" s="3274">
        <f>AM15/AM5*1000</f>
        <v>1059.0000000000009</v>
      </c>
      <c r="AN89" s="3274">
        <f>+(AN15*1000)/AN5</f>
        <v>1064.2149663799164</v>
      </c>
      <c r="AO89" s="3273">
        <f>+(AO15*1000)/AO5</f>
        <v>1059.0000000000002</v>
      </c>
      <c r="AP89" s="3273">
        <f>+(AP15*1000)/AP5</f>
        <v>1061.8464368186455</v>
      </c>
      <c r="AQ89" s="3272">
        <f>+'Maj Techno Summ'!AQ16</f>
        <v>1059</v>
      </c>
      <c r="AR89" s="3275">
        <f>+(AR15*1000)/AR5</f>
        <v>1062.1673163865344</v>
      </c>
      <c r="AS89" s="3273">
        <f>+(AS15*1000)/AS5</f>
        <v>1059.0000000000002</v>
      </c>
      <c r="AT89" s="3273">
        <f>+(AT15*1000)/AT5</f>
        <v>1061.8785827530564</v>
      </c>
      <c r="AU89" s="3272">
        <f>+'Maj Techno Summ'!AU16</f>
        <v>1059</v>
      </c>
      <c r="AV89" s="4727">
        <f>+(AV15*1000)/AV5</f>
        <v>1052.23913066978</v>
      </c>
      <c r="AW89" s="3273">
        <f>+(AW15*1000)/AW5</f>
        <v>1059.0000000000002</v>
      </c>
      <c r="AX89" s="3273">
        <f>+(AX15*1000)/AX5</f>
        <v>1061.1540063208624</v>
      </c>
      <c r="AY89" s="3272">
        <f>+'Maj Techno Summ'!AY16</f>
        <v>1059</v>
      </c>
      <c r="AZ89" s="4727">
        <f>+(AZ15*1000)/AZ5</f>
        <v>1038.4428162825402</v>
      </c>
      <c r="BA89" s="3274">
        <f>BA15/BA5*1000</f>
        <v>1059</v>
      </c>
      <c r="BB89" s="3274">
        <f>+(BB15*1000)/BB5</f>
        <v>1050.6127742040005</v>
      </c>
      <c r="BC89" s="2566">
        <f>+(BC15*1000)/BC5</f>
        <v>1059.0000000000005</v>
      </c>
      <c r="BD89" s="2566">
        <f>+(BD15*1000)/BD5</f>
        <v>1057.3549740205387</v>
      </c>
      <c r="BE89" s="3273">
        <f>+(BE15*1000)/BE5</f>
        <v>1059.0000000000002</v>
      </c>
      <c r="BF89" s="1986">
        <f>+(BF15*1000)/BF5</f>
        <v>1059.1267654673456</v>
      </c>
      <c r="BG89" s="2446">
        <f>BA15/BA5*1000</f>
        <v>1059</v>
      </c>
      <c r="BH89" s="2446">
        <f t="shared" ref="BH89:BL89" si="286">BB15/BB5*1000</f>
        <v>1050.6127742040003</v>
      </c>
      <c r="BI89" s="2446">
        <f t="shared" si="286"/>
        <v>1059.0000000000005</v>
      </c>
      <c r="BJ89" s="2446">
        <f t="shared" si="286"/>
        <v>1057.3549740205385</v>
      </c>
      <c r="BK89" s="2446">
        <f t="shared" si="286"/>
        <v>1059.0000000000002</v>
      </c>
      <c r="BL89" s="2446">
        <f t="shared" si="286"/>
        <v>1059.1267654673456</v>
      </c>
      <c r="BM89" s="3564"/>
      <c r="BN89" s="3564"/>
    </row>
    <row r="90" spans="1:66" ht="14.4" thickBot="1" x14ac:dyDescent="0.3">
      <c r="B90" s="3325" t="s">
        <v>816</v>
      </c>
      <c r="C90" s="3311" t="s">
        <v>271</v>
      </c>
      <c r="D90" s="1292">
        <f>+'Maj Techno Summ'!D17</f>
        <v>38</v>
      </c>
      <c r="E90" s="3272">
        <f>+'Maj Techno Summ'!E17</f>
        <v>38</v>
      </c>
      <c r="F90" s="3275">
        <f>+(F19*1000)/F5</f>
        <v>37.174669114095259</v>
      </c>
      <c r="G90" s="3272">
        <f>+'Maj Techno Summ'!G17</f>
        <v>38</v>
      </c>
      <c r="H90" s="3275">
        <f>+(H19*1000)/H5</f>
        <v>28.189893423710473</v>
      </c>
      <c r="I90" s="3273">
        <f>+(I19*1000)/I5</f>
        <v>37.999999999999993</v>
      </c>
      <c r="J90" s="1986">
        <f>+(J19*1000)/J5</f>
        <v>32.38237561364835</v>
      </c>
      <c r="K90" s="3272">
        <f>+'Maj Techno Summ'!K17</f>
        <v>38</v>
      </c>
      <c r="L90" s="3275">
        <f>+(L19*1000)/L5</f>
        <v>34.520831536271885</v>
      </c>
      <c r="M90" s="3274">
        <f>+(M19*1000)/M5</f>
        <v>37.999999999999993</v>
      </c>
      <c r="N90" s="3274">
        <f>+(N19*1000)/N5</f>
        <v>33.140060339595784</v>
      </c>
      <c r="O90" s="3272">
        <f>+'Maj Techno Summ'!O17</f>
        <v>38</v>
      </c>
      <c r="P90" s="3275">
        <f>+(P19*1000)/P5</f>
        <v>44.526180507919989</v>
      </c>
      <c r="Q90" s="3273">
        <f>+(Q19*1000)/Q5</f>
        <v>38</v>
      </c>
      <c r="R90" s="3273">
        <f>+(R19*1000)/R5</f>
        <v>36.210116574348966</v>
      </c>
      <c r="S90" s="3272">
        <f>+'Maj Techno Summ'!S17</f>
        <v>38</v>
      </c>
      <c r="T90" s="3275">
        <f>+(T19*1000)/T5</f>
        <v>36.183939197549037</v>
      </c>
      <c r="U90" s="3273">
        <f>+(U19*1000)/U5</f>
        <v>37.999999999999993</v>
      </c>
      <c r="V90" s="3273">
        <f>+(V19*1000)/V5</f>
        <v>36.204837936345619</v>
      </c>
      <c r="W90" s="3272">
        <f>+'Maj Techno Summ'!W17</f>
        <v>38</v>
      </c>
      <c r="X90" s="3275">
        <f>+(X19*1000)/X5</f>
        <v>34.040564785957052</v>
      </c>
      <c r="Y90" s="3274">
        <f>+(Y19*1000)/Y5</f>
        <v>38.000000000000007</v>
      </c>
      <c r="Z90" s="3274">
        <f>+(Z19*1000)/Z5</f>
        <v>38.453569056342083</v>
      </c>
      <c r="AA90" s="2566">
        <f>+(AA19*1000)/AA5</f>
        <v>37.999999999999993</v>
      </c>
      <c r="AB90" s="2566">
        <f>+(AB19*1000)/AB5</f>
        <v>35.855461194584279</v>
      </c>
      <c r="AC90" s="3272">
        <f>+'Maj Techno Summ'!AC17</f>
        <v>38</v>
      </c>
      <c r="AD90" s="3275">
        <f>+(AD19*1000)/AD5</f>
        <v>30.862550990228851</v>
      </c>
      <c r="AE90" s="3273">
        <f>+(AE19*1000)/AE5</f>
        <v>37.999999999999993</v>
      </c>
      <c r="AF90" s="3273">
        <f>+(AF19*1000)/AF5</f>
        <v>35.29076148526643</v>
      </c>
      <c r="AG90" s="3272">
        <f>+'Maj Techno Summ'!AG17</f>
        <v>38</v>
      </c>
      <c r="AH90" s="3275">
        <f>+(AH19*1000)/AH5</f>
        <v>36.486828001498893</v>
      </c>
      <c r="AI90" s="3273">
        <f>+(AI19*1000)/AI5</f>
        <v>37.999999999999993</v>
      </c>
      <c r="AJ90" s="3319">
        <f>+(AJ19*1000)/AJ5</f>
        <v>35.44208892772383</v>
      </c>
      <c r="AK90" s="3272">
        <f>+'Maj Techno Summ'!AK17</f>
        <v>38</v>
      </c>
      <c r="AL90" s="3275">
        <f>+(AL19*1000)/AL5</f>
        <v>27.934205192754888</v>
      </c>
      <c r="AM90" s="3274">
        <f>+(AM19*1000)/AM5</f>
        <v>37.999999999999993</v>
      </c>
      <c r="AN90" s="3274">
        <f>+(AN19*1000)/AN5</f>
        <v>31.802546542511827</v>
      </c>
      <c r="AO90" s="3273">
        <f>+(AO19*1000)/AO5</f>
        <v>37.999999999999993</v>
      </c>
      <c r="AP90" s="3273">
        <f>+(AP19*1000)/AP5</f>
        <v>34.583046511514368</v>
      </c>
      <c r="AQ90" s="3272">
        <f>+'Maj Techno Summ'!AQ17</f>
        <v>38</v>
      </c>
      <c r="AR90" s="3275">
        <f>+(AR19*1000)/AR5</f>
        <v>33.23306160572163</v>
      </c>
      <c r="AS90" s="3273">
        <f>+(AS19*1000)/AS5</f>
        <v>37.999999999999986</v>
      </c>
      <c r="AT90" s="3273">
        <f>+(AT19*1000)/AT5</f>
        <v>34.447804101026335</v>
      </c>
      <c r="AU90" s="3272">
        <f>+'Maj Techno Summ'!AU17</f>
        <v>38</v>
      </c>
      <c r="AV90" s="4727">
        <f>+(AV19*1000)/AV5</f>
        <v>43.482725818307607</v>
      </c>
      <c r="AW90" s="3273">
        <f>+(AW19*1000)/AW5</f>
        <v>37.999999999999986</v>
      </c>
      <c r="AX90" s="3273">
        <f>+(AX19*1000)/AX5</f>
        <v>35.126939313952008</v>
      </c>
      <c r="AY90" s="3272">
        <f>+'Maj Techno Summ'!AY17</f>
        <v>38</v>
      </c>
      <c r="AZ90" s="4727">
        <f>+(AZ19*1000)/AZ5</f>
        <v>54.990465926048749</v>
      </c>
      <c r="BA90" s="3274">
        <f t="shared" ref="BA90:BF90" si="287">+(BA19*1000)/BA5</f>
        <v>37.999999999999993</v>
      </c>
      <c r="BB90" s="3274">
        <f t="shared" si="287"/>
        <v>44.153243986348841</v>
      </c>
      <c r="BC90" s="2566">
        <f t="shared" si="287"/>
        <v>37.999999999999993</v>
      </c>
      <c r="BD90" s="2566">
        <f t="shared" si="287"/>
        <v>38.031372675973181</v>
      </c>
      <c r="BE90" s="3273">
        <f t="shared" si="287"/>
        <v>37.999999999999979</v>
      </c>
      <c r="BF90" s="1986">
        <f t="shared" si="287"/>
        <v>36.89999271075807</v>
      </c>
      <c r="BG90" s="2446">
        <f>BA19/BA5*1000</f>
        <v>37.999999999999993</v>
      </c>
      <c r="BH90" s="2446">
        <f t="shared" ref="BH90:BL90" si="288">BB19/BB5*1000</f>
        <v>44.153243986348841</v>
      </c>
      <c r="BI90" s="2446">
        <f t="shared" si="288"/>
        <v>37.999999999999993</v>
      </c>
      <c r="BJ90" s="2446">
        <f t="shared" si="288"/>
        <v>38.031372675973181</v>
      </c>
      <c r="BK90" s="2446">
        <f t="shared" si="288"/>
        <v>37.999999999999986</v>
      </c>
      <c r="BL90" s="2446">
        <f t="shared" si="288"/>
        <v>36.89999271075807</v>
      </c>
      <c r="BM90" s="3564"/>
      <c r="BN90" s="3564"/>
    </row>
    <row r="91" spans="1:66" ht="13.8" x14ac:dyDescent="0.25">
      <c r="B91" s="3229" t="s">
        <v>288</v>
      </c>
      <c r="C91" s="3293" t="s">
        <v>271</v>
      </c>
      <c r="D91" s="1292">
        <f t="shared" ref="D91:J91" si="289">SUM(D89:D90)</f>
        <v>1097</v>
      </c>
      <c r="E91" s="3272">
        <f t="shared" si="289"/>
        <v>1097</v>
      </c>
      <c r="F91" s="3275">
        <f t="shared" si="289"/>
        <v>1096.9445705728915</v>
      </c>
      <c r="G91" s="3272">
        <f t="shared" ref="G91:H91" si="290">SUM(G89:G90)</f>
        <v>1097</v>
      </c>
      <c r="H91" s="3275">
        <f t="shared" si="290"/>
        <v>1096.0103618184737</v>
      </c>
      <c r="I91" s="3273">
        <f t="shared" si="289"/>
        <v>1097.0000000000009</v>
      </c>
      <c r="J91" s="1986">
        <f t="shared" si="289"/>
        <v>1096.4462829476756</v>
      </c>
      <c r="K91" s="3272">
        <f t="shared" ref="K91:L91" si="291">SUM(K89:K90)</f>
        <v>1097</v>
      </c>
      <c r="L91" s="3275">
        <f t="shared" si="291"/>
        <v>1096.4404833787221</v>
      </c>
      <c r="M91" s="3274">
        <f t="shared" ref="M91:AF91" si="292">SUM(M89:M90)</f>
        <v>1097.0000000000011</v>
      </c>
      <c r="N91" s="3274">
        <f t="shared" si="292"/>
        <v>1096.444228079597</v>
      </c>
      <c r="O91" s="3272">
        <f t="shared" si="292"/>
        <v>1097</v>
      </c>
      <c r="P91" s="3275">
        <f t="shared" si="292"/>
        <v>1096.2330778752828</v>
      </c>
      <c r="Q91" s="3273">
        <f t="shared" si="292"/>
        <v>1097.0000000000007</v>
      </c>
      <c r="R91" s="3273">
        <f t="shared" si="292"/>
        <v>1096.3872953411717</v>
      </c>
      <c r="S91" s="3272">
        <f t="shared" ref="S91:T91" si="293">SUM(S89:S90)</f>
        <v>1097</v>
      </c>
      <c r="T91" s="3275">
        <f t="shared" si="293"/>
        <v>1096.3497487606367</v>
      </c>
      <c r="U91" s="3273">
        <f t="shared" ref="U91:X91" si="294">SUM(U89:U90)</f>
        <v>1097.0000000000005</v>
      </c>
      <c r="V91" s="3273">
        <f t="shared" si="294"/>
        <v>1096.379724116277</v>
      </c>
      <c r="W91" s="3272">
        <f t="shared" si="294"/>
        <v>1097</v>
      </c>
      <c r="X91" s="3275">
        <f t="shared" si="294"/>
        <v>1097.8558235286339</v>
      </c>
      <c r="Y91" s="3274">
        <f t="shared" si="292"/>
        <v>1096.9999999999991</v>
      </c>
      <c r="Z91" s="3274">
        <f t="shared" si="292"/>
        <v>1096.7842844829147</v>
      </c>
      <c r="AA91" s="2566">
        <f t="shared" si="292"/>
        <v>1097</v>
      </c>
      <c r="AB91" s="2566">
        <f t="shared" si="292"/>
        <v>1096.6180095670354</v>
      </c>
      <c r="AC91" s="3272">
        <f t="shared" si="292"/>
        <v>1097</v>
      </c>
      <c r="AD91" s="3275">
        <f t="shared" si="292"/>
        <v>1095.437079034157</v>
      </c>
      <c r="AE91" s="3273">
        <f t="shared" si="292"/>
        <v>1097.0000000000002</v>
      </c>
      <c r="AF91" s="3273">
        <f t="shared" si="292"/>
        <v>1096.484445953562</v>
      </c>
      <c r="AG91" s="3272">
        <f t="shared" ref="AG91:AH91" si="295">SUM(AG89:AG90)</f>
        <v>1097</v>
      </c>
      <c r="AH91" s="3275">
        <f t="shared" si="295"/>
        <v>1096.3622539237131</v>
      </c>
      <c r="AI91" s="3273">
        <f t="shared" ref="AI91:AL91" si="296">SUM(AI89:AI90)</f>
        <v>1097.0000000000002</v>
      </c>
      <c r="AJ91" s="3273">
        <f t="shared" si="296"/>
        <v>1096.468986104871</v>
      </c>
      <c r="AK91" s="3272">
        <f t="shared" si="296"/>
        <v>1097</v>
      </c>
      <c r="AL91" s="3275">
        <f t="shared" si="296"/>
        <v>1096.1237386128475</v>
      </c>
      <c r="AM91" s="3274">
        <f t="shared" ref="AM91:AT91" si="297">SUM(AM89:AM90)</f>
        <v>1097.0000000000009</v>
      </c>
      <c r="AN91" s="3274">
        <f t="shared" si="297"/>
        <v>1096.0175129224283</v>
      </c>
      <c r="AO91" s="3273">
        <f t="shared" si="297"/>
        <v>1097.0000000000002</v>
      </c>
      <c r="AP91" s="3273">
        <f t="shared" si="297"/>
        <v>1096.4294833301599</v>
      </c>
      <c r="AQ91" s="3272">
        <f t="shared" si="297"/>
        <v>1097</v>
      </c>
      <c r="AR91" s="3275">
        <f t="shared" si="297"/>
        <v>1095.4003779922559</v>
      </c>
      <c r="AS91" s="3273">
        <f t="shared" si="297"/>
        <v>1097.0000000000002</v>
      </c>
      <c r="AT91" s="3319">
        <f t="shared" si="297"/>
        <v>1096.3263868540828</v>
      </c>
      <c r="AU91" s="3272">
        <f t="shared" ref="AU91:AV91" si="298">SUM(AU89:AU90)</f>
        <v>1097</v>
      </c>
      <c r="AV91" s="3275">
        <f t="shared" si="298"/>
        <v>1095.7218564880877</v>
      </c>
      <c r="AW91" s="3273">
        <f t="shared" ref="AW91:AZ91" si="299">SUM(AW89:AW90)</f>
        <v>1097.0000000000002</v>
      </c>
      <c r="AX91" s="3273">
        <f t="shared" si="299"/>
        <v>1096.2809456348145</v>
      </c>
      <c r="AY91" s="3272">
        <f t="shared" si="299"/>
        <v>1097</v>
      </c>
      <c r="AZ91" s="4727">
        <f t="shared" si="299"/>
        <v>1093.4332822085889</v>
      </c>
      <c r="BA91" s="3274">
        <f t="shared" ref="BA91:BD91" si="300">SUM(BA89:BA90)</f>
        <v>1097</v>
      </c>
      <c r="BB91" s="3274">
        <f t="shared" si="300"/>
        <v>1094.7660181903493</v>
      </c>
      <c r="BC91" s="2566">
        <f t="shared" si="300"/>
        <v>1097.0000000000005</v>
      </c>
      <c r="BD91" s="2566">
        <f t="shared" si="300"/>
        <v>1095.386346696512</v>
      </c>
      <c r="BE91" s="3273">
        <f t="shared" ref="BE91:BF91" si="301">SUM(BE89:BE90)</f>
        <v>1097.0000000000002</v>
      </c>
      <c r="BF91" s="1986">
        <f t="shared" si="301"/>
        <v>1096.0267581781038</v>
      </c>
      <c r="BG91" s="2446">
        <f>BG89+BG90</f>
        <v>1097</v>
      </c>
      <c r="BH91" s="2446">
        <f t="shared" ref="BH91:BL91" si="302">BH89+BH90</f>
        <v>1094.7660181903491</v>
      </c>
      <c r="BI91" s="2446">
        <f t="shared" si="302"/>
        <v>1097.0000000000005</v>
      </c>
      <c r="BJ91" s="2446">
        <f t="shared" si="302"/>
        <v>1095.3863466965117</v>
      </c>
      <c r="BK91" s="2446">
        <f t="shared" si="302"/>
        <v>1097.0000000000002</v>
      </c>
      <c r="BL91" s="2446">
        <f t="shared" si="302"/>
        <v>1096.0267581781038</v>
      </c>
      <c r="BM91" s="3564"/>
      <c r="BN91" s="3564"/>
    </row>
    <row r="92" spans="1:66" ht="13.8" x14ac:dyDescent="0.25">
      <c r="B92" s="3324" t="s">
        <v>452</v>
      </c>
      <c r="C92" s="2803" t="s">
        <v>50</v>
      </c>
      <c r="D92" s="1110">
        <f>+D94*D5/1000</f>
        <v>349022.37960339943</v>
      </c>
      <c r="E92" s="2537">
        <f>+E94*E5/1000</f>
        <v>29875.920679886651</v>
      </c>
      <c r="F92" s="2537">
        <v>26838.328010000001</v>
      </c>
      <c r="G92" s="2537">
        <f>+G94*G5/1000</f>
        <v>30827.762039660036</v>
      </c>
      <c r="H92" s="2537">
        <v>30280.43044</v>
      </c>
      <c r="I92" s="2538">
        <f>+E92+G92</f>
        <v>60703.68271954669</v>
      </c>
      <c r="J92" s="38">
        <f>+F92+H92</f>
        <v>57118.758450000001</v>
      </c>
      <c r="K92" s="2537">
        <f>+K94*K5/1000</f>
        <v>29875.920679886651</v>
      </c>
      <c r="L92" s="2537">
        <v>30254.303680000001</v>
      </c>
      <c r="M92" s="2539">
        <f>+K92+G92+E92</f>
        <v>90579.603399433341</v>
      </c>
      <c r="N92" s="2539">
        <f>+L92+H92+F92</f>
        <v>87373.062130000006</v>
      </c>
      <c r="O92" s="2537">
        <f>+O94*O5/1000</f>
        <v>30232.861189801704</v>
      </c>
      <c r="P92" s="2537">
        <v>31564.151819999999</v>
      </c>
      <c r="Q92" s="2538">
        <f>+M92+O92</f>
        <v>120812.46458923505</v>
      </c>
      <c r="R92" s="2538">
        <f>+N92+P92</f>
        <v>118937.21395</v>
      </c>
      <c r="S92" s="2537">
        <f>+S94*S5/1000</f>
        <v>30232.861189801704</v>
      </c>
      <c r="T92" s="2537">
        <v>29126.430780000002</v>
      </c>
      <c r="U92" s="2538">
        <f>+Q92+S92</f>
        <v>151045.32577903676</v>
      </c>
      <c r="V92" s="2538">
        <f>+R92+T92</f>
        <v>148063.64473</v>
      </c>
      <c r="W92" s="2537">
        <f>+W94*W5/1000</f>
        <v>15866.005665722438</v>
      </c>
      <c r="X92" s="2537">
        <v>28595.071339999999</v>
      </c>
      <c r="Y92" s="2539">
        <f>+W92+S92+O92</f>
        <v>76331.728045325843</v>
      </c>
      <c r="Z92" s="2539">
        <f>+X92+T92+P92</f>
        <v>89285.653940000004</v>
      </c>
      <c r="AA92" s="2579">
        <f>+Y92+M92</f>
        <v>166911.33144475918</v>
      </c>
      <c r="AB92" s="2579">
        <f>+Z92+N92</f>
        <v>176658.71607000002</v>
      </c>
      <c r="AC92" s="2537">
        <f>+AC94*AC5/1000</f>
        <v>30827.762039660036</v>
      </c>
      <c r="AD92" s="2537">
        <v>22986.981849999996</v>
      </c>
      <c r="AE92" s="2538">
        <f>+AA92+AC92</f>
        <v>197739.09348441922</v>
      </c>
      <c r="AF92" s="2538">
        <f>+AB92+AD92</f>
        <v>199645.69792000001</v>
      </c>
      <c r="AG92" s="2537">
        <f>+AG94*AG5/1000</f>
        <v>29875.920679886651</v>
      </c>
      <c r="AH92" s="2537">
        <v>26984.9643</v>
      </c>
      <c r="AI92" s="2538">
        <f>+AE92+AG92</f>
        <v>227615.01416430587</v>
      </c>
      <c r="AJ92" s="2538">
        <f>+AF92+AH92</f>
        <v>226630.66222</v>
      </c>
      <c r="AK92" s="2537">
        <f>+AK94*AK5/1000</f>
        <v>30827.762039660036</v>
      </c>
      <c r="AL92" s="2537">
        <v>29237.462070000001</v>
      </c>
      <c r="AM92" s="2539">
        <f>+AK92+AG92+AC92</f>
        <v>91531.44475920673</v>
      </c>
      <c r="AN92" s="2539">
        <f>+AL92+AH92+AD92</f>
        <v>79209.408219999998</v>
      </c>
      <c r="AO92" s="2538">
        <f t="shared" ref="AO92:AP92" si="303">+AK92+AI92</f>
        <v>258442.77620396591</v>
      </c>
      <c r="AP92" s="2538">
        <f t="shared" si="303"/>
        <v>255868.12429000001</v>
      </c>
      <c r="AQ92" s="2537">
        <f>+AQ94*AQ5/1000</f>
        <v>31303.682719546741</v>
      </c>
      <c r="AR92" s="2537">
        <v>38588</v>
      </c>
      <c r="AS92" s="2538">
        <f>+AO92+AQ92</f>
        <v>289746.45892351266</v>
      </c>
      <c r="AT92" s="2538">
        <f>+AP92+AR92</f>
        <v>294456.12429000001</v>
      </c>
      <c r="AU92" s="2537">
        <f>+AU94*AU5/1000</f>
        <v>27972.237960339942</v>
      </c>
      <c r="AV92" s="2537">
        <v>34268.306349999999</v>
      </c>
      <c r="AW92" s="2538">
        <f>+AS92+AU92</f>
        <v>317718.69688385259</v>
      </c>
      <c r="AX92" s="2538">
        <f>+AT92+AV92</f>
        <v>328724.43064000004</v>
      </c>
      <c r="AY92" s="2537">
        <f>+AY94*AY5/1000</f>
        <v>31303.682719546741</v>
      </c>
      <c r="AZ92" s="2537">
        <v>36592.682540000002</v>
      </c>
      <c r="BA92" s="2539">
        <f>+AY92+AU92+AQ92</f>
        <v>90579.603399433428</v>
      </c>
      <c r="BB92" s="2539">
        <f>+AZ92+AV92+AR92</f>
        <v>109448.98889000001</v>
      </c>
      <c r="BC92" s="2579">
        <f t="shared" ref="BC92" si="304">+BA92+AM92</f>
        <v>182111.04815864016</v>
      </c>
      <c r="BD92" s="2579">
        <f t="shared" ref="BD92" si="305">+BB92+AN92</f>
        <v>188658.39711000002</v>
      </c>
      <c r="BE92" s="2538">
        <f>+AW92+AY92</f>
        <v>349022.37960339931</v>
      </c>
      <c r="BF92" s="38">
        <f>+AX92+AZ92</f>
        <v>365317.11318000004</v>
      </c>
      <c r="BG92" s="2446"/>
      <c r="BH92" s="2446"/>
      <c r="BI92" s="2445"/>
      <c r="BJ92" s="2445"/>
      <c r="BK92" s="3564"/>
      <c r="BL92" s="2445"/>
      <c r="BM92" s="3564"/>
      <c r="BN92" s="3564"/>
    </row>
    <row r="93" spans="1:66" ht="13.8" x14ac:dyDescent="0.25">
      <c r="B93" s="3324" t="s">
        <v>289</v>
      </c>
      <c r="C93" s="2803" t="s">
        <v>272</v>
      </c>
      <c r="D93" s="1110">
        <v>122</v>
      </c>
      <c r="E93" s="2537">
        <f t="shared" ref="E93:J93" si="306">+E92/E20*1000</f>
        <v>122.84999999999985</v>
      </c>
      <c r="F93" s="2537">
        <f t="shared" si="306"/>
        <v>127.79000000000002</v>
      </c>
      <c r="G93" s="2537">
        <f t="shared" si="306"/>
        <v>122.84999999999992</v>
      </c>
      <c r="H93" s="2537">
        <f t="shared" si="306"/>
        <v>126.22</v>
      </c>
      <c r="I93" s="2538">
        <f t="shared" si="306"/>
        <v>122.84999999999989</v>
      </c>
      <c r="J93" s="38">
        <f t="shared" si="306"/>
        <v>126.95286161348326</v>
      </c>
      <c r="K93" s="2537">
        <v>122.85</v>
      </c>
      <c r="L93" s="2537">
        <f>+L92/L20*1000</f>
        <v>122.56</v>
      </c>
      <c r="M93" s="2539">
        <f>+M92/M20*1000</f>
        <v>122.84999999999988</v>
      </c>
      <c r="N93" s="2539">
        <f>+N92/N20*1000</f>
        <v>125.39655918561829</v>
      </c>
      <c r="O93" s="2537">
        <v>122.85</v>
      </c>
      <c r="P93" s="2537">
        <f>+P92/P20*1000</f>
        <v>122.78999999999999</v>
      </c>
      <c r="Q93" s="2538">
        <f>+Q92/Q20*1000</f>
        <v>122.84999999999992</v>
      </c>
      <c r="R93" s="2538">
        <f>+R92/R20*1000</f>
        <v>124.69409073086246</v>
      </c>
      <c r="S93" s="2537">
        <v>122.85</v>
      </c>
      <c r="T93" s="2537">
        <f>+T92/T20*1000</f>
        <v>120.97000000000001</v>
      </c>
      <c r="U93" s="2538">
        <f>+U92/U20*1000</f>
        <v>122.84999999999997</v>
      </c>
      <c r="V93" s="2538">
        <f>+V92/V20*1000</f>
        <v>123.9434966256657</v>
      </c>
      <c r="W93" s="2537">
        <v>122.84999999999998</v>
      </c>
      <c r="X93" s="2537">
        <f>+X92/X20*1000</f>
        <v>124.22</v>
      </c>
      <c r="Y93" s="3304">
        <f>+Y92/Y20*1000</f>
        <v>122.85000000000009</v>
      </c>
      <c r="Z93" s="2539">
        <f>+Z92/Z20*1000</f>
        <v>122.64024364414055</v>
      </c>
      <c r="AA93" s="2579">
        <f>+AA92/AA20*1000</f>
        <v>122.84999999999998</v>
      </c>
      <c r="AB93" s="2579">
        <f>+AB92/AB20*1000</f>
        <v>123.98816964169785</v>
      </c>
      <c r="AC93" s="2537">
        <v>122.84999999999998</v>
      </c>
      <c r="AD93" s="2537">
        <f>+AD92/AD20*1000</f>
        <v>126.35</v>
      </c>
      <c r="AE93" s="2538">
        <f>+AE92/AE20*1000</f>
        <v>122.84999999999998</v>
      </c>
      <c r="AF93" s="2538">
        <f>+AF92/AF20*1000</f>
        <v>124.25560044164125</v>
      </c>
      <c r="AG93" s="2537">
        <v>122.85</v>
      </c>
      <c r="AH93" s="2537">
        <f>+AH92/AH20*1000</f>
        <v>115.87</v>
      </c>
      <c r="AI93" s="2538">
        <f>+AI92/AI20*1000</f>
        <v>122.84999999999995</v>
      </c>
      <c r="AJ93" s="2538">
        <f>+AJ92/AJ20*1000</f>
        <v>123.19401259170353</v>
      </c>
      <c r="AK93" s="2537">
        <v>122.84999999999998</v>
      </c>
      <c r="AL93" s="2537">
        <f>+AL92/AL20*1000</f>
        <v>122.91000000000001</v>
      </c>
      <c r="AM93" s="2539">
        <f>+AM92/AM20*1000</f>
        <v>122.84999999999991</v>
      </c>
      <c r="AN93" s="2539">
        <f>+AN92/AN20*1000</f>
        <v>121.3569035296569</v>
      </c>
      <c r="AO93" s="2538">
        <f>+AO92/AO20*1000</f>
        <v>122.84999999999994</v>
      </c>
      <c r="AP93" s="2538">
        <f>+AP92/AP20*1000</f>
        <v>123.16149272130313</v>
      </c>
      <c r="AQ93" s="2537">
        <v>122</v>
      </c>
      <c r="AR93" s="2794">
        <f>+AR92/AR20*1000</f>
        <v>166.81076220777425</v>
      </c>
      <c r="AS93" s="2538">
        <f>+AS92/AS20*1000</f>
        <v>122.84999999999995</v>
      </c>
      <c r="AT93" s="2538">
        <f>+AT92/AT20*1000</f>
        <v>127.53483445071073</v>
      </c>
      <c r="AU93" s="2537">
        <v>122</v>
      </c>
      <c r="AV93" s="2794">
        <f>+AV92/AV20*1000</f>
        <v>182.45</v>
      </c>
      <c r="AW93" s="2538">
        <f>+AW92/AW20*1000</f>
        <v>122.84999999999995</v>
      </c>
      <c r="AX93" s="2538">
        <f>+AX92/AX20*1000</f>
        <v>131.66609949644564</v>
      </c>
      <c r="AY93" s="2537">
        <v>122</v>
      </c>
      <c r="AZ93" s="2794">
        <f>+AZ92/AZ20*1000</f>
        <v>149.53</v>
      </c>
      <c r="BA93" s="2539">
        <f t="shared" ref="BA93:BF93" si="307">+BA92/BA20*1000</f>
        <v>122.85000000000001</v>
      </c>
      <c r="BB93" s="2539">
        <f t="shared" si="307"/>
        <v>164.86534073740452</v>
      </c>
      <c r="BC93" s="2579">
        <f t="shared" si="307"/>
        <v>122.84999999999997</v>
      </c>
      <c r="BD93" s="2579">
        <f t="shared" si="307"/>
        <v>143.29570550530283</v>
      </c>
      <c r="BE93" s="2538">
        <f t="shared" si="307"/>
        <v>122.84999999999995</v>
      </c>
      <c r="BF93" s="38">
        <f t="shared" si="307"/>
        <v>133.26078317775421</v>
      </c>
      <c r="BG93" s="2446"/>
      <c r="BH93" s="2446"/>
      <c r="BI93" s="2445"/>
      <c r="BJ93" s="2445"/>
      <c r="BK93" s="3564"/>
      <c r="BL93" s="2445"/>
      <c r="BM93" s="3564"/>
      <c r="BN93" s="3564"/>
    </row>
    <row r="94" spans="1:66" ht="13.8" x14ac:dyDescent="0.25">
      <c r="B94" s="3324" t="s">
        <v>289</v>
      </c>
      <c r="C94" s="2803" t="s">
        <v>271</v>
      </c>
      <c r="D94" s="1965">
        <v>126</v>
      </c>
      <c r="E94" s="2546">
        <v>126</v>
      </c>
      <c r="F94" s="2537">
        <f>+F92/F5*1000</f>
        <v>129.64123277944162</v>
      </c>
      <c r="G94" s="2546">
        <v>126</v>
      </c>
      <c r="H94" s="2537">
        <f>+H92/H5*1000</f>
        <v>127.96098023140831</v>
      </c>
      <c r="I94" s="2538">
        <f>+I92/I5*1000</f>
        <v>126</v>
      </c>
      <c r="J94" s="38">
        <f>+J92/J5*1000</f>
        <v>128.74502082685314</v>
      </c>
      <c r="K94" s="2546">
        <v>126</v>
      </c>
      <c r="L94" s="2537">
        <f>+L92/L5*1000</f>
        <v>124.27164043983849</v>
      </c>
      <c r="M94" s="2539">
        <f>+M92/M5*1000</f>
        <v>126</v>
      </c>
      <c r="N94" s="2539">
        <f>+N92/N5*1000</f>
        <v>127.1600398334476</v>
      </c>
      <c r="O94" s="2546">
        <v>126</v>
      </c>
      <c r="P94" s="2537">
        <f>+P92/P5*1000</f>
        <v>124.43389951983349</v>
      </c>
      <c r="Q94" s="2538">
        <f>+Q92/Q5*1000</f>
        <v>126</v>
      </c>
      <c r="R94" s="2538">
        <f>+R92/R5*1000</f>
        <v>126.42498663333238</v>
      </c>
      <c r="S94" s="2546">
        <v>126</v>
      </c>
      <c r="T94" s="2537">
        <f>+T92/T5*1000</f>
        <v>122.5746386277365</v>
      </c>
      <c r="U94" s="2538">
        <f>+U92/U5*1000</f>
        <v>126.00000000000003</v>
      </c>
      <c r="V94" s="2538">
        <f>+V92/V5*1000</f>
        <v>125.64856837478095</v>
      </c>
      <c r="W94" s="2546">
        <v>126</v>
      </c>
      <c r="X94" s="2537">
        <f>+X92/X5*1000</f>
        <v>126.05443907126829</v>
      </c>
      <c r="Y94" s="2539">
        <f>+Y92/Y5*1000</f>
        <v>126</v>
      </c>
      <c r="Z94" s="2539">
        <f>+Z92/Z5*1000</f>
        <v>124.33059419520951</v>
      </c>
      <c r="AA94" s="2579">
        <f>+AA92/AA5*1000</f>
        <v>125.99999999999997</v>
      </c>
      <c r="AB94" s="2579">
        <f>+AB92/AB5*1000</f>
        <v>125.71408773008494</v>
      </c>
      <c r="AC94" s="2546">
        <v>126</v>
      </c>
      <c r="AD94" s="2537">
        <f>+AD92/AD5*1000</f>
        <v>128.27485253988536</v>
      </c>
      <c r="AE94" s="2538">
        <f>+AE92/AE5*1000</f>
        <v>126</v>
      </c>
      <c r="AF94" s="2538">
        <f>+AF92/AF5*1000</f>
        <v>126.00371103283614</v>
      </c>
      <c r="AG94" s="2546">
        <v>126</v>
      </c>
      <c r="AH94" s="2537">
        <f>+AH92/AH5*1000</f>
        <v>117.58051912401635</v>
      </c>
      <c r="AI94" s="2538">
        <f>+AI92/AI5*1000</f>
        <v>126</v>
      </c>
      <c r="AJ94" s="2538">
        <f>+AJ92/AJ5*1000</f>
        <v>124.93800099782517</v>
      </c>
      <c r="AK94" s="2546">
        <v>126</v>
      </c>
      <c r="AL94" s="2537">
        <f>+AL92/AL5*1000</f>
        <v>124.75182757664327</v>
      </c>
      <c r="AM94" s="2539">
        <f>+AM92/AM5*1000</f>
        <v>126</v>
      </c>
      <c r="AN94" s="2539">
        <f>+AN92/AN5*1000</f>
        <v>123.17423386018274</v>
      </c>
      <c r="AO94" s="2538">
        <f>+AO92/AO5*1000</f>
        <v>126</v>
      </c>
      <c r="AP94" s="2538">
        <f>+AP92/AP5*1000</f>
        <v>124.91669927403568</v>
      </c>
      <c r="AQ94" s="2546">
        <v>126</v>
      </c>
      <c r="AR94" s="2794">
        <f>+AR92/AR5*1000</f>
        <v>169.21073287524064</v>
      </c>
      <c r="AS94" s="2538">
        <f>+AS92/AS5*1000</f>
        <v>126</v>
      </c>
      <c r="AT94" s="2538">
        <f>+AT92/AT5*1000</f>
        <v>129.35410583225743</v>
      </c>
      <c r="AU94" s="2546">
        <v>126</v>
      </c>
      <c r="AV94" s="2794">
        <f>+AV92/AV5*1000</f>
        <v>185.21806951831192</v>
      </c>
      <c r="AW94" s="2538">
        <f>+AW92/AW5*1000</f>
        <v>125.99999999999997</v>
      </c>
      <c r="AX94" s="2538">
        <f>+AX92/AX5*1000</f>
        <v>133.55327723185394</v>
      </c>
      <c r="AY94" s="2546">
        <v>126</v>
      </c>
      <c r="AZ94" s="2794">
        <f>+AZ92/AZ5*1000</f>
        <v>151.68580061349692</v>
      </c>
      <c r="BA94" s="2539">
        <f t="shared" ref="BA94:BF94" si="308">+BA92/BA5*1000</f>
        <v>126</v>
      </c>
      <c r="BB94" s="2539">
        <f t="shared" si="308"/>
        <v>167.27569473164576</v>
      </c>
      <c r="BC94" s="2579">
        <f t="shared" si="308"/>
        <v>126</v>
      </c>
      <c r="BD94" s="2579">
        <f t="shared" si="308"/>
        <v>145.4159196636891</v>
      </c>
      <c r="BE94" s="2538">
        <f t="shared" si="308"/>
        <v>125.99999999999997</v>
      </c>
      <c r="BF94" s="38">
        <f t="shared" si="308"/>
        <v>135.17181822924704</v>
      </c>
      <c r="BG94" s="2446"/>
      <c r="BH94" s="2446"/>
      <c r="BI94" s="2445"/>
      <c r="BJ94" s="2445"/>
      <c r="BK94" s="3564"/>
      <c r="BL94" s="2445"/>
      <c r="BM94" s="3564"/>
      <c r="BN94" s="3564"/>
    </row>
    <row r="95" spans="1:66" ht="13.8" x14ac:dyDescent="0.25">
      <c r="B95" s="3324" t="s">
        <v>290</v>
      </c>
      <c r="C95" s="2803" t="s">
        <v>451</v>
      </c>
      <c r="D95" s="1110">
        <f>+D96*D5/1000</f>
        <v>141270.96317280454</v>
      </c>
      <c r="E95" s="2599">
        <f>+E96*E5/1000</f>
        <v>12092.634560906501</v>
      </c>
      <c r="F95" s="2599">
        <f>10479086/1000</f>
        <v>10479.085999999999</v>
      </c>
      <c r="G95" s="2599">
        <f>+G96*G5/1000</f>
        <v>12477.90368271954</v>
      </c>
      <c r="H95" s="2599">
        <v>11942.972</v>
      </c>
      <c r="I95" s="2538">
        <f>+E95+G95</f>
        <v>24570.538243626041</v>
      </c>
      <c r="J95" s="38">
        <f>+F95+H95</f>
        <v>22422.057999999997</v>
      </c>
      <c r="K95" s="2599">
        <f>+K96*K5/1000</f>
        <v>12092.634560906501</v>
      </c>
      <c r="L95" s="2599">
        <v>12438.977000000001</v>
      </c>
      <c r="M95" s="2539">
        <f>+K95+G95+E95</f>
        <v>36663.172804532544</v>
      </c>
      <c r="N95" s="2539">
        <f>+L95+H95+F95</f>
        <v>34861.035000000003</v>
      </c>
      <c r="O95" s="2599">
        <f>+O96*O5/1000</f>
        <v>12237.110481586404</v>
      </c>
      <c r="P95" s="2599">
        <v>13341.602000000001</v>
      </c>
      <c r="Q95" s="2538">
        <f>+M95+O95</f>
        <v>48900.283286118945</v>
      </c>
      <c r="R95" s="2538">
        <f>+N95+P95</f>
        <v>48202.637000000002</v>
      </c>
      <c r="S95" s="2599">
        <f>+S96*S5/1000</f>
        <v>12237.110481586404</v>
      </c>
      <c r="T95" s="2599">
        <v>12537.81</v>
      </c>
      <c r="U95" s="2538">
        <f>+Q95+S95</f>
        <v>61137.393767705347</v>
      </c>
      <c r="V95" s="2538">
        <f>+R95+T95</f>
        <v>60740.447</v>
      </c>
      <c r="W95" s="2599">
        <f>+W96*W5/1000</f>
        <v>6421.9546742209868</v>
      </c>
      <c r="X95" s="2599">
        <f>11751865/1000</f>
        <v>11751.865</v>
      </c>
      <c r="Y95" s="2539">
        <f>+W95+S95+O95</f>
        <v>30896.175637393797</v>
      </c>
      <c r="Z95" s="2539">
        <f>+X95+T95+P95</f>
        <v>37631.277000000002</v>
      </c>
      <c r="AA95" s="2579">
        <f>+Y95+M95</f>
        <v>67559.34844192634</v>
      </c>
      <c r="AB95" s="2579">
        <f>+Z95+N95</f>
        <v>72492.312000000005</v>
      </c>
      <c r="AC95" s="2599">
        <f>+AC96*AC5/1000</f>
        <v>12477.90368271954</v>
      </c>
      <c r="AD95" s="2599">
        <f>9163436/1000</f>
        <v>9163.4359999999997</v>
      </c>
      <c r="AE95" s="2538">
        <f>+AA95+AC95</f>
        <v>80037.252124645878</v>
      </c>
      <c r="AF95" s="2538">
        <f>+AB95+AD95</f>
        <v>81655.748000000007</v>
      </c>
      <c r="AG95" s="2599">
        <f>+AG96*AG5/1000</f>
        <v>12092.634560906501</v>
      </c>
      <c r="AH95" s="2599">
        <f>11687079/1000</f>
        <v>11687.079</v>
      </c>
      <c r="AI95" s="2538">
        <f>+AE95+AG95</f>
        <v>92129.886685552381</v>
      </c>
      <c r="AJ95" s="2538">
        <f>+AF95+AH95</f>
        <v>93342.827000000005</v>
      </c>
      <c r="AK95" s="2599">
        <f>+AK96*AK5/1000</f>
        <v>12477.90368271954</v>
      </c>
      <c r="AL95" s="2599">
        <f>11907592/1000</f>
        <v>11907.592000000001</v>
      </c>
      <c r="AM95" s="2539">
        <f>+AK95+AG95+AC95</f>
        <v>37048.441926345578</v>
      </c>
      <c r="AN95" s="2539">
        <f>+AL95+AH95+AD95</f>
        <v>32758.107000000004</v>
      </c>
      <c r="AO95" s="2538">
        <f t="shared" ref="AO95:AP95" si="309">+AK95+AI95</f>
        <v>104607.79036827192</v>
      </c>
      <c r="AP95" s="2538">
        <f t="shared" si="309"/>
        <v>105250.41900000001</v>
      </c>
      <c r="AQ95" s="2599">
        <f>+AQ96*AQ5/1000</f>
        <v>12670.538243626062</v>
      </c>
      <c r="AR95" s="2599">
        <f>11594640/1000</f>
        <v>11594.64</v>
      </c>
      <c r="AS95" s="2538">
        <f>+AO95+AQ95</f>
        <v>117278.32861189797</v>
      </c>
      <c r="AT95" s="2538">
        <f>+AP95+AR95</f>
        <v>116845.05900000001</v>
      </c>
      <c r="AU95" s="2599">
        <f>+AU96*AU5/1000</f>
        <v>11322.096317280453</v>
      </c>
      <c r="AV95" s="2599">
        <v>9493.2739999999994</v>
      </c>
      <c r="AW95" s="2538">
        <f>+AS95+AU95</f>
        <v>128600.42492917842</v>
      </c>
      <c r="AX95" s="2538">
        <f>+AT95+AV95</f>
        <v>126338.33300000001</v>
      </c>
      <c r="AY95" s="2599">
        <f>+AY96*AY5/1000</f>
        <v>12670.538243626062</v>
      </c>
      <c r="AZ95" s="2599">
        <v>12118.648999999999</v>
      </c>
      <c r="BA95" s="2539">
        <f>+AY95+AU95+AQ95</f>
        <v>36663.17280453258</v>
      </c>
      <c r="BB95" s="2539">
        <f>+AZ95+AV95+AR95</f>
        <v>33206.562999999995</v>
      </c>
      <c r="BC95" s="2579">
        <f t="shared" ref="BC95" si="310">+BA95+AM95</f>
        <v>73711.614730878151</v>
      </c>
      <c r="BD95" s="2579">
        <f t="shared" ref="BD95" si="311">+BB95+AN95</f>
        <v>65964.67</v>
      </c>
      <c r="BE95" s="2538">
        <f>+AW95+AY95</f>
        <v>141270.96317280448</v>
      </c>
      <c r="BF95" s="38">
        <f>+AX95+AZ95</f>
        <v>138456.98200000002</v>
      </c>
      <c r="BG95" s="2446"/>
      <c r="BH95" s="2446"/>
      <c r="BI95" s="2445"/>
      <c r="BJ95" s="2445"/>
      <c r="BK95" s="3564"/>
      <c r="BL95" s="2445"/>
      <c r="BM95" s="3564"/>
      <c r="BN95" s="3564"/>
    </row>
    <row r="96" spans="1:66" ht="13.8" x14ac:dyDescent="0.25">
      <c r="B96" s="3324" t="s">
        <v>291</v>
      </c>
      <c r="C96" s="2803" t="s">
        <v>273</v>
      </c>
      <c r="D96" s="1965">
        <v>51</v>
      </c>
      <c r="E96" s="2546">
        <v>51</v>
      </c>
      <c r="F96" s="2537">
        <f>+(F95*1000)/F5</f>
        <v>50.618713167809872</v>
      </c>
      <c r="G96" s="2546">
        <v>51</v>
      </c>
      <c r="H96" s="2537">
        <f>+(H95*1000)/H5</f>
        <v>50.469375163752233</v>
      </c>
      <c r="I96" s="3058">
        <f>+(I95*1000)/I5</f>
        <v>51</v>
      </c>
      <c r="J96" s="105">
        <f>+(J95*1000)/J5</f>
        <v>50.539059365547331</v>
      </c>
      <c r="K96" s="2794">
        <v>51</v>
      </c>
      <c r="L96" s="2794">
        <f>+(L95*1000)/L5</f>
        <v>51.093956533704656</v>
      </c>
      <c r="M96" s="3304">
        <f>+(M95*1000)/M5</f>
        <v>51</v>
      </c>
      <c r="N96" s="3304">
        <f>+(N95*1000)/N5</f>
        <v>50.735667162947472</v>
      </c>
      <c r="O96" s="2794">
        <v>51</v>
      </c>
      <c r="P96" s="2794">
        <f>+(P95*1000)/P5</f>
        <v>52.595982054860407</v>
      </c>
      <c r="Q96" s="2873">
        <f>+(Q95*1000)/Q5</f>
        <v>51</v>
      </c>
      <c r="R96" s="2873">
        <f>+(R95*1000)/R5</f>
        <v>51.237266588220535</v>
      </c>
      <c r="S96" s="2794">
        <v>51</v>
      </c>
      <c r="T96" s="2794">
        <f>+(T95*1000)/T5</f>
        <v>52.763675080590183</v>
      </c>
      <c r="U96" s="2873">
        <f>+(U95*1000)/U5</f>
        <v>50.999999999999993</v>
      </c>
      <c r="V96" s="2873">
        <f>+(V95*1000)/V5</f>
        <v>51.54506510974673</v>
      </c>
      <c r="W96" s="2794">
        <v>51</v>
      </c>
      <c r="X96" s="2794">
        <f>+(X95*1000)/X5</f>
        <v>51.805247589785182</v>
      </c>
      <c r="Y96" s="2539">
        <f>+(Y95*1000)/Y5</f>
        <v>51.000000000000007</v>
      </c>
      <c r="Z96" s="3322">
        <f>+(Z95*1000)/Z5</f>
        <v>52.40168854986068</v>
      </c>
      <c r="AA96" s="2579">
        <f>+(AA95*1000)/AA5</f>
        <v>51</v>
      </c>
      <c r="AB96" s="3323">
        <f>+(AB95*1000)/AB5</f>
        <v>51.587066142344163</v>
      </c>
      <c r="AC96" s="2794">
        <v>51</v>
      </c>
      <c r="AD96" s="2794">
        <f>+(AD95*1000)/AD5</f>
        <v>51.134960184373973</v>
      </c>
      <c r="AE96" s="2873">
        <f>+(AE95*1000)/AE5</f>
        <v>51</v>
      </c>
      <c r="AF96" s="2873">
        <f>+(AF95*1000)/AF5</f>
        <v>51.535932816769048</v>
      </c>
      <c r="AG96" s="2794">
        <v>51</v>
      </c>
      <c r="AH96" s="2794">
        <f>+(AH95*1000)/AH5</f>
        <v>50.923647724202837</v>
      </c>
      <c r="AI96" s="2873">
        <f>+(AI95*1000)/AI5</f>
        <v>51.000000000000007</v>
      </c>
      <c r="AJ96" s="2873">
        <f>+(AJ95*1000)/AJ5</f>
        <v>51.458465940257284</v>
      </c>
      <c r="AK96" s="2794">
        <v>51</v>
      </c>
      <c r="AL96" s="2794">
        <f>+(AL95*1000)/AL5</f>
        <v>50.807893670129928</v>
      </c>
      <c r="AM96" s="2539">
        <f>+(AM95*1000)/AM5</f>
        <v>50.999999999999993</v>
      </c>
      <c r="AN96" s="3322">
        <f>+(AN95*1000)/AN5</f>
        <v>50.940346899550285</v>
      </c>
      <c r="AO96" s="2873">
        <f>+(AO95*1000)/AO5</f>
        <v>50.999999999999993</v>
      </c>
      <c r="AP96" s="2873">
        <f>+(AP95*1000)/AP5</f>
        <v>51.384028296498094</v>
      </c>
      <c r="AQ96" s="2546">
        <v>51</v>
      </c>
      <c r="AR96" s="2537">
        <f>+(AR95*1000)/AR5</f>
        <v>50.843203374742927</v>
      </c>
      <c r="AS96" s="3058">
        <f>+(AS95*1000)/AS5</f>
        <v>50.999999999999993</v>
      </c>
      <c r="AT96" s="3058">
        <f>+(AT95*1000)/AT5</f>
        <v>51.329848086218469</v>
      </c>
      <c r="AU96" s="2546">
        <v>51</v>
      </c>
      <c r="AV96" s="2537">
        <f>+(AV95*1000)/AV5</f>
        <v>51.310556924806505</v>
      </c>
      <c r="AW96" s="3058">
        <f>+(AW95*1000)/AW5</f>
        <v>50.999999999999986</v>
      </c>
      <c r="AX96" s="3058">
        <f>+(AX95*1000)/AX5</f>
        <v>51.328398012003873</v>
      </c>
      <c r="AY96" s="2546">
        <v>51</v>
      </c>
      <c r="AZ96" s="2537">
        <f>+(AZ95*1000)/AZ5</f>
        <v>50.234824241419332</v>
      </c>
      <c r="BA96" s="2539">
        <f t="shared" ref="BA96:BF96" si="312">+(BA95*1000)/BA5</f>
        <v>51</v>
      </c>
      <c r="BB96" s="3322">
        <f t="shared" si="312"/>
        <v>50.751048061830673</v>
      </c>
      <c r="BC96" s="2579">
        <f t="shared" si="312"/>
        <v>50.999999999999986</v>
      </c>
      <c r="BD96" s="3323">
        <f t="shared" si="312"/>
        <v>50.844877833711408</v>
      </c>
      <c r="BE96" s="2873">
        <f t="shared" si="312"/>
        <v>50.999999999999986</v>
      </c>
      <c r="BF96" s="2806">
        <f t="shared" si="312"/>
        <v>51.23078368971067</v>
      </c>
      <c r="BG96" s="2446"/>
      <c r="BH96" s="2446"/>
      <c r="BI96" s="2445"/>
      <c r="BJ96" s="2445"/>
      <c r="BK96" s="3564"/>
      <c r="BL96" s="2445"/>
      <c r="BM96" s="3564"/>
      <c r="BN96" s="3564"/>
    </row>
    <row r="97" spans="2:66" ht="13.8" x14ac:dyDescent="0.25">
      <c r="B97" s="9" t="s">
        <v>292</v>
      </c>
      <c r="C97" s="2803" t="s">
        <v>301</v>
      </c>
      <c r="D97" s="1333">
        <v>4.922221487324034</v>
      </c>
      <c r="E97" s="2795">
        <f>+(EMD!D31+EMD!D33)/24/E$2</f>
        <v>5.1580767490048887</v>
      </c>
      <c r="F97" s="2795">
        <f>+(EMD!E31+EMD!E33)/24/F$2</f>
        <v>4.9763888888888888</v>
      </c>
      <c r="G97" s="2795">
        <f>+(EMD!F31+EMD!F33)/24/G$2</f>
        <v>5.1486119720548036</v>
      </c>
      <c r="H97" s="2795">
        <f>+(EMD!G31+EMD!G33)/24/H$2</f>
        <v>5.028225806451613</v>
      </c>
      <c r="I97" s="2873">
        <f>+((E97*E2)+(G97*G2))/I2</f>
        <v>5.1532667803909114</v>
      </c>
      <c r="J97" s="2806">
        <f>+((F97*F2)+(H97*H2))/J2</f>
        <v>5.0027322404371581</v>
      </c>
      <c r="K97" s="2795">
        <f>+(EMD!J31+EMD!J33)/24/K$2</f>
        <v>5.1580767490048887</v>
      </c>
      <c r="L97" s="2795">
        <f>+(EMD!K31+EMD!K33)/24/L$2</f>
        <v>4.9874999999999998</v>
      </c>
      <c r="M97" s="3322">
        <f>+((E97*E2)+(G97*G2)+(K97*K2))/M2</f>
        <v>5.1548524843295844</v>
      </c>
      <c r="N97" s="3322">
        <f>+((F97*F2)+(H97*H2)+(L97*L2))/N2</f>
        <v>4.9977106227106223</v>
      </c>
      <c r="O97" s="2795">
        <f>+(EMD!N31+EMD!N33)/24/O$2</f>
        <v>5.0207095808374529</v>
      </c>
      <c r="P97" s="2795">
        <f>+(EMD!O31+EMD!O33)/24/P$2</f>
        <v>5.000013440860215</v>
      </c>
      <c r="Q97" s="2873">
        <f>+((M97*M2)+(O97*O2))/Q2</f>
        <v>5.1207669924586332</v>
      </c>
      <c r="R97" s="2873">
        <f>+((N97*N2)+(P97*P2))/R2</f>
        <v>4.9982957650273221</v>
      </c>
      <c r="S97" s="2795">
        <f>+(EMD!R31+EMD!R33)/24/S$2</f>
        <v>5.0207095808374529</v>
      </c>
      <c r="T97" s="2795">
        <f>+(EMD!S31+EMD!S33)/24/T$2</f>
        <v>4.8797580645161291</v>
      </c>
      <c r="U97" s="2873">
        <f>+((Q97*Q2)+(S97*S2))/U2</f>
        <v>5.1004939221301582</v>
      </c>
      <c r="V97" s="2873">
        <f>+((R97*R2)+(T97*T2))/V2</f>
        <v>4.9742783224400871</v>
      </c>
      <c r="W97" s="2795">
        <f>+(EMD!V31+EMD!V33)/24/W$2</f>
        <v>2.4242702835826866</v>
      </c>
      <c r="X97" s="2795">
        <f>+(EMD!W31+EMD!W33)/24/X$2</f>
        <v>4.9930972222222225</v>
      </c>
      <c r="Y97" s="3322">
        <f>+((O97*O2)+(S97*S2)+(W97*W2))/Y2</f>
        <v>4.1740445926022032</v>
      </c>
      <c r="Z97" s="3322">
        <f>+((P97*P2)+(T97*T2)+(X97*X2))/Z2</f>
        <v>4.9572373188405798</v>
      </c>
      <c r="AA97" s="3323">
        <f>+((Y97*Y2)+(M97*M2))/AA2</f>
        <v>4.6617687354830322</v>
      </c>
      <c r="AB97" s="3323">
        <f>+((Z97*Z2)+(N97*N2))/AB2</f>
        <v>4.9773633879781416</v>
      </c>
      <c r="AC97" s="2795">
        <f>+(EMD!AB31+EMD!AB33)/24/AC$2</f>
        <v>5.1486119720548036</v>
      </c>
      <c r="AD97" s="2795">
        <f>+(EMD!AC31+EMD!AC33)/24/AD$2</f>
        <v>4.5689516129032262</v>
      </c>
      <c r="AE97" s="2873">
        <f>+((AA97*AA2)+(AC97*AC2))/AE2</f>
        <v>4.7322927557340835</v>
      </c>
      <c r="AF97" s="2873">
        <f>+((AB97*AB2)+(AD97*AD2))/AF2</f>
        <v>4.9182009345794384</v>
      </c>
      <c r="AG97" s="2795">
        <f>+(EMD!AF31+EMD!AF33)/24/AG$2</f>
        <v>5.1580767490048887</v>
      </c>
      <c r="AH97" s="2795">
        <f>+(EMD!AG31+EMD!AG33)/24/AH$2</f>
        <v>5.0001388888888885</v>
      </c>
      <c r="AI97" s="2873">
        <f>+((AE97*AE2)+(AG97*AG2))/AI2</f>
        <v>4.7846432467100017</v>
      </c>
      <c r="AJ97" s="2873">
        <f>+((AF97*AF2)+(AH97*AH2))/AJ2</f>
        <v>4.9282752732240427</v>
      </c>
      <c r="AK97" s="2795">
        <f>+(EMD!AJ31+EMD!AJ33)/24/AK$2</f>
        <v>5.1486119720548036</v>
      </c>
      <c r="AL97" s="2795">
        <f>+(EMD!AK31+EMD!AK33)/24/AL$2</f>
        <v>5.002016129032258</v>
      </c>
      <c r="AM97" s="3322">
        <f>+((AC97*AC2)+(AG97*AG2)+(AK97*AK2))/AM2</f>
        <v>5.1516983123646138</v>
      </c>
      <c r="AN97" s="3322">
        <f>+((AD97*AD2)+(AH97*AH2)+(AL97*AL2))/AN2</f>
        <v>4.8554800724637683</v>
      </c>
      <c r="AO97" s="2873">
        <f>+((AK97*AK2)+(AI97*AI2))/AO2</f>
        <v>4.8256724484761424</v>
      </c>
      <c r="AP97" s="2873">
        <f>+((AL97*AL2)+(AJ97*AJ2))/AP2</f>
        <v>4.9365878787878783</v>
      </c>
      <c r="AQ97" s="2795">
        <f>+(EMD!AP31+EMD!AP33)/24/AQ$2</f>
        <v>5.2509338850286849</v>
      </c>
      <c r="AR97" s="2615">
        <f>+(EMD!AQ31+EMD!AQ33)/24/AR$2</f>
        <v>4.946236559139785</v>
      </c>
      <c r="AS97" s="2873">
        <f>+((AO97*AO2)+(AQ97*AQ2))/AS2</f>
        <v>4.86875448943408</v>
      </c>
      <c r="AT97" s="2873">
        <f>+((AP97*AP2)+(AR97*AR2))/AT2</f>
        <v>4.9375653594771229</v>
      </c>
      <c r="AU97" s="2795">
        <f>+(EMD!AT31+EMD!AT33)/24/AU$2</f>
        <v>5.1790344693943595</v>
      </c>
      <c r="AV97" s="2615">
        <f>+(EMD!AU31+EMD!AU33)/24/AV$2</f>
        <v>4.8488095238095239</v>
      </c>
      <c r="AW97" s="2873">
        <f>+((AS97*AS2)+(AU97*AU2))/AW2</f>
        <v>4.8947659847600917</v>
      </c>
      <c r="AX97" s="2873">
        <f>+((AT97*AT2)+(AV97*AV2))/AX2</f>
        <v>4.9301247504990009</v>
      </c>
      <c r="AY97" s="2795">
        <f>+(EMD!AX31+EMD!AX33)/24/AY$2</f>
        <v>5.2509338850286849</v>
      </c>
      <c r="AZ97" s="2615">
        <f>+(EMD!AY31+EMD!AY33)/24/AZ$2</f>
        <v>4.8844489247311831</v>
      </c>
      <c r="BA97" s="3322">
        <f>+((AQ97*AQ2)+(AU97*AU2)+(AY97*AY2))/BA2</f>
        <v>5.2285651779424507</v>
      </c>
      <c r="BB97" s="3322">
        <f>+((AR97*AR2)+(AV97*AV2)+(AZ97*AZ2))/BB2</f>
        <v>4.8946435185185191</v>
      </c>
      <c r="BC97" s="3323">
        <f>+((BA97*BA2)+(AM97*AM2))/BC2</f>
        <v>5.1897093997382697</v>
      </c>
      <c r="BD97" s="3323">
        <f>+((BB97*BB2)+(AN97*AN2))/BD2</f>
        <v>4.8748466117216127</v>
      </c>
      <c r="BE97" s="2873">
        <f>+((AW97*AW2)+(AY97*AY2))/BE2</f>
        <v>4.9250158612212598</v>
      </c>
      <c r="BF97" s="2806">
        <f>+((AX97*AX2)+(AZ97*AZ2))/BF2</f>
        <v>4.9262454337899539</v>
      </c>
      <c r="BG97" s="2446"/>
      <c r="BH97" s="2446"/>
      <c r="BI97" s="2445"/>
      <c r="BJ97" s="2445"/>
      <c r="BK97" s="3564"/>
      <c r="BL97" s="2445"/>
      <c r="BM97" s="3564"/>
      <c r="BN97" s="3564"/>
    </row>
    <row r="98" spans="2:66" ht="13.8" x14ac:dyDescent="0.25">
      <c r="B98" s="9" t="s">
        <v>518</v>
      </c>
      <c r="C98" s="2803" t="s">
        <v>625</v>
      </c>
      <c r="D98" s="1333">
        <v>0.53776671032800039</v>
      </c>
      <c r="E98" s="2795">
        <f>+(EMD!D102)/24/E$2</f>
        <v>0.6</v>
      </c>
      <c r="F98" s="2795">
        <f>+(EMD!E102)/24/F$2</f>
        <v>0.62955132722574558</v>
      </c>
      <c r="G98" s="2795">
        <f>+(EMD!F102)/24/G$2</f>
        <v>0.6</v>
      </c>
      <c r="H98" s="2795">
        <f>+(EMD!G102)/24/H$2</f>
        <v>0.62913455636636406</v>
      </c>
      <c r="I98" s="2873">
        <f>+((E98*E2)+(G98*G2))/I2</f>
        <v>0.59999999999999987</v>
      </c>
      <c r="J98" s="2806">
        <f>+((F98*F2)+(H98*H2))/J2</f>
        <v>0.62933952564146978</v>
      </c>
      <c r="K98" s="2795">
        <f>+(EMD!J102)/24/K$2</f>
        <v>0.6</v>
      </c>
      <c r="L98" s="2795">
        <f>+(EMD!K102)/24/L$2</f>
        <v>0.62682424242424217</v>
      </c>
      <c r="M98" s="3322">
        <f>+((E98*E2)+(G98*G2)+(K98*K2))/M2</f>
        <v>0.6</v>
      </c>
      <c r="N98" s="3322">
        <f>+((F98*F2)+(H98*H2)+(L98*L2))/N2</f>
        <v>0.62851031139403213</v>
      </c>
      <c r="O98" s="2795">
        <f>+(EMD!N102)/24/O$2</f>
        <v>0.6</v>
      </c>
      <c r="P98" s="2795">
        <f>+(EMD!O102)/24/P$2</f>
        <v>0.63333504682988906</v>
      </c>
      <c r="Q98" s="3058">
        <f>+((M98*M2)+(O98*O2))/Q2</f>
        <v>0.6</v>
      </c>
      <c r="R98" s="3058">
        <f>+((N98*N2)+(P98*P2))/R2</f>
        <v>0.629736268758881</v>
      </c>
      <c r="S98" s="2795">
        <f>+(EMD!R102)/24/S$2</f>
        <v>0.6</v>
      </c>
      <c r="T98" s="2795">
        <f>+(EMD!S102)/24/T$2</f>
        <v>0.62669780513310136</v>
      </c>
      <c r="U98" s="2873">
        <f>+((Q98*Q2)+(S98*S2))/U2</f>
        <v>0.6</v>
      </c>
      <c r="V98" s="2873">
        <f>+((R98*R2)+(T98*T2))/V2</f>
        <v>0.62912063233797144</v>
      </c>
      <c r="W98" s="2795">
        <f>+(EMD!V102)/24/W$2</f>
        <v>0.4</v>
      </c>
      <c r="X98" s="2795">
        <f>+(EMD!W102)/24/X$2</f>
        <v>0.63647638888888891</v>
      </c>
      <c r="Y98" s="3322">
        <f>+((O98*O2)+(S98*S2)+(W98*W2))/Y2</f>
        <v>0.53478260869565208</v>
      </c>
      <c r="Z98" s="3322">
        <f>+((P98*P2)+(T98*T2)+(X98*X2))/Z2</f>
        <v>0.6321229356252106</v>
      </c>
      <c r="AA98" s="3323">
        <f>+((Y98*Y2)+(M98*M2))/AA2</f>
        <v>0.5672131147540983</v>
      </c>
      <c r="AB98" s="3323">
        <f>+((Z98*Z2)+(N98*N2))/AB2</f>
        <v>0.63032649406763008</v>
      </c>
      <c r="AC98" s="2795">
        <f>+(EMD!AB102)/24/AC$2</f>
        <v>0.6</v>
      </c>
      <c r="AD98" s="2795">
        <f>+(EMD!AC102)/24/AD$2</f>
        <v>0.53958064516129034</v>
      </c>
      <c r="AE98" s="2873">
        <f>+((AA98*AA2)+(AC98*AC2))/AE2</f>
        <v>0.57196261682242977</v>
      </c>
      <c r="AF98" s="2873">
        <f>+((AB98*AB2)+(AD98*AD2))/AF2</f>
        <v>0.6171810673568987</v>
      </c>
      <c r="AG98" s="2795">
        <f>+(EMD!AF102)/24/AG$2</f>
        <v>0.52147928467005666</v>
      </c>
      <c r="AH98" s="2795">
        <f>+(EMD!AG102)/24/AH$2</f>
        <v>0.63059305555555556</v>
      </c>
      <c r="AI98" s="2873">
        <f>+((AE98*AE2)+(AG98*AG2))/AI2</f>
        <v>0.56575564975451509</v>
      </c>
      <c r="AJ98" s="2873">
        <f>+((AF98*AF2)+(AH98*AH2))/AJ2</f>
        <v>0.61883008229935643</v>
      </c>
      <c r="AK98" s="2795">
        <f>+(EMD!AJ102)/24/AK$2</f>
        <v>0.50547852932303983</v>
      </c>
      <c r="AL98" s="2795">
        <f>+(EMD!AK102)/24/AL$2</f>
        <v>0.6163472686353404</v>
      </c>
      <c r="AM98" s="3322">
        <f>+((AC98*AC2)+(AG98*AG2)+(AK98*AK2))/AM2</f>
        <v>0.54254579292517324</v>
      </c>
      <c r="AN98" s="3322">
        <f>+((AD98*AD2)+(AH98*AH2)+(AL98*AL2))/AN2</f>
        <v>0.59512561950393716</v>
      </c>
      <c r="AO98" s="3058">
        <f>+((AK98*AK2)+(AI98*AI2))/AO2</f>
        <v>0.55896077436042158</v>
      </c>
      <c r="AP98" s="3058">
        <f>+((AL98*AL2)+(AJ98*AJ2))/AP2</f>
        <v>0.61855020148632189</v>
      </c>
      <c r="AQ98" s="2795">
        <f>+(EMD!AP102)/24/AQ$2</f>
        <v>0.50547852932303983</v>
      </c>
      <c r="AR98" s="2615">
        <f>+(EMD!AQ102)/24/AR$2</f>
        <v>0.61671102150537638</v>
      </c>
      <c r="AS98" s="3058">
        <f>+((AO98*AO2)+(AQ98*AQ2))/AS2</f>
        <v>0.55354263842526197</v>
      </c>
      <c r="AT98" s="3058">
        <f>+((AP98*AP2)+(AR98*AR2))/AT2</f>
        <v>0.61836387933138948</v>
      </c>
      <c r="AU98" s="2795">
        <f>+(EMD!AT102)/24/AU$2</f>
        <v>0.33967741141855878</v>
      </c>
      <c r="AV98" s="2615">
        <f>+(EMD!AU102)/24/AV$2</f>
        <v>0.59550892857142856</v>
      </c>
      <c r="AW98" s="3058">
        <f>+((AS98*AS2)+(AU98*AU2))/AW2</f>
        <v>0.53561381699955035</v>
      </c>
      <c r="AX98" s="3058">
        <f>+((AT98*AT2)+(AV98*AV2))/AX2</f>
        <v>0.61644789543534484</v>
      </c>
      <c r="AY98" s="2795">
        <f>+(EMD!AX102)/24/AY$2</f>
        <v>0.6</v>
      </c>
      <c r="AZ98" s="2615">
        <f>+(EMD!AY102)/24/AZ$2</f>
        <v>1.0068575268817204</v>
      </c>
      <c r="BA98" s="3322">
        <f>+((AQ98*AQ2)+(AU98*AU2)+(AY98*AY2))/BA2</f>
        <v>0.48645335476370977</v>
      </c>
      <c r="BB98" s="3322">
        <f>+((AR98*AR2)+(AV98*AV2)+(AZ98*AZ2))/BB2</f>
        <v>0.74449861111111104</v>
      </c>
      <c r="BC98" s="3323">
        <f>+((BA98*BA2)+(AM98*AM2))/BC2</f>
        <v>0.51480777405411982</v>
      </c>
      <c r="BD98" s="3323">
        <f>+((BB98*BB2)+(AN98*AN2))/BD2</f>
        <v>0.66899138458440777</v>
      </c>
      <c r="BE98" s="3058">
        <f>+((AW98*AW2)+(AY98*AY2))/BE2</f>
        <v>0.54108223254205423</v>
      </c>
      <c r="BF98" s="105">
        <f>+((AX98*AX2)+(AZ98*AZ2))/BF2</f>
        <v>0.64960597372257123</v>
      </c>
      <c r="BG98" s="2446"/>
      <c r="BH98" s="2446"/>
      <c r="BI98" s="2445"/>
      <c r="BJ98" s="2445"/>
      <c r="BK98" s="3564"/>
      <c r="BL98" s="2445"/>
      <c r="BM98" s="3564"/>
      <c r="BN98" s="3564"/>
    </row>
    <row r="99" spans="2:66" ht="13.8" x14ac:dyDescent="0.25">
      <c r="B99" s="9" t="s">
        <v>293</v>
      </c>
      <c r="C99" s="2803" t="s">
        <v>213</v>
      </c>
      <c r="D99" s="152">
        <f>28.8482416884123*365*24*1000</f>
        <v>252710597.19049174</v>
      </c>
      <c r="E99" s="2599">
        <f>+'POWER DISTRIBUTION'!I24</f>
        <v>21577053.824362602</v>
      </c>
      <c r="F99" s="2599">
        <f>+'POWER DISTRIBUTION'!J24</f>
        <v>19132360.000000007</v>
      </c>
      <c r="G99" s="2599">
        <f>+'POWER DISTRIBUTION'!K24</f>
        <v>22264494.80642115</v>
      </c>
      <c r="H99" s="2599">
        <f>+'POWER DISTRIBUTION'!L24</f>
        <v>20855320.000000004</v>
      </c>
      <c r="I99" s="2538">
        <f>+E99+G99</f>
        <v>43841548.630783752</v>
      </c>
      <c r="J99" s="38">
        <f>+F99+H99</f>
        <v>39987680.000000015</v>
      </c>
      <c r="K99" s="2599">
        <f>+'POWER DISTRIBUTION'!O24</f>
        <v>21577053.824362602</v>
      </c>
      <c r="L99" s="2599">
        <f>+'POWER DISTRIBUTION'!P24</f>
        <v>19860070</v>
      </c>
      <c r="M99" s="2539">
        <f>+K99+G99+E99</f>
        <v>65418602.455146357</v>
      </c>
      <c r="N99" s="2539">
        <f>+L99+H99+F99</f>
        <v>59847750.000000007</v>
      </c>
      <c r="O99" s="2599">
        <f>+'POWER DISTRIBUTION'!S24</f>
        <v>21834844.192634564</v>
      </c>
      <c r="P99" s="2599">
        <f>+'POWER DISTRIBUTION'!T24</f>
        <v>20412479.999999993</v>
      </c>
      <c r="Q99" s="2538">
        <f>+M99+O99</f>
        <v>87253446.647780925</v>
      </c>
      <c r="R99" s="2538">
        <f>+N99+P99</f>
        <v>80260230</v>
      </c>
      <c r="S99" s="2599">
        <f>+'POWER DISTRIBUTION'!W24</f>
        <v>21834844.192634564</v>
      </c>
      <c r="T99" s="2599">
        <f>+'POWER DISTRIBUTION'!X24</f>
        <v>19977985.000000007</v>
      </c>
      <c r="U99" s="2538">
        <f>+Q99+S99</f>
        <v>109088290.84041549</v>
      </c>
      <c r="V99" s="2538">
        <f>+R99+T99</f>
        <v>100238215</v>
      </c>
      <c r="W99" s="2599">
        <f>+'POWER DISTRIBUTION'!AA24</f>
        <v>12214781.869688384</v>
      </c>
      <c r="X99" s="2599">
        <f>+'POWER DISTRIBUTION'!AB24</f>
        <v>19075500</v>
      </c>
      <c r="Y99" s="2539">
        <f>+W99+S99+O99</f>
        <v>55884470.254957512</v>
      </c>
      <c r="Z99" s="2539">
        <f>+X99+T99+P99</f>
        <v>59465965</v>
      </c>
      <c r="AA99" s="2579">
        <f>+Y99+M99</f>
        <v>121303072.71010387</v>
      </c>
      <c r="AB99" s="2579">
        <f>+Z99+N99</f>
        <v>119313715</v>
      </c>
      <c r="AC99" s="2599">
        <f>+'POWER DISTRIBUTION'!AG24</f>
        <v>22264494.80642115</v>
      </c>
      <c r="AD99" s="2599">
        <f>+'POWER DISTRIBUTION'!AH24</f>
        <v>17140469.999999993</v>
      </c>
      <c r="AE99" s="2538">
        <f>+AA99+AC99</f>
        <v>143567567.51652503</v>
      </c>
      <c r="AF99" s="2538">
        <f>+AB99+AD99</f>
        <v>136454185</v>
      </c>
      <c r="AG99" s="2599">
        <f>+'POWER DISTRIBUTION'!AK24</f>
        <v>21577053.824362602</v>
      </c>
      <c r="AH99" s="2599">
        <f>+'POWER DISTRIBUTION'!AL24</f>
        <v>20069990</v>
      </c>
      <c r="AI99" s="2538">
        <f>+AE99+AG99</f>
        <v>165144621.34088764</v>
      </c>
      <c r="AJ99" s="2538">
        <f>+AF99+AH99</f>
        <v>156524175</v>
      </c>
      <c r="AK99" s="2599">
        <f>+'POWER DISTRIBUTION'!AO24</f>
        <v>22264494.80642115</v>
      </c>
      <c r="AL99" s="2599">
        <f>+'POWER DISTRIBUTION'!AP24</f>
        <v>20294950.000000011</v>
      </c>
      <c r="AM99" s="2539">
        <f>+AK99+AG99+AC99</f>
        <v>66106043.437204897</v>
      </c>
      <c r="AN99" s="2539">
        <f>+AL99+AH99+AD99</f>
        <v>57505410.000000007</v>
      </c>
      <c r="AO99" s="2538">
        <f t="shared" ref="AO99:AP99" si="313">+AK99+AI99</f>
        <v>187409116.1473088</v>
      </c>
      <c r="AP99" s="2538">
        <f t="shared" si="313"/>
        <v>176819125</v>
      </c>
      <c r="AQ99" s="2599">
        <f>+'POWER DISTRIBUTION'!AU24</f>
        <v>22608215.297450427</v>
      </c>
      <c r="AR99" s="2599">
        <f>+'POWER DISTRIBUTION'!AV24</f>
        <v>20309500.000000004</v>
      </c>
      <c r="AS99" s="2538">
        <f>+AO99+AQ99</f>
        <v>210017331.44475922</v>
      </c>
      <c r="AT99" s="2538">
        <f>+AP99+AR99</f>
        <v>197128625</v>
      </c>
      <c r="AU99" s="2599">
        <f>+'POWER DISTRIBUTION'!AY24</f>
        <v>20202171.860245515</v>
      </c>
      <c r="AV99" s="2599">
        <f>+'POWER DISTRIBUTION'!AZ24</f>
        <v>17159379.999999993</v>
      </c>
      <c r="AW99" s="2538">
        <f>+AS99+AU99</f>
        <v>230219503.30500475</v>
      </c>
      <c r="AX99" s="2538">
        <f>+AT99+AV99</f>
        <v>214288005</v>
      </c>
      <c r="AY99" s="2599">
        <f>+'POWER DISTRIBUTION'!BC24</f>
        <v>22608215.297450427</v>
      </c>
      <c r="AZ99" s="2599">
        <f>+'POWER DISTRIBUTION'!BD24</f>
        <v>21097790</v>
      </c>
      <c r="BA99" s="2539">
        <f>+'POWER DISTRIBUTION'!BE24</f>
        <v>65418602.455146372</v>
      </c>
      <c r="BB99" s="2539">
        <f>+'POWER DISTRIBUTION'!BF24</f>
        <v>58566670</v>
      </c>
      <c r="BC99" s="2579">
        <f>+'POWER DISTRIBUTION'!BG24</f>
        <v>131524645.89235127</v>
      </c>
      <c r="BD99" s="2579">
        <f>+'POWER DISTRIBUTION'!BH24</f>
        <v>116072080</v>
      </c>
      <c r="BE99" s="2538">
        <f>+'POWER DISTRIBUTION'!BI24</f>
        <v>252827718.60245517</v>
      </c>
      <c r="BF99" s="38">
        <f>+'POWER DISTRIBUTION'!BJ24</f>
        <v>235385795</v>
      </c>
      <c r="BG99" s="2446"/>
      <c r="BH99" s="2446"/>
      <c r="BI99" s="2445"/>
      <c r="BJ99" s="2445"/>
      <c r="BK99" s="3564"/>
      <c r="BL99" s="2445"/>
      <c r="BM99" s="3564"/>
      <c r="BN99" s="3564"/>
    </row>
    <row r="100" spans="2:66" ht="13.8" x14ac:dyDescent="0.25">
      <c r="B100" s="9" t="s">
        <v>294</v>
      </c>
      <c r="C100" s="2803" t="s">
        <v>274</v>
      </c>
      <c r="D100" s="762">
        <f t="shared" ref="D100:N100" si="314">+D99/D5</f>
        <v>91.230640517046737</v>
      </c>
      <c r="E100" s="2615">
        <f t="shared" si="314"/>
        <v>91.000000000000085</v>
      </c>
      <c r="F100" s="2794">
        <f t="shared" si="314"/>
        <v>92.417930634721316</v>
      </c>
      <c r="G100" s="2615">
        <f t="shared" ref="G100:H100" si="315">+G99/G5</f>
        <v>91.000000000000043</v>
      </c>
      <c r="H100" s="2794">
        <f t="shared" si="315"/>
        <v>88.131745535374719</v>
      </c>
      <c r="I100" s="3058">
        <f t="shared" si="314"/>
        <v>91.000000000000071</v>
      </c>
      <c r="J100" s="105">
        <f t="shared" si="314"/>
        <v>90.131768163765813</v>
      </c>
      <c r="K100" s="2615">
        <f t="shared" si="314"/>
        <v>91.000000000000085</v>
      </c>
      <c r="L100" s="2794">
        <f t="shared" si="314"/>
        <v>81.576608215959553</v>
      </c>
      <c r="M100" s="3304">
        <f t="shared" si="314"/>
        <v>91.000000000000085</v>
      </c>
      <c r="N100" s="3304">
        <f t="shared" si="314"/>
        <v>87.100555805393896</v>
      </c>
      <c r="O100" s="2615">
        <f t="shared" ref="O100:P100" si="316">+O99/O5</f>
        <v>91</v>
      </c>
      <c r="P100" s="2794">
        <f t="shared" si="316"/>
        <v>80.471178181990183</v>
      </c>
      <c r="Q100" s="3058">
        <f>+Q99/Q5</f>
        <v>91.000000000000057</v>
      </c>
      <c r="R100" s="3058">
        <f>+R99/R5</f>
        <v>85.313067020418316</v>
      </c>
      <c r="S100" s="2615">
        <f t="shared" ref="S100:T100" si="317">+S99/S5</f>
        <v>91</v>
      </c>
      <c r="T100" s="2794">
        <f t="shared" si="317"/>
        <v>84.07464376194126</v>
      </c>
      <c r="U100" s="3058">
        <f t="shared" ref="U100:X100" si="318">+U99/U5</f>
        <v>91.000000000000057</v>
      </c>
      <c r="V100" s="3058">
        <f t="shared" si="318"/>
        <v>85.063340390955489</v>
      </c>
      <c r="W100" s="2615">
        <f t="shared" si="318"/>
        <v>97.003779527558692</v>
      </c>
      <c r="X100" s="2794">
        <f t="shared" si="318"/>
        <v>84.089716857617688</v>
      </c>
      <c r="Y100" s="3322">
        <f t="shared" ref="Y100:AF100" si="319">+Y99/Y5</f>
        <v>92.247921440261791</v>
      </c>
      <c r="Z100" s="3322">
        <f t="shared" si="319"/>
        <v>82.806570110467305</v>
      </c>
      <c r="AA100" s="3323">
        <f t="shared" si="319"/>
        <v>91.570698221477713</v>
      </c>
      <c r="AB100" s="3323">
        <f t="shared" si="319"/>
        <v>84.906169186517346</v>
      </c>
      <c r="AC100" s="2615">
        <f t="shared" si="319"/>
        <v>91.000000000000043</v>
      </c>
      <c r="AD100" s="2794">
        <f t="shared" si="319"/>
        <v>95.64941043855778</v>
      </c>
      <c r="AE100" s="3058">
        <f t="shared" si="319"/>
        <v>91.481725683684857</v>
      </c>
      <c r="AF100" s="3058">
        <f t="shared" si="319"/>
        <v>86.121233139974109</v>
      </c>
      <c r="AG100" s="2615">
        <f t="shared" ref="AG100:AH100" si="320">+AG99/AG5</f>
        <v>91.000000000000085</v>
      </c>
      <c r="AH100" s="2794">
        <f t="shared" si="320"/>
        <v>87.450174726146173</v>
      </c>
      <c r="AI100" s="3058">
        <f t="shared" ref="AI100:AL100" si="321">+AI99/AI5</f>
        <v>91.418496118763258</v>
      </c>
      <c r="AJ100" s="3058">
        <f t="shared" si="321"/>
        <v>86.289372059241046</v>
      </c>
      <c r="AK100" s="2615">
        <f t="shared" si="321"/>
        <v>91.000000000000043</v>
      </c>
      <c r="AL100" s="2794">
        <f t="shared" si="321"/>
        <v>86.595481407206762</v>
      </c>
      <c r="AM100" s="3322">
        <f t="shared" ref="AM100:BF100" si="322">+AM99/AM5</f>
        <v>91.000000000000043</v>
      </c>
      <c r="AN100" s="3322">
        <f t="shared" si="322"/>
        <v>89.423529082460959</v>
      </c>
      <c r="AO100" s="3058">
        <f t="shared" si="322"/>
        <v>91.368576755748947</v>
      </c>
      <c r="AP100" s="3058">
        <f t="shared" si="322"/>
        <v>86.324396697765479</v>
      </c>
      <c r="AQ100" s="2615">
        <f t="shared" si="322"/>
        <v>91</v>
      </c>
      <c r="AR100" s="2797">
        <f t="shared" si="322"/>
        <v>89.058395856994409</v>
      </c>
      <c r="AS100" s="3058">
        <f t="shared" si="322"/>
        <v>91.328756390514343</v>
      </c>
      <c r="AT100" s="3058">
        <f t="shared" si="322"/>
        <v>86.598290602045282</v>
      </c>
      <c r="AU100" s="2615">
        <f t="shared" ref="AU100:AV100" si="323">+AU99/AU5</f>
        <v>91</v>
      </c>
      <c r="AV100" s="2797">
        <f t="shared" si="323"/>
        <v>92.74538418298954</v>
      </c>
      <c r="AW100" s="3058">
        <f t="shared" ref="AW100:AZ100" si="324">+AW99/AW5</f>
        <v>91.299812384144431</v>
      </c>
      <c r="AX100" s="3058">
        <f t="shared" si="324"/>
        <v>87.060354119428467</v>
      </c>
      <c r="AY100" s="2615">
        <f t="shared" si="324"/>
        <v>91</v>
      </c>
      <c r="AZ100" s="2797">
        <f t="shared" si="324"/>
        <v>87.455604377383523</v>
      </c>
      <c r="BA100" s="3322">
        <f t="shared" si="322"/>
        <v>91.000000000000014</v>
      </c>
      <c r="BB100" s="3322">
        <f t="shared" si="322"/>
        <v>89.510012945072845</v>
      </c>
      <c r="BC100" s="3323">
        <f t="shared" si="322"/>
        <v>91.000000000000028</v>
      </c>
      <c r="BD100" s="3323">
        <f t="shared" si="322"/>
        <v>89.467145481130686</v>
      </c>
      <c r="BE100" s="3058">
        <f t="shared" si="322"/>
        <v>91.272922326952923</v>
      </c>
      <c r="BF100" s="105">
        <f t="shared" si="322"/>
        <v>87.095634854120803</v>
      </c>
      <c r="BG100" s="2446"/>
      <c r="BH100" s="2446"/>
      <c r="BI100" s="2445"/>
      <c r="BJ100" s="2445"/>
      <c r="BK100" s="3564"/>
      <c r="BL100" s="2445"/>
      <c r="BM100" s="3564"/>
      <c r="BN100" s="3564"/>
    </row>
    <row r="101" spans="2:66" ht="13.8" x14ac:dyDescent="0.25">
      <c r="B101" s="9" t="s">
        <v>295</v>
      </c>
      <c r="C101" s="2803" t="s">
        <v>1781</v>
      </c>
      <c r="D101" s="1965">
        <v>4.4999999999999998E-2</v>
      </c>
      <c r="E101" s="2619">
        <f>+$D$101</f>
        <v>4.4999999999999998E-2</v>
      </c>
      <c r="F101" s="2619">
        <v>5.0999999999999997E-2</v>
      </c>
      <c r="G101" s="2619">
        <f>+$D$101</f>
        <v>4.4999999999999998E-2</v>
      </c>
      <c r="H101" s="2619">
        <v>4.5999999999999999E-2</v>
      </c>
      <c r="I101" s="3071">
        <f>+((E101*E20)+(G101*G20))/I20</f>
        <v>4.4999999999999998E-2</v>
      </c>
      <c r="J101" s="2805">
        <f>+((F101*F20)+(H101*H20))/J20</f>
        <v>4.8333954183067691E-2</v>
      </c>
      <c r="K101" s="2619">
        <f>+$D$101</f>
        <v>4.4999999999999998E-2</v>
      </c>
      <c r="L101" s="2619">
        <v>4.3400000000000001E-2</v>
      </c>
      <c r="M101" s="3326">
        <f>+((E101*E20)+(G101*G20)+(K101*K20))/M20</f>
        <v>4.4999999999999998E-2</v>
      </c>
      <c r="N101" s="3326">
        <f>+((F101*F20)+(H101*H20)+(L101*L20))/N20</f>
        <v>4.6585953551653764E-2</v>
      </c>
      <c r="O101" s="2619">
        <f>+$D$101</f>
        <v>4.4999999999999998E-2</v>
      </c>
      <c r="P101" s="2619">
        <v>4.2999999999999997E-2</v>
      </c>
      <c r="Q101" s="3071">
        <f>+((M101*M20)+(O101*O20))/Q20</f>
        <v>4.4999999999999998E-2</v>
      </c>
      <c r="R101" s="3071">
        <f>+((N101*N20)+(P101*P20))/R20</f>
        <v>4.5619538031854659E-2</v>
      </c>
      <c r="S101" s="2619">
        <f>+$D$101</f>
        <v>4.4999999999999998E-2</v>
      </c>
      <c r="T101" s="2619">
        <v>4.4999999999999998E-2</v>
      </c>
      <c r="U101" s="3071">
        <f>+((Q101*Q20)+(S101*S20))/U20</f>
        <v>4.5000000000000005E-2</v>
      </c>
      <c r="V101" s="3071">
        <f>+((R101*R20)+(T101*T20))/V20</f>
        <v>4.549466953958041E-2</v>
      </c>
      <c r="W101" s="2619">
        <f>+$D$101</f>
        <v>4.4999999999999998E-2</v>
      </c>
      <c r="X101" s="2619">
        <v>4.5999999999999999E-2</v>
      </c>
      <c r="Y101" s="3326">
        <f>+((O101*O20)+(S101*S20)+(W101*W20))/Y20</f>
        <v>4.4999999999999998E-2</v>
      </c>
      <c r="Z101" s="3326">
        <f>+((P101*P20)+(T101*T20)+(X101*X20))/Z20</f>
        <v>4.4610016908667095E-2</v>
      </c>
      <c r="AA101" s="3327">
        <f>+((Y101*Y20)+(M101*M20))/AA20</f>
        <v>4.4999999999999998E-2</v>
      </c>
      <c r="AB101" s="3327">
        <f>+((Z101*Z20)+(N101*N20))/AB20</f>
        <v>4.5576312795523308E-2</v>
      </c>
      <c r="AC101" s="2619">
        <f>+$D$101</f>
        <v>4.4999999999999998E-2</v>
      </c>
      <c r="AD101" s="2619">
        <v>5.6000000000000001E-2</v>
      </c>
      <c r="AE101" s="3071">
        <f>+((AA101*AA20)+(AC101*AC20))/AE20</f>
        <v>4.4999999999999998E-2</v>
      </c>
      <c r="AF101" s="3071">
        <f>+((AB101*AB20)+(AD101*AD20))/AF20</f>
        <v>4.6756590200991578E-2</v>
      </c>
      <c r="AG101" s="2619">
        <f>+$D$101</f>
        <v>4.4999999999999998E-2</v>
      </c>
      <c r="AH101" s="2619">
        <v>4.5999999999999999E-2</v>
      </c>
      <c r="AI101" s="3071">
        <f>+((AE101*AE20)+(AG101*AG20))/AI20</f>
        <v>4.4999999999999991E-2</v>
      </c>
      <c r="AJ101" s="3071">
        <f>+((AF101*AF20)+(AH101*AH20))/AJ20</f>
        <v>4.6660808513043973E-2</v>
      </c>
      <c r="AK101" s="2619">
        <f>+$D$101</f>
        <v>4.4999999999999998E-2</v>
      </c>
      <c r="AL101" s="2619">
        <v>4.7E-2</v>
      </c>
      <c r="AM101" s="3326">
        <f>+((AC101*AC20)+(AG101*AG20)+(AK101*AK20))/AM20</f>
        <v>4.4999999999999998E-2</v>
      </c>
      <c r="AN101" s="3326">
        <f>+((AD101*AD20)+(AH101*AH20)+(AL101*AL20))/AN20</f>
        <v>4.9151820596968272E-2</v>
      </c>
      <c r="AO101" s="3071">
        <f>+((AK101*AK20)+(AI101*AI20))/AO20</f>
        <v>4.4999999999999984E-2</v>
      </c>
      <c r="AP101" s="3071">
        <f>+((AL101*AL20)+(AJ101*AJ20))/AP20</f>
        <v>4.669964645023035E-2</v>
      </c>
      <c r="AQ101" s="2619">
        <f>+$D$101</f>
        <v>4.4999999999999998E-2</v>
      </c>
      <c r="AR101" s="2619">
        <v>4.7E-2</v>
      </c>
      <c r="AS101" s="3071">
        <f>+((AO101*AO20)+(AQ101*AQ20))/AS20</f>
        <v>4.4999999999999991E-2</v>
      </c>
      <c r="AT101" s="3071">
        <f>+((AP101*AP20)+(AR101*AR20))/AT20</f>
        <v>4.6729739707877888E-2</v>
      </c>
      <c r="AU101" s="2619">
        <f>+$D$101</f>
        <v>4.4999999999999998E-2</v>
      </c>
      <c r="AV101" s="2619">
        <v>5.1999999999999998E-2</v>
      </c>
      <c r="AW101" s="3071">
        <f>+((AS101*AS20)+(AU101*AU20))/AW20</f>
        <v>4.4999999999999984E-2</v>
      </c>
      <c r="AX101" s="3071">
        <f>+((AT101*AT20)+(AV101*AV20))/AX20</f>
        <v>4.7126221115317633E-2</v>
      </c>
      <c r="AY101" s="2619">
        <f>+$D$101</f>
        <v>4.4999999999999998E-2</v>
      </c>
      <c r="AZ101" s="2619">
        <v>4.3999999999999997E-2</v>
      </c>
      <c r="BA101" s="3326">
        <f>+((AQ101*AQ20)+(AU101*AU20)+(AY101*AY20))/BA20</f>
        <v>4.4999999999999998E-2</v>
      </c>
      <c r="BB101" s="3326">
        <f>+((AR101*AR20)+(AV101*AV20)+(AZ101*AZ20))/BB20</f>
        <v>4.7308737115304367E-2</v>
      </c>
      <c r="BC101" s="3327">
        <f>+((BA101*BA20)+(AM101*AM20))/BC20</f>
        <v>4.4999999999999998E-2</v>
      </c>
      <c r="BD101" s="3327">
        <f>+((BB101*BB20)+(AN101*AN20))/BD20</f>
        <v>4.8222459624158887E-2</v>
      </c>
      <c r="BE101" s="3071">
        <f>+((AW101*AW20)+(AY101*AY20))/BE20</f>
        <v>4.4999999999999984E-2</v>
      </c>
      <c r="BF101" s="2805">
        <f>+((AX101*AX20)+(AZ101*AZ20))/BF20</f>
        <v>4.6847148031823507E-2</v>
      </c>
      <c r="BG101" s="2446"/>
      <c r="BH101" s="2446"/>
      <c r="BI101" s="2445"/>
      <c r="BJ101" s="2445"/>
      <c r="BK101" s="3564"/>
      <c r="BL101" s="2445"/>
      <c r="BM101" s="3564"/>
      <c r="BN101" s="3564"/>
    </row>
    <row r="102" spans="2:66" ht="13.8" x14ac:dyDescent="0.25">
      <c r="B102" s="9" t="s">
        <v>296</v>
      </c>
      <c r="C102" s="2803" t="s">
        <v>1782</v>
      </c>
      <c r="D102" s="3328">
        <v>3.7884654285546548E-2</v>
      </c>
      <c r="E102" s="2619">
        <v>3.8999999999999993E-2</v>
      </c>
      <c r="F102" s="2619">
        <v>4.3999999999999997E-2</v>
      </c>
      <c r="G102" s="2619">
        <v>3.8999999999999993E-2</v>
      </c>
      <c r="H102" s="2619">
        <v>0.04</v>
      </c>
      <c r="I102" s="3071">
        <f>+((E102*E5)+(G102*G5))/I5</f>
        <v>3.9E-2</v>
      </c>
      <c r="J102" s="2805">
        <f>+((F102*F5)+(H102*H5))/J5</f>
        <v>4.1866482741210576E-2</v>
      </c>
      <c r="K102" s="2619">
        <v>3.8999999999999993E-2</v>
      </c>
      <c r="L102" s="2619">
        <v>3.7999999999999999E-2</v>
      </c>
      <c r="M102" s="3326">
        <f>+((E102*E5)+(G102*G5)+(K102*K5))/M5</f>
        <v>3.9E-2</v>
      </c>
      <c r="N102" s="3326">
        <f>+((F102*F5)+(H102*H5)+(L102*L5))/N5</f>
        <v>4.0496534038896193E-2</v>
      </c>
      <c r="O102" s="2619">
        <v>3.9E-2</v>
      </c>
      <c r="P102" s="2619">
        <v>3.6999999999999998E-2</v>
      </c>
      <c r="Q102" s="3071">
        <f>+((M102*M5)+(O102*O5))/Q5</f>
        <v>3.9E-2</v>
      </c>
      <c r="R102" s="3071">
        <f>+((N102*N5)+(P102*P5))/R5</f>
        <v>3.9553758451826321E-2</v>
      </c>
      <c r="S102" s="2619">
        <v>3.9E-2</v>
      </c>
      <c r="T102" s="2619">
        <v>3.9E-2</v>
      </c>
      <c r="U102" s="3071">
        <f>+((Q102*Q5)+(S102*S5))/U5</f>
        <v>3.9E-2</v>
      </c>
      <c r="V102" s="3071">
        <f>+((R102*R5)+(T102*T5))/V5</f>
        <v>3.9442093695238017E-2</v>
      </c>
      <c r="W102" s="2619">
        <v>3.9E-2</v>
      </c>
      <c r="X102" s="2619">
        <v>0.04</v>
      </c>
      <c r="Y102" s="3326">
        <f>+((O102*O5)+(S102*S5)+(W102*W5))/Y5</f>
        <v>3.9E-2</v>
      </c>
      <c r="Z102" s="3326">
        <f>+((P102*P5)+(T102*T5)+(X102*X5))/Z5</f>
        <v>3.8609434768865296E-2</v>
      </c>
      <c r="AA102" s="3327">
        <f>+((Y102*Y5)+(M102*M5))/AA5</f>
        <v>3.9E-2</v>
      </c>
      <c r="AB102" s="3327">
        <f>+((Z102*Z5)+(N102*N5))/AB5</f>
        <v>3.9532156027218095E-2</v>
      </c>
      <c r="AC102" s="2619">
        <v>3.9000000000000007E-2</v>
      </c>
      <c r="AD102" s="2619">
        <v>4.5999999999999999E-2</v>
      </c>
      <c r="AE102" s="3071">
        <f>+((AA102*AA5)+(AC102*AC5))/AE5</f>
        <v>3.9000000000000007E-2</v>
      </c>
      <c r="AF102" s="3071">
        <f>+((AB102*AB5)+(AD102*AD5))/AF5</f>
        <v>4.0263671208115408E-2</v>
      </c>
      <c r="AG102" s="2619">
        <v>3.7092537633619263E-2</v>
      </c>
      <c r="AH102" s="2619">
        <v>0.04</v>
      </c>
      <c r="AI102" s="3071">
        <f>+((AE102*AE5)+(AG102*AG5))/AI5</f>
        <v>3.8749633412509768E-2</v>
      </c>
      <c r="AJ102" s="3071">
        <f>+((AF102*AF5)+(AH102*AH5))/AJ5</f>
        <v>4.0230311282866901E-2</v>
      </c>
      <c r="AK102" s="2619">
        <v>3.6700560751509244E-2</v>
      </c>
      <c r="AL102" s="2619">
        <v>0.04</v>
      </c>
      <c r="AM102" s="3326">
        <f>+((AC102*AC5)+(AG102*AG5)+(AK102*AK5))/AM5</f>
        <v>3.7602952671932727E-2</v>
      </c>
      <c r="AN102" s="3326">
        <f>+((AD102*AD5)+(AH102*AH5)+(AL102*AL5))/AN5</f>
        <v>4.1671994252551831E-2</v>
      </c>
      <c r="AO102" s="3071">
        <f>+((AK102*AK5)+(AI102*AI5))/AO5</f>
        <v>3.8505214414528387E-2</v>
      </c>
      <c r="AP102" s="3071">
        <f>+((AL102*AL5)+(AJ102*AJ5))/AP5</f>
        <v>4.0203959361620072E-2</v>
      </c>
      <c r="AQ102" s="2619">
        <f>+$D$102</f>
        <v>3.7884654285546548E-2</v>
      </c>
      <c r="AR102" s="2619">
        <v>3.9E-2</v>
      </c>
      <c r="AS102" s="3071">
        <f>+((AO102*AO5)+(AQ102*AQ5))/AS5</f>
        <v>3.8438170221967001E-2</v>
      </c>
      <c r="AT102" s="3071">
        <f>+((AP102*AP5)+(AR102*AR5))/AT5</f>
        <v>4.0083345889946088E-2</v>
      </c>
      <c r="AU102" s="2619">
        <f>+$D$102</f>
        <v>3.7884654285546548E-2</v>
      </c>
      <c r="AV102" s="2619">
        <v>4.2999999999999997E-2</v>
      </c>
      <c r="AW102" s="3071">
        <f>+((AS102*AS5)+(AU102*AU5))/AW5</f>
        <v>3.8389438184349291E-2</v>
      </c>
      <c r="AX102" s="3071">
        <f>+((AT102*AT5)+(AV102*AV5))/AX5</f>
        <v>4.0302584370593163E-2</v>
      </c>
      <c r="AY102" s="2619">
        <f>+$D$102</f>
        <v>3.7884654285546548E-2</v>
      </c>
      <c r="AZ102" s="2619">
        <v>4.5999999999999999E-2</v>
      </c>
      <c r="BA102" s="3326">
        <f>+((AQ102*AQ5)+(AU102*AU5)+(AY102*AY5))/BA5</f>
        <v>3.7884654285546548E-2</v>
      </c>
      <c r="BB102" s="3326">
        <f>+((AR102*AR5)+(AV102*AV5)+(AZ102*AZ5))/BB5</f>
        <v>4.2711956081509642E-2</v>
      </c>
      <c r="BC102" s="3327">
        <f>+((BA102*BA5)+(AM102*AM5))/BC5</f>
        <v>3.7743067292633235E-2</v>
      </c>
      <c r="BD102" s="3327">
        <f>+((BB102*BB5)+(AN102*AN5))/BD5</f>
        <v>4.2196478108420803E-2</v>
      </c>
      <c r="BE102" s="3071">
        <f>+((AW102*AW5)+(AY102*AY5))/BE5</f>
        <v>3.8344164311000503E-2</v>
      </c>
      <c r="BF102" s="2805">
        <f>+((AX102*AX5)+(AZ102*AZ5))/BF5</f>
        <v>4.0811145731926839E-2</v>
      </c>
      <c r="BG102" s="2446"/>
      <c r="BH102" s="2446"/>
      <c r="BI102" s="2445"/>
      <c r="BJ102" s="2445"/>
      <c r="BK102" s="3564"/>
      <c r="BL102" s="2445"/>
      <c r="BM102" s="3564"/>
      <c r="BN102" s="3564"/>
    </row>
    <row r="103" spans="2:66" ht="13.8" x14ac:dyDescent="0.25">
      <c r="B103" s="3073" t="s">
        <v>581</v>
      </c>
      <c r="C103" s="2803" t="s">
        <v>626</v>
      </c>
      <c r="D103" s="3328">
        <v>6.0416666666666667E-2</v>
      </c>
      <c r="E103" s="2619">
        <v>6.0416666666666667E-2</v>
      </c>
      <c r="F103" s="2619">
        <f>34.3825/(F2*24)</f>
        <v>4.7753472222222225E-2</v>
      </c>
      <c r="G103" s="2619">
        <v>6.041666666666666E-2</v>
      </c>
      <c r="H103" s="4103">
        <f>40.9605/(H2*24)</f>
        <v>5.505443548387097E-2</v>
      </c>
      <c r="I103" s="3071">
        <f>+((E103*E2)+(G103*G2))/I2</f>
        <v>6.0416666666666667E-2</v>
      </c>
      <c r="J103" s="2805">
        <f>+((F103*F2)+(H103*H2))/J2</f>
        <v>5.1463797814207651E-2</v>
      </c>
      <c r="K103" s="2619">
        <v>6.041666666666666E-2</v>
      </c>
      <c r="L103" s="4103">
        <f>38.225/(L2*24)</f>
        <v>5.3090277777777778E-2</v>
      </c>
      <c r="M103" s="3326">
        <f>+((E103*E2)+(G103*G2)+(K103*K2))/M2</f>
        <v>6.0416666666666667E-2</v>
      </c>
      <c r="N103" s="3326">
        <f>+((F103*F2)+(H103*H2)+(L103*L2))/N2</f>
        <v>5.2000000000000005E-2</v>
      </c>
      <c r="O103" s="2619">
        <v>6.041666666666666E-2</v>
      </c>
      <c r="P103" s="2619">
        <f>40.7/(P2*24)</f>
        <v>5.4704301075268823E-2</v>
      </c>
      <c r="Q103" s="3071">
        <f>+((M103*M2)+(O103*O2))/Q2</f>
        <v>6.0416666666666667E-2</v>
      </c>
      <c r="R103" s="3071">
        <f>+((N103*N2)+(P103*P2))/R2</f>
        <v>5.2687158469945358E-2</v>
      </c>
      <c r="S103" s="2619">
        <v>6.041666666666666E-2</v>
      </c>
      <c r="T103" s="2804">
        <f>37.4965/(T2*24)</f>
        <v>5.039852150537634E-2</v>
      </c>
      <c r="U103" s="3071">
        <f>+((Q103*Q2)+(S103*S2))/U2</f>
        <v>6.0416666666666667E-2</v>
      </c>
      <c r="V103" s="3071">
        <f>+((R103*R2)+(T103*T2))/V2</f>
        <v>5.2223447712418304E-2</v>
      </c>
      <c r="W103" s="2619">
        <v>6.0416666666666667E-2</v>
      </c>
      <c r="X103" s="2804">
        <f>35.7/(X2*24)</f>
        <v>4.958333333333334E-2</v>
      </c>
      <c r="Y103" s="3326">
        <f>+((O103*O2)+(S103*S2)+(W103*W2))/Y2</f>
        <v>6.0416666666666667E-2</v>
      </c>
      <c r="Z103" s="3326">
        <f>+((P103*P2)+(T103*T2)+(X103*X2))/Z2</f>
        <v>5.1583559782608701E-2</v>
      </c>
      <c r="AA103" s="3327">
        <f>+((Y103*Y2)+(M103*M2))/AA2</f>
        <v>6.0416666666666667E-2</v>
      </c>
      <c r="AB103" s="3327">
        <f>+((Z103*Z2)+(N103*N2))/AB2</f>
        <v>5.1790642076502739E-2</v>
      </c>
      <c r="AC103" s="2619">
        <v>6.041666666666666E-2</v>
      </c>
      <c r="AD103" s="2619">
        <f>32.6/(AD2*24)</f>
        <v>4.3817204301075267E-2</v>
      </c>
      <c r="AE103" s="3071">
        <f>+((AA103*AA2)+(AC103*AC2))/AE2</f>
        <v>6.0416666666666667E-2</v>
      </c>
      <c r="AF103" s="3071">
        <f>+((AB103*AB2)+(AD103*AD2))/AF2</f>
        <v>5.0635611370716524E-2</v>
      </c>
      <c r="AG103" s="2619">
        <v>6.0416666666666667E-2</v>
      </c>
      <c r="AH103" s="2619">
        <f>35.1/(AH2*24)</f>
        <v>4.8750000000000002E-2</v>
      </c>
      <c r="AI103" s="3071">
        <f>+((AE103*AE2)+(AG103*AG2))/AI2</f>
        <v>6.0416666666666667E-2</v>
      </c>
      <c r="AJ103" s="3071">
        <f>+((AF103*AF2)+(AH103*AH2))/AJ2</f>
        <v>5.0403773907103835E-2</v>
      </c>
      <c r="AK103" s="2619">
        <v>6.041666666666666E-2</v>
      </c>
      <c r="AL103" s="2619">
        <f>40.5/(AL2*24)</f>
        <v>5.4435483870967742E-2</v>
      </c>
      <c r="AM103" s="3326">
        <f>+((AC103*AC2)+(AG103*AG2)+(AK103*AK2))/AM2</f>
        <v>6.0416666666666667E-2</v>
      </c>
      <c r="AN103" s="3326">
        <f>+((AD103*AD2)+(AH103*AH2)+(AL103*AL2))/AN2</f>
        <v>4.9003623188405801E-2</v>
      </c>
      <c r="AO103" s="3071">
        <f>+((AK103*AK2)+(AI103*AI2))/AO2</f>
        <v>6.041666666666666E-2</v>
      </c>
      <c r="AP103" s="3071">
        <f>+((AL103*AL2)+(AJ103*AJ2))/AP2</f>
        <v>5.0858257575757584E-2</v>
      </c>
      <c r="AQ103" s="2619">
        <v>6.041666666666666E-2</v>
      </c>
      <c r="AR103" s="2619">
        <f>24/(AR2*24)</f>
        <v>3.2258064516129031E-2</v>
      </c>
      <c r="AS103" s="3071">
        <f>+((AO103*AO2)+(AQ103*AQ2))/AS2</f>
        <v>6.041666666666666E-2</v>
      </c>
      <c r="AT103" s="3071">
        <f>+((AP103*AP2)+(AR103*AR2))/AT2</f>
        <v>4.897392429193901E-2</v>
      </c>
      <c r="AU103" s="2619">
        <v>6.0416666666666667E-2</v>
      </c>
      <c r="AV103" s="2619">
        <f>26.8/(AV2*24)</f>
        <v>3.9880952380952385E-2</v>
      </c>
      <c r="AW103" s="3071">
        <f>+((AS103*AS2)+(AU103*AU2))/AW2</f>
        <v>6.041666666666666E-2</v>
      </c>
      <c r="AX103" s="3071">
        <f>+((AT103*AT2)+(AV103*AV2))/AX2</f>
        <v>4.8211639221556891E-2</v>
      </c>
      <c r="AY103" s="2619">
        <v>6.041666666666666E-2</v>
      </c>
      <c r="AZ103" s="2619">
        <f>15.7/(AZ2*24)</f>
        <v>2.1102150537634409E-2</v>
      </c>
      <c r="BA103" s="3326">
        <f>+((AQ103*AQ2)+(AU103*AU2)+(AY103*AY2))/BA2</f>
        <v>6.0416666666666667E-2</v>
      </c>
      <c r="BB103" s="3326">
        <f>+((AR103*AR2)+(AV103*AV2)+(AZ103*AZ2))/BB2</f>
        <v>3.078703703703704E-2</v>
      </c>
      <c r="BC103" s="3327">
        <f>+((BA103*BA2)+(AM103*AM2))/BC2</f>
        <v>6.0416666666666667E-2</v>
      </c>
      <c r="BD103" s="3327">
        <f>+((BB103*BB2)+(AN103*AN2))/BD2</f>
        <v>3.9995421245421249E-2</v>
      </c>
      <c r="BE103" s="3071">
        <f>+((AW103*AW2)+(AY103*AY2))/BE2</f>
        <v>6.0416666666666653E-2</v>
      </c>
      <c r="BF103" s="2805">
        <f>+((AX103*AX2)+(AZ103*AZ2))/BF2</f>
        <v>4.5909189497716898E-2</v>
      </c>
      <c r="BG103" s="2446"/>
      <c r="BH103" s="2446"/>
      <c r="BI103" s="2445"/>
      <c r="BJ103" s="2445"/>
      <c r="BK103" s="3564"/>
      <c r="BL103" s="2445"/>
      <c r="BM103" s="3564"/>
      <c r="BN103" s="3564"/>
    </row>
    <row r="104" spans="2:66" ht="13.8" x14ac:dyDescent="0.25">
      <c r="B104" s="3073" t="s">
        <v>545</v>
      </c>
      <c r="C104" s="2803" t="s">
        <v>271</v>
      </c>
      <c r="D104" s="1333">
        <v>9</v>
      </c>
      <c r="E104" s="2615">
        <v>9</v>
      </c>
      <c r="F104" s="2795">
        <v>7.4</v>
      </c>
      <c r="G104" s="2615">
        <v>9</v>
      </c>
      <c r="H104" s="2795">
        <v>7.5</v>
      </c>
      <c r="I104" s="2873">
        <f>+((E5*E104)+(G5*G104))/I5</f>
        <v>9</v>
      </c>
      <c r="J104" s="2806">
        <f>+((F5*F104)+(H5*H104))/J5</f>
        <v>7.4533379314697354</v>
      </c>
      <c r="K104" s="2615">
        <v>9</v>
      </c>
      <c r="L104" s="2795">
        <v>6.4</v>
      </c>
      <c r="M104" s="3322">
        <f>+((E5*E104)+(G5*G104)+(K5*K104))/M5</f>
        <v>9</v>
      </c>
      <c r="N104" s="3322">
        <f>+((F5*F104)+(H5*H104)+(L5*L104))/N5</f>
        <v>7.0801256274459297</v>
      </c>
      <c r="O104" s="2615">
        <v>9</v>
      </c>
      <c r="P104" s="2795">
        <v>6.46</v>
      </c>
      <c r="Q104" s="3071">
        <f>+((M5*M104)+(O5*O104))/Q5</f>
        <v>8.9999999999999982</v>
      </c>
      <c r="R104" s="3071">
        <f>+((N5*N104)+(P5*P104))/R5</f>
        <v>6.9129202474986</v>
      </c>
      <c r="S104" s="2615">
        <v>9</v>
      </c>
      <c r="T104" s="2795">
        <v>7.3</v>
      </c>
      <c r="U104" s="3071">
        <f>+((Q5*Q104)+(S5*S104))/U5</f>
        <v>8.9999999999999982</v>
      </c>
      <c r="V104" s="3071">
        <f>+((R5*R104)+(T5*T104))/V5</f>
        <v>6.9909744355670211</v>
      </c>
      <c r="W104" s="2615">
        <v>9</v>
      </c>
      <c r="X104" s="2795">
        <v>6.6</v>
      </c>
      <c r="Y104" s="3322">
        <f>+((O5*O104)+(S5*S104)+(W5*W104))/Y5</f>
        <v>9</v>
      </c>
      <c r="Z104" s="3329">
        <f>+((P5*P104)+(T5*T104)+(X5*X104))/Z5</f>
        <v>6.7821711080568869</v>
      </c>
      <c r="AA104" s="3323">
        <f>+((Y104*Y5)+(M104*M5))/AA5</f>
        <v>8.9999999999999982</v>
      </c>
      <c r="AB104" s="3323">
        <f>+((Z104*Z5)+(N104*N5))/AB5</f>
        <v>6.927859770772578</v>
      </c>
      <c r="AC104" s="2615">
        <v>9</v>
      </c>
      <c r="AD104" s="2795">
        <v>6.4</v>
      </c>
      <c r="AE104" s="3071">
        <f>+((AA5*AA104)+(AC5*AC104))/AE5</f>
        <v>9</v>
      </c>
      <c r="AF104" s="2873">
        <f>+((AB5*AB104)+(AD5*AD104))/AF5</f>
        <v>6.8681586652217845</v>
      </c>
      <c r="AG104" s="2615">
        <v>9</v>
      </c>
      <c r="AH104" s="2795">
        <v>6.85</v>
      </c>
      <c r="AI104" s="3071">
        <f>+((AE5*AE104)+(AG5*AG104))/AI5</f>
        <v>9</v>
      </c>
      <c r="AJ104" s="2873">
        <f>+((AF5*AF104)+(AH5*AH104))/AJ5</f>
        <v>6.8658612140941422</v>
      </c>
      <c r="AK104" s="2615">
        <v>9</v>
      </c>
      <c r="AL104" s="2795">
        <v>6.3</v>
      </c>
      <c r="AM104" s="3322">
        <f>+((AC5*AC104)+(AG5*AG104)+(AK5*AK104))/AM5</f>
        <v>8.9999999999999982</v>
      </c>
      <c r="AN104" s="3329">
        <f>+((AD5*AD104)+(AH5*AH104)+(AL5*AL104))/AN5</f>
        <v>6.5241538997431059</v>
      </c>
      <c r="AO104" s="3071">
        <f>+((AK5*AK104)+(AI5*AI104))/AO5</f>
        <v>8.9999999999999982</v>
      </c>
      <c r="AP104" s="3071">
        <f>+((AL5*AL104)+(AJ5*AJ104))/AP5</f>
        <v>6.8011161005902423</v>
      </c>
      <c r="AQ104" s="2615">
        <f>+$D$104</f>
        <v>9</v>
      </c>
      <c r="AR104" s="2795">
        <v>6.53</v>
      </c>
      <c r="AS104" s="3071">
        <f>+((AO5*AO104)+(AQ5*AQ104))/AS5</f>
        <v>9</v>
      </c>
      <c r="AT104" s="2873">
        <f>+((AP5*AP104)+(AR5*AR104))/AT5</f>
        <v>6.7739555043431237</v>
      </c>
      <c r="AU104" s="2615">
        <f>+$D$104</f>
        <v>9</v>
      </c>
      <c r="AV104" s="2615">
        <v>6.75</v>
      </c>
      <c r="AW104" s="3071">
        <f>+((AS5*AS104)+(AU5*AU104))/AW5</f>
        <v>9.0000000000000018</v>
      </c>
      <c r="AX104" s="3071">
        <f>+((AT5*AT104)+(AV5*AV104))/AX5</f>
        <v>6.7721548217194218</v>
      </c>
      <c r="AY104" s="2615">
        <f>+$D$104</f>
        <v>9</v>
      </c>
      <c r="AZ104" s="2615">
        <v>5.3</v>
      </c>
      <c r="BA104" s="3322">
        <f>+((AQ5*AQ104)+(AU5*AU104)+(AY5*AY104))/BA5</f>
        <v>9.0000000000000018</v>
      </c>
      <c r="BB104" s="3329">
        <f>+((AR5*AR104)+(AV5*AV104)+(AZ5*AZ104))/BB5</f>
        <v>6.138710826635366</v>
      </c>
      <c r="BC104" s="3323">
        <f>+((BA104*BA5)+(AM104*AM5))/BC5</f>
        <v>9</v>
      </c>
      <c r="BD104" s="3323">
        <f>+((BB104*BB5)+(AN104*AN5))/BD5</f>
        <v>6.3297634292735072</v>
      </c>
      <c r="BE104" s="3071">
        <f>+((AW5*AW104)+(AY5*AY104))/BE5</f>
        <v>9.0000000000000018</v>
      </c>
      <c r="BF104" s="2805">
        <f>+((AX5*AX104)+(AZ5*AZ104))/BF5</f>
        <v>6.6407476875157494</v>
      </c>
      <c r="BG104" s="2446"/>
      <c r="BH104" s="2446"/>
      <c r="BI104" s="2445"/>
      <c r="BJ104" s="2445"/>
      <c r="BK104" s="3564"/>
      <c r="BL104" s="2445"/>
      <c r="BM104" s="3564"/>
      <c r="BN104" s="3564"/>
    </row>
    <row r="105" spans="2:66" ht="13.8" x14ac:dyDescent="0.25">
      <c r="B105" s="3330" t="s">
        <v>1475</v>
      </c>
      <c r="C105" s="3311" t="s">
        <v>679</v>
      </c>
      <c r="D105" s="3331"/>
      <c r="E105" s="3275"/>
      <c r="F105" s="3275">
        <v>27</v>
      </c>
      <c r="G105" s="3275"/>
      <c r="H105" s="3275">
        <v>15</v>
      </c>
      <c r="I105" s="3273"/>
      <c r="J105" s="1986">
        <f t="shared" ref="J105:J108" si="325">+F105+H105</f>
        <v>42</v>
      </c>
      <c r="K105" s="3275"/>
      <c r="L105" s="3275">
        <v>9</v>
      </c>
      <c r="M105" s="3274"/>
      <c r="N105" s="3274">
        <f t="shared" ref="N105:N108" si="326">+L105+H105+F105</f>
        <v>51</v>
      </c>
      <c r="O105" s="3275"/>
      <c r="P105" s="3275">
        <v>11</v>
      </c>
      <c r="Q105" s="2538"/>
      <c r="R105" s="3273">
        <f>+N105+P105</f>
        <v>62</v>
      </c>
      <c r="S105" s="3275"/>
      <c r="T105" s="3275">
        <v>2</v>
      </c>
      <c r="U105" s="2538"/>
      <c r="V105" s="3273">
        <f>+R105+T105</f>
        <v>64</v>
      </c>
      <c r="W105" s="3275"/>
      <c r="X105" s="3275">
        <v>9</v>
      </c>
      <c r="Y105" s="2539"/>
      <c r="Z105" s="3274">
        <f>+X105+T105+P105</f>
        <v>22</v>
      </c>
      <c r="AA105" s="2579"/>
      <c r="AB105" s="2566">
        <f>Z105+N105</f>
        <v>73</v>
      </c>
      <c r="AC105" s="3275"/>
      <c r="AD105" s="3275">
        <v>8</v>
      </c>
      <c r="AE105" s="2538"/>
      <c r="AF105" s="3273">
        <f>+AB105+AD105</f>
        <v>81</v>
      </c>
      <c r="AG105" s="3275"/>
      <c r="AH105" s="3275">
        <v>9</v>
      </c>
      <c r="AI105" s="2538"/>
      <c r="AJ105" s="3273">
        <f>+AF105+AH105</f>
        <v>90</v>
      </c>
      <c r="AK105" s="3275"/>
      <c r="AL105" s="3275">
        <v>10</v>
      </c>
      <c r="AM105" s="2539"/>
      <c r="AN105" s="3274">
        <f>+AL105+AH105+AD105</f>
        <v>27</v>
      </c>
      <c r="AO105" s="2538"/>
      <c r="AP105" s="3273">
        <f>+AL105+AJ105</f>
        <v>100</v>
      </c>
      <c r="AQ105" s="3275"/>
      <c r="AR105" s="3275">
        <v>14</v>
      </c>
      <c r="AS105" s="2538"/>
      <c r="AT105" s="3273">
        <f>+AP105+AR105</f>
        <v>114</v>
      </c>
      <c r="AU105" s="3275"/>
      <c r="AV105" s="3275">
        <v>0</v>
      </c>
      <c r="AW105" s="2538"/>
      <c r="AX105" s="3273">
        <f>+AT105+AV105</f>
        <v>114</v>
      </c>
      <c r="AY105" s="3275"/>
      <c r="AZ105" s="3275">
        <v>19</v>
      </c>
      <c r="BA105" s="2539"/>
      <c r="BB105" s="3274">
        <f>+AZ105+AV105+AR105</f>
        <v>33</v>
      </c>
      <c r="BC105" s="2579"/>
      <c r="BD105" s="2566">
        <f>BB105+AN105</f>
        <v>60</v>
      </c>
      <c r="BE105" s="2538"/>
      <c r="BF105" s="1986">
        <f>+AX105+AZ105</f>
        <v>133</v>
      </c>
      <c r="BG105" s="2446"/>
      <c r="BH105" s="2446"/>
      <c r="BI105" s="2445"/>
      <c r="BJ105" s="2445"/>
      <c r="BK105" s="3564"/>
      <c r="BL105" s="2445"/>
      <c r="BM105" s="3564"/>
      <c r="BN105" s="3564"/>
    </row>
    <row r="106" spans="2:66" ht="13.8" x14ac:dyDescent="0.25">
      <c r="B106" s="3330" t="s">
        <v>1476</v>
      </c>
      <c r="C106" s="3311" t="s">
        <v>679</v>
      </c>
      <c r="D106" s="3331"/>
      <c r="E106" s="3275"/>
      <c r="F106" s="3275">
        <v>471</v>
      </c>
      <c r="G106" s="3275"/>
      <c r="H106" s="3275">
        <v>556</v>
      </c>
      <c r="I106" s="3273"/>
      <c r="J106" s="1986">
        <f t="shared" si="325"/>
        <v>1027</v>
      </c>
      <c r="K106" s="3275"/>
      <c r="L106" s="3275">
        <v>541</v>
      </c>
      <c r="M106" s="3274"/>
      <c r="N106" s="3274">
        <f t="shared" si="326"/>
        <v>1568</v>
      </c>
      <c r="O106" s="3275"/>
      <c r="P106" s="3275">
        <v>403</v>
      </c>
      <c r="Q106" s="2538"/>
      <c r="R106" s="3273">
        <f t="shared" ref="R106:R108" si="327">+N106+P106</f>
        <v>1971</v>
      </c>
      <c r="S106" s="3275"/>
      <c r="T106" s="3275">
        <v>481</v>
      </c>
      <c r="U106" s="2538"/>
      <c r="V106" s="3273">
        <f t="shared" ref="V106:V108" si="328">+R106+T106</f>
        <v>2452</v>
      </c>
      <c r="W106" s="3275"/>
      <c r="X106" s="3275">
        <v>476</v>
      </c>
      <c r="Y106" s="2539"/>
      <c r="Z106" s="3274">
        <f t="shared" ref="Z106:Z108" si="329">+X106+T106+P106</f>
        <v>1360</v>
      </c>
      <c r="AA106" s="2579"/>
      <c r="AB106" s="2566">
        <f t="shared" ref="AB106:AB108" si="330">Z106+N106</f>
        <v>2928</v>
      </c>
      <c r="AC106" s="3275"/>
      <c r="AD106" s="3275">
        <v>409</v>
      </c>
      <c r="AE106" s="2538"/>
      <c r="AF106" s="3273">
        <f t="shared" ref="AF106:AF108" si="331">+AB106+AD106</f>
        <v>3337</v>
      </c>
      <c r="AG106" s="3275"/>
      <c r="AH106" s="3275">
        <v>389</v>
      </c>
      <c r="AI106" s="2538"/>
      <c r="AJ106" s="3273">
        <f t="shared" ref="AJ106:AJ108" si="332">+AF106+AH106</f>
        <v>3726</v>
      </c>
      <c r="AK106" s="3275"/>
      <c r="AL106" s="3275">
        <v>439</v>
      </c>
      <c r="AM106" s="2539"/>
      <c r="AN106" s="3274">
        <f t="shared" ref="AN106:AN108" si="333">+AL106+AH106+AD106</f>
        <v>1237</v>
      </c>
      <c r="AO106" s="2538"/>
      <c r="AP106" s="3273">
        <f t="shared" ref="AP106:AP108" si="334">+AL106+AJ106</f>
        <v>4165</v>
      </c>
      <c r="AQ106" s="3275"/>
      <c r="AR106" s="3275">
        <v>423</v>
      </c>
      <c r="AS106" s="2538"/>
      <c r="AT106" s="3273">
        <f t="shared" ref="AT106:AT108" si="335">+AP106+AR106</f>
        <v>4588</v>
      </c>
      <c r="AU106" s="3275"/>
      <c r="AV106" s="3275">
        <v>375</v>
      </c>
      <c r="AW106" s="2538"/>
      <c r="AX106" s="3273">
        <f t="shared" ref="AX106:AX108" si="336">+AT106+AV106</f>
        <v>4963</v>
      </c>
      <c r="AY106" s="3275"/>
      <c r="AZ106" s="3275">
        <v>438</v>
      </c>
      <c r="BA106" s="2539"/>
      <c r="BB106" s="3274">
        <f t="shared" ref="BB106:BB108" si="337">+AZ106+AV106+AR106</f>
        <v>1236</v>
      </c>
      <c r="BC106" s="2579"/>
      <c r="BD106" s="2566">
        <f t="shared" ref="BD106:BD108" si="338">BB106+AN106</f>
        <v>2473</v>
      </c>
      <c r="BE106" s="2538"/>
      <c r="BF106" s="1986">
        <f t="shared" ref="BF106:BF108" si="339">+AX106+AZ106</f>
        <v>5401</v>
      </c>
      <c r="BG106" s="2446"/>
      <c r="BH106" s="2446"/>
      <c r="BI106" s="2445"/>
      <c r="BJ106" s="2445"/>
      <c r="BK106" s="3564"/>
      <c r="BL106" s="2445"/>
      <c r="BM106" s="3564"/>
      <c r="BN106" s="3564"/>
    </row>
    <row r="107" spans="2:66" ht="13.8" x14ac:dyDescent="0.25">
      <c r="B107" s="3330" t="s">
        <v>1477</v>
      </c>
      <c r="C107" s="3311" t="s">
        <v>679</v>
      </c>
      <c r="D107" s="3331"/>
      <c r="E107" s="3275"/>
      <c r="F107" s="3275">
        <v>190</v>
      </c>
      <c r="G107" s="3275"/>
      <c r="H107" s="3275">
        <v>200</v>
      </c>
      <c r="I107" s="3273"/>
      <c r="J107" s="1986">
        <f t="shared" si="325"/>
        <v>390</v>
      </c>
      <c r="K107" s="3275"/>
      <c r="L107" s="3275">
        <v>140</v>
      </c>
      <c r="M107" s="3274"/>
      <c r="N107" s="3274">
        <f t="shared" si="326"/>
        <v>530</v>
      </c>
      <c r="O107" s="3275"/>
      <c r="P107" s="3275">
        <v>134</v>
      </c>
      <c r="Q107" s="2538"/>
      <c r="R107" s="3273">
        <f t="shared" si="327"/>
        <v>664</v>
      </c>
      <c r="S107" s="3275"/>
      <c r="T107" s="3275">
        <v>142</v>
      </c>
      <c r="U107" s="2538"/>
      <c r="V107" s="3273">
        <f t="shared" si="328"/>
        <v>806</v>
      </c>
      <c r="W107" s="3275"/>
      <c r="X107" s="3275">
        <v>121</v>
      </c>
      <c r="Y107" s="2539"/>
      <c r="Z107" s="3274">
        <f t="shared" si="329"/>
        <v>397</v>
      </c>
      <c r="AA107" s="2579"/>
      <c r="AB107" s="2566">
        <f t="shared" si="330"/>
        <v>927</v>
      </c>
      <c r="AC107" s="3275"/>
      <c r="AD107" s="3275">
        <v>113</v>
      </c>
      <c r="AE107" s="2538"/>
      <c r="AF107" s="3273">
        <f t="shared" si="331"/>
        <v>1040</v>
      </c>
      <c r="AG107" s="3275"/>
      <c r="AH107" s="3275">
        <v>101</v>
      </c>
      <c r="AI107" s="2538"/>
      <c r="AJ107" s="3273">
        <f t="shared" si="332"/>
        <v>1141</v>
      </c>
      <c r="AK107" s="3275"/>
      <c r="AL107" s="3275">
        <v>193</v>
      </c>
      <c r="AM107" s="2539"/>
      <c r="AN107" s="3274">
        <f t="shared" si="333"/>
        <v>407</v>
      </c>
      <c r="AO107" s="2538"/>
      <c r="AP107" s="3273">
        <f t="shared" si="334"/>
        <v>1334</v>
      </c>
      <c r="AQ107" s="3275"/>
      <c r="AR107" s="3275">
        <v>222</v>
      </c>
      <c r="AS107" s="2538"/>
      <c r="AT107" s="3273">
        <f t="shared" si="335"/>
        <v>1556</v>
      </c>
      <c r="AU107" s="3275"/>
      <c r="AV107" s="3275">
        <v>164</v>
      </c>
      <c r="AW107" s="2538"/>
      <c r="AX107" s="3273">
        <f t="shared" si="336"/>
        <v>1720</v>
      </c>
      <c r="AY107" s="3275"/>
      <c r="AZ107" s="3275">
        <v>232</v>
      </c>
      <c r="BA107" s="2539"/>
      <c r="BB107" s="3274">
        <f t="shared" si="337"/>
        <v>618</v>
      </c>
      <c r="BC107" s="2579"/>
      <c r="BD107" s="2566">
        <f t="shared" si="338"/>
        <v>1025</v>
      </c>
      <c r="BE107" s="2538"/>
      <c r="BF107" s="1986">
        <f t="shared" si="339"/>
        <v>1952</v>
      </c>
      <c r="BG107" s="2446"/>
      <c r="BH107" s="2446"/>
      <c r="BI107" s="2445"/>
      <c r="BJ107" s="2445"/>
      <c r="BK107" s="3564"/>
      <c r="BL107" s="2445"/>
      <c r="BM107" s="3564"/>
      <c r="BN107" s="3564"/>
    </row>
    <row r="108" spans="2:66" ht="21" customHeight="1" x14ac:dyDescent="0.25">
      <c r="B108" s="3332" t="s">
        <v>1478</v>
      </c>
      <c r="C108" s="3290" t="s">
        <v>50</v>
      </c>
      <c r="D108" s="1941"/>
      <c r="E108" s="3333"/>
      <c r="F108" s="3333">
        <v>29606.6</v>
      </c>
      <c r="G108" s="3333"/>
      <c r="H108" s="3333">
        <v>31301.989999999998</v>
      </c>
      <c r="I108" s="3334"/>
      <c r="J108" s="1986">
        <f t="shared" si="325"/>
        <v>60908.59</v>
      </c>
      <c r="K108" s="3333"/>
      <c r="L108" s="3333">
        <v>22004.6</v>
      </c>
      <c r="M108" s="3274"/>
      <c r="N108" s="3274">
        <f t="shared" si="326"/>
        <v>82913.19</v>
      </c>
      <c r="O108" s="3333"/>
      <c r="P108" s="3333">
        <v>21209.759999999998</v>
      </c>
      <c r="Q108" s="2538"/>
      <c r="R108" s="3273">
        <f t="shared" si="327"/>
        <v>104122.95</v>
      </c>
      <c r="S108" s="3333"/>
      <c r="T108" s="3333">
        <v>22497.17</v>
      </c>
      <c r="U108" s="2538"/>
      <c r="V108" s="3273">
        <f t="shared" si="328"/>
        <v>126620.12</v>
      </c>
      <c r="W108" s="3333"/>
      <c r="X108" s="3333">
        <v>18935.099999999999</v>
      </c>
      <c r="Y108" s="2539"/>
      <c r="Z108" s="3274">
        <f t="shared" si="329"/>
        <v>62642.03</v>
      </c>
      <c r="AA108" s="2579"/>
      <c r="AB108" s="2566">
        <f t="shared" si="330"/>
        <v>145555.22</v>
      </c>
      <c r="AC108" s="3333"/>
      <c r="AD108" s="3333">
        <v>17755.399999999998</v>
      </c>
      <c r="AE108" s="2538"/>
      <c r="AF108" s="3273">
        <f t="shared" si="331"/>
        <v>163310.62</v>
      </c>
      <c r="AG108" s="3333"/>
      <c r="AH108" s="3333">
        <v>16214.990000000002</v>
      </c>
      <c r="AI108" s="2538"/>
      <c r="AJ108" s="3273">
        <f t="shared" si="332"/>
        <v>179525.61</v>
      </c>
      <c r="AK108" s="3333"/>
      <c r="AL108" s="3333">
        <v>30110.519999999997</v>
      </c>
      <c r="AM108" s="2539"/>
      <c r="AN108" s="3274">
        <f t="shared" si="333"/>
        <v>64080.909999999989</v>
      </c>
      <c r="AO108" s="2538"/>
      <c r="AP108" s="3273">
        <f t="shared" si="334"/>
        <v>209636.12999999998</v>
      </c>
      <c r="AQ108" s="3333"/>
      <c r="AR108" s="3333">
        <v>34859.44000000001</v>
      </c>
      <c r="AS108" s="2538"/>
      <c r="AT108" s="3273">
        <f t="shared" si="335"/>
        <v>244495.56999999998</v>
      </c>
      <c r="AU108" s="3333"/>
      <c r="AV108" s="3333">
        <v>25973.510000000002</v>
      </c>
      <c r="AW108" s="2538"/>
      <c r="AX108" s="3273">
        <f t="shared" si="336"/>
        <v>270469.07999999996</v>
      </c>
      <c r="AY108" s="3333"/>
      <c r="AZ108" s="3333">
        <v>36566.22</v>
      </c>
      <c r="BA108" s="2539"/>
      <c r="BB108" s="3274">
        <f t="shared" si="337"/>
        <v>97399.170000000013</v>
      </c>
      <c r="BC108" s="2579"/>
      <c r="BD108" s="2566">
        <f t="shared" si="338"/>
        <v>161480.08000000002</v>
      </c>
      <c r="BE108" s="2538"/>
      <c r="BF108" s="1986">
        <f t="shared" si="339"/>
        <v>307035.29999999993</v>
      </c>
      <c r="BG108" s="2446"/>
      <c r="BH108" s="2446"/>
      <c r="BI108" s="2445"/>
      <c r="BJ108" s="2445"/>
      <c r="BK108" s="3564"/>
      <c r="BL108" s="2445"/>
      <c r="BM108" s="3564"/>
      <c r="BN108" s="3564"/>
    </row>
    <row r="109" spans="2:66" ht="21" customHeight="1" thickBot="1" x14ac:dyDescent="0.3">
      <c r="B109" s="3330" t="s">
        <v>1839</v>
      </c>
      <c r="C109" s="3311"/>
      <c r="D109" s="3331"/>
      <c r="E109" s="3275"/>
      <c r="F109" s="4727">
        <v>82.9</v>
      </c>
      <c r="G109" s="3275"/>
      <c r="H109" s="4727">
        <v>88.37</v>
      </c>
      <c r="I109" s="3273"/>
      <c r="J109" s="3321">
        <f>AVERAGE(F109,H109)</f>
        <v>85.635000000000005</v>
      </c>
      <c r="K109" s="3275"/>
      <c r="L109" s="4727">
        <v>86</v>
      </c>
      <c r="M109" s="3274"/>
      <c r="N109" s="3274">
        <f>+AVERAGE(F109,H109,L109)</f>
        <v>85.756666666666661</v>
      </c>
      <c r="O109" s="3275"/>
      <c r="P109" s="4727">
        <v>86.2</v>
      </c>
      <c r="Q109" s="2538"/>
      <c r="R109" s="3273">
        <f>AVERAGE(F109,H109,L109,P109)</f>
        <v>85.867499999999993</v>
      </c>
      <c r="S109" s="3275"/>
      <c r="T109" s="4727">
        <v>92.2</v>
      </c>
      <c r="U109" s="2538"/>
      <c r="V109" s="3058">
        <f>+AVERAGE(F109,H109,L109,P109,T109)</f>
        <v>87.133999999999986</v>
      </c>
      <c r="W109" s="3275"/>
      <c r="X109" s="4727">
        <v>89.47</v>
      </c>
      <c r="Y109" s="2539"/>
      <c r="Z109" s="3274">
        <f>+AVERAGE(P109,T109,X109)</f>
        <v>89.29</v>
      </c>
      <c r="AA109" s="2579"/>
      <c r="AB109" s="2566">
        <f>+AVERAGE(N109,Z109)</f>
        <v>87.523333333333341</v>
      </c>
      <c r="AC109" s="3275"/>
      <c r="AD109" s="4727">
        <v>89.6</v>
      </c>
      <c r="AE109" s="3970"/>
      <c r="AF109" s="3971">
        <f>AVERAGE(F109,H109,L109,P109,T109,X109,AD109)</f>
        <v>87.820000000000007</v>
      </c>
      <c r="AG109" s="3275"/>
      <c r="AH109" s="4727">
        <v>88.8</v>
      </c>
      <c r="AI109" s="3970"/>
      <c r="AJ109" s="4396">
        <f>AVERAGE(AF109,AH109)</f>
        <v>88.31</v>
      </c>
      <c r="AK109" s="3275"/>
      <c r="AL109" s="4727">
        <v>90.3</v>
      </c>
      <c r="AM109" s="3972"/>
      <c r="AN109" s="4475">
        <f>+AVERAGE(AD109,AH109,AL109)</f>
        <v>89.566666666666663</v>
      </c>
      <c r="AO109" s="3970"/>
      <c r="AP109" s="4396">
        <f>+AVERAGE(F109,H109,L109,P109,T109,X109,AD109,AH109,AL109)</f>
        <v>88.204444444444434</v>
      </c>
      <c r="AQ109" s="3275"/>
      <c r="AR109" s="4727">
        <v>89.7</v>
      </c>
      <c r="AS109" s="3970"/>
      <c r="AT109" s="4396">
        <f>AVERAGE(F109,H109,L109,P109,T109,X109,AD109,AH109,AR109)</f>
        <v>88.137777777777785</v>
      </c>
      <c r="AU109" s="3275"/>
      <c r="AV109" s="4727">
        <v>92.7</v>
      </c>
      <c r="AW109" s="3970"/>
      <c r="AX109" s="4396">
        <f>AVERAGE(F109,H109,L109,P109,T109,X109,AD109,AH109,AL109,AR109,AV109)</f>
        <v>88.74909090909091</v>
      </c>
      <c r="AY109" s="3275"/>
      <c r="AZ109" s="4727">
        <v>93.4</v>
      </c>
      <c r="BA109" s="3972"/>
      <c r="BB109" s="4475">
        <f>+AVERAGE(AR109,AV109,AZ109)</f>
        <v>91.933333333333337</v>
      </c>
      <c r="BC109" s="3973"/>
      <c r="BD109" s="5613">
        <f>+AVERAGE(BB109,AN109)</f>
        <v>90.75</v>
      </c>
      <c r="BE109" s="3970"/>
      <c r="BF109" s="3321">
        <f>AVERAGE(AZ109,AV109,AR109,AL109,AH109,AD109,X109,T109,P109,L109,H109,F109)</f>
        <v>89.13666666666667</v>
      </c>
      <c r="BG109" s="2446"/>
      <c r="BH109" s="2446"/>
      <c r="BI109" s="2445"/>
      <c r="BJ109" s="2445"/>
      <c r="BK109" s="3564"/>
      <c r="BL109" s="2445"/>
      <c r="BM109" s="3564"/>
      <c r="BN109" s="3564"/>
    </row>
    <row r="110" spans="2:66" ht="21" customHeight="1" x14ac:dyDescent="0.25">
      <c r="B110" s="882" t="s">
        <v>1512</v>
      </c>
      <c r="C110" s="751"/>
      <c r="D110" s="1992"/>
      <c r="E110" s="2061"/>
      <c r="F110" s="1429"/>
      <c r="G110" s="2061"/>
      <c r="H110" s="1429"/>
      <c r="I110" s="3335"/>
      <c r="J110" s="3336"/>
      <c r="K110" s="2061"/>
      <c r="L110" s="1429"/>
      <c r="M110" s="3326"/>
      <c r="N110" s="3326"/>
      <c r="O110" s="2061"/>
      <c r="P110" s="1429"/>
      <c r="Q110" s="3071"/>
      <c r="R110" s="3071"/>
      <c r="S110" s="2061"/>
      <c r="T110" s="1429"/>
      <c r="U110" s="3071"/>
      <c r="V110" s="3071"/>
      <c r="W110" s="2061"/>
      <c r="X110" s="1429"/>
      <c r="Y110" s="3326"/>
      <c r="Z110" s="3326"/>
      <c r="AA110" s="3327"/>
      <c r="AB110" s="3327"/>
      <c r="AC110" s="2061"/>
      <c r="AD110" s="1429"/>
      <c r="AE110" s="3071"/>
      <c r="AF110" s="3071"/>
      <c r="AG110" s="2061"/>
      <c r="AH110" s="1429"/>
      <c r="AI110" s="3071"/>
      <c r="AJ110" s="3071"/>
      <c r="AK110" s="2061"/>
      <c r="AL110" s="1429"/>
      <c r="AM110" s="3326"/>
      <c r="AN110" s="3326"/>
      <c r="AO110" s="3071"/>
      <c r="AP110" s="3071"/>
      <c r="AQ110" s="2061"/>
      <c r="AR110" s="1429"/>
      <c r="AS110" s="3071"/>
      <c r="AT110" s="3071"/>
      <c r="AU110" s="2061"/>
      <c r="AV110" s="1429"/>
      <c r="AW110" s="3071"/>
      <c r="AX110" s="3071"/>
      <c r="AY110" s="2061"/>
      <c r="AZ110" s="1429"/>
      <c r="BA110" s="3326"/>
      <c r="BB110" s="3326"/>
      <c r="BC110" s="3327"/>
      <c r="BD110" s="3327"/>
      <c r="BE110" s="3071"/>
      <c r="BF110" s="2805"/>
      <c r="BG110" s="2446"/>
      <c r="BH110" s="2446"/>
      <c r="BI110" s="2445"/>
      <c r="BJ110" s="2445"/>
      <c r="BK110" s="3564"/>
      <c r="BL110" s="2445"/>
      <c r="BM110" s="3564"/>
      <c r="BN110" s="3564"/>
    </row>
    <row r="111" spans="2:66" ht="13.8" x14ac:dyDescent="0.25">
      <c r="B111" s="1706" t="s">
        <v>573</v>
      </c>
      <c r="C111" s="2803" t="s">
        <v>50</v>
      </c>
      <c r="D111" s="152"/>
      <c r="E111" s="2615"/>
      <c r="F111" s="2794">
        <v>0.33200000000000002</v>
      </c>
      <c r="G111" s="2615"/>
      <c r="H111" s="2794"/>
      <c r="I111" s="3058"/>
      <c r="J111" s="105">
        <f>+F111+H111</f>
        <v>0.33200000000000002</v>
      </c>
      <c r="K111" s="2615"/>
      <c r="L111" s="2794"/>
      <c r="M111" s="3326"/>
      <c r="N111" s="2539">
        <f t="shared" ref="N111:N132" si="340">+L111+H111+F111</f>
        <v>0.33200000000000002</v>
      </c>
      <c r="O111" s="2615"/>
      <c r="P111" s="2794">
        <v>0.72499999999999998</v>
      </c>
      <c r="Q111" s="3071"/>
      <c r="R111" s="3058">
        <f>+N111+P111</f>
        <v>1.0569999999999999</v>
      </c>
      <c r="S111" s="2615"/>
      <c r="T111" s="2794"/>
      <c r="U111" s="3071"/>
      <c r="V111" s="3058">
        <f>+R111+T111</f>
        <v>1.0569999999999999</v>
      </c>
      <c r="W111" s="2615"/>
      <c r="X111" s="2794"/>
      <c r="Y111" s="3326"/>
      <c r="Z111" s="2539">
        <f t="shared" ref="Z111:Z132" si="341">+X111+T111+P111</f>
        <v>0.72499999999999998</v>
      </c>
      <c r="AA111" s="3327"/>
      <c r="AB111" s="2579">
        <f t="shared" ref="AB111:AB132" si="342">+Z111+N111</f>
        <v>1.0569999999999999</v>
      </c>
      <c r="AC111" s="2615"/>
      <c r="AD111" s="2794"/>
      <c r="AE111" s="3071"/>
      <c r="AF111" s="3058">
        <f>+AB111+AD111</f>
        <v>1.0569999999999999</v>
      </c>
      <c r="AG111" s="2615"/>
      <c r="AH111" s="2794"/>
      <c r="AI111" s="3071"/>
      <c r="AJ111" s="3058">
        <f>+AF111+AH111</f>
        <v>1.0569999999999999</v>
      </c>
      <c r="AK111" s="2615"/>
      <c r="AL111" s="2794"/>
      <c r="AM111" s="3326"/>
      <c r="AN111" s="2539">
        <f t="shared" ref="AN111:AN132" si="343">+AL111+AH111+AD111</f>
        <v>0</v>
      </c>
      <c r="AO111" s="3071"/>
      <c r="AP111" s="2538">
        <f t="shared" ref="AP111:AP132" si="344">+AL111+AJ111</f>
        <v>1.0569999999999999</v>
      </c>
      <c r="AQ111" s="2797"/>
      <c r="AR111" s="2537"/>
      <c r="AS111" s="3071"/>
      <c r="AT111" s="2538">
        <f>+AP111+AR111</f>
        <v>1.0569999999999999</v>
      </c>
      <c r="AU111" s="2797"/>
      <c r="AV111" s="2537"/>
      <c r="AW111" s="3071"/>
      <c r="AX111" s="2538">
        <f>+AT111+AV111</f>
        <v>1.0569999999999999</v>
      </c>
      <c r="AY111" s="2797"/>
      <c r="AZ111" s="2537"/>
      <c r="BA111" s="3326"/>
      <c r="BB111" s="2539">
        <f t="shared" ref="BB111:BB132" si="345">+AZ111+AV111+AR111</f>
        <v>0</v>
      </c>
      <c r="BC111" s="3327"/>
      <c r="BD111" s="2579">
        <f t="shared" ref="BD111:BD132" si="346">+BB111+AN111</f>
        <v>0</v>
      </c>
      <c r="BE111" s="3071"/>
      <c r="BF111" s="38">
        <f>+AX111+AZ111</f>
        <v>1.0569999999999999</v>
      </c>
      <c r="BG111" s="2446"/>
      <c r="BH111" s="2446"/>
      <c r="BI111" s="2445"/>
      <c r="BJ111" s="2445"/>
      <c r="BK111" s="3564"/>
      <c r="BL111" s="2445"/>
      <c r="BM111" s="3564"/>
      <c r="BN111" s="3564"/>
    </row>
    <row r="112" spans="2:66" ht="13.8" x14ac:dyDescent="0.25">
      <c r="B112" s="1706" t="s">
        <v>796</v>
      </c>
      <c r="C112" s="2803" t="s">
        <v>50</v>
      </c>
      <c r="D112" s="152"/>
      <c r="E112" s="2615"/>
      <c r="F112" s="2794">
        <v>3.9220000000000002</v>
      </c>
      <c r="G112" s="2615"/>
      <c r="H112" s="2794">
        <v>3.64</v>
      </c>
      <c r="I112" s="3058"/>
      <c r="J112" s="105">
        <f t="shared" ref="J112:J131" si="347">+F112+H112</f>
        <v>7.5620000000000003</v>
      </c>
      <c r="K112" s="2615"/>
      <c r="L112" s="2794">
        <v>7.0609999999999999</v>
      </c>
      <c r="M112" s="3326"/>
      <c r="N112" s="2539">
        <f t="shared" si="340"/>
        <v>14.623000000000001</v>
      </c>
      <c r="O112" s="2615"/>
      <c r="P112" s="2794">
        <v>4.2640000000000002</v>
      </c>
      <c r="Q112" s="3071"/>
      <c r="R112" s="3058">
        <f t="shared" ref="R112:R132" si="348">+N112+P112</f>
        <v>18.887</v>
      </c>
      <c r="S112" s="2615"/>
      <c r="T112" s="2794">
        <v>12.468999999999999</v>
      </c>
      <c r="U112" s="3071"/>
      <c r="V112" s="3058">
        <f t="shared" ref="V112:V132" si="349">+R112+T112</f>
        <v>31.356000000000002</v>
      </c>
      <c r="W112" s="2615"/>
      <c r="X112" s="2794">
        <v>5.367</v>
      </c>
      <c r="Y112" s="3326"/>
      <c r="Z112" s="2539">
        <f t="shared" si="341"/>
        <v>22.099999999999998</v>
      </c>
      <c r="AA112" s="3327"/>
      <c r="AB112" s="2579">
        <f t="shared" si="342"/>
        <v>36.722999999999999</v>
      </c>
      <c r="AC112" s="2615"/>
      <c r="AD112" s="2794"/>
      <c r="AE112" s="3071"/>
      <c r="AF112" s="3058">
        <f t="shared" ref="AF112:AF132" si="350">+AB112+AD112</f>
        <v>36.722999999999999</v>
      </c>
      <c r="AG112" s="2615"/>
      <c r="AH112" s="2794">
        <v>15.382</v>
      </c>
      <c r="AI112" s="3071"/>
      <c r="AJ112" s="3058">
        <f t="shared" ref="AJ112:AJ132" si="351">+AF112+AH112</f>
        <v>52.104999999999997</v>
      </c>
      <c r="AK112" s="2615"/>
      <c r="AL112" s="2794">
        <v>16.719000000000001</v>
      </c>
      <c r="AM112" s="3326"/>
      <c r="AN112" s="2539">
        <f t="shared" si="343"/>
        <v>32.100999999999999</v>
      </c>
      <c r="AO112" s="3071"/>
      <c r="AP112" s="2538">
        <f t="shared" si="344"/>
        <v>68.823999999999998</v>
      </c>
      <c r="AQ112" s="2797"/>
      <c r="AR112" s="2537">
        <v>1.32</v>
      </c>
      <c r="AS112" s="3071"/>
      <c r="AT112" s="2538">
        <f t="shared" ref="AT112:AT132" si="352">+AP112+AR112</f>
        <v>70.143999999999991</v>
      </c>
      <c r="AU112" s="2797"/>
      <c r="AV112" s="2537">
        <v>1.2</v>
      </c>
      <c r="AW112" s="3071"/>
      <c r="AX112" s="2538">
        <f t="shared" ref="AX112:AX132" si="353">+AT112+AV112</f>
        <v>71.343999999999994</v>
      </c>
      <c r="AY112" s="2797"/>
      <c r="AZ112" s="2537">
        <v>0.4</v>
      </c>
      <c r="BA112" s="3326"/>
      <c r="BB112" s="2539">
        <f t="shared" si="345"/>
        <v>2.92</v>
      </c>
      <c r="BC112" s="3327"/>
      <c r="BD112" s="2579">
        <f t="shared" si="346"/>
        <v>35.021000000000001</v>
      </c>
      <c r="BE112" s="3071"/>
      <c r="BF112" s="38">
        <f t="shared" ref="BF112:BF132" si="354">+AX112+AZ112</f>
        <v>71.744</v>
      </c>
      <c r="BG112" s="2446"/>
      <c r="BH112" s="2446"/>
      <c r="BI112" s="2445"/>
      <c r="BJ112" s="2445"/>
      <c r="BK112" s="3564"/>
      <c r="BL112" s="2445"/>
      <c r="BM112" s="3564"/>
      <c r="BN112" s="3564"/>
    </row>
    <row r="113" spans="2:66" ht="13.8" x14ac:dyDescent="0.25">
      <c r="B113" s="1706" t="s">
        <v>572</v>
      </c>
      <c r="C113" s="2803" t="s">
        <v>50</v>
      </c>
      <c r="D113" s="152"/>
      <c r="E113" s="2615"/>
      <c r="F113" s="2794">
        <v>83</v>
      </c>
      <c r="G113" s="2615"/>
      <c r="H113" s="2794">
        <v>43</v>
      </c>
      <c r="I113" s="3058"/>
      <c r="J113" s="105">
        <f t="shared" si="347"/>
        <v>126</v>
      </c>
      <c r="K113" s="2615"/>
      <c r="L113" s="2794">
        <v>42</v>
      </c>
      <c r="M113" s="3326"/>
      <c r="N113" s="2539">
        <f t="shared" si="340"/>
        <v>168</v>
      </c>
      <c r="O113" s="2615"/>
      <c r="P113" s="2794">
        <v>30</v>
      </c>
      <c r="Q113" s="3071"/>
      <c r="R113" s="3058">
        <f t="shared" si="348"/>
        <v>198</v>
      </c>
      <c r="S113" s="2615"/>
      <c r="T113" s="2794">
        <v>76</v>
      </c>
      <c r="U113" s="3071"/>
      <c r="V113" s="3058">
        <f t="shared" si="349"/>
        <v>274</v>
      </c>
      <c r="W113" s="2615"/>
      <c r="X113" s="2794">
        <v>109</v>
      </c>
      <c r="Y113" s="3326"/>
      <c r="Z113" s="2539">
        <f t="shared" si="341"/>
        <v>215</v>
      </c>
      <c r="AA113" s="3327"/>
      <c r="AB113" s="2579">
        <f t="shared" si="342"/>
        <v>383</v>
      </c>
      <c r="AC113" s="2615"/>
      <c r="AD113" s="2794">
        <v>26</v>
      </c>
      <c r="AE113" s="3071"/>
      <c r="AF113" s="3058">
        <f t="shared" si="350"/>
        <v>409</v>
      </c>
      <c r="AG113" s="2615"/>
      <c r="AH113" s="2794">
        <v>76</v>
      </c>
      <c r="AI113" s="3071"/>
      <c r="AJ113" s="3058">
        <f t="shared" si="351"/>
        <v>485</v>
      </c>
      <c r="AK113" s="2615"/>
      <c r="AL113" s="2794">
        <v>99</v>
      </c>
      <c r="AM113" s="3326"/>
      <c r="AN113" s="2539">
        <f t="shared" si="343"/>
        <v>201</v>
      </c>
      <c r="AO113" s="3071"/>
      <c r="AP113" s="2538">
        <f t="shared" si="344"/>
        <v>584</v>
      </c>
      <c r="AQ113" s="2797"/>
      <c r="AR113" s="2537">
        <v>40</v>
      </c>
      <c r="AS113" s="3071"/>
      <c r="AT113" s="2538">
        <f t="shared" si="352"/>
        <v>624</v>
      </c>
      <c r="AU113" s="2797"/>
      <c r="AV113" s="2537">
        <v>30</v>
      </c>
      <c r="AW113" s="3071"/>
      <c r="AX113" s="2538">
        <f t="shared" si="353"/>
        <v>654</v>
      </c>
      <c r="AY113" s="2797"/>
      <c r="AZ113" s="2537">
        <v>21</v>
      </c>
      <c r="BA113" s="3326"/>
      <c r="BB113" s="2539">
        <f t="shared" si="345"/>
        <v>91</v>
      </c>
      <c r="BC113" s="3327"/>
      <c r="BD113" s="2579">
        <f t="shared" si="346"/>
        <v>292</v>
      </c>
      <c r="BE113" s="3071"/>
      <c r="BF113" s="38">
        <f t="shared" si="354"/>
        <v>675</v>
      </c>
      <c r="BG113" s="2446"/>
      <c r="BH113" s="2446"/>
      <c r="BI113" s="2445"/>
      <c r="BJ113" s="2445"/>
      <c r="BK113" s="3564"/>
      <c r="BL113" s="2445"/>
      <c r="BM113" s="3564"/>
      <c r="BN113" s="3564"/>
    </row>
    <row r="114" spans="2:66" ht="13.8" x14ac:dyDescent="0.25">
      <c r="B114" s="1706" t="s">
        <v>703</v>
      </c>
      <c r="C114" s="2803" t="s">
        <v>50</v>
      </c>
      <c r="D114" s="152"/>
      <c r="E114" s="2615"/>
      <c r="F114" s="2794">
        <v>11</v>
      </c>
      <c r="G114" s="2615"/>
      <c r="H114" s="2794">
        <v>5.05</v>
      </c>
      <c r="I114" s="3058"/>
      <c r="J114" s="105">
        <f t="shared" si="347"/>
        <v>16.05</v>
      </c>
      <c r="K114" s="2615"/>
      <c r="L114" s="2794">
        <v>11.63</v>
      </c>
      <c r="M114" s="3326"/>
      <c r="N114" s="2539">
        <f t="shared" si="340"/>
        <v>27.68</v>
      </c>
      <c r="O114" s="2615"/>
      <c r="P114" s="2794">
        <v>7.3</v>
      </c>
      <c r="Q114" s="3071"/>
      <c r="R114" s="3058">
        <f t="shared" si="348"/>
        <v>34.979999999999997</v>
      </c>
      <c r="S114" s="2615"/>
      <c r="T114" s="2794">
        <v>2.02</v>
      </c>
      <c r="U114" s="3071"/>
      <c r="V114" s="3058">
        <f t="shared" si="349"/>
        <v>37</v>
      </c>
      <c r="W114" s="2615"/>
      <c r="X114" s="2794">
        <v>2.6949999999999998</v>
      </c>
      <c r="Y114" s="3326"/>
      <c r="Z114" s="2539">
        <f t="shared" si="341"/>
        <v>12.015000000000001</v>
      </c>
      <c r="AA114" s="3327"/>
      <c r="AB114" s="2579">
        <f t="shared" si="342"/>
        <v>39.695</v>
      </c>
      <c r="AC114" s="2615"/>
      <c r="AD114" s="2794">
        <v>8.6150000000000002</v>
      </c>
      <c r="AE114" s="3071"/>
      <c r="AF114" s="3058">
        <f t="shared" si="350"/>
        <v>48.31</v>
      </c>
      <c r="AG114" s="2615"/>
      <c r="AH114" s="2794">
        <v>11.5</v>
      </c>
      <c r="AI114" s="3071"/>
      <c r="AJ114" s="3058">
        <f t="shared" si="351"/>
        <v>59.81</v>
      </c>
      <c r="AK114" s="2615"/>
      <c r="AL114" s="2794">
        <v>21.78</v>
      </c>
      <c r="AM114" s="3326"/>
      <c r="AN114" s="2539">
        <f t="shared" si="343"/>
        <v>41.895000000000003</v>
      </c>
      <c r="AO114" s="3071"/>
      <c r="AP114" s="2538">
        <f t="shared" si="344"/>
        <v>81.59</v>
      </c>
      <c r="AQ114" s="2797"/>
      <c r="AR114" s="2537">
        <v>11.9</v>
      </c>
      <c r="AS114" s="3071"/>
      <c r="AT114" s="2538">
        <f t="shared" si="352"/>
        <v>93.490000000000009</v>
      </c>
      <c r="AU114" s="2797"/>
      <c r="AV114" s="2537">
        <v>3.605</v>
      </c>
      <c r="AW114" s="3071"/>
      <c r="AX114" s="2538">
        <f t="shared" si="353"/>
        <v>97.095000000000013</v>
      </c>
      <c r="AY114" s="2797"/>
      <c r="AZ114" s="2537">
        <v>16.263000000000002</v>
      </c>
      <c r="BA114" s="3326"/>
      <c r="BB114" s="2539">
        <f t="shared" si="345"/>
        <v>31.768000000000001</v>
      </c>
      <c r="BC114" s="3327"/>
      <c r="BD114" s="2579">
        <f t="shared" si="346"/>
        <v>73.663000000000011</v>
      </c>
      <c r="BE114" s="3071"/>
      <c r="BF114" s="38">
        <f t="shared" si="354"/>
        <v>113.35800000000002</v>
      </c>
      <c r="BG114" s="2446"/>
      <c r="BH114" s="2446"/>
      <c r="BI114" s="2445"/>
      <c r="BJ114" s="2445"/>
      <c r="BK114" s="3564"/>
      <c r="BL114" s="2445"/>
      <c r="BM114" s="3564"/>
      <c r="BN114" s="3564"/>
    </row>
    <row r="115" spans="2:66" ht="13.8" x14ac:dyDescent="0.25">
      <c r="B115" s="1706" t="s">
        <v>1671</v>
      </c>
      <c r="C115" s="2803" t="s">
        <v>50</v>
      </c>
      <c r="D115" s="152"/>
      <c r="E115" s="2615"/>
      <c r="F115" s="2794"/>
      <c r="G115" s="2615"/>
      <c r="H115" s="2794"/>
      <c r="I115" s="3058"/>
      <c r="J115" s="105">
        <f t="shared" si="347"/>
        <v>0</v>
      </c>
      <c r="K115" s="2615"/>
      <c r="L115" s="2794"/>
      <c r="M115" s="3326"/>
      <c r="N115" s="2539">
        <f t="shared" si="340"/>
        <v>0</v>
      </c>
      <c r="O115" s="2615"/>
      <c r="P115" s="2794"/>
      <c r="Q115" s="3071"/>
      <c r="R115" s="3058">
        <f t="shared" si="348"/>
        <v>0</v>
      </c>
      <c r="S115" s="2615"/>
      <c r="T115" s="2794"/>
      <c r="U115" s="3071"/>
      <c r="V115" s="3058">
        <f t="shared" si="349"/>
        <v>0</v>
      </c>
      <c r="W115" s="2615"/>
      <c r="X115" s="2794"/>
      <c r="Y115" s="3326"/>
      <c r="Z115" s="2539">
        <f t="shared" si="341"/>
        <v>0</v>
      </c>
      <c r="AA115" s="3327"/>
      <c r="AB115" s="2579">
        <f t="shared" si="342"/>
        <v>0</v>
      </c>
      <c r="AC115" s="2615"/>
      <c r="AD115" s="2794"/>
      <c r="AE115" s="3071"/>
      <c r="AF115" s="3058">
        <f t="shared" si="350"/>
        <v>0</v>
      </c>
      <c r="AG115" s="2615"/>
      <c r="AH115" s="2794"/>
      <c r="AI115" s="3071"/>
      <c r="AJ115" s="3058">
        <f t="shared" si="351"/>
        <v>0</v>
      </c>
      <c r="AK115" s="2615"/>
      <c r="AL115" s="2794"/>
      <c r="AM115" s="3326"/>
      <c r="AN115" s="2539">
        <f t="shared" si="343"/>
        <v>0</v>
      </c>
      <c r="AO115" s="3071"/>
      <c r="AP115" s="2538">
        <f t="shared" si="344"/>
        <v>0</v>
      </c>
      <c r="AQ115" s="2797"/>
      <c r="AR115" s="2537"/>
      <c r="AS115" s="3071"/>
      <c r="AT115" s="2538">
        <f t="shared" si="352"/>
        <v>0</v>
      </c>
      <c r="AU115" s="2797"/>
      <c r="AV115" s="2537"/>
      <c r="AW115" s="3071"/>
      <c r="AX115" s="2538">
        <f t="shared" si="353"/>
        <v>0</v>
      </c>
      <c r="AY115" s="2797"/>
      <c r="AZ115" s="2537"/>
      <c r="BA115" s="3326"/>
      <c r="BB115" s="2539">
        <f t="shared" si="345"/>
        <v>0</v>
      </c>
      <c r="BC115" s="3327"/>
      <c r="BD115" s="2579">
        <f t="shared" si="346"/>
        <v>0</v>
      </c>
      <c r="BE115" s="3071"/>
      <c r="BF115" s="38">
        <f t="shared" si="354"/>
        <v>0</v>
      </c>
      <c r="BG115" s="2446"/>
      <c r="BH115" s="2446"/>
      <c r="BI115" s="2445"/>
      <c r="BJ115" s="2445"/>
      <c r="BK115" s="3564"/>
      <c r="BL115" s="2445"/>
      <c r="BM115" s="3564"/>
      <c r="BN115" s="3564"/>
    </row>
    <row r="116" spans="2:66" ht="13.8" x14ac:dyDescent="0.25">
      <c r="B116" s="1706" t="s">
        <v>19</v>
      </c>
      <c r="C116" s="2803" t="s">
        <v>50</v>
      </c>
      <c r="D116" s="152"/>
      <c r="E116" s="2615"/>
      <c r="F116" s="2794"/>
      <c r="G116" s="2615"/>
      <c r="H116" s="2794">
        <v>773.1</v>
      </c>
      <c r="I116" s="3058"/>
      <c r="J116" s="105">
        <f t="shared" si="347"/>
        <v>773.1</v>
      </c>
      <c r="K116" s="2615"/>
      <c r="L116" s="2794"/>
      <c r="M116" s="3326"/>
      <c r="N116" s="2539">
        <f t="shared" si="340"/>
        <v>773.1</v>
      </c>
      <c r="O116" s="2615"/>
      <c r="P116" s="2794">
        <v>899.6</v>
      </c>
      <c r="Q116" s="3071"/>
      <c r="R116" s="3058">
        <f t="shared" si="348"/>
        <v>1672.7</v>
      </c>
      <c r="S116" s="2615"/>
      <c r="T116" s="2794">
        <v>1809.45</v>
      </c>
      <c r="U116" s="3071"/>
      <c r="V116" s="3058">
        <f t="shared" si="349"/>
        <v>3482.15</v>
      </c>
      <c r="W116" s="2615"/>
      <c r="X116" s="2794">
        <v>2628.8</v>
      </c>
      <c r="Y116" s="3326"/>
      <c r="Z116" s="2539">
        <f t="shared" si="341"/>
        <v>5337.85</v>
      </c>
      <c r="AA116" s="3327"/>
      <c r="AB116" s="2579">
        <f t="shared" si="342"/>
        <v>6110.9500000000007</v>
      </c>
      <c r="AC116" s="2615"/>
      <c r="AD116" s="2794">
        <v>1139.2</v>
      </c>
      <c r="AE116" s="3071"/>
      <c r="AF116" s="3058">
        <f t="shared" si="350"/>
        <v>7250.1500000000005</v>
      </c>
      <c r="AG116" s="2615"/>
      <c r="AH116" s="2794"/>
      <c r="AI116" s="3071"/>
      <c r="AJ116" s="3058">
        <f t="shared" si="351"/>
        <v>7250.1500000000005</v>
      </c>
      <c r="AK116" s="2615"/>
      <c r="AL116" s="2794">
        <v>33.5</v>
      </c>
      <c r="AM116" s="3326"/>
      <c r="AN116" s="2539">
        <f t="shared" si="343"/>
        <v>1172.7</v>
      </c>
      <c r="AO116" s="3071"/>
      <c r="AP116" s="2538">
        <f t="shared" si="344"/>
        <v>7283.6500000000005</v>
      </c>
      <c r="AQ116" s="2797"/>
      <c r="AR116" s="2537"/>
      <c r="AS116" s="3071"/>
      <c r="AT116" s="2538">
        <f t="shared" si="352"/>
        <v>7283.6500000000005</v>
      </c>
      <c r="AU116" s="2797"/>
      <c r="AV116" s="2537"/>
      <c r="AW116" s="3071"/>
      <c r="AX116" s="2538">
        <f t="shared" si="353"/>
        <v>7283.6500000000005</v>
      </c>
      <c r="AY116" s="2797"/>
      <c r="AZ116" s="2537">
        <v>0</v>
      </c>
      <c r="BA116" s="3326"/>
      <c r="BB116" s="2539">
        <f t="shared" si="345"/>
        <v>0</v>
      </c>
      <c r="BC116" s="3327"/>
      <c r="BD116" s="2579">
        <f t="shared" si="346"/>
        <v>1172.7</v>
      </c>
      <c r="BE116" s="3071"/>
      <c r="BF116" s="38">
        <f t="shared" si="354"/>
        <v>7283.6500000000005</v>
      </c>
      <c r="BG116" s="2446"/>
      <c r="BH116" s="2446"/>
      <c r="BI116" s="2445"/>
      <c r="BJ116" s="2445"/>
      <c r="BK116" s="3564"/>
      <c r="BL116" s="2445"/>
      <c r="BM116" s="3564"/>
      <c r="BN116" s="3564"/>
    </row>
    <row r="117" spans="2:66" ht="13.8" x14ac:dyDescent="0.25">
      <c r="B117" s="1706" t="s">
        <v>614</v>
      </c>
      <c r="C117" s="2803" t="s">
        <v>50</v>
      </c>
      <c r="D117" s="152"/>
      <c r="E117" s="2615"/>
      <c r="F117" s="2794">
        <v>71.221999999999994</v>
      </c>
      <c r="G117" s="2615"/>
      <c r="H117" s="2794">
        <v>83.968000000000004</v>
      </c>
      <c r="I117" s="3058"/>
      <c r="J117" s="105">
        <f t="shared" si="347"/>
        <v>155.19</v>
      </c>
      <c r="K117" s="2615"/>
      <c r="L117" s="2794">
        <v>76.239000000000004</v>
      </c>
      <c r="M117" s="3326"/>
      <c r="N117" s="2539">
        <f t="shared" si="340"/>
        <v>231.42899999999997</v>
      </c>
      <c r="O117" s="2615"/>
      <c r="P117" s="2794">
        <v>76.820999999999998</v>
      </c>
      <c r="Q117" s="3071"/>
      <c r="R117" s="3058">
        <f t="shared" si="348"/>
        <v>308.25</v>
      </c>
      <c r="S117" s="2615"/>
      <c r="T117" s="2794">
        <v>78.066999999999993</v>
      </c>
      <c r="U117" s="3071"/>
      <c r="V117" s="3058">
        <f t="shared" si="349"/>
        <v>386.31700000000001</v>
      </c>
      <c r="W117" s="2615"/>
      <c r="X117" s="2794">
        <v>73.569000000000003</v>
      </c>
      <c r="Y117" s="3326"/>
      <c r="Z117" s="2539">
        <f t="shared" si="341"/>
        <v>228.45699999999999</v>
      </c>
      <c r="AA117" s="3327"/>
      <c r="AB117" s="2566">
        <f t="shared" si="342"/>
        <v>459.88599999999997</v>
      </c>
      <c r="AC117" s="2615"/>
      <c r="AD117" s="2794">
        <v>59.860999999999997</v>
      </c>
      <c r="AE117" s="3071"/>
      <c r="AF117" s="3058">
        <f t="shared" si="350"/>
        <v>519.74699999999996</v>
      </c>
      <c r="AG117" s="2615"/>
      <c r="AH117" s="2794">
        <v>75.644999999999996</v>
      </c>
      <c r="AI117" s="3071"/>
      <c r="AJ117" s="3058">
        <f t="shared" si="351"/>
        <v>595.39199999999994</v>
      </c>
      <c r="AK117" s="2615"/>
      <c r="AL117" s="2794">
        <v>81.941999999999993</v>
      </c>
      <c r="AM117" s="3326"/>
      <c r="AN117" s="2539">
        <f t="shared" si="343"/>
        <v>217.44799999999998</v>
      </c>
      <c r="AO117" s="3071"/>
      <c r="AP117" s="2538">
        <f t="shared" si="344"/>
        <v>677.33399999999995</v>
      </c>
      <c r="AQ117" s="2797"/>
      <c r="AR117" s="2537">
        <v>75.203999999999994</v>
      </c>
      <c r="AS117" s="3071"/>
      <c r="AT117" s="2538">
        <f t="shared" si="352"/>
        <v>752.5379999999999</v>
      </c>
      <c r="AU117" s="2797"/>
      <c r="AV117" s="2537">
        <v>51.429000000000002</v>
      </c>
      <c r="AW117" s="3071"/>
      <c r="AX117" s="2538">
        <f t="shared" si="353"/>
        <v>803.96699999999987</v>
      </c>
      <c r="AY117" s="2797"/>
      <c r="AZ117" s="2537">
        <v>87.227000000000004</v>
      </c>
      <c r="BA117" s="3326"/>
      <c r="BB117" s="2539">
        <f t="shared" si="345"/>
        <v>213.86</v>
      </c>
      <c r="BC117" s="3327"/>
      <c r="BD117" s="2579">
        <f t="shared" si="346"/>
        <v>431.30799999999999</v>
      </c>
      <c r="BE117" s="3071"/>
      <c r="BF117" s="38">
        <f t="shared" si="354"/>
        <v>891.19399999999985</v>
      </c>
      <c r="BG117" s="2446"/>
      <c r="BH117" s="2446"/>
      <c r="BI117" s="2445"/>
      <c r="BJ117" s="2445"/>
      <c r="BK117" s="3564"/>
      <c r="BL117" s="2445"/>
      <c r="BM117" s="3564"/>
      <c r="BN117" s="3564"/>
    </row>
    <row r="118" spans="2:66" ht="13.8" x14ac:dyDescent="0.25">
      <c r="B118" s="1706" t="s">
        <v>1829</v>
      </c>
      <c r="C118" s="2803" t="s">
        <v>50</v>
      </c>
      <c r="D118" s="152"/>
      <c r="E118" s="2615"/>
      <c r="F118" s="2794">
        <v>64.45</v>
      </c>
      <c r="G118" s="2615"/>
      <c r="H118" s="2794">
        <v>58.99</v>
      </c>
      <c r="I118" s="3058"/>
      <c r="J118" s="105">
        <f t="shared" si="347"/>
        <v>123.44</v>
      </c>
      <c r="K118" s="2615"/>
      <c r="L118" s="2794">
        <v>77.239999999999995</v>
      </c>
      <c r="M118" s="3326"/>
      <c r="N118" s="2539">
        <f t="shared" si="340"/>
        <v>200.68</v>
      </c>
      <c r="O118" s="2615"/>
      <c r="P118" s="2794">
        <v>80.7</v>
      </c>
      <c r="Q118" s="3071"/>
      <c r="R118" s="3058">
        <f t="shared" si="348"/>
        <v>281.38</v>
      </c>
      <c r="S118" s="2615"/>
      <c r="T118" s="2794">
        <v>95.5</v>
      </c>
      <c r="U118" s="3071"/>
      <c r="V118" s="3058">
        <f t="shared" si="349"/>
        <v>376.88</v>
      </c>
      <c r="W118" s="2615"/>
      <c r="X118" s="2794">
        <v>119.7</v>
      </c>
      <c r="Y118" s="3326"/>
      <c r="Z118" s="2539">
        <f t="shared" si="341"/>
        <v>295.89999999999998</v>
      </c>
      <c r="AA118" s="3327"/>
      <c r="AB118" s="2579">
        <f t="shared" si="342"/>
        <v>496.58</v>
      </c>
      <c r="AC118" s="2615"/>
      <c r="AD118" s="2794">
        <v>55</v>
      </c>
      <c r="AE118" s="3071"/>
      <c r="AF118" s="3058">
        <f t="shared" si="350"/>
        <v>551.57999999999993</v>
      </c>
      <c r="AG118" s="2615"/>
      <c r="AH118" s="2794">
        <v>87</v>
      </c>
      <c r="AI118" s="3071"/>
      <c r="AJ118" s="3058">
        <f t="shared" si="351"/>
        <v>638.57999999999993</v>
      </c>
      <c r="AK118" s="2615"/>
      <c r="AL118" s="2794">
        <v>94</v>
      </c>
      <c r="AM118" s="3326"/>
      <c r="AN118" s="2539">
        <f t="shared" si="343"/>
        <v>236</v>
      </c>
      <c r="AO118" s="3071"/>
      <c r="AP118" s="2538">
        <f t="shared" si="344"/>
        <v>732.57999999999993</v>
      </c>
      <c r="AQ118" s="2797"/>
      <c r="AR118" s="2537">
        <v>142</v>
      </c>
      <c r="AS118" s="3071"/>
      <c r="AT118" s="2538">
        <f t="shared" si="352"/>
        <v>874.57999999999993</v>
      </c>
      <c r="AU118" s="2797"/>
      <c r="AV118" s="2537">
        <v>102</v>
      </c>
      <c r="AW118" s="3071"/>
      <c r="AX118" s="2538">
        <f t="shared" si="353"/>
        <v>976.57999999999993</v>
      </c>
      <c r="AY118" s="2797"/>
      <c r="AZ118" s="2537">
        <v>112</v>
      </c>
      <c r="BA118" s="3326"/>
      <c r="BB118" s="2539">
        <f t="shared" si="345"/>
        <v>356</v>
      </c>
      <c r="BC118" s="3327"/>
      <c r="BD118" s="2579">
        <f t="shared" si="346"/>
        <v>592</v>
      </c>
      <c r="BE118" s="3071"/>
      <c r="BF118" s="38">
        <f t="shared" si="354"/>
        <v>1088.58</v>
      </c>
      <c r="BG118" s="2446"/>
      <c r="BH118" s="2446"/>
      <c r="BI118" s="2445"/>
      <c r="BJ118" s="2445"/>
      <c r="BK118" s="3564"/>
      <c r="BL118" s="2445"/>
      <c r="BM118" s="3564"/>
      <c r="BN118" s="3564"/>
    </row>
    <row r="119" spans="2:66" ht="13.8" x14ac:dyDescent="0.25">
      <c r="B119" s="1706" t="s">
        <v>704</v>
      </c>
      <c r="C119" s="2803" t="s">
        <v>50</v>
      </c>
      <c r="D119" s="152"/>
      <c r="E119" s="2615"/>
      <c r="F119" s="2794">
        <v>5.05</v>
      </c>
      <c r="G119" s="2615"/>
      <c r="H119" s="2794">
        <v>5.1440000000000001</v>
      </c>
      <c r="I119" s="3058"/>
      <c r="J119" s="105">
        <f t="shared" si="347"/>
        <v>10.193999999999999</v>
      </c>
      <c r="K119" s="2615"/>
      <c r="L119" s="2794">
        <v>6.1219999999999999</v>
      </c>
      <c r="M119" s="3326"/>
      <c r="N119" s="2539">
        <f t="shared" si="340"/>
        <v>16.315999999999999</v>
      </c>
      <c r="O119" s="2615"/>
      <c r="P119" s="2794">
        <v>6.16</v>
      </c>
      <c r="Q119" s="3071"/>
      <c r="R119" s="3058">
        <f t="shared" si="348"/>
        <v>22.475999999999999</v>
      </c>
      <c r="S119" s="2615"/>
      <c r="T119" s="2794">
        <v>7.95</v>
      </c>
      <c r="U119" s="3071"/>
      <c r="V119" s="3058">
        <f t="shared" si="349"/>
        <v>30.425999999999998</v>
      </c>
      <c r="W119" s="2615"/>
      <c r="X119" s="2794">
        <v>6.1420000000000003</v>
      </c>
      <c r="Y119" s="3326"/>
      <c r="Z119" s="2539">
        <f t="shared" si="341"/>
        <v>20.252000000000002</v>
      </c>
      <c r="AA119" s="3327"/>
      <c r="AB119" s="2579">
        <f t="shared" si="342"/>
        <v>36.567999999999998</v>
      </c>
      <c r="AC119" s="2615"/>
      <c r="AD119" s="2794">
        <v>9.032</v>
      </c>
      <c r="AE119" s="3071"/>
      <c r="AF119" s="3058">
        <f t="shared" si="350"/>
        <v>45.599999999999994</v>
      </c>
      <c r="AG119" s="2615"/>
      <c r="AH119" s="2794">
        <v>3.5139999999999998</v>
      </c>
      <c r="AI119" s="3071"/>
      <c r="AJ119" s="3058">
        <f t="shared" si="351"/>
        <v>49.113999999999997</v>
      </c>
      <c r="AK119" s="2615"/>
      <c r="AL119" s="2794">
        <v>3.19</v>
      </c>
      <c r="AM119" s="3326"/>
      <c r="AN119" s="2539">
        <f t="shared" si="343"/>
        <v>15.736000000000001</v>
      </c>
      <c r="AO119" s="3071"/>
      <c r="AP119" s="2538">
        <f t="shared" si="344"/>
        <v>52.303999999999995</v>
      </c>
      <c r="AQ119" s="2797"/>
      <c r="AR119" s="2537">
        <v>1.056</v>
      </c>
      <c r="AS119" s="3071"/>
      <c r="AT119" s="2538">
        <f t="shared" si="352"/>
        <v>53.359999999999992</v>
      </c>
      <c r="AU119" s="2797"/>
      <c r="AV119" s="2537">
        <v>1.0780000000000001</v>
      </c>
      <c r="AW119" s="3071"/>
      <c r="AX119" s="2538">
        <f t="shared" si="353"/>
        <v>54.437999999999995</v>
      </c>
      <c r="AY119" s="2797"/>
      <c r="AZ119" s="2537">
        <v>1.716</v>
      </c>
      <c r="BA119" s="3326"/>
      <c r="BB119" s="2539">
        <f t="shared" si="345"/>
        <v>3.85</v>
      </c>
      <c r="BC119" s="3327"/>
      <c r="BD119" s="2579">
        <f t="shared" si="346"/>
        <v>19.586000000000002</v>
      </c>
      <c r="BE119" s="3071"/>
      <c r="BF119" s="38">
        <f t="shared" si="354"/>
        <v>56.153999999999996</v>
      </c>
      <c r="BG119" s="2446"/>
      <c r="BH119" s="2446"/>
      <c r="BI119" s="2445"/>
      <c r="BJ119" s="2445"/>
      <c r="BK119" s="3564"/>
      <c r="BL119" s="2445"/>
      <c r="BM119" s="3564"/>
      <c r="BN119" s="3564"/>
    </row>
    <row r="120" spans="2:66" ht="13.8" x14ac:dyDescent="0.25">
      <c r="B120" s="1706" t="s">
        <v>571</v>
      </c>
      <c r="C120" s="2803" t="s">
        <v>50</v>
      </c>
      <c r="D120" s="152"/>
      <c r="E120" s="2615"/>
      <c r="F120" s="2794">
        <v>0.245</v>
      </c>
      <c r="G120" s="2615"/>
      <c r="H120" s="2794">
        <v>0.185</v>
      </c>
      <c r="I120" s="3058"/>
      <c r="J120" s="105">
        <f t="shared" si="347"/>
        <v>0.43</v>
      </c>
      <c r="K120" s="2615"/>
      <c r="L120" s="2794">
        <v>4.4999999999999998E-2</v>
      </c>
      <c r="M120" s="3326"/>
      <c r="N120" s="2539">
        <f t="shared" si="340"/>
        <v>0.47499999999999998</v>
      </c>
      <c r="O120" s="2615"/>
      <c r="P120" s="2794">
        <v>0.06</v>
      </c>
      <c r="Q120" s="3071"/>
      <c r="R120" s="3058">
        <f t="shared" si="348"/>
        <v>0.53499999999999992</v>
      </c>
      <c r="S120" s="2615"/>
      <c r="T120" s="2794">
        <v>1.4999999999999999E-2</v>
      </c>
      <c r="U120" s="3071"/>
      <c r="V120" s="3058">
        <f t="shared" si="349"/>
        <v>0.54999999999999993</v>
      </c>
      <c r="W120" s="2615"/>
      <c r="X120" s="2794">
        <v>0.105</v>
      </c>
      <c r="Y120" s="3326"/>
      <c r="Z120" s="2539">
        <f t="shared" si="341"/>
        <v>0.18</v>
      </c>
      <c r="AA120" s="3327"/>
      <c r="AB120" s="2579">
        <f t="shared" si="342"/>
        <v>0.65500000000000003</v>
      </c>
      <c r="AC120" s="2615"/>
      <c r="AD120" s="2794">
        <v>7.4999999999999997E-2</v>
      </c>
      <c r="AE120" s="3071"/>
      <c r="AF120" s="3058">
        <f t="shared" si="350"/>
        <v>0.73</v>
      </c>
      <c r="AG120" s="2615"/>
      <c r="AH120" s="2794">
        <v>0.09</v>
      </c>
      <c r="AI120" s="3071"/>
      <c r="AJ120" s="3058">
        <f t="shared" si="351"/>
        <v>0.82</v>
      </c>
      <c r="AK120" s="2615"/>
      <c r="AL120" s="2794">
        <v>4.4999999999999998E-2</v>
      </c>
      <c r="AM120" s="3326"/>
      <c r="AN120" s="2539">
        <f t="shared" si="343"/>
        <v>0.21000000000000002</v>
      </c>
      <c r="AO120" s="3071"/>
      <c r="AP120" s="2538">
        <f t="shared" si="344"/>
        <v>0.86499999999999999</v>
      </c>
      <c r="AQ120" s="2797"/>
      <c r="AR120" s="2537"/>
      <c r="AS120" s="3071"/>
      <c r="AT120" s="2538">
        <f t="shared" si="352"/>
        <v>0.86499999999999999</v>
      </c>
      <c r="AU120" s="2797"/>
      <c r="AV120" s="2537"/>
      <c r="AW120" s="3071"/>
      <c r="AX120" s="2538">
        <f t="shared" si="353"/>
        <v>0.86499999999999999</v>
      </c>
      <c r="AY120" s="2797"/>
      <c r="AZ120" s="277">
        <v>0.03</v>
      </c>
      <c r="BA120" s="3326"/>
      <c r="BB120" s="2539">
        <f>+AZ126+AV120+AR120</f>
        <v>186</v>
      </c>
      <c r="BC120" s="3327"/>
      <c r="BD120" s="2579">
        <f t="shared" si="346"/>
        <v>186.21</v>
      </c>
      <c r="BE120" s="3071"/>
      <c r="BF120" s="38">
        <f>+AX120+AZ126</f>
        <v>186.86500000000001</v>
      </c>
      <c r="BG120" s="2446"/>
      <c r="BH120" s="2446"/>
      <c r="BI120" s="2445"/>
      <c r="BJ120" s="2445"/>
      <c r="BK120" s="3564"/>
      <c r="BL120" s="2445"/>
      <c r="BM120" s="3564"/>
      <c r="BN120" s="3564"/>
    </row>
    <row r="121" spans="2:66" ht="13.8" x14ac:dyDescent="0.25">
      <c r="B121" s="1706" t="s">
        <v>1350</v>
      </c>
      <c r="C121" s="2803" t="s">
        <v>50</v>
      </c>
      <c r="D121" s="152"/>
      <c r="E121" s="2615"/>
      <c r="F121" s="2794"/>
      <c r="G121" s="2615"/>
      <c r="H121" s="2794"/>
      <c r="I121" s="3058"/>
      <c r="J121" s="105">
        <f t="shared" si="347"/>
        <v>0</v>
      </c>
      <c r="K121" s="2615"/>
      <c r="L121" s="2794"/>
      <c r="M121" s="3326"/>
      <c r="N121" s="2539">
        <f t="shared" si="340"/>
        <v>0</v>
      </c>
      <c r="O121" s="2615"/>
      <c r="P121" s="2794"/>
      <c r="Q121" s="3071"/>
      <c r="R121" s="3058">
        <f t="shared" si="348"/>
        <v>0</v>
      </c>
      <c r="S121" s="2615"/>
      <c r="T121" s="2794"/>
      <c r="U121" s="3071"/>
      <c r="V121" s="3058">
        <f t="shared" si="349"/>
        <v>0</v>
      </c>
      <c r="W121" s="2615"/>
      <c r="X121" s="2794"/>
      <c r="Y121" s="3326"/>
      <c r="Z121" s="2539">
        <f t="shared" si="341"/>
        <v>0</v>
      </c>
      <c r="AA121" s="3327"/>
      <c r="AB121" s="2579">
        <f t="shared" si="342"/>
        <v>0</v>
      </c>
      <c r="AC121" s="2615"/>
      <c r="AD121" s="2794"/>
      <c r="AE121" s="3071"/>
      <c r="AF121" s="3058">
        <f t="shared" si="350"/>
        <v>0</v>
      </c>
      <c r="AG121" s="2615"/>
      <c r="AH121" s="2794"/>
      <c r="AI121" s="3071"/>
      <c r="AJ121" s="3058">
        <f t="shared" si="351"/>
        <v>0</v>
      </c>
      <c r="AK121" s="2615"/>
      <c r="AL121" s="2794"/>
      <c r="AM121" s="3326"/>
      <c r="AN121" s="2539">
        <f t="shared" si="343"/>
        <v>0</v>
      </c>
      <c r="AO121" s="3071"/>
      <c r="AP121" s="2538">
        <f t="shared" si="344"/>
        <v>0</v>
      </c>
      <c r="AQ121" s="2797"/>
      <c r="AR121" s="2537"/>
      <c r="AS121" s="3071"/>
      <c r="AT121" s="2538">
        <f t="shared" si="352"/>
        <v>0</v>
      </c>
      <c r="AU121" s="2797"/>
      <c r="AV121" s="2537"/>
      <c r="AW121" s="3071"/>
      <c r="AX121" s="2538">
        <f t="shared" si="353"/>
        <v>0</v>
      </c>
      <c r="AY121" s="2797"/>
      <c r="AZ121" s="2537"/>
      <c r="BA121" s="3326"/>
      <c r="BB121" s="2539">
        <f t="shared" si="345"/>
        <v>0</v>
      </c>
      <c r="BC121" s="3327"/>
      <c r="BD121" s="2579">
        <f t="shared" si="346"/>
        <v>0</v>
      </c>
      <c r="BE121" s="3071"/>
      <c r="BF121" s="38">
        <f t="shared" si="354"/>
        <v>0</v>
      </c>
      <c r="BG121" s="2446"/>
      <c r="BH121" s="2446"/>
      <c r="BI121" s="2445"/>
      <c r="BJ121" s="2445"/>
      <c r="BK121" s="3564"/>
      <c r="BL121" s="2445"/>
      <c r="BM121" s="3564"/>
      <c r="BN121" s="3564"/>
    </row>
    <row r="122" spans="2:66" ht="13.8" x14ac:dyDescent="0.25">
      <c r="B122" s="1706" t="s">
        <v>916</v>
      </c>
      <c r="C122" s="2803" t="s">
        <v>50</v>
      </c>
      <c r="D122" s="152"/>
      <c r="E122" s="2615"/>
      <c r="F122" s="2794"/>
      <c r="G122" s="2615"/>
      <c r="H122" s="2794"/>
      <c r="I122" s="3058"/>
      <c r="J122" s="105">
        <f t="shared" si="347"/>
        <v>0</v>
      </c>
      <c r="K122" s="2615"/>
      <c r="L122" s="2794"/>
      <c r="M122" s="3326"/>
      <c r="N122" s="2539">
        <f t="shared" si="340"/>
        <v>0</v>
      </c>
      <c r="O122" s="2615"/>
      <c r="P122" s="2794"/>
      <c r="Q122" s="3071"/>
      <c r="R122" s="3058">
        <f t="shared" si="348"/>
        <v>0</v>
      </c>
      <c r="S122" s="2615"/>
      <c r="T122" s="2794"/>
      <c r="U122" s="3071"/>
      <c r="V122" s="3058">
        <f t="shared" si="349"/>
        <v>0</v>
      </c>
      <c r="W122" s="2615"/>
      <c r="X122" s="2794"/>
      <c r="Y122" s="3326"/>
      <c r="Z122" s="2539">
        <f t="shared" si="341"/>
        <v>0</v>
      </c>
      <c r="AA122" s="3327"/>
      <c r="AB122" s="2579">
        <f t="shared" si="342"/>
        <v>0</v>
      </c>
      <c r="AC122" s="2615"/>
      <c r="AD122" s="2794"/>
      <c r="AE122" s="3071"/>
      <c r="AF122" s="3058">
        <f t="shared" si="350"/>
        <v>0</v>
      </c>
      <c r="AG122" s="2615"/>
      <c r="AH122" s="2794"/>
      <c r="AI122" s="3071"/>
      <c r="AJ122" s="3058">
        <f t="shared" si="351"/>
        <v>0</v>
      </c>
      <c r="AK122" s="2615"/>
      <c r="AL122" s="2794"/>
      <c r="AM122" s="3326"/>
      <c r="AN122" s="2539">
        <f t="shared" si="343"/>
        <v>0</v>
      </c>
      <c r="AO122" s="3071"/>
      <c r="AP122" s="2538">
        <f t="shared" si="344"/>
        <v>0</v>
      </c>
      <c r="AQ122" s="2797"/>
      <c r="AR122" s="2537"/>
      <c r="AS122" s="3071"/>
      <c r="AT122" s="2538">
        <f t="shared" si="352"/>
        <v>0</v>
      </c>
      <c r="AU122" s="2797"/>
      <c r="AV122" s="2537"/>
      <c r="AW122" s="3071"/>
      <c r="AX122" s="2538">
        <f t="shared" si="353"/>
        <v>0</v>
      </c>
      <c r="AY122" s="2797"/>
      <c r="AZ122" s="2537"/>
      <c r="BA122" s="3326"/>
      <c r="BB122" s="2539">
        <f t="shared" si="345"/>
        <v>0</v>
      </c>
      <c r="BC122" s="3327"/>
      <c r="BD122" s="2579">
        <f t="shared" si="346"/>
        <v>0</v>
      </c>
      <c r="BE122" s="3071"/>
      <c r="BF122" s="38">
        <f t="shared" si="354"/>
        <v>0</v>
      </c>
      <c r="BG122" s="2446"/>
      <c r="BH122" s="2446"/>
      <c r="BI122" s="2445"/>
      <c r="BJ122" s="2445"/>
      <c r="BK122" s="3564"/>
      <c r="BL122" s="2445"/>
      <c r="BM122" s="3564"/>
      <c r="BN122" s="3564"/>
    </row>
    <row r="123" spans="2:66" ht="13.8" x14ac:dyDescent="0.25">
      <c r="B123" s="1706" t="s">
        <v>1017</v>
      </c>
      <c r="C123" s="2803" t="s">
        <v>50</v>
      </c>
      <c r="D123" s="1110"/>
      <c r="E123" s="2615"/>
      <c r="F123" s="2794">
        <v>8.0890000000000004</v>
      </c>
      <c r="G123" s="2615"/>
      <c r="H123" s="2794">
        <v>9.9410000000000007</v>
      </c>
      <c r="I123" s="3058"/>
      <c r="J123" s="105">
        <f t="shared" si="347"/>
        <v>18.03</v>
      </c>
      <c r="K123" s="2615"/>
      <c r="L123" s="2794">
        <v>8.7230000000000008</v>
      </c>
      <c r="M123" s="3326"/>
      <c r="N123" s="2539">
        <f t="shared" si="340"/>
        <v>26.753</v>
      </c>
      <c r="O123" s="2615"/>
      <c r="P123" s="2794">
        <v>8.1560000000000006</v>
      </c>
      <c r="Q123" s="3071"/>
      <c r="R123" s="3058">
        <f t="shared" si="348"/>
        <v>34.908999999999999</v>
      </c>
      <c r="S123" s="2615"/>
      <c r="T123" s="2794">
        <v>7.8070000000000004</v>
      </c>
      <c r="U123" s="3071"/>
      <c r="V123" s="3058">
        <f t="shared" si="349"/>
        <v>42.716000000000001</v>
      </c>
      <c r="W123" s="2615"/>
      <c r="X123" s="2794">
        <v>7.6319999999999997</v>
      </c>
      <c r="Y123" s="3326"/>
      <c r="Z123" s="2539">
        <f t="shared" si="341"/>
        <v>23.594999999999999</v>
      </c>
      <c r="AA123" s="3327"/>
      <c r="AB123" s="2579">
        <f t="shared" si="342"/>
        <v>50.347999999999999</v>
      </c>
      <c r="AC123" s="2615"/>
      <c r="AD123" s="2794">
        <v>7.3780000000000001</v>
      </c>
      <c r="AE123" s="3071"/>
      <c r="AF123" s="3058">
        <f t="shared" si="350"/>
        <v>57.725999999999999</v>
      </c>
      <c r="AG123" s="2615"/>
      <c r="AH123" s="2794">
        <v>8.4149999999999991</v>
      </c>
      <c r="AI123" s="3071"/>
      <c r="AJ123" s="3058">
        <f t="shared" si="351"/>
        <v>66.140999999999991</v>
      </c>
      <c r="AK123" s="2615"/>
      <c r="AL123" s="2794">
        <v>9.4049999999999994</v>
      </c>
      <c r="AM123" s="3326"/>
      <c r="AN123" s="2539">
        <f t="shared" si="343"/>
        <v>25.198</v>
      </c>
      <c r="AO123" s="3071"/>
      <c r="AP123" s="2538">
        <f t="shared" si="344"/>
        <v>75.545999999999992</v>
      </c>
      <c r="AQ123" s="2797"/>
      <c r="AR123" s="2537">
        <v>8.3409999999999993</v>
      </c>
      <c r="AS123" s="3071"/>
      <c r="AT123" s="2538">
        <f t="shared" si="352"/>
        <v>83.886999999999986</v>
      </c>
      <c r="AU123" s="2797"/>
      <c r="AV123" s="2537">
        <v>7.5460000000000003</v>
      </c>
      <c r="AW123" s="3071"/>
      <c r="AX123" s="2538">
        <f t="shared" si="353"/>
        <v>91.432999999999993</v>
      </c>
      <c r="AY123" s="2797"/>
      <c r="AZ123" s="2537">
        <v>12.712</v>
      </c>
      <c r="BA123" s="3326"/>
      <c r="BB123" s="2539">
        <f t="shared" si="345"/>
        <v>28.598999999999997</v>
      </c>
      <c r="BC123" s="3327"/>
      <c r="BD123" s="2579">
        <f t="shared" si="346"/>
        <v>53.796999999999997</v>
      </c>
      <c r="BE123" s="3071"/>
      <c r="BF123" s="38">
        <f t="shared" si="354"/>
        <v>104.145</v>
      </c>
      <c r="BG123" s="2446"/>
      <c r="BH123" s="2446"/>
      <c r="BI123" s="2445"/>
      <c r="BJ123" s="2445"/>
      <c r="BK123" s="3564"/>
      <c r="BL123" s="2445"/>
      <c r="BM123" s="3564"/>
      <c r="BN123" s="3564"/>
    </row>
    <row r="124" spans="2:66" ht="13.8" x14ac:dyDescent="0.25">
      <c r="B124" s="1706" t="s">
        <v>1352</v>
      </c>
      <c r="C124" s="2803" t="s">
        <v>50</v>
      </c>
      <c r="D124" s="1110"/>
      <c r="E124" s="2615"/>
      <c r="F124" s="2794"/>
      <c r="G124" s="2615"/>
      <c r="H124" s="2794"/>
      <c r="I124" s="3058"/>
      <c r="J124" s="105">
        <f t="shared" si="347"/>
        <v>0</v>
      </c>
      <c r="K124" s="2615"/>
      <c r="L124" s="2794"/>
      <c r="M124" s="3326"/>
      <c r="N124" s="2539">
        <f t="shared" si="340"/>
        <v>0</v>
      </c>
      <c r="O124" s="2615"/>
      <c r="P124" s="2794"/>
      <c r="Q124" s="3071"/>
      <c r="R124" s="3058">
        <f t="shared" si="348"/>
        <v>0</v>
      </c>
      <c r="S124" s="2615"/>
      <c r="T124" s="2794"/>
      <c r="U124" s="3071"/>
      <c r="V124" s="3058">
        <f t="shared" si="349"/>
        <v>0</v>
      </c>
      <c r="W124" s="2615"/>
      <c r="X124" s="2794"/>
      <c r="Y124" s="3326"/>
      <c r="Z124" s="2539">
        <f t="shared" si="341"/>
        <v>0</v>
      </c>
      <c r="AA124" s="3327"/>
      <c r="AB124" s="2579">
        <f t="shared" si="342"/>
        <v>0</v>
      </c>
      <c r="AC124" s="2615"/>
      <c r="AD124" s="2794"/>
      <c r="AE124" s="3071"/>
      <c r="AF124" s="3058">
        <f t="shared" si="350"/>
        <v>0</v>
      </c>
      <c r="AG124" s="2615"/>
      <c r="AH124" s="2794"/>
      <c r="AI124" s="3071"/>
      <c r="AJ124" s="3058">
        <f t="shared" si="351"/>
        <v>0</v>
      </c>
      <c r="AK124" s="2615"/>
      <c r="AL124" s="2794"/>
      <c r="AM124" s="3326"/>
      <c r="AN124" s="2539">
        <f t="shared" si="343"/>
        <v>0</v>
      </c>
      <c r="AO124" s="3071"/>
      <c r="AP124" s="2538">
        <f t="shared" si="344"/>
        <v>0</v>
      </c>
      <c r="AQ124" s="2797"/>
      <c r="AR124" s="2537"/>
      <c r="AS124" s="3071"/>
      <c r="AT124" s="2538">
        <f t="shared" si="352"/>
        <v>0</v>
      </c>
      <c r="AU124" s="2797"/>
      <c r="AV124" s="2537"/>
      <c r="AW124" s="3071"/>
      <c r="AX124" s="2538">
        <f t="shared" si="353"/>
        <v>0</v>
      </c>
      <c r="AY124" s="2797"/>
      <c r="AZ124" s="2537"/>
      <c r="BA124" s="3326"/>
      <c r="BB124" s="2539">
        <f t="shared" si="345"/>
        <v>0</v>
      </c>
      <c r="BC124" s="3327"/>
      <c r="BD124" s="2579">
        <f t="shared" si="346"/>
        <v>0</v>
      </c>
      <c r="BE124" s="3071"/>
      <c r="BF124" s="38">
        <f t="shared" si="354"/>
        <v>0</v>
      </c>
      <c r="BG124" s="2446"/>
      <c r="BH124" s="2446"/>
      <c r="BI124" s="2445"/>
      <c r="BJ124" s="2445"/>
      <c r="BK124" s="3564"/>
      <c r="BL124" s="2445"/>
      <c r="BM124" s="3564"/>
      <c r="BN124" s="3564"/>
    </row>
    <row r="125" spans="2:66" ht="13.8" x14ac:dyDescent="0.25">
      <c r="B125" s="1706" t="s">
        <v>1136</v>
      </c>
      <c r="C125" s="2803" t="s">
        <v>50</v>
      </c>
      <c r="D125" s="1110"/>
      <c r="E125" s="2615"/>
      <c r="F125" s="2794">
        <v>551.15300000000002</v>
      </c>
      <c r="G125" s="2615"/>
      <c r="H125" s="2794">
        <v>696.69899999999996</v>
      </c>
      <c r="I125" s="3058"/>
      <c r="J125" s="105">
        <f t="shared" si="347"/>
        <v>1247.8519999999999</v>
      </c>
      <c r="K125" s="2615"/>
      <c r="L125" s="2794">
        <v>418.88499999999999</v>
      </c>
      <c r="M125" s="3326"/>
      <c r="N125" s="2539">
        <f t="shared" si="340"/>
        <v>1666.7369999999999</v>
      </c>
      <c r="O125" s="2615"/>
      <c r="P125" s="2794">
        <v>401.20400000000001</v>
      </c>
      <c r="Q125" s="3071"/>
      <c r="R125" s="3058">
        <f t="shared" si="348"/>
        <v>2067.9409999999998</v>
      </c>
      <c r="S125" s="2615"/>
      <c r="T125" s="2794">
        <v>386.86900000000003</v>
      </c>
      <c r="U125" s="3071"/>
      <c r="V125" s="3058">
        <f t="shared" si="349"/>
        <v>2454.81</v>
      </c>
      <c r="W125" s="2615"/>
      <c r="X125" s="2794">
        <v>386.40699999999998</v>
      </c>
      <c r="Y125" s="3326"/>
      <c r="Z125" s="2539">
        <f t="shared" si="341"/>
        <v>1174.48</v>
      </c>
      <c r="AA125" s="3327"/>
      <c r="AB125" s="2579">
        <f t="shared" si="342"/>
        <v>2841.2169999999996</v>
      </c>
      <c r="AC125" s="2615"/>
      <c r="AD125" s="2794">
        <v>335.20800000000003</v>
      </c>
      <c r="AE125" s="3071"/>
      <c r="AF125" s="3058">
        <f t="shared" si="350"/>
        <v>3176.4249999999997</v>
      </c>
      <c r="AG125" s="2615"/>
      <c r="AH125" s="2794">
        <v>354.10599999999999</v>
      </c>
      <c r="AI125" s="3071"/>
      <c r="AJ125" s="3058">
        <f t="shared" si="351"/>
        <v>3530.5309999999999</v>
      </c>
      <c r="AK125" s="2615"/>
      <c r="AL125" s="2794">
        <v>423.79599999999999</v>
      </c>
      <c r="AM125" s="3326"/>
      <c r="AN125" s="2539">
        <f t="shared" si="343"/>
        <v>1113.1100000000001</v>
      </c>
      <c r="AO125" s="3071"/>
      <c r="AP125" s="2538">
        <f t="shared" si="344"/>
        <v>3954.3269999999998</v>
      </c>
      <c r="AQ125" s="2797"/>
      <c r="AR125" s="2537">
        <v>438.52699999999999</v>
      </c>
      <c r="AS125" s="3071"/>
      <c r="AT125" s="2538">
        <f t="shared" si="352"/>
        <v>4392.8539999999994</v>
      </c>
      <c r="AU125" s="2797"/>
      <c r="AV125" s="2537">
        <v>315.98599999999999</v>
      </c>
      <c r="AW125" s="3071"/>
      <c r="AX125" s="2538">
        <f t="shared" si="353"/>
        <v>4708.8399999999992</v>
      </c>
      <c r="AY125" s="2797"/>
      <c r="AZ125" s="2537">
        <v>339.85</v>
      </c>
      <c r="BA125" s="3326"/>
      <c r="BB125" s="2539">
        <f t="shared" si="345"/>
        <v>1094.3630000000001</v>
      </c>
      <c r="BC125" s="3327"/>
      <c r="BD125" s="2579">
        <f t="shared" si="346"/>
        <v>2207.473</v>
      </c>
      <c r="BE125" s="3071"/>
      <c r="BF125" s="38">
        <f t="shared" si="354"/>
        <v>5048.6899999999996</v>
      </c>
      <c r="BG125" s="2446"/>
      <c r="BH125" s="2446"/>
      <c r="BI125" s="2445"/>
      <c r="BJ125" s="2445"/>
      <c r="BK125" s="3564"/>
      <c r="BL125" s="2445"/>
      <c r="BM125" s="3564"/>
      <c r="BN125" s="3564"/>
    </row>
    <row r="126" spans="2:66" ht="13.8" x14ac:dyDescent="0.25">
      <c r="B126" s="1706" t="s">
        <v>1</v>
      </c>
      <c r="C126" s="2803" t="s">
        <v>50</v>
      </c>
      <c r="D126" s="1110"/>
      <c r="E126" s="2615"/>
      <c r="F126" s="2794">
        <v>85</v>
      </c>
      <c r="G126" s="2615"/>
      <c r="H126" s="2794">
        <v>50</v>
      </c>
      <c r="I126" s="3058"/>
      <c r="J126" s="105">
        <f t="shared" si="347"/>
        <v>135</v>
      </c>
      <c r="K126" s="2615"/>
      <c r="L126" s="2794">
        <v>106</v>
      </c>
      <c r="M126" s="3326"/>
      <c r="N126" s="2539">
        <f t="shared" si="340"/>
        <v>241</v>
      </c>
      <c r="O126" s="2615"/>
      <c r="P126" s="2794">
        <v>109</v>
      </c>
      <c r="Q126" s="3071"/>
      <c r="R126" s="3058">
        <f t="shared" si="348"/>
        <v>350</v>
      </c>
      <c r="S126" s="2615"/>
      <c r="T126" s="2794">
        <v>114.65</v>
      </c>
      <c r="U126" s="3071"/>
      <c r="V126" s="3058">
        <f t="shared" si="349"/>
        <v>464.65</v>
      </c>
      <c r="W126" s="2615"/>
      <c r="X126" s="2794">
        <v>95</v>
      </c>
      <c r="Y126" s="3326"/>
      <c r="Z126" s="2539">
        <f t="shared" si="341"/>
        <v>318.64999999999998</v>
      </c>
      <c r="AA126" s="3327"/>
      <c r="AB126" s="2579">
        <f t="shared" si="342"/>
        <v>559.65</v>
      </c>
      <c r="AC126" s="2615"/>
      <c r="AD126" s="2794">
        <v>95</v>
      </c>
      <c r="AE126" s="3071"/>
      <c r="AF126" s="3058">
        <f t="shared" si="350"/>
        <v>654.65</v>
      </c>
      <c r="AG126" s="2615"/>
      <c r="AH126" s="2794">
        <v>169</v>
      </c>
      <c r="AI126" s="3071"/>
      <c r="AJ126" s="3058">
        <f t="shared" si="351"/>
        <v>823.65</v>
      </c>
      <c r="AK126" s="2615"/>
      <c r="AL126" s="2794">
        <v>250</v>
      </c>
      <c r="AM126" s="3326"/>
      <c r="AN126" s="2539">
        <f t="shared" si="343"/>
        <v>514</v>
      </c>
      <c r="AO126" s="3071"/>
      <c r="AP126" s="2538">
        <f t="shared" si="344"/>
        <v>1073.6500000000001</v>
      </c>
      <c r="AQ126" s="2797"/>
      <c r="AR126" s="2537">
        <v>225</v>
      </c>
      <c r="AS126" s="3071"/>
      <c r="AT126" s="2538">
        <f t="shared" si="352"/>
        <v>1298.6500000000001</v>
      </c>
      <c r="AU126" s="2797"/>
      <c r="AV126" s="2537">
        <v>210</v>
      </c>
      <c r="AW126" s="3071"/>
      <c r="AX126" s="2538">
        <f t="shared" si="353"/>
        <v>1508.65</v>
      </c>
      <c r="AY126" s="2797"/>
      <c r="AZ126" s="2537">
        <v>186</v>
      </c>
      <c r="BA126" s="3326"/>
      <c r="BB126" s="2539">
        <f t="shared" si="345"/>
        <v>621</v>
      </c>
      <c r="BC126" s="3327"/>
      <c r="BD126" s="2579">
        <f t="shared" si="346"/>
        <v>1135</v>
      </c>
      <c r="BE126" s="3071"/>
      <c r="BF126" s="38">
        <f t="shared" si="354"/>
        <v>1694.65</v>
      </c>
      <c r="BG126" s="2446"/>
      <c r="BH126" s="2446"/>
      <c r="BI126" s="2445"/>
      <c r="BJ126" s="4920">
        <f>AR127/AR5*1000</f>
        <v>2.2254184444434704</v>
      </c>
      <c r="BK126" s="3564"/>
      <c r="BL126" s="2445"/>
      <c r="BM126" s="3564"/>
      <c r="BN126" s="3564"/>
    </row>
    <row r="127" spans="2:66" ht="13.8" x14ac:dyDescent="0.25">
      <c r="B127" s="1706" t="s">
        <v>1776</v>
      </c>
      <c r="C127" s="2803" t="s">
        <v>50</v>
      </c>
      <c r="D127" s="1110"/>
      <c r="E127" s="2599"/>
      <c r="F127" s="2537">
        <v>686</v>
      </c>
      <c r="G127" s="2599"/>
      <c r="H127" s="2537">
        <v>759</v>
      </c>
      <c r="I127" s="2538"/>
      <c r="J127" s="38">
        <f t="shared" si="347"/>
        <v>1445</v>
      </c>
      <c r="K127" s="2599"/>
      <c r="L127" s="2537">
        <v>777</v>
      </c>
      <c r="M127" s="2539"/>
      <c r="N127" s="2539">
        <f t="shared" si="340"/>
        <v>2222</v>
      </c>
      <c r="O127" s="2599"/>
      <c r="P127" s="2537">
        <v>707</v>
      </c>
      <c r="Q127" s="2538"/>
      <c r="R127" s="2538">
        <f t="shared" si="348"/>
        <v>2929</v>
      </c>
      <c r="S127" s="2599"/>
      <c r="T127" s="2537">
        <v>710.5</v>
      </c>
      <c r="U127" s="2538"/>
      <c r="V127" s="2538">
        <f t="shared" si="349"/>
        <v>3639.5</v>
      </c>
      <c r="W127" s="2599"/>
      <c r="X127" s="2537">
        <v>717.5</v>
      </c>
      <c r="Y127" s="2539"/>
      <c r="Z127" s="2539">
        <f t="shared" si="341"/>
        <v>2135</v>
      </c>
      <c r="AA127" s="2579"/>
      <c r="AB127" s="2579">
        <f t="shared" si="342"/>
        <v>4357</v>
      </c>
      <c r="AC127" s="2599"/>
      <c r="AD127" s="2537">
        <v>574</v>
      </c>
      <c r="AE127" s="2538"/>
      <c r="AF127" s="2538">
        <f t="shared" si="350"/>
        <v>4931</v>
      </c>
      <c r="AG127" s="2599"/>
      <c r="AH127" s="2537">
        <v>598.5</v>
      </c>
      <c r="AI127" s="2538"/>
      <c r="AJ127" s="2538">
        <f t="shared" si="351"/>
        <v>5529.5</v>
      </c>
      <c r="AK127" s="2599"/>
      <c r="AL127" s="2537">
        <v>640.5</v>
      </c>
      <c r="AM127" s="2539"/>
      <c r="AN127" s="2539">
        <f t="shared" si="343"/>
        <v>1813</v>
      </c>
      <c r="AO127" s="2538"/>
      <c r="AP127" s="2538">
        <f t="shared" si="344"/>
        <v>6170</v>
      </c>
      <c r="AQ127" s="2599"/>
      <c r="AR127" s="2537">
        <v>507.5</v>
      </c>
      <c r="AS127" s="2538"/>
      <c r="AT127" s="2538">
        <f t="shared" si="352"/>
        <v>6677.5</v>
      </c>
      <c r="AU127" s="2599"/>
      <c r="AV127" s="2537">
        <v>427</v>
      </c>
      <c r="AW127" s="2538"/>
      <c r="AX127" s="2538">
        <f t="shared" si="353"/>
        <v>7104.5</v>
      </c>
      <c r="AY127" s="2599"/>
      <c r="AZ127" s="2537">
        <v>731.5</v>
      </c>
      <c r="BA127" s="2539"/>
      <c r="BB127" s="2539">
        <f t="shared" si="345"/>
        <v>1666</v>
      </c>
      <c r="BC127" s="2579"/>
      <c r="BD127" s="2579">
        <f t="shared" si="346"/>
        <v>3479</v>
      </c>
      <c r="BE127" s="2538"/>
      <c r="BF127" s="38">
        <f t="shared" si="354"/>
        <v>7836</v>
      </c>
      <c r="BG127" s="2446"/>
      <c r="BH127" s="2446"/>
      <c r="BI127" s="2445"/>
      <c r="BJ127" s="2445"/>
      <c r="BK127" s="3564"/>
      <c r="BL127" s="2445"/>
      <c r="BM127" s="3564"/>
      <c r="BN127" s="3564"/>
    </row>
    <row r="128" spans="2:66" ht="13.8" x14ac:dyDescent="0.25">
      <c r="B128" s="1706" t="s">
        <v>705</v>
      </c>
      <c r="C128" s="2803" t="s">
        <v>50</v>
      </c>
      <c r="D128" s="1110"/>
      <c r="E128" s="2615"/>
      <c r="F128" s="2794"/>
      <c r="G128" s="2615"/>
      <c r="H128" s="2794"/>
      <c r="I128" s="3058"/>
      <c r="J128" s="105">
        <f t="shared" si="347"/>
        <v>0</v>
      </c>
      <c r="K128" s="2615"/>
      <c r="L128" s="2794"/>
      <c r="M128" s="3326"/>
      <c r="N128" s="2539">
        <f t="shared" si="340"/>
        <v>0</v>
      </c>
      <c r="O128" s="2615"/>
      <c r="P128" s="2794"/>
      <c r="Q128" s="3071"/>
      <c r="R128" s="3058">
        <f t="shared" si="348"/>
        <v>0</v>
      </c>
      <c r="S128" s="2615"/>
      <c r="T128" s="2794"/>
      <c r="U128" s="3071"/>
      <c r="V128" s="3058">
        <f t="shared" si="349"/>
        <v>0</v>
      </c>
      <c r="W128" s="2615"/>
      <c r="X128" s="2794"/>
      <c r="Y128" s="3326"/>
      <c r="Z128" s="2539">
        <f t="shared" si="341"/>
        <v>0</v>
      </c>
      <c r="AA128" s="3327"/>
      <c r="AB128" s="2579">
        <f t="shared" si="342"/>
        <v>0</v>
      </c>
      <c r="AC128" s="2615"/>
      <c r="AD128" s="2794"/>
      <c r="AE128" s="3071"/>
      <c r="AF128" s="3058">
        <f t="shared" si="350"/>
        <v>0</v>
      </c>
      <c r="AG128" s="2615"/>
      <c r="AH128" s="2794"/>
      <c r="AI128" s="3071"/>
      <c r="AJ128" s="3058">
        <f t="shared" si="351"/>
        <v>0</v>
      </c>
      <c r="AK128" s="2615"/>
      <c r="AL128" s="2794"/>
      <c r="AM128" s="3326"/>
      <c r="AN128" s="2539">
        <f t="shared" si="343"/>
        <v>0</v>
      </c>
      <c r="AO128" s="3071"/>
      <c r="AP128" s="2538">
        <f t="shared" si="344"/>
        <v>0</v>
      </c>
      <c r="AQ128" s="2797"/>
      <c r="AR128" s="2537"/>
      <c r="AS128" s="3071"/>
      <c r="AT128" s="2538">
        <f t="shared" si="352"/>
        <v>0</v>
      </c>
      <c r="AU128" s="2797"/>
      <c r="AV128" s="2537"/>
      <c r="AW128" s="3071"/>
      <c r="AX128" s="2538">
        <f t="shared" si="353"/>
        <v>0</v>
      </c>
      <c r="AY128" s="2797"/>
      <c r="AZ128" s="2537"/>
      <c r="BA128" s="3326"/>
      <c r="BB128" s="2539">
        <f t="shared" si="345"/>
        <v>0</v>
      </c>
      <c r="BC128" s="3327"/>
      <c r="BD128" s="2579">
        <f t="shared" si="346"/>
        <v>0</v>
      </c>
      <c r="BE128" s="3071"/>
      <c r="BF128" s="38">
        <f t="shared" si="354"/>
        <v>0</v>
      </c>
      <c r="BG128" s="2446"/>
      <c r="BH128" s="2446"/>
      <c r="BI128" s="2445"/>
      <c r="BJ128" s="2445"/>
      <c r="BK128" s="3564"/>
      <c r="BL128" s="2445"/>
      <c r="BM128" s="3564"/>
      <c r="BN128" s="3564"/>
    </row>
    <row r="129" spans="2:66" ht="13.8" x14ac:dyDescent="0.25">
      <c r="B129" s="1706" t="s">
        <v>617</v>
      </c>
      <c r="C129" s="2803" t="s">
        <v>50</v>
      </c>
      <c r="D129" s="1110"/>
      <c r="E129" s="2615"/>
      <c r="F129" s="2794">
        <v>0.51</v>
      </c>
      <c r="G129" s="2615"/>
      <c r="H129" s="2794">
        <v>0.433</v>
      </c>
      <c r="I129" s="3058"/>
      <c r="J129" s="105">
        <f t="shared" si="347"/>
        <v>0.94300000000000006</v>
      </c>
      <c r="K129" s="2615"/>
      <c r="L129" s="2794"/>
      <c r="M129" s="3326"/>
      <c r="N129" s="2539">
        <f t="shared" si="340"/>
        <v>0.94300000000000006</v>
      </c>
      <c r="O129" s="2615"/>
      <c r="P129" s="2794"/>
      <c r="Q129" s="3071"/>
      <c r="R129" s="3058">
        <f t="shared" si="348"/>
        <v>0.94300000000000006</v>
      </c>
      <c r="S129" s="2615"/>
      <c r="T129" s="2794"/>
      <c r="U129" s="3071"/>
      <c r="V129" s="3058">
        <f t="shared" si="349"/>
        <v>0.94300000000000006</v>
      </c>
      <c r="W129" s="2615"/>
      <c r="X129" s="2794"/>
      <c r="Y129" s="3326"/>
      <c r="Z129" s="2539">
        <f t="shared" si="341"/>
        <v>0</v>
      </c>
      <c r="AA129" s="3327"/>
      <c r="AB129" s="2579">
        <f t="shared" si="342"/>
        <v>0.94300000000000006</v>
      </c>
      <c r="AC129" s="2615"/>
      <c r="AD129" s="2794"/>
      <c r="AE129" s="3071"/>
      <c r="AF129" s="3058">
        <f t="shared" si="350"/>
        <v>0.94300000000000006</v>
      </c>
      <c r="AG129" s="2615"/>
      <c r="AH129" s="2794"/>
      <c r="AI129" s="3071"/>
      <c r="AJ129" s="3058">
        <f t="shared" si="351"/>
        <v>0.94300000000000006</v>
      </c>
      <c r="AK129" s="2615"/>
      <c r="AL129" s="2794"/>
      <c r="AM129" s="3326"/>
      <c r="AN129" s="2539">
        <f t="shared" si="343"/>
        <v>0</v>
      </c>
      <c r="AO129" s="3071"/>
      <c r="AP129" s="2538">
        <f t="shared" si="344"/>
        <v>0.94300000000000006</v>
      </c>
      <c r="AQ129" s="2797"/>
      <c r="AR129" s="2537"/>
      <c r="AS129" s="3071"/>
      <c r="AT129" s="2538">
        <f t="shared" si="352"/>
        <v>0.94300000000000006</v>
      </c>
      <c r="AU129" s="2797"/>
      <c r="AV129" s="2537"/>
      <c r="AW129" s="3071"/>
      <c r="AX129" s="2538">
        <f t="shared" si="353"/>
        <v>0.94300000000000006</v>
      </c>
      <c r="AY129" s="2797"/>
      <c r="AZ129" s="2794">
        <v>0.12</v>
      </c>
      <c r="BA129" s="3326"/>
      <c r="BB129" s="2539">
        <f t="shared" si="345"/>
        <v>0.12</v>
      </c>
      <c r="BC129" s="3327"/>
      <c r="BD129" s="2579">
        <f t="shared" si="346"/>
        <v>0.12</v>
      </c>
      <c r="BE129" s="3071"/>
      <c r="BF129" s="38">
        <f t="shared" si="354"/>
        <v>1.0630000000000002</v>
      </c>
      <c r="BG129" s="2446"/>
      <c r="BH129" s="2446"/>
      <c r="BI129" s="2445"/>
      <c r="BJ129" s="2445"/>
      <c r="BK129" s="3564"/>
      <c r="BL129" s="2445"/>
      <c r="BM129" s="3564"/>
      <c r="BN129" s="3564"/>
    </row>
    <row r="130" spans="2:66" ht="13.8" x14ac:dyDescent="0.25">
      <c r="B130" s="1706" t="s">
        <v>1335</v>
      </c>
      <c r="C130" s="2803" t="s">
        <v>50</v>
      </c>
      <c r="D130" s="1110"/>
      <c r="E130" s="2615"/>
      <c r="F130" s="2794"/>
      <c r="G130" s="2615"/>
      <c r="H130" s="2794"/>
      <c r="I130" s="3058"/>
      <c r="J130" s="105">
        <f t="shared" si="347"/>
        <v>0</v>
      </c>
      <c r="K130" s="2615"/>
      <c r="L130" s="2794"/>
      <c r="M130" s="3326"/>
      <c r="N130" s="2539">
        <f t="shared" si="340"/>
        <v>0</v>
      </c>
      <c r="O130" s="2615"/>
      <c r="P130" s="2794"/>
      <c r="Q130" s="3071"/>
      <c r="R130" s="3058">
        <f t="shared" si="348"/>
        <v>0</v>
      </c>
      <c r="S130" s="2615"/>
      <c r="T130" s="2794"/>
      <c r="U130" s="3071"/>
      <c r="V130" s="3058">
        <f t="shared" si="349"/>
        <v>0</v>
      </c>
      <c r="W130" s="2615"/>
      <c r="X130" s="2794"/>
      <c r="Y130" s="3326"/>
      <c r="Z130" s="2539">
        <f t="shared" si="341"/>
        <v>0</v>
      </c>
      <c r="AA130" s="3327"/>
      <c r="AB130" s="2579">
        <f t="shared" si="342"/>
        <v>0</v>
      </c>
      <c r="AC130" s="2615"/>
      <c r="AD130" s="2794"/>
      <c r="AE130" s="3071"/>
      <c r="AF130" s="3058">
        <f t="shared" si="350"/>
        <v>0</v>
      </c>
      <c r="AG130" s="2615"/>
      <c r="AH130" s="2794"/>
      <c r="AI130" s="3071"/>
      <c r="AJ130" s="3058">
        <f t="shared" si="351"/>
        <v>0</v>
      </c>
      <c r="AK130" s="2615"/>
      <c r="AL130" s="2794"/>
      <c r="AM130" s="3326"/>
      <c r="AN130" s="2539">
        <f t="shared" si="343"/>
        <v>0</v>
      </c>
      <c r="AO130" s="3071"/>
      <c r="AP130" s="2538">
        <f t="shared" si="344"/>
        <v>0</v>
      </c>
      <c r="AQ130" s="2797"/>
      <c r="AR130" s="2537"/>
      <c r="AS130" s="3071"/>
      <c r="AT130" s="2538">
        <f t="shared" si="352"/>
        <v>0</v>
      </c>
      <c r="AU130" s="2797"/>
      <c r="AV130" s="2537"/>
      <c r="AW130" s="3071"/>
      <c r="AX130" s="2538">
        <f t="shared" si="353"/>
        <v>0</v>
      </c>
      <c r="AY130" s="2797"/>
      <c r="AZ130" s="2537"/>
      <c r="BA130" s="3326"/>
      <c r="BB130" s="2539">
        <f t="shared" si="345"/>
        <v>0</v>
      </c>
      <c r="BC130" s="3327"/>
      <c r="BD130" s="2579">
        <f t="shared" si="346"/>
        <v>0</v>
      </c>
      <c r="BE130" s="3071"/>
      <c r="BF130" s="38">
        <f t="shared" si="354"/>
        <v>0</v>
      </c>
      <c r="BG130" s="2446"/>
      <c r="BH130" s="2446"/>
      <c r="BI130" s="2445"/>
      <c r="BJ130" s="2445"/>
      <c r="BK130" s="3564"/>
      <c r="BL130" s="2445"/>
      <c r="BM130" s="3564"/>
      <c r="BN130" s="3564"/>
    </row>
    <row r="131" spans="2:66" ht="13.8" x14ac:dyDescent="0.25">
      <c r="B131" s="1706" t="s">
        <v>706</v>
      </c>
      <c r="C131" s="2803" t="s">
        <v>50</v>
      </c>
      <c r="D131" s="1965"/>
      <c r="E131" s="2615"/>
      <c r="F131" s="2794">
        <v>50.2</v>
      </c>
      <c r="G131" s="2615"/>
      <c r="H131" s="2794">
        <v>58.09</v>
      </c>
      <c r="I131" s="3058"/>
      <c r="J131" s="105">
        <f t="shared" si="347"/>
        <v>108.29</v>
      </c>
      <c r="K131" s="2615"/>
      <c r="L131" s="2794">
        <v>64.3</v>
      </c>
      <c r="M131" s="3326"/>
      <c r="N131" s="2539">
        <f t="shared" si="340"/>
        <v>172.59</v>
      </c>
      <c r="O131" s="2615"/>
      <c r="P131" s="2794">
        <v>60.26</v>
      </c>
      <c r="Q131" s="3071"/>
      <c r="R131" s="3058">
        <f t="shared" si="348"/>
        <v>232.85</v>
      </c>
      <c r="S131" s="2615"/>
      <c r="T131" s="2794">
        <v>64.337000000000003</v>
      </c>
      <c r="U131" s="3071"/>
      <c r="V131" s="3058">
        <f t="shared" si="349"/>
        <v>297.18700000000001</v>
      </c>
      <c r="W131" s="2615"/>
      <c r="X131" s="2794">
        <v>58.1</v>
      </c>
      <c r="Y131" s="3326"/>
      <c r="Z131" s="2539">
        <f t="shared" si="341"/>
        <v>182.697</v>
      </c>
      <c r="AA131" s="3327"/>
      <c r="AB131" s="2579">
        <f t="shared" si="342"/>
        <v>355.28700000000003</v>
      </c>
      <c r="AC131" s="2615"/>
      <c r="AD131" s="2794">
        <v>45.04</v>
      </c>
      <c r="AE131" s="3071"/>
      <c r="AF131" s="3058">
        <f t="shared" si="350"/>
        <v>400.32700000000006</v>
      </c>
      <c r="AG131" s="2615"/>
      <c r="AH131" s="2794">
        <v>58.677999999999997</v>
      </c>
      <c r="AI131" s="3071"/>
      <c r="AJ131" s="3058">
        <f t="shared" si="351"/>
        <v>459.00500000000005</v>
      </c>
      <c r="AK131" s="2615"/>
      <c r="AL131" s="2794">
        <v>61.98</v>
      </c>
      <c r="AM131" s="3326"/>
      <c r="AN131" s="2539">
        <f t="shared" si="343"/>
        <v>165.69799999999998</v>
      </c>
      <c r="AO131" s="3071"/>
      <c r="AP131" s="2538">
        <f t="shared" si="344"/>
        <v>520.98500000000001</v>
      </c>
      <c r="AQ131" s="2797"/>
      <c r="AR131" s="2537">
        <v>60.7</v>
      </c>
      <c r="AS131" s="3071"/>
      <c r="AT131" s="2538">
        <f t="shared" si="352"/>
        <v>581.68500000000006</v>
      </c>
      <c r="AU131" s="2797"/>
      <c r="AV131" s="2537">
        <v>41.45</v>
      </c>
      <c r="AW131" s="3071"/>
      <c r="AX131" s="2538">
        <f t="shared" si="353"/>
        <v>623.1350000000001</v>
      </c>
      <c r="AY131" s="2797"/>
      <c r="AZ131" s="2537">
        <v>58</v>
      </c>
      <c r="BA131" s="3326"/>
      <c r="BB131" s="2539">
        <f t="shared" si="345"/>
        <v>160.15</v>
      </c>
      <c r="BC131" s="3327"/>
      <c r="BD131" s="2579">
        <f t="shared" si="346"/>
        <v>325.84799999999996</v>
      </c>
      <c r="BE131" s="3071"/>
      <c r="BF131" s="38">
        <f t="shared" si="354"/>
        <v>681.1350000000001</v>
      </c>
      <c r="BG131" s="2446"/>
      <c r="BH131" s="2446"/>
      <c r="BI131" s="2445"/>
      <c r="BJ131" s="2445"/>
      <c r="BK131" s="3564"/>
      <c r="BL131" s="2445"/>
      <c r="BM131" s="3564"/>
      <c r="BN131" s="3564"/>
    </row>
    <row r="132" spans="2:66" ht="14.4" thickBot="1" x14ac:dyDescent="0.3">
      <c r="B132" s="1700" t="s">
        <v>1351</v>
      </c>
      <c r="C132" s="742" t="s">
        <v>50</v>
      </c>
      <c r="D132" s="3265"/>
      <c r="E132" s="884"/>
      <c r="F132" s="1431"/>
      <c r="G132" s="884"/>
      <c r="H132" s="1431"/>
      <c r="I132" s="3337"/>
      <c r="J132" s="128">
        <f t="shared" ref="J132" si="355">+F132+H132</f>
        <v>0</v>
      </c>
      <c r="K132" s="884"/>
      <c r="L132" s="1431"/>
      <c r="M132" s="3338"/>
      <c r="N132" s="2539">
        <f t="shared" si="340"/>
        <v>0</v>
      </c>
      <c r="O132" s="884"/>
      <c r="P132" s="1431"/>
      <c r="Q132" s="3339"/>
      <c r="R132" s="3058">
        <f t="shared" si="348"/>
        <v>0</v>
      </c>
      <c r="S132" s="884"/>
      <c r="T132" s="1431"/>
      <c r="U132" s="3339"/>
      <c r="V132" s="3058">
        <f t="shared" si="349"/>
        <v>0</v>
      </c>
      <c r="W132" s="884"/>
      <c r="X132" s="1431"/>
      <c r="Y132" s="3338"/>
      <c r="Z132" s="2539">
        <f t="shared" si="341"/>
        <v>0</v>
      </c>
      <c r="AA132" s="3340"/>
      <c r="AB132" s="2579">
        <f t="shared" si="342"/>
        <v>0</v>
      </c>
      <c r="AC132" s="884"/>
      <c r="AD132" s="1431"/>
      <c r="AE132" s="3339"/>
      <c r="AF132" s="3058">
        <f t="shared" si="350"/>
        <v>0</v>
      </c>
      <c r="AG132" s="884"/>
      <c r="AH132" s="1431"/>
      <c r="AI132" s="3339"/>
      <c r="AJ132" s="3058">
        <f t="shared" si="351"/>
        <v>0</v>
      </c>
      <c r="AK132" s="884"/>
      <c r="AL132" s="1431"/>
      <c r="AM132" s="3338"/>
      <c r="AN132" s="2539">
        <f t="shared" si="343"/>
        <v>0</v>
      </c>
      <c r="AO132" s="3339"/>
      <c r="AP132" s="2538">
        <f t="shared" si="344"/>
        <v>0</v>
      </c>
      <c r="AQ132" s="884"/>
      <c r="AR132" s="3867"/>
      <c r="AS132" s="3339"/>
      <c r="AT132" s="2538">
        <f t="shared" si="352"/>
        <v>0</v>
      </c>
      <c r="AU132" s="884"/>
      <c r="AV132" s="3867"/>
      <c r="AW132" s="3339"/>
      <c r="AX132" s="2538">
        <f t="shared" si="353"/>
        <v>0</v>
      </c>
      <c r="AY132" s="884"/>
      <c r="AZ132" s="3867"/>
      <c r="BA132" s="3338"/>
      <c r="BB132" s="2539">
        <f t="shared" si="345"/>
        <v>0</v>
      </c>
      <c r="BC132" s="3340"/>
      <c r="BD132" s="2579">
        <f t="shared" si="346"/>
        <v>0</v>
      </c>
      <c r="BE132" s="3339"/>
      <c r="BF132" s="38">
        <f t="shared" si="354"/>
        <v>0</v>
      </c>
      <c r="BG132" s="2446"/>
      <c r="BH132" s="2446"/>
      <c r="BI132" s="2445"/>
      <c r="BJ132" s="2445"/>
      <c r="BK132" s="3564"/>
      <c r="BL132" s="2445"/>
      <c r="BM132" s="3564"/>
      <c r="BN132" s="3564"/>
    </row>
    <row r="133" spans="2:66" ht="14.4" thickBot="1" x14ac:dyDescent="0.3">
      <c r="B133" s="3341"/>
      <c r="C133" s="595"/>
      <c r="D133" s="3342"/>
      <c r="E133" s="3343"/>
      <c r="F133" s="3343"/>
      <c r="G133" s="3343"/>
      <c r="H133" s="3343"/>
      <c r="I133" s="3343"/>
      <c r="J133" s="3344"/>
      <c r="K133" s="3343"/>
      <c r="L133" s="3343"/>
      <c r="M133" s="3285"/>
      <c r="N133" s="3285"/>
      <c r="O133" s="3343"/>
      <c r="P133" s="3343"/>
      <c r="Q133" s="3285"/>
      <c r="R133" s="3285"/>
      <c r="S133" s="3343"/>
      <c r="T133" s="3343"/>
      <c r="U133" s="3285"/>
      <c r="V133" s="3285"/>
      <c r="W133" s="3343"/>
      <c r="X133" s="3343"/>
      <c r="Y133" s="3285"/>
      <c r="Z133" s="3285"/>
      <c r="AA133" s="3285"/>
      <c r="AB133" s="3285"/>
      <c r="AC133" s="3343"/>
      <c r="AD133" s="3343"/>
      <c r="AE133" s="3285"/>
      <c r="AF133" s="3285"/>
      <c r="AG133" s="3343"/>
      <c r="AH133" s="3343"/>
      <c r="AI133" s="3285"/>
      <c r="AJ133" s="3285"/>
      <c r="AK133" s="3343"/>
      <c r="AL133" s="3343"/>
      <c r="AM133" s="3285"/>
      <c r="AN133" s="3285"/>
      <c r="AO133" s="3285"/>
      <c r="AP133" s="3285"/>
      <c r="AQ133" s="3343"/>
      <c r="AR133" s="3343"/>
      <c r="AS133" s="3285"/>
      <c r="AT133" s="3285"/>
      <c r="AU133" s="3343"/>
      <c r="AV133" s="3343"/>
      <c r="AW133" s="3285"/>
      <c r="AX133" s="3285"/>
      <c r="AY133" s="3343"/>
      <c r="AZ133" s="3343"/>
      <c r="BA133" s="3285"/>
      <c r="BB133" s="3285"/>
      <c r="BC133" s="3285"/>
      <c r="BD133" s="3285"/>
      <c r="BE133" s="3285"/>
      <c r="BF133" s="3345"/>
      <c r="BH133" s="3564"/>
      <c r="BI133" s="2445"/>
      <c r="BJ133" s="2445"/>
      <c r="BK133" s="2445">
        <v>507.5</v>
      </c>
      <c r="BL133" s="2445"/>
      <c r="BM133" s="3564"/>
      <c r="BN133" s="3564"/>
    </row>
    <row r="134" spans="2:66" ht="13.8" x14ac:dyDescent="0.25">
      <c r="B134" s="3346" t="s">
        <v>566</v>
      </c>
      <c r="C134" s="2048" t="s">
        <v>49</v>
      </c>
      <c r="D134" s="1292"/>
      <c r="E134" s="6274"/>
      <c r="F134" s="3347">
        <v>83.1</v>
      </c>
      <c r="G134" s="6274"/>
      <c r="H134" s="3347">
        <v>91.36</v>
      </c>
      <c r="I134" s="6275"/>
      <c r="J134" s="3316">
        <f>+((F134*F7)+(H134*H7))/J7</f>
        <v>87.346338028169015</v>
      </c>
      <c r="K134" s="6274"/>
      <c r="L134" s="3347">
        <v>95.59</v>
      </c>
      <c r="M134" s="6282"/>
      <c r="N134" s="3329">
        <f>+((F134*F7)+(H134*H7)+(L134*L7))/N7</f>
        <v>89.689054820415876</v>
      </c>
      <c r="O134" s="6274"/>
      <c r="P134" s="3347">
        <v>96.82</v>
      </c>
      <c r="Q134" s="6275"/>
      <c r="R134" s="3315">
        <f>+((N134*N7)+(P134*P7))/R7</f>
        <v>91.471791115311902</v>
      </c>
      <c r="S134" s="6274"/>
      <c r="T134" s="3347">
        <v>92.98</v>
      </c>
      <c r="U134" s="6275"/>
      <c r="V134" s="3315">
        <f>+((R134*R7)+(T134*T7))/V7</f>
        <v>91.75349346656418</v>
      </c>
      <c r="W134" s="6274"/>
      <c r="X134" s="3347">
        <v>95.77</v>
      </c>
      <c r="Y134" s="6282"/>
      <c r="Z134" s="3329">
        <f>+((P134*P7)+(T134*T7)+(X134*X7))/Z7</f>
        <v>95.234913101604278</v>
      </c>
      <c r="AA134" s="6255"/>
      <c r="AB134" s="3348">
        <f>+((Z134*Z7)+(N134*N7))/AB7</f>
        <v>92.380136230943876</v>
      </c>
      <c r="AC134" s="6274"/>
      <c r="AD134" s="3347">
        <v>97.87</v>
      </c>
      <c r="AE134" s="6275"/>
      <c r="AF134" s="3315">
        <f>+((AB134*AB7)+(AD134*AD7))/AF7</f>
        <v>92.94557462903694</v>
      </c>
      <c r="AG134" s="6274"/>
      <c r="AH134" s="3347">
        <v>96.14</v>
      </c>
      <c r="AI134" s="6275"/>
      <c r="AJ134" s="3315">
        <f>+((AF134*AF7)+(AH134*AH7))/AJ7</f>
        <v>93.373054435483866</v>
      </c>
      <c r="AK134" s="6274"/>
      <c r="AL134" s="3347">
        <v>94.02</v>
      </c>
      <c r="AM134" s="6282"/>
      <c r="AN134" s="3329">
        <f>+((AD134*AD7)+(AH134*AH7)+(AL134*AL7))/AN7</f>
        <v>95.776259703599166</v>
      </c>
      <c r="AO134" s="6275"/>
      <c r="AP134" s="3315">
        <f>+((AL134*AL7)+(AJ134*AJ7))/AP7</f>
        <v>93.449537777777778</v>
      </c>
      <c r="AQ134" s="6274"/>
      <c r="AR134" s="3347">
        <v>94.75</v>
      </c>
      <c r="AS134" s="6275"/>
      <c r="AT134" s="3315">
        <f>+((AP134*AP7)+(AR134*AR7))/AT7</f>
        <v>93.587950754567117</v>
      </c>
      <c r="AU134" s="6274"/>
      <c r="AV134" s="3347">
        <v>95.58</v>
      </c>
      <c r="AW134" s="6275"/>
      <c r="AX134" s="3315">
        <f>+((AT134*AT7)+(AV134*AV7))/AX7</f>
        <v>93.747678538812778</v>
      </c>
      <c r="AY134" s="6274"/>
      <c r="AZ134" s="3347">
        <v>94.61</v>
      </c>
      <c r="BA134" s="6282"/>
      <c r="BB134" s="3329">
        <f>+((AR134*AR7)+(AV134*AV7)+(AZ134*AZ7))/BB7</f>
        <v>94.941044282881691</v>
      </c>
      <c r="BC134" s="6255"/>
      <c r="BD134" s="3348">
        <f>+((BB134*BB7)+(AN134*AN7))/BD7</f>
        <v>95.344969283276455</v>
      </c>
      <c r="BE134" s="6275"/>
      <c r="BF134" s="3316">
        <f>+((AX134*AX7)+(AZ134*AZ7))/BF7</f>
        <v>93.824832862132041</v>
      </c>
      <c r="BH134" s="3564"/>
      <c r="BI134" s="2445"/>
      <c r="BJ134" s="2445"/>
      <c r="BK134" s="2445"/>
      <c r="BL134" s="2445"/>
      <c r="BM134" s="3564"/>
      <c r="BN134" s="3564"/>
    </row>
    <row r="135" spans="2:66" ht="13.8" x14ac:dyDescent="0.25">
      <c r="B135" s="3349" t="s">
        <v>565</v>
      </c>
      <c r="C135" s="3311" t="s">
        <v>49</v>
      </c>
      <c r="D135" s="1292"/>
      <c r="E135" s="6274"/>
      <c r="F135" s="3347">
        <v>67.3</v>
      </c>
      <c r="G135" s="6274"/>
      <c r="H135" s="3347">
        <v>89.16</v>
      </c>
      <c r="I135" s="6275"/>
      <c r="J135" s="3316">
        <f>+((F135*F8)+(H135*H8))/J8</f>
        <v>81.861580645161297</v>
      </c>
      <c r="K135" s="6274"/>
      <c r="L135" s="3347">
        <v>95.79</v>
      </c>
      <c r="M135" s="6282"/>
      <c r="N135" s="3329">
        <f>+((F135*F8)+(H135*H8)+(L135*L8))/N8</f>
        <v>88.605623960066566</v>
      </c>
      <c r="O135" s="6274"/>
      <c r="P135" s="3347">
        <v>98.07</v>
      </c>
      <c r="Q135" s="6275"/>
      <c r="R135" s="3315">
        <f>+((N135*N8)+(P135*P8))/R8</f>
        <v>91.620918367346931</v>
      </c>
      <c r="S135" s="6274"/>
      <c r="T135" s="3347">
        <v>94.4</v>
      </c>
      <c r="U135" s="6275"/>
      <c r="V135" s="3315">
        <f>+((R135*R8)+(T135*T8))/V8</f>
        <v>92.26578145407052</v>
      </c>
      <c r="W135" s="6274"/>
      <c r="X135" s="3347">
        <v>95.79</v>
      </c>
      <c r="Y135" s="6282"/>
      <c r="Z135" s="3329">
        <f>+((P135*P8)+(T135*T8)+(X135*X8))/Z8</f>
        <v>96.125291563275439</v>
      </c>
      <c r="AA135" s="6255"/>
      <c r="AB135" s="3348">
        <f>+((Z135*Z8)+(N135*N8))/AB8</f>
        <v>92.9132658137882</v>
      </c>
      <c r="AC135" s="6274"/>
      <c r="AD135" s="3347">
        <v>68.41</v>
      </c>
      <c r="AE135" s="6275"/>
      <c r="AF135" s="3315">
        <f>+((AB135*AB8)+(AD135*AD8))/AF8</f>
        <v>89.910526972248206</v>
      </c>
      <c r="AG135" s="6274"/>
      <c r="AH135" s="3347">
        <v>94.65</v>
      </c>
      <c r="AI135" s="6275"/>
      <c r="AJ135" s="3315">
        <f>+((AF135*AF8)+(AH135*AH8))/AJ8</f>
        <v>90.537583874458889</v>
      </c>
      <c r="AK135" s="6274"/>
      <c r="AL135" s="3347">
        <v>98.28</v>
      </c>
      <c r="AM135" s="6282"/>
      <c r="AN135" s="3329">
        <f>+((AD135*AD8)+(AH135*AH8)+(AL135*AL8))/AN8</f>
        <v>88.430160349854233</v>
      </c>
      <c r="AO135" s="6275"/>
      <c r="AP135" s="3315">
        <f>+((AL135*AL8)+(AJ135*AJ8))/AP8</f>
        <v>91.443886765408521</v>
      </c>
      <c r="AQ135" s="6274"/>
      <c r="AR135" s="3347">
        <v>89.04</v>
      </c>
      <c r="AS135" s="6275"/>
      <c r="AT135" s="3315">
        <f>+((AP135*AP8)+(AR135*AR8))/AT8</f>
        <v>91.217124621376044</v>
      </c>
      <c r="AU135" s="6274"/>
      <c r="AV135" s="3347">
        <v>92.02</v>
      </c>
      <c r="AW135" s="6275"/>
      <c r="AX135" s="3315">
        <f>+((AT135*AT8)+(AV135*AV8))/AX8</f>
        <v>91.278859596564814</v>
      </c>
      <c r="AY135" s="6274"/>
      <c r="AZ135" s="3347">
        <v>89.51</v>
      </c>
      <c r="BA135" s="6282"/>
      <c r="BB135" s="3329">
        <f>+((AR135*AR8)+(AV135*AV8)+(AZ135*AZ8))/BB8</f>
        <v>90.097523148148142</v>
      </c>
      <c r="BC135" s="6255"/>
      <c r="BD135" s="3348">
        <f>+((BB135*BB8)+(AN135*AN8))/BD8</f>
        <v>89.240093703148432</v>
      </c>
      <c r="BE135" s="6275"/>
      <c r="BF135" s="3316">
        <f>+((AX135*AX8)+(AZ135*AZ8))/BF8</f>
        <v>91.125592849325059</v>
      </c>
      <c r="BH135" s="3564"/>
      <c r="BI135" s="2445"/>
      <c r="BJ135" s="2445"/>
      <c r="BK135" s="2445"/>
      <c r="BL135" s="2445"/>
      <c r="BM135" s="3564"/>
      <c r="BN135" s="3564"/>
    </row>
    <row r="136" spans="2:66" ht="14.4" thickBot="1" x14ac:dyDescent="0.3">
      <c r="B136" s="3350" t="s">
        <v>567</v>
      </c>
      <c r="C136" s="3296" t="s">
        <v>49</v>
      </c>
      <c r="D136" s="1292"/>
      <c r="E136" s="6274"/>
      <c r="F136" s="3347">
        <v>81.739999999999995</v>
      </c>
      <c r="G136" s="6274"/>
      <c r="H136" s="3347">
        <v>90.35</v>
      </c>
      <c r="I136" s="6275"/>
      <c r="J136" s="3316">
        <f>+((F136*F9)+(H136*H9))/J9</f>
        <v>85.828371454711785</v>
      </c>
      <c r="K136" s="6274"/>
      <c r="L136" s="3347">
        <v>96.13</v>
      </c>
      <c r="M136" s="6282"/>
      <c r="N136" s="3329">
        <f>+((F136*F9)+(H136*H9)+(L136*L9))/N9</f>
        <v>89.170988875154492</v>
      </c>
      <c r="O136" s="6274"/>
      <c r="P136" s="3347">
        <v>97.68</v>
      </c>
      <c r="Q136" s="6275"/>
      <c r="R136" s="3315">
        <f>+((N136*N9)+(P136*P9))/R9</f>
        <v>91.252558356675991</v>
      </c>
      <c r="S136" s="6274"/>
      <c r="T136" s="3347">
        <v>92.39</v>
      </c>
      <c r="U136" s="6275"/>
      <c r="V136" s="3315">
        <f>+((R136*R9)+(T136*T9))/V9</f>
        <v>91.467819833459487</v>
      </c>
      <c r="W136" s="6274"/>
      <c r="X136" s="3347">
        <v>92.04</v>
      </c>
      <c r="Y136" s="6282"/>
      <c r="Z136" s="3329">
        <f>+((P136*P9)+(T136*T9)+(X136*X9))/Z9</f>
        <v>94.155108108108109</v>
      </c>
      <c r="AA136" s="6255"/>
      <c r="AB136" s="3348">
        <f>+((Z136*Z9)+(N136*N9))/AB9</f>
        <v>91.552040025823104</v>
      </c>
      <c r="AC136" s="6274"/>
      <c r="AD136" s="3347">
        <v>70.400000000000006</v>
      </c>
      <c r="AE136" s="6275"/>
      <c r="AF136" s="3315">
        <f>+((AB136*AB9)+(AD136*AD9))/AF9</f>
        <v>89.106542963174419</v>
      </c>
      <c r="AG136" s="6274"/>
      <c r="AH136" s="3347">
        <v>96.38</v>
      </c>
      <c r="AI136" s="6275"/>
      <c r="AJ136" s="3315">
        <f>+((AF136*AF9)+(AH136*AH9))/AJ9</f>
        <v>89.913269035532991</v>
      </c>
      <c r="AK136" s="6274"/>
      <c r="AL136" s="3347">
        <v>96.7</v>
      </c>
      <c r="AM136" s="6282"/>
      <c r="AN136" s="3329">
        <f>+((AD136*AD9)+(AH136*AH9)+(AL136*AL9))/AN9</f>
        <v>88.549441087613289</v>
      </c>
      <c r="AO136" s="6275"/>
      <c r="AP136" s="3315">
        <f>+((AL136*AL9)+(AJ136*AJ9))/AP9</f>
        <v>90.653025780189964</v>
      </c>
      <c r="AQ136" s="6274"/>
      <c r="AR136" s="3347">
        <v>93.69</v>
      </c>
      <c r="AS136" s="6275"/>
      <c r="AT136" s="3315">
        <f>+((AP136*AP9)+(AR136*AR9))/AT9</f>
        <v>90.956537756971301</v>
      </c>
      <c r="AU136" s="6274"/>
      <c r="AV136" s="3347">
        <v>94.79</v>
      </c>
      <c r="AW136" s="6275"/>
      <c r="AX136" s="3315">
        <f>+((AT136*AT9)+(AV136*AV9))/AX9</f>
        <v>91.220964563198777</v>
      </c>
      <c r="AY136" s="6274"/>
      <c r="AZ136" s="3347">
        <v>94.21</v>
      </c>
      <c r="BA136" s="6282"/>
      <c r="BB136" s="3329">
        <f>+((AR136*AR9)+(AV136*AV9)+(AZ136*AZ9))/BB9</f>
        <v>94.177737226277372</v>
      </c>
      <c r="BC136" s="6255"/>
      <c r="BD136" s="3348">
        <f>+((BB136*BB9)+(AN136*AN9))/BD9</f>
        <v>91.411640682999248</v>
      </c>
      <c r="BE136" s="6275"/>
      <c r="BF136" s="3316">
        <f>+((AX136*AX9)+(AZ136*AZ9))/BF9</f>
        <v>91.48673687845303</v>
      </c>
      <c r="BH136" s="3564"/>
      <c r="BI136" s="2445"/>
      <c r="BJ136" s="2445"/>
      <c r="BK136" s="2445"/>
      <c r="BL136" s="2445"/>
      <c r="BM136" s="3564"/>
      <c r="BN136" s="3564"/>
    </row>
    <row r="137" spans="2:66" ht="13.8" x14ac:dyDescent="0.25">
      <c r="B137" s="3346" t="s">
        <v>578</v>
      </c>
      <c r="C137" s="2048" t="s">
        <v>49</v>
      </c>
      <c r="D137" s="1292"/>
      <c r="E137" s="3108"/>
      <c r="F137" s="3347">
        <v>57.67</v>
      </c>
      <c r="G137" s="3108"/>
      <c r="H137" s="3347">
        <v>75.7</v>
      </c>
      <c r="I137" s="3109"/>
      <c r="J137" s="3316">
        <f>+((F137*F22)+(H137*H22))/J22</f>
        <v>67.88375135135135</v>
      </c>
      <c r="K137" s="3108"/>
      <c r="L137" s="3347">
        <v>74.010000000000005</v>
      </c>
      <c r="M137" s="3240"/>
      <c r="N137" s="3329">
        <f>+((F137*F22)+(H137*H22)+(L137*L22))/N22</f>
        <v>70.144529331514335</v>
      </c>
      <c r="O137" s="3108"/>
      <c r="P137" s="3347">
        <v>78.78</v>
      </c>
      <c r="Q137" s="3109"/>
      <c r="R137" s="3315">
        <f>+((N137*N22)+(P137*P22))/R22</f>
        <v>72.613609352167572</v>
      </c>
      <c r="S137" s="3108"/>
      <c r="T137" s="3347">
        <v>70.53</v>
      </c>
      <c r="U137" s="3109"/>
      <c r="V137" s="3315">
        <f>+((R137*R22)+(T137*T22))/V22</f>
        <v>72.19769980506824</v>
      </c>
      <c r="W137" s="3108"/>
      <c r="X137" s="3347">
        <v>71.599999999999994</v>
      </c>
      <c r="Y137" s="3240"/>
      <c r="Z137" s="3329">
        <f>+((P137*P22)+(T137*T22)+(X137*X22))/Z22</f>
        <v>73.90762743864066</v>
      </c>
      <c r="AA137" s="3241"/>
      <c r="AB137" s="3348">
        <f>+((Z137*Z22)+(N137*N22))/AB22</f>
        <v>72.101833060556473</v>
      </c>
      <c r="AC137" s="3108"/>
      <c r="AD137" s="3347">
        <v>60.47</v>
      </c>
      <c r="AE137" s="3109"/>
      <c r="AF137" s="3315">
        <f>+((AB137*AB22)+(AD137*AD22))/AF22</f>
        <v>70.637453505007159</v>
      </c>
      <c r="AG137" s="3108"/>
      <c r="AH137" s="3347">
        <v>77.145833333333314</v>
      </c>
      <c r="AI137" s="3109"/>
      <c r="AJ137" s="3315">
        <f>+((AF137*AF22)+(AH137*AH22))/AJ22</f>
        <v>71.511256295929314</v>
      </c>
      <c r="AK137" s="3108"/>
      <c r="AL137" s="3347">
        <v>63.967293906810035</v>
      </c>
      <c r="AM137" s="3240"/>
      <c r="AN137" s="3329">
        <f>+((AD137*AD22)+(AH137*AH22)+(AL137*AL22))/AN22</f>
        <v>67.867056641799039</v>
      </c>
      <c r="AO137" s="3109"/>
      <c r="AP137" s="3315">
        <f>+((AL137*AL22)+(AJ137*AJ22))/AP22</f>
        <v>70.747119411011852</v>
      </c>
      <c r="AQ137" s="3108"/>
      <c r="AR137" s="3347">
        <v>63.328853046594979</v>
      </c>
      <c r="AS137" s="3109"/>
      <c r="AT137" s="3315">
        <f>+((AP137*AP22)+(AR137*AR22))/AT22</f>
        <v>70.059382739376346</v>
      </c>
      <c r="AU137" s="3108"/>
      <c r="AV137" s="3347">
        <v>55.30257936507936</v>
      </c>
      <c r="AW137" s="3109"/>
      <c r="AX137" s="3315">
        <f>+((AT137*AT22)+(AV137*AV22))/AX22</f>
        <v>69.043586231008348</v>
      </c>
      <c r="AY137" s="3108"/>
      <c r="AZ137" s="3347">
        <v>64.63933691756273</v>
      </c>
      <c r="BA137" s="3240"/>
      <c r="BB137" s="3329">
        <f>+((AR137*AR22)+(AV137*AV22)+(AZ137*AZ22))/BB22</f>
        <v>61.54082854363589</v>
      </c>
      <c r="BC137" s="3241"/>
      <c r="BD137" s="3348">
        <f>+((BB137*BB22)+(AN137*AN22))/BD22</f>
        <v>64.865916245559973</v>
      </c>
      <c r="BE137" s="3109"/>
      <c r="BF137" s="3316">
        <f>+((AX137*AX22)+(AZ137*AZ22))/BF22</f>
        <v>68.684490415505437</v>
      </c>
      <c r="BH137" s="3564"/>
      <c r="BI137" s="2445"/>
      <c r="BJ137" s="2445">
        <f>BK133/AR5*1000</f>
        <v>2.2254184444434704</v>
      </c>
      <c r="BK137" s="2445"/>
      <c r="BL137" s="2445"/>
      <c r="BM137" s="3564"/>
      <c r="BN137" s="3564"/>
    </row>
    <row r="138" spans="2:66" ht="13.8" x14ac:dyDescent="0.25">
      <c r="B138" s="3349" t="s">
        <v>579</v>
      </c>
      <c r="C138" s="3311" t="s">
        <v>49</v>
      </c>
      <c r="D138" s="1292"/>
      <c r="E138" s="3108"/>
      <c r="F138" s="3347">
        <v>73.175925925925938</v>
      </c>
      <c r="G138" s="3108"/>
      <c r="H138" s="3347">
        <v>81.069999999999993</v>
      </c>
      <c r="I138" s="3109"/>
      <c r="J138" s="3316">
        <f>+((F138*F23)+(H138*H23))/J23</f>
        <v>77.280570344650215</v>
      </c>
      <c r="K138" s="3108"/>
      <c r="L138" s="3347">
        <v>82.63</v>
      </c>
      <c r="M138" s="3240"/>
      <c r="N138" s="3329">
        <f>+((F138*F23)+(H138*H23)+(L138*L23))/N23</f>
        <v>79.164002832979222</v>
      </c>
      <c r="O138" s="3108"/>
      <c r="P138" s="3347">
        <v>80.459999999999994</v>
      </c>
      <c r="Q138" s="3109"/>
      <c r="R138" s="3315">
        <f>+((N138*N23)+(P138*P23))/R23</f>
        <v>79.495461296373819</v>
      </c>
      <c r="S138" s="3108"/>
      <c r="T138" s="3347">
        <v>83.15</v>
      </c>
      <c r="U138" s="3109"/>
      <c r="V138" s="3315">
        <f>+((R138*R23)+(T138*T23))/V23</f>
        <v>80.260955339853425</v>
      </c>
      <c r="W138" s="3108"/>
      <c r="X138" s="3347">
        <v>84.14</v>
      </c>
      <c r="Y138" s="3240"/>
      <c r="Z138" s="3329">
        <f>+((P138*P23)+(T138*T23)+(X138*X23))/Z23</f>
        <v>82.590889008620692</v>
      </c>
      <c r="AA138" s="3241"/>
      <c r="AB138" s="3348">
        <f>+((Z138*Z23)+(N138*N23))/AB23</f>
        <v>80.914223180252364</v>
      </c>
      <c r="AC138" s="3108"/>
      <c r="AD138" s="3347">
        <v>59.88</v>
      </c>
      <c r="AE138" s="3109"/>
      <c r="AF138" s="3315">
        <f>+((AB138*AB23)+(AD138*AD23))/AF23</f>
        <v>78.707183999270214</v>
      </c>
      <c r="AG138" s="3108"/>
      <c r="AH138" s="3347">
        <v>81.145833333333314</v>
      </c>
      <c r="AI138" s="3109"/>
      <c r="AJ138" s="3315">
        <f>+((AF138*AF23)+(AH138*AH23))/AJ23</f>
        <v>79.016146025031276</v>
      </c>
      <c r="AK138" s="3108"/>
      <c r="AL138" s="3347">
        <v>84.536290322580641</v>
      </c>
      <c r="AM138" s="3240"/>
      <c r="AN138" s="3329">
        <f>+((AD138*AD23)+(AH138*AH23)+(AL138*AL23))/AN23</f>
        <v>76.937166405203115</v>
      </c>
      <c r="AO138" s="3109"/>
      <c r="AP138" s="3315">
        <f>+((AL138*AL23)+(AJ138*AJ23))/AP23</f>
        <v>79.674924374615685</v>
      </c>
      <c r="AQ138" s="3108"/>
      <c r="AR138" s="3347">
        <v>82.329749103942646</v>
      </c>
      <c r="AS138" s="3109"/>
      <c r="AT138" s="3315">
        <f>+((AP138*AP23)+(AR138*AR23))/AT23</f>
        <v>79.944653844222259</v>
      </c>
      <c r="AU138" s="3108"/>
      <c r="AV138" s="3347">
        <v>78.325892857142861</v>
      </c>
      <c r="AW138" s="3109"/>
      <c r="AX138" s="3315">
        <f>+((AT138*AT23)+(AV138*AV23))/AX23</f>
        <v>79.817244309020964</v>
      </c>
      <c r="AY138" s="3108"/>
      <c r="AZ138" s="3347">
        <v>84.534050179211448</v>
      </c>
      <c r="BA138" s="3240"/>
      <c r="BB138" s="3329">
        <f>+((AR138*AR23)+(AV138*AV23)+(AZ138*AZ23))/BB23</f>
        <v>81.99250045580898</v>
      </c>
      <c r="BC138" s="3241"/>
      <c r="BD138" s="3348">
        <f>+((BB138*BB23)+(AN138*AN23))/BD23</f>
        <v>79.53867203643847</v>
      </c>
      <c r="BE138" s="3109"/>
      <c r="BF138" s="3316">
        <f>+((AX138*AX23)+(AZ138*AZ23))/BF23</f>
        <v>80.250440918201221</v>
      </c>
      <c r="BH138" s="3564"/>
      <c r="BI138" s="2445"/>
      <c r="BJ138" s="2445"/>
      <c r="BK138" s="2445"/>
      <c r="BL138" s="2445"/>
      <c r="BM138" s="3564"/>
      <c r="BN138" s="3564"/>
    </row>
    <row r="139" spans="2:66" ht="14.4" thickBot="1" x14ac:dyDescent="0.3">
      <c r="B139" s="3350" t="s">
        <v>580</v>
      </c>
      <c r="C139" s="3296" t="s">
        <v>49</v>
      </c>
      <c r="D139" s="1131"/>
      <c r="E139" s="2189"/>
      <c r="F139" s="1677">
        <v>57.183481701285885</v>
      </c>
      <c r="G139" s="2189"/>
      <c r="H139" s="1677">
        <v>63.4</v>
      </c>
      <c r="I139" s="3254"/>
      <c r="J139" s="3351">
        <f>+((F139*F24)+(H139*H24))/J24</f>
        <v>60.389638776606944</v>
      </c>
      <c r="K139" s="2189"/>
      <c r="L139" s="1677">
        <v>63.2</v>
      </c>
      <c r="M139" s="3255"/>
      <c r="N139" s="3352">
        <f>+((F139*F24)+(H139*H24)+(L139*L24))/N24</f>
        <v>61.339448086685053</v>
      </c>
      <c r="O139" s="2189"/>
      <c r="P139" s="1677">
        <v>65.62</v>
      </c>
      <c r="Q139" s="3254"/>
      <c r="R139" s="609">
        <f>+((N139*N24)+(P139*P24))/R24</f>
        <v>62.467782948032308</v>
      </c>
      <c r="S139" s="2189"/>
      <c r="T139" s="1677">
        <v>63.56</v>
      </c>
      <c r="U139" s="3254"/>
      <c r="V139" s="609">
        <f>+((R139*R24)+(T139*T24))/V24</f>
        <v>62.676846739666061</v>
      </c>
      <c r="W139" s="2189"/>
      <c r="X139" s="1677">
        <v>57.24</v>
      </c>
      <c r="Y139" s="3255"/>
      <c r="Z139" s="3352">
        <f>+((P139*P24)+(T139*T24)+(X139*X24))/Z24</f>
        <v>62.373829787234037</v>
      </c>
      <c r="AA139" s="3256"/>
      <c r="AB139" s="3353">
        <f>+((Z139*Z24)+(N139*N24))/AB24</f>
        <v>61.851419371555281</v>
      </c>
      <c r="AC139" s="2189"/>
      <c r="AD139" s="1677">
        <v>48.54</v>
      </c>
      <c r="AE139" s="3254"/>
      <c r="AF139" s="609">
        <f>+((AB139*AB24)+(AD139*AD24))/AF24</f>
        <v>60.399548376768763</v>
      </c>
      <c r="AG139" s="2189"/>
      <c r="AH139" s="1677">
        <v>55.688824662813118</v>
      </c>
      <c r="AI139" s="3254"/>
      <c r="AJ139" s="609">
        <f>+((AF139*AF24)+(AH139*AH24))/AJ24</f>
        <v>59.867060189962402</v>
      </c>
      <c r="AK139" s="2189"/>
      <c r="AL139" s="1677">
        <v>63.028846153846146</v>
      </c>
      <c r="AM139" s="3255"/>
      <c r="AN139" s="3352">
        <f>+((AD139*AD24)+(AH139*AH24)+(AL139*AL24))/AN24</f>
        <v>56.744436893104108</v>
      </c>
      <c r="AO139" s="3254"/>
      <c r="AP139" s="609">
        <f>+((AL139*AL24)+(AJ139*AJ24))/AP24</f>
        <v>60.268146571696363</v>
      </c>
      <c r="AQ139" s="2189"/>
      <c r="AR139" s="1677">
        <v>64.779693486590062</v>
      </c>
      <c r="AS139" s="3254"/>
      <c r="AT139" s="609">
        <f>+((AP139*AP24)+(AR139*AR24))/AT24</f>
        <v>60.760912618226016</v>
      </c>
      <c r="AU139" s="2189"/>
      <c r="AV139" s="1677">
        <v>59.128035320088294</v>
      </c>
      <c r="AW139" s="3254"/>
      <c r="AX139" s="609">
        <f>+((AT139*AT24)+(AV139*AV24))/AX24</f>
        <v>60.632310853378904</v>
      </c>
      <c r="AY139" s="2189"/>
      <c r="AZ139" s="1677">
        <v>65.368521160247298</v>
      </c>
      <c r="BA139" s="3255"/>
      <c r="BB139" s="3352">
        <f>+((AR139*AR24)+(AV139*AV24)+(AZ139*AZ24))/BB24</f>
        <v>63.408566059308676</v>
      </c>
      <c r="BC139" s="3256"/>
      <c r="BD139" s="3353">
        <f>+((BB139*BB24)+(AN139*AN24))/BD24</f>
        <v>60.241945054114488</v>
      </c>
      <c r="BE139" s="3254"/>
      <c r="BF139" s="3351">
        <f>+((AX139*AX24)+(AZ139*AZ24))/BF24</f>
        <v>61.069187266439165</v>
      </c>
      <c r="BH139" s="3564"/>
      <c r="BI139" s="2445"/>
      <c r="BJ139" s="2445"/>
      <c r="BK139" s="2445"/>
      <c r="BL139" s="2445"/>
      <c r="BM139" s="3564"/>
      <c r="BN139" s="3564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Q140" s="2446"/>
      <c r="R140" s="2446"/>
      <c r="W140" s="4"/>
      <c r="AH140" s="2445"/>
      <c r="AJ140" s="2445"/>
      <c r="AL140" s="2445"/>
      <c r="AQ140" s="2446"/>
      <c r="AR140" s="2446"/>
      <c r="AU140" s="2446"/>
      <c r="AV140" s="2446"/>
      <c r="AY140" s="2446"/>
      <c r="AZ140" s="2446"/>
    </row>
    <row r="141" spans="2:66" ht="21" customHeight="1" x14ac:dyDescent="0.25">
      <c r="B141" s="3354" t="s">
        <v>1500</v>
      </c>
      <c r="C141" s="3355"/>
      <c r="D141" s="3355"/>
      <c r="E141" s="3355"/>
      <c r="F141" s="3355"/>
      <c r="G141" s="3355"/>
      <c r="H141" s="3355"/>
      <c r="I141" s="3355"/>
      <c r="J141" s="3355"/>
      <c r="K141" s="3355"/>
      <c r="L141" s="3355"/>
      <c r="M141" s="3355"/>
      <c r="N141" s="3355"/>
      <c r="O141" s="3355"/>
      <c r="P141" s="3355"/>
      <c r="Q141" s="3355"/>
      <c r="R141" s="3355"/>
      <c r="S141" s="3355"/>
      <c r="T141" s="3355"/>
      <c r="U141" s="3355"/>
      <c r="V141" s="3355"/>
      <c r="W141" s="3355"/>
      <c r="X141" s="3355"/>
      <c r="AC141" s="3355"/>
      <c r="AD141" s="3355"/>
      <c r="AG141" s="3355"/>
      <c r="AH141" s="3355"/>
      <c r="AJ141" s="3355"/>
      <c r="AK141" s="3355"/>
      <c r="AL141" s="3355"/>
      <c r="AQ141" s="3355"/>
      <c r="AR141" s="3355"/>
      <c r="AU141" s="3355"/>
      <c r="AV141" s="3355"/>
      <c r="AY141" s="3355"/>
      <c r="AZ141" s="3355"/>
    </row>
    <row r="142" spans="2:66" ht="21" customHeight="1" x14ac:dyDescent="0.25">
      <c r="B142" s="3356" t="s">
        <v>1502</v>
      </c>
      <c r="C142" s="3355"/>
      <c r="D142" s="3355"/>
      <c r="E142" s="3355"/>
      <c r="F142" s="3355">
        <v>835</v>
      </c>
      <c r="G142" s="3355"/>
      <c r="H142" s="3355">
        <v>835</v>
      </c>
      <c r="I142" s="3355"/>
      <c r="J142" s="3355"/>
      <c r="K142" s="3355"/>
      <c r="L142" s="3355">
        <v>835</v>
      </c>
      <c r="M142" s="3355"/>
      <c r="N142" s="3355">
        <f t="shared" ref="N142:N146" si="356">+L142+H142+F142</f>
        <v>2505</v>
      </c>
      <c r="O142" s="3355"/>
      <c r="P142" s="3355">
        <v>835</v>
      </c>
      <c r="Q142" s="3355"/>
      <c r="R142" s="3355">
        <f>+N142+P142</f>
        <v>3340</v>
      </c>
      <c r="S142" s="3355"/>
      <c r="T142" s="3355">
        <v>835</v>
      </c>
      <c r="U142" s="3355"/>
      <c r="V142" s="3355">
        <f>+R142+T142</f>
        <v>4175</v>
      </c>
      <c r="W142" s="3355"/>
      <c r="X142" s="3355"/>
      <c r="AC142" s="3355"/>
      <c r="AD142" s="3355"/>
      <c r="AG142" s="3355"/>
      <c r="AH142" s="3355"/>
      <c r="AJ142" s="3355"/>
      <c r="AK142" s="3355"/>
      <c r="AL142" s="3355"/>
      <c r="AQ142" s="3355"/>
      <c r="AR142" s="3355"/>
      <c r="AU142" s="3355"/>
      <c r="AV142" s="3355"/>
      <c r="AY142" s="3355"/>
      <c r="AZ142" s="3355"/>
    </row>
    <row r="143" spans="2:66" ht="21" customHeight="1" x14ac:dyDescent="0.25">
      <c r="B143" s="3356" t="s">
        <v>1503</v>
      </c>
      <c r="C143" s="3355"/>
      <c r="D143" s="3355"/>
      <c r="E143" s="3355"/>
      <c r="F143" s="3355">
        <v>865</v>
      </c>
      <c r="G143" s="3355"/>
      <c r="H143" s="3355">
        <v>865</v>
      </c>
      <c r="I143" s="3355"/>
      <c r="J143" s="3355"/>
      <c r="K143" s="3355"/>
      <c r="L143" s="3355">
        <v>865</v>
      </c>
      <c r="M143" s="3355"/>
      <c r="N143" s="3355">
        <f t="shared" si="356"/>
        <v>2595</v>
      </c>
      <c r="O143" s="3355"/>
      <c r="P143" s="3355">
        <v>865</v>
      </c>
      <c r="Q143" s="3355"/>
      <c r="R143" s="3355">
        <f t="shared" ref="R143:R146" si="357">+N143+P143</f>
        <v>3460</v>
      </c>
      <c r="S143" s="3355"/>
      <c r="T143" s="3355">
        <v>865</v>
      </c>
      <c r="U143" s="3355"/>
      <c r="V143" s="3355">
        <f t="shared" ref="V143:V146" si="358">+R143+T143</f>
        <v>4325</v>
      </c>
      <c r="W143" s="3355"/>
      <c r="X143" s="3355"/>
      <c r="AC143" s="3355"/>
      <c r="AD143" s="3355"/>
      <c r="AG143" s="3355"/>
      <c r="AH143" s="3355"/>
      <c r="AJ143" s="3355"/>
      <c r="AK143" s="3355"/>
      <c r="AL143" s="3355"/>
      <c r="AQ143" s="3355"/>
      <c r="AR143" s="3355"/>
      <c r="AU143" s="3355"/>
      <c r="AV143" s="3355"/>
      <c r="AY143" s="3355"/>
      <c r="AZ143" s="3355"/>
    </row>
    <row r="144" spans="2:66" ht="21" customHeight="1" x14ac:dyDescent="0.25">
      <c r="B144" s="3356" t="s">
        <v>1504</v>
      </c>
      <c r="C144" s="3355"/>
      <c r="D144" s="3355"/>
      <c r="E144" s="3355"/>
      <c r="F144" s="3355">
        <v>288</v>
      </c>
      <c r="G144" s="3355"/>
      <c r="H144" s="3355">
        <v>288</v>
      </c>
      <c r="I144" s="3355"/>
      <c r="J144" s="3355"/>
      <c r="K144" s="3355"/>
      <c r="L144" s="3355">
        <v>288</v>
      </c>
      <c r="M144" s="3355"/>
      <c r="N144" s="3355">
        <f t="shared" si="356"/>
        <v>864</v>
      </c>
      <c r="O144" s="3355"/>
      <c r="P144" s="3355">
        <v>288</v>
      </c>
      <c r="Q144" s="3355"/>
      <c r="R144" s="3355">
        <f t="shared" si="357"/>
        <v>1152</v>
      </c>
      <c r="S144" s="3355"/>
      <c r="T144" s="3355">
        <v>288</v>
      </c>
      <c r="U144" s="3355"/>
      <c r="V144" s="3355">
        <f t="shared" si="358"/>
        <v>1440</v>
      </c>
      <c r="W144" s="3355"/>
      <c r="X144" s="3355"/>
      <c r="AC144" s="3355"/>
      <c r="AD144" s="3355"/>
      <c r="AG144" s="3355"/>
      <c r="AH144" s="3355"/>
      <c r="AJ144" s="3355"/>
      <c r="AK144" s="3355"/>
      <c r="AL144" s="3355"/>
      <c r="AQ144" s="3355"/>
      <c r="AR144" s="3355"/>
      <c r="AU144" s="3355"/>
      <c r="AV144" s="3355"/>
      <c r="AY144" s="3355"/>
      <c r="AZ144" s="3355"/>
    </row>
    <row r="145" spans="2:58" ht="21" customHeight="1" x14ac:dyDescent="0.25">
      <c r="B145" s="3356" t="s">
        <v>1505</v>
      </c>
      <c r="C145" s="3355"/>
      <c r="D145" s="3355"/>
      <c r="E145" s="3355"/>
      <c r="F145" s="3355">
        <v>374</v>
      </c>
      <c r="G145" s="3355"/>
      <c r="H145" s="3355">
        <v>374</v>
      </c>
      <c r="I145" s="3355"/>
      <c r="J145" s="3355"/>
      <c r="K145" s="3355"/>
      <c r="L145" s="3355">
        <v>374</v>
      </c>
      <c r="M145" s="3355"/>
      <c r="N145" s="3355">
        <f t="shared" si="356"/>
        <v>1122</v>
      </c>
      <c r="O145" s="3355"/>
      <c r="P145" s="3355">
        <v>374</v>
      </c>
      <c r="Q145" s="3355"/>
      <c r="R145" s="3355">
        <f t="shared" si="357"/>
        <v>1496</v>
      </c>
      <c r="S145" s="3355"/>
      <c r="T145" s="3355">
        <v>374</v>
      </c>
      <c r="U145" s="3355"/>
      <c r="V145" s="3355">
        <f t="shared" si="358"/>
        <v>1870</v>
      </c>
      <c r="W145" s="3355"/>
      <c r="X145" s="3355"/>
      <c r="AC145" s="3355"/>
      <c r="AD145" s="3355"/>
      <c r="AG145" s="3355"/>
      <c r="AH145" s="3355"/>
      <c r="AJ145" s="3355"/>
      <c r="AK145" s="3355"/>
      <c r="AL145" s="3355"/>
      <c r="AQ145" s="3355"/>
      <c r="AR145" s="3355"/>
      <c r="AU145" s="3355"/>
      <c r="AV145" s="3355"/>
      <c r="AY145" s="3355"/>
      <c r="AZ145" s="3355"/>
    </row>
    <row r="146" spans="2:58" ht="21" customHeight="1" x14ac:dyDescent="0.25">
      <c r="B146" s="3356" t="s">
        <v>1506</v>
      </c>
      <c r="C146" s="3355"/>
      <c r="D146" s="3355"/>
      <c r="E146" s="3355"/>
      <c r="F146" s="3355">
        <v>913</v>
      </c>
      <c r="G146" s="3355"/>
      <c r="H146" s="3355">
        <v>913</v>
      </c>
      <c r="I146" s="3355"/>
      <c r="J146" s="3355"/>
      <c r="K146" s="3355"/>
      <c r="L146" s="3355">
        <v>913</v>
      </c>
      <c r="M146" s="3355"/>
      <c r="N146" s="3355">
        <f t="shared" si="356"/>
        <v>2739</v>
      </c>
      <c r="O146" s="3355"/>
      <c r="P146" s="3355">
        <v>913</v>
      </c>
      <c r="Q146" s="3355"/>
      <c r="R146" s="3355">
        <f t="shared" si="357"/>
        <v>3652</v>
      </c>
      <c r="S146" s="3355"/>
      <c r="T146" s="3355">
        <v>913</v>
      </c>
      <c r="U146" s="3355"/>
      <c r="V146" s="3355">
        <f t="shared" si="358"/>
        <v>4565</v>
      </c>
      <c r="W146" s="3355"/>
      <c r="X146" s="3355"/>
      <c r="AC146" s="3355"/>
      <c r="AD146" s="3355"/>
      <c r="AG146" s="3355"/>
      <c r="AH146" s="3355"/>
      <c r="AJ146" s="3355"/>
      <c r="AK146" s="3355"/>
      <c r="AL146" s="3355"/>
      <c r="AQ146" s="3355"/>
      <c r="AR146" s="3355"/>
      <c r="AU146" s="3355"/>
      <c r="AV146" s="3355"/>
      <c r="AY146" s="3355"/>
      <c r="AZ146" s="3355"/>
    </row>
    <row r="147" spans="2:58" ht="21" customHeight="1" x14ac:dyDescent="0.25">
      <c r="B147" s="3356" t="s">
        <v>21</v>
      </c>
      <c r="C147" s="3355"/>
      <c r="D147" s="3355"/>
      <c r="E147" s="3355"/>
      <c r="F147" s="3355">
        <f>SUM(F142:F146)</f>
        <v>3275</v>
      </c>
      <c r="G147" s="3355"/>
      <c r="H147" s="3355">
        <f>SUM(H142:H146)</f>
        <v>3275</v>
      </c>
      <c r="I147" s="3355"/>
      <c r="J147" s="3355"/>
      <c r="K147" s="3355"/>
      <c r="L147" s="3355">
        <f>SUM(L142:L146)</f>
        <v>3275</v>
      </c>
      <c r="M147" s="3355"/>
      <c r="N147" s="3355">
        <f>SUM(N142:N146)</f>
        <v>9825</v>
      </c>
      <c r="O147" s="3355"/>
      <c r="P147" s="3355">
        <f>SUM(P142:P146)</f>
        <v>3275</v>
      </c>
      <c r="Q147" s="3355"/>
      <c r="R147" s="3355">
        <f>SUM(R142:R146)</f>
        <v>13100</v>
      </c>
      <c r="S147" s="3355"/>
      <c r="T147" s="3355">
        <f>SUM(T142:T146)</f>
        <v>3275</v>
      </c>
      <c r="U147" s="3355"/>
      <c r="V147" s="3355">
        <f>SUM(V142:V146)</f>
        <v>16375</v>
      </c>
      <c r="W147" s="3355"/>
      <c r="X147" s="3355"/>
      <c r="AC147" s="3355"/>
      <c r="AD147" s="3355"/>
      <c r="AG147" s="3355"/>
      <c r="AH147" s="3355"/>
      <c r="AJ147" s="3355"/>
      <c r="AK147" s="3355"/>
      <c r="AL147" s="3355"/>
      <c r="AQ147" s="3355"/>
      <c r="AR147" s="3355"/>
      <c r="AU147" s="3355"/>
      <c r="AV147" s="3355"/>
      <c r="AY147" s="3355"/>
      <c r="AZ147" s="3355"/>
    </row>
    <row r="148" spans="2:58" ht="21" customHeight="1" x14ac:dyDescent="0.25">
      <c r="B148" s="3356" t="s">
        <v>1511</v>
      </c>
      <c r="C148" s="3355"/>
      <c r="D148" s="3355"/>
      <c r="E148" s="3355"/>
      <c r="F148" s="3357">
        <f>+F147-F27</f>
        <v>276</v>
      </c>
      <c r="G148" s="3355"/>
      <c r="H148" s="3357">
        <f>+H147-H27</f>
        <v>11</v>
      </c>
      <c r="I148" s="3355"/>
      <c r="J148" s="3355"/>
      <c r="K148" s="3355"/>
      <c r="L148" s="3357">
        <f>+L147-L27</f>
        <v>-125</v>
      </c>
      <c r="M148" s="3355"/>
      <c r="N148" s="3357">
        <f>+N147-N27</f>
        <v>162</v>
      </c>
      <c r="O148" s="3355"/>
      <c r="P148" s="3357">
        <f>+P147-P27</f>
        <v>-121</v>
      </c>
      <c r="Q148" s="3355"/>
      <c r="R148" s="3357">
        <f>+R147-R27</f>
        <v>41</v>
      </c>
      <c r="S148" s="3355"/>
      <c r="T148" s="3357">
        <f>+T147-T27</f>
        <v>123</v>
      </c>
      <c r="U148" s="3355"/>
      <c r="V148" s="3357">
        <f>+V147-V27</f>
        <v>164</v>
      </c>
      <c r="W148" s="3355"/>
      <c r="X148" s="3357"/>
      <c r="AC148" s="3355"/>
      <c r="AD148" s="3357"/>
      <c r="AG148" s="3355"/>
      <c r="AH148" s="3357"/>
      <c r="AJ148" s="3357"/>
      <c r="AK148" s="3355"/>
      <c r="AL148" s="3357"/>
      <c r="AQ148" s="3355"/>
      <c r="AR148" s="3357"/>
      <c r="AU148" s="3355"/>
      <c r="AV148" s="3357"/>
      <c r="AY148" s="3355"/>
      <c r="AZ148" s="3357"/>
    </row>
    <row r="149" spans="2:58" ht="21" customHeight="1" x14ac:dyDescent="0.25">
      <c r="B149" s="3356"/>
      <c r="C149" s="3355"/>
      <c r="D149" s="3355"/>
      <c r="E149" s="3355"/>
      <c r="F149" s="3357"/>
      <c r="G149" s="3355"/>
      <c r="H149" s="3357"/>
      <c r="I149" s="3355"/>
      <c r="J149" s="3355"/>
      <c r="K149" s="3355"/>
      <c r="L149" s="3357"/>
      <c r="M149" s="3355"/>
      <c r="N149" s="3357"/>
      <c r="O149" s="3355"/>
      <c r="P149" s="3357"/>
      <c r="Q149" s="3355"/>
      <c r="R149" s="3357"/>
      <c r="S149" s="3355"/>
      <c r="T149" s="3357"/>
      <c r="U149" s="3355"/>
      <c r="V149" s="3357"/>
      <c r="W149" s="3355"/>
      <c r="X149" s="3357"/>
      <c r="AC149" s="3355"/>
      <c r="AD149" s="3357"/>
      <c r="AG149" s="3355"/>
      <c r="AH149" s="3357"/>
      <c r="AJ149" s="3357"/>
      <c r="AK149" s="3355"/>
      <c r="AL149" s="3357"/>
      <c r="AQ149" s="3355"/>
      <c r="AR149" s="3357"/>
      <c r="AU149" s="3355"/>
      <c r="AV149" s="3357"/>
      <c r="AY149" s="3355"/>
      <c r="AZ149" s="3357"/>
    </row>
    <row r="150" spans="2:58" ht="21" customHeight="1" x14ac:dyDescent="0.25">
      <c r="B150" s="3356" t="s">
        <v>1501</v>
      </c>
      <c r="C150" s="3355"/>
      <c r="D150" s="3355"/>
      <c r="E150" s="3355"/>
      <c r="F150" s="3355"/>
      <c r="G150" s="3355"/>
      <c r="H150" s="3355"/>
      <c r="I150" s="3355"/>
      <c r="J150" s="3355"/>
      <c r="K150" s="3355"/>
      <c r="L150" s="3355"/>
      <c r="M150" s="3355"/>
      <c r="N150" s="3355"/>
      <c r="O150" s="3355"/>
      <c r="P150" s="3355"/>
      <c r="Q150" s="3355"/>
      <c r="R150" s="3355"/>
      <c r="S150" s="3355"/>
      <c r="T150" s="3355"/>
      <c r="U150" s="3355"/>
      <c r="V150" s="3355"/>
      <c r="W150" s="3355"/>
      <c r="X150" s="3355"/>
      <c r="AC150" s="3355"/>
      <c r="AD150" s="3355"/>
      <c r="AG150" s="3355"/>
      <c r="AH150" s="3355"/>
      <c r="AJ150" s="3355"/>
      <c r="AK150" s="3355"/>
      <c r="AL150" s="3355"/>
      <c r="AQ150" s="3355"/>
      <c r="AR150" s="3355"/>
      <c r="AU150" s="3355"/>
      <c r="AV150" s="3355"/>
      <c r="AY150" s="3355"/>
      <c r="AZ150" s="3355"/>
    </row>
    <row r="151" spans="2:58" ht="13.8" x14ac:dyDescent="0.25">
      <c r="B151" s="3358"/>
      <c r="C151" s="63" t="s">
        <v>198</v>
      </c>
      <c r="D151" s="3355"/>
      <c r="E151" s="3355"/>
      <c r="F151" s="3355">
        <v>2449</v>
      </c>
      <c r="G151" s="3355"/>
      <c r="H151" s="3355">
        <v>2449</v>
      </c>
      <c r="I151" s="3355"/>
      <c r="J151" s="3355"/>
      <c r="K151" s="3355"/>
      <c r="L151" s="3355">
        <v>2449</v>
      </c>
      <c r="M151" s="3355"/>
      <c r="N151" s="3355">
        <f t="shared" ref="N151:N153" si="359">+L151+H151+F151</f>
        <v>7347</v>
      </c>
      <c r="O151" s="3355"/>
      <c r="P151" s="3355">
        <v>2449</v>
      </c>
      <c r="Q151" s="3355"/>
      <c r="R151" s="3355">
        <f t="shared" ref="R151:R153" si="360">+N151+P151</f>
        <v>9796</v>
      </c>
      <c r="S151" s="3355"/>
      <c r="T151" s="3355">
        <v>2449</v>
      </c>
      <c r="U151" s="3355"/>
      <c r="V151" s="3355">
        <f t="shared" ref="V151:V153" si="361">+R151+T151</f>
        <v>12245</v>
      </c>
      <c r="W151" s="3355"/>
      <c r="X151" s="3355"/>
      <c r="AC151" s="3355"/>
      <c r="AD151" s="3355"/>
      <c r="AG151" s="3355"/>
      <c r="AH151" s="3355"/>
      <c r="AJ151" s="3355"/>
      <c r="AK151" s="3355"/>
      <c r="AL151" s="3355"/>
      <c r="AQ151" s="3355"/>
      <c r="AR151" s="3355"/>
      <c r="AU151" s="3355"/>
      <c r="AV151" s="3355"/>
      <c r="AY151" s="3355"/>
      <c r="AZ151" s="3355"/>
    </row>
    <row r="152" spans="2:58" ht="13.8" x14ac:dyDescent="0.25">
      <c r="B152" s="6294" t="s">
        <v>1509</v>
      </c>
      <c r="C152" s="63" t="s">
        <v>1507</v>
      </c>
      <c r="D152" s="3355"/>
      <c r="E152" s="3355"/>
      <c r="F152" s="3355">
        <v>4866</v>
      </c>
      <c r="G152" s="3355"/>
      <c r="H152" s="3355">
        <v>4866</v>
      </c>
      <c r="I152" s="3355"/>
      <c r="J152" s="3355"/>
      <c r="K152" s="3355"/>
      <c r="L152" s="3355">
        <v>4866</v>
      </c>
      <c r="M152" s="3355"/>
      <c r="N152" s="3355">
        <f t="shared" si="359"/>
        <v>14598</v>
      </c>
      <c r="O152" s="3355"/>
      <c r="P152" s="3355">
        <v>4866</v>
      </c>
      <c r="Q152" s="3355"/>
      <c r="R152" s="3355">
        <f t="shared" si="360"/>
        <v>19464</v>
      </c>
      <c r="S152" s="3355"/>
      <c r="T152" s="3355">
        <v>4866</v>
      </c>
      <c r="U152" s="3355"/>
      <c r="V152" s="3355">
        <f t="shared" si="361"/>
        <v>24330</v>
      </c>
      <c r="W152" s="3355"/>
      <c r="X152" s="3355"/>
      <c r="AC152" s="3355"/>
      <c r="AD152" s="3355"/>
      <c r="AG152" s="3355"/>
      <c r="AH152" s="3355"/>
      <c r="AJ152" s="3355"/>
      <c r="AK152" s="3355"/>
      <c r="AL152" s="3355"/>
      <c r="AQ152" s="3355"/>
      <c r="AR152" s="3355"/>
      <c r="AU152" s="3355"/>
      <c r="AV152" s="3355"/>
      <c r="AY152" s="3355"/>
      <c r="AZ152" s="3355"/>
    </row>
    <row r="153" spans="2:58" ht="13.8" x14ac:dyDescent="0.25">
      <c r="B153" s="6294"/>
      <c r="C153" s="63" t="s">
        <v>1508</v>
      </c>
      <c r="D153" s="3355"/>
      <c r="E153" s="3355"/>
      <c r="F153" s="3355">
        <v>1022</v>
      </c>
      <c r="G153" s="3355"/>
      <c r="H153" s="3355">
        <v>1022</v>
      </c>
      <c r="I153" s="3355"/>
      <c r="J153" s="3355"/>
      <c r="K153" s="3355"/>
      <c r="L153" s="3355">
        <v>1022</v>
      </c>
      <c r="M153" s="3355"/>
      <c r="N153" s="3355">
        <f t="shared" si="359"/>
        <v>3066</v>
      </c>
      <c r="O153" s="3355"/>
      <c r="P153" s="3355">
        <v>1022</v>
      </c>
      <c r="Q153" s="3355"/>
      <c r="R153" s="3355">
        <f t="shared" si="360"/>
        <v>4088</v>
      </c>
      <c r="S153" s="3355"/>
      <c r="T153" s="3355">
        <v>1022</v>
      </c>
      <c r="U153" s="3355"/>
      <c r="V153" s="3355">
        <f t="shared" si="361"/>
        <v>5110</v>
      </c>
      <c r="W153" s="3355"/>
      <c r="X153" s="3355"/>
      <c r="AC153" s="3355"/>
      <c r="AD153" s="3355"/>
      <c r="AG153" s="3355"/>
      <c r="AH153" s="3355"/>
      <c r="AJ153" s="3355"/>
      <c r="AK153" s="3355"/>
      <c r="AL153" s="3355"/>
      <c r="AQ153" s="3355"/>
      <c r="AR153" s="3355"/>
      <c r="AU153" s="3355"/>
      <c r="AV153" s="3355"/>
      <c r="AY153" s="3355"/>
      <c r="AZ153" s="3355"/>
    </row>
    <row r="154" spans="2:58" ht="13.8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W154" s="4"/>
    </row>
    <row r="155" spans="2:58" ht="2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W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W156" s="4"/>
    </row>
    <row r="157" spans="2:58" ht="239.25" customHeight="1" thickBot="1" x14ac:dyDescent="0.3">
      <c r="B157" s="3359" t="s">
        <v>278</v>
      </c>
      <c r="C157" s="751" t="s">
        <v>175</v>
      </c>
      <c r="D157" s="1309"/>
      <c r="E157" s="3360"/>
      <c r="F157" s="3361" t="s">
        <v>1988</v>
      </c>
      <c r="G157" s="3360"/>
      <c r="H157" s="3361" t="s">
        <v>2019</v>
      </c>
      <c r="I157" s="3362"/>
      <c r="J157" s="3363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3360"/>
      <c r="L157" s="3361" t="s">
        <v>2059</v>
      </c>
      <c r="M157" s="3364"/>
      <c r="N157" s="3365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3360"/>
      <c r="P157" s="3361" t="s">
        <v>2078</v>
      </c>
      <c r="Q157" s="3366"/>
      <c r="R157" s="3363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v>
      </c>
      <c r="S157" s="3360"/>
      <c r="T157" s="3361" t="s">
        <v>2094</v>
      </c>
      <c r="U157" s="3366"/>
      <c r="V157" s="3363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v>
      </c>
      <c r="W157" s="3360"/>
      <c r="X157" s="3361" t="s">
        <v>2112</v>
      </c>
      <c r="Y157" s="3367"/>
      <c r="Z157" s="3368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A157" s="3369"/>
      <c r="AB157" s="3370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C157" s="3360"/>
      <c r="AD157" s="3361" t="s">
        <v>2142</v>
      </c>
      <c r="AE157" s="3366"/>
      <c r="AF157" s="3363" t="str">
        <f>AD157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v>
      </c>
      <c r="AG157" s="3360"/>
      <c r="AH157" s="3361" t="s">
        <v>2239</v>
      </c>
      <c r="AI157" s="3366"/>
      <c r="AJ157" s="3363" t="str">
        <f>AH157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v>
      </c>
      <c r="AK157" s="3360"/>
      <c r="AL157" s="3361" t="s">
        <v>2271</v>
      </c>
      <c r="AM157" s="3367"/>
      <c r="AN157" s="3368" t="str">
        <f>AL157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v>
      </c>
      <c r="AO157" s="3366"/>
      <c r="AP157" s="3363" t="str">
        <f>AL157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v>
      </c>
      <c r="AQ157" s="3360"/>
      <c r="AR157" s="3361" t="s">
        <v>2276</v>
      </c>
      <c r="AS157" s="3366"/>
      <c r="AT157" s="3363" t="str">
        <f>AR157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1858 Heats till 31.01.2026.</v>
      </c>
      <c r="AU157" s="3360"/>
      <c r="AV157" s="3361" t="s">
        <v>2312</v>
      </c>
      <c r="AW157" s="3366"/>
      <c r="AX157" s="3363" t="s">
        <v>2312</v>
      </c>
      <c r="AY157" s="3360"/>
      <c r="AZ157" s="3361" t="s">
        <v>2390</v>
      </c>
      <c r="BA157" s="3367"/>
      <c r="BB157" s="3368" t="s">
        <v>2390</v>
      </c>
      <c r="BC157" s="3369"/>
      <c r="BD157" s="3370" t="s">
        <v>2390</v>
      </c>
      <c r="BE157" s="3366"/>
      <c r="BF157" s="3363" t="s">
        <v>2390</v>
      </c>
    </row>
    <row r="158" spans="2:58" ht="409.6" thickBot="1" x14ac:dyDescent="0.3">
      <c r="B158" s="3371" t="s">
        <v>279</v>
      </c>
      <c r="C158" s="2907" t="s">
        <v>175</v>
      </c>
      <c r="D158" s="1384"/>
      <c r="E158" s="3372"/>
      <c r="F158" s="3373" t="s">
        <v>1989</v>
      </c>
      <c r="G158" s="3372"/>
      <c r="H158" s="3373" t="s">
        <v>2017</v>
      </c>
      <c r="I158" s="3374"/>
      <c r="J158" s="3375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3372"/>
      <c r="L158" s="3373" t="s">
        <v>2060</v>
      </c>
      <c r="M158" s="3376"/>
      <c r="N158" s="3377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3372"/>
      <c r="P158" s="3373" t="s">
        <v>2079</v>
      </c>
      <c r="Q158" s="3378"/>
      <c r="R158" s="3375" t="str">
        <f>P158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v>
      </c>
      <c r="S158" s="3372"/>
      <c r="T158" s="3373" t="s">
        <v>2095</v>
      </c>
      <c r="U158" s="3378"/>
      <c r="V158" s="3375" t="str">
        <f>T158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v>
      </c>
      <c r="W158" s="3372"/>
      <c r="X158" s="3373" t="s">
        <v>2113</v>
      </c>
      <c r="Y158" s="3376"/>
      <c r="Z158" s="3379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A158" s="3380"/>
      <c r="AB158" s="3381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C158" s="3372"/>
      <c r="AD158" s="3373" t="s">
        <v>2143</v>
      </c>
      <c r="AE158" s="3378"/>
      <c r="AF158" s="3375" t="str">
        <f>AD158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v>
      </c>
      <c r="AG158" s="3372"/>
      <c r="AH158" s="3373" t="s">
        <v>2240</v>
      </c>
      <c r="AI158" s="3378"/>
      <c r="AJ158" s="3375" t="str">
        <f>AH158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v>
      </c>
      <c r="AK158" s="3372"/>
      <c r="AL158" s="3373" t="s">
        <v>2273</v>
      </c>
      <c r="AM158" s="3376"/>
      <c r="AN158" s="3379" t="str">
        <f>AL158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v>
      </c>
      <c r="AO158" s="3378"/>
      <c r="AP158" s="3375" t="str">
        <f>AL158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v>
      </c>
      <c r="AQ158" s="3372"/>
      <c r="AR158" s="3373" t="s">
        <v>2277</v>
      </c>
      <c r="AS158" s="3378"/>
      <c r="AT158" s="3375" t="str">
        <f>AR158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4415 Heats till 31.01.2026.</v>
      </c>
      <c r="AU158" s="3372"/>
      <c r="AV158" s="3373" t="s">
        <v>2313</v>
      </c>
      <c r="AW158" s="3378"/>
      <c r="AX158" s="3375" t="s">
        <v>2313</v>
      </c>
      <c r="AY158" s="3372"/>
      <c r="AZ158" s="3373" t="s">
        <v>2391</v>
      </c>
      <c r="BA158" s="3376"/>
      <c r="BB158" s="3379" t="s">
        <v>2391</v>
      </c>
      <c r="BC158" s="3380"/>
      <c r="BD158" s="3381" t="s">
        <v>2391</v>
      </c>
      <c r="BE158" s="3378"/>
      <c r="BF158" s="3375" t="s">
        <v>2391</v>
      </c>
    </row>
    <row r="159" spans="2:58" ht="405.75" customHeight="1" thickBot="1" x14ac:dyDescent="0.3">
      <c r="B159" s="3382" t="s">
        <v>280</v>
      </c>
      <c r="C159" s="2910" t="s">
        <v>175</v>
      </c>
      <c r="D159" s="2963"/>
      <c r="E159" s="3383"/>
      <c r="F159" s="3384" t="s">
        <v>1990</v>
      </c>
      <c r="G159" s="3383"/>
      <c r="H159" s="3384" t="s">
        <v>2018</v>
      </c>
      <c r="I159" s="3385"/>
      <c r="J159" s="3386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3383"/>
      <c r="L159" s="3384" t="s">
        <v>2061</v>
      </c>
      <c r="M159" s="3387"/>
      <c r="N159" s="3388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3383"/>
      <c r="P159" s="3384" t="s">
        <v>2080</v>
      </c>
      <c r="Q159" s="3389"/>
      <c r="R159" s="3390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v>
      </c>
      <c r="S159" s="3383"/>
      <c r="T159" s="3384" t="s">
        <v>2096</v>
      </c>
      <c r="U159" s="3389"/>
      <c r="V159" s="3390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v>
      </c>
      <c r="W159" s="3383"/>
      <c r="X159" s="3384" t="s">
        <v>2114</v>
      </c>
      <c r="Y159" s="3392"/>
      <c r="Z159" s="3393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A159" s="3394"/>
      <c r="AB159" s="3395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C159" s="3383"/>
      <c r="AD159" s="3384" t="s">
        <v>2147</v>
      </c>
      <c r="AE159" s="3389"/>
      <c r="AF159" s="3390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v>
      </c>
      <c r="AG159" s="3383"/>
      <c r="AH159" s="3384" t="s">
        <v>2241</v>
      </c>
      <c r="AI159" s="3389"/>
      <c r="AJ159" s="3390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v>
      </c>
      <c r="AK159" s="3383"/>
      <c r="AL159" s="3384" t="s">
        <v>2272</v>
      </c>
      <c r="AM159" s="3392"/>
      <c r="AN159" s="3393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v>
      </c>
      <c r="AO159" s="3389"/>
      <c r="AP159" s="3390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v>
      </c>
      <c r="AQ159" s="3383"/>
      <c r="AR159" s="3384" t="s">
        <v>2278</v>
      </c>
      <c r="AS159" s="3389"/>
      <c r="AT159" s="3390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15834 Heats till 31.01.26.</v>
      </c>
      <c r="AU159" s="3372"/>
      <c r="AV159" s="3391" t="s">
        <v>2314</v>
      </c>
      <c r="AW159" s="3389"/>
      <c r="AX159" s="3390" t="s">
        <v>2314</v>
      </c>
      <c r="AY159" s="3372"/>
      <c r="AZ159" s="3391" t="s">
        <v>2392</v>
      </c>
      <c r="BA159" s="3392"/>
      <c r="BB159" s="3393" t="s">
        <v>2392</v>
      </c>
      <c r="BC159" s="3394"/>
      <c r="BD159" s="3395" t="s">
        <v>2392</v>
      </c>
      <c r="BE159" s="3389"/>
      <c r="BF159" s="3390" t="s">
        <v>2392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</row>
    <row r="161" spans="4:17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</row>
    <row r="162" spans="4:17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</row>
    <row r="163" spans="4:17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</row>
    <row r="164" spans="4:17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</row>
    <row r="165" spans="4:17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</row>
    <row r="166" spans="4:17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</row>
    <row r="167" spans="4:17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</row>
    <row r="168" spans="4:17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</row>
    <row r="169" spans="4:17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</row>
    <row r="170" spans="4:17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</row>
    <row r="171" spans="4:17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</row>
    <row r="172" spans="4:17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</row>
    <row r="173" spans="4:17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</row>
    <row r="174" spans="4:17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</row>
    <row r="175" spans="4:17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17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2:38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2:38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2:38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2:38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2:38" ht="21" customHeight="1" x14ac:dyDescent="0.25">
      <c r="E181" s="4"/>
      <c r="F181" s="4"/>
      <c r="L181" s="44"/>
      <c r="P181" s="44"/>
      <c r="S181" s="109"/>
      <c r="U181" s="109"/>
    </row>
    <row r="182" spans="2:38" ht="21" customHeight="1" x14ac:dyDescent="0.25">
      <c r="B182" s="4">
        <v>1</v>
      </c>
      <c r="C182" s="4">
        <v>100</v>
      </c>
      <c r="D182" s="3235">
        <v>200</v>
      </c>
      <c r="E182" s="4">
        <f>C182/D182</f>
        <v>0.5</v>
      </c>
      <c r="F182" s="4"/>
      <c r="L182" s="44"/>
      <c r="P182" s="44"/>
      <c r="S182" s="109"/>
      <c r="U182" s="109"/>
      <c r="AL182" s="4">
        <f>AL127/AL5*1000</f>
        <v>2.7329166044417894</v>
      </c>
    </row>
    <row r="183" spans="2:38" ht="21" customHeight="1" x14ac:dyDescent="0.25">
      <c r="B183" s="4">
        <v>2</v>
      </c>
      <c r="C183" s="4">
        <v>120</v>
      </c>
      <c r="D183" s="3235">
        <v>200</v>
      </c>
      <c r="E183" s="4">
        <f t="shared" ref="E183:E185" si="362">C183/D183</f>
        <v>0.6</v>
      </c>
      <c r="F183" s="4"/>
      <c r="L183" s="44"/>
      <c r="P183" s="44"/>
      <c r="S183" s="109"/>
      <c r="U183" s="109"/>
    </row>
    <row r="184" spans="2:38" ht="21" customHeight="1" x14ac:dyDescent="0.25">
      <c r="B184" s="4">
        <v>3</v>
      </c>
      <c r="C184" s="4">
        <v>130</v>
      </c>
      <c r="D184" s="3235">
        <v>200</v>
      </c>
      <c r="E184" s="4">
        <f t="shared" si="362"/>
        <v>0.65</v>
      </c>
      <c r="F184" s="4"/>
      <c r="L184" s="44"/>
      <c r="P184" s="44"/>
      <c r="S184" s="109"/>
      <c r="U184" s="109"/>
    </row>
    <row r="185" spans="2:38" ht="21" customHeight="1" x14ac:dyDescent="0.25">
      <c r="C185" s="4">
        <f>SUM(C182:C184)</f>
        <v>350</v>
      </c>
      <c r="D185" s="3235">
        <f>SUM(D182:D184)</f>
        <v>600</v>
      </c>
      <c r="E185" s="4">
        <f t="shared" si="362"/>
        <v>0.58333333333333337</v>
      </c>
      <c r="F185" s="4"/>
      <c r="L185" s="44"/>
      <c r="P185" s="44"/>
      <c r="S185" s="109"/>
      <c r="U185" s="109"/>
    </row>
    <row r="186" spans="2:38" ht="21" customHeight="1" x14ac:dyDescent="0.25">
      <c r="E186" s="4"/>
      <c r="F186" s="4"/>
      <c r="L186" s="44"/>
      <c r="P186" s="44"/>
      <c r="S186" s="109"/>
      <c r="U186" s="109"/>
    </row>
    <row r="187" spans="2:38" ht="21" customHeight="1" x14ac:dyDescent="0.25">
      <c r="E187" s="4"/>
      <c r="F187" s="4"/>
      <c r="L187" s="44"/>
      <c r="P187" s="44"/>
      <c r="S187" s="109"/>
      <c r="U187" s="109"/>
    </row>
    <row r="188" spans="2:38" ht="21" customHeight="1" x14ac:dyDescent="0.25">
      <c r="E188" s="4"/>
      <c r="F188" s="4"/>
      <c r="L188" s="44"/>
      <c r="P188" s="44"/>
      <c r="S188" s="109"/>
      <c r="U188" s="109"/>
    </row>
    <row r="189" spans="2:38" ht="21" customHeight="1" x14ac:dyDescent="0.25">
      <c r="E189" s="4"/>
      <c r="F189" s="4"/>
      <c r="L189" s="44"/>
      <c r="P189" s="44"/>
      <c r="S189" s="109"/>
      <c r="U189" s="109"/>
    </row>
    <row r="190" spans="2:38" ht="21" customHeight="1" x14ac:dyDescent="0.25">
      <c r="E190" s="4"/>
      <c r="F190" s="4"/>
      <c r="L190" s="44"/>
      <c r="P190" s="44"/>
      <c r="S190" s="109"/>
      <c r="U190" s="109"/>
    </row>
    <row r="191" spans="2:38" ht="21" customHeight="1" x14ac:dyDescent="0.25">
      <c r="E191" s="4"/>
      <c r="F191" s="4"/>
      <c r="L191" s="44"/>
      <c r="P191" s="44"/>
      <c r="S191" s="109"/>
      <c r="U191" s="109"/>
    </row>
    <row r="192" spans="2:38" ht="21" customHeight="1" x14ac:dyDescent="0.25">
      <c r="E192" s="4"/>
      <c r="F192" s="4"/>
      <c r="L192" s="44"/>
      <c r="P192" s="44"/>
      <c r="S192" s="109"/>
      <c r="U192" s="109"/>
    </row>
    <row r="193" spans="5:21" ht="21" customHeight="1" x14ac:dyDescent="0.25">
      <c r="E193" s="4"/>
      <c r="F193" s="4"/>
      <c r="L193" s="44"/>
      <c r="P193" s="44"/>
      <c r="S193" s="109"/>
      <c r="U193" s="109"/>
    </row>
    <row r="194" spans="5:21" ht="21" customHeight="1" x14ac:dyDescent="0.25">
      <c r="E194" s="4"/>
      <c r="F194" s="4"/>
      <c r="L194" s="44"/>
      <c r="P194" s="44"/>
      <c r="S194" s="109"/>
      <c r="U194" s="109"/>
    </row>
    <row r="195" spans="5:21" ht="21" customHeight="1" x14ac:dyDescent="0.25">
      <c r="E195" s="4"/>
      <c r="F195" s="4"/>
      <c r="L195" s="44"/>
      <c r="P195" s="44"/>
      <c r="S195" s="109"/>
      <c r="U195" s="109"/>
    </row>
    <row r="196" spans="5:21" ht="21" customHeight="1" x14ac:dyDescent="0.25">
      <c r="E196" s="4"/>
      <c r="F196" s="4"/>
      <c r="L196" s="44"/>
      <c r="P196" s="44"/>
      <c r="S196" s="109"/>
      <c r="U196" s="109"/>
    </row>
    <row r="197" spans="5:21" ht="21" customHeight="1" x14ac:dyDescent="0.25">
      <c r="E197" s="4"/>
      <c r="F197" s="4"/>
      <c r="L197" s="44"/>
      <c r="P197" s="44"/>
      <c r="S197" s="109"/>
      <c r="U197" s="109"/>
    </row>
    <row r="198" spans="5:21" ht="21" customHeight="1" x14ac:dyDescent="0.25">
      <c r="E198" s="4"/>
      <c r="F198" s="4"/>
      <c r="L198" s="44"/>
      <c r="P198" s="44"/>
      <c r="S198" s="109"/>
      <c r="U198" s="109"/>
    </row>
    <row r="199" spans="5:21" ht="21" customHeight="1" x14ac:dyDescent="0.25">
      <c r="E199" s="4"/>
      <c r="F199" s="4"/>
      <c r="L199" s="44"/>
      <c r="P199" s="44"/>
      <c r="S199" s="109"/>
      <c r="U199" s="109"/>
    </row>
    <row r="200" spans="5:21" ht="21" customHeight="1" x14ac:dyDescent="0.25">
      <c r="E200" s="4"/>
      <c r="F200" s="4"/>
      <c r="L200" s="44"/>
      <c r="P200" s="44"/>
      <c r="S200" s="109"/>
      <c r="U200" s="109"/>
    </row>
    <row r="201" spans="5:21" ht="21" customHeight="1" x14ac:dyDescent="0.25">
      <c r="E201" s="4"/>
      <c r="F201" s="4"/>
      <c r="L201" s="44"/>
      <c r="P201" s="44"/>
      <c r="S201" s="109"/>
      <c r="U201" s="109"/>
    </row>
    <row r="202" spans="5:21" ht="21" customHeight="1" x14ac:dyDescent="0.25">
      <c r="E202" s="4"/>
      <c r="F202" s="4"/>
      <c r="L202" s="44"/>
      <c r="P202" s="44"/>
      <c r="S202" s="109"/>
      <c r="U202" s="109"/>
    </row>
    <row r="203" spans="5:21" ht="21" customHeight="1" x14ac:dyDescent="0.25">
      <c r="E203" s="4"/>
      <c r="F203" s="4"/>
      <c r="L203" s="44"/>
      <c r="P203" s="44"/>
      <c r="S203" s="109"/>
      <c r="U203" s="109"/>
    </row>
    <row r="204" spans="5:21" ht="21" customHeight="1" x14ac:dyDescent="0.25">
      <c r="E204" s="4"/>
      <c r="F204" s="4"/>
      <c r="S204" s="109"/>
      <c r="U204" s="109"/>
    </row>
    <row r="205" spans="5:21" ht="21" customHeight="1" x14ac:dyDescent="0.25">
      <c r="E205" s="4"/>
      <c r="F205" s="4"/>
      <c r="S205" s="109"/>
      <c r="U205" s="109"/>
    </row>
    <row r="206" spans="5:21" ht="21" customHeight="1" x14ac:dyDescent="0.25">
      <c r="E206" s="4"/>
      <c r="F206" s="4"/>
      <c r="S206" s="109"/>
      <c r="U206" s="109"/>
    </row>
    <row r="207" spans="5:21" ht="21" customHeight="1" x14ac:dyDescent="0.25">
      <c r="E207" s="4"/>
      <c r="F207" s="4"/>
      <c r="S207" s="109"/>
      <c r="U207" s="109"/>
    </row>
    <row r="208" spans="5:21" ht="21" customHeight="1" x14ac:dyDescent="0.25">
      <c r="E208" s="4"/>
      <c r="F208" s="4"/>
      <c r="S208" s="109"/>
      <c r="U208" s="109"/>
    </row>
    <row r="209" spans="5:21" ht="21" customHeight="1" x14ac:dyDescent="0.25">
      <c r="E209" s="4"/>
      <c r="F209" s="4"/>
      <c r="S209" s="109"/>
      <c r="U209" s="109"/>
    </row>
    <row r="210" spans="5:21" ht="21" customHeight="1" x14ac:dyDescent="0.25">
      <c r="E210" s="4"/>
      <c r="F210" s="4"/>
      <c r="S210" s="109"/>
      <c r="U210" s="109"/>
    </row>
    <row r="211" spans="5:21" ht="21" customHeight="1" x14ac:dyDescent="0.25">
      <c r="E211" s="4"/>
      <c r="F211" s="4"/>
      <c r="S211" s="109"/>
      <c r="U211" s="109"/>
    </row>
    <row r="212" spans="5:21" ht="21" customHeight="1" x14ac:dyDescent="0.25">
      <c r="E212" s="4"/>
      <c r="F212" s="4"/>
      <c r="S212" s="109"/>
      <c r="U212" s="109"/>
    </row>
    <row r="213" spans="5:21" ht="21" customHeight="1" x14ac:dyDescent="0.25">
      <c r="E213" s="4"/>
      <c r="F213" s="4"/>
      <c r="S213" s="109"/>
      <c r="U213" s="109"/>
    </row>
    <row r="214" spans="5:21" ht="21" customHeight="1" x14ac:dyDescent="0.25">
      <c r="E214" s="4"/>
      <c r="F214" s="4"/>
      <c r="S214" s="109"/>
      <c r="U214" s="109"/>
    </row>
    <row r="215" spans="5:21" ht="21" customHeight="1" x14ac:dyDescent="0.25">
      <c r="E215" s="4"/>
      <c r="F215" s="4"/>
      <c r="S215" s="109"/>
      <c r="U215" s="109"/>
    </row>
    <row r="216" spans="5:21" ht="21" customHeight="1" x14ac:dyDescent="0.25">
      <c r="E216" s="4"/>
      <c r="F216" s="4"/>
      <c r="S216" s="109"/>
      <c r="U216" s="109"/>
    </row>
    <row r="217" spans="5:21" ht="21" customHeight="1" x14ac:dyDescent="0.25">
      <c r="E217" s="4"/>
      <c r="F217" s="4"/>
      <c r="S217" s="109"/>
      <c r="U217" s="109"/>
    </row>
    <row r="218" spans="5:21" ht="21" customHeight="1" x14ac:dyDescent="0.25">
      <c r="E218" s="4"/>
      <c r="F218" s="4"/>
      <c r="S218" s="109"/>
      <c r="U218" s="109"/>
    </row>
    <row r="219" spans="5:21" ht="21" customHeight="1" x14ac:dyDescent="0.25">
      <c r="E219" s="4"/>
      <c r="F219" s="4"/>
      <c r="S219" s="109"/>
      <c r="U219" s="109"/>
    </row>
    <row r="220" spans="5:21" ht="21" customHeight="1" x14ac:dyDescent="0.25">
      <c r="E220" s="4"/>
      <c r="F220" s="4"/>
      <c r="S220" s="109"/>
      <c r="U220" s="109"/>
    </row>
    <row r="221" spans="5:21" ht="21" customHeight="1" x14ac:dyDescent="0.25">
      <c r="E221" s="4"/>
      <c r="F221" s="4"/>
      <c r="S221" s="109"/>
      <c r="U221" s="109"/>
    </row>
    <row r="222" spans="5:21" ht="21" customHeight="1" x14ac:dyDescent="0.25">
      <c r="E222" s="4"/>
      <c r="F222" s="4"/>
      <c r="S222" s="109"/>
      <c r="U222" s="109"/>
    </row>
    <row r="223" spans="5:21" ht="21" customHeight="1" x14ac:dyDescent="0.25">
      <c r="E223" s="4"/>
      <c r="F223" s="4"/>
      <c r="S223" s="109"/>
      <c r="U223" s="109"/>
    </row>
    <row r="224" spans="5:21" ht="21" customHeight="1" x14ac:dyDescent="0.25">
      <c r="E224" s="4"/>
      <c r="F224" s="4"/>
      <c r="S224" s="109"/>
      <c r="U224" s="109"/>
    </row>
    <row r="225" spans="5:21" ht="21" customHeight="1" x14ac:dyDescent="0.25">
      <c r="E225" s="4"/>
      <c r="F225" s="4"/>
      <c r="S225" s="109"/>
      <c r="U225" s="109"/>
    </row>
    <row r="226" spans="5:21" ht="21" customHeight="1" x14ac:dyDescent="0.25">
      <c r="E226" s="4"/>
      <c r="F226" s="4"/>
      <c r="S226" s="109"/>
      <c r="U226" s="109"/>
    </row>
    <row r="227" spans="5:21" ht="21" customHeight="1" x14ac:dyDescent="0.25">
      <c r="E227" s="4"/>
      <c r="F227" s="4"/>
      <c r="S227" s="109"/>
      <c r="U227" s="109"/>
    </row>
    <row r="228" spans="5:21" ht="21" customHeight="1" x14ac:dyDescent="0.25">
      <c r="E228" s="4"/>
      <c r="F228" s="4"/>
      <c r="S228" s="109"/>
      <c r="U228" s="109"/>
    </row>
    <row r="229" spans="5:21" ht="21" customHeight="1" x14ac:dyDescent="0.25">
      <c r="E229" s="4"/>
      <c r="F229" s="4"/>
      <c r="S229" s="109"/>
      <c r="U229" s="109"/>
    </row>
    <row r="230" spans="5:21" ht="21" customHeight="1" x14ac:dyDescent="0.25">
      <c r="E230" s="4"/>
      <c r="F230" s="4"/>
      <c r="S230" s="109"/>
      <c r="U230" s="109"/>
    </row>
    <row r="231" spans="5:21" ht="21" customHeight="1" x14ac:dyDescent="0.25">
      <c r="E231" s="4"/>
      <c r="F231" s="4"/>
      <c r="S231" s="109"/>
      <c r="U231" s="109"/>
    </row>
    <row r="232" spans="5:21" ht="21" customHeight="1" x14ac:dyDescent="0.25">
      <c r="E232" s="4"/>
      <c r="F232" s="4"/>
      <c r="S232" s="109"/>
      <c r="U232" s="109"/>
    </row>
    <row r="233" spans="5:21" ht="21" customHeight="1" x14ac:dyDescent="0.25">
      <c r="E233" s="4"/>
      <c r="F233" s="4"/>
      <c r="S233" s="109"/>
      <c r="U233" s="109"/>
    </row>
    <row r="234" spans="5:21" ht="21" customHeight="1" x14ac:dyDescent="0.25">
      <c r="E234" s="4"/>
      <c r="F234" s="4"/>
      <c r="S234" s="109"/>
      <c r="U234" s="109"/>
    </row>
    <row r="235" spans="5:21" ht="21" customHeight="1" x14ac:dyDescent="0.25">
      <c r="E235" s="4"/>
      <c r="F235" s="4"/>
      <c r="S235" s="109"/>
      <c r="U235" s="109"/>
    </row>
    <row r="236" spans="5:21" ht="21" customHeight="1" x14ac:dyDescent="0.25">
      <c r="E236" s="4"/>
      <c r="F236" s="4"/>
      <c r="S236" s="109"/>
      <c r="U236" s="109"/>
    </row>
    <row r="237" spans="5:21" ht="21" customHeight="1" x14ac:dyDescent="0.25">
      <c r="E237" s="4"/>
      <c r="F237" s="4"/>
      <c r="S237" s="109"/>
      <c r="U237" s="109"/>
    </row>
    <row r="238" spans="5:21" ht="21" customHeight="1" x14ac:dyDescent="0.25">
      <c r="E238" s="4"/>
      <c r="F238" s="4"/>
      <c r="S238" s="109"/>
      <c r="U238" s="109"/>
    </row>
    <row r="239" spans="5:21" ht="21" customHeight="1" x14ac:dyDescent="0.25">
      <c r="E239" s="4"/>
      <c r="F239" s="4"/>
      <c r="S239" s="109"/>
      <c r="U239" s="109"/>
    </row>
    <row r="240" spans="5:21" ht="21" customHeight="1" x14ac:dyDescent="0.25">
      <c r="E240" s="4"/>
      <c r="F240" s="4"/>
      <c r="S240" s="109"/>
      <c r="U240" s="109"/>
    </row>
    <row r="241" spans="5:21" ht="21" customHeight="1" x14ac:dyDescent="0.25">
      <c r="E241" s="4"/>
      <c r="F241" s="4"/>
      <c r="S241" s="109"/>
      <c r="U241" s="109"/>
    </row>
    <row r="242" spans="5:21" ht="21" customHeight="1" x14ac:dyDescent="0.25">
      <c r="E242" s="4"/>
      <c r="F242" s="4"/>
      <c r="S242" s="109"/>
      <c r="U242" s="109"/>
    </row>
    <row r="243" spans="5:21" ht="21" customHeight="1" x14ac:dyDescent="0.25">
      <c r="E243" s="4"/>
      <c r="F243" s="4"/>
      <c r="S243" s="109"/>
      <c r="U243" s="109"/>
    </row>
    <row r="244" spans="5:21" ht="21" customHeight="1" x14ac:dyDescent="0.25">
      <c r="E244" s="4"/>
      <c r="F244" s="4"/>
      <c r="S244" s="109"/>
      <c r="U244" s="109"/>
    </row>
    <row r="245" spans="5:21" ht="21" customHeight="1" x14ac:dyDescent="0.25">
      <c r="E245" s="4"/>
      <c r="F245" s="4"/>
      <c r="S245" s="109"/>
      <c r="U245" s="109"/>
    </row>
    <row r="246" spans="5:21" ht="21" customHeight="1" x14ac:dyDescent="0.25">
      <c r="E246" s="4"/>
      <c r="F246" s="4"/>
      <c r="S246" s="109"/>
      <c r="U246" s="109"/>
    </row>
    <row r="247" spans="5:21" ht="21" customHeight="1" x14ac:dyDescent="0.25">
      <c r="E247" s="4"/>
      <c r="F247" s="4"/>
      <c r="S247" s="109"/>
      <c r="U247" s="109"/>
    </row>
    <row r="248" spans="5:21" ht="21" customHeight="1" x14ac:dyDescent="0.25">
      <c r="E248" s="4"/>
      <c r="F248" s="4"/>
      <c r="S248" s="109"/>
      <c r="U248" s="109"/>
    </row>
    <row r="249" spans="5:21" ht="21" customHeight="1" x14ac:dyDescent="0.25">
      <c r="E249" s="4"/>
      <c r="F249" s="4"/>
      <c r="S249" s="109"/>
      <c r="U249" s="109"/>
    </row>
    <row r="250" spans="5:21" ht="21" customHeight="1" x14ac:dyDescent="0.25">
      <c r="E250" s="4"/>
      <c r="F250" s="4"/>
      <c r="S250" s="109"/>
      <c r="U250" s="109"/>
    </row>
    <row r="251" spans="5:21" ht="21" customHeight="1" x14ac:dyDescent="0.25">
      <c r="E251" s="4"/>
      <c r="F251" s="4"/>
      <c r="S251" s="109"/>
      <c r="U251" s="109"/>
    </row>
    <row r="252" spans="5:21" ht="21" customHeight="1" x14ac:dyDescent="0.25">
      <c r="E252" s="4"/>
      <c r="F252" s="4"/>
      <c r="S252" s="109"/>
      <c r="U252" s="109"/>
    </row>
    <row r="253" spans="5:21" ht="21" customHeight="1" x14ac:dyDescent="0.25">
      <c r="E253" s="4"/>
      <c r="F253" s="4"/>
      <c r="S253" s="109"/>
      <c r="U253" s="109"/>
    </row>
    <row r="254" spans="5:21" ht="21" customHeight="1" x14ac:dyDescent="0.25">
      <c r="E254" s="4"/>
      <c r="F254" s="4"/>
      <c r="S254" s="109"/>
      <c r="U254" s="109"/>
    </row>
    <row r="255" spans="5:21" ht="21" customHeight="1" x14ac:dyDescent="0.25">
      <c r="E255" s="4"/>
      <c r="F255" s="4"/>
      <c r="S255" s="109"/>
      <c r="U255" s="109"/>
    </row>
    <row r="256" spans="5:21" ht="21" customHeight="1" x14ac:dyDescent="0.25">
      <c r="E256" s="4"/>
      <c r="F256" s="4"/>
      <c r="S256" s="109"/>
      <c r="U256" s="109"/>
    </row>
    <row r="257" spans="5:21" ht="21" customHeight="1" x14ac:dyDescent="0.25">
      <c r="E257" s="4"/>
      <c r="F257" s="4"/>
      <c r="S257" s="109"/>
      <c r="U257" s="109"/>
    </row>
    <row r="258" spans="5:21" ht="21" customHeight="1" x14ac:dyDescent="0.25">
      <c r="E258" s="4"/>
      <c r="F258" s="4"/>
      <c r="S258" s="109"/>
      <c r="U258" s="109"/>
    </row>
    <row r="259" spans="5:21" ht="21" customHeight="1" x14ac:dyDescent="0.25">
      <c r="E259" s="4"/>
      <c r="F259" s="4"/>
      <c r="S259" s="109"/>
      <c r="U259" s="109"/>
    </row>
    <row r="260" spans="5:21" ht="21" customHeight="1" x14ac:dyDescent="0.25">
      <c r="E260" s="4"/>
      <c r="F260" s="4"/>
      <c r="S260" s="109"/>
      <c r="U260" s="109"/>
    </row>
    <row r="261" spans="5:21" ht="21" customHeight="1" x14ac:dyDescent="0.25">
      <c r="E261" s="4"/>
      <c r="F261" s="4"/>
      <c r="S261" s="109"/>
      <c r="U261" s="109"/>
    </row>
    <row r="262" spans="5:21" ht="21" customHeight="1" x14ac:dyDescent="0.25">
      <c r="E262" s="4"/>
      <c r="F262" s="4"/>
      <c r="S262" s="109"/>
      <c r="U262" s="109"/>
    </row>
    <row r="263" spans="5:21" ht="21" customHeight="1" x14ac:dyDescent="0.25">
      <c r="E263" s="4"/>
      <c r="F263" s="4"/>
      <c r="S263" s="109"/>
      <c r="U263" s="109"/>
    </row>
    <row r="264" spans="5:21" ht="21" customHeight="1" x14ac:dyDescent="0.25">
      <c r="E264" s="4"/>
      <c r="F264" s="4"/>
      <c r="S264" s="109"/>
      <c r="U264" s="109"/>
    </row>
    <row r="265" spans="5:21" ht="21" customHeight="1" x14ac:dyDescent="0.25">
      <c r="E265" s="4"/>
      <c r="F265" s="4"/>
      <c r="S265" s="109"/>
      <c r="U265" s="109"/>
    </row>
    <row r="266" spans="5:21" ht="21" customHeight="1" x14ac:dyDescent="0.25">
      <c r="E266" s="4"/>
      <c r="F266" s="4"/>
      <c r="S266" s="109"/>
      <c r="U266" s="109"/>
    </row>
    <row r="267" spans="5:21" ht="21" customHeight="1" x14ac:dyDescent="0.25">
      <c r="E267" s="4"/>
      <c r="F267" s="4"/>
      <c r="S267" s="109"/>
      <c r="U267" s="109"/>
    </row>
    <row r="268" spans="5:21" ht="21" customHeight="1" x14ac:dyDescent="0.25">
      <c r="E268" s="4"/>
      <c r="F268" s="4"/>
      <c r="S268" s="109"/>
      <c r="U268" s="109"/>
    </row>
    <row r="269" spans="5:21" ht="21" customHeight="1" x14ac:dyDescent="0.25">
      <c r="E269" s="4"/>
      <c r="F269" s="4"/>
      <c r="S269" s="109"/>
      <c r="U269" s="109"/>
    </row>
    <row r="270" spans="5:21" ht="21" customHeight="1" x14ac:dyDescent="0.25">
      <c r="E270" s="4"/>
      <c r="F270" s="4"/>
      <c r="S270" s="109"/>
      <c r="U270" s="109"/>
    </row>
    <row r="271" spans="5:21" ht="21" customHeight="1" x14ac:dyDescent="0.25">
      <c r="E271" s="4"/>
      <c r="F271" s="4"/>
      <c r="S271" s="109"/>
      <c r="U271" s="109"/>
    </row>
    <row r="272" spans="5:21" ht="21" customHeight="1" x14ac:dyDescent="0.25">
      <c r="E272" s="4"/>
      <c r="F272" s="4"/>
      <c r="S272" s="109"/>
      <c r="U272" s="109"/>
    </row>
    <row r="273" spans="5:21" ht="21" customHeight="1" x14ac:dyDescent="0.25">
      <c r="E273" s="4"/>
      <c r="F273" s="4"/>
      <c r="S273" s="109"/>
      <c r="U273" s="109"/>
    </row>
    <row r="274" spans="5:21" ht="21" customHeight="1" x14ac:dyDescent="0.25">
      <c r="E274" s="4"/>
      <c r="F274" s="4"/>
      <c r="S274" s="109"/>
      <c r="U274" s="109"/>
    </row>
    <row r="275" spans="5:21" ht="21" customHeight="1" x14ac:dyDescent="0.25">
      <c r="E275" s="4"/>
      <c r="F275" s="4"/>
      <c r="S275" s="109"/>
      <c r="U275" s="109"/>
    </row>
    <row r="276" spans="5:21" ht="21" customHeight="1" x14ac:dyDescent="0.25">
      <c r="E276" s="4"/>
      <c r="F276" s="4"/>
      <c r="S276" s="109"/>
      <c r="U276" s="109"/>
    </row>
    <row r="277" spans="5:21" ht="21" customHeight="1" x14ac:dyDescent="0.25">
      <c r="E277" s="4"/>
      <c r="F277" s="4"/>
      <c r="S277" s="109"/>
      <c r="U277" s="109"/>
    </row>
    <row r="278" spans="5:21" ht="21" customHeight="1" x14ac:dyDescent="0.25">
      <c r="E278" s="4"/>
      <c r="F278" s="4"/>
      <c r="S278" s="109"/>
      <c r="U278" s="109"/>
    </row>
    <row r="279" spans="5:21" ht="21" customHeight="1" x14ac:dyDescent="0.25">
      <c r="E279" s="4"/>
      <c r="F279" s="4"/>
      <c r="S279" s="109"/>
      <c r="U279" s="109"/>
    </row>
    <row r="280" spans="5:21" ht="21" customHeight="1" x14ac:dyDescent="0.25">
      <c r="E280" s="4"/>
      <c r="F280" s="4"/>
      <c r="S280" s="109"/>
      <c r="U280" s="109"/>
    </row>
    <row r="281" spans="5:21" ht="21" customHeight="1" x14ac:dyDescent="0.25">
      <c r="E281" s="4"/>
      <c r="F281" s="4"/>
      <c r="S281" s="109"/>
      <c r="U281" s="109"/>
    </row>
    <row r="282" spans="5:21" ht="21" customHeight="1" x14ac:dyDescent="0.25">
      <c r="E282" s="4"/>
      <c r="F282" s="4"/>
      <c r="S282" s="109"/>
      <c r="U282" s="109"/>
    </row>
    <row r="283" spans="5:21" ht="21" customHeight="1" x14ac:dyDescent="0.25">
      <c r="E283" s="4"/>
      <c r="F283" s="4"/>
      <c r="S283" s="109"/>
      <c r="U283" s="109"/>
    </row>
    <row r="284" spans="5:21" ht="21" customHeight="1" x14ac:dyDescent="0.25">
      <c r="E284" s="4"/>
      <c r="F284" s="4"/>
      <c r="S284" s="109"/>
      <c r="U284" s="109"/>
    </row>
    <row r="285" spans="5:21" ht="21" customHeight="1" x14ac:dyDescent="0.25">
      <c r="E285" s="4"/>
      <c r="F285" s="4"/>
      <c r="S285" s="109"/>
      <c r="U285" s="109"/>
    </row>
    <row r="286" spans="5:21" ht="21" customHeight="1" x14ac:dyDescent="0.25">
      <c r="E286" s="4"/>
      <c r="F286" s="4"/>
      <c r="S286" s="109"/>
      <c r="U286" s="109"/>
    </row>
    <row r="287" spans="5:21" ht="21" customHeight="1" x14ac:dyDescent="0.25">
      <c r="E287" s="4"/>
      <c r="F287" s="4"/>
      <c r="S287" s="109"/>
      <c r="U287" s="109"/>
    </row>
    <row r="288" spans="5:21" ht="21" customHeight="1" x14ac:dyDescent="0.25">
      <c r="E288" s="4"/>
      <c r="F288" s="4"/>
      <c r="S288" s="109"/>
      <c r="U288" s="109"/>
    </row>
    <row r="289" spans="5:21" ht="21" customHeight="1" x14ac:dyDescent="0.25">
      <c r="E289" s="4"/>
      <c r="F289" s="4"/>
      <c r="S289" s="109"/>
      <c r="U289" s="109"/>
    </row>
    <row r="290" spans="5:21" ht="21" customHeight="1" x14ac:dyDescent="0.25">
      <c r="E290" s="4"/>
      <c r="F290" s="4"/>
      <c r="S290" s="109"/>
      <c r="U290" s="109"/>
    </row>
    <row r="291" spans="5:21" ht="21" customHeight="1" x14ac:dyDescent="0.25">
      <c r="S291" s="109"/>
      <c r="U291" s="109"/>
    </row>
    <row r="292" spans="5:21" ht="21" customHeight="1" x14ac:dyDescent="0.25">
      <c r="S292" s="109"/>
      <c r="U292" s="109"/>
    </row>
    <row r="293" spans="5:21" ht="21" customHeight="1" x14ac:dyDescent="0.25">
      <c r="S293" s="109"/>
      <c r="U293" s="109"/>
    </row>
    <row r="294" spans="5:21" ht="21" customHeight="1" x14ac:dyDescent="0.25">
      <c r="S294" s="109"/>
      <c r="U294" s="109"/>
    </row>
    <row r="295" spans="5:21" ht="21" customHeight="1" x14ac:dyDescent="0.25">
      <c r="S295" s="109"/>
      <c r="U295" s="109"/>
    </row>
    <row r="296" spans="5:21" ht="21" customHeight="1" x14ac:dyDescent="0.25">
      <c r="S296" s="109"/>
      <c r="U296" s="109"/>
    </row>
    <row r="297" spans="5:21" ht="21" customHeight="1" x14ac:dyDescent="0.25">
      <c r="S297" s="109"/>
      <c r="U297" s="109"/>
    </row>
    <row r="298" spans="5:21" ht="21" customHeight="1" x14ac:dyDescent="0.25">
      <c r="S298" s="109"/>
      <c r="U298" s="109"/>
    </row>
    <row r="299" spans="5:21" ht="21" customHeight="1" x14ac:dyDescent="0.25">
      <c r="S299" s="109"/>
      <c r="U299" s="109"/>
    </row>
    <row r="300" spans="5:21" ht="21" customHeight="1" x14ac:dyDescent="0.25">
      <c r="S300" s="109"/>
      <c r="U300" s="109"/>
    </row>
    <row r="301" spans="5:21" ht="21" customHeight="1" x14ac:dyDescent="0.25">
      <c r="S301" s="109"/>
      <c r="U301" s="109"/>
    </row>
    <row r="302" spans="5:21" ht="21" customHeight="1" x14ac:dyDescent="0.25">
      <c r="S302" s="109"/>
      <c r="U302" s="109"/>
    </row>
    <row r="303" spans="5:21" ht="21" customHeight="1" x14ac:dyDescent="0.25">
      <c r="S303" s="109"/>
      <c r="U303" s="109"/>
    </row>
    <row r="304" spans="5:21" ht="21" customHeight="1" x14ac:dyDescent="0.25">
      <c r="S304" s="109"/>
      <c r="U304" s="109"/>
    </row>
    <row r="305" spans="19:21" ht="21" customHeight="1" x14ac:dyDescent="0.25">
      <c r="S305" s="109"/>
      <c r="U305" s="109"/>
    </row>
    <row r="306" spans="19:21" ht="21" customHeight="1" x14ac:dyDescent="0.25">
      <c r="S306" s="109"/>
      <c r="U306" s="109"/>
    </row>
    <row r="307" spans="19:21" ht="21" customHeight="1" x14ac:dyDescent="0.25">
      <c r="S307" s="109"/>
      <c r="U307" s="109"/>
    </row>
    <row r="308" spans="19:21" ht="21" customHeight="1" x14ac:dyDescent="0.25">
      <c r="S308" s="109"/>
      <c r="U308" s="109"/>
    </row>
    <row r="309" spans="19:21" ht="21" customHeight="1" x14ac:dyDescent="0.25">
      <c r="S309" s="109"/>
      <c r="U309" s="109"/>
    </row>
    <row r="310" spans="19:21" ht="21" customHeight="1" x14ac:dyDescent="0.25">
      <c r="S310" s="109"/>
      <c r="U310" s="109"/>
    </row>
    <row r="311" spans="19:21" ht="21" customHeight="1" x14ac:dyDescent="0.25">
      <c r="S311" s="109"/>
      <c r="U311" s="109"/>
    </row>
    <row r="312" spans="19:21" ht="21" customHeight="1" x14ac:dyDescent="0.25">
      <c r="S312" s="109"/>
      <c r="U312" s="109"/>
    </row>
    <row r="313" spans="19:21" ht="21" customHeight="1" x14ac:dyDescent="0.25">
      <c r="S313" s="109"/>
      <c r="U313" s="109"/>
    </row>
    <row r="314" spans="19:21" ht="21" customHeight="1" x14ac:dyDescent="0.25">
      <c r="S314" s="109"/>
      <c r="U314" s="109"/>
    </row>
    <row r="315" spans="19:21" ht="21" customHeight="1" x14ac:dyDescent="0.25">
      <c r="S315" s="109"/>
      <c r="U315" s="109"/>
    </row>
    <row r="316" spans="19:21" ht="21" customHeight="1" x14ac:dyDescent="0.25">
      <c r="S316" s="109"/>
      <c r="U316" s="109"/>
    </row>
    <row r="317" spans="19:21" ht="21" customHeight="1" x14ac:dyDescent="0.25">
      <c r="S317" s="109"/>
      <c r="U317" s="109"/>
    </row>
    <row r="318" spans="19:21" ht="21" customHeight="1" x14ac:dyDescent="0.25">
      <c r="S318" s="109"/>
      <c r="U318" s="109"/>
    </row>
    <row r="319" spans="19:21" ht="21" customHeight="1" x14ac:dyDescent="0.25">
      <c r="S319" s="109"/>
      <c r="U319" s="109"/>
    </row>
    <row r="320" spans="19:21" ht="21" customHeight="1" x14ac:dyDescent="0.25">
      <c r="S320" s="109"/>
      <c r="U320" s="109"/>
    </row>
    <row r="321" spans="19:21" ht="21" customHeight="1" x14ac:dyDescent="0.25">
      <c r="S321" s="109"/>
      <c r="U321" s="109"/>
    </row>
    <row r="322" spans="19:21" ht="21" customHeight="1" x14ac:dyDescent="0.25">
      <c r="S322" s="109"/>
      <c r="U322" s="109"/>
    </row>
    <row r="323" spans="19:21" ht="21" customHeight="1" x14ac:dyDescent="0.25">
      <c r="S323" s="109"/>
      <c r="U323" s="109"/>
    </row>
    <row r="324" spans="19:21" ht="21" customHeight="1" x14ac:dyDescent="0.25">
      <c r="S324" s="109"/>
      <c r="U324" s="109"/>
    </row>
    <row r="325" spans="19:21" ht="21" customHeight="1" x14ac:dyDescent="0.25">
      <c r="S325" s="109"/>
      <c r="U325" s="109"/>
    </row>
    <row r="326" spans="19:21" ht="21" customHeight="1" x14ac:dyDescent="0.25">
      <c r="S326" s="109"/>
      <c r="U326" s="109"/>
    </row>
    <row r="327" spans="19:21" ht="21" customHeight="1" x14ac:dyDescent="0.25">
      <c r="S327" s="109"/>
      <c r="U327" s="109"/>
    </row>
    <row r="328" spans="19:21" ht="21" customHeight="1" x14ac:dyDescent="0.25">
      <c r="S328" s="109"/>
      <c r="U328" s="109"/>
    </row>
    <row r="329" spans="19:21" ht="21" customHeight="1" x14ac:dyDescent="0.25">
      <c r="S329" s="109"/>
      <c r="U329" s="109"/>
    </row>
    <row r="330" spans="19:21" ht="21" customHeight="1" x14ac:dyDescent="0.25">
      <c r="S330" s="109"/>
      <c r="U330" s="109"/>
    </row>
    <row r="331" spans="19:21" ht="21" customHeight="1" x14ac:dyDescent="0.25">
      <c r="S331" s="109"/>
      <c r="U331" s="109"/>
    </row>
    <row r="332" spans="19:21" ht="21" customHeight="1" x14ac:dyDescent="0.25">
      <c r="S332" s="109"/>
      <c r="U332" s="109"/>
    </row>
    <row r="333" spans="19:21" ht="21" customHeight="1" x14ac:dyDescent="0.25">
      <c r="S333" s="109"/>
      <c r="U333" s="109"/>
    </row>
    <row r="334" spans="19:21" ht="21" customHeight="1" x14ac:dyDescent="0.25">
      <c r="S334" s="109"/>
      <c r="U334" s="109"/>
    </row>
    <row r="335" spans="19:21" ht="21" customHeight="1" x14ac:dyDescent="0.25">
      <c r="S335" s="109"/>
      <c r="U335" s="109"/>
    </row>
    <row r="336" spans="19:21" ht="21" customHeight="1" x14ac:dyDescent="0.25">
      <c r="S336" s="109"/>
      <c r="U336" s="109"/>
    </row>
    <row r="337" spans="19:21" ht="21" customHeight="1" x14ac:dyDescent="0.25">
      <c r="S337" s="109"/>
      <c r="U337" s="109"/>
    </row>
    <row r="338" spans="19:21" ht="21" customHeight="1" x14ac:dyDescent="0.25">
      <c r="S338" s="109"/>
      <c r="U338" s="109"/>
    </row>
    <row r="339" spans="19:21" ht="21" customHeight="1" x14ac:dyDescent="0.25">
      <c r="S339" s="109"/>
      <c r="U339" s="109"/>
    </row>
    <row r="340" spans="19:21" ht="21" customHeight="1" x14ac:dyDescent="0.25">
      <c r="S340" s="109"/>
      <c r="U340" s="109"/>
    </row>
    <row r="341" spans="19:21" ht="21" customHeight="1" x14ac:dyDescent="0.25">
      <c r="S341" s="109"/>
      <c r="U341" s="109"/>
    </row>
    <row r="342" spans="19:21" ht="21" customHeight="1" x14ac:dyDescent="0.25">
      <c r="S342" s="109"/>
      <c r="U342" s="109"/>
    </row>
    <row r="343" spans="19:21" ht="21" customHeight="1" x14ac:dyDescent="0.25">
      <c r="S343" s="109"/>
      <c r="U343" s="109"/>
    </row>
    <row r="344" spans="19:21" ht="21" customHeight="1" x14ac:dyDescent="0.25">
      <c r="S344" s="109"/>
      <c r="U344" s="109"/>
    </row>
    <row r="345" spans="19:21" ht="21" customHeight="1" x14ac:dyDescent="0.25">
      <c r="S345" s="109"/>
      <c r="U345" s="109"/>
    </row>
    <row r="346" spans="19:21" ht="21" customHeight="1" x14ac:dyDescent="0.25">
      <c r="S346" s="109"/>
      <c r="U346" s="109"/>
    </row>
    <row r="347" spans="19:21" ht="21" customHeight="1" x14ac:dyDescent="0.25">
      <c r="S347" s="109"/>
      <c r="U347" s="109"/>
    </row>
    <row r="348" spans="19:21" ht="21" customHeight="1" x14ac:dyDescent="0.25">
      <c r="S348" s="109"/>
      <c r="U348" s="109"/>
    </row>
    <row r="349" spans="19:21" ht="21" customHeight="1" x14ac:dyDescent="0.25">
      <c r="S349" s="109"/>
      <c r="U349" s="109"/>
    </row>
    <row r="350" spans="19:21" ht="21" customHeight="1" x14ac:dyDescent="0.25">
      <c r="S350" s="109"/>
      <c r="U350" s="109"/>
    </row>
    <row r="351" spans="19:21" ht="21" customHeight="1" x14ac:dyDescent="0.25">
      <c r="S351" s="109"/>
      <c r="U351" s="109"/>
    </row>
    <row r="352" spans="19:21" ht="21" customHeight="1" x14ac:dyDescent="0.25">
      <c r="S352" s="109"/>
      <c r="U352" s="109"/>
    </row>
    <row r="353" spans="19:21" ht="21" customHeight="1" x14ac:dyDescent="0.25">
      <c r="S353" s="109"/>
      <c r="U353" s="109"/>
    </row>
    <row r="354" spans="19:21" ht="21" customHeight="1" x14ac:dyDescent="0.25">
      <c r="S354" s="109"/>
      <c r="U354" s="109"/>
    </row>
    <row r="355" spans="19:21" ht="21" customHeight="1" x14ac:dyDescent="0.25">
      <c r="S355" s="109"/>
      <c r="U355" s="109"/>
    </row>
    <row r="356" spans="19:21" ht="21" customHeight="1" x14ac:dyDescent="0.25">
      <c r="S356" s="109"/>
      <c r="U356" s="109"/>
    </row>
    <row r="357" spans="19:21" ht="21" customHeight="1" x14ac:dyDescent="0.25">
      <c r="S357" s="109"/>
      <c r="U357" s="109"/>
    </row>
    <row r="358" spans="19:21" ht="21" customHeight="1" x14ac:dyDescent="0.25">
      <c r="S358" s="109"/>
      <c r="U358" s="109"/>
    </row>
    <row r="359" spans="19:21" ht="21" customHeight="1" x14ac:dyDescent="0.25">
      <c r="S359" s="109"/>
      <c r="U359" s="109"/>
    </row>
    <row r="360" spans="19:21" ht="21" customHeight="1" x14ac:dyDescent="0.25">
      <c r="S360" s="109"/>
      <c r="U360" s="109"/>
    </row>
    <row r="361" spans="19:21" ht="21" customHeight="1" x14ac:dyDescent="0.25">
      <c r="S361" s="109"/>
      <c r="U361" s="109"/>
    </row>
    <row r="362" spans="19:21" ht="21" customHeight="1" x14ac:dyDescent="0.25">
      <c r="S362" s="109"/>
      <c r="U362" s="109"/>
    </row>
    <row r="363" spans="19:21" ht="21" customHeight="1" x14ac:dyDescent="0.25">
      <c r="S363" s="109"/>
      <c r="U363" s="109"/>
    </row>
    <row r="364" spans="19:21" ht="21" customHeight="1" x14ac:dyDescent="0.25">
      <c r="S364" s="109"/>
      <c r="U364" s="109"/>
    </row>
    <row r="365" spans="19:21" ht="21" customHeight="1" x14ac:dyDescent="0.25">
      <c r="S365" s="109"/>
      <c r="U365" s="109"/>
    </row>
    <row r="366" spans="19:21" ht="21" customHeight="1" x14ac:dyDescent="0.25">
      <c r="S366" s="109"/>
      <c r="U366" s="109"/>
    </row>
    <row r="367" spans="19:21" ht="21" customHeight="1" x14ac:dyDescent="0.25">
      <c r="S367" s="109"/>
      <c r="U367" s="109"/>
    </row>
    <row r="368" spans="19:21" ht="21" customHeight="1" x14ac:dyDescent="0.25">
      <c r="S368" s="109"/>
      <c r="U368" s="109"/>
    </row>
    <row r="369" spans="19:21" ht="21" customHeight="1" x14ac:dyDescent="0.25">
      <c r="S369" s="109"/>
      <c r="U369" s="109"/>
    </row>
    <row r="370" spans="19:21" ht="21" customHeight="1" x14ac:dyDescent="0.25">
      <c r="S370" s="109"/>
      <c r="U370" s="109"/>
    </row>
    <row r="371" spans="19:21" ht="21" customHeight="1" x14ac:dyDescent="0.25">
      <c r="S371" s="109"/>
      <c r="U371" s="109"/>
    </row>
    <row r="372" spans="19:21" ht="21" customHeight="1" x14ac:dyDescent="0.25">
      <c r="S372" s="109"/>
      <c r="U372" s="109"/>
    </row>
    <row r="373" spans="19:21" ht="21" customHeight="1" x14ac:dyDescent="0.25">
      <c r="S373" s="109"/>
      <c r="U373" s="109"/>
    </row>
    <row r="374" spans="19:21" ht="21" customHeight="1" x14ac:dyDescent="0.25">
      <c r="S374" s="109"/>
      <c r="U374" s="109"/>
    </row>
    <row r="375" spans="19:21" ht="21" customHeight="1" x14ac:dyDescent="0.25">
      <c r="S375" s="109"/>
      <c r="U375" s="109"/>
    </row>
    <row r="376" spans="19:21" ht="21" customHeight="1" x14ac:dyDescent="0.25">
      <c r="S376" s="109"/>
      <c r="U376" s="109"/>
    </row>
    <row r="377" spans="19:21" ht="21" customHeight="1" x14ac:dyDescent="0.25">
      <c r="S377" s="109"/>
      <c r="U377" s="109"/>
    </row>
    <row r="378" spans="19:21" ht="21" customHeight="1" x14ac:dyDescent="0.25">
      <c r="S378" s="109"/>
      <c r="U378" s="109"/>
    </row>
    <row r="379" spans="19:21" ht="21" customHeight="1" x14ac:dyDescent="0.25">
      <c r="S379" s="109"/>
      <c r="U379" s="109"/>
    </row>
    <row r="380" spans="19:21" ht="21" customHeight="1" x14ac:dyDescent="0.25">
      <c r="S380" s="109"/>
      <c r="U380" s="109"/>
    </row>
    <row r="381" spans="19:21" ht="21" customHeight="1" x14ac:dyDescent="0.25">
      <c r="S381" s="109"/>
      <c r="U381" s="109"/>
    </row>
    <row r="382" spans="19:21" ht="21" customHeight="1" x14ac:dyDescent="0.25">
      <c r="S382" s="109"/>
      <c r="U382" s="109"/>
    </row>
    <row r="383" spans="19:21" ht="21" customHeight="1" x14ac:dyDescent="0.25">
      <c r="S383" s="109"/>
      <c r="U383" s="109"/>
    </row>
    <row r="384" spans="19:21" ht="21" customHeight="1" x14ac:dyDescent="0.25">
      <c r="S384" s="109"/>
      <c r="U384" s="109"/>
    </row>
    <row r="385" spans="19:21" ht="21" customHeight="1" x14ac:dyDescent="0.25">
      <c r="S385" s="109"/>
      <c r="U385" s="109"/>
    </row>
    <row r="386" spans="19:21" ht="21" customHeight="1" x14ac:dyDescent="0.25">
      <c r="S386" s="109"/>
      <c r="U386" s="109"/>
    </row>
    <row r="387" spans="19:21" ht="21" customHeight="1" x14ac:dyDescent="0.25">
      <c r="S387" s="109"/>
      <c r="U387" s="109"/>
    </row>
    <row r="388" spans="19:21" ht="21" customHeight="1" x14ac:dyDescent="0.25">
      <c r="S388" s="109"/>
      <c r="U388" s="109"/>
    </row>
    <row r="389" spans="19:21" ht="21" customHeight="1" x14ac:dyDescent="0.25">
      <c r="S389" s="109"/>
      <c r="U389" s="109"/>
    </row>
    <row r="390" spans="19:21" ht="21" customHeight="1" x14ac:dyDescent="0.25">
      <c r="S390" s="109"/>
      <c r="U390" s="109"/>
    </row>
    <row r="391" spans="19:21" ht="21" customHeight="1" x14ac:dyDescent="0.25">
      <c r="S391" s="109"/>
      <c r="U391" s="109"/>
    </row>
    <row r="392" spans="19:21" ht="21" customHeight="1" x14ac:dyDescent="0.25">
      <c r="S392" s="109"/>
      <c r="U392" s="109"/>
    </row>
    <row r="393" spans="19:21" ht="21" customHeight="1" x14ac:dyDescent="0.25">
      <c r="S393" s="109"/>
      <c r="U393" s="109"/>
    </row>
    <row r="394" spans="19:21" ht="21" customHeight="1" x14ac:dyDescent="0.25">
      <c r="S394" s="109"/>
      <c r="U394" s="109"/>
    </row>
    <row r="395" spans="19:21" ht="21" customHeight="1" x14ac:dyDescent="0.25">
      <c r="S395" s="109"/>
      <c r="U395" s="109"/>
    </row>
    <row r="396" spans="19:21" ht="21" customHeight="1" x14ac:dyDescent="0.25">
      <c r="S396" s="109"/>
      <c r="U396" s="109"/>
    </row>
    <row r="397" spans="19:21" ht="21" customHeight="1" x14ac:dyDescent="0.25">
      <c r="S397" s="109"/>
      <c r="U397" s="109"/>
    </row>
    <row r="398" spans="19:21" ht="21" customHeight="1" x14ac:dyDescent="0.25">
      <c r="S398" s="109"/>
      <c r="U398" s="109"/>
    </row>
    <row r="399" spans="19:21" ht="21" customHeight="1" x14ac:dyDescent="0.25">
      <c r="S399" s="109"/>
      <c r="U399" s="109"/>
    </row>
    <row r="400" spans="19:21" ht="21" customHeight="1" x14ac:dyDescent="0.25">
      <c r="S400" s="109"/>
      <c r="U400" s="109"/>
    </row>
    <row r="401" spans="19:21" ht="21" customHeight="1" x14ac:dyDescent="0.25">
      <c r="S401" s="109"/>
      <c r="U401" s="109"/>
    </row>
    <row r="402" spans="19:21" ht="21" customHeight="1" x14ac:dyDescent="0.25">
      <c r="S402" s="109"/>
      <c r="U402" s="109"/>
    </row>
    <row r="403" spans="19:21" ht="21" customHeight="1" x14ac:dyDescent="0.25">
      <c r="S403" s="109"/>
      <c r="U403" s="109"/>
    </row>
    <row r="404" spans="19:21" ht="21" customHeight="1" x14ac:dyDescent="0.25">
      <c r="S404" s="109"/>
      <c r="U404" s="109"/>
    </row>
    <row r="405" spans="19:21" ht="21" customHeight="1" x14ac:dyDescent="0.25">
      <c r="S405" s="109"/>
      <c r="U405" s="109"/>
    </row>
    <row r="406" spans="19:21" ht="21" customHeight="1" x14ac:dyDescent="0.25">
      <c r="S406" s="109"/>
      <c r="U406" s="109"/>
    </row>
    <row r="407" spans="19:21" ht="21" customHeight="1" x14ac:dyDescent="0.25">
      <c r="S407" s="109"/>
      <c r="U407" s="109"/>
    </row>
    <row r="408" spans="19:21" ht="21" customHeight="1" x14ac:dyDescent="0.25">
      <c r="S408" s="109"/>
      <c r="U408" s="109"/>
    </row>
    <row r="409" spans="19:21" ht="21" customHeight="1" x14ac:dyDescent="0.25">
      <c r="S409" s="109"/>
      <c r="U409" s="109"/>
    </row>
    <row r="410" spans="19:21" ht="21" customHeight="1" x14ac:dyDescent="0.25">
      <c r="S410" s="109"/>
      <c r="U410" s="109"/>
    </row>
    <row r="411" spans="19:21" ht="21" customHeight="1" x14ac:dyDescent="0.25">
      <c r="S411" s="109"/>
      <c r="U411" s="109"/>
    </row>
    <row r="412" spans="19:21" ht="21" customHeight="1" x14ac:dyDescent="0.25">
      <c r="S412" s="109"/>
      <c r="U412" s="109"/>
    </row>
    <row r="413" spans="19:21" ht="21" customHeight="1" x14ac:dyDescent="0.25">
      <c r="S413" s="109"/>
      <c r="U413" s="109"/>
    </row>
    <row r="414" spans="19:21" ht="21" customHeight="1" x14ac:dyDescent="0.25">
      <c r="S414" s="109"/>
      <c r="U414" s="109"/>
    </row>
    <row r="415" spans="19:21" ht="21" customHeight="1" x14ac:dyDescent="0.25">
      <c r="S415" s="109"/>
      <c r="U415" s="109"/>
    </row>
    <row r="416" spans="19:21" ht="21" customHeight="1" x14ac:dyDescent="0.25">
      <c r="S416" s="109"/>
      <c r="U416" s="109"/>
    </row>
    <row r="417" spans="19:21" ht="21" customHeight="1" x14ac:dyDescent="0.25">
      <c r="S417" s="109"/>
      <c r="U417" s="109"/>
    </row>
    <row r="418" spans="19:21" ht="21" customHeight="1" x14ac:dyDescent="0.25">
      <c r="S418" s="109"/>
      <c r="U418" s="109"/>
    </row>
    <row r="419" spans="19:21" ht="21" customHeight="1" x14ac:dyDescent="0.25">
      <c r="S419" s="109"/>
      <c r="U419" s="109"/>
    </row>
    <row r="420" spans="19:21" ht="21" customHeight="1" x14ac:dyDescent="0.25">
      <c r="S420" s="109"/>
      <c r="U420" s="109"/>
    </row>
    <row r="421" spans="19:21" ht="21" customHeight="1" x14ac:dyDescent="0.25">
      <c r="S421" s="109"/>
      <c r="U421" s="109"/>
    </row>
    <row r="422" spans="19:21" ht="21" customHeight="1" x14ac:dyDescent="0.25">
      <c r="S422" s="109"/>
      <c r="U422" s="109"/>
    </row>
    <row r="423" spans="19:21" ht="21" customHeight="1" x14ac:dyDescent="0.25">
      <c r="S423" s="109"/>
      <c r="U423" s="109"/>
    </row>
    <row r="424" spans="19:21" ht="21" customHeight="1" x14ac:dyDescent="0.25">
      <c r="S424" s="109"/>
      <c r="U424" s="109"/>
    </row>
    <row r="425" spans="19:21" ht="21" customHeight="1" x14ac:dyDescent="0.25">
      <c r="S425" s="109"/>
      <c r="U425" s="109"/>
    </row>
    <row r="426" spans="19:21" ht="21" customHeight="1" x14ac:dyDescent="0.25">
      <c r="S426" s="109"/>
      <c r="U426" s="109"/>
    </row>
    <row r="427" spans="19:21" ht="21" customHeight="1" x14ac:dyDescent="0.25">
      <c r="S427" s="109"/>
      <c r="U427" s="109"/>
    </row>
    <row r="428" spans="19:21" ht="21" customHeight="1" x14ac:dyDescent="0.25">
      <c r="S428" s="109"/>
      <c r="U428" s="109"/>
    </row>
    <row r="429" spans="19:21" ht="21" customHeight="1" x14ac:dyDescent="0.25">
      <c r="S429" s="109"/>
      <c r="U429" s="109"/>
    </row>
    <row r="430" spans="19:21" ht="21" customHeight="1" x14ac:dyDescent="0.25">
      <c r="S430" s="109"/>
      <c r="U430" s="109"/>
    </row>
    <row r="431" spans="19:21" ht="21" customHeight="1" x14ac:dyDescent="0.25">
      <c r="S431" s="109"/>
      <c r="U431" s="109"/>
    </row>
    <row r="432" spans="19:21" ht="21" customHeight="1" x14ac:dyDescent="0.25">
      <c r="S432" s="109"/>
      <c r="U432" s="109"/>
    </row>
    <row r="433" spans="19:21" ht="21" customHeight="1" x14ac:dyDescent="0.25">
      <c r="S433" s="109"/>
      <c r="U433" s="109"/>
    </row>
    <row r="434" spans="19:21" ht="21" customHeight="1" x14ac:dyDescent="0.25">
      <c r="S434" s="109"/>
      <c r="U434" s="109"/>
    </row>
    <row r="435" spans="19:21" ht="21" customHeight="1" x14ac:dyDescent="0.25">
      <c r="S435" s="109"/>
      <c r="U435" s="109"/>
    </row>
    <row r="436" spans="19:21" ht="21" customHeight="1" x14ac:dyDescent="0.25">
      <c r="S436" s="109"/>
      <c r="U436" s="109"/>
    </row>
    <row r="437" spans="19:21" ht="21" customHeight="1" x14ac:dyDescent="0.25">
      <c r="S437" s="109"/>
      <c r="U437" s="109"/>
    </row>
    <row r="438" spans="19:21" ht="21" customHeight="1" x14ac:dyDescent="0.25">
      <c r="S438" s="109"/>
      <c r="U438" s="109"/>
    </row>
    <row r="439" spans="19:21" ht="21" customHeight="1" x14ac:dyDescent="0.25">
      <c r="S439" s="109"/>
      <c r="U439" s="109"/>
    </row>
    <row r="440" spans="19:21" ht="21" customHeight="1" x14ac:dyDescent="0.25">
      <c r="S440" s="109"/>
      <c r="U440" s="109"/>
    </row>
    <row r="441" spans="19:21" ht="21" customHeight="1" x14ac:dyDescent="0.25">
      <c r="S441" s="109"/>
      <c r="U441" s="109"/>
    </row>
    <row r="442" spans="19:21" ht="21" customHeight="1" x14ac:dyDescent="0.25">
      <c r="S442" s="109"/>
      <c r="U442" s="109"/>
    </row>
    <row r="443" spans="19:21" ht="21" customHeight="1" x14ac:dyDescent="0.25">
      <c r="S443" s="109"/>
      <c r="U443" s="109"/>
    </row>
    <row r="444" spans="19:21" ht="21" customHeight="1" x14ac:dyDescent="0.25">
      <c r="S444" s="109"/>
      <c r="U444" s="109"/>
    </row>
    <row r="445" spans="19:21" ht="21" customHeight="1" x14ac:dyDescent="0.25">
      <c r="S445" s="109"/>
      <c r="U445" s="109"/>
    </row>
    <row r="446" spans="19:21" ht="21" customHeight="1" x14ac:dyDescent="0.25">
      <c r="S446" s="109"/>
      <c r="U446" s="109"/>
    </row>
    <row r="447" spans="19:21" ht="21" customHeight="1" x14ac:dyDescent="0.25">
      <c r="S447" s="109"/>
      <c r="U447" s="109"/>
    </row>
    <row r="448" spans="19:21" ht="21" customHeight="1" x14ac:dyDescent="0.25">
      <c r="S448" s="109"/>
      <c r="U448" s="109"/>
    </row>
    <row r="449" spans="19:21" ht="21" customHeight="1" x14ac:dyDescent="0.25">
      <c r="S449" s="109"/>
      <c r="U449" s="109"/>
    </row>
    <row r="450" spans="19:21" ht="21" customHeight="1" x14ac:dyDescent="0.25">
      <c r="S450" s="109"/>
      <c r="U450" s="109"/>
    </row>
    <row r="451" spans="19:21" ht="21" customHeight="1" x14ac:dyDescent="0.25">
      <c r="S451" s="109"/>
      <c r="U451" s="109"/>
    </row>
    <row r="452" spans="19:21" ht="21" customHeight="1" x14ac:dyDescent="0.25">
      <c r="S452" s="109"/>
      <c r="U452" s="109"/>
    </row>
    <row r="453" spans="19:21" ht="21" customHeight="1" x14ac:dyDescent="0.25">
      <c r="S453" s="109"/>
      <c r="U453" s="109"/>
    </row>
    <row r="454" spans="19:21" ht="21" customHeight="1" x14ac:dyDescent="0.25">
      <c r="S454" s="109"/>
      <c r="U454" s="109"/>
    </row>
    <row r="455" spans="19:21" ht="21" customHeight="1" x14ac:dyDescent="0.25">
      <c r="S455" s="109"/>
      <c r="U455" s="109"/>
    </row>
    <row r="456" spans="19:21" ht="21" customHeight="1" x14ac:dyDescent="0.25">
      <c r="S456" s="109"/>
      <c r="U456" s="109"/>
    </row>
    <row r="457" spans="19:21" ht="21" customHeight="1" x14ac:dyDescent="0.25">
      <c r="S457" s="109"/>
      <c r="U457" s="109"/>
    </row>
    <row r="458" spans="19:21" ht="21" customHeight="1" x14ac:dyDescent="0.25">
      <c r="S458" s="109"/>
      <c r="U458" s="109"/>
    </row>
    <row r="459" spans="19:21" ht="21" customHeight="1" x14ac:dyDescent="0.25">
      <c r="S459" s="109"/>
      <c r="U459" s="109"/>
    </row>
    <row r="460" spans="19:21" ht="21" customHeight="1" x14ac:dyDescent="0.25">
      <c r="S460" s="109"/>
      <c r="U460" s="109"/>
    </row>
    <row r="461" spans="19:21" ht="21" customHeight="1" x14ac:dyDescent="0.25">
      <c r="S461" s="109"/>
      <c r="U461" s="109"/>
    </row>
    <row r="462" spans="19:21" ht="21" customHeight="1" x14ac:dyDescent="0.25">
      <c r="S462" s="109"/>
      <c r="U462" s="109"/>
    </row>
    <row r="463" spans="19:21" ht="21" customHeight="1" x14ac:dyDescent="0.25">
      <c r="S463" s="109"/>
      <c r="U463" s="109"/>
    </row>
    <row r="464" spans="19:21" ht="21" customHeight="1" x14ac:dyDescent="0.25">
      <c r="S464" s="109"/>
      <c r="U464" s="109"/>
    </row>
    <row r="465" spans="19:21" ht="21" customHeight="1" x14ac:dyDescent="0.25">
      <c r="S465" s="109"/>
      <c r="U465" s="109"/>
    </row>
    <row r="466" spans="19:21" ht="21" customHeight="1" x14ac:dyDescent="0.25">
      <c r="S466" s="109"/>
      <c r="U466" s="109"/>
    </row>
    <row r="467" spans="19:21" ht="21" customHeight="1" x14ac:dyDescent="0.25">
      <c r="S467" s="109"/>
      <c r="U467" s="109"/>
    </row>
    <row r="468" spans="19:21" ht="21" customHeight="1" x14ac:dyDescent="0.25">
      <c r="S468" s="109"/>
      <c r="U468" s="109"/>
    </row>
    <row r="469" spans="19:21" ht="21" customHeight="1" x14ac:dyDescent="0.25">
      <c r="S469" s="109"/>
      <c r="U469" s="109"/>
    </row>
    <row r="470" spans="19:21" ht="21" customHeight="1" x14ac:dyDescent="0.25">
      <c r="S470" s="109"/>
      <c r="U470" s="109"/>
    </row>
    <row r="471" spans="19:21" ht="21" customHeight="1" x14ac:dyDescent="0.25">
      <c r="S471" s="109"/>
      <c r="U471" s="109"/>
    </row>
    <row r="472" spans="19:21" ht="21" customHeight="1" x14ac:dyDescent="0.25">
      <c r="S472" s="109"/>
      <c r="U472" s="109"/>
    </row>
    <row r="473" spans="19:21" ht="21" customHeight="1" x14ac:dyDescent="0.25">
      <c r="S473" s="109"/>
      <c r="U473" s="109"/>
    </row>
    <row r="474" spans="19:21" ht="21" customHeight="1" x14ac:dyDescent="0.25">
      <c r="S474" s="109"/>
      <c r="U474" s="109"/>
    </row>
    <row r="475" spans="19:21" ht="21" customHeight="1" x14ac:dyDescent="0.25">
      <c r="S475" s="109"/>
      <c r="U475" s="109"/>
    </row>
    <row r="476" spans="19:21" ht="21" customHeight="1" x14ac:dyDescent="0.25">
      <c r="S476" s="109"/>
      <c r="U476" s="109"/>
    </row>
    <row r="477" spans="19:21" ht="21" customHeight="1" x14ac:dyDescent="0.25">
      <c r="S477" s="109"/>
      <c r="U477" s="109"/>
    </row>
    <row r="478" spans="19:21" ht="21" customHeight="1" x14ac:dyDescent="0.25">
      <c r="S478" s="109"/>
      <c r="U478" s="109"/>
    </row>
    <row r="479" spans="19:21" ht="21" customHeight="1" x14ac:dyDescent="0.25">
      <c r="S479" s="109"/>
      <c r="U479" s="109"/>
    </row>
    <row r="480" spans="19:21" ht="21" customHeight="1" x14ac:dyDescent="0.25">
      <c r="S480" s="109"/>
      <c r="U480" s="109"/>
    </row>
    <row r="481" spans="19:21" ht="21" customHeight="1" x14ac:dyDescent="0.25">
      <c r="S481" s="109"/>
      <c r="U481" s="109"/>
    </row>
    <row r="482" spans="19:21" ht="21" customHeight="1" x14ac:dyDescent="0.25">
      <c r="S482" s="109"/>
      <c r="U482" s="109"/>
    </row>
    <row r="483" spans="19:21" ht="21" customHeight="1" x14ac:dyDescent="0.25">
      <c r="S483" s="109"/>
      <c r="U483" s="109"/>
    </row>
    <row r="484" spans="19:21" ht="21" customHeight="1" x14ac:dyDescent="0.25">
      <c r="S484" s="109"/>
      <c r="U484" s="109"/>
    </row>
    <row r="485" spans="19:21" ht="21" customHeight="1" x14ac:dyDescent="0.25">
      <c r="S485" s="109"/>
      <c r="U485" s="109"/>
    </row>
    <row r="486" spans="19:21" ht="21" customHeight="1" x14ac:dyDescent="0.25">
      <c r="S486" s="109"/>
      <c r="U486" s="109"/>
    </row>
    <row r="487" spans="19:21" ht="21" customHeight="1" x14ac:dyDescent="0.25">
      <c r="S487" s="109"/>
      <c r="U487" s="109"/>
    </row>
    <row r="488" spans="19:21" ht="21" customHeight="1" x14ac:dyDescent="0.25">
      <c r="S488" s="109"/>
      <c r="U488" s="109"/>
    </row>
    <row r="489" spans="19:21" ht="21" customHeight="1" x14ac:dyDescent="0.25">
      <c r="S489" s="109"/>
      <c r="U489" s="109"/>
    </row>
    <row r="490" spans="19:21" ht="21" customHeight="1" x14ac:dyDescent="0.25">
      <c r="S490" s="109"/>
      <c r="U490" s="109"/>
    </row>
    <row r="491" spans="19:21" ht="21" customHeight="1" x14ac:dyDescent="0.25">
      <c r="S491" s="109"/>
      <c r="U491" s="109"/>
    </row>
    <row r="492" spans="19:21" ht="21" customHeight="1" x14ac:dyDescent="0.25">
      <c r="S492" s="109"/>
      <c r="U492" s="109"/>
    </row>
    <row r="493" spans="19:21" ht="21" customHeight="1" x14ac:dyDescent="0.25">
      <c r="S493" s="109"/>
      <c r="U493" s="109"/>
    </row>
    <row r="494" spans="19:21" ht="21" customHeight="1" x14ac:dyDescent="0.25">
      <c r="S494" s="109"/>
      <c r="U494" s="109"/>
    </row>
    <row r="495" spans="19:21" ht="21" customHeight="1" x14ac:dyDescent="0.25">
      <c r="S495" s="109"/>
      <c r="U495" s="109"/>
    </row>
    <row r="496" spans="19:21" ht="21" customHeight="1" x14ac:dyDescent="0.25">
      <c r="S496" s="109"/>
      <c r="U496" s="109"/>
    </row>
    <row r="497" spans="19:21" ht="21" customHeight="1" x14ac:dyDescent="0.25">
      <c r="S497" s="109"/>
      <c r="U497" s="109"/>
    </row>
    <row r="498" spans="19:21" ht="21" customHeight="1" x14ac:dyDescent="0.25">
      <c r="S498" s="109"/>
      <c r="U498" s="109"/>
    </row>
    <row r="499" spans="19:21" ht="21" customHeight="1" x14ac:dyDescent="0.25">
      <c r="S499" s="109"/>
      <c r="U499" s="109"/>
    </row>
    <row r="500" spans="19:21" ht="21" customHeight="1" x14ac:dyDescent="0.25">
      <c r="S500" s="109"/>
      <c r="U500" s="109"/>
    </row>
    <row r="501" spans="19:21" ht="21" customHeight="1" x14ac:dyDescent="0.25">
      <c r="S501" s="109"/>
      <c r="U501" s="109"/>
    </row>
    <row r="502" spans="19:21" ht="21" customHeight="1" x14ac:dyDescent="0.25">
      <c r="S502" s="109"/>
      <c r="U502" s="109"/>
    </row>
    <row r="503" spans="19:21" ht="21" customHeight="1" x14ac:dyDescent="0.25">
      <c r="S503" s="109"/>
      <c r="U503" s="109"/>
    </row>
    <row r="504" spans="19:21" ht="21" customHeight="1" x14ac:dyDescent="0.25">
      <c r="S504" s="109"/>
      <c r="U504" s="109"/>
    </row>
    <row r="505" spans="19:21" ht="21" customHeight="1" x14ac:dyDescent="0.25">
      <c r="S505" s="109"/>
      <c r="U505" s="109"/>
    </row>
  </sheetData>
  <mergeCells count="200"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</mergeCells>
  <printOptions horizontalCentered="1" verticalCentered="1"/>
  <pageMargins left="0" right="0" top="0" bottom="0" header="0" footer="0"/>
  <pageSetup scale="27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D517AC"/>
    <pageSetUpPr fitToPage="1"/>
  </sheetPr>
  <dimension ref="A1:BM213"/>
  <sheetViews>
    <sheetView topLeftCell="A158" zoomScaleNormal="100" workbookViewId="0">
      <pane xSplit="4" topLeftCell="AY1" activePane="topRight" state="frozen"/>
      <selection pane="topRight" activeCell="A171" sqref="A171:XFD171"/>
    </sheetView>
  </sheetViews>
  <sheetFormatPr defaultColWidth="8.88671875" defaultRowHeight="14.4" x14ac:dyDescent="0.3"/>
  <cols>
    <col min="2" max="2" width="39.33203125" bestFit="1" customWidth="1"/>
    <col min="3" max="3" width="32.109375" bestFit="1" customWidth="1"/>
    <col min="4" max="4" width="24.33203125" bestFit="1" customWidth="1"/>
    <col min="5" max="5" width="8.6640625" style="86" customWidth="1"/>
    <col min="6" max="6" width="8.6640625" style="92" customWidth="1"/>
    <col min="7" max="7" width="8.6640625" style="86" customWidth="1"/>
    <col min="8" max="8" width="8.6640625" style="92" customWidth="1"/>
    <col min="9" max="9" width="11.33203125" style="86" hidden="1" customWidth="1"/>
    <col min="10" max="10" width="11.109375" style="92" hidden="1" customWidth="1"/>
    <col min="11" max="11" width="8.6640625" style="200" customWidth="1"/>
    <col min="12" max="12" width="8.6640625" style="92" customWidth="1"/>
    <col min="13" max="13" width="9" style="86" customWidth="1"/>
    <col min="14" max="14" width="9" style="92" customWidth="1"/>
    <col min="15" max="15" width="8.6640625" style="200" customWidth="1"/>
    <col min="16" max="16" width="8.6640625" style="151" customWidth="1"/>
    <col min="17" max="17" width="10.109375" style="86" hidden="1" customWidth="1"/>
    <col min="18" max="18" width="10.109375" style="92" hidden="1" customWidth="1"/>
    <col min="19" max="20" width="8.6640625" customWidth="1"/>
    <col min="21" max="22" width="9" hidden="1" customWidth="1"/>
    <col min="23" max="23" width="8.6640625" customWidth="1"/>
    <col min="24" max="24" width="9.44140625" customWidth="1"/>
    <col min="25" max="25" width="9" customWidth="1"/>
    <col min="26" max="26" width="13.109375" customWidth="1"/>
    <col min="27" max="28" width="9" customWidth="1"/>
    <col min="29" max="29" width="8.88671875" customWidth="1"/>
    <col min="30" max="30" width="9.88671875" customWidth="1"/>
    <col min="31" max="31" width="8.88671875" hidden="1" customWidth="1"/>
    <col min="32" max="32" width="9.5546875" hidden="1" customWidth="1"/>
    <col min="33" max="34" width="8.88671875" customWidth="1"/>
    <col min="35" max="35" width="8.88671875" hidden="1" customWidth="1"/>
    <col min="36" max="36" width="9" hidden="1" customWidth="1"/>
    <col min="37" max="37" width="8.88671875" customWidth="1"/>
    <col min="38" max="38" width="10.109375" customWidth="1"/>
    <col min="39" max="40" width="9" customWidth="1"/>
    <col min="41" max="42" width="9" hidden="1" customWidth="1"/>
    <col min="43" max="43" width="8.88671875" customWidth="1"/>
    <col min="44" max="44" width="9.5546875" customWidth="1"/>
    <col min="45" max="46" width="8.88671875" hidden="1" customWidth="1"/>
    <col min="47" max="47" width="8.88671875" customWidth="1"/>
    <col min="48" max="48" width="9.5546875" customWidth="1"/>
    <col min="49" max="50" width="9" hidden="1" customWidth="1"/>
    <col min="51" max="51" width="8.88671875" customWidth="1"/>
    <col min="52" max="52" width="9.5546875" bestFit="1" customWidth="1"/>
    <col min="53" max="58" width="8.88671875" customWidth="1"/>
    <col min="59" max="59" width="4.5546875" bestFit="1" customWidth="1"/>
    <col min="60" max="61" width="11.5546875" hidden="1" customWidth="1"/>
    <col min="62" max="66" width="0" hidden="1" customWidth="1"/>
  </cols>
  <sheetData>
    <row r="1" spans="1:65" ht="22.8" x14ac:dyDescent="0.4">
      <c r="B1" s="384" t="s">
        <v>51</v>
      </c>
      <c r="C1" s="384"/>
      <c r="D1" s="44"/>
      <c r="E1" s="44"/>
      <c r="F1" s="44"/>
      <c r="G1" s="44"/>
      <c r="H1" s="44"/>
      <c r="I1" s="44"/>
      <c r="J1" s="44"/>
      <c r="K1" s="151"/>
      <c r="M1" s="92"/>
      <c r="O1" s="151"/>
      <c r="Q1" s="92"/>
      <c r="S1" s="92"/>
      <c r="T1" s="92"/>
      <c r="U1" s="92"/>
      <c r="V1" s="92"/>
      <c r="W1" s="5873"/>
      <c r="X1" s="5873"/>
      <c r="Y1" s="92"/>
      <c r="Z1" s="92"/>
      <c r="AA1" s="92"/>
      <c r="AB1" s="92"/>
    </row>
    <row r="2" spans="1:65" ht="15" thickBot="1" x14ac:dyDescent="0.35">
      <c r="B2" s="44"/>
      <c r="C2" s="44"/>
      <c r="D2" s="44"/>
      <c r="E2" s="95">
        <v>30</v>
      </c>
      <c r="F2" s="95">
        <v>30</v>
      </c>
      <c r="G2" s="95">
        <v>31</v>
      </c>
      <c r="H2" s="95">
        <v>31</v>
      </c>
      <c r="I2" s="95">
        <f>+E2+G2</f>
        <v>61</v>
      </c>
      <c r="J2" s="95">
        <f>+F2+H2</f>
        <v>61</v>
      </c>
      <c r="K2" s="394">
        <v>30</v>
      </c>
      <c r="L2" s="95">
        <v>30</v>
      </c>
      <c r="M2" s="95">
        <f>+I2+K2</f>
        <v>91</v>
      </c>
      <c r="N2" s="95">
        <f>+J2+L2</f>
        <v>91</v>
      </c>
      <c r="O2" s="394">
        <v>31</v>
      </c>
      <c r="P2" s="394">
        <v>31</v>
      </c>
      <c r="Q2" s="95">
        <f>+M2+O2</f>
        <v>122</v>
      </c>
      <c r="R2" s="95">
        <f>+N2+P2</f>
        <v>122</v>
      </c>
      <c r="S2" s="95">
        <v>31</v>
      </c>
      <c r="T2" s="95">
        <v>31</v>
      </c>
      <c r="U2" s="95">
        <f>+Q2+S2</f>
        <v>153</v>
      </c>
      <c r="V2" s="95">
        <f>+R2+T2</f>
        <v>153</v>
      </c>
      <c r="W2" s="95">
        <v>30</v>
      </c>
      <c r="X2" s="95">
        <v>30</v>
      </c>
      <c r="Y2" s="95">
        <f>+O2+S2+W2</f>
        <v>92</v>
      </c>
      <c r="Z2" s="95">
        <f>+P2+T2+X2</f>
        <v>92</v>
      </c>
      <c r="AA2" s="95">
        <f>M2+Y2</f>
        <v>183</v>
      </c>
      <c r="AB2" s="95">
        <f>N2+Z2</f>
        <v>183</v>
      </c>
      <c r="AC2" s="95">
        <v>31</v>
      </c>
      <c r="AD2" s="95">
        <v>31</v>
      </c>
      <c r="AE2" s="95">
        <f>+AA2+AC2</f>
        <v>214</v>
      </c>
      <c r="AF2" s="95">
        <f>+AB2+AD2</f>
        <v>214</v>
      </c>
      <c r="AG2" s="95">
        <v>30</v>
      </c>
      <c r="AH2" s="95">
        <v>30</v>
      </c>
      <c r="AI2" s="95">
        <f>+AE2+AG2</f>
        <v>244</v>
      </c>
      <c r="AJ2" s="95">
        <f>+AF2+AH2</f>
        <v>244</v>
      </c>
      <c r="AK2" s="95">
        <v>31</v>
      </c>
      <c r="AL2" s="95">
        <v>31</v>
      </c>
      <c r="AM2" s="95">
        <f>+AC2+AG2+AK2</f>
        <v>92</v>
      </c>
      <c r="AN2" s="95">
        <f>+AD2+AH2+AL2</f>
        <v>92</v>
      </c>
      <c r="AO2" s="95">
        <f>AI2+AK2</f>
        <v>275</v>
      </c>
      <c r="AP2" s="95">
        <f>AJ2+AL2</f>
        <v>275</v>
      </c>
      <c r="AQ2" s="95">
        <v>31</v>
      </c>
      <c r="AR2" s="95">
        <v>31</v>
      </c>
      <c r="AS2" s="95">
        <f>+AO2+AQ2</f>
        <v>306</v>
      </c>
      <c r="AT2" s="95">
        <f>+AP2+AR2</f>
        <v>306</v>
      </c>
      <c r="AU2" s="95">
        <v>28</v>
      </c>
      <c r="AV2" s="95">
        <v>28</v>
      </c>
      <c r="AW2" s="95">
        <f>+AS2+AU2</f>
        <v>334</v>
      </c>
      <c r="AX2" s="95">
        <f>+AT2+AV2</f>
        <v>334</v>
      </c>
      <c r="AY2" s="95">
        <v>31</v>
      </c>
      <c r="AZ2" s="95">
        <v>31</v>
      </c>
      <c r="BA2" s="95">
        <f>+AQ2+AU2+AY2</f>
        <v>90</v>
      </c>
      <c r="BB2" s="95">
        <f>+AR2+AV2+AZ2</f>
        <v>90</v>
      </c>
      <c r="BC2" s="95">
        <f>AO2+BA2</f>
        <v>365</v>
      </c>
      <c r="BD2" s="95">
        <f>AP2+BB2</f>
        <v>365</v>
      </c>
      <c r="BE2" s="95">
        <f>+AW2+AY2</f>
        <v>365</v>
      </c>
      <c r="BF2" s="95">
        <f>+AX2+AZ2</f>
        <v>365</v>
      </c>
    </row>
    <row r="3" spans="1:65" ht="16.5" customHeight="1" thickBot="1" x14ac:dyDescent="0.35">
      <c r="B3" s="5874" t="s">
        <v>171</v>
      </c>
      <c r="C3" s="5880" t="s">
        <v>844</v>
      </c>
      <c r="D3" s="5883" t="s">
        <v>172</v>
      </c>
      <c r="E3" s="5876" t="s">
        <v>1962</v>
      </c>
      <c r="F3" s="5877"/>
      <c r="G3" s="5876" t="s">
        <v>2013</v>
      </c>
      <c r="H3" s="5877"/>
      <c r="I3" s="5878" t="s">
        <v>14</v>
      </c>
      <c r="J3" s="5879"/>
      <c r="K3" s="5866" t="s">
        <v>2043</v>
      </c>
      <c r="L3" s="5866"/>
      <c r="M3" s="5886" t="s">
        <v>637</v>
      </c>
      <c r="N3" s="5886"/>
      <c r="O3" s="5866" t="s">
        <v>2065</v>
      </c>
      <c r="P3" s="5866"/>
      <c r="Q3" s="5867" t="s">
        <v>17</v>
      </c>
      <c r="R3" s="5868"/>
      <c r="S3" s="5866" t="s">
        <v>2068</v>
      </c>
      <c r="T3" s="5866"/>
      <c r="U3" s="5867" t="s">
        <v>18</v>
      </c>
      <c r="V3" s="5868"/>
      <c r="W3" s="5866" t="s">
        <v>2110</v>
      </c>
      <c r="X3" s="5866"/>
      <c r="Y3" s="5869" t="s">
        <v>660</v>
      </c>
      <c r="Z3" s="5870"/>
      <c r="AA3" s="5871" t="s">
        <v>657</v>
      </c>
      <c r="AB3" s="5872"/>
      <c r="AC3" s="5866" t="s">
        <v>2135</v>
      </c>
      <c r="AD3" s="5866"/>
      <c r="AE3" s="5867" t="s">
        <v>24</v>
      </c>
      <c r="AF3" s="5868"/>
      <c r="AG3" s="5866" t="s">
        <v>2238</v>
      </c>
      <c r="AH3" s="5866"/>
      <c r="AI3" s="5867" t="s">
        <v>27</v>
      </c>
      <c r="AJ3" s="5868"/>
      <c r="AK3" s="5866" t="s">
        <v>2262</v>
      </c>
      <c r="AL3" s="5866"/>
      <c r="AM3" s="5869" t="s">
        <v>662</v>
      </c>
      <c r="AN3" s="5870"/>
      <c r="AO3" s="5867" t="s">
        <v>1613</v>
      </c>
      <c r="AP3" s="5868"/>
      <c r="AQ3" s="5866" t="s">
        <v>2274</v>
      </c>
      <c r="AR3" s="5866"/>
      <c r="AS3" s="5867" t="s">
        <v>28</v>
      </c>
      <c r="AT3" s="5868"/>
      <c r="AU3" s="5866" t="s">
        <v>2311</v>
      </c>
      <c r="AV3" s="5866"/>
      <c r="AW3" s="5867" t="s">
        <v>30</v>
      </c>
      <c r="AX3" s="5868"/>
      <c r="AY3" s="5866" t="s">
        <v>2329</v>
      </c>
      <c r="AZ3" s="5866"/>
      <c r="BA3" s="5869" t="s">
        <v>663</v>
      </c>
      <c r="BB3" s="5870"/>
      <c r="BC3" s="5871" t="s">
        <v>670</v>
      </c>
      <c r="BD3" s="5872"/>
      <c r="BE3" s="5867" t="s">
        <v>2041</v>
      </c>
      <c r="BF3" s="5868"/>
    </row>
    <row r="4" spans="1:65" ht="15.75" customHeight="1" thickBot="1" x14ac:dyDescent="0.35">
      <c r="B4" s="5875"/>
      <c r="C4" s="5881"/>
      <c r="D4" s="5884"/>
      <c r="E4" s="1292" t="s">
        <v>173</v>
      </c>
      <c r="F4" s="777" t="s">
        <v>174</v>
      </c>
      <c r="G4" s="1292" t="s">
        <v>173</v>
      </c>
      <c r="H4" s="777" t="s">
        <v>174</v>
      </c>
      <c r="I4" s="1452" t="s">
        <v>173</v>
      </c>
      <c r="J4" s="702" t="s">
        <v>174</v>
      </c>
      <c r="K4" s="227" t="s">
        <v>173</v>
      </c>
      <c r="L4" s="158" t="s">
        <v>174</v>
      </c>
      <c r="M4" s="703" t="s">
        <v>173</v>
      </c>
      <c r="N4" s="703" t="s">
        <v>174</v>
      </c>
      <c r="O4" s="227" t="s">
        <v>173</v>
      </c>
      <c r="P4" s="395" t="s">
        <v>174</v>
      </c>
      <c r="Q4" s="143" t="s">
        <v>173</v>
      </c>
      <c r="R4" s="160" t="s">
        <v>174</v>
      </c>
      <c r="S4" s="227" t="s">
        <v>173</v>
      </c>
      <c r="T4" s="175" t="s">
        <v>174</v>
      </c>
      <c r="U4" s="143" t="s">
        <v>173</v>
      </c>
      <c r="V4" s="160" t="s">
        <v>174</v>
      </c>
      <c r="W4" s="227" t="s">
        <v>173</v>
      </c>
      <c r="X4" s="395" t="s">
        <v>174</v>
      </c>
      <c r="Y4" s="698" t="s">
        <v>173</v>
      </c>
      <c r="Z4" s="167" t="s">
        <v>174</v>
      </c>
      <c r="AA4" s="2187" t="s">
        <v>173</v>
      </c>
      <c r="AB4" s="462" t="s">
        <v>174</v>
      </c>
      <c r="AC4" s="227" t="s">
        <v>173</v>
      </c>
      <c r="AD4" s="175" t="s">
        <v>174</v>
      </c>
      <c r="AE4" s="143" t="s">
        <v>173</v>
      </c>
      <c r="AF4" s="160" t="s">
        <v>174</v>
      </c>
      <c r="AG4" s="227" t="s">
        <v>173</v>
      </c>
      <c r="AH4" s="175" t="s">
        <v>174</v>
      </c>
      <c r="AI4" s="143" t="s">
        <v>173</v>
      </c>
      <c r="AJ4" s="160" t="s">
        <v>174</v>
      </c>
      <c r="AK4" s="227" t="s">
        <v>173</v>
      </c>
      <c r="AL4" s="175" t="s">
        <v>174</v>
      </c>
      <c r="AM4" s="698" t="s">
        <v>173</v>
      </c>
      <c r="AN4" s="167" t="s">
        <v>174</v>
      </c>
      <c r="AO4" s="143" t="s">
        <v>173</v>
      </c>
      <c r="AP4" s="160" t="s">
        <v>174</v>
      </c>
      <c r="AQ4" s="227" t="s">
        <v>173</v>
      </c>
      <c r="AR4" s="175" t="s">
        <v>174</v>
      </c>
      <c r="AS4" s="143" t="s">
        <v>173</v>
      </c>
      <c r="AT4" s="160" t="s">
        <v>174</v>
      </c>
      <c r="AU4" s="227" t="s">
        <v>173</v>
      </c>
      <c r="AV4" s="175" t="s">
        <v>174</v>
      </c>
      <c r="AW4" s="143" t="s">
        <v>173</v>
      </c>
      <c r="AX4" s="160" t="s">
        <v>174</v>
      </c>
      <c r="AY4" s="227" t="s">
        <v>173</v>
      </c>
      <c r="AZ4" s="175" t="s">
        <v>174</v>
      </c>
      <c r="BA4" s="698" t="s">
        <v>173</v>
      </c>
      <c r="BB4" s="167" t="s">
        <v>174</v>
      </c>
      <c r="BC4" s="2187" t="s">
        <v>173</v>
      </c>
      <c r="BD4" s="462" t="s">
        <v>174</v>
      </c>
      <c r="BE4" s="143" t="s">
        <v>173</v>
      </c>
      <c r="BF4" s="160" t="s">
        <v>174</v>
      </c>
    </row>
    <row r="5" spans="1:65" ht="16.2" thickBot="1" x14ac:dyDescent="0.35">
      <c r="B5" s="771" t="s">
        <v>841</v>
      </c>
      <c r="C5" s="5882"/>
      <c r="D5" s="5885"/>
      <c r="E5" s="1104">
        <v>44270.833333333336</v>
      </c>
      <c r="F5" s="681">
        <v>38350.074000000022</v>
      </c>
      <c r="G5" s="1104">
        <v>45833.333333333336</v>
      </c>
      <c r="H5" s="681">
        <v>41157.484000000004</v>
      </c>
      <c r="I5" s="936">
        <f>+E5+G5</f>
        <v>90104.166666666672</v>
      </c>
      <c r="J5" s="369">
        <f>+F5+H5</f>
        <v>79507.558000000019</v>
      </c>
      <c r="K5" s="1104">
        <v>44270.833333333336</v>
      </c>
      <c r="L5" s="681">
        <v>40197.709999999992</v>
      </c>
      <c r="M5" s="2208">
        <f>+E5+G5+K5</f>
        <v>134375</v>
      </c>
      <c r="N5" s="2208">
        <f>+F5+H5+L5</f>
        <v>119705.26800000001</v>
      </c>
      <c r="O5" s="1104">
        <v>45833.333333333336</v>
      </c>
      <c r="P5" s="681">
        <v>49152.613999999987</v>
      </c>
      <c r="Q5" s="369">
        <f>+M5+O5</f>
        <v>180208.33333333334</v>
      </c>
      <c r="R5" s="369">
        <f>+N5+P5</f>
        <v>168857.88199999998</v>
      </c>
      <c r="S5" s="1104">
        <v>45833.333333333336</v>
      </c>
      <c r="T5" s="681">
        <v>40383.741999999998</v>
      </c>
      <c r="U5" s="369">
        <f>+Q5+S5</f>
        <v>226041.66666666669</v>
      </c>
      <c r="V5" s="369">
        <f>+R5+T5</f>
        <v>209241.62399999998</v>
      </c>
      <c r="W5" s="1104">
        <v>26041.666666666668</v>
      </c>
      <c r="X5" s="681">
        <v>42888.832000000002</v>
      </c>
      <c r="Y5" s="840">
        <f>O5++S5+W5</f>
        <v>117708.33333333334</v>
      </c>
      <c r="Z5" s="250">
        <f>P5++T5+X5</f>
        <v>132425.18799999999</v>
      </c>
      <c r="AA5" s="841">
        <f>M5+Y5</f>
        <v>252083.33333333334</v>
      </c>
      <c r="AB5" s="656">
        <f>N5+Z5</f>
        <v>252130.45600000001</v>
      </c>
      <c r="AC5" s="1104">
        <v>44270.833333333336</v>
      </c>
      <c r="AD5" s="681">
        <v>31300.876999999993</v>
      </c>
      <c r="AE5" s="369">
        <f>+AA5+AC5</f>
        <v>296354.16666666669</v>
      </c>
      <c r="AF5" s="369">
        <f>+AB5+AD5</f>
        <v>283431.33299999998</v>
      </c>
      <c r="AG5" s="1104">
        <v>44270.833333333336</v>
      </c>
      <c r="AH5" s="681">
        <v>36144.469000000005</v>
      </c>
      <c r="AI5" s="369">
        <f>+AE5+AG5</f>
        <v>340625</v>
      </c>
      <c r="AJ5" s="369">
        <f>+AF5+AH5</f>
        <v>319575.80199999997</v>
      </c>
      <c r="AK5" s="1104">
        <v>45833.333333333336</v>
      </c>
      <c r="AL5" s="681">
        <v>46160.167000000023</v>
      </c>
      <c r="AM5" s="840">
        <f>AC5++AG5+AK5</f>
        <v>134375</v>
      </c>
      <c r="AN5" s="250">
        <f>AD5++AH5+AL5</f>
        <v>113605.51300000001</v>
      </c>
      <c r="AO5" s="369">
        <f>AI5+AK5</f>
        <v>386458.33333333331</v>
      </c>
      <c r="AP5" s="369">
        <f>AJ5+AL5</f>
        <v>365735.96899999998</v>
      </c>
      <c r="AQ5" s="1530">
        <v>46354.166666666672</v>
      </c>
      <c r="AR5" s="610">
        <v>46542.352999999988</v>
      </c>
      <c r="AS5" s="369">
        <f>+AO5+AQ5</f>
        <v>432812.5</v>
      </c>
      <c r="AT5" s="369">
        <f>+AP5+AR5</f>
        <v>412278.32199999999</v>
      </c>
      <c r="AU5" s="1530">
        <v>41666.666666666672</v>
      </c>
      <c r="AV5" s="610">
        <v>39136.924000000014</v>
      </c>
      <c r="AW5" s="369">
        <f>+AS5+AU5</f>
        <v>474479.16666666669</v>
      </c>
      <c r="AX5" s="369">
        <f>+AT5+AV5</f>
        <v>451415.24599999998</v>
      </c>
      <c r="AY5" s="1530">
        <v>46354.166666666672</v>
      </c>
      <c r="AZ5" s="610">
        <v>48905.930000000029</v>
      </c>
      <c r="BA5" s="840">
        <f>AQ5++AU5+AY5</f>
        <v>134375</v>
      </c>
      <c r="BB5" s="250">
        <f>AR5++AV5+AZ5</f>
        <v>134585.20700000002</v>
      </c>
      <c r="BC5" s="841">
        <f>AM5+BA5</f>
        <v>268750</v>
      </c>
      <c r="BD5" s="656">
        <f>AN5+BB5</f>
        <v>248190.72000000003</v>
      </c>
      <c r="BE5" s="369">
        <f>+AW5+AY5</f>
        <v>520833.33333333337</v>
      </c>
      <c r="BF5" s="369">
        <f>+AX5+AZ5</f>
        <v>500321.17600000004</v>
      </c>
      <c r="BG5" s="1202"/>
      <c r="BH5" s="1520">
        <f>E5+G5+K5+O5+S5+W5+AC5+AG5+AK5+AQ5+AU5+AY5-BE5</f>
        <v>0</v>
      </c>
      <c r="BI5" s="1520">
        <f>F5+H5+L5+P5+T5+X5+AD5+AH5+AL5+AR5+AV5+AZ5-BF5</f>
        <v>0</v>
      </c>
      <c r="BJ5" s="26">
        <f>AY5+AU5+AQ5+AK5+AG5+AC5-BC5</f>
        <v>0</v>
      </c>
      <c r="BK5" s="26">
        <f>AZ5+AV5+AR5+AL5+AH5+AD5-BD5</f>
        <v>0</v>
      </c>
      <c r="BL5" s="26">
        <f>AQ5+AU5+AY5-BA5</f>
        <v>0</v>
      </c>
      <c r="BM5" s="26">
        <f>AR5+AV5+AZ5-BB5</f>
        <v>0</v>
      </c>
    </row>
    <row r="6" spans="1:65" ht="16.2" thickBot="1" x14ac:dyDescent="0.35">
      <c r="A6" s="146"/>
      <c r="B6" s="1698" t="s">
        <v>313</v>
      </c>
      <c r="C6" s="2774"/>
      <c r="D6" s="1707"/>
      <c r="E6" s="712"/>
      <c r="F6" s="712"/>
      <c r="G6" s="712"/>
      <c r="H6" s="712"/>
      <c r="I6" s="2775"/>
      <c r="J6" s="2775"/>
      <c r="K6" s="712"/>
      <c r="L6" s="712"/>
      <c r="M6" s="712"/>
      <c r="N6" s="712"/>
      <c r="O6" s="712"/>
      <c r="P6" s="712"/>
      <c r="Q6" s="712"/>
      <c r="R6" s="712"/>
      <c r="S6" s="712"/>
      <c r="T6" s="712"/>
      <c r="U6" s="712"/>
      <c r="V6" s="712"/>
      <c r="W6" s="712"/>
      <c r="X6" s="712"/>
      <c r="Y6" s="1707"/>
      <c r="Z6" s="1707"/>
      <c r="AA6" s="1707"/>
      <c r="AB6" s="1707"/>
      <c r="AC6" s="712"/>
      <c r="AD6" s="712"/>
      <c r="AE6" s="712"/>
      <c r="AF6" s="712"/>
      <c r="AG6" s="712"/>
      <c r="AH6" s="712"/>
      <c r="AI6" s="712"/>
      <c r="AJ6" s="712"/>
      <c r="AK6" s="712"/>
      <c r="AL6" s="712"/>
      <c r="AM6" s="1707"/>
      <c r="AN6" s="1707"/>
      <c r="AO6" s="712"/>
      <c r="AP6" s="712"/>
      <c r="AQ6" s="712"/>
      <c r="AR6" s="1330"/>
      <c r="AS6" s="712"/>
      <c r="AT6" s="712"/>
      <c r="AU6" s="712"/>
      <c r="AV6" s="1330"/>
      <c r="AW6" s="712"/>
      <c r="AX6" s="712"/>
      <c r="AY6" s="712"/>
      <c r="AZ6" s="1330"/>
      <c r="BA6" s="1707"/>
      <c r="BB6" s="1707"/>
      <c r="BC6" s="1707"/>
      <c r="BD6" s="1707"/>
      <c r="BE6" s="712"/>
      <c r="BF6" s="712"/>
      <c r="BG6" s="26"/>
      <c r="BH6" s="1520">
        <f t="shared" ref="BH6:BH69" si="0">E6+G6+K6+O6+S6+W6+AC6+AG6+AK6+AQ6+AU6+AY6-BE6</f>
        <v>0</v>
      </c>
      <c r="BI6" s="1520">
        <f t="shared" ref="BI6:BI69" si="1">F6+H6+L6+P6+T6+X6+AD6+AH6+AL6+AR6+AV6+AZ6-BF6</f>
        <v>0</v>
      </c>
      <c r="BJ6" s="26">
        <f t="shared" ref="BJ6:BJ69" si="2">AY6+AU6+AQ6+AK6+AG6+AC6-BC6</f>
        <v>0</v>
      </c>
      <c r="BK6" s="26">
        <f t="shared" ref="BK6:BK69" si="3">AZ6+AV6+AR6+AL6+AH6+AD6-BD6</f>
        <v>0</v>
      </c>
      <c r="BL6" s="26">
        <f t="shared" ref="BL6:BL69" si="4">AQ6+AU6+AY6-BA6</f>
        <v>0</v>
      </c>
      <c r="BM6" s="26">
        <f t="shared" ref="BM6:BM69" si="5">AR6+AV6+AZ6-BB6</f>
        <v>0</v>
      </c>
    </row>
    <row r="7" spans="1:65" ht="16.2" thickBot="1" x14ac:dyDescent="0.35">
      <c r="A7" s="146"/>
      <c r="B7" s="2776" t="s">
        <v>72</v>
      </c>
      <c r="C7" s="2777" t="s">
        <v>1353</v>
      </c>
      <c r="D7" s="2778" t="s">
        <v>50</v>
      </c>
      <c r="E7" s="2779"/>
      <c r="F7" s="155"/>
      <c r="G7" s="2779"/>
      <c r="H7" s="155"/>
      <c r="I7" s="368"/>
      <c r="J7" s="42">
        <f>+F7+H7</f>
        <v>0</v>
      </c>
      <c r="K7" s="2779"/>
      <c r="L7" s="155"/>
      <c r="M7" s="613"/>
      <c r="N7" s="613">
        <f>+F7+H7+L7</f>
        <v>0</v>
      </c>
      <c r="O7" s="2779"/>
      <c r="P7" s="155"/>
      <c r="Q7" s="368"/>
      <c r="R7" s="368">
        <f>+N7+P7</f>
        <v>0</v>
      </c>
      <c r="S7" s="2779"/>
      <c r="T7" s="155"/>
      <c r="U7" s="368"/>
      <c r="V7" s="368">
        <f>+R7+T7</f>
        <v>0</v>
      </c>
      <c r="W7" s="2779"/>
      <c r="X7" s="155"/>
      <c r="Y7" s="4048"/>
      <c r="Z7" s="4048">
        <f t="shared" ref="Z7:Z78" si="6">P7+T7+X7</f>
        <v>0</v>
      </c>
      <c r="AA7" s="4049"/>
      <c r="AB7" s="4049">
        <f t="shared" ref="AB7:AB78" si="7">N7+Z7</f>
        <v>0</v>
      </c>
      <c r="AC7" s="2779"/>
      <c r="AD7" s="155"/>
      <c r="AE7" s="368"/>
      <c r="AF7" s="368">
        <f>+AB7+AD7</f>
        <v>0</v>
      </c>
      <c r="AG7" s="2779"/>
      <c r="AH7" s="155"/>
      <c r="AI7" s="368"/>
      <c r="AJ7" s="368">
        <f>+AF7+AH7</f>
        <v>0</v>
      </c>
      <c r="AK7" s="2779"/>
      <c r="AL7" s="155"/>
      <c r="AM7" s="4048"/>
      <c r="AN7" s="4048">
        <f t="shared" ref="AN7:AN74" si="8">AD7+AH7+AL7</f>
        <v>0</v>
      </c>
      <c r="AO7" s="368"/>
      <c r="AP7" s="368">
        <f>AJ7+AL7</f>
        <v>0</v>
      </c>
      <c r="AQ7" s="2779"/>
      <c r="AR7" s="155"/>
      <c r="AS7" s="368"/>
      <c r="AT7" s="368">
        <f>+AP7+AR7</f>
        <v>0</v>
      </c>
      <c r="AU7" s="2779"/>
      <c r="AV7" s="155"/>
      <c r="AW7" s="368"/>
      <c r="AX7" s="368">
        <f>+AT7+AV7</f>
        <v>0</v>
      </c>
      <c r="AY7" s="2779"/>
      <c r="AZ7" s="155"/>
      <c r="BA7" s="4048"/>
      <c r="BB7" s="4048">
        <f t="shared" ref="BB7:BB73" si="9">AR7+AV7+AZ7</f>
        <v>0</v>
      </c>
      <c r="BC7" s="4049"/>
      <c r="BD7" s="4049">
        <f>AN7+BB7</f>
        <v>0</v>
      </c>
      <c r="BE7" s="368"/>
      <c r="BF7" s="42">
        <f>+AX7+AZ7</f>
        <v>0</v>
      </c>
      <c r="BG7" s="1202"/>
      <c r="BH7" s="1520">
        <f t="shared" si="0"/>
        <v>0</v>
      </c>
      <c r="BI7" s="1520">
        <f t="shared" si="1"/>
        <v>0</v>
      </c>
      <c r="BJ7" s="26">
        <f t="shared" si="2"/>
        <v>0</v>
      </c>
      <c r="BK7" s="26">
        <f t="shared" si="3"/>
        <v>0</v>
      </c>
      <c r="BL7" s="26">
        <f t="shared" si="4"/>
        <v>0</v>
      </c>
      <c r="BM7" s="26">
        <f t="shared" si="5"/>
        <v>0</v>
      </c>
    </row>
    <row r="8" spans="1:65" ht="16.2" thickBot="1" x14ac:dyDescent="0.35">
      <c r="A8" s="544"/>
      <c r="B8" s="4508" t="s">
        <v>72</v>
      </c>
      <c r="C8" s="4509" t="s">
        <v>961</v>
      </c>
      <c r="D8" s="4510" t="s">
        <v>50</v>
      </c>
      <c r="E8" s="4511"/>
      <c r="F8" s="4512">
        <v>502.24999999999994</v>
      </c>
      <c r="G8" s="4511"/>
      <c r="H8" s="4512"/>
      <c r="I8" s="4506"/>
      <c r="J8" s="42">
        <f t="shared" ref="J8:J73" si="10">+F8+H8</f>
        <v>502.24999999999994</v>
      </c>
      <c r="K8" s="4511"/>
      <c r="L8" s="4512"/>
      <c r="M8" s="4513"/>
      <c r="N8" s="613">
        <f t="shared" ref="N8:N73" si="11">+F8+H8+L8</f>
        <v>502.24999999999994</v>
      </c>
      <c r="O8" s="4511"/>
      <c r="P8" s="4512"/>
      <c r="Q8" s="4506"/>
      <c r="R8" s="368">
        <f t="shared" ref="R8:R73" si="12">+N8+P8</f>
        <v>502.24999999999994</v>
      </c>
      <c r="S8" s="4511"/>
      <c r="T8" s="4512"/>
      <c r="U8" s="4506"/>
      <c r="V8" s="368">
        <f t="shared" ref="V8:V73" si="13">+R8+T8</f>
        <v>502.24999999999994</v>
      </c>
      <c r="W8" s="4511"/>
      <c r="X8" s="4512"/>
      <c r="Y8" s="4513"/>
      <c r="Z8" s="4048">
        <f t="shared" si="6"/>
        <v>0</v>
      </c>
      <c r="AA8" s="4514"/>
      <c r="AB8" s="4049">
        <f t="shared" si="7"/>
        <v>502.24999999999994</v>
      </c>
      <c r="AC8" s="4511"/>
      <c r="AD8" s="4512"/>
      <c r="AE8" s="4506"/>
      <c r="AF8" s="368">
        <f t="shared" ref="AF8:AF73" si="14">+AB8+AD8</f>
        <v>502.24999999999994</v>
      </c>
      <c r="AG8" s="4511"/>
      <c r="AH8" s="4512"/>
      <c r="AI8" s="4506"/>
      <c r="AJ8" s="368">
        <f t="shared" ref="AJ8:AJ10" si="15">+AF8+AH8</f>
        <v>502.24999999999994</v>
      </c>
      <c r="AK8" s="4511"/>
      <c r="AL8" s="4512"/>
      <c r="AM8" s="4513"/>
      <c r="AN8" s="4048">
        <f t="shared" si="8"/>
        <v>0</v>
      </c>
      <c r="AO8" s="4506"/>
      <c r="AP8" s="368">
        <f t="shared" ref="AP8:AP73" si="16">AJ8+AL8</f>
        <v>502.24999999999994</v>
      </c>
      <c r="AQ8" s="4511"/>
      <c r="AR8" s="4512"/>
      <c r="AS8" s="4506"/>
      <c r="AT8" s="4506">
        <f t="shared" ref="AT8:AT73" si="17">+AP8+AR8</f>
        <v>502.24999999999994</v>
      </c>
      <c r="AU8" s="4511"/>
      <c r="AV8" s="4512"/>
      <c r="AW8" s="4506"/>
      <c r="AX8" s="368">
        <f t="shared" ref="AX8:AX73" si="18">+AT8+AV8</f>
        <v>502.24999999999994</v>
      </c>
      <c r="AY8" s="4511"/>
      <c r="AZ8" s="4512"/>
      <c r="BA8" s="4513"/>
      <c r="BB8" s="4454">
        <f t="shared" si="9"/>
        <v>0</v>
      </c>
      <c r="BC8" s="4514"/>
      <c r="BD8" s="4514">
        <f t="shared" ref="BD8:BD74" si="19">AN8+BB8</f>
        <v>0</v>
      </c>
      <c r="BE8" s="4506"/>
      <c r="BF8" s="4446">
        <f t="shared" ref="BF8:BF74" si="20">+AX8+AZ8</f>
        <v>502.24999999999994</v>
      </c>
      <c r="BG8" s="1202"/>
      <c r="BH8" s="1520">
        <f t="shared" si="0"/>
        <v>0</v>
      </c>
      <c r="BI8" s="1520">
        <f t="shared" si="1"/>
        <v>0</v>
      </c>
      <c r="BJ8" s="26">
        <f t="shared" si="2"/>
        <v>0</v>
      </c>
      <c r="BK8" s="26">
        <f t="shared" si="3"/>
        <v>0</v>
      </c>
      <c r="BL8" s="26">
        <f t="shared" si="4"/>
        <v>0</v>
      </c>
      <c r="BM8" s="26">
        <f t="shared" si="5"/>
        <v>0</v>
      </c>
    </row>
    <row r="9" spans="1:65" ht="16.2" thickBot="1" x14ac:dyDescent="0.35">
      <c r="A9" s="146"/>
      <c r="B9" s="4508" t="s">
        <v>72</v>
      </c>
      <c r="C9" s="4509" t="s">
        <v>963</v>
      </c>
      <c r="D9" s="4510" t="s">
        <v>50</v>
      </c>
      <c r="E9" s="4515"/>
      <c r="F9" s="4512"/>
      <c r="G9" s="4515"/>
      <c r="H9" s="4512"/>
      <c r="I9" s="4506"/>
      <c r="J9" s="42">
        <f t="shared" si="10"/>
        <v>0</v>
      </c>
      <c r="K9" s="4515"/>
      <c r="L9" s="4512"/>
      <c r="M9" s="4513"/>
      <c r="N9" s="613">
        <f t="shared" si="11"/>
        <v>0</v>
      </c>
      <c r="O9" s="4515"/>
      <c r="P9" s="4512"/>
      <c r="Q9" s="4506"/>
      <c r="R9" s="368">
        <f t="shared" si="12"/>
        <v>0</v>
      </c>
      <c r="S9" s="4515"/>
      <c r="T9" s="4512"/>
      <c r="U9" s="4506"/>
      <c r="V9" s="368">
        <f t="shared" si="13"/>
        <v>0</v>
      </c>
      <c r="W9" s="4515"/>
      <c r="X9" s="4512"/>
      <c r="Y9" s="4454"/>
      <c r="Z9" s="4048">
        <f t="shared" si="6"/>
        <v>0</v>
      </c>
      <c r="AA9" s="4514"/>
      <c r="AB9" s="4049">
        <f t="shared" si="7"/>
        <v>0</v>
      </c>
      <c r="AC9" s="4515"/>
      <c r="AD9" s="4512"/>
      <c r="AE9" s="4506"/>
      <c r="AF9" s="368">
        <f t="shared" si="14"/>
        <v>0</v>
      </c>
      <c r="AG9" s="4515"/>
      <c r="AH9" s="4512"/>
      <c r="AI9" s="4506"/>
      <c r="AJ9" s="368">
        <f t="shared" si="15"/>
        <v>0</v>
      </c>
      <c r="AK9" s="4515"/>
      <c r="AL9" s="4512"/>
      <c r="AM9" s="4454"/>
      <c r="AN9" s="4048">
        <f t="shared" si="8"/>
        <v>0</v>
      </c>
      <c r="AO9" s="4506"/>
      <c r="AP9" s="368">
        <f t="shared" si="16"/>
        <v>0</v>
      </c>
      <c r="AQ9" s="4515"/>
      <c r="AR9" s="4512"/>
      <c r="AS9" s="4506"/>
      <c r="AT9" s="4506">
        <f t="shared" si="17"/>
        <v>0</v>
      </c>
      <c r="AU9" s="4515"/>
      <c r="AV9" s="4512">
        <f>65.6-2.05</f>
        <v>63.55</v>
      </c>
      <c r="AW9" s="4506"/>
      <c r="AX9" s="368">
        <f t="shared" si="18"/>
        <v>63.55</v>
      </c>
      <c r="AY9" s="4515"/>
      <c r="AZ9" s="4512"/>
      <c r="BA9" s="4454"/>
      <c r="BB9" s="4454">
        <f t="shared" si="9"/>
        <v>63.55</v>
      </c>
      <c r="BC9" s="4514"/>
      <c r="BD9" s="4514">
        <f t="shared" si="19"/>
        <v>63.55</v>
      </c>
      <c r="BE9" s="4506"/>
      <c r="BF9" s="4446">
        <f t="shared" si="20"/>
        <v>63.55</v>
      </c>
      <c r="BG9" s="1202"/>
      <c r="BH9" s="1520">
        <f t="shared" si="0"/>
        <v>0</v>
      </c>
      <c r="BI9" s="1520">
        <f t="shared" si="1"/>
        <v>0</v>
      </c>
      <c r="BJ9" s="26">
        <f t="shared" si="2"/>
        <v>0</v>
      </c>
      <c r="BK9" s="26">
        <f t="shared" si="3"/>
        <v>0</v>
      </c>
      <c r="BL9" s="26">
        <f t="shared" si="4"/>
        <v>0</v>
      </c>
      <c r="BM9" s="26">
        <f t="shared" si="5"/>
        <v>0</v>
      </c>
    </row>
    <row r="10" spans="1:65" ht="16.2" thickBot="1" x14ac:dyDescent="0.35">
      <c r="A10" s="146"/>
      <c r="B10" s="4508" t="s">
        <v>72</v>
      </c>
      <c r="C10" s="4509" t="s">
        <v>1112</v>
      </c>
      <c r="D10" s="4510" t="s">
        <v>50</v>
      </c>
      <c r="E10" s="4515"/>
      <c r="F10" s="4512"/>
      <c r="G10" s="4515"/>
      <c r="H10" s="4512"/>
      <c r="I10" s="4506"/>
      <c r="J10" s="42">
        <f t="shared" si="10"/>
        <v>0</v>
      </c>
      <c r="K10" s="4515"/>
      <c r="L10" s="4512"/>
      <c r="M10" s="4513"/>
      <c r="N10" s="613">
        <f t="shared" si="11"/>
        <v>0</v>
      </c>
      <c r="O10" s="4515"/>
      <c r="P10" s="4512"/>
      <c r="Q10" s="4506"/>
      <c r="R10" s="368">
        <f t="shared" si="12"/>
        <v>0</v>
      </c>
      <c r="S10" s="4515"/>
      <c r="T10" s="4512"/>
      <c r="U10" s="4506"/>
      <c r="V10" s="368">
        <f t="shared" si="13"/>
        <v>0</v>
      </c>
      <c r="W10" s="4515"/>
      <c r="X10" s="4512"/>
      <c r="Y10" s="4454"/>
      <c r="Z10" s="4048">
        <f t="shared" si="6"/>
        <v>0</v>
      </c>
      <c r="AA10" s="4514"/>
      <c r="AB10" s="4049">
        <f t="shared" si="7"/>
        <v>0</v>
      </c>
      <c r="AC10" s="4515"/>
      <c r="AD10" s="4512"/>
      <c r="AE10" s="4506"/>
      <c r="AF10" s="368">
        <f t="shared" si="14"/>
        <v>0</v>
      </c>
      <c r="AG10" s="4515"/>
      <c r="AH10" s="4512"/>
      <c r="AI10" s="4506"/>
      <c r="AJ10" s="368">
        <f t="shared" si="15"/>
        <v>0</v>
      </c>
      <c r="AK10" s="4515"/>
      <c r="AL10" s="4512"/>
      <c r="AM10" s="4454"/>
      <c r="AN10" s="4048">
        <f t="shared" si="8"/>
        <v>0</v>
      </c>
      <c r="AO10" s="4506"/>
      <c r="AP10" s="368">
        <f t="shared" si="16"/>
        <v>0</v>
      </c>
      <c r="AQ10" s="4515"/>
      <c r="AR10" s="4512"/>
      <c r="AS10" s="4506"/>
      <c r="AT10" s="4506">
        <f t="shared" si="17"/>
        <v>0</v>
      </c>
      <c r="AU10" s="4515"/>
      <c r="AV10" s="4512"/>
      <c r="AW10" s="4506"/>
      <c r="AX10" s="368">
        <f t="shared" si="18"/>
        <v>0</v>
      </c>
      <c r="AY10" s="4515"/>
      <c r="AZ10" s="4512"/>
      <c r="BA10" s="4454"/>
      <c r="BB10" s="4454">
        <f t="shared" si="9"/>
        <v>0</v>
      </c>
      <c r="BC10" s="4514"/>
      <c r="BD10" s="4514">
        <f t="shared" si="19"/>
        <v>0</v>
      </c>
      <c r="BE10" s="4506"/>
      <c r="BF10" s="4446">
        <f t="shared" si="20"/>
        <v>0</v>
      </c>
      <c r="BG10" s="1202"/>
      <c r="BH10" s="1520">
        <f t="shared" si="0"/>
        <v>0</v>
      </c>
      <c r="BI10" s="1520">
        <f t="shared" si="1"/>
        <v>0</v>
      </c>
      <c r="BJ10" s="26">
        <f t="shared" si="2"/>
        <v>0</v>
      </c>
      <c r="BK10" s="26">
        <f t="shared" si="3"/>
        <v>0</v>
      </c>
      <c r="BL10" s="26">
        <f t="shared" si="4"/>
        <v>0</v>
      </c>
      <c r="BM10" s="26">
        <f t="shared" si="5"/>
        <v>0</v>
      </c>
    </row>
    <row r="11" spans="1:65" ht="16.2" thickBot="1" x14ac:dyDescent="0.35">
      <c r="A11" s="146"/>
      <c r="B11" s="4508" t="s">
        <v>72</v>
      </c>
      <c r="C11" s="4509" t="s">
        <v>1127</v>
      </c>
      <c r="D11" s="4510" t="s">
        <v>50</v>
      </c>
      <c r="E11" s="4515"/>
      <c r="F11" s="4512"/>
      <c r="G11" s="4515"/>
      <c r="H11" s="4512"/>
      <c r="I11" s="4506"/>
      <c r="J11" s="42">
        <f t="shared" si="10"/>
        <v>0</v>
      </c>
      <c r="K11" s="4515"/>
      <c r="L11" s="4512"/>
      <c r="M11" s="4513"/>
      <c r="N11" s="613">
        <f t="shared" si="11"/>
        <v>0</v>
      </c>
      <c r="O11" s="4515"/>
      <c r="P11" s="4512"/>
      <c r="Q11" s="4506"/>
      <c r="R11" s="368">
        <f t="shared" si="12"/>
        <v>0</v>
      </c>
      <c r="S11" s="4515"/>
      <c r="T11" s="4512"/>
      <c r="U11" s="4506"/>
      <c r="V11" s="368">
        <f t="shared" si="13"/>
        <v>0</v>
      </c>
      <c r="W11" s="4515"/>
      <c r="X11" s="4512"/>
      <c r="Y11" s="4454"/>
      <c r="Z11" s="4048">
        <f t="shared" si="6"/>
        <v>0</v>
      </c>
      <c r="AA11" s="4514"/>
      <c r="AB11" s="4049">
        <f t="shared" si="7"/>
        <v>0</v>
      </c>
      <c r="AC11" s="4515"/>
      <c r="AD11" s="4512"/>
      <c r="AE11" s="4506"/>
      <c r="AF11" s="368">
        <f t="shared" si="14"/>
        <v>0</v>
      </c>
      <c r="AG11" s="4515"/>
      <c r="AH11" s="4512"/>
      <c r="AI11" s="4506"/>
      <c r="AJ11" s="4506">
        <f t="shared" ref="AJ11:AJ75" si="21">+AF11+AH11</f>
        <v>0</v>
      </c>
      <c r="AK11" s="4515"/>
      <c r="AL11" s="4512"/>
      <c r="AM11" s="4454"/>
      <c r="AN11" s="4048">
        <f t="shared" si="8"/>
        <v>0</v>
      </c>
      <c r="AO11" s="4506"/>
      <c r="AP11" s="368">
        <f t="shared" si="16"/>
        <v>0</v>
      </c>
      <c r="AQ11" s="4515"/>
      <c r="AR11" s="4512"/>
      <c r="AS11" s="4506"/>
      <c r="AT11" s="4506">
        <f t="shared" si="17"/>
        <v>0</v>
      </c>
      <c r="AU11" s="4515"/>
      <c r="AV11" s="4512"/>
      <c r="AW11" s="4506"/>
      <c r="AX11" s="368">
        <f t="shared" si="18"/>
        <v>0</v>
      </c>
      <c r="AY11" s="4515"/>
      <c r="AZ11" s="4512"/>
      <c r="BA11" s="4454"/>
      <c r="BB11" s="4454">
        <f t="shared" si="9"/>
        <v>0</v>
      </c>
      <c r="BC11" s="4514"/>
      <c r="BD11" s="4514">
        <f t="shared" si="19"/>
        <v>0</v>
      </c>
      <c r="BE11" s="4506"/>
      <c r="BF11" s="4446">
        <f t="shared" si="20"/>
        <v>0</v>
      </c>
      <c r="BG11" s="1202"/>
      <c r="BH11" s="1520">
        <f t="shared" si="0"/>
        <v>0</v>
      </c>
      <c r="BI11" s="1520">
        <f t="shared" si="1"/>
        <v>0</v>
      </c>
      <c r="BJ11" s="26">
        <f t="shared" si="2"/>
        <v>0</v>
      </c>
      <c r="BK11" s="26">
        <f t="shared" si="3"/>
        <v>0</v>
      </c>
      <c r="BL11" s="26">
        <f t="shared" si="4"/>
        <v>0</v>
      </c>
      <c r="BM11" s="26">
        <f t="shared" si="5"/>
        <v>0</v>
      </c>
    </row>
    <row r="12" spans="1:65" ht="16.2" thickBot="1" x14ac:dyDescent="0.35">
      <c r="A12" s="146"/>
      <c r="B12" s="4508" t="s">
        <v>72</v>
      </c>
      <c r="C12" s="4509" t="s">
        <v>868</v>
      </c>
      <c r="D12" s="4510" t="s">
        <v>50</v>
      </c>
      <c r="E12" s="4511"/>
      <c r="F12" s="4512">
        <v>508.40000000000003</v>
      </c>
      <c r="G12" s="4511"/>
      <c r="H12" s="4512">
        <v>666.25000000000011</v>
      </c>
      <c r="I12" s="4506"/>
      <c r="J12" s="42">
        <f t="shared" si="10"/>
        <v>1174.6500000000001</v>
      </c>
      <c r="K12" s="4511"/>
      <c r="L12" s="4512">
        <v>590.4</v>
      </c>
      <c r="M12" s="4513"/>
      <c r="N12" s="613">
        <f t="shared" si="11"/>
        <v>1765.0500000000002</v>
      </c>
      <c r="O12" s="4511"/>
      <c r="P12" s="4512">
        <v>250.1</v>
      </c>
      <c r="Q12" s="4506"/>
      <c r="R12" s="368">
        <f t="shared" si="12"/>
        <v>2015.15</v>
      </c>
      <c r="S12" s="4511"/>
      <c r="T12" s="4512">
        <f>787.2-6.15</f>
        <v>781.05000000000007</v>
      </c>
      <c r="U12" s="4506"/>
      <c r="V12" s="368">
        <f t="shared" si="13"/>
        <v>2796.2000000000003</v>
      </c>
      <c r="W12" s="4511"/>
      <c r="X12" s="4512">
        <f>1293.55-4.1</f>
        <v>1289.45</v>
      </c>
      <c r="Y12" s="4454"/>
      <c r="Z12" s="4048">
        <f t="shared" si="6"/>
        <v>2320.6000000000004</v>
      </c>
      <c r="AA12" s="4514"/>
      <c r="AB12" s="4049">
        <f t="shared" si="7"/>
        <v>4085.6500000000005</v>
      </c>
      <c r="AC12" s="4511"/>
      <c r="AD12" s="4512"/>
      <c r="AE12" s="4506"/>
      <c r="AF12" s="368">
        <f t="shared" si="14"/>
        <v>4085.6500000000005</v>
      </c>
      <c r="AG12" s="4511"/>
      <c r="AH12" s="4512">
        <f>2033.6-4.1</f>
        <v>2029.5</v>
      </c>
      <c r="AI12" s="4506"/>
      <c r="AJ12" s="368">
        <f t="shared" si="21"/>
        <v>6115.1500000000005</v>
      </c>
      <c r="AK12" s="4511"/>
      <c r="AL12" s="4512">
        <f>641.65-8.2</f>
        <v>633.44999999999993</v>
      </c>
      <c r="AM12" s="4454"/>
      <c r="AN12" s="4048">
        <f t="shared" si="8"/>
        <v>2662.95</v>
      </c>
      <c r="AO12" s="4506"/>
      <c r="AP12" s="368">
        <f t="shared" si="16"/>
        <v>6748.6</v>
      </c>
      <c r="AQ12" s="4511"/>
      <c r="AR12" s="4512">
        <v>334.15000000000003</v>
      </c>
      <c r="AS12" s="4506"/>
      <c r="AT12" s="4506">
        <f t="shared" si="17"/>
        <v>7082.75</v>
      </c>
      <c r="AU12" s="4511"/>
      <c r="AV12" s="4512">
        <f>426.4-12.3</f>
        <v>414.09999999999997</v>
      </c>
      <c r="AW12" s="4506"/>
      <c r="AX12" s="368">
        <f t="shared" si="18"/>
        <v>7496.85</v>
      </c>
      <c r="AY12" s="4511"/>
      <c r="AZ12" s="4512">
        <v>274.7</v>
      </c>
      <c r="BA12" s="4454"/>
      <c r="BB12" s="4454">
        <f t="shared" si="9"/>
        <v>1022.95</v>
      </c>
      <c r="BC12" s="4514"/>
      <c r="BD12" s="4514">
        <f t="shared" si="19"/>
        <v>3685.8999999999996</v>
      </c>
      <c r="BE12" s="4506"/>
      <c r="BF12" s="4446">
        <f t="shared" si="20"/>
        <v>7771.55</v>
      </c>
      <c r="BG12" s="1202"/>
      <c r="BH12" s="1520">
        <f t="shared" si="0"/>
        <v>0</v>
      </c>
      <c r="BI12" s="1520">
        <f t="shared" si="1"/>
        <v>0</v>
      </c>
      <c r="BJ12" s="26">
        <f t="shared" si="2"/>
        <v>0</v>
      </c>
      <c r="BK12" s="26">
        <f t="shared" si="3"/>
        <v>0</v>
      </c>
      <c r="BL12" s="26">
        <f t="shared" si="4"/>
        <v>0</v>
      </c>
      <c r="BM12" s="26">
        <f t="shared" si="5"/>
        <v>0</v>
      </c>
    </row>
    <row r="13" spans="1:65" ht="16.2" thickBot="1" x14ac:dyDescent="0.35">
      <c r="A13" s="146"/>
      <c r="B13" s="4508" t="s">
        <v>72</v>
      </c>
      <c r="C13" s="4509" t="s">
        <v>869</v>
      </c>
      <c r="D13" s="4510" t="s">
        <v>50</v>
      </c>
      <c r="E13" s="4511"/>
      <c r="F13" s="4512">
        <f>528.9-6.15</f>
        <v>522.75</v>
      </c>
      <c r="G13" s="4511"/>
      <c r="H13" s="4512">
        <f>489.95-4.1</f>
        <v>485.84999999999997</v>
      </c>
      <c r="I13" s="4506"/>
      <c r="J13" s="42">
        <f t="shared" si="10"/>
        <v>1008.5999999999999</v>
      </c>
      <c r="K13" s="4511"/>
      <c r="L13" s="4512">
        <v>508.40000000000003</v>
      </c>
      <c r="M13" s="4513"/>
      <c r="N13" s="613">
        <f t="shared" si="11"/>
        <v>1517</v>
      </c>
      <c r="O13" s="4511"/>
      <c r="P13" s="4512"/>
      <c r="Q13" s="4506"/>
      <c r="R13" s="368">
        <f t="shared" si="12"/>
        <v>1517</v>
      </c>
      <c r="S13" s="4511"/>
      <c r="T13" s="4512"/>
      <c r="U13" s="4506"/>
      <c r="V13" s="368">
        <f t="shared" si="13"/>
        <v>1517</v>
      </c>
      <c r="W13" s="4511"/>
      <c r="X13" s="4512"/>
      <c r="Y13" s="4454"/>
      <c r="Z13" s="4048">
        <f t="shared" si="6"/>
        <v>0</v>
      </c>
      <c r="AA13" s="4514"/>
      <c r="AB13" s="4049">
        <f t="shared" si="7"/>
        <v>1517</v>
      </c>
      <c r="AC13" s="4511"/>
      <c r="AD13" s="4512"/>
      <c r="AE13" s="4506"/>
      <c r="AF13" s="368">
        <f t="shared" si="14"/>
        <v>1517</v>
      </c>
      <c r="AG13" s="4511"/>
      <c r="AH13" s="4512">
        <f>168.1-2.05</f>
        <v>166.04999999999998</v>
      </c>
      <c r="AI13" s="4506"/>
      <c r="AJ13" s="368">
        <f t="shared" si="21"/>
        <v>1683.05</v>
      </c>
      <c r="AK13" s="4511"/>
      <c r="AL13" s="4512"/>
      <c r="AM13" s="4454"/>
      <c r="AN13" s="4048">
        <f t="shared" si="8"/>
        <v>166.04999999999998</v>
      </c>
      <c r="AO13" s="4506"/>
      <c r="AP13" s="368">
        <f t="shared" si="16"/>
        <v>1683.05</v>
      </c>
      <c r="AQ13" s="4511"/>
      <c r="AR13" s="4512"/>
      <c r="AS13" s="4506"/>
      <c r="AT13" s="4506">
        <f t="shared" si="17"/>
        <v>1683.05</v>
      </c>
      <c r="AU13" s="4511"/>
      <c r="AV13" s="4512">
        <v>379.25000000000006</v>
      </c>
      <c r="AW13" s="4506"/>
      <c r="AX13" s="368">
        <f t="shared" si="18"/>
        <v>2062.3000000000002</v>
      </c>
      <c r="AY13" s="4511"/>
      <c r="AZ13" s="4512">
        <v>373.1</v>
      </c>
      <c r="BA13" s="4454"/>
      <c r="BB13" s="4454">
        <f t="shared" si="9"/>
        <v>752.35000000000014</v>
      </c>
      <c r="BC13" s="4514"/>
      <c r="BD13" s="4514">
        <f t="shared" si="19"/>
        <v>918.40000000000009</v>
      </c>
      <c r="BE13" s="4506"/>
      <c r="BF13" s="4446">
        <f t="shared" si="20"/>
        <v>2435.4</v>
      </c>
      <c r="BG13" s="1202"/>
      <c r="BH13" s="1520">
        <f t="shared" si="0"/>
        <v>0</v>
      </c>
      <c r="BI13" s="1520">
        <f t="shared" si="1"/>
        <v>0</v>
      </c>
      <c r="BJ13" s="26">
        <f t="shared" si="2"/>
        <v>0</v>
      </c>
      <c r="BK13" s="26">
        <f t="shared" si="3"/>
        <v>0</v>
      </c>
      <c r="BL13" s="26">
        <f t="shared" si="4"/>
        <v>0</v>
      </c>
      <c r="BM13" s="26">
        <f t="shared" si="5"/>
        <v>0</v>
      </c>
    </row>
    <row r="14" spans="1:65" ht="16.5" customHeight="1" thickBot="1" x14ac:dyDescent="0.35">
      <c r="A14" s="146"/>
      <c r="B14" s="4508" t="s">
        <v>72</v>
      </c>
      <c r="C14" s="4509" t="s">
        <v>1311</v>
      </c>
      <c r="D14" s="4510" t="s">
        <v>50</v>
      </c>
      <c r="E14" s="4511"/>
      <c r="F14" s="4512"/>
      <c r="G14" s="4511"/>
      <c r="H14" s="4512"/>
      <c r="I14" s="4506"/>
      <c r="J14" s="42">
        <f t="shared" si="10"/>
        <v>0</v>
      </c>
      <c r="K14" s="4511"/>
      <c r="L14" s="4512">
        <v>161.95000000000002</v>
      </c>
      <c r="M14" s="4513"/>
      <c r="N14" s="613">
        <f t="shared" si="11"/>
        <v>161.95000000000002</v>
      </c>
      <c r="O14" s="4511"/>
      <c r="P14" s="4512">
        <v>676.5</v>
      </c>
      <c r="Q14" s="4506"/>
      <c r="R14" s="368">
        <f t="shared" si="12"/>
        <v>838.45</v>
      </c>
      <c r="S14" s="4511"/>
      <c r="T14" s="4512">
        <v>211.14999999999998</v>
      </c>
      <c r="U14" s="4506"/>
      <c r="V14" s="368">
        <f t="shared" si="13"/>
        <v>1049.5999999999999</v>
      </c>
      <c r="W14" s="4511"/>
      <c r="X14" s="4512">
        <f>1328.4-2.05</f>
        <v>1326.3500000000001</v>
      </c>
      <c r="Y14" s="4454"/>
      <c r="Z14" s="4048">
        <f t="shared" si="6"/>
        <v>2214</v>
      </c>
      <c r="AA14" s="4514"/>
      <c r="AB14" s="4049">
        <f t="shared" si="7"/>
        <v>2375.9499999999998</v>
      </c>
      <c r="AC14" s="4511"/>
      <c r="AD14" s="4512"/>
      <c r="AE14" s="4506"/>
      <c r="AF14" s="368">
        <f t="shared" si="14"/>
        <v>2375.9499999999998</v>
      </c>
      <c r="AG14" s="4511"/>
      <c r="AH14" s="4512"/>
      <c r="AI14" s="4506"/>
      <c r="AJ14" s="368">
        <f t="shared" si="21"/>
        <v>2375.9499999999998</v>
      </c>
      <c r="AK14" s="4511"/>
      <c r="AL14" s="4512"/>
      <c r="AM14" s="4454"/>
      <c r="AN14" s="4048">
        <f t="shared" si="8"/>
        <v>0</v>
      </c>
      <c r="AO14" s="4506"/>
      <c r="AP14" s="368">
        <f t="shared" si="16"/>
        <v>2375.9499999999998</v>
      </c>
      <c r="AQ14" s="4511"/>
      <c r="AR14" s="4512">
        <v>670.35</v>
      </c>
      <c r="AS14" s="4506"/>
      <c r="AT14" s="4506">
        <f t="shared" si="17"/>
        <v>3046.2999999999997</v>
      </c>
      <c r="AU14" s="4511"/>
      <c r="AV14" s="4512"/>
      <c r="AW14" s="4506"/>
      <c r="AX14" s="368">
        <f t="shared" si="18"/>
        <v>3046.2999999999997</v>
      </c>
      <c r="AY14" s="4511"/>
      <c r="AZ14" s="4512"/>
      <c r="BA14" s="4454"/>
      <c r="BB14" s="4454">
        <f t="shared" si="9"/>
        <v>670.35</v>
      </c>
      <c r="BC14" s="4514"/>
      <c r="BD14" s="4514">
        <f t="shared" si="19"/>
        <v>670.35</v>
      </c>
      <c r="BE14" s="4506"/>
      <c r="BF14" s="4446">
        <f t="shared" si="20"/>
        <v>3046.2999999999997</v>
      </c>
      <c r="BG14" s="1202"/>
      <c r="BH14" s="1520">
        <f t="shared" si="0"/>
        <v>0</v>
      </c>
      <c r="BI14" s="1520">
        <f t="shared" si="1"/>
        <v>0</v>
      </c>
      <c r="BJ14" s="26">
        <f t="shared" si="2"/>
        <v>0</v>
      </c>
      <c r="BK14" s="26">
        <f t="shared" si="3"/>
        <v>0</v>
      </c>
      <c r="BL14" s="26">
        <f t="shared" si="4"/>
        <v>0</v>
      </c>
      <c r="BM14" s="26">
        <f t="shared" si="5"/>
        <v>0</v>
      </c>
    </row>
    <row r="15" spans="1:65" ht="16.2" thickBot="1" x14ac:dyDescent="0.35">
      <c r="A15" s="146"/>
      <c r="B15" s="4508" t="s">
        <v>72</v>
      </c>
      <c r="C15" s="4509" t="s">
        <v>962</v>
      </c>
      <c r="D15" s="4510" t="s">
        <v>50</v>
      </c>
      <c r="E15" s="4511"/>
      <c r="F15" s="4512">
        <v>1020.9</v>
      </c>
      <c r="G15" s="4511"/>
      <c r="H15" s="4512">
        <v>223.45000000000002</v>
      </c>
      <c r="I15" s="4506"/>
      <c r="J15" s="42">
        <f t="shared" si="10"/>
        <v>1244.3499999999999</v>
      </c>
      <c r="K15" s="4511"/>
      <c r="L15" s="4512">
        <f>539.15-2.05</f>
        <v>537.1</v>
      </c>
      <c r="M15" s="4513"/>
      <c r="N15" s="613">
        <f t="shared" si="11"/>
        <v>1781.4499999999998</v>
      </c>
      <c r="O15" s="4511"/>
      <c r="P15" s="4512">
        <v>325.95</v>
      </c>
      <c r="Q15" s="4506"/>
      <c r="R15" s="368">
        <f t="shared" si="12"/>
        <v>2107.3999999999996</v>
      </c>
      <c r="S15" s="4511"/>
      <c r="T15" s="4512">
        <v>1055.75</v>
      </c>
      <c r="U15" s="4506"/>
      <c r="V15" s="368">
        <f t="shared" si="13"/>
        <v>3163.1499999999996</v>
      </c>
      <c r="W15" s="4511"/>
      <c r="X15" s="4512">
        <v>742.1</v>
      </c>
      <c r="Y15" s="4454"/>
      <c r="Z15" s="4048">
        <f t="shared" si="6"/>
        <v>2123.8000000000002</v>
      </c>
      <c r="AA15" s="4514"/>
      <c r="AB15" s="4049">
        <f t="shared" si="7"/>
        <v>3905.25</v>
      </c>
      <c r="AC15" s="4511"/>
      <c r="AD15" s="4512"/>
      <c r="AE15" s="4506"/>
      <c r="AF15" s="368">
        <f t="shared" si="14"/>
        <v>3905.25</v>
      </c>
      <c r="AG15" s="4511"/>
      <c r="AH15" s="4512">
        <v>321.85000000000002</v>
      </c>
      <c r="AI15" s="4506"/>
      <c r="AJ15" s="368">
        <f t="shared" si="21"/>
        <v>4227.1000000000004</v>
      </c>
      <c r="AK15" s="4511"/>
      <c r="AL15" s="4512">
        <v>399.75</v>
      </c>
      <c r="AM15" s="4454"/>
      <c r="AN15" s="4048">
        <f t="shared" si="8"/>
        <v>721.6</v>
      </c>
      <c r="AO15" s="4506"/>
      <c r="AP15" s="368">
        <f t="shared" si="16"/>
        <v>4626.8500000000004</v>
      </c>
      <c r="AQ15" s="4511"/>
      <c r="AR15" s="4512">
        <v>227.54999999999998</v>
      </c>
      <c r="AS15" s="4506"/>
      <c r="AT15" s="4506">
        <f t="shared" si="17"/>
        <v>4854.4000000000005</v>
      </c>
      <c r="AU15" s="4511"/>
      <c r="AV15" s="4512">
        <v>979.90000000000009</v>
      </c>
      <c r="AW15" s="4506"/>
      <c r="AX15" s="368">
        <f t="shared" si="18"/>
        <v>5834.3000000000011</v>
      </c>
      <c r="AY15" s="4511"/>
      <c r="AZ15" s="4512">
        <v>186.55</v>
      </c>
      <c r="BA15" s="4454"/>
      <c r="BB15" s="4454">
        <f t="shared" si="9"/>
        <v>1394</v>
      </c>
      <c r="BC15" s="4514"/>
      <c r="BD15" s="4514">
        <f t="shared" si="19"/>
        <v>2115.6</v>
      </c>
      <c r="BE15" s="4506"/>
      <c r="BF15" s="4446">
        <f t="shared" si="20"/>
        <v>6020.8500000000013</v>
      </c>
      <c r="BG15" s="1202"/>
      <c r="BH15" s="1520">
        <f t="shared" si="0"/>
        <v>0</v>
      </c>
      <c r="BI15" s="1520">
        <f t="shared" si="1"/>
        <v>0</v>
      </c>
      <c r="BJ15" s="26">
        <f t="shared" si="2"/>
        <v>0</v>
      </c>
      <c r="BK15" s="26">
        <f t="shared" si="3"/>
        <v>0</v>
      </c>
      <c r="BL15" s="26">
        <f t="shared" si="4"/>
        <v>0</v>
      </c>
      <c r="BM15" s="26">
        <f t="shared" si="5"/>
        <v>0</v>
      </c>
    </row>
    <row r="16" spans="1:65" ht="16.2" thickBot="1" x14ac:dyDescent="0.35">
      <c r="A16" s="146"/>
      <c r="B16" s="4508" t="s">
        <v>72</v>
      </c>
      <c r="C16" s="4509" t="s">
        <v>1582</v>
      </c>
      <c r="D16" s="4510" t="s">
        <v>50</v>
      </c>
      <c r="E16" s="4511"/>
      <c r="F16" s="4512"/>
      <c r="G16" s="4511"/>
      <c r="H16" s="4512"/>
      <c r="I16" s="4506"/>
      <c r="J16" s="42">
        <f t="shared" si="10"/>
        <v>0</v>
      </c>
      <c r="K16" s="4511"/>
      <c r="L16" s="4512"/>
      <c r="M16" s="4513"/>
      <c r="N16" s="613">
        <f t="shared" si="11"/>
        <v>0</v>
      </c>
      <c r="O16" s="4511"/>
      <c r="P16" s="4512"/>
      <c r="Q16" s="4506"/>
      <c r="R16" s="368">
        <f t="shared" si="12"/>
        <v>0</v>
      </c>
      <c r="S16" s="4511"/>
      <c r="T16" s="4512"/>
      <c r="U16" s="4506"/>
      <c r="V16" s="368">
        <f t="shared" si="13"/>
        <v>0</v>
      </c>
      <c r="W16" s="4511"/>
      <c r="X16" s="4512"/>
      <c r="Y16" s="4454"/>
      <c r="Z16" s="4048">
        <f t="shared" si="6"/>
        <v>0</v>
      </c>
      <c r="AA16" s="4514"/>
      <c r="AB16" s="4049">
        <f t="shared" si="7"/>
        <v>0</v>
      </c>
      <c r="AC16" s="4511"/>
      <c r="AD16" s="4512"/>
      <c r="AE16" s="4506"/>
      <c r="AF16" s="368">
        <f t="shared" si="14"/>
        <v>0</v>
      </c>
      <c r="AG16" s="4511"/>
      <c r="AH16" s="4512"/>
      <c r="AI16" s="4506"/>
      <c r="AJ16" s="368">
        <f t="shared" si="21"/>
        <v>0</v>
      </c>
      <c r="AK16" s="4511"/>
      <c r="AL16" s="4512"/>
      <c r="AM16" s="4454"/>
      <c r="AN16" s="4048">
        <f t="shared" si="8"/>
        <v>0</v>
      </c>
      <c r="AO16" s="4506"/>
      <c r="AP16" s="368">
        <f t="shared" si="16"/>
        <v>0</v>
      </c>
      <c r="AQ16" s="4511"/>
      <c r="AR16" s="4512"/>
      <c r="AS16" s="4506"/>
      <c r="AT16" s="4506">
        <f t="shared" si="17"/>
        <v>0</v>
      </c>
      <c r="AU16" s="4511"/>
      <c r="AV16" s="4512"/>
      <c r="AW16" s="4506"/>
      <c r="AX16" s="368">
        <f t="shared" si="18"/>
        <v>0</v>
      </c>
      <c r="AY16" s="4511"/>
      <c r="AZ16" s="4512"/>
      <c r="BA16" s="4454"/>
      <c r="BB16" s="4454">
        <f t="shared" si="9"/>
        <v>0</v>
      </c>
      <c r="BC16" s="4514"/>
      <c r="BD16" s="4514">
        <f t="shared" si="19"/>
        <v>0</v>
      </c>
      <c r="BE16" s="4506"/>
      <c r="BF16" s="4446">
        <f t="shared" si="20"/>
        <v>0</v>
      </c>
      <c r="BG16" s="1202"/>
      <c r="BH16" s="1520">
        <f t="shared" si="0"/>
        <v>0</v>
      </c>
      <c r="BI16" s="1520">
        <f t="shared" si="1"/>
        <v>0</v>
      </c>
      <c r="BJ16" s="26">
        <f t="shared" si="2"/>
        <v>0</v>
      </c>
      <c r="BK16" s="26">
        <f t="shared" si="3"/>
        <v>0</v>
      </c>
      <c r="BL16" s="26">
        <f t="shared" si="4"/>
        <v>0</v>
      </c>
      <c r="BM16" s="26">
        <f t="shared" si="5"/>
        <v>0</v>
      </c>
    </row>
    <row r="17" spans="1:65" ht="16.2" thickBot="1" x14ac:dyDescent="0.35">
      <c r="A17" s="146"/>
      <c r="B17" s="4508" t="s">
        <v>72</v>
      </c>
      <c r="C17" s="4509" t="s">
        <v>965</v>
      </c>
      <c r="D17" s="4510" t="s">
        <v>50</v>
      </c>
      <c r="E17" s="4511"/>
      <c r="F17" s="4512">
        <v>483.8</v>
      </c>
      <c r="G17" s="4511"/>
      <c r="H17" s="4512">
        <v>328</v>
      </c>
      <c r="I17" s="4506"/>
      <c r="J17" s="42">
        <f t="shared" si="10"/>
        <v>811.8</v>
      </c>
      <c r="K17" s="4511"/>
      <c r="L17" s="4512">
        <v>491.99999999999994</v>
      </c>
      <c r="M17" s="4513"/>
      <c r="N17" s="613">
        <f t="shared" si="11"/>
        <v>1303.8</v>
      </c>
      <c r="O17" s="4511"/>
      <c r="P17" s="4512">
        <v>270.60000000000002</v>
      </c>
      <c r="Q17" s="4506"/>
      <c r="R17" s="368">
        <f t="shared" si="12"/>
        <v>1574.4</v>
      </c>
      <c r="S17" s="4511"/>
      <c r="T17" s="4512">
        <f>340.3-2.05</f>
        <v>338.25</v>
      </c>
      <c r="U17" s="4506"/>
      <c r="V17" s="368">
        <f t="shared" si="13"/>
        <v>1912.65</v>
      </c>
      <c r="W17" s="4511"/>
      <c r="X17" s="4512"/>
      <c r="Y17" s="4454"/>
      <c r="Z17" s="4048">
        <f t="shared" si="6"/>
        <v>608.85</v>
      </c>
      <c r="AA17" s="4514"/>
      <c r="AB17" s="4049">
        <f t="shared" si="7"/>
        <v>1912.65</v>
      </c>
      <c r="AC17" s="4511"/>
      <c r="AD17" s="4512"/>
      <c r="AE17" s="4506"/>
      <c r="AF17" s="368">
        <f t="shared" si="14"/>
        <v>1912.65</v>
      </c>
      <c r="AG17" s="4511"/>
      <c r="AH17" s="4512"/>
      <c r="AI17" s="4506"/>
      <c r="AJ17" s="368">
        <f t="shared" si="21"/>
        <v>1912.65</v>
      </c>
      <c r="AK17" s="4511"/>
      <c r="AL17" s="4512">
        <v>709.30000000000007</v>
      </c>
      <c r="AM17" s="4454"/>
      <c r="AN17" s="4048">
        <f t="shared" si="8"/>
        <v>709.30000000000007</v>
      </c>
      <c r="AO17" s="4506"/>
      <c r="AP17" s="368">
        <f t="shared" si="16"/>
        <v>2621.9500000000003</v>
      </c>
      <c r="AQ17" s="4511"/>
      <c r="AR17" s="4512">
        <v>631.4</v>
      </c>
      <c r="AS17" s="4506"/>
      <c r="AT17" s="4506">
        <f t="shared" si="17"/>
        <v>3253.3500000000004</v>
      </c>
      <c r="AU17" s="4511"/>
      <c r="AV17" s="4512"/>
      <c r="AW17" s="4506"/>
      <c r="AX17" s="368">
        <f t="shared" si="18"/>
        <v>3253.3500000000004</v>
      </c>
      <c r="AY17" s="4511"/>
      <c r="AZ17" s="4512">
        <v>120.95</v>
      </c>
      <c r="BA17" s="4454"/>
      <c r="BB17" s="4454">
        <f t="shared" si="9"/>
        <v>752.35</v>
      </c>
      <c r="BC17" s="4514"/>
      <c r="BD17" s="4514">
        <f t="shared" si="19"/>
        <v>1461.65</v>
      </c>
      <c r="BE17" s="4506"/>
      <c r="BF17" s="4446">
        <f t="shared" si="20"/>
        <v>3374.3</v>
      </c>
      <c r="BG17" s="1202"/>
      <c r="BH17" s="1520">
        <f t="shared" si="0"/>
        <v>0</v>
      </c>
      <c r="BI17" s="1520">
        <f t="shared" si="1"/>
        <v>0</v>
      </c>
      <c r="BJ17" s="26">
        <f t="shared" si="2"/>
        <v>0</v>
      </c>
      <c r="BK17" s="26">
        <f t="shared" si="3"/>
        <v>0</v>
      </c>
      <c r="BL17" s="26">
        <f t="shared" si="4"/>
        <v>0</v>
      </c>
      <c r="BM17" s="26">
        <f t="shared" si="5"/>
        <v>0</v>
      </c>
    </row>
    <row r="18" spans="1:65" ht="16.2" thickBot="1" x14ac:dyDescent="0.35">
      <c r="A18" s="146"/>
      <c r="B18" s="4508" t="s">
        <v>72</v>
      </c>
      <c r="C18" s="4509" t="s">
        <v>964</v>
      </c>
      <c r="D18" s="4510" t="s">
        <v>50</v>
      </c>
      <c r="E18" s="4511"/>
      <c r="F18" s="4512">
        <v>506.34999999999991</v>
      </c>
      <c r="G18" s="4511"/>
      <c r="H18" s="4512">
        <v>479.70000000000005</v>
      </c>
      <c r="I18" s="4506"/>
      <c r="J18" s="42">
        <f t="shared" si="10"/>
        <v>986.05</v>
      </c>
      <c r="K18" s="4511"/>
      <c r="L18" s="4512">
        <v>477.65</v>
      </c>
      <c r="M18" s="4513"/>
      <c r="N18" s="613">
        <f t="shared" si="11"/>
        <v>1463.6999999999998</v>
      </c>
      <c r="O18" s="4511"/>
      <c r="P18" s="4512">
        <v>455.10000000000014</v>
      </c>
      <c r="Q18" s="4506"/>
      <c r="R18" s="368">
        <f t="shared" si="12"/>
        <v>1918.8</v>
      </c>
      <c r="S18" s="4511"/>
      <c r="T18" s="4512">
        <v>1152.1000000000001</v>
      </c>
      <c r="U18" s="4506"/>
      <c r="V18" s="368">
        <f t="shared" si="13"/>
        <v>3070.9</v>
      </c>
      <c r="W18" s="4511"/>
      <c r="X18" s="4512">
        <v>512.5</v>
      </c>
      <c r="Y18" s="4454"/>
      <c r="Z18" s="4048">
        <f t="shared" si="6"/>
        <v>2119.7000000000003</v>
      </c>
      <c r="AA18" s="4514"/>
      <c r="AB18" s="4049">
        <f t="shared" si="7"/>
        <v>3583.4</v>
      </c>
      <c r="AC18" s="4511"/>
      <c r="AD18" s="4512"/>
      <c r="AE18" s="4506"/>
      <c r="AF18" s="368">
        <f t="shared" si="14"/>
        <v>3583.4</v>
      </c>
      <c r="AG18" s="4511"/>
      <c r="AH18" s="4512">
        <v>668.30000000000007</v>
      </c>
      <c r="AI18" s="4506"/>
      <c r="AJ18" s="368">
        <f t="shared" si="21"/>
        <v>4251.7</v>
      </c>
      <c r="AK18" s="4511"/>
      <c r="AL18" s="4512">
        <v>627.30000000000018</v>
      </c>
      <c r="AM18" s="4454"/>
      <c r="AN18" s="4048">
        <f t="shared" si="8"/>
        <v>1295.6000000000004</v>
      </c>
      <c r="AO18" s="4506"/>
      <c r="AP18" s="368">
        <f t="shared" si="16"/>
        <v>4879</v>
      </c>
      <c r="AQ18" s="4511"/>
      <c r="AR18" s="4512">
        <v>973.75</v>
      </c>
      <c r="AS18" s="4506"/>
      <c r="AT18" s="4506">
        <f t="shared" si="17"/>
        <v>5852.75</v>
      </c>
      <c r="AU18" s="4511"/>
      <c r="AV18" s="4512">
        <v>182.45000000000002</v>
      </c>
      <c r="AW18" s="4506"/>
      <c r="AX18" s="368">
        <f t="shared" si="18"/>
        <v>6035.2</v>
      </c>
      <c r="AY18" s="4511"/>
      <c r="AZ18" s="4512">
        <v>619.09999999999991</v>
      </c>
      <c r="BA18" s="4454"/>
      <c r="BB18" s="4454">
        <f t="shared" si="9"/>
        <v>1775.3</v>
      </c>
      <c r="BC18" s="4514"/>
      <c r="BD18" s="4514">
        <f t="shared" si="19"/>
        <v>3070.9000000000005</v>
      </c>
      <c r="BE18" s="4506"/>
      <c r="BF18" s="4446">
        <f t="shared" si="20"/>
        <v>6654.2999999999993</v>
      </c>
      <c r="BG18" s="1202"/>
      <c r="BH18" s="1520">
        <f t="shared" si="0"/>
        <v>0</v>
      </c>
      <c r="BI18" s="1520">
        <f t="shared" si="1"/>
        <v>0</v>
      </c>
      <c r="BJ18" s="26">
        <f t="shared" si="2"/>
        <v>0</v>
      </c>
      <c r="BK18" s="26">
        <f t="shared" si="3"/>
        <v>0</v>
      </c>
      <c r="BL18" s="26">
        <f t="shared" si="4"/>
        <v>0</v>
      </c>
      <c r="BM18" s="26">
        <f t="shared" si="5"/>
        <v>0</v>
      </c>
    </row>
    <row r="19" spans="1:65" ht="16.2" thickBot="1" x14ac:dyDescent="0.35">
      <c r="A19" s="146"/>
      <c r="B19" s="4508" t="s">
        <v>72</v>
      </c>
      <c r="C19" s="4509" t="s">
        <v>1126</v>
      </c>
      <c r="D19" s="4510" t="s">
        <v>50</v>
      </c>
      <c r="E19" s="4511"/>
      <c r="F19" s="4512">
        <v>252.14999999999998</v>
      </c>
      <c r="G19" s="4511"/>
      <c r="H19" s="4512">
        <v>243.95000000000002</v>
      </c>
      <c r="I19" s="4506"/>
      <c r="J19" s="42">
        <f t="shared" si="10"/>
        <v>496.1</v>
      </c>
      <c r="K19" s="4511"/>
      <c r="L19" s="4512"/>
      <c r="M19" s="4513"/>
      <c r="N19" s="613">
        <f t="shared" si="11"/>
        <v>496.1</v>
      </c>
      <c r="O19" s="4511"/>
      <c r="P19" s="4512">
        <v>202.95</v>
      </c>
      <c r="Q19" s="4506"/>
      <c r="R19" s="368">
        <f t="shared" si="12"/>
        <v>699.05</v>
      </c>
      <c r="S19" s="4511"/>
      <c r="T19" s="4512">
        <v>399.74999999999994</v>
      </c>
      <c r="U19" s="4506"/>
      <c r="V19" s="368">
        <f t="shared" si="13"/>
        <v>1098.8</v>
      </c>
      <c r="W19" s="4511"/>
      <c r="X19" s="4512"/>
      <c r="Y19" s="4454"/>
      <c r="Z19" s="4048">
        <f t="shared" si="6"/>
        <v>602.69999999999993</v>
      </c>
      <c r="AA19" s="4514"/>
      <c r="AB19" s="4049">
        <f t="shared" si="7"/>
        <v>1098.8</v>
      </c>
      <c r="AC19" s="4511"/>
      <c r="AD19" s="4512"/>
      <c r="AE19" s="4506"/>
      <c r="AF19" s="368">
        <f t="shared" si="14"/>
        <v>1098.8</v>
      </c>
      <c r="AG19" s="4511"/>
      <c r="AH19" s="4512"/>
      <c r="AI19" s="4506"/>
      <c r="AJ19" s="368">
        <f t="shared" si="21"/>
        <v>1098.8</v>
      </c>
      <c r="AK19" s="4511"/>
      <c r="AL19" s="4512">
        <v>340.3</v>
      </c>
      <c r="AM19" s="4454"/>
      <c r="AN19" s="4048">
        <f t="shared" si="8"/>
        <v>340.3</v>
      </c>
      <c r="AO19" s="4506"/>
      <c r="AP19" s="368">
        <f t="shared" si="16"/>
        <v>1439.1</v>
      </c>
      <c r="AQ19" s="4511"/>
      <c r="AR19" s="4512">
        <v>407.95</v>
      </c>
      <c r="AS19" s="4506"/>
      <c r="AT19" s="4506">
        <f t="shared" si="17"/>
        <v>1847.05</v>
      </c>
      <c r="AU19" s="4511"/>
      <c r="AV19" s="4512">
        <v>291.10000000000002</v>
      </c>
      <c r="AW19" s="4506"/>
      <c r="AX19" s="368">
        <f t="shared" si="18"/>
        <v>2138.15</v>
      </c>
      <c r="AY19" s="4511"/>
      <c r="AZ19" s="4512"/>
      <c r="BA19" s="4454"/>
      <c r="BB19" s="4454">
        <f t="shared" si="9"/>
        <v>699.05</v>
      </c>
      <c r="BC19" s="4514"/>
      <c r="BD19" s="4514">
        <f t="shared" si="19"/>
        <v>1039.3499999999999</v>
      </c>
      <c r="BE19" s="4506"/>
      <c r="BF19" s="4446">
        <f t="shared" si="20"/>
        <v>2138.15</v>
      </c>
      <c r="BG19" s="1202"/>
      <c r="BH19" s="1520">
        <f t="shared" si="0"/>
        <v>0</v>
      </c>
      <c r="BI19" s="1520">
        <f t="shared" si="1"/>
        <v>0</v>
      </c>
      <c r="BJ19" s="26">
        <f t="shared" si="2"/>
        <v>0</v>
      </c>
      <c r="BK19" s="26">
        <f t="shared" si="3"/>
        <v>0</v>
      </c>
      <c r="BL19" s="26">
        <f t="shared" si="4"/>
        <v>0</v>
      </c>
      <c r="BM19" s="26">
        <f t="shared" si="5"/>
        <v>0</v>
      </c>
    </row>
    <row r="20" spans="1:65" ht="16.2" thickBot="1" x14ac:dyDescent="0.35">
      <c r="A20" s="146"/>
      <c r="B20" s="3839" t="s">
        <v>72</v>
      </c>
      <c r="C20" s="3840" t="s">
        <v>966</v>
      </c>
      <c r="D20" s="3060" t="s">
        <v>50</v>
      </c>
      <c r="E20" s="5394"/>
      <c r="F20" s="5285">
        <v>1184.8999999999996</v>
      </c>
      <c r="G20" s="5394"/>
      <c r="H20" s="5285">
        <f>1644.1-2.05</f>
        <v>1642.05</v>
      </c>
      <c r="I20" s="4425"/>
      <c r="J20" s="5399">
        <f t="shared" si="10"/>
        <v>2826.95</v>
      </c>
      <c r="K20" s="5394"/>
      <c r="L20" s="5285">
        <v>1564.1499999999994</v>
      </c>
      <c r="M20" s="5306"/>
      <c r="N20" s="5400">
        <f t="shared" si="11"/>
        <v>4391.0999999999995</v>
      </c>
      <c r="O20" s="5394"/>
      <c r="P20" s="5285">
        <v>1008.5999999999999</v>
      </c>
      <c r="Q20" s="4425"/>
      <c r="R20" s="5401">
        <f t="shared" si="12"/>
        <v>5399.6999999999989</v>
      </c>
      <c r="S20" s="5394"/>
      <c r="T20" s="5285">
        <f>2134.05-4.1</f>
        <v>2129.9500000000003</v>
      </c>
      <c r="U20" s="4425"/>
      <c r="V20" s="5401">
        <f t="shared" si="13"/>
        <v>7529.65</v>
      </c>
      <c r="W20" s="5394"/>
      <c r="X20" s="5285">
        <v>514.54999999999995</v>
      </c>
      <c r="Y20" s="5395"/>
      <c r="Z20" s="5402">
        <f t="shared" si="6"/>
        <v>3653.1000000000004</v>
      </c>
      <c r="AA20" s="5396"/>
      <c r="AB20" s="5403">
        <f t="shared" si="7"/>
        <v>8044.2</v>
      </c>
      <c r="AC20" s="5394"/>
      <c r="AD20" s="5285"/>
      <c r="AE20" s="4425"/>
      <c r="AF20" s="5401">
        <f t="shared" si="14"/>
        <v>8044.2</v>
      </c>
      <c r="AG20" s="5394"/>
      <c r="AH20" s="5285">
        <v>967.60000000000014</v>
      </c>
      <c r="AI20" s="4425"/>
      <c r="AJ20" s="5401">
        <f t="shared" si="21"/>
        <v>9011.7999999999993</v>
      </c>
      <c r="AK20" s="5394"/>
      <c r="AL20" s="5285">
        <v>596.54999999999995</v>
      </c>
      <c r="AM20" s="5395"/>
      <c r="AN20" s="5402">
        <f t="shared" si="8"/>
        <v>1564.15</v>
      </c>
      <c r="AO20" s="4425"/>
      <c r="AP20" s="5401">
        <f t="shared" si="16"/>
        <v>9608.3499999999985</v>
      </c>
      <c r="AQ20" s="5394"/>
      <c r="AR20" s="5285">
        <v>1287.4000000000001</v>
      </c>
      <c r="AS20" s="4425"/>
      <c r="AT20" s="4425">
        <f t="shared" si="17"/>
        <v>10895.749999999998</v>
      </c>
      <c r="AU20" s="5394"/>
      <c r="AV20" s="5285">
        <v>403.84999999999991</v>
      </c>
      <c r="AW20" s="4425"/>
      <c r="AX20" s="5401">
        <f t="shared" si="18"/>
        <v>11299.599999999999</v>
      </c>
      <c r="AY20" s="5394"/>
      <c r="AZ20" s="5285">
        <v>1582.5999999999997</v>
      </c>
      <c r="BA20" s="4523"/>
      <c r="BB20" s="4523">
        <f t="shared" si="9"/>
        <v>3273.8499999999995</v>
      </c>
      <c r="BC20" s="4524"/>
      <c r="BD20" s="4524">
        <f t="shared" si="19"/>
        <v>4838</v>
      </c>
      <c r="BE20" s="4520"/>
      <c r="BF20" s="4521">
        <f t="shared" si="20"/>
        <v>12882.199999999999</v>
      </c>
      <c r="BG20" s="1202"/>
      <c r="BH20" s="1520">
        <f t="shared" si="0"/>
        <v>0</v>
      </c>
      <c r="BI20" s="1520">
        <f t="shared" si="1"/>
        <v>0</v>
      </c>
      <c r="BJ20" s="26">
        <f t="shared" si="2"/>
        <v>0</v>
      </c>
      <c r="BK20" s="26">
        <f t="shared" si="3"/>
        <v>0</v>
      </c>
      <c r="BL20" s="26">
        <f t="shared" si="4"/>
        <v>0</v>
      </c>
      <c r="BM20" s="26">
        <f t="shared" si="5"/>
        <v>0</v>
      </c>
    </row>
    <row r="21" spans="1:65" ht="16.2" thickBot="1" x14ac:dyDescent="0.35">
      <c r="A21" s="146"/>
      <c r="B21" s="3839" t="s">
        <v>72</v>
      </c>
      <c r="C21" s="2534" t="s">
        <v>1130</v>
      </c>
      <c r="D21" s="3060" t="s">
        <v>50</v>
      </c>
      <c r="E21" s="5404"/>
      <c r="F21" s="5119"/>
      <c r="G21" s="5404"/>
      <c r="H21" s="5119"/>
      <c r="I21" s="5120"/>
      <c r="J21" s="5120"/>
      <c r="K21" s="5404"/>
      <c r="L21" s="5119"/>
      <c r="M21" s="5121"/>
      <c r="N21" s="5121"/>
      <c r="O21" s="5404"/>
      <c r="P21" s="5119"/>
      <c r="Q21" s="5120"/>
      <c r="R21" s="5120"/>
      <c r="S21" s="5404"/>
      <c r="T21" s="5119"/>
      <c r="U21" s="5120"/>
      <c r="V21" s="5120"/>
      <c r="W21" s="5404"/>
      <c r="X21" s="5119"/>
      <c r="Y21" s="5364"/>
      <c r="Z21" s="5364"/>
      <c r="AA21" s="5365"/>
      <c r="AB21" s="5365"/>
      <c r="AC21" s="5404"/>
      <c r="AD21" s="5119"/>
      <c r="AE21" s="5120"/>
      <c r="AF21" s="5120"/>
      <c r="AG21" s="5404"/>
      <c r="AH21" s="5119"/>
      <c r="AI21" s="5120"/>
      <c r="AJ21" s="5120"/>
      <c r="AK21" s="5404"/>
      <c r="AL21" s="5119"/>
      <c r="AM21" s="5364"/>
      <c r="AN21" s="5364"/>
      <c r="AO21" s="5120"/>
      <c r="AP21" s="5120"/>
      <c r="AQ21" s="5404"/>
      <c r="AR21" s="5119"/>
      <c r="AS21" s="5120"/>
      <c r="AT21" s="5120"/>
      <c r="AU21" s="5404"/>
      <c r="AV21" s="5119">
        <v>131.19999999999999</v>
      </c>
      <c r="AW21" s="5120"/>
      <c r="AX21" s="5401">
        <f t="shared" si="18"/>
        <v>131.19999999999999</v>
      </c>
      <c r="AY21" s="5404"/>
      <c r="AZ21" s="5119"/>
      <c r="BA21" s="5397"/>
      <c r="BB21" s="4523">
        <f t="shared" si="9"/>
        <v>131.19999999999999</v>
      </c>
      <c r="BC21" s="5398"/>
      <c r="BD21" s="4524">
        <f t="shared" si="19"/>
        <v>131.19999999999999</v>
      </c>
      <c r="BE21" s="3440"/>
      <c r="BF21" s="4521">
        <f t="shared" si="20"/>
        <v>131.19999999999999</v>
      </c>
      <c r="BG21" s="1202"/>
      <c r="BH21" s="1520">
        <f t="shared" si="0"/>
        <v>0</v>
      </c>
      <c r="BI21" s="1520">
        <f t="shared" si="1"/>
        <v>0</v>
      </c>
      <c r="BJ21" s="26">
        <f t="shared" si="2"/>
        <v>0</v>
      </c>
      <c r="BK21" s="26">
        <f t="shared" si="3"/>
        <v>0</v>
      </c>
      <c r="BL21" s="26">
        <f t="shared" si="4"/>
        <v>0</v>
      </c>
      <c r="BM21" s="26">
        <f t="shared" si="5"/>
        <v>0</v>
      </c>
    </row>
    <row r="22" spans="1:65" ht="16.2" thickBot="1" x14ac:dyDescent="0.35">
      <c r="A22" s="146"/>
      <c r="B22" s="4516" t="s">
        <v>72</v>
      </c>
      <c r="C22" s="4517" t="s">
        <v>967</v>
      </c>
      <c r="D22" s="3060" t="s">
        <v>50</v>
      </c>
      <c r="E22" s="4518"/>
      <c r="F22" s="4519"/>
      <c r="G22" s="4518"/>
      <c r="H22" s="4519"/>
      <c r="I22" s="4520"/>
      <c r="J22" s="4520"/>
      <c r="K22" s="4518"/>
      <c r="L22" s="4519"/>
      <c r="M22" s="4522"/>
      <c r="N22" s="4522"/>
      <c r="O22" s="4518"/>
      <c r="P22" s="4519"/>
      <c r="Q22" s="4520"/>
      <c r="R22" s="4520"/>
      <c r="S22" s="4518"/>
      <c r="T22" s="4519"/>
      <c r="U22" s="4520"/>
      <c r="V22" s="4520"/>
      <c r="W22" s="4518"/>
      <c r="X22" s="4519"/>
      <c r="Y22" s="4523"/>
      <c r="Z22" s="4523"/>
      <c r="AA22" s="4524"/>
      <c r="AB22" s="4524"/>
      <c r="AC22" s="4518"/>
      <c r="AD22" s="4519"/>
      <c r="AE22" s="4520"/>
      <c r="AF22" s="4520"/>
      <c r="AG22" s="4518"/>
      <c r="AH22" s="4519"/>
      <c r="AI22" s="4520"/>
      <c r="AJ22" s="4520"/>
      <c r="AK22" s="4518"/>
      <c r="AL22" s="4519"/>
      <c r="AM22" s="4523"/>
      <c r="AN22" s="4523"/>
      <c r="AO22" s="4520"/>
      <c r="AP22" s="4520"/>
      <c r="AQ22" s="4518"/>
      <c r="AR22" s="4519"/>
      <c r="AS22" s="4520"/>
      <c r="AT22" s="4520"/>
      <c r="AU22" s="4518"/>
      <c r="AV22" s="4519">
        <v>375.15</v>
      </c>
      <c r="AW22" s="4520"/>
      <c r="AX22" s="2913">
        <f t="shared" si="18"/>
        <v>375.15</v>
      </c>
      <c r="AY22" s="4518"/>
      <c r="AZ22" s="4519"/>
      <c r="BA22" s="5397"/>
      <c r="BB22" s="4523">
        <f t="shared" si="9"/>
        <v>375.15</v>
      </c>
      <c r="BC22" s="5398"/>
      <c r="BD22" s="4524">
        <f t="shared" si="19"/>
        <v>375.15</v>
      </c>
      <c r="BE22" s="3440"/>
      <c r="BF22" s="4521">
        <f t="shared" si="20"/>
        <v>375.15</v>
      </c>
      <c r="BG22" s="1202"/>
      <c r="BH22" s="1520">
        <f t="shared" si="0"/>
        <v>0</v>
      </c>
      <c r="BI22" s="1520">
        <f t="shared" si="1"/>
        <v>0</v>
      </c>
      <c r="BJ22" s="26">
        <f t="shared" si="2"/>
        <v>0</v>
      </c>
      <c r="BK22" s="26">
        <f t="shared" si="3"/>
        <v>0</v>
      </c>
      <c r="BL22" s="26">
        <f t="shared" si="4"/>
        <v>0</v>
      </c>
      <c r="BM22" s="26">
        <f t="shared" si="5"/>
        <v>0</v>
      </c>
    </row>
    <row r="23" spans="1:65" ht="16.2" thickBot="1" x14ac:dyDescent="0.35">
      <c r="A23" s="146"/>
      <c r="B23" s="4041" t="s">
        <v>74</v>
      </c>
      <c r="C23" s="4042" t="s">
        <v>1353</v>
      </c>
      <c r="D23" s="48" t="s">
        <v>50</v>
      </c>
      <c r="E23" s="4507"/>
      <c r="F23" s="1186">
        <v>475.60000000000008</v>
      </c>
      <c r="G23" s="4507"/>
      <c r="H23" s="1186">
        <f>1965.95-2.05</f>
        <v>1963.9</v>
      </c>
      <c r="I23" s="567"/>
      <c r="J23" s="61">
        <f t="shared" si="10"/>
        <v>2439.5</v>
      </c>
      <c r="K23" s="4507"/>
      <c r="L23" s="1186">
        <v>301.34999999999997</v>
      </c>
      <c r="M23" s="482"/>
      <c r="N23" s="482">
        <f t="shared" si="11"/>
        <v>2740.85</v>
      </c>
      <c r="O23" s="4507"/>
      <c r="P23" s="1186">
        <v>990.15000000000009</v>
      </c>
      <c r="Q23" s="567"/>
      <c r="R23" s="567">
        <f t="shared" si="12"/>
        <v>3731</v>
      </c>
      <c r="S23" s="4507"/>
      <c r="T23" s="1186">
        <v>303.39999999999998</v>
      </c>
      <c r="U23" s="567"/>
      <c r="V23" s="567">
        <f t="shared" si="13"/>
        <v>4034.4</v>
      </c>
      <c r="W23" s="4507"/>
      <c r="X23" s="1186">
        <f>1197.2-2.05</f>
        <v>1195.1500000000001</v>
      </c>
      <c r="Y23" s="4044"/>
      <c r="Z23" s="4044">
        <f t="shared" si="6"/>
        <v>2488.7000000000003</v>
      </c>
      <c r="AA23" s="4045"/>
      <c r="AB23" s="4045">
        <f t="shared" si="7"/>
        <v>5229.55</v>
      </c>
      <c r="AC23" s="4507"/>
      <c r="AD23" s="1186">
        <v>442.79999999999995</v>
      </c>
      <c r="AE23" s="567"/>
      <c r="AF23" s="567">
        <f t="shared" si="14"/>
        <v>5672.35</v>
      </c>
      <c r="AG23" s="4507"/>
      <c r="AH23" s="1186">
        <v>1070.1000000000001</v>
      </c>
      <c r="AI23" s="567"/>
      <c r="AJ23" s="567">
        <f t="shared" si="21"/>
        <v>6742.4500000000007</v>
      </c>
      <c r="AK23" s="4507"/>
      <c r="AL23" s="1186">
        <v>918.4</v>
      </c>
      <c r="AM23" s="4044"/>
      <c r="AN23" s="4044">
        <f t="shared" si="8"/>
        <v>2431.3000000000002</v>
      </c>
      <c r="AO23" s="567"/>
      <c r="AP23" s="567">
        <f t="shared" si="16"/>
        <v>7660.85</v>
      </c>
      <c r="AQ23" s="4507"/>
      <c r="AR23" s="1186"/>
      <c r="AS23" s="567"/>
      <c r="AT23" s="567">
        <f t="shared" si="17"/>
        <v>7660.85</v>
      </c>
      <c r="AU23" s="4507"/>
      <c r="AV23" s="1186">
        <v>1353</v>
      </c>
      <c r="AW23" s="567"/>
      <c r="AX23" s="567">
        <f t="shared" si="18"/>
        <v>9013.85</v>
      </c>
      <c r="AY23" s="4507"/>
      <c r="AZ23" s="1186">
        <v>5303.3500000000031</v>
      </c>
      <c r="BA23" s="4044"/>
      <c r="BB23" s="4044">
        <f t="shared" si="9"/>
        <v>6656.3500000000031</v>
      </c>
      <c r="BC23" s="4045"/>
      <c r="BD23" s="4045">
        <f t="shared" si="19"/>
        <v>9087.6500000000033</v>
      </c>
      <c r="BE23" s="567"/>
      <c r="BF23" s="567">
        <f t="shared" si="20"/>
        <v>14317.200000000004</v>
      </c>
      <c r="BG23" s="1202"/>
      <c r="BH23" s="1520">
        <f t="shared" si="0"/>
        <v>0</v>
      </c>
      <c r="BI23" s="1520">
        <f t="shared" si="1"/>
        <v>0</v>
      </c>
      <c r="BJ23" s="26">
        <f t="shared" si="2"/>
        <v>0</v>
      </c>
      <c r="BK23" s="26">
        <f t="shared" si="3"/>
        <v>0</v>
      </c>
      <c r="BL23" s="26">
        <f t="shared" si="4"/>
        <v>0</v>
      </c>
      <c r="BM23" s="26">
        <f t="shared" si="5"/>
        <v>0</v>
      </c>
    </row>
    <row r="24" spans="1:65" ht="16.2" thickBot="1" x14ac:dyDescent="0.35">
      <c r="A24" s="146"/>
      <c r="B24" s="842" t="s">
        <v>74</v>
      </c>
      <c r="C24" s="2534" t="s">
        <v>961</v>
      </c>
      <c r="D24" s="2535" t="s">
        <v>50</v>
      </c>
      <c r="E24" s="2580"/>
      <c r="F24" s="2537">
        <f>4300.88-77.9</f>
        <v>4222.9800000000005</v>
      </c>
      <c r="G24" s="2580"/>
      <c r="H24" s="2537">
        <f>5545.25-14.35</f>
        <v>5530.9</v>
      </c>
      <c r="I24" s="2538"/>
      <c r="J24" s="42">
        <f t="shared" si="10"/>
        <v>9753.880000000001</v>
      </c>
      <c r="K24" s="2580"/>
      <c r="L24" s="2537">
        <f>4975.35-22.55-2.05</f>
        <v>4950.75</v>
      </c>
      <c r="M24" s="774"/>
      <c r="N24" s="613">
        <f t="shared" si="11"/>
        <v>14704.630000000001</v>
      </c>
      <c r="O24" s="2580"/>
      <c r="P24" s="2537">
        <f>9288.55-22.55</f>
        <v>9266</v>
      </c>
      <c r="Q24" s="775"/>
      <c r="R24" s="368">
        <f t="shared" si="12"/>
        <v>23970.63</v>
      </c>
      <c r="S24" s="2580"/>
      <c r="T24" s="2537">
        <f>10489.85-65.6</f>
        <v>10424.25</v>
      </c>
      <c r="U24" s="775"/>
      <c r="V24" s="368">
        <f t="shared" si="13"/>
        <v>34394.880000000005</v>
      </c>
      <c r="W24" s="2580"/>
      <c r="X24" s="2537">
        <f>10875.25-2.05</f>
        <v>10873.2</v>
      </c>
      <c r="Y24" s="570"/>
      <c r="Z24" s="4048">
        <f t="shared" si="6"/>
        <v>30563.45</v>
      </c>
      <c r="AA24" s="657"/>
      <c r="AB24" s="4049">
        <f t="shared" si="7"/>
        <v>45268.08</v>
      </c>
      <c r="AC24" s="2580"/>
      <c r="AD24" s="2537">
        <f>6900.3-16.4</f>
        <v>6883.9000000000005</v>
      </c>
      <c r="AE24" s="775"/>
      <c r="AF24" s="368">
        <f t="shared" si="14"/>
        <v>52151.98</v>
      </c>
      <c r="AG24" s="2580"/>
      <c r="AH24" s="2537">
        <f>7757.2-16.4</f>
        <v>7740.8</v>
      </c>
      <c r="AI24" s="775"/>
      <c r="AJ24" s="368">
        <f t="shared" si="21"/>
        <v>59892.780000000006</v>
      </c>
      <c r="AK24" s="2580"/>
      <c r="AL24" s="2537">
        <f>8161.05-10.25-4.1</f>
        <v>8146.7</v>
      </c>
      <c r="AM24" s="570"/>
      <c r="AN24" s="4048">
        <f t="shared" si="8"/>
        <v>22771.4</v>
      </c>
      <c r="AO24" s="775"/>
      <c r="AP24" s="368">
        <f t="shared" si="16"/>
        <v>68039.48000000001</v>
      </c>
      <c r="AQ24" s="2580"/>
      <c r="AR24" s="2537">
        <f>7166.80000000001-14.35-2.05</f>
        <v>7150.4000000000096</v>
      </c>
      <c r="AS24" s="775"/>
      <c r="AT24" s="775">
        <f t="shared" si="17"/>
        <v>75189.880000000019</v>
      </c>
      <c r="AU24" s="2580"/>
      <c r="AV24" s="2537">
        <v>8312.7500000000036</v>
      </c>
      <c r="AW24" s="775"/>
      <c r="AX24" s="368">
        <f t="shared" si="18"/>
        <v>83502.630000000019</v>
      </c>
      <c r="AY24" s="2580"/>
      <c r="AZ24" s="2537"/>
      <c r="BA24" s="570"/>
      <c r="BB24" s="570">
        <f t="shared" si="9"/>
        <v>15463.150000000012</v>
      </c>
      <c r="BC24" s="657"/>
      <c r="BD24" s="657">
        <f t="shared" si="19"/>
        <v>38234.550000000017</v>
      </c>
      <c r="BE24" s="775"/>
      <c r="BF24" s="775">
        <f t="shared" si="20"/>
        <v>83502.630000000019</v>
      </c>
      <c r="BG24" s="1202"/>
      <c r="BH24" s="1520">
        <f t="shared" si="0"/>
        <v>0</v>
      </c>
      <c r="BI24" s="1520">
        <f t="shared" si="1"/>
        <v>0</v>
      </c>
      <c r="BJ24" s="26">
        <f t="shared" si="2"/>
        <v>0</v>
      </c>
      <c r="BK24" s="26">
        <f t="shared" si="3"/>
        <v>0</v>
      </c>
      <c r="BL24" s="26">
        <f t="shared" si="4"/>
        <v>0</v>
      </c>
      <c r="BM24" s="26">
        <f t="shared" si="5"/>
        <v>0</v>
      </c>
    </row>
    <row r="25" spans="1:65" ht="16.2" thickBot="1" x14ac:dyDescent="0.35">
      <c r="A25" s="146"/>
      <c r="B25" s="842" t="s">
        <v>74</v>
      </c>
      <c r="C25" s="2534" t="s">
        <v>963</v>
      </c>
      <c r="D25" s="2535" t="s">
        <v>50</v>
      </c>
      <c r="E25" s="2580"/>
      <c r="F25" s="2537">
        <f>1678.95-2.05</f>
        <v>1676.9</v>
      </c>
      <c r="G25" s="2580"/>
      <c r="H25" s="2537">
        <f>2343.15-2.05</f>
        <v>2341.1</v>
      </c>
      <c r="I25" s="2538"/>
      <c r="J25" s="42">
        <f t="shared" si="10"/>
        <v>4018</v>
      </c>
      <c r="K25" s="2580"/>
      <c r="L25" s="2537">
        <v>1754.8000000000002</v>
      </c>
      <c r="M25" s="774"/>
      <c r="N25" s="613">
        <f t="shared" si="11"/>
        <v>5772.8</v>
      </c>
      <c r="O25" s="2580"/>
      <c r="P25" s="2537">
        <v>2121.7499999999986</v>
      </c>
      <c r="Q25" s="775"/>
      <c r="R25" s="368">
        <f t="shared" si="12"/>
        <v>7894.5499999999993</v>
      </c>
      <c r="S25" s="2580"/>
      <c r="T25" s="2537">
        <f>1432.95-2.05</f>
        <v>1430.9</v>
      </c>
      <c r="U25" s="775"/>
      <c r="V25" s="368">
        <f t="shared" si="13"/>
        <v>9325.4499999999989</v>
      </c>
      <c r="W25" s="2580"/>
      <c r="X25" s="2537">
        <f>1391.95-2.05</f>
        <v>1389.9</v>
      </c>
      <c r="Y25" s="570"/>
      <c r="Z25" s="4048">
        <f t="shared" si="6"/>
        <v>4942.5499999999993</v>
      </c>
      <c r="AA25" s="657"/>
      <c r="AB25" s="4049">
        <f t="shared" si="7"/>
        <v>10715.349999999999</v>
      </c>
      <c r="AC25" s="2580"/>
      <c r="AD25" s="2537">
        <v>401.79999999999995</v>
      </c>
      <c r="AE25" s="775"/>
      <c r="AF25" s="368">
        <f t="shared" si="14"/>
        <v>11117.149999999998</v>
      </c>
      <c r="AG25" s="2580"/>
      <c r="AH25" s="2537">
        <f>930.7-2.05</f>
        <v>928.65000000000009</v>
      </c>
      <c r="AI25" s="775"/>
      <c r="AJ25" s="368">
        <f t="shared" si="21"/>
        <v>12045.799999999997</v>
      </c>
      <c r="AK25" s="2580"/>
      <c r="AL25" s="2537">
        <v>1307.9000000000001</v>
      </c>
      <c r="AM25" s="570"/>
      <c r="AN25" s="4048">
        <f t="shared" si="8"/>
        <v>2638.3500000000004</v>
      </c>
      <c r="AO25" s="775"/>
      <c r="AP25" s="368">
        <f t="shared" si="16"/>
        <v>13353.699999999997</v>
      </c>
      <c r="AQ25" s="2580"/>
      <c r="AR25" s="2537">
        <f>926.6-4.1</f>
        <v>922.5</v>
      </c>
      <c r="AS25" s="775"/>
      <c r="AT25" s="775">
        <f t="shared" si="17"/>
        <v>14276.199999999997</v>
      </c>
      <c r="AU25" s="2580"/>
      <c r="AV25" s="2537">
        <f>1857.3-12.3</f>
        <v>1845</v>
      </c>
      <c r="AW25" s="775"/>
      <c r="AX25" s="368">
        <f t="shared" si="18"/>
        <v>16121.199999999997</v>
      </c>
      <c r="AY25" s="2580"/>
      <c r="AZ25" s="2537"/>
      <c r="BA25" s="570"/>
      <c r="BB25" s="570">
        <f t="shared" si="9"/>
        <v>2767.5</v>
      </c>
      <c r="BC25" s="657"/>
      <c r="BD25" s="657">
        <f t="shared" si="19"/>
        <v>5405.85</v>
      </c>
      <c r="BE25" s="775"/>
      <c r="BF25" s="775">
        <f t="shared" si="20"/>
        <v>16121.199999999997</v>
      </c>
      <c r="BG25" s="1202"/>
      <c r="BH25" s="1520">
        <f t="shared" si="0"/>
        <v>0</v>
      </c>
      <c r="BI25" s="1520">
        <f t="shared" si="1"/>
        <v>0</v>
      </c>
      <c r="BJ25" s="26">
        <f t="shared" si="2"/>
        <v>0</v>
      </c>
      <c r="BK25" s="26">
        <f t="shared" si="3"/>
        <v>0</v>
      </c>
      <c r="BL25" s="26">
        <f t="shared" si="4"/>
        <v>0</v>
      </c>
      <c r="BM25" s="26">
        <f t="shared" si="5"/>
        <v>0</v>
      </c>
    </row>
    <row r="26" spans="1:65" ht="16.2" thickBot="1" x14ac:dyDescent="0.35">
      <c r="A26" s="146"/>
      <c r="B26" s="842" t="s">
        <v>74</v>
      </c>
      <c r="C26" s="2534" t="s">
        <v>1112</v>
      </c>
      <c r="D26" s="2535" t="s">
        <v>50</v>
      </c>
      <c r="E26" s="2580"/>
      <c r="F26" s="2537"/>
      <c r="G26" s="2580"/>
      <c r="H26" s="2537"/>
      <c r="I26" s="2538"/>
      <c r="J26" s="42">
        <f t="shared" si="10"/>
        <v>0</v>
      </c>
      <c r="K26" s="2580"/>
      <c r="L26" s="2537"/>
      <c r="M26" s="774"/>
      <c r="N26" s="613">
        <f t="shared" si="11"/>
        <v>0</v>
      </c>
      <c r="O26" s="2580"/>
      <c r="P26" s="2537"/>
      <c r="Q26" s="775"/>
      <c r="R26" s="368">
        <f t="shared" si="12"/>
        <v>0</v>
      </c>
      <c r="S26" s="2580"/>
      <c r="T26" s="2537"/>
      <c r="U26" s="775"/>
      <c r="V26" s="368">
        <f t="shared" si="13"/>
        <v>0</v>
      </c>
      <c r="W26" s="2580"/>
      <c r="X26" s="2537"/>
      <c r="Y26" s="570"/>
      <c r="Z26" s="4048">
        <f t="shared" si="6"/>
        <v>0</v>
      </c>
      <c r="AA26" s="657"/>
      <c r="AB26" s="4049">
        <f t="shared" si="7"/>
        <v>0</v>
      </c>
      <c r="AC26" s="2580"/>
      <c r="AD26" s="2537"/>
      <c r="AE26" s="775"/>
      <c r="AF26" s="368">
        <f t="shared" si="14"/>
        <v>0</v>
      </c>
      <c r="AG26" s="2580"/>
      <c r="AH26" s="2537"/>
      <c r="AI26" s="775"/>
      <c r="AJ26" s="368">
        <f t="shared" si="21"/>
        <v>0</v>
      </c>
      <c r="AK26" s="2580"/>
      <c r="AL26" s="2537"/>
      <c r="AM26" s="570"/>
      <c r="AN26" s="4048">
        <f t="shared" si="8"/>
        <v>0</v>
      </c>
      <c r="AO26" s="775"/>
      <c r="AP26" s="368">
        <f t="shared" si="16"/>
        <v>0</v>
      </c>
      <c r="AQ26" s="2580"/>
      <c r="AR26" s="2537"/>
      <c r="AS26" s="775"/>
      <c r="AT26" s="775">
        <f t="shared" si="17"/>
        <v>0</v>
      </c>
      <c r="AU26" s="2580"/>
      <c r="AV26" s="2537"/>
      <c r="AW26" s="775"/>
      <c r="AX26" s="368">
        <f t="shared" si="18"/>
        <v>0</v>
      </c>
      <c r="AY26" s="2580"/>
      <c r="AZ26" s="2537"/>
      <c r="BA26" s="570"/>
      <c r="BB26" s="570">
        <f t="shared" si="9"/>
        <v>0</v>
      </c>
      <c r="BC26" s="657"/>
      <c r="BD26" s="657">
        <f t="shared" si="19"/>
        <v>0</v>
      </c>
      <c r="BE26" s="775"/>
      <c r="BF26" s="775">
        <f t="shared" si="20"/>
        <v>0</v>
      </c>
      <c r="BG26" s="1202"/>
      <c r="BH26" s="1520">
        <f t="shared" si="0"/>
        <v>0</v>
      </c>
      <c r="BI26" s="1520">
        <f t="shared" si="1"/>
        <v>0</v>
      </c>
      <c r="BJ26" s="26">
        <f t="shared" si="2"/>
        <v>0</v>
      </c>
      <c r="BK26" s="26">
        <f t="shared" si="3"/>
        <v>0</v>
      </c>
      <c r="BL26" s="26">
        <f t="shared" si="4"/>
        <v>0</v>
      </c>
      <c r="BM26" s="26">
        <f t="shared" si="5"/>
        <v>0</v>
      </c>
    </row>
    <row r="27" spans="1:65" ht="16.2" thickBot="1" x14ac:dyDescent="0.35">
      <c r="A27" s="146"/>
      <c r="B27" s="842" t="s">
        <v>74</v>
      </c>
      <c r="C27" s="2534" t="s">
        <v>1127</v>
      </c>
      <c r="D27" s="2535" t="s">
        <v>50</v>
      </c>
      <c r="E27" s="2580"/>
      <c r="F27" s="2537"/>
      <c r="G27" s="2580"/>
      <c r="H27" s="2537"/>
      <c r="I27" s="2538"/>
      <c r="J27" s="42">
        <f t="shared" si="10"/>
        <v>0</v>
      </c>
      <c r="K27" s="2580"/>
      <c r="L27" s="2537"/>
      <c r="M27" s="774"/>
      <c r="N27" s="613">
        <f t="shared" si="11"/>
        <v>0</v>
      </c>
      <c r="O27" s="2580"/>
      <c r="P27" s="2537"/>
      <c r="Q27" s="775"/>
      <c r="R27" s="368">
        <f t="shared" si="12"/>
        <v>0</v>
      </c>
      <c r="S27" s="2580"/>
      <c r="T27" s="2537"/>
      <c r="U27" s="775"/>
      <c r="V27" s="368">
        <f t="shared" si="13"/>
        <v>0</v>
      </c>
      <c r="W27" s="2580"/>
      <c r="X27" s="2537"/>
      <c r="Y27" s="570"/>
      <c r="Z27" s="4048">
        <f t="shared" si="6"/>
        <v>0</v>
      </c>
      <c r="AA27" s="657"/>
      <c r="AB27" s="4049">
        <f t="shared" si="7"/>
        <v>0</v>
      </c>
      <c r="AC27" s="2580"/>
      <c r="AD27" s="2537"/>
      <c r="AE27" s="775"/>
      <c r="AF27" s="368">
        <f t="shared" si="14"/>
        <v>0</v>
      </c>
      <c r="AG27" s="2580"/>
      <c r="AH27" s="2537"/>
      <c r="AI27" s="775"/>
      <c r="AJ27" s="775">
        <f t="shared" si="21"/>
        <v>0</v>
      </c>
      <c r="AK27" s="2580"/>
      <c r="AL27" s="2537"/>
      <c r="AM27" s="570"/>
      <c r="AN27" s="4048">
        <f t="shared" si="8"/>
        <v>0</v>
      </c>
      <c r="AO27" s="775"/>
      <c r="AP27" s="368">
        <f t="shared" si="16"/>
        <v>0</v>
      </c>
      <c r="AQ27" s="2580"/>
      <c r="AR27" s="2537"/>
      <c r="AS27" s="775"/>
      <c r="AT27" s="775">
        <f t="shared" si="17"/>
        <v>0</v>
      </c>
      <c r="AU27" s="2580"/>
      <c r="AV27" s="2537"/>
      <c r="AW27" s="775"/>
      <c r="AX27" s="368">
        <f t="shared" si="18"/>
        <v>0</v>
      </c>
      <c r="AY27" s="2580"/>
      <c r="AZ27" s="2537"/>
      <c r="BA27" s="570"/>
      <c r="BB27" s="570">
        <f t="shared" si="9"/>
        <v>0</v>
      </c>
      <c r="BC27" s="657"/>
      <c r="BD27" s="657">
        <f t="shared" si="19"/>
        <v>0</v>
      </c>
      <c r="BE27" s="775"/>
      <c r="BF27" s="775">
        <f t="shared" si="20"/>
        <v>0</v>
      </c>
      <c r="BG27" s="1202"/>
      <c r="BH27" s="1520">
        <f t="shared" si="0"/>
        <v>0</v>
      </c>
      <c r="BI27" s="1520">
        <f t="shared" si="1"/>
        <v>0</v>
      </c>
      <c r="BJ27" s="26">
        <f t="shared" si="2"/>
        <v>0</v>
      </c>
      <c r="BK27" s="26">
        <f t="shared" si="3"/>
        <v>0</v>
      </c>
      <c r="BL27" s="26">
        <f t="shared" si="4"/>
        <v>0</v>
      </c>
      <c r="BM27" s="26">
        <f t="shared" si="5"/>
        <v>0</v>
      </c>
    </row>
    <row r="28" spans="1:65" ht="16.2" thickBot="1" x14ac:dyDescent="0.35">
      <c r="A28" s="146"/>
      <c r="B28" s="842" t="s">
        <v>74</v>
      </c>
      <c r="C28" s="4371" t="s">
        <v>1892</v>
      </c>
      <c r="D28" s="4372"/>
      <c r="E28" s="4373"/>
      <c r="F28" s="4374"/>
      <c r="G28" s="4373"/>
      <c r="H28" s="4374"/>
      <c r="I28" s="4375"/>
      <c r="J28" s="42">
        <f t="shared" si="10"/>
        <v>0</v>
      </c>
      <c r="K28" s="4373"/>
      <c r="L28" s="4374"/>
      <c r="M28" s="4376"/>
      <c r="N28" s="613">
        <f t="shared" si="11"/>
        <v>0</v>
      </c>
      <c r="O28" s="4373"/>
      <c r="P28" s="4374"/>
      <c r="Q28" s="4375"/>
      <c r="R28" s="368">
        <f t="shared" si="12"/>
        <v>0</v>
      </c>
      <c r="S28" s="4373"/>
      <c r="T28" s="4374">
        <v>217.3</v>
      </c>
      <c r="U28" s="4375"/>
      <c r="V28" s="368">
        <f t="shared" si="13"/>
        <v>217.3</v>
      </c>
      <c r="W28" s="4373"/>
      <c r="X28" s="4374">
        <f>610.9-2.05</f>
        <v>608.85</v>
      </c>
      <c r="Y28" s="4377"/>
      <c r="Z28" s="4048">
        <f t="shared" si="6"/>
        <v>826.15000000000009</v>
      </c>
      <c r="AA28" s="4378"/>
      <c r="AB28" s="4049">
        <f t="shared" si="7"/>
        <v>826.15000000000009</v>
      </c>
      <c r="AC28" s="4373"/>
      <c r="AD28" s="4374"/>
      <c r="AE28" s="4375"/>
      <c r="AF28" s="368">
        <f t="shared" si="14"/>
        <v>826.15000000000009</v>
      </c>
      <c r="AG28" s="4373"/>
      <c r="AH28" s="4374"/>
      <c r="AI28" s="4375"/>
      <c r="AJ28" s="368">
        <f t="shared" si="21"/>
        <v>826.15000000000009</v>
      </c>
      <c r="AK28" s="4373"/>
      <c r="AL28" s="4374"/>
      <c r="AM28" s="4377"/>
      <c r="AN28" s="4048">
        <f t="shared" si="8"/>
        <v>0</v>
      </c>
      <c r="AO28" s="4375"/>
      <c r="AP28" s="368">
        <f t="shared" si="16"/>
        <v>826.15000000000009</v>
      </c>
      <c r="AQ28" s="4373"/>
      <c r="AR28" s="4374">
        <v>239.85</v>
      </c>
      <c r="AS28" s="4375"/>
      <c r="AT28" s="775">
        <f t="shared" si="17"/>
        <v>1066</v>
      </c>
      <c r="AU28" s="4373"/>
      <c r="AV28" s="4374"/>
      <c r="AW28" s="4375"/>
      <c r="AX28" s="368">
        <f t="shared" si="18"/>
        <v>1066</v>
      </c>
      <c r="AY28" s="4373"/>
      <c r="AZ28" s="4374"/>
      <c r="BA28" s="4377"/>
      <c r="BB28" s="570">
        <f t="shared" si="9"/>
        <v>239.85</v>
      </c>
      <c r="BC28" s="4378"/>
      <c r="BD28" s="657">
        <f t="shared" si="19"/>
        <v>239.85</v>
      </c>
      <c r="BE28" s="4375"/>
      <c r="BF28" s="775">
        <f t="shared" si="20"/>
        <v>1066</v>
      </c>
      <c r="BG28" s="1202"/>
      <c r="BH28" s="1520">
        <f t="shared" si="0"/>
        <v>0</v>
      </c>
      <c r="BI28" s="1520">
        <f t="shared" si="1"/>
        <v>0</v>
      </c>
      <c r="BJ28" s="26">
        <f t="shared" si="2"/>
        <v>0</v>
      </c>
      <c r="BK28" s="26">
        <f t="shared" si="3"/>
        <v>0</v>
      </c>
      <c r="BL28" s="26">
        <f t="shared" si="4"/>
        <v>0</v>
      </c>
      <c r="BM28" s="26">
        <f t="shared" si="5"/>
        <v>0</v>
      </c>
    </row>
    <row r="29" spans="1:65" ht="16.2" thickBot="1" x14ac:dyDescent="0.35">
      <c r="A29" s="146"/>
      <c r="B29" s="842" t="s">
        <v>74</v>
      </c>
      <c r="C29" s="2534" t="s">
        <v>1028</v>
      </c>
      <c r="D29" s="2535" t="s">
        <v>50</v>
      </c>
      <c r="E29" s="2580"/>
      <c r="F29" s="2537"/>
      <c r="G29" s="2580"/>
      <c r="H29" s="2537"/>
      <c r="I29" s="2538"/>
      <c r="J29" s="42">
        <f t="shared" si="10"/>
        <v>0</v>
      </c>
      <c r="K29" s="2580"/>
      <c r="L29" s="2537"/>
      <c r="M29" s="774"/>
      <c r="N29" s="613">
        <f t="shared" si="11"/>
        <v>0</v>
      </c>
      <c r="O29" s="2580"/>
      <c r="P29" s="2537"/>
      <c r="Q29" s="775"/>
      <c r="R29" s="368">
        <f t="shared" si="12"/>
        <v>0</v>
      </c>
      <c r="S29" s="2580"/>
      <c r="T29" s="2537"/>
      <c r="U29" s="775"/>
      <c r="V29" s="368">
        <f t="shared" si="13"/>
        <v>0</v>
      </c>
      <c r="W29" s="2580"/>
      <c r="X29" s="2537"/>
      <c r="Y29" s="570"/>
      <c r="Z29" s="4048">
        <f t="shared" si="6"/>
        <v>0</v>
      </c>
      <c r="AA29" s="657"/>
      <c r="AB29" s="4049">
        <f t="shared" si="7"/>
        <v>0</v>
      </c>
      <c r="AC29" s="2580"/>
      <c r="AD29" s="2537"/>
      <c r="AE29" s="775"/>
      <c r="AF29" s="368">
        <f t="shared" si="14"/>
        <v>0</v>
      </c>
      <c r="AG29" s="2580"/>
      <c r="AH29" s="2537"/>
      <c r="AI29" s="775"/>
      <c r="AJ29" s="368">
        <f t="shared" si="21"/>
        <v>0</v>
      </c>
      <c r="AK29" s="2580"/>
      <c r="AL29" s="2537"/>
      <c r="AM29" s="570"/>
      <c r="AN29" s="4048">
        <f t="shared" si="8"/>
        <v>0</v>
      </c>
      <c r="AO29" s="775"/>
      <c r="AP29" s="368">
        <f t="shared" si="16"/>
        <v>0</v>
      </c>
      <c r="AQ29" s="2580"/>
      <c r="AR29" s="2537"/>
      <c r="AS29" s="775"/>
      <c r="AT29" s="775">
        <f t="shared" si="17"/>
        <v>0</v>
      </c>
      <c r="AU29" s="2580"/>
      <c r="AV29" s="2537"/>
      <c r="AW29" s="775"/>
      <c r="AX29" s="368">
        <f t="shared" si="18"/>
        <v>0</v>
      </c>
      <c r="AY29" s="2580"/>
      <c r="AZ29" s="2537"/>
      <c r="BA29" s="570"/>
      <c r="BB29" s="570">
        <f t="shared" si="9"/>
        <v>0</v>
      </c>
      <c r="BC29" s="657"/>
      <c r="BD29" s="657">
        <f t="shared" si="19"/>
        <v>0</v>
      </c>
      <c r="BE29" s="775"/>
      <c r="BF29" s="775">
        <f t="shared" si="20"/>
        <v>0</v>
      </c>
      <c r="BG29" s="1202"/>
      <c r="BH29" s="1520">
        <f t="shared" si="0"/>
        <v>0</v>
      </c>
      <c r="BI29" s="1520">
        <f t="shared" si="1"/>
        <v>0</v>
      </c>
      <c r="BJ29" s="26">
        <f t="shared" si="2"/>
        <v>0</v>
      </c>
      <c r="BK29" s="26">
        <f t="shared" si="3"/>
        <v>0</v>
      </c>
      <c r="BL29" s="26">
        <f t="shared" si="4"/>
        <v>0</v>
      </c>
      <c r="BM29" s="26">
        <f t="shared" si="5"/>
        <v>0</v>
      </c>
    </row>
    <row r="30" spans="1:65" ht="16.2" thickBot="1" x14ac:dyDescent="0.35">
      <c r="A30" s="146"/>
      <c r="B30" s="842" t="s">
        <v>74</v>
      </c>
      <c r="C30" s="2534" t="s">
        <v>968</v>
      </c>
      <c r="D30" s="2535" t="s">
        <v>50</v>
      </c>
      <c r="E30" s="2580"/>
      <c r="F30" s="2537">
        <v>428.45</v>
      </c>
      <c r="G30" s="2580"/>
      <c r="H30" s="2537"/>
      <c r="I30" s="2538"/>
      <c r="J30" s="42">
        <f t="shared" si="10"/>
        <v>428.45</v>
      </c>
      <c r="K30" s="2580"/>
      <c r="L30" s="2537"/>
      <c r="M30" s="774"/>
      <c r="N30" s="613">
        <f t="shared" si="11"/>
        <v>428.45</v>
      </c>
      <c r="O30" s="2580"/>
      <c r="P30" s="2537"/>
      <c r="Q30" s="775"/>
      <c r="R30" s="368">
        <f t="shared" si="12"/>
        <v>428.45</v>
      </c>
      <c r="S30" s="2580"/>
      <c r="T30" s="2537"/>
      <c r="U30" s="775"/>
      <c r="V30" s="368">
        <f t="shared" si="13"/>
        <v>428.45</v>
      </c>
      <c r="W30" s="2580"/>
      <c r="X30" s="2537">
        <f>133.25-4.1</f>
        <v>129.15</v>
      </c>
      <c r="Y30" s="570"/>
      <c r="Z30" s="4048">
        <f t="shared" si="6"/>
        <v>129.15</v>
      </c>
      <c r="AA30" s="657"/>
      <c r="AB30" s="4049">
        <f t="shared" si="7"/>
        <v>557.6</v>
      </c>
      <c r="AC30" s="2580"/>
      <c r="AD30" s="2537"/>
      <c r="AE30" s="775"/>
      <c r="AF30" s="368">
        <f t="shared" si="14"/>
        <v>557.6</v>
      </c>
      <c r="AG30" s="2580"/>
      <c r="AH30" s="2537"/>
      <c r="AI30" s="775"/>
      <c r="AJ30" s="775">
        <f t="shared" si="21"/>
        <v>557.6</v>
      </c>
      <c r="AK30" s="2580"/>
      <c r="AL30" s="2537"/>
      <c r="AM30" s="570"/>
      <c r="AN30" s="4048">
        <f t="shared" si="8"/>
        <v>0</v>
      </c>
      <c r="AO30" s="775"/>
      <c r="AP30" s="368">
        <f t="shared" si="16"/>
        <v>557.6</v>
      </c>
      <c r="AQ30" s="2580"/>
      <c r="AR30" s="2537"/>
      <c r="AS30" s="775"/>
      <c r="AT30" s="775">
        <f t="shared" si="17"/>
        <v>557.6</v>
      </c>
      <c r="AU30" s="2580"/>
      <c r="AV30" s="2537"/>
      <c r="AW30" s="775"/>
      <c r="AX30" s="368">
        <f t="shared" si="18"/>
        <v>557.6</v>
      </c>
      <c r="AY30" s="2580"/>
      <c r="AZ30" s="2537"/>
      <c r="BA30" s="570"/>
      <c r="BB30" s="570">
        <f t="shared" si="9"/>
        <v>0</v>
      </c>
      <c r="BC30" s="657"/>
      <c r="BD30" s="657">
        <f t="shared" si="19"/>
        <v>0</v>
      </c>
      <c r="BE30" s="775"/>
      <c r="BF30" s="775">
        <f t="shared" si="20"/>
        <v>557.6</v>
      </c>
      <c r="BG30" s="1202"/>
      <c r="BH30" s="1520">
        <f t="shared" si="0"/>
        <v>0</v>
      </c>
      <c r="BI30" s="1520">
        <f t="shared" si="1"/>
        <v>0</v>
      </c>
      <c r="BJ30" s="26">
        <f t="shared" si="2"/>
        <v>0</v>
      </c>
      <c r="BK30" s="26">
        <f t="shared" si="3"/>
        <v>0</v>
      </c>
      <c r="BL30" s="26">
        <f t="shared" si="4"/>
        <v>0</v>
      </c>
      <c r="BM30" s="26">
        <f t="shared" si="5"/>
        <v>0</v>
      </c>
    </row>
    <row r="31" spans="1:65" ht="16.2" thickBot="1" x14ac:dyDescent="0.35">
      <c r="A31" s="146"/>
      <c r="B31" s="842" t="s">
        <v>74</v>
      </c>
      <c r="C31" s="2534" t="s">
        <v>1842</v>
      </c>
      <c r="D31" s="2535" t="s">
        <v>50</v>
      </c>
      <c r="E31" s="4033"/>
      <c r="F31" s="4024">
        <f>118.9-2.05</f>
        <v>116.85000000000001</v>
      </c>
      <c r="G31" s="4033"/>
      <c r="H31" s="4024"/>
      <c r="I31" s="3970"/>
      <c r="J31" s="42">
        <f t="shared" si="10"/>
        <v>116.85000000000001</v>
      </c>
      <c r="K31" s="4033"/>
      <c r="L31" s="4024"/>
      <c r="M31" s="3972"/>
      <c r="N31" s="613">
        <f t="shared" si="11"/>
        <v>116.85000000000001</v>
      </c>
      <c r="O31" s="4033"/>
      <c r="P31" s="4024"/>
      <c r="Q31" s="3970"/>
      <c r="R31" s="368">
        <f t="shared" si="12"/>
        <v>116.85000000000001</v>
      </c>
      <c r="S31" s="4033"/>
      <c r="T31" s="4024"/>
      <c r="U31" s="3970"/>
      <c r="V31" s="368">
        <f t="shared" si="13"/>
        <v>116.85000000000001</v>
      </c>
      <c r="W31" s="4033"/>
      <c r="X31" s="4024"/>
      <c r="Y31" s="4029"/>
      <c r="Z31" s="4048">
        <f t="shared" si="6"/>
        <v>0</v>
      </c>
      <c r="AA31" s="4030"/>
      <c r="AB31" s="4049">
        <f t="shared" si="7"/>
        <v>116.85000000000001</v>
      </c>
      <c r="AC31" s="4033"/>
      <c r="AD31" s="4024"/>
      <c r="AE31" s="3970"/>
      <c r="AF31" s="368">
        <f t="shared" si="14"/>
        <v>116.85000000000001</v>
      </c>
      <c r="AG31" s="4033"/>
      <c r="AH31" s="4024"/>
      <c r="AI31" s="3970"/>
      <c r="AJ31" s="368">
        <f t="shared" si="21"/>
        <v>116.85000000000001</v>
      </c>
      <c r="AK31" s="4033"/>
      <c r="AL31" s="4024"/>
      <c r="AM31" s="4029"/>
      <c r="AN31" s="4048">
        <f t="shared" si="8"/>
        <v>0</v>
      </c>
      <c r="AO31" s="3970"/>
      <c r="AP31" s="368">
        <f t="shared" si="16"/>
        <v>116.85000000000001</v>
      </c>
      <c r="AQ31" s="4033"/>
      <c r="AR31" s="4024"/>
      <c r="AS31" s="3970"/>
      <c r="AT31" s="775">
        <f t="shared" si="17"/>
        <v>116.85000000000001</v>
      </c>
      <c r="AU31" s="4033"/>
      <c r="AV31" s="4024"/>
      <c r="AW31" s="3970"/>
      <c r="AX31" s="368">
        <f t="shared" si="18"/>
        <v>116.85000000000001</v>
      </c>
      <c r="AY31" s="4033"/>
      <c r="AZ31" s="4024"/>
      <c r="BA31" s="4029"/>
      <c r="BB31" s="570">
        <f t="shared" si="9"/>
        <v>0</v>
      </c>
      <c r="BC31" s="4030"/>
      <c r="BD31" s="657">
        <f t="shared" si="19"/>
        <v>0</v>
      </c>
      <c r="BE31" s="3970"/>
      <c r="BF31" s="775">
        <f t="shared" si="20"/>
        <v>116.85000000000001</v>
      </c>
      <c r="BG31" s="1202"/>
      <c r="BH31" s="1520">
        <f t="shared" si="0"/>
        <v>0</v>
      </c>
      <c r="BI31" s="1520">
        <f t="shared" si="1"/>
        <v>0</v>
      </c>
      <c r="BJ31" s="26">
        <f t="shared" si="2"/>
        <v>0</v>
      </c>
      <c r="BK31" s="26">
        <f t="shared" si="3"/>
        <v>0</v>
      </c>
      <c r="BL31" s="26">
        <f t="shared" si="4"/>
        <v>0</v>
      </c>
      <c r="BM31" s="26">
        <f t="shared" si="5"/>
        <v>0</v>
      </c>
    </row>
    <row r="32" spans="1:65" ht="16.2" thickBot="1" x14ac:dyDescent="0.35">
      <c r="A32" s="146"/>
      <c r="B32" s="842" t="s">
        <v>74</v>
      </c>
      <c r="C32" s="2534" t="s">
        <v>868</v>
      </c>
      <c r="D32" s="2535" t="s">
        <v>50</v>
      </c>
      <c r="E32" s="2580"/>
      <c r="F32" s="2537">
        <v>2162.75</v>
      </c>
      <c r="G32" s="2580"/>
      <c r="H32" s="2537">
        <f>6937.2-18.45</f>
        <v>6918.75</v>
      </c>
      <c r="I32" s="2538"/>
      <c r="J32" s="42">
        <f t="shared" si="10"/>
        <v>9081.5</v>
      </c>
      <c r="K32" s="2580"/>
      <c r="L32" s="2537">
        <v>3515.7500000000005</v>
      </c>
      <c r="M32" s="774"/>
      <c r="N32" s="613">
        <f t="shared" si="11"/>
        <v>12597.25</v>
      </c>
      <c r="O32" s="2580"/>
      <c r="P32" s="2537">
        <f>6143.85-10.25</f>
        <v>6133.6</v>
      </c>
      <c r="Q32" s="775"/>
      <c r="R32" s="368">
        <f t="shared" si="12"/>
        <v>18730.849999999999</v>
      </c>
      <c r="S32" s="2580"/>
      <c r="T32" s="2537">
        <f>4635.05-24.6</f>
        <v>4610.45</v>
      </c>
      <c r="U32" s="775"/>
      <c r="V32" s="368">
        <f t="shared" si="13"/>
        <v>23341.3</v>
      </c>
      <c r="W32" s="2580"/>
      <c r="X32" s="2537">
        <f>6687.1-2.05</f>
        <v>6685.05</v>
      </c>
      <c r="Y32" s="570"/>
      <c r="Z32" s="4048">
        <f t="shared" si="6"/>
        <v>17429.099999999999</v>
      </c>
      <c r="AA32" s="657"/>
      <c r="AB32" s="4049">
        <f t="shared" si="7"/>
        <v>30026.35</v>
      </c>
      <c r="AC32" s="2580"/>
      <c r="AD32" s="2537">
        <f>4005.7-2.05</f>
        <v>4003.6499999999996</v>
      </c>
      <c r="AE32" s="775"/>
      <c r="AF32" s="368">
        <f t="shared" si="14"/>
        <v>34030</v>
      </c>
      <c r="AG32" s="2580"/>
      <c r="AH32" s="2537">
        <v>6496.4500000000035</v>
      </c>
      <c r="AI32" s="775"/>
      <c r="AJ32" s="368">
        <f t="shared" si="21"/>
        <v>40526.450000000004</v>
      </c>
      <c r="AK32" s="2580"/>
      <c r="AL32" s="2537">
        <v>3983.15</v>
      </c>
      <c r="AM32" s="570"/>
      <c r="AN32" s="4048">
        <f t="shared" si="8"/>
        <v>14483.250000000002</v>
      </c>
      <c r="AO32" s="775"/>
      <c r="AP32" s="368">
        <f t="shared" si="16"/>
        <v>44509.600000000006</v>
      </c>
      <c r="AQ32" s="2580"/>
      <c r="AR32" s="2537">
        <f>4128.7-2.05-6.15</f>
        <v>4120.5</v>
      </c>
      <c r="AS32" s="775"/>
      <c r="AT32" s="775">
        <f t="shared" si="17"/>
        <v>48630.100000000006</v>
      </c>
      <c r="AU32" s="2580"/>
      <c r="AV32" s="2537">
        <f>8593.60000000001-30.75</f>
        <v>8562.8500000000095</v>
      </c>
      <c r="AW32" s="775"/>
      <c r="AX32" s="368">
        <f t="shared" si="18"/>
        <v>57192.950000000012</v>
      </c>
      <c r="AY32" s="2580"/>
      <c r="AZ32" s="2537">
        <f>7047.9-24.6</f>
        <v>7023.2999999999993</v>
      </c>
      <c r="BA32" s="570"/>
      <c r="BB32" s="570">
        <f t="shared" si="9"/>
        <v>19706.650000000009</v>
      </c>
      <c r="BC32" s="657"/>
      <c r="BD32" s="657">
        <f t="shared" si="19"/>
        <v>34189.900000000009</v>
      </c>
      <c r="BE32" s="775"/>
      <c r="BF32" s="775">
        <f t="shared" si="20"/>
        <v>64216.250000000015</v>
      </c>
      <c r="BG32" s="1202"/>
      <c r="BH32" s="1520">
        <f t="shared" si="0"/>
        <v>0</v>
      </c>
      <c r="BI32" s="1520">
        <f t="shared" si="1"/>
        <v>0</v>
      </c>
      <c r="BJ32" s="26">
        <f t="shared" si="2"/>
        <v>0</v>
      </c>
      <c r="BK32" s="26">
        <f t="shared" si="3"/>
        <v>0</v>
      </c>
      <c r="BL32" s="26">
        <f t="shared" si="4"/>
        <v>0</v>
      </c>
      <c r="BM32" s="26">
        <f t="shared" si="5"/>
        <v>0</v>
      </c>
    </row>
    <row r="33" spans="1:65" ht="16.2" thickBot="1" x14ac:dyDescent="0.35">
      <c r="A33" s="146"/>
      <c r="B33" s="842" t="s">
        <v>74</v>
      </c>
      <c r="C33" s="2534" t="s">
        <v>962</v>
      </c>
      <c r="D33" s="2535" t="s">
        <v>50</v>
      </c>
      <c r="E33" s="2580"/>
      <c r="F33" s="2537">
        <v>75.849999999999994</v>
      </c>
      <c r="G33" s="2580"/>
      <c r="H33" s="2537"/>
      <c r="I33" s="2538"/>
      <c r="J33" s="42">
        <f t="shared" si="10"/>
        <v>75.849999999999994</v>
      </c>
      <c r="K33" s="2580"/>
      <c r="L33" s="2537"/>
      <c r="M33" s="2539"/>
      <c r="N33" s="613">
        <f t="shared" si="11"/>
        <v>75.849999999999994</v>
      </c>
      <c r="O33" s="2580"/>
      <c r="P33" s="2537"/>
      <c r="Q33" s="2538"/>
      <c r="R33" s="368">
        <f t="shared" si="12"/>
        <v>75.849999999999994</v>
      </c>
      <c r="S33" s="2580"/>
      <c r="T33" s="2537"/>
      <c r="U33" s="2538"/>
      <c r="V33" s="368">
        <f t="shared" si="13"/>
        <v>75.849999999999994</v>
      </c>
      <c r="W33" s="2580"/>
      <c r="X33" s="2537"/>
      <c r="Y33" s="2540"/>
      <c r="Z33" s="4048">
        <f t="shared" si="6"/>
        <v>0</v>
      </c>
      <c r="AA33" s="657"/>
      <c r="AB33" s="4049">
        <f t="shared" si="7"/>
        <v>75.849999999999994</v>
      </c>
      <c r="AC33" s="2580"/>
      <c r="AD33" s="2537"/>
      <c r="AE33" s="2538"/>
      <c r="AF33" s="368">
        <f t="shared" si="14"/>
        <v>75.849999999999994</v>
      </c>
      <c r="AG33" s="2580"/>
      <c r="AH33" s="2537">
        <v>340.29999999999995</v>
      </c>
      <c r="AI33" s="2538"/>
      <c r="AJ33" s="368">
        <f t="shared" si="21"/>
        <v>416.15</v>
      </c>
      <c r="AK33" s="2580"/>
      <c r="AL33" s="2537"/>
      <c r="AM33" s="2540"/>
      <c r="AN33" s="4048">
        <f t="shared" si="8"/>
        <v>340.29999999999995</v>
      </c>
      <c r="AO33" s="2538"/>
      <c r="AP33" s="368">
        <f t="shared" si="16"/>
        <v>416.15</v>
      </c>
      <c r="AQ33" s="2580"/>
      <c r="AR33" s="2537">
        <v>428.44999999999993</v>
      </c>
      <c r="AS33" s="2538"/>
      <c r="AT33" s="775">
        <f t="shared" si="17"/>
        <v>844.59999999999991</v>
      </c>
      <c r="AU33" s="2580"/>
      <c r="AV33" s="2537"/>
      <c r="AW33" s="2538"/>
      <c r="AX33" s="368">
        <f t="shared" si="18"/>
        <v>844.59999999999991</v>
      </c>
      <c r="AY33" s="2580"/>
      <c r="AZ33" s="2537"/>
      <c r="BA33" s="2540"/>
      <c r="BB33" s="570">
        <f t="shared" si="9"/>
        <v>428.44999999999993</v>
      </c>
      <c r="BC33" s="2541"/>
      <c r="BD33" s="657">
        <f t="shared" si="19"/>
        <v>768.74999999999989</v>
      </c>
      <c r="BE33" s="2538"/>
      <c r="BF33" s="775">
        <f t="shared" si="20"/>
        <v>844.59999999999991</v>
      </c>
      <c r="BG33" s="1202"/>
      <c r="BH33" s="1520">
        <f t="shared" si="0"/>
        <v>0</v>
      </c>
      <c r="BI33" s="1520">
        <f t="shared" si="1"/>
        <v>0</v>
      </c>
      <c r="BJ33" s="26">
        <f t="shared" si="2"/>
        <v>0</v>
      </c>
      <c r="BK33" s="26">
        <f t="shared" si="3"/>
        <v>0</v>
      </c>
      <c r="BL33" s="26">
        <f t="shared" si="4"/>
        <v>0</v>
      </c>
      <c r="BM33" s="26">
        <f t="shared" si="5"/>
        <v>0</v>
      </c>
    </row>
    <row r="34" spans="1:65" ht="16.2" thickBot="1" x14ac:dyDescent="0.35">
      <c r="A34" s="146"/>
      <c r="B34" s="842" t="s">
        <v>74</v>
      </c>
      <c r="C34" s="2534" t="s">
        <v>965</v>
      </c>
      <c r="D34" s="2535" t="s">
        <v>50</v>
      </c>
      <c r="E34" s="2580"/>
      <c r="F34" s="2537">
        <v>75.849999999999994</v>
      </c>
      <c r="G34" s="2580"/>
      <c r="H34" s="2537">
        <v>237.8</v>
      </c>
      <c r="I34" s="2538"/>
      <c r="J34" s="42">
        <f t="shared" si="10"/>
        <v>313.64999999999998</v>
      </c>
      <c r="K34" s="2580"/>
      <c r="L34" s="2537"/>
      <c r="M34" s="774"/>
      <c r="N34" s="613">
        <f t="shared" si="11"/>
        <v>313.64999999999998</v>
      </c>
      <c r="O34" s="2580"/>
      <c r="P34" s="2537">
        <v>67.649999999999991</v>
      </c>
      <c r="Q34" s="775"/>
      <c r="R34" s="368">
        <f t="shared" si="12"/>
        <v>381.29999999999995</v>
      </c>
      <c r="S34" s="2580"/>
      <c r="T34" s="2537"/>
      <c r="U34" s="775"/>
      <c r="V34" s="368">
        <f t="shared" si="13"/>
        <v>381.29999999999995</v>
      </c>
      <c r="W34" s="2580"/>
      <c r="X34" s="2537">
        <v>319.8</v>
      </c>
      <c r="Y34" s="570"/>
      <c r="Z34" s="4048">
        <f t="shared" si="6"/>
        <v>387.45</v>
      </c>
      <c r="AA34" s="657"/>
      <c r="AB34" s="4049">
        <f t="shared" si="7"/>
        <v>701.09999999999991</v>
      </c>
      <c r="AC34" s="2580"/>
      <c r="AD34" s="2537"/>
      <c r="AE34" s="775"/>
      <c r="AF34" s="368">
        <f t="shared" si="14"/>
        <v>701.09999999999991</v>
      </c>
      <c r="AG34" s="2580"/>
      <c r="AH34" s="2537"/>
      <c r="AI34" s="775"/>
      <c r="AJ34" s="368">
        <f t="shared" si="21"/>
        <v>701.09999999999991</v>
      </c>
      <c r="AK34" s="2580"/>
      <c r="AL34" s="2537"/>
      <c r="AM34" s="570"/>
      <c r="AN34" s="4048">
        <f t="shared" si="8"/>
        <v>0</v>
      </c>
      <c r="AO34" s="775"/>
      <c r="AP34" s="368">
        <f t="shared" si="16"/>
        <v>701.09999999999991</v>
      </c>
      <c r="AQ34" s="2580"/>
      <c r="AR34" s="2537">
        <v>67.650000000000006</v>
      </c>
      <c r="AS34" s="775"/>
      <c r="AT34" s="775">
        <f t="shared" si="17"/>
        <v>768.74999999999989</v>
      </c>
      <c r="AU34" s="2580"/>
      <c r="AV34" s="2537"/>
      <c r="AW34" s="775"/>
      <c r="AX34" s="368">
        <f t="shared" si="18"/>
        <v>768.74999999999989</v>
      </c>
      <c r="AY34" s="2580"/>
      <c r="AZ34" s="2537"/>
      <c r="BA34" s="570"/>
      <c r="BB34" s="570">
        <f t="shared" si="9"/>
        <v>67.650000000000006</v>
      </c>
      <c r="BC34" s="657"/>
      <c r="BD34" s="657">
        <f t="shared" si="19"/>
        <v>67.650000000000006</v>
      </c>
      <c r="BE34" s="775"/>
      <c r="BF34" s="775">
        <f t="shared" si="20"/>
        <v>768.74999999999989</v>
      </c>
      <c r="BG34" s="1202"/>
      <c r="BH34" s="1520">
        <f t="shared" si="0"/>
        <v>0</v>
      </c>
      <c r="BI34" s="1520">
        <f t="shared" si="1"/>
        <v>0</v>
      </c>
      <c r="BJ34" s="26">
        <f t="shared" si="2"/>
        <v>0</v>
      </c>
      <c r="BK34" s="26">
        <f t="shared" si="3"/>
        <v>0</v>
      </c>
      <c r="BL34" s="26">
        <f t="shared" si="4"/>
        <v>0</v>
      </c>
      <c r="BM34" s="26">
        <f t="shared" si="5"/>
        <v>0</v>
      </c>
    </row>
    <row r="35" spans="1:65" ht="16.2" thickBot="1" x14ac:dyDescent="0.35">
      <c r="A35" s="146"/>
      <c r="B35" s="842" t="s">
        <v>74</v>
      </c>
      <c r="C35" s="2534" t="s">
        <v>964</v>
      </c>
      <c r="D35" s="2535" t="s">
        <v>50</v>
      </c>
      <c r="E35" s="2580"/>
      <c r="F35" s="2537"/>
      <c r="G35" s="2580"/>
      <c r="H35" s="2537">
        <v>426.4</v>
      </c>
      <c r="I35" s="2538"/>
      <c r="J35" s="42">
        <f t="shared" si="10"/>
        <v>426.4</v>
      </c>
      <c r="K35" s="2580"/>
      <c r="L35" s="2537">
        <v>135.30000000000001</v>
      </c>
      <c r="M35" s="774"/>
      <c r="N35" s="613">
        <f t="shared" si="11"/>
        <v>561.70000000000005</v>
      </c>
      <c r="O35" s="2580"/>
      <c r="P35" s="2537"/>
      <c r="Q35" s="775"/>
      <c r="R35" s="368">
        <f t="shared" si="12"/>
        <v>561.70000000000005</v>
      </c>
      <c r="S35" s="2580"/>
      <c r="T35" s="2537"/>
      <c r="U35" s="775"/>
      <c r="V35" s="368">
        <f t="shared" si="13"/>
        <v>561.70000000000005</v>
      </c>
      <c r="W35" s="2580"/>
      <c r="X35" s="2537">
        <v>707.25000000000011</v>
      </c>
      <c r="Y35" s="570"/>
      <c r="Z35" s="4048">
        <f t="shared" si="6"/>
        <v>707.25000000000011</v>
      </c>
      <c r="AA35" s="657"/>
      <c r="AB35" s="4049">
        <f t="shared" si="7"/>
        <v>1268.9500000000003</v>
      </c>
      <c r="AC35" s="2580"/>
      <c r="AD35" s="2537">
        <f>383.35</f>
        <v>383.35</v>
      </c>
      <c r="AE35" s="775"/>
      <c r="AF35" s="368">
        <f t="shared" si="14"/>
        <v>1652.3000000000002</v>
      </c>
      <c r="AG35" s="2580"/>
      <c r="AH35" s="2537">
        <f>323.9-2.05</f>
        <v>321.84999999999997</v>
      </c>
      <c r="AI35" s="775"/>
      <c r="AJ35" s="368">
        <f t="shared" si="21"/>
        <v>1974.15</v>
      </c>
      <c r="AK35" s="2580"/>
      <c r="AL35" s="2537"/>
      <c r="AM35" s="570"/>
      <c r="AN35" s="4048">
        <f t="shared" si="8"/>
        <v>705.2</v>
      </c>
      <c r="AO35" s="775"/>
      <c r="AP35" s="368">
        <f t="shared" si="16"/>
        <v>1974.15</v>
      </c>
      <c r="AQ35" s="2580"/>
      <c r="AR35" s="2537">
        <v>407.95000000000005</v>
      </c>
      <c r="AS35" s="775"/>
      <c r="AT35" s="775">
        <f t="shared" si="17"/>
        <v>2382.1000000000004</v>
      </c>
      <c r="AU35" s="2580"/>
      <c r="AV35" s="2537"/>
      <c r="AW35" s="775"/>
      <c r="AX35" s="368">
        <f t="shared" si="18"/>
        <v>2382.1000000000004</v>
      </c>
      <c r="AY35" s="2580"/>
      <c r="AZ35" s="2537">
        <v>200.9</v>
      </c>
      <c r="BA35" s="570"/>
      <c r="BB35" s="570">
        <f t="shared" si="9"/>
        <v>608.85</v>
      </c>
      <c r="BC35" s="657"/>
      <c r="BD35" s="657">
        <f t="shared" si="19"/>
        <v>1314.0500000000002</v>
      </c>
      <c r="BE35" s="775"/>
      <c r="BF35" s="775">
        <f t="shared" si="20"/>
        <v>2583.0000000000005</v>
      </c>
      <c r="BG35" s="1202"/>
      <c r="BH35" s="1520">
        <f t="shared" si="0"/>
        <v>0</v>
      </c>
      <c r="BI35" s="1520">
        <f t="shared" si="1"/>
        <v>0</v>
      </c>
      <c r="BJ35" s="26">
        <f t="shared" si="2"/>
        <v>0</v>
      </c>
      <c r="BK35" s="26">
        <f t="shared" si="3"/>
        <v>0</v>
      </c>
      <c r="BL35" s="26">
        <f t="shared" si="4"/>
        <v>0</v>
      </c>
      <c r="BM35" s="26">
        <f t="shared" si="5"/>
        <v>0</v>
      </c>
    </row>
    <row r="36" spans="1:65" ht="16.2" thickBot="1" x14ac:dyDescent="0.35">
      <c r="A36" s="146"/>
      <c r="B36" s="842" t="s">
        <v>74</v>
      </c>
      <c r="C36" s="2534" t="s">
        <v>1126</v>
      </c>
      <c r="D36" s="2535" t="s">
        <v>50</v>
      </c>
      <c r="E36" s="2580"/>
      <c r="F36" s="2537"/>
      <c r="G36" s="2580"/>
      <c r="H36" s="2537"/>
      <c r="I36" s="2538"/>
      <c r="J36" s="42">
        <f t="shared" si="10"/>
        <v>0</v>
      </c>
      <c r="K36" s="2580"/>
      <c r="L36" s="2537"/>
      <c r="M36" s="2539"/>
      <c r="N36" s="613">
        <f t="shared" si="11"/>
        <v>0</v>
      </c>
      <c r="O36" s="2580"/>
      <c r="P36" s="2537"/>
      <c r="Q36" s="2538"/>
      <c r="R36" s="368">
        <f t="shared" si="12"/>
        <v>0</v>
      </c>
      <c r="S36" s="2580"/>
      <c r="T36" s="2537"/>
      <c r="U36" s="2538"/>
      <c r="V36" s="368">
        <f t="shared" si="13"/>
        <v>0</v>
      </c>
      <c r="W36" s="2580"/>
      <c r="X36" s="2537"/>
      <c r="Y36" s="2540"/>
      <c r="Z36" s="4048">
        <f t="shared" si="6"/>
        <v>0</v>
      </c>
      <c r="AA36" s="2541"/>
      <c r="AB36" s="4049">
        <f t="shared" si="7"/>
        <v>0</v>
      </c>
      <c r="AC36" s="2580"/>
      <c r="AD36" s="2537"/>
      <c r="AE36" s="2538"/>
      <c r="AF36" s="368">
        <f t="shared" si="14"/>
        <v>0</v>
      </c>
      <c r="AG36" s="2580"/>
      <c r="AH36" s="2537"/>
      <c r="AI36" s="2538"/>
      <c r="AJ36" s="368">
        <f t="shared" si="21"/>
        <v>0</v>
      </c>
      <c r="AK36" s="2580"/>
      <c r="AL36" s="2537"/>
      <c r="AM36" s="2540"/>
      <c r="AN36" s="4048">
        <f t="shared" si="8"/>
        <v>0</v>
      </c>
      <c r="AO36" s="2538"/>
      <c r="AP36" s="368">
        <f t="shared" si="16"/>
        <v>0</v>
      </c>
      <c r="AQ36" s="2580"/>
      <c r="AR36" s="2537">
        <v>186.55</v>
      </c>
      <c r="AS36" s="2538"/>
      <c r="AT36" s="775">
        <f t="shared" si="17"/>
        <v>186.55</v>
      </c>
      <c r="AU36" s="2580"/>
      <c r="AV36" s="2537"/>
      <c r="AW36" s="2538"/>
      <c r="AX36" s="368">
        <f t="shared" si="18"/>
        <v>186.55</v>
      </c>
      <c r="AY36" s="2580"/>
      <c r="AZ36" s="2537"/>
      <c r="BA36" s="2540"/>
      <c r="BB36" s="570">
        <f t="shared" si="9"/>
        <v>186.55</v>
      </c>
      <c r="BC36" s="2541"/>
      <c r="BD36" s="657">
        <f t="shared" si="19"/>
        <v>186.55</v>
      </c>
      <c r="BE36" s="2538"/>
      <c r="BF36" s="775">
        <f t="shared" si="20"/>
        <v>186.55</v>
      </c>
      <c r="BG36" s="1202"/>
      <c r="BH36" s="1520">
        <f t="shared" si="0"/>
        <v>0</v>
      </c>
      <c r="BI36" s="1520">
        <f t="shared" si="1"/>
        <v>0</v>
      </c>
      <c r="BJ36" s="26">
        <f t="shared" si="2"/>
        <v>0</v>
      </c>
      <c r="BK36" s="26">
        <f t="shared" si="3"/>
        <v>0</v>
      </c>
      <c r="BL36" s="26">
        <f t="shared" si="4"/>
        <v>0</v>
      </c>
      <c r="BM36" s="26">
        <f t="shared" si="5"/>
        <v>0</v>
      </c>
    </row>
    <row r="37" spans="1:65" ht="16.2" thickBot="1" x14ac:dyDescent="0.35">
      <c r="A37" s="146"/>
      <c r="B37" s="842" t="s">
        <v>74</v>
      </c>
      <c r="C37" s="2534" t="s">
        <v>966</v>
      </c>
      <c r="D37" s="2535" t="s">
        <v>50</v>
      </c>
      <c r="E37" s="2580"/>
      <c r="F37" s="2537"/>
      <c r="G37" s="2580"/>
      <c r="H37" s="2537">
        <v>535.05000000000007</v>
      </c>
      <c r="I37" s="2538"/>
      <c r="J37" s="42">
        <f t="shared" si="10"/>
        <v>535.05000000000007</v>
      </c>
      <c r="K37" s="2580"/>
      <c r="L37" s="2537">
        <v>358.75000000000006</v>
      </c>
      <c r="M37" s="774"/>
      <c r="N37" s="613">
        <f t="shared" si="11"/>
        <v>893.80000000000018</v>
      </c>
      <c r="O37" s="2580"/>
      <c r="P37" s="2537">
        <v>207.05</v>
      </c>
      <c r="Q37" s="775"/>
      <c r="R37" s="368">
        <f t="shared" si="12"/>
        <v>1100.8500000000001</v>
      </c>
      <c r="S37" s="2580"/>
      <c r="T37" s="2537">
        <v>155.79999999999998</v>
      </c>
      <c r="U37" s="775"/>
      <c r="V37" s="368">
        <f t="shared" si="13"/>
        <v>1256.6500000000001</v>
      </c>
      <c r="W37" s="2580"/>
      <c r="X37" s="2537">
        <v>305.45</v>
      </c>
      <c r="Y37" s="570"/>
      <c r="Z37" s="4048">
        <f t="shared" si="6"/>
        <v>668.3</v>
      </c>
      <c r="AA37" s="657"/>
      <c r="AB37" s="4049">
        <f t="shared" si="7"/>
        <v>1562.1000000000001</v>
      </c>
      <c r="AC37" s="2580"/>
      <c r="AD37" s="2537">
        <v>861.00000000000023</v>
      </c>
      <c r="AE37" s="775"/>
      <c r="AF37" s="368">
        <f t="shared" si="14"/>
        <v>2423.1000000000004</v>
      </c>
      <c r="AG37" s="2580"/>
      <c r="AH37" s="2537">
        <v>1443.2</v>
      </c>
      <c r="AI37" s="775"/>
      <c r="AJ37" s="368">
        <f t="shared" si="21"/>
        <v>3866.3</v>
      </c>
      <c r="AK37" s="2580"/>
      <c r="AL37" s="2537"/>
      <c r="AM37" s="570"/>
      <c r="AN37" s="4048">
        <f t="shared" si="8"/>
        <v>2304.2000000000003</v>
      </c>
      <c r="AO37" s="775"/>
      <c r="AP37" s="368">
        <f t="shared" si="16"/>
        <v>3866.3</v>
      </c>
      <c r="AQ37" s="2580"/>
      <c r="AR37" s="2537">
        <v>815.90000000000009</v>
      </c>
      <c r="AS37" s="775"/>
      <c r="AT37" s="775">
        <f t="shared" si="17"/>
        <v>4682.2000000000007</v>
      </c>
      <c r="AU37" s="2580"/>
      <c r="AV37" s="2537">
        <v>418.20000000000005</v>
      </c>
      <c r="AW37" s="775"/>
      <c r="AX37" s="368">
        <f t="shared" si="18"/>
        <v>5100.4000000000005</v>
      </c>
      <c r="AY37" s="2580"/>
      <c r="AZ37" s="2537">
        <v>200.9</v>
      </c>
      <c r="BA37" s="570"/>
      <c r="BB37" s="570">
        <f t="shared" si="9"/>
        <v>1435.0000000000002</v>
      </c>
      <c r="BC37" s="657"/>
      <c r="BD37" s="657">
        <f t="shared" si="19"/>
        <v>3739.2000000000007</v>
      </c>
      <c r="BE37" s="775"/>
      <c r="BF37" s="775">
        <f t="shared" si="20"/>
        <v>5301.3</v>
      </c>
      <c r="BG37" s="1202"/>
      <c r="BH37" s="1520">
        <f t="shared" si="0"/>
        <v>0</v>
      </c>
      <c r="BI37" s="1520">
        <f t="shared" si="1"/>
        <v>0</v>
      </c>
      <c r="BJ37" s="26">
        <f t="shared" si="2"/>
        <v>0</v>
      </c>
      <c r="BK37" s="26">
        <f t="shared" si="3"/>
        <v>0</v>
      </c>
      <c r="BL37" s="26">
        <f t="shared" si="4"/>
        <v>0</v>
      </c>
      <c r="BM37" s="26">
        <f t="shared" si="5"/>
        <v>0</v>
      </c>
    </row>
    <row r="38" spans="1:65" ht="16.2" thickBot="1" x14ac:dyDescent="0.35">
      <c r="A38" s="146"/>
      <c r="B38" s="842" t="s">
        <v>74</v>
      </c>
      <c r="C38" s="2534" t="s">
        <v>1130</v>
      </c>
      <c r="D38" s="2535" t="s">
        <v>50</v>
      </c>
      <c r="E38" s="2580"/>
      <c r="F38" s="2537"/>
      <c r="G38" s="2580"/>
      <c r="H38" s="2537"/>
      <c r="I38" s="2538"/>
      <c r="J38" s="42">
        <f t="shared" si="10"/>
        <v>0</v>
      </c>
      <c r="K38" s="2580"/>
      <c r="L38" s="2537">
        <v>53.3</v>
      </c>
      <c r="M38" s="774"/>
      <c r="N38" s="613">
        <f t="shared" si="11"/>
        <v>53.3</v>
      </c>
      <c r="O38" s="2580"/>
      <c r="P38" s="2537">
        <v>4.0999999999999996</v>
      </c>
      <c r="Q38" s="775"/>
      <c r="R38" s="368">
        <f t="shared" si="12"/>
        <v>57.4</v>
      </c>
      <c r="S38" s="2580"/>
      <c r="T38" s="2537">
        <v>6.15</v>
      </c>
      <c r="U38" s="775"/>
      <c r="V38" s="368">
        <f t="shared" si="13"/>
        <v>63.55</v>
      </c>
      <c r="W38" s="2580"/>
      <c r="X38" s="2537"/>
      <c r="Y38" s="570"/>
      <c r="Z38" s="4048">
        <f t="shared" si="6"/>
        <v>10.25</v>
      </c>
      <c r="AA38" s="657"/>
      <c r="AB38" s="4049">
        <f t="shared" si="7"/>
        <v>63.55</v>
      </c>
      <c r="AC38" s="2580"/>
      <c r="AD38" s="2537">
        <v>43.05</v>
      </c>
      <c r="AE38" s="775"/>
      <c r="AF38" s="368">
        <f t="shared" si="14"/>
        <v>106.6</v>
      </c>
      <c r="AG38" s="2580"/>
      <c r="AH38" s="2537"/>
      <c r="AI38" s="775"/>
      <c r="AJ38" s="368">
        <f t="shared" si="21"/>
        <v>106.6</v>
      </c>
      <c r="AK38" s="2580"/>
      <c r="AL38" s="2537"/>
      <c r="AM38" s="570"/>
      <c r="AN38" s="4048">
        <f t="shared" si="8"/>
        <v>43.05</v>
      </c>
      <c r="AO38" s="775"/>
      <c r="AP38" s="368">
        <f t="shared" si="16"/>
        <v>106.6</v>
      </c>
      <c r="AQ38" s="2580"/>
      <c r="AR38" s="2537"/>
      <c r="AS38" s="775"/>
      <c r="AT38" s="775">
        <f t="shared" si="17"/>
        <v>106.6</v>
      </c>
      <c r="AU38" s="2580"/>
      <c r="AV38" s="2537"/>
      <c r="AW38" s="775"/>
      <c r="AX38" s="368">
        <f t="shared" si="18"/>
        <v>106.6</v>
      </c>
      <c r="AY38" s="2580"/>
      <c r="AZ38" s="2537"/>
      <c r="BA38" s="570"/>
      <c r="BB38" s="570">
        <f t="shared" si="9"/>
        <v>0</v>
      </c>
      <c r="BC38" s="657"/>
      <c r="BD38" s="657">
        <f t="shared" si="19"/>
        <v>43.05</v>
      </c>
      <c r="BE38" s="775"/>
      <c r="BF38" s="775">
        <f t="shared" si="20"/>
        <v>106.6</v>
      </c>
      <c r="BG38" s="1202"/>
      <c r="BH38" s="1520">
        <f t="shared" si="0"/>
        <v>0</v>
      </c>
      <c r="BI38" s="1520">
        <f t="shared" si="1"/>
        <v>0</v>
      </c>
      <c r="BJ38" s="26">
        <f t="shared" si="2"/>
        <v>0</v>
      </c>
      <c r="BK38" s="26">
        <f t="shared" si="3"/>
        <v>0</v>
      </c>
      <c r="BL38" s="26">
        <f t="shared" si="4"/>
        <v>0</v>
      </c>
      <c r="BM38" s="26">
        <f t="shared" si="5"/>
        <v>0</v>
      </c>
    </row>
    <row r="39" spans="1:65" ht="16.2" thickBot="1" x14ac:dyDescent="0.35">
      <c r="A39" s="146"/>
      <c r="B39" s="842" t="s">
        <v>74</v>
      </c>
      <c r="C39" s="2534" t="s">
        <v>1131</v>
      </c>
      <c r="D39" s="2535" t="s">
        <v>50</v>
      </c>
      <c r="E39" s="2580"/>
      <c r="F39" s="2537">
        <v>1670.75</v>
      </c>
      <c r="G39" s="2580"/>
      <c r="H39" s="2537"/>
      <c r="I39" s="2538"/>
      <c r="J39" s="42">
        <f t="shared" si="10"/>
        <v>1670.75</v>
      </c>
      <c r="K39" s="2580"/>
      <c r="L39" s="2537">
        <f>932.75-53.3</f>
        <v>879.45</v>
      </c>
      <c r="M39" s="774"/>
      <c r="N39" s="613">
        <f t="shared" si="11"/>
        <v>2550.1999999999998</v>
      </c>
      <c r="O39" s="2580"/>
      <c r="P39" s="2537">
        <f>988.1-4.1</f>
        <v>984</v>
      </c>
      <c r="Q39" s="775"/>
      <c r="R39" s="368">
        <f t="shared" si="12"/>
        <v>3534.2</v>
      </c>
      <c r="S39" s="2580"/>
      <c r="T39" s="2537">
        <f>98.4-6.15</f>
        <v>92.25</v>
      </c>
      <c r="U39" s="775"/>
      <c r="V39" s="368">
        <f t="shared" si="13"/>
        <v>3626.45</v>
      </c>
      <c r="W39" s="2580"/>
      <c r="X39" s="2537"/>
      <c r="Y39" s="570"/>
      <c r="Z39" s="4048">
        <f t="shared" si="6"/>
        <v>1076.25</v>
      </c>
      <c r="AA39" s="657"/>
      <c r="AB39" s="4049">
        <f t="shared" si="7"/>
        <v>3626.45</v>
      </c>
      <c r="AC39" s="2580"/>
      <c r="AD39" s="2537">
        <f>1691.25-43.05</f>
        <v>1648.2</v>
      </c>
      <c r="AE39" s="775"/>
      <c r="AF39" s="368">
        <f t="shared" si="14"/>
        <v>5274.65</v>
      </c>
      <c r="AG39" s="2580"/>
      <c r="AH39" s="2537"/>
      <c r="AI39" s="775"/>
      <c r="AJ39" s="368">
        <f t="shared" si="21"/>
        <v>5274.65</v>
      </c>
      <c r="AK39" s="2580"/>
      <c r="AL39" s="2537"/>
      <c r="AM39" s="570"/>
      <c r="AN39" s="4048">
        <f t="shared" si="8"/>
        <v>1648.2</v>
      </c>
      <c r="AO39" s="775"/>
      <c r="AP39" s="368">
        <f t="shared" si="16"/>
        <v>5274.65</v>
      </c>
      <c r="AQ39" s="2580"/>
      <c r="AR39" s="2537">
        <v>330.05000000000007</v>
      </c>
      <c r="AS39" s="775"/>
      <c r="AT39" s="775">
        <f t="shared" si="17"/>
        <v>5604.7</v>
      </c>
      <c r="AU39" s="2580"/>
      <c r="AV39" s="2537">
        <v>863.05000000000007</v>
      </c>
      <c r="AW39" s="775"/>
      <c r="AX39" s="368">
        <f t="shared" si="18"/>
        <v>6467.75</v>
      </c>
      <c r="AY39" s="2580"/>
      <c r="AZ39" s="2537"/>
      <c r="BA39" s="570"/>
      <c r="BB39" s="570">
        <f t="shared" si="9"/>
        <v>1193.1000000000001</v>
      </c>
      <c r="BC39" s="657"/>
      <c r="BD39" s="657">
        <f t="shared" si="19"/>
        <v>2841.3</v>
      </c>
      <c r="BE39" s="775"/>
      <c r="BF39" s="775">
        <f t="shared" si="20"/>
        <v>6467.75</v>
      </c>
      <c r="BG39" s="1202"/>
      <c r="BH39" s="1520">
        <f t="shared" si="0"/>
        <v>0</v>
      </c>
      <c r="BI39" s="1520">
        <f t="shared" si="1"/>
        <v>0</v>
      </c>
      <c r="BJ39" s="26">
        <f t="shared" si="2"/>
        <v>0</v>
      </c>
      <c r="BK39" s="26">
        <f t="shared" si="3"/>
        <v>0</v>
      </c>
      <c r="BL39" s="26">
        <f t="shared" si="4"/>
        <v>0</v>
      </c>
      <c r="BM39" s="26">
        <f t="shared" si="5"/>
        <v>0</v>
      </c>
    </row>
    <row r="40" spans="1:65" ht="16.2" thickBot="1" x14ac:dyDescent="0.35">
      <c r="A40" s="146"/>
      <c r="B40" s="842" t="s">
        <v>74</v>
      </c>
      <c r="C40" s="2534" t="s">
        <v>1565</v>
      </c>
      <c r="D40" s="2535" t="s">
        <v>50</v>
      </c>
      <c r="E40" s="2580"/>
      <c r="F40" s="2537">
        <v>627.29999999999995</v>
      </c>
      <c r="G40" s="2580"/>
      <c r="H40" s="2537"/>
      <c r="I40" s="2538"/>
      <c r="J40" s="42">
        <f t="shared" si="10"/>
        <v>627.29999999999995</v>
      </c>
      <c r="K40" s="2580"/>
      <c r="L40" s="2537"/>
      <c r="M40" s="774"/>
      <c r="N40" s="613">
        <f t="shared" si="11"/>
        <v>627.29999999999995</v>
      </c>
      <c r="O40" s="2580"/>
      <c r="P40" s="2537"/>
      <c r="Q40" s="775"/>
      <c r="R40" s="368">
        <f t="shared" si="12"/>
        <v>627.29999999999995</v>
      </c>
      <c r="S40" s="2580"/>
      <c r="T40" s="2537"/>
      <c r="U40" s="775"/>
      <c r="V40" s="368">
        <f t="shared" si="13"/>
        <v>627.29999999999995</v>
      </c>
      <c r="W40" s="2580"/>
      <c r="X40" s="2537"/>
      <c r="Y40" s="570"/>
      <c r="Z40" s="4048">
        <f t="shared" si="6"/>
        <v>0</v>
      </c>
      <c r="AA40" s="657"/>
      <c r="AB40" s="4049">
        <f t="shared" si="7"/>
        <v>627.29999999999995</v>
      </c>
      <c r="AC40" s="2580"/>
      <c r="AD40" s="2537"/>
      <c r="AE40" s="775"/>
      <c r="AF40" s="368">
        <f t="shared" si="14"/>
        <v>627.29999999999995</v>
      </c>
      <c r="AG40" s="2580"/>
      <c r="AH40" s="2537">
        <v>149.65</v>
      </c>
      <c r="AI40" s="775"/>
      <c r="AJ40" s="368">
        <f t="shared" si="21"/>
        <v>776.94999999999993</v>
      </c>
      <c r="AK40" s="2580"/>
      <c r="AL40" s="2537"/>
      <c r="AM40" s="570"/>
      <c r="AN40" s="4048">
        <f t="shared" si="8"/>
        <v>149.65</v>
      </c>
      <c r="AO40" s="775"/>
      <c r="AP40" s="368">
        <f t="shared" si="16"/>
        <v>776.94999999999993</v>
      </c>
      <c r="AQ40" s="2580"/>
      <c r="AR40" s="2537">
        <v>512.5</v>
      </c>
      <c r="AS40" s="775"/>
      <c r="AT40" s="775">
        <f t="shared" si="17"/>
        <v>1289.4499999999998</v>
      </c>
      <c r="AU40" s="2580"/>
      <c r="AV40" s="2537">
        <v>629.35</v>
      </c>
      <c r="AW40" s="775"/>
      <c r="AX40" s="368">
        <f t="shared" si="18"/>
        <v>1918.7999999999997</v>
      </c>
      <c r="AY40" s="2580"/>
      <c r="AZ40" s="2537"/>
      <c r="BA40" s="570"/>
      <c r="BB40" s="570">
        <f t="shared" si="9"/>
        <v>1141.8499999999999</v>
      </c>
      <c r="BC40" s="657"/>
      <c r="BD40" s="657">
        <f t="shared" si="19"/>
        <v>1291.5</v>
      </c>
      <c r="BE40" s="775"/>
      <c r="BF40" s="775">
        <f t="shared" si="20"/>
        <v>1918.7999999999997</v>
      </c>
      <c r="BG40" s="1202"/>
      <c r="BH40" s="1520">
        <f t="shared" si="0"/>
        <v>0</v>
      </c>
      <c r="BI40" s="1520">
        <f t="shared" si="1"/>
        <v>0</v>
      </c>
      <c r="BJ40" s="26">
        <f t="shared" si="2"/>
        <v>0</v>
      </c>
      <c r="BK40" s="26">
        <f t="shared" si="3"/>
        <v>0</v>
      </c>
      <c r="BL40" s="26">
        <f t="shared" si="4"/>
        <v>0</v>
      </c>
      <c r="BM40" s="26">
        <f t="shared" si="5"/>
        <v>0</v>
      </c>
    </row>
    <row r="41" spans="1:65" ht="16.2" thickBot="1" x14ac:dyDescent="0.35">
      <c r="A41" s="146"/>
      <c r="B41" s="842" t="s">
        <v>74</v>
      </c>
      <c r="C41" s="2534" t="s">
        <v>2115</v>
      </c>
      <c r="D41" s="2535" t="s">
        <v>50</v>
      </c>
      <c r="E41" s="2580"/>
      <c r="F41" s="2537"/>
      <c r="G41" s="2580"/>
      <c r="H41" s="2537"/>
      <c r="I41" s="2538"/>
      <c r="J41" s="42">
        <f t="shared" si="10"/>
        <v>0</v>
      </c>
      <c r="K41" s="2580"/>
      <c r="L41" s="2537"/>
      <c r="M41" s="774"/>
      <c r="N41" s="613">
        <f t="shared" si="11"/>
        <v>0</v>
      </c>
      <c r="O41" s="2580"/>
      <c r="P41" s="2537"/>
      <c r="Q41" s="775"/>
      <c r="R41" s="368">
        <f t="shared" si="12"/>
        <v>0</v>
      </c>
      <c r="S41" s="2580"/>
      <c r="T41" s="2537"/>
      <c r="U41" s="775"/>
      <c r="V41" s="368">
        <f t="shared" si="13"/>
        <v>0</v>
      </c>
      <c r="W41" s="2580"/>
      <c r="X41" s="2537">
        <v>94.3</v>
      </c>
      <c r="Y41" s="570"/>
      <c r="Z41" s="4048">
        <f t="shared" si="6"/>
        <v>94.3</v>
      </c>
      <c r="AA41" s="657"/>
      <c r="AB41" s="4049">
        <f t="shared" si="7"/>
        <v>94.3</v>
      </c>
      <c r="AC41" s="2580"/>
      <c r="AD41" s="2537"/>
      <c r="AE41" s="775"/>
      <c r="AF41" s="368">
        <f t="shared" si="14"/>
        <v>94.3</v>
      </c>
      <c r="AG41" s="2580"/>
      <c r="AH41" s="2537"/>
      <c r="AI41" s="775"/>
      <c r="AJ41" s="368">
        <f t="shared" si="21"/>
        <v>94.3</v>
      </c>
      <c r="AK41" s="2580"/>
      <c r="AL41" s="2537"/>
      <c r="AM41" s="570"/>
      <c r="AN41" s="4048">
        <f t="shared" si="8"/>
        <v>0</v>
      </c>
      <c r="AO41" s="775"/>
      <c r="AP41" s="368">
        <f t="shared" si="16"/>
        <v>94.3</v>
      </c>
      <c r="AQ41" s="2580"/>
      <c r="AR41" s="2537"/>
      <c r="AS41" s="775"/>
      <c r="AT41" s="775">
        <f t="shared" si="17"/>
        <v>94.3</v>
      </c>
      <c r="AU41" s="2580"/>
      <c r="AV41" s="2537"/>
      <c r="AW41" s="775"/>
      <c r="AX41" s="368">
        <f t="shared" si="18"/>
        <v>94.3</v>
      </c>
      <c r="AY41" s="2580"/>
      <c r="AZ41" s="2537"/>
      <c r="BA41" s="570"/>
      <c r="BB41" s="570">
        <f t="shared" si="9"/>
        <v>0</v>
      </c>
      <c r="BC41" s="657"/>
      <c r="BD41" s="657">
        <f t="shared" si="19"/>
        <v>0</v>
      </c>
      <c r="BE41" s="775"/>
      <c r="BF41" s="775">
        <f t="shared" si="20"/>
        <v>94.3</v>
      </c>
      <c r="BG41" s="1202"/>
      <c r="BH41" s="1520">
        <f t="shared" si="0"/>
        <v>0</v>
      </c>
      <c r="BI41" s="1520">
        <f t="shared" si="1"/>
        <v>0</v>
      </c>
      <c r="BJ41" s="26">
        <f t="shared" si="2"/>
        <v>0</v>
      </c>
      <c r="BK41" s="26">
        <f t="shared" si="3"/>
        <v>0</v>
      </c>
      <c r="BL41" s="26">
        <f t="shared" si="4"/>
        <v>0</v>
      </c>
      <c r="BM41" s="26">
        <f t="shared" si="5"/>
        <v>0</v>
      </c>
    </row>
    <row r="42" spans="1:65" ht="16.2" thickBot="1" x14ac:dyDescent="0.35">
      <c r="A42" s="146"/>
      <c r="B42" s="842" t="s">
        <v>74</v>
      </c>
      <c r="C42" s="2534" t="s">
        <v>1488</v>
      </c>
      <c r="D42" s="2535" t="s">
        <v>50</v>
      </c>
      <c r="E42" s="2580"/>
      <c r="F42" s="2537"/>
      <c r="G42" s="2580"/>
      <c r="H42" s="2537"/>
      <c r="I42" s="2538"/>
      <c r="J42" s="42">
        <f t="shared" si="10"/>
        <v>0</v>
      </c>
      <c r="K42" s="2580"/>
      <c r="L42" s="2537"/>
      <c r="M42" s="774"/>
      <c r="N42" s="613">
        <f t="shared" si="11"/>
        <v>0</v>
      </c>
      <c r="O42" s="2580"/>
      <c r="P42" s="2537"/>
      <c r="Q42" s="775"/>
      <c r="R42" s="368">
        <f t="shared" si="12"/>
        <v>0</v>
      </c>
      <c r="S42" s="2580"/>
      <c r="T42" s="2537"/>
      <c r="U42" s="775"/>
      <c r="V42" s="368">
        <f t="shared" si="13"/>
        <v>0</v>
      </c>
      <c r="W42" s="2580"/>
      <c r="X42" s="2537"/>
      <c r="Y42" s="570"/>
      <c r="Z42" s="4048">
        <f t="shared" si="6"/>
        <v>0</v>
      </c>
      <c r="AA42" s="657"/>
      <c r="AB42" s="4049">
        <f t="shared" si="7"/>
        <v>0</v>
      </c>
      <c r="AC42" s="2580"/>
      <c r="AD42" s="2537"/>
      <c r="AE42" s="775"/>
      <c r="AF42" s="368">
        <f t="shared" si="14"/>
        <v>0</v>
      </c>
      <c r="AG42" s="2580"/>
      <c r="AH42" s="2537"/>
      <c r="AI42" s="775"/>
      <c r="AJ42" s="368">
        <f t="shared" si="21"/>
        <v>0</v>
      </c>
      <c r="AK42" s="2580"/>
      <c r="AL42" s="2537"/>
      <c r="AM42" s="570"/>
      <c r="AN42" s="4048">
        <f t="shared" si="8"/>
        <v>0</v>
      </c>
      <c r="AO42" s="775"/>
      <c r="AP42" s="368">
        <f t="shared" si="16"/>
        <v>0</v>
      </c>
      <c r="AQ42" s="2580"/>
      <c r="AR42" s="2537"/>
      <c r="AS42" s="775"/>
      <c r="AT42" s="775">
        <f t="shared" si="17"/>
        <v>0</v>
      </c>
      <c r="AU42" s="2580"/>
      <c r="AV42" s="2537"/>
      <c r="AW42" s="775"/>
      <c r="AX42" s="368">
        <f t="shared" si="18"/>
        <v>0</v>
      </c>
      <c r="AY42" s="2580"/>
      <c r="AZ42" s="2537"/>
      <c r="BA42" s="570"/>
      <c r="BB42" s="570">
        <f t="shared" si="9"/>
        <v>0</v>
      </c>
      <c r="BC42" s="657"/>
      <c r="BD42" s="657">
        <f t="shared" si="19"/>
        <v>0</v>
      </c>
      <c r="BE42" s="775"/>
      <c r="BF42" s="775">
        <f t="shared" si="20"/>
        <v>0</v>
      </c>
      <c r="BG42" s="1202"/>
      <c r="BH42" s="1520">
        <f t="shared" si="0"/>
        <v>0</v>
      </c>
      <c r="BI42" s="1520">
        <f t="shared" si="1"/>
        <v>0</v>
      </c>
      <c r="BJ42" s="26">
        <f t="shared" si="2"/>
        <v>0</v>
      </c>
      <c r="BK42" s="26">
        <f t="shared" si="3"/>
        <v>0</v>
      </c>
      <c r="BL42" s="26">
        <f t="shared" si="4"/>
        <v>0</v>
      </c>
      <c r="BM42" s="26">
        <f t="shared" si="5"/>
        <v>0</v>
      </c>
    </row>
    <row r="43" spans="1:65" ht="16.2" thickBot="1" x14ac:dyDescent="0.35">
      <c r="A43" s="146"/>
      <c r="B43" s="842" t="s">
        <v>74</v>
      </c>
      <c r="C43" s="2534" t="s">
        <v>1432</v>
      </c>
      <c r="D43" s="2535" t="s">
        <v>50</v>
      </c>
      <c r="E43" s="2580"/>
      <c r="F43" s="2537"/>
      <c r="G43" s="2580"/>
      <c r="H43" s="2537"/>
      <c r="I43" s="2538"/>
      <c r="J43" s="42">
        <f t="shared" si="10"/>
        <v>0</v>
      </c>
      <c r="K43" s="2580"/>
      <c r="L43" s="2537"/>
      <c r="M43" s="774"/>
      <c r="N43" s="613">
        <f t="shared" si="11"/>
        <v>0</v>
      </c>
      <c r="O43" s="2580"/>
      <c r="P43" s="2537"/>
      <c r="Q43" s="775"/>
      <c r="R43" s="368">
        <f t="shared" si="12"/>
        <v>0</v>
      </c>
      <c r="S43" s="2580"/>
      <c r="T43" s="2537"/>
      <c r="U43" s="775"/>
      <c r="V43" s="368">
        <f t="shared" si="13"/>
        <v>0</v>
      </c>
      <c r="W43" s="2580"/>
      <c r="X43" s="2537"/>
      <c r="Y43" s="570"/>
      <c r="Z43" s="4048">
        <f t="shared" si="6"/>
        <v>0</v>
      </c>
      <c r="AA43" s="657"/>
      <c r="AB43" s="4049">
        <f t="shared" si="7"/>
        <v>0</v>
      </c>
      <c r="AC43" s="2580"/>
      <c r="AD43" s="2537"/>
      <c r="AE43" s="775"/>
      <c r="AF43" s="368">
        <f t="shared" si="14"/>
        <v>0</v>
      </c>
      <c r="AG43" s="2580"/>
      <c r="AH43" s="2537"/>
      <c r="AI43" s="775"/>
      <c r="AJ43" s="368">
        <f t="shared" si="21"/>
        <v>0</v>
      </c>
      <c r="AK43" s="2580"/>
      <c r="AL43" s="2537"/>
      <c r="AM43" s="570"/>
      <c r="AN43" s="4048">
        <f t="shared" si="8"/>
        <v>0</v>
      </c>
      <c r="AO43" s="775"/>
      <c r="AP43" s="368">
        <f t="shared" si="16"/>
        <v>0</v>
      </c>
      <c r="AQ43" s="2580"/>
      <c r="AR43" s="2537"/>
      <c r="AS43" s="775"/>
      <c r="AT43" s="775">
        <f t="shared" si="17"/>
        <v>0</v>
      </c>
      <c r="AU43" s="2580"/>
      <c r="AV43" s="2537"/>
      <c r="AW43" s="775"/>
      <c r="AX43" s="368">
        <f t="shared" si="18"/>
        <v>0</v>
      </c>
      <c r="AY43" s="2580"/>
      <c r="AZ43" s="2537"/>
      <c r="BA43" s="570"/>
      <c r="BB43" s="570">
        <f t="shared" si="9"/>
        <v>0</v>
      </c>
      <c r="BC43" s="657"/>
      <c r="BD43" s="657">
        <f t="shared" si="19"/>
        <v>0</v>
      </c>
      <c r="BE43" s="775"/>
      <c r="BF43" s="775">
        <f t="shared" si="20"/>
        <v>0</v>
      </c>
      <c r="BG43" s="1202"/>
      <c r="BH43" s="1520">
        <f t="shared" si="0"/>
        <v>0</v>
      </c>
      <c r="BI43" s="1520">
        <f t="shared" si="1"/>
        <v>0</v>
      </c>
      <c r="BJ43" s="26">
        <f t="shared" si="2"/>
        <v>0</v>
      </c>
      <c r="BK43" s="26">
        <f t="shared" si="3"/>
        <v>0</v>
      </c>
      <c r="BL43" s="26">
        <f t="shared" si="4"/>
        <v>0</v>
      </c>
      <c r="BM43" s="26">
        <f t="shared" si="5"/>
        <v>0</v>
      </c>
    </row>
    <row r="44" spans="1:65" ht="16.2" thickBot="1" x14ac:dyDescent="0.35">
      <c r="A44" s="146"/>
      <c r="B44" s="2780" t="s">
        <v>74</v>
      </c>
      <c r="C44" s="2781" t="s">
        <v>1434</v>
      </c>
      <c r="D44" s="2782" t="s">
        <v>50</v>
      </c>
      <c r="E44" s="2785"/>
      <c r="F44" s="107"/>
      <c r="G44" s="2785"/>
      <c r="H44" s="107"/>
      <c r="I44" s="584"/>
      <c r="J44" s="42">
        <f t="shared" si="10"/>
        <v>0</v>
      </c>
      <c r="K44" s="2785"/>
      <c r="L44" s="107"/>
      <c r="M44" s="774"/>
      <c r="N44" s="613">
        <f t="shared" si="11"/>
        <v>0</v>
      </c>
      <c r="O44" s="2785"/>
      <c r="P44" s="107"/>
      <c r="Q44" s="775"/>
      <c r="R44" s="368">
        <f t="shared" si="12"/>
        <v>0</v>
      </c>
      <c r="S44" s="2785"/>
      <c r="T44" s="107"/>
      <c r="U44" s="775"/>
      <c r="V44" s="368">
        <f t="shared" si="13"/>
        <v>0</v>
      </c>
      <c r="W44" s="2785"/>
      <c r="X44" s="107"/>
      <c r="Y44" s="570"/>
      <c r="Z44" s="4048">
        <f t="shared" si="6"/>
        <v>0</v>
      </c>
      <c r="AA44" s="657"/>
      <c r="AB44" s="4049">
        <f t="shared" si="7"/>
        <v>0</v>
      </c>
      <c r="AC44" s="2785"/>
      <c r="AD44" s="107"/>
      <c r="AE44" s="775"/>
      <c r="AF44" s="368">
        <f t="shared" si="14"/>
        <v>0</v>
      </c>
      <c r="AG44" s="2785"/>
      <c r="AH44" s="107"/>
      <c r="AI44" s="775"/>
      <c r="AJ44" s="368">
        <f t="shared" si="21"/>
        <v>0</v>
      </c>
      <c r="AK44" s="2785"/>
      <c r="AL44" s="107"/>
      <c r="AM44" s="570"/>
      <c r="AN44" s="4048">
        <f t="shared" si="8"/>
        <v>0</v>
      </c>
      <c r="AO44" s="775"/>
      <c r="AP44" s="368">
        <f t="shared" si="16"/>
        <v>0</v>
      </c>
      <c r="AQ44" s="2785"/>
      <c r="AR44" s="107"/>
      <c r="AS44" s="775"/>
      <c r="AT44" s="775">
        <f t="shared" si="17"/>
        <v>0</v>
      </c>
      <c r="AU44" s="2785"/>
      <c r="AV44" s="107"/>
      <c r="AW44" s="775"/>
      <c r="AX44" s="368">
        <f t="shared" si="18"/>
        <v>0</v>
      </c>
      <c r="AY44" s="2785"/>
      <c r="AZ44" s="107"/>
      <c r="BA44" s="570"/>
      <c r="BB44" s="570">
        <f t="shared" si="9"/>
        <v>0</v>
      </c>
      <c r="BC44" s="657"/>
      <c r="BD44" s="657">
        <f t="shared" si="19"/>
        <v>0</v>
      </c>
      <c r="BE44" s="775"/>
      <c r="BF44" s="775">
        <f t="shared" si="20"/>
        <v>0</v>
      </c>
      <c r="BG44" s="1202"/>
      <c r="BH44" s="1520">
        <f t="shared" si="0"/>
        <v>0</v>
      </c>
      <c r="BI44" s="1520">
        <f t="shared" si="1"/>
        <v>0</v>
      </c>
      <c r="BJ44" s="26">
        <f t="shared" si="2"/>
        <v>0</v>
      </c>
      <c r="BK44" s="26">
        <f t="shared" si="3"/>
        <v>0</v>
      </c>
      <c r="BL44" s="26">
        <f t="shared" si="4"/>
        <v>0</v>
      </c>
      <c r="BM44" s="26">
        <f t="shared" si="5"/>
        <v>0</v>
      </c>
    </row>
    <row r="45" spans="1:65" ht="16.2" thickBot="1" x14ac:dyDescent="0.35">
      <c r="A45" s="146"/>
      <c r="B45" s="2776" t="s">
        <v>1002</v>
      </c>
      <c r="C45" s="2777" t="s">
        <v>1353</v>
      </c>
      <c r="D45" s="2778" t="s">
        <v>50</v>
      </c>
      <c r="E45" s="2779"/>
      <c r="F45" s="155"/>
      <c r="G45" s="2779"/>
      <c r="H45" s="155"/>
      <c r="I45" s="368"/>
      <c r="J45" s="42">
        <f t="shared" si="10"/>
        <v>0</v>
      </c>
      <c r="K45" s="2779"/>
      <c r="L45" s="155"/>
      <c r="M45" s="774"/>
      <c r="N45" s="613">
        <f t="shared" si="11"/>
        <v>0</v>
      </c>
      <c r="O45" s="2779"/>
      <c r="P45" s="155"/>
      <c r="Q45" s="775"/>
      <c r="R45" s="368">
        <f t="shared" si="12"/>
        <v>0</v>
      </c>
      <c r="S45" s="2779"/>
      <c r="T45" s="155"/>
      <c r="U45" s="775"/>
      <c r="V45" s="368">
        <f t="shared" si="13"/>
        <v>0</v>
      </c>
      <c r="W45" s="2779"/>
      <c r="X45" s="155"/>
      <c r="Y45" s="570"/>
      <c r="Z45" s="4048">
        <f t="shared" si="6"/>
        <v>0</v>
      </c>
      <c r="AA45" s="657"/>
      <c r="AB45" s="4049">
        <f t="shared" si="7"/>
        <v>0</v>
      </c>
      <c r="AC45" s="2779"/>
      <c r="AD45" s="155"/>
      <c r="AE45" s="775"/>
      <c r="AF45" s="368">
        <f t="shared" si="14"/>
        <v>0</v>
      </c>
      <c r="AG45" s="2779"/>
      <c r="AH45" s="155"/>
      <c r="AI45" s="775"/>
      <c r="AJ45" s="368">
        <f t="shared" si="21"/>
        <v>0</v>
      </c>
      <c r="AK45" s="2779"/>
      <c r="AL45" s="155"/>
      <c r="AM45" s="570"/>
      <c r="AN45" s="4048">
        <f t="shared" si="8"/>
        <v>0</v>
      </c>
      <c r="AO45" s="775"/>
      <c r="AP45" s="368">
        <f t="shared" si="16"/>
        <v>0</v>
      </c>
      <c r="AQ45" s="2779"/>
      <c r="AR45" s="155"/>
      <c r="AS45" s="775"/>
      <c r="AT45" s="775">
        <f t="shared" si="17"/>
        <v>0</v>
      </c>
      <c r="AU45" s="2779"/>
      <c r="AV45" s="155"/>
      <c r="AW45" s="775"/>
      <c r="AX45" s="368">
        <f t="shared" si="18"/>
        <v>0</v>
      </c>
      <c r="AY45" s="2779"/>
      <c r="AZ45" s="155"/>
      <c r="BA45" s="570"/>
      <c r="BB45" s="570">
        <f t="shared" si="9"/>
        <v>0</v>
      </c>
      <c r="BC45" s="657"/>
      <c r="BD45" s="657">
        <f t="shared" si="19"/>
        <v>0</v>
      </c>
      <c r="BE45" s="775"/>
      <c r="BF45" s="775">
        <f t="shared" si="20"/>
        <v>0</v>
      </c>
      <c r="BG45" s="1202"/>
      <c r="BH45" s="1520">
        <f t="shared" si="0"/>
        <v>0</v>
      </c>
      <c r="BI45" s="1520">
        <f t="shared" si="1"/>
        <v>0</v>
      </c>
      <c r="BJ45" s="26">
        <f t="shared" si="2"/>
        <v>0</v>
      </c>
      <c r="BK45" s="26">
        <f t="shared" si="3"/>
        <v>0</v>
      </c>
      <c r="BL45" s="26">
        <f t="shared" si="4"/>
        <v>0</v>
      </c>
      <c r="BM45" s="26">
        <f t="shared" si="5"/>
        <v>0</v>
      </c>
    </row>
    <row r="46" spans="1:65" ht="16.2" thickBot="1" x14ac:dyDescent="0.35">
      <c r="A46" s="146"/>
      <c r="B46" s="842" t="s">
        <v>1002</v>
      </c>
      <c r="C46" s="2534" t="s">
        <v>961</v>
      </c>
      <c r="D46" s="2535" t="s">
        <v>50</v>
      </c>
      <c r="E46" s="2536"/>
      <c r="F46" s="2537"/>
      <c r="G46" s="2536"/>
      <c r="H46" s="2537"/>
      <c r="I46" s="2538"/>
      <c r="J46" s="42">
        <f t="shared" si="10"/>
        <v>0</v>
      </c>
      <c r="K46" s="2536"/>
      <c r="L46" s="2537"/>
      <c r="M46" s="774"/>
      <c r="N46" s="613">
        <f t="shared" si="11"/>
        <v>0</v>
      </c>
      <c r="O46" s="2536"/>
      <c r="P46" s="2537"/>
      <c r="Q46" s="775"/>
      <c r="R46" s="368">
        <f t="shared" si="12"/>
        <v>0</v>
      </c>
      <c r="S46" s="2536"/>
      <c r="T46" s="2537"/>
      <c r="U46" s="775"/>
      <c r="V46" s="368">
        <f t="shared" si="13"/>
        <v>0</v>
      </c>
      <c r="W46" s="2536"/>
      <c r="X46" s="2537">
        <v>73.8</v>
      </c>
      <c r="Y46" s="570"/>
      <c r="Z46" s="4048">
        <f t="shared" si="6"/>
        <v>73.8</v>
      </c>
      <c r="AA46" s="657"/>
      <c r="AB46" s="4049">
        <f t="shared" si="7"/>
        <v>73.8</v>
      </c>
      <c r="AC46" s="2536"/>
      <c r="AD46" s="2537"/>
      <c r="AE46" s="775"/>
      <c r="AF46" s="368">
        <f t="shared" si="14"/>
        <v>73.8</v>
      </c>
      <c r="AG46" s="2536"/>
      <c r="AH46" s="2537"/>
      <c r="AI46" s="775"/>
      <c r="AJ46" s="368">
        <f t="shared" si="21"/>
        <v>73.8</v>
      </c>
      <c r="AK46" s="2536"/>
      <c r="AL46" s="2537"/>
      <c r="AM46" s="570"/>
      <c r="AN46" s="4048">
        <f t="shared" si="8"/>
        <v>0</v>
      </c>
      <c r="AO46" s="775"/>
      <c r="AP46" s="368">
        <f t="shared" si="16"/>
        <v>73.8</v>
      </c>
      <c r="AQ46" s="2536"/>
      <c r="AR46" s="2537"/>
      <c r="AS46" s="775"/>
      <c r="AT46" s="775">
        <f t="shared" si="17"/>
        <v>73.8</v>
      </c>
      <c r="AU46" s="2536"/>
      <c r="AV46" s="2537"/>
      <c r="AW46" s="775"/>
      <c r="AX46" s="368">
        <f t="shared" si="18"/>
        <v>73.8</v>
      </c>
      <c r="AY46" s="2536"/>
      <c r="AZ46" s="2537"/>
      <c r="BA46" s="570"/>
      <c r="BB46" s="570">
        <f t="shared" si="9"/>
        <v>0</v>
      </c>
      <c r="BC46" s="657"/>
      <c r="BD46" s="657">
        <f t="shared" si="19"/>
        <v>0</v>
      </c>
      <c r="BE46" s="775"/>
      <c r="BF46" s="775">
        <f t="shared" si="20"/>
        <v>73.8</v>
      </c>
      <c r="BG46" s="1202"/>
      <c r="BH46" s="1520">
        <f t="shared" si="0"/>
        <v>0</v>
      </c>
      <c r="BI46" s="1520">
        <f t="shared" si="1"/>
        <v>0</v>
      </c>
      <c r="BJ46" s="26">
        <f t="shared" si="2"/>
        <v>0</v>
      </c>
      <c r="BK46" s="26">
        <f t="shared" si="3"/>
        <v>0</v>
      </c>
      <c r="BL46" s="26">
        <f t="shared" si="4"/>
        <v>0</v>
      </c>
      <c r="BM46" s="26">
        <f t="shared" si="5"/>
        <v>0</v>
      </c>
    </row>
    <row r="47" spans="1:65" ht="16.2" thickBot="1" x14ac:dyDescent="0.35">
      <c r="A47" s="146"/>
      <c r="B47" s="842" t="s">
        <v>1002</v>
      </c>
      <c r="C47" s="2534" t="s">
        <v>963</v>
      </c>
      <c r="D47" s="2535" t="s">
        <v>50</v>
      </c>
      <c r="E47" s="2536"/>
      <c r="F47" s="2537"/>
      <c r="G47" s="2536"/>
      <c r="H47" s="2537"/>
      <c r="I47" s="2538"/>
      <c r="J47" s="42">
        <f t="shared" si="10"/>
        <v>0</v>
      </c>
      <c r="K47" s="2536"/>
      <c r="L47" s="2537"/>
      <c r="M47" s="774"/>
      <c r="N47" s="613">
        <f t="shared" si="11"/>
        <v>0</v>
      </c>
      <c r="O47" s="2536"/>
      <c r="P47" s="2537"/>
      <c r="Q47" s="775"/>
      <c r="R47" s="368">
        <f t="shared" si="12"/>
        <v>0</v>
      </c>
      <c r="S47" s="2536"/>
      <c r="T47" s="2537"/>
      <c r="U47" s="775"/>
      <c r="V47" s="368">
        <f t="shared" si="13"/>
        <v>0</v>
      </c>
      <c r="W47" s="2536"/>
      <c r="X47" s="2537"/>
      <c r="Y47" s="570"/>
      <c r="Z47" s="4048">
        <f t="shared" si="6"/>
        <v>0</v>
      </c>
      <c r="AA47" s="657"/>
      <c r="AB47" s="4049">
        <f t="shared" si="7"/>
        <v>0</v>
      </c>
      <c r="AC47" s="2536"/>
      <c r="AD47" s="2537"/>
      <c r="AE47" s="775"/>
      <c r="AF47" s="368">
        <f t="shared" si="14"/>
        <v>0</v>
      </c>
      <c r="AG47" s="2536"/>
      <c r="AH47" s="2537">
        <f>1133.65-2.05</f>
        <v>1131.6000000000001</v>
      </c>
      <c r="AI47" s="775"/>
      <c r="AJ47" s="368">
        <f t="shared" si="21"/>
        <v>1131.6000000000001</v>
      </c>
      <c r="AK47" s="2536"/>
      <c r="AL47" s="2537">
        <f>1834.75-4.1</f>
        <v>1830.65</v>
      </c>
      <c r="AM47" s="570"/>
      <c r="AN47" s="4048">
        <f t="shared" si="8"/>
        <v>2962.25</v>
      </c>
      <c r="AO47" s="775"/>
      <c r="AP47" s="368">
        <f t="shared" si="16"/>
        <v>2962.25</v>
      </c>
      <c r="AQ47" s="2536"/>
      <c r="AR47" s="2537"/>
      <c r="AS47" s="775"/>
      <c r="AT47" s="775">
        <f t="shared" si="17"/>
        <v>2962.25</v>
      </c>
      <c r="AU47" s="2536"/>
      <c r="AV47" s="2537"/>
      <c r="AW47" s="775"/>
      <c r="AX47" s="368">
        <f t="shared" si="18"/>
        <v>2962.25</v>
      </c>
      <c r="AY47" s="2536"/>
      <c r="AZ47" s="2537"/>
      <c r="BA47" s="570"/>
      <c r="BB47" s="570">
        <f t="shared" si="9"/>
        <v>0</v>
      </c>
      <c r="BC47" s="657"/>
      <c r="BD47" s="657">
        <f t="shared" si="19"/>
        <v>2962.25</v>
      </c>
      <c r="BE47" s="775"/>
      <c r="BF47" s="775">
        <f t="shared" si="20"/>
        <v>2962.25</v>
      </c>
      <c r="BG47" s="1202"/>
      <c r="BH47" s="1520">
        <f t="shared" si="0"/>
        <v>0</v>
      </c>
      <c r="BI47" s="1520">
        <f t="shared" si="1"/>
        <v>0</v>
      </c>
      <c r="BJ47" s="26">
        <f t="shared" si="2"/>
        <v>0</v>
      </c>
      <c r="BK47" s="26">
        <f t="shared" si="3"/>
        <v>0</v>
      </c>
      <c r="BL47" s="26">
        <f t="shared" si="4"/>
        <v>0</v>
      </c>
      <c r="BM47" s="26">
        <f t="shared" si="5"/>
        <v>0</v>
      </c>
    </row>
    <row r="48" spans="1:65" ht="16.2" thickBot="1" x14ac:dyDescent="0.35">
      <c r="A48" s="146"/>
      <c r="B48" s="842" t="s">
        <v>1002</v>
      </c>
      <c r="C48" s="2534" t="s">
        <v>1112</v>
      </c>
      <c r="D48" s="2535" t="s">
        <v>50</v>
      </c>
      <c r="E48" s="2536"/>
      <c r="F48" s="2537"/>
      <c r="G48" s="2536"/>
      <c r="H48" s="2537"/>
      <c r="I48" s="2538"/>
      <c r="J48" s="42">
        <f t="shared" si="10"/>
        <v>0</v>
      </c>
      <c r="K48" s="2536"/>
      <c r="L48" s="2537"/>
      <c r="M48" s="774"/>
      <c r="N48" s="613">
        <f t="shared" si="11"/>
        <v>0</v>
      </c>
      <c r="O48" s="2536"/>
      <c r="P48" s="2537"/>
      <c r="Q48" s="775"/>
      <c r="R48" s="368">
        <f t="shared" si="12"/>
        <v>0</v>
      </c>
      <c r="S48" s="2536"/>
      <c r="T48" s="2537"/>
      <c r="U48" s="775"/>
      <c r="V48" s="368">
        <f t="shared" si="13"/>
        <v>0</v>
      </c>
      <c r="W48" s="2536"/>
      <c r="X48" s="2537"/>
      <c r="Y48" s="570"/>
      <c r="Z48" s="4048">
        <f t="shared" si="6"/>
        <v>0</v>
      </c>
      <c r="AA48" s="657"/>
      <c r="AB48" s="4049">
        <f t="shared" si="7"/>
        <v>0</v>
      </c>
      <c r="AC48" s="2536"/>
      <c r="AD48" s="2537"/>
      <c r="AE48" s="775"/>
      <c r="AF48" s="368">
        <f t="shared" si="14"/>
        <v>0</v>
      </c>
      <c r="AG48" s="2536"/>
      <c r="AH48" s="2537"/>
      <c r="AI48" s="775"/>
      <c r="AJ48" s="368">
        <f t="shared" si="21"/>
        <v>0</v>
      </c>
      <c r="AK48" s="2536"/>
      <c r="AL48" s="2537"/>
      <c r="AM48" s="570"/>
      <c r="AN48" s="4048">
        <f t="shared" si="8"/>
        <v>0</v>
      </c>
      <c r="AO48" s="775"/>
      <c r="AP48" s="368">
        <f t="shared" si="16"/>
        <v>0</v>
      </c>
      <c r="AQ48" s="2536"/>
      <c r="AR48" s="2537">
        <f>779-2.05</f>
        <v>776.95</v>
      </c>
      <c r="AS48" s="775"/>
      <c r="AT48" s="775">
        <f t="shared" si="17"/>
        <v>776.95</v>
      </c>
      <c r="AU48" s="2536"/>
      <c r="AV48" s="2537"/>
      <c r="AW48" s="775"/>
      <c r="AX48" s="368">
        <f t="shared" si="18"/>
        <v>776.95</v>
      </c>
      <c r="AY48" s="2536"/>
      <c r="AZ48" s="2537"/>
      <c r="BA48" s="570"/>
      <c r="BB48" s="570">
        <f t="shared" si="9"/>
        <v>776.95</v>
      </c>
      <c r="BC48" s="657"/>
      <c r="BD48" s="657">
        <f t="shared" si="19"/>
        <v>776.95</v>
      </c>
      <c r="BE48" s="775"/>
      <c r="BF48" s="775">
        <f t="shared" si="20"/>
        <v>776.95</v>
      </c>
      <c r="BG48" s="1202"/>
      <c r="BH48" s="1520">
        <f t="shared" si="0"/>
        <v>0</v>
      </c>
      <c r="BI48" s="1520">
        <f t="shared" si="1"/>
        <v>0</v>
      </c>
      <c r="BJ48" s="26">
        <f t="shared" si="2"/>
        <v>0</v>
      </c>
      <c r="BK48" s="26">
        <f t="shared" si="3"/>
        <v>0</v>
      </c>
      <c r="BL48" s="26">
        <f t="shared" si="4"/>
        <v>0</v>
      </c>
      <c r="BM48" s="26">
        <f t="shared" si="5"/>
        <v>0</v>
      </c>
    </row>
    <row r="49" spans="1:65" ht="16.2" thickBot="1" x14ac:dyDescent="0.35">
      <c r="A49" s="146"/>
      <c r="B49" s="842" t="s">
        <v>1002</v>
      </c>
      <c r="C49" s="2534" t="s">
        <v>1127</v>
      </c>
      <c r="D49" s="2535" t="s">
        <v>50</v>
      </c>
      <c r="E49" s="2536"/>
      <c r="F49" s="2537"/>
      <c r="G49" s="2536"/>
      <c r="H49" s="2537"/>
      <c r="I49" s="2538"/>
      <c r="J49" s="42">
        <f t="shared" si="10"/>
        <v>0</v>
      </c>
      <c r="K49" s="2536"/>
      <c r="L49" s="2537"/>
      <c r="M49" s="774"/>
      <c r="N49" s="613">
        <f t="shared" si="11"/>
        <v>0</v>
      </c>
      <c r="O49" s="2536"/>
      <c r="P49" s="2537"/>
      <c r="Q49" s="775"/>
      <c r="R49" s="368">
        <f t="shared" si="12"/>
        <v>0</v>
      </c>
      <c r="S49" s="2536"/>
      <c r="T49" s="2537"/>
      <c r="U49" s="775"/>
      <c r="V49" s="368">
        <f t="shared" si="13"/>
        <v>0</v>
      </c>
      <c r="W49" s="2536"/>
      <c r="X49" s="2537"/>
      <c r="Y49" s="570"/>
      <c r="Z49" s="4048">
        <f t="shared" si="6"/>
        <v>0</v>
      </c>
      <c r="AA49" s="657"/>
      <c r="AB49" s="4049">
        <f t="shared" si="7"/>
        <v>0</v>
      </c>
      <c r="AC49" s="2536"/>
      <c r="AD49" s="2537"/>
      <c r="AE49" s="775"/>
      <c r="AF49" s="368">
        <f t="shared" si="14"/>
        <v>0</v>
      </c>
      <c r="AG49" s="2536"/>
      <c r="AH49" s="2537"/>
      <c r="AI49" s="775"/>
      <c r="AJ49" s="775">
        <f t="shared" si="21"/>
        <v>0</v>
      </c>
      <c r="AK49" s="2536"/>
      <c r="AL49" s="2537"/>
      <c r="AM49" s="570"/>
      <c r="AN49" s="4048">
        <f t="shared" si="8"/>
        <v>0</v>
      </c>
      <c r="AO49" s="775"/>
      <c r="AP49" s="368">
        <f t="shared" si="16"/>
        <v>0</v>
      </c>
      <c r="AQ49" s="2536"/>
      <c r="AR49" s="2537"/>
      <c r="AS49" s="775"/>
      <c r="AT49" s="775">
        <f t="shared" si="17"/>
        <v>0</v>
      </c>
      <c r="AU49" s="2536"/>
      <c r="AV49" s="2537"/>
      <c r="AW49" s="775"/>
      <c r="AX49" s="368">
        <f t="shared" si="18"/>
        <v>0</v>
      </c>
      <c r="AY49" s="2536"/>
      <c r="AZ49" s="2537"/>
      <c r="BA49" s="570"/>
      <c r="BB49" s="570">
        <f t="shared" si="9"/>
        <v>0</v>
      </c>
      <c r="BC49" s="657"/>
      <c r="BD49" s="657">
        <f t="shared" si="19"/>
        <v>0</v>
      </c>
      <c r="BE49" s="775"/>
      <c r="BF49" s="775">
        <f t="shared" si="20"/>
        <v>0</v>
      </c>
      <c r="BG49" s="1202"/>
      <c r="BH49" s="1520">
        <f t="shared" si="0"/>
        <v>0</v>
      </c>
      <c r="BI49" s="1520">
        <f t="shared" si="1"/>
        <v>0</v>
      </c>
      <c r="BJ49" s="26">
        <f t="shared" si="2"/>
        <v>0</v>
      </c>
      <c r="BK49" s="26">
        <f t="shared" si="3"/>
        <v>0</v>
      </c>
      <c r="BL49" s="26">
        <f t="shared" si="4"/>
        <v>0</v>
      </c>
      <c r="BM49" s="26">
        <f t="shared" si="5"/>
        <v>0</v>
      </c>
    </row>
    <row r="50" spans="1:65" ht="16.2" thickBot="1" x14ac:dyDescent="0.35">
      <c r="A50" s="146"/>
      <c r="B50" s="842" t="s">
        <v>1002</v>
      </c>
      <c r="C50" s="2534" t="s">
        <v>868</v>
      </c>
      <c r="D50" s="2535" t="s">
        <v>50</v>
      </c>
      <c r="E50" s="2536"/>
      <c r="F50" s="2537"/>
      <c r="G50" s="2536"/>
      <c r="H50" s="2537"/>
      <c r="I50" s="2538"/>
      <c r="J50" s="42">
        <f t="shared" si="10"/>
        <v>0</v>
      </c>
      <c r="K50" s="2536"/>
      <c r="L50" s="2537"/>
      <c r="M50" s="774"/>
      <c r="N50" s="613">
        <f t="shared" si="11"/>
        <v>0</v>
      </c>
      <c r="O50" s="2536"/>
      <c r="P50" s="2537"/>
      <c r="Q50" s="775"/>
      <c r="R50" s="368">
        <f t="shared" si="12"/>
        <v>0</v>
      </c>
      <c r="S50" s="2536"/>
      <c r="T50" s="2537"/>
      <c r="U50" s="775"/>
      <c r="V50" s="368">
        <f t="shared" si="13"/>
        <v>0</v>
      </c>
      <c r="W50" s="2536"/>
      <c r="X50" s="2537"/>
      <c r="Y50" s="570"/>
      <c r="Z50" s="4048">
        <f t="shared" si="6"/>
        <v>0</v>
      </c>
      <c r="AA50" s="657"/>
      <c r="AB50" s="4049">
        <f t="shared" si="7"/>
        <v>0</v>
      </c>
      <c r="AC50" s="2536"/>
      <c r="AD50" s="2537"/>
      <c r="AE50" s="775"/>
      <c r="AF50" s="368">
        <f t="shared" si="14"/>
        <v>0</v>
      </c>
      <c r="AG50" s="2536"/>
      <c r="AH50" s="2537"/>
      <c r="AI50" s="775"/>
      <c r="AJ50" s="368">
        <f t="shared" si="21"/>
        <v>0</v>
      </c>
      <c r="AK50" s="2536"/>
      <c r="AL50" s="2537"/>
      <c r="AM50" s="570"/>
      <c r="AN50" s="4048">
        <f t="shared" si="8"/>
        <v>0</v>
      </c>
      <c r="AO50" s="775"/>
      <c r="AP50" s="368">
        <f t="shared" si="16"/>
        <v>0</v>
      </c>
      <c r="AQ50" s="2536"/>
      <c r="AR50" s="2537"/>
      <c r="AS50" s="775"/>
      <c r="AT50" s="775">
        <f t="shared" si="17"/>
        <v>0</v>
      </c>
      <c r="AU50" s="2536"/>
      <c r="AV50" s="2537"/>
      <c r="AW50" s="775"/>
      <c r="AX50" s="368">
        <f t="shared" si="18"/>
        <v>0</v>
      </c>
      <c r="AY50" s="2536"/>
      <c r="AZ50" s="2537"/>
      <c r="BA50" s="570"/>
      <c r="BB50" s="570">
        <f t="shared" si="9"/>
        <v>0</v>
      </c>
      <c r="BC50" s="657"/>
      <c r="BD50" s="657">
        <f t="shared" si="19"/>
        <v>0</v>
      </c>
      <c r="BE50" s="775"/>
      <c r="BF50" s="775">
        <f t="shared" si="20"/>
        <v>0</v>
      </c>
      <c r="BG50" s="1202"/>
      <c r="BH50" s="1520">
        <f t="shared" si="0"/>
        <v>0</v>
      </c>
      <c r="BI50" s="1520">
        <f t="shared" si="1"/>
        <v>0</v>
      </c>
      <c r="BJ50" s="26">
        <f t="shared" si="2"/>
        <v>0</v>
      </c>
      <c r="BK50" s="26">
        <f t="shared" si="3"/>
        <v>0</v>
      </c>
      <c r="BL50" s="26">
        <f t="shared" si="4"/>
        <v>0</v>
      </c>
      <c r="BM50" s="26">
        <f t="shared" si="5"/>
        <v>0</v>
      </c>
    </row>
    <row r="51" spans="1:65" ht="16.2" thickBot="1" x14ac:dyDescent="0.35">
      <c r="A51" s="146"/>
      <c r="B51" s="842" t="s">
        <v>1002</v>
      </c>
      <c r="C51" s="2534" t="s">
        <v>1130</v>
      </c>
      <c r="D51" s="2535" t="s">
        <v>50</v>
      </c>
      <c r="E51" s="2536"/>
      <c r="F51" s="2537"/>
      <c r="G51" s="2536"/>
      <c r="H51" s="2537"/>
      <c r="I51" s="2538"/>
      <c r="J51" s="42">
        <f t="shared" si="10"/>
        <v>0</v>
      </c>
      <c r="K51" s="2536"/>
      <c r="L51" s="2537"/>
      <c r="M51" s="2539"/>
      <c r="N51" s="613">
        <f t="shared" si="11"/>
        <v>0</v>
      </c>
      <c r="O51" s="2536"/>
      <c r="P51" s="2537"/>
      <c r="Q51" s="2538"/>
      <c r="R51" s="368">
        <f t="shared" si="12"/>
        <v>0</v>
      </c>
      <c r="S51" s="2536"/>
      <c r="T51" s="2537"/>
      <c r="U51" s="2538"/>
      <c r="V51" s="368">
        <f t="shared" si="13"/>
        <v>0</v>
      </c>
      <c r="W51" s="2536"/>
      <c r="X51" s="2537"/>
      <c r="Y51" s="2540"/>
      <c r="Z51" s="4048">
        <f t="shared" si="6"/>
        <v>0</v>
      </c>
      <c r="AA51" s="657"/>
      <c r="AB51" s="4049">
        <f t="shared" si="7"/>
        <v>0</v>
      </c>
      <c r="AC51" s="2536"/>
      <c r="AD51" s="2537"/>
      <c r="AE51" s="2538"/>
      <c r="AF51" s="368">
        <f t="shared" si="14"/>
        <v>0</v>
      </c>
      <c r="AG51" s="2536"/>
      <c r="AH51" s="2537"/>
      <c r="AI51" s="2538"/>
      <c r="AJ51" s="368">
        <f t="shared" si="21"/>
        <v>0</v>
      </c>
      <c r="AK51" s="2536"/>
      <c r="AL51" s="2537"/>
      <c r="AM51" s="2540"/>
      <c r="AN51" s="4048">
        <f t="shared" si="8"/>
        <v>0</v>
      </c>
      <c r="AO51" s="775"/>
      <c r="AP51" s="368">
        <f t="shared" si="16"/>
        <v>0</v>
      </c>
      <c r="AQ51" s="2536"/>
      <c r="AR51" s="2537"/>
      <c r="AS51" s="2538"/>
      <c r="AT51" s="775">
        <f t="shared" si="17"/>
        <v>0</v>
      </c>
      <c r="AU51" s="2536"/>
      <c r="AV51" s="2537"/>
      <c r="AW51" s="2538"/>
      <c r="AX51" s="368">
        <f t="shared" si="18"/>
        <v>0</v>
      </c>
      <c r="AY51" s="2536"/>
      <c r="AZ51" s="2537"/>
      <c r="BA51" s="2540"/>
      <c r="BB51" s="570">
        <f t="shared" si="9"/>
        <v>0</v>
      </c>
      <c r="BC51" s="657"/>
      <c r="BD51" s="657">
        <f t="shared" si="19"/>
        <v>0</v>
      </c>
      <c r="BE51" s="775"/>
      <c r="BF51" s="775">
        <f t="shared" si="20"/>
        <v>0</v>
      </c>
      <c r="BG51" s="1202"/>
      <c r="BH51" s="1520">
        <f t="shared" si="0"/>
        <v>0</v>
      </c>
      <c r="BI51" s="1520">
        <f t="shared" si="1"/>
        <v>0</v>
      </c>
      <c r="BJ51" s="26">
        <f t="shared" si="2"/>
        <v>0</v>
      </c>
      <c r="BK51" s="26">
        <f t="shared" si="3"/>
        <v>0</v>
      </c>
      <c r="BL51" s="26">
        <f t="shared" si="4"/>
        <v>0</v>
      </c>
      <c r="BM51" s="26">
        <f t="shared" si="5"/>
        <v>0</v>
      </c>
    </row>
    <row r="52" spans="1:65" ht="16.2" thickBot="1" x14ac:dyDescent="0.35">
      <c r="A52" s="146"/>
      <c r="B52" s="2780" t="s">
        <v>1002</v>
      </c>
      <c r="C52" s="2781" t="s">
        <v>1131</v>
      </c>
      <c r="D52" s="2782" t="s">
        <v>50</v>
      </c>
      <c r="E52" s="2783"/>
      <c r="F52" s="107"/>
      <c r="G52" s="2783"/>
      <c r="H52" s="107"/>
      <c r="I52" s="584"/>
      <c r="J52" s="42">
        <f t="shared" si="10"/>
        <v>0</v>
      </c>
      <c r="K52" s="2783"/>
      <c r="L52" s="107"/>
      <c r="M52" s="774"/>
      <c r="N52" s="613">
        <f t="shared" si="11"/>
        <v>0</v>
      </c>
      <c r="O52" s="2783"/>
      <c r="P52" s="107"/>
      <c r="Q52" s="775"/>
      <c r="R52" s="368">
        <f t="shared" si="12"/>
        <v>0</v>
      </c>
      <c r="S52" s="2783"/>
      <c r="T52" s="107"/>
      <c r="U52" s="775"/>
      <c r="V52" s="368">
        <f t="shared" si="13"/>
        <v>0</v>
      </c>
      <c r="W52" s="2783"/>
      <c r="X52" s="107">
        <v>1535.4499999999998</v>
      </c>
      <c r="Y52" s="570"/>
      <c r="Z52" s="4048">
        <f t="shared" si="6"/>
        <v>1535.4499999999998</v>
      </c>
      <c r="AA52" s="657"/>
      <c r="AB52" s="4049">
        <f t="shared" si="7"/>
        <v>1535.4499999999998</v>
      </c>
      <c r="AC52" s="2783"/>
      <c r="AD52" s="107"/>
      <c r="AE52" s="775"/>
      <c r="AF52" s="368">
        <f t="shared" si="14"/>
        <v>1535.4499999999998</v>
      </c>
      <c r="AG52" s="2783"/>
      <c r="AH52" s="107">
        <v>760.55000000000007</v>
      </c>
      <c r="AI52" s="775"/>
      <c r="AJ52" s="368">
        <f t="shared" si="21"/>
        <v>2296</v>
      </c>
      <c r="AK52" s="2783"/>
      <c r="AL52" s="107">
        <f>1113.15-4.1-2.05</f>
        <v>1107.0000000000002</v>
      </c>
      <c r="AM52" s="570"/>
      <c r="AN52" s="4048">
        <f t="shared" si="8"/>
        <v>1867.5500000000002</v>
      </c>
      <c r="AO52" s="775"/>
      <c r="AP52" s="368">
        <f t="shared" si="16"/>
        <v>3403</v>
      </c>
      <c r="AQ52" s="2783"/>
      <c r="AR52" s="107">
        <v>1111.0999999999997</v>
      </c>
      <c r="AS52" s="775"/>
      <c r="AT52" s="775">
        <f t="shared" si="17"/>
        <v>4514.0999999999995</v>
      </c>
      <c r="AU52" s="2783"/>
      <c r="AV52" s="107"/>
      <c r="AW52" s="775"/>
      <c r="AX52" s="368">
        <f t="shared" si="18"/>
        <v>4514.0999999999995</v>
      </c>
      <c r="AY52" s="2783"/>
      <c r="AZ52" s="107"/>
      <c r="BA52" s="570"/>
      <c r="BB52" s="570">
        <f t="shared" si="9"/>
        <v>1111.0999999999997</v>
      </c>
      <c r="BC52" s="657"/>
      <c r="BD52" s="657">
        <f t="shared" si="19"/>
        <v>2978.6499999999996</v>
      </c>
      <c r="BE52" s="775"/>
      <c r="BF52" s="775">
        <f t="shared" si="20"/>
        <v>4514.0999999999995</v>
      </c>
      <c r="BG52" s="1202"/>
      <c r="BH52" s="1520">
        <f t="shared" si="0"/>
        <v>0</v>
      </c>
      <c r="BI52" s="1520">
        <f t="shared" si="1"/>
        <v>0</v>
      </c>
      <c r="BJ52" s="26">
        <f t="shared" si="2"/>
        <v>0</v>
      </c>
      <c r="BK52" s="26">
        <f t="shared" si="3"/>
        <v>0</v>
      </c>
      <c r="BL52" s="26">
        <f t="shared" si="4"/>
        <v>0</v>
      </c>
      <c r="BM52" s="26">
        <f t="shared" si="5"/>
        <v>0</v>
      </c>
    </row>
    <row r="53" spans="1:65" ht="16.2" thickBot="1" x14ac:dyDescent="0.35">
      <c r="A53" s="146"/>
      <c r="B53" s="2776" t="s">
        <v>864</v>
      </c>
      <c r="C53" s="2777" t="s">
        <v>1353</v>
      </c>
      <c r="D53" s="2778" t="s">
        <v>50</v>
      </c>
      <c r="E53" s="2784"/>
      <c r="F53" s="155"/>
      <c r="G53" s="2784"/>
      <c r="H53" s="155"/>
      <c r="I53" s="368"/>
      <c r="J53" s="42">
        <f t="shared" si="10"/>
        <v>0</v>
      </c>
      <c r="K53" s="2784"/>
      <c r="L53" s="155"/>
      <c r="M53" s="774"/>
      <c r="N53" s="613">
        <f t="shared" si="11"/>
        <v>0</v>
      </c>
      <c r="O53" s="2784"/>
      <c r="P53" s="155"/>
      <c r="Q53" s="775"/>
      <c r="R53" s="368">
        <f t="shared" si="12"/>
        <v>0</v>
      </c>
      <c r="S53" s="2784"/>
      <c r="T53" s="155"/>
      <c r="U53" s="775"/>
      <c r="V53" s="368">
        <f t="shared" si="13"/>
        <v>0</v>
      </c>
      <c r="W53" s="2784"/>
      <c r="X53" s="155"/>
      <c r="Y53" s="570"/>
      <c r="Z53" s="4048">
        <f t="shared" si="6"/>
        <v>0</v>
      </c>
      <c r="AA53" s="657"/>
      <c r="AB53" s="4049">
        <f t="shared" si="7"/>
        <v>0</v>
      </c>
      <c r="AC53" s="2784"/>
      <c r="AD53" s="155"/>
      <c r="AE53" s="775"/>
      <c r="AF53" s="368">
        <f t="shared" si="14"/>
        <v>0</v>
      </c>
      <c r="AG53" s="2784"/>
      <c r="AH53" s="155"/>
      <c r="AI53" s="775"/>
      <c r="AJ53" s="368">
        <f t="shared" si="21"/>
        <v>0</v>
      </c>
      <c r="AK53" s="2784"/>
      <c r="AL53" s="155"/>
      <c r="AM53" s="570"/>
      <c r="AN53" s="4048">
        <f t="shared" si="8"/>
        <v>0</v>
      </c>
      <c r="AO53" s="775"/>
      <c r="AP53" s="368">
        <f t="shared" si="16"/>
        <v>0</v>
      </c>
      <c r="AQ53" s="2784"/>
      <c r="AR53" s="155"/>
      <c r="AS53" s="775"/>
      <c r="AT53" s="775">
        <f t="shared" si="17"/>
        <v>0</v>
      </c>
      <c r="AU53" s="2784"/>
      <c r="AV53" s="155"/>
      <c r="AW53" s="775"/>
      <c r="AX53" s="368">
        <f t="shared" si="18"/>
        <v>0</v>
      </c>
      <c r="AY53" s="2784"/>
      <c r="AZ53" s="155"/>
      <c r="BA53" s="570"/>
      <c r="BB53" s="570">
        <f t="shared" si="9"/>
        <v>0</v>
      </c>
      <c r="BC53" s="657"/>
      <c r="BD53" s="657">
        <f t="shared" si="19"/>
        <v>0</v>
      </c>
      <c r="BE53" s="775"/>
      <c r="BF53" s="775">
        <f t="shared" si="20"/>
        <v>0</v>
      </c>
      <c r="BG53" s="1202"/>
      <c r="BH53" s="1520">
        <f t="shared" si="0"/>
        <v>0</v>
      </c>
      <c r="BI53" s="1520">
        <f t="shared" si="1"/>
        <v>0</v>
      </c>
      <c r="BJ53" s="26">
        <f t="shared" si="2"/>
        <v>0</v>
      </c>
      <c r="BK53" s="26">
        <f t="shared" si="3"/>
        <v>0</v>
      </c>
      <c r="BL53" s="26">
        <f t="shared" si="4"/>
        <v>0</v>
      </c>
      <c r="BM53" s="26">
        <f t="shared" si="5"/>
        <v>0</v>
      </c>
    </row>
    <row r="54" spans="1:65" ht="16.2" thickBot="1" x14ac:dyDescent="0.35">
      <c r="A54" s="146"/>
      <c r="B54" s="842" t="s">
        <v>864</v>
      </c>
      <c r="C54" s="2534" t="s">
        <v>961</v>
      </c>
      <c r="D54" s="2535" t="s">
        <v>50</v>
      </c>
      <c r="E54" s="2580"/>
      <c r="F54" s="2537">
        <v>205</v>
      </c>
      <c r="G54" s="2580"/>
      <c r="H54" s="2537"/>
      <c r="I54" s="2538"/>
      <c r="J54" s="42">
        <f t="shared" si="10"/>
        <v>205</v>
      </c>
      <c r="K54" s="2580"/>
      <c r="L54" s="2537"/>
      <c r="M54" s="2539"/>
      <c r="N54" s="613">
        <f t="shared" si="11"/>
        <v>205</v>
      </c>
      <c r="O54" s="2580"/>
      <c r="P54" s="2537">
        <v>196.8</v>
      </c>
      <c r="Q54" s="2538"/>
      <c r="R54" s="368">
        <f t="shared" si="12"/>
        <v>401.8</v>
      </c>
      <c r="S54" s="2580"/>
      <c r="T54" s="2537">
        <f>127.1-4.1</f>
        <v>123</v>
      </c>
      <c r="U54" s="2538"/>
      <c r="V54" s="368">
        <f t="shared" si="13"/>
        <v>524.79999999999995</v>
      </c>
      <c r="W54" s="2580"/>
      <c r="X54" s="2537"/>
      <c r="Y54" s="2540"/>
      <c r="Z54" s="4048">
        <f t="shared" si="6"/>
        <v>319.8</v>
      </c>
      <c r="AA54" s="2541"/>
      <c r="AB54" s="4049">
        <f t="shared" si="7"/>
        <v>524.79999999999995</v>
      </c>
      <c r="AC54" s="2580"/>
      <c r="AD54" s="2537">
        <v>422.29999999999995</v>
      </c>
      <c r="AE54" s="2538"/>
      <c r="AF54" s="368">
        <f t="shared" si="14"/>
        <v>947.09999999999991</v>
      </c>
      <c r="AG54" s="2580"/>
      <c r="AH54" s="2537"/>
      <c r="AI54" s="2538"/>
      <c r="AJ54" s="368">
        <f t="shared" si="21"/>
        <v>947.09999999999991</v>
      </c>
      <c r="AK54" s="2580"/>
      <c r="AL54" s="2537"/>
      <c r="AM54" s="2540"/>
      <c r="AN54" s="4048">
        <f t="shared" si="8"/>
        <v>422.29999999999995</v>
      </c>
      <c r="AO54" s="2538"/>
      <c r="AP54" s="368">
        <f t="shared" si="16"/>
        <v>947.09999999999991</v>
      </c>
      <c r="AQ54" s="2580"/>
      <c r="AR54" s="2537"/>
      <c r="AS54" s="2538"/>
      <c r="AT54" s="775">
        <f t="shared" si="17"/>
        <v>947.09999999999991</v>
      </c>
      <c r="AU54" s="2580"/>
      <c r="AV54" s="2537"/>
      <c r="AW54" s="2538"/>
      <c r="AX54" s="368">
        <f t="shared" si="18"/>
        <v>947.09999999999991</v>
      </c>
      <c r="AY54" s="2580"/>
      <c r="AZ54" s="2537"/>
      <c r="BA54" s="2540"/>
      <c r="BB54" s="570">
        <f t="shared" si="9"/>
        <v>0</v>
      </c>
      <c r="BC54" s="2541"/>
      <c r="BD54" s="657">
        <f t="shared" si="19"/>
        <v>422.29999999999995</v>
      </c>
      <c r="BE54" s="2538"/>
      <c r="BF54" s="775">
        <f t="shared" si="20"/>
        <v>947.09999999999991</v>
      </c>
      <c r="BG54" s="1202"/>
      <c r="BH54" s="1520">
        <f t="shared" si="0"/>
        <v>0</v>
      </c>
      <c r="BI54" s="1520">
        <f t="shared" si="1"/>
        <v>0</v>
      </c>
      <c r="BJ54" s="26">
        <f t="shared" si="2"/>
        <v>0</v>
      </c>
      <c r="BK54" s="26">
        <f t="shared" si="3"/>
        <v>0</v>
      </c>
      <c r="BL54" s="26">
        <f t="shared" si="4"/>
        <v>0</v>
      </c>
      <c r="BM54" s="26">
        <f t="shared" si="5"/>
        <v>0</v>
      </c>
    </row>
    <row r="55" spans="1:65" ht="16.2" thickBot="1" x14ac:dyDescent="0.35">
      <c r="A55" s="146"/>
      <c r="B55" s="842" t="s">
        <v>864</v>
      </c>
      <c r="C55" s="2534" t="s">
        <v>963</v>
      </c>
      <c r="D55" s="2535" t="s">
        <v>50</v>
      </c>
      <c r="E55" s="2580"/>
      <c r="F55" s="2599">
        <f>346.45+16.3</f>
        <v>362.75</v>
      </c>
      <c r="G55" s="2580"/>
      <c r="H55" s="2599">
        <f>123+100.45</f>
        <v>223.45</v>
      </c>
      <c r="I55" s="2538"/>
      <c r="J55" s="42">
        <f t="shared" si="10"/>
        <v>586.20000000000005</v>
      </c>
      <c r="K55" s="2580"/>
      <c r="L55" s="2599">
        <v>166.04999999999998</v>
      </c>
      <c r="M55" s="774"/>
      <c r="N55" s="613">
        <f t="shared" si="11"/>
        <v>752.25</v>
      </c>
      <c r="O55" s="2580"/>
      <c r="P55" s="2599">
        <v>223.45</v>
      </c>
      <c r="Q55" s="775"/>
      <c r="R55" s="368">
        <f t="shared" si="12"/>
        <v>975.7</v>
      </c>
      <c r="S55" s="2580"/>
      <c r="T55" s="2599"/>
      <c r="U55" s="775"/>
      <c r="V55" s="368">
        <f t="shared" si="13"/>
        <v>975.7</v>
      </c>
      <c r="W55" s="2580"/>
      <c r="X55" s="2599">
        <v>102.5</v>
      </c>
      <c r="Y55" s="570"/>
      <c r="Z55" s="4048">
        <f t="shared" si="6"/>
        <v>325.95</v>
      </c>
      <c r="AA55" s="657"/>
      <c r="AB55" s="4049">
        <f t="shared" si="7"/>
        <v>1078.2</v>
      </c>
      <c r="AC55" s="2580"/>
      <c r="AD55" s="2599">
        <f>106.6+26.65</f>
        <v>133.25</v>
      </c>
      <c r="AE55" s="775"/>
      <c r="AF55" s="368">
        <f t="shared" si="14"/>
        <v>1211.45</v>
      </c>
      <c r="AG55" s="2580"/>
      <c r="AH55" s="2599"/>
      <c r="AI55" s="775"/>
      <c r="AJ55" s="368">
        <f t="shared" si="21"/>
        <v>1211.45</v>
      </c>
      <c r="AK55" s="2580"/>
      <c r="AL55" s="2599">
        <f>102.5+774.9+18.45</f>
        <v>895.85</v>
      </c>
      <c r="AM55" s="570"/>
      <c r="AN55" s="4048">
        <f t="shared" si="8"/>
        <v>1029.0999999999999</v>
      </c>
      <c r="AO55" s="775"/>
      <c r="AP55" s="368">
        <f t="shared" si="16"/>
        <v>2107.3000000000002</v>
      </c>
      <c r="AQ55" s="2580"/>
      <c r="AR55" s="2599">
        <v>71.75</v>
      </c>
      <c r="AS55" s="775"/>
      <c r="AT55" s="775">
        <f t="shared" si="17"/>
        <v>2179.0500000000002</v>
      </c>
      <c r="AU55" s="2580"/>
      <c r="AV55" s="2599"/>
      <c r="AW55" s="775"/>
      <c r="AX55" s="368">
        <f t="shared" si="18"/>
        <v>2179.0500000000002</v>
      </c>
      <c r="AY55" s="2580"/>
      <c r="AZ55" s="2599">
        <f>233.7+805.65+24.6+12.3</f>
        <v>1076.2499999999998</v>
      </c>
      <c r="BA55" s="570"/>
      <c r="BB55" s="570">
        <f t="shared" si="9"/>
        <v>1147.9999999999998</v>
      </c>
      <c r="BC55" s="657"/>
      <c r="BD55" s="657">
        <f t="shared" si="19"/>
        <v>2177.0999999999995</v>
      </c>
      <c r="BE55" s="775"/>
      <c r="BF55" s="775">
        <f t="shared" si="20"/>
        <v>3255.3</v>
      </c>
      <c r="BG55" s="1202"/>
      <c r="BH55" s="1520">
        <f t="shared" si="0"/>
        <v>0</v>
      </c>
      <c r="BI55" s="1520">
        <f t="shared" si="1"/>
        <v>0</v>
      </c>
      <c r="BJ55" s="26">
        <f t="shared" si="2"/>
        <v>0</v>
      </c>
      <c r="BK55" s="26">
        <f t="shared" si="3"/>
        <v>0</v>
      </c>
      <c r="BL55" s="26">
        <f t="shared" si="4"/>
        <v>0</v>
      </c>
      <c r="BM55" s="26">
        <f t="shared" si="5"/>
        <v>0</v>
      </c>
    </row>
    <row r="56" spans="1:65" ht="16.2" thickBot="1" x14ac:dyDescent="0.35">
      <c r="A56" s="146"/>
      <c r="B56" s="842" t="s">
        <v>864</v>
      </c>
      <c r="C56" s="2534" t="s">
        <v>1112</v>
      </c>
      <c r="D56" s="2535" t="s">
        <v>50</v>
      </c>
      <c r="E56" s="2580"/>
      <c r="F56" s="2599">
        <f>1912.65-6.15</f>
        <v>1906.5</v>
      </c>
      <c r="G56" s="2580"/>
      <c r="H56" s="2599">
        <v>2402.5999999999995</v>
      </c>
      <c r="I56" s="2538"/>
      <c r="J56" s="42">
        <f t="shared" si="10"/>
        <v>4309.0999999999995</v>
      </c>
      <c r="K56" s="2580"/>
      <c r="L56" s="2599"/>
      <c r="M56" s="774"/>
      <c r="N56" s="613">
        <f t="shared" si="11"/>
        <v>4309.0999999999995</v>
      </c>
      <c r="O56" s="2580"/>
      <c r="P56" s="2599"/>
      <c r="Q56" s="775"/>
      <c r="R56" s="368">
        <f t="shared" si="12"/>
        <v>4309.0999999999995</v>
      </c>
      <c r="S56" s="2580"/>
      <c r="T56" s="2599">
        <v>940.95000000000016</v>
      </c>
      <c r="U56" s="775"/>
      <c r="V56" s="368">
        <f t="shared" si="13"/>
        <v>5250.0499999999993</v>
      </c>
      <c r="W56" s="2580"/>
      <c r="X56" s="2599">
        <v>1281.25</v>
      </c>
      <c r="Y56" s="570"/>
      <c r="Z56" s="4048">
        <f t="shared" si="6"/>
        <v>2222.2000000000003</v>
      </c>
      <c r="AA56" s="657"/>
      <c r="AB56" s="4049">
        <f t="shared" si="7"/>
        <v>6531.2999999999993</v>
      </c>
      <c r="AC56" s="2580"/>
      <c r="AD56" s="2599">
        <f>243.95-24.6</f>
        <v>219.35</v>
      </c>
      <c r="AE56" s="775"/>
      <c r="AF56" s="368">
        <f t="shared" si="14"/>
        <v>6750.65</v>
      </c>
      <c r="AG56" s="2580"/>
      <c r="AH56" s="2599">
        <f>1055.75-4.1</f>
        <v>1051.6500000000001</v>
      </c>
      <c r="AI56" s="775"/>
      <c r="AJ56" s="368">
        <f t="shared" si="21"/>
        <v>7802.2999999999993</v>
      </c>
      <c r="AK56" s="2580"/>
      <c r="AL56" s="2599">
        <f>1391.95-2.05</f>
        <v>1389.9</v>
      </c>
      <c r="AM56" s="570"/>
      <c r="AN56" s="4048">
        <f t="shared" si="8"/>
        <v>2660.9</v>
      </c>
      <c r="AO56" s="775"/>
      <c r="AP56" s="368">
        <f t="shared" si="16"/>
        <v>9192.1999999999989</v>
      </c>
      <c r="AQ56" s="2580"/>
      <c r="AR56" s="2599">
        <v>1022.9500000000002</v>
      </c>
      <c r="AS56" s="775"/>
      <c r="AT56" s="775">
        <f t="shared" si="17"/>
        <v>10215.15</v>
      </c>
      <c r="AU56" s="2580"/>
      <c r="AV56" s="2599">
        <f>1605.15</f>
        <v>1605.15</v>
      </c>
      <c r="AW56" s="775"/>
      <c r="AX56" s="368">
        <f t="shared" si="18"/>
        <v>11820.3</v>
      </c>
      <c r="AY56" s="2580"/>
      <c r="AZ56" s="2599">
        <f>2890.5-24.6</f>
        <v>2865.9</v>
      </c>
      <c r="BA56" s="570"/>
      <c r="BB56" s="570">
        <f t="shared" si="9"/>
        <v>5494</v>
      </c>
      <c r="BC56" s="657"/>
      <c r="BD56" s="657">
        <f t="shared" si="19"/>
        <v>8154.9</v>
      </c>
      <c r="BE56" s="775"/>
      <c r="BF56" s="775">
        <f t="shared" si="20"/>
        <v>14686.199999999999</v>
      </c>
      <c r="BG56" s="1202"/>
      <c r="BH56" s="1520">
        <f t="shared" si="0"/>
        <v>0</v>
      </c>
      <c r="BI56" s="1520">
        <f t="shared" si="1"/>
        <v>0</v>
      </c>
      <c r="BJ56" s="26">
        <f t="shared" si="2"/>
        <v>0</v>
      </c>
      <c r="BK56" s="26">
        <f t="shared" si="3"/>
        <v>0</v>
      </c>
      <c r="BL56" s="26">
        <f t="shared" si="4"/>
        <v>0</v>
      </c>
      <c r="BM56" s="26">
        <f t="shared" si="5"/>
        <v>0</v>
      </c>
    </row>
    <row r="57" spans="1:65" ht="16.2" thickBot="1" x14ac:dyDescent="0.35">
      <c r="A57" s="146"/>
      <c r="B57" s="842" t="s">
        <v>864</v>
      </c>
      <c r="C57" s="2534" t="s">
        <v>1127</v>
      </c>
      <c r="D57" s="2535" t="s">
        <v>50</v>
      </c>
      <c r="E57" s="2580"/>
      <c r="F57" s="2537">
        <v>151.70000000000002</v>
      </c>
      <c r="G57" s="2580"/>
      <c r="H57" s="2537">
        <v>342.34999999999997</v>
      </c>
      <c r="I57" s="2538"/>
      <c r="J57" s="42">
        <f t="shared" si="10"/>
        <v>494.04999999999995</v>
      </c>
      <c r="K57" s="2580"/>
      <c r="L57" s="2537">
        <v>578.1</v>
      </c>
      <c r="M57" s="774"/>
      <c r="N57" s="613">
        <f t="shared" si="11"/>
        <v>1072.1500000000001</v>
      </c>
      <c r="O57" s="2580"/>
      <c r="P57" s="2537">
        <v>260.35000000000002</v>
      </c>
      <c r="Q57" s="775"/>
      <c r="R57" s="368">
        <f t="shared" si="12"/>
        <v>1332.5</v>
      </c>
      <c r="S57" s="2580"/>
      <c r="T57" s="2537">
        <v>744.15</v>
      </c>
      <c r="U57" s="775"/>
      <c r="V57" s="368">
        <f t="shared" si="13"/>
        <v>2076.65</v>
      </c>
      <c r="W57" s="2580"/>
      <c r="X57" s="2537"/>
      <c r="Y57" s="570"/>
      <c r="Z57" s="4048">
        <f t="shared" si="6"/>
        <v>1004.5</v>
      </c>
      <c r="AA57" s="657"/>
      <c r="AB57" s="4049">
        <f t="shared" si="7"/>
        <v>2076.65</v>
      </c>
      <c r="AC57" s="2580"/>
      <c r="AD57" s="2537"/>
      <c r="AE57" s="775"/>
      <c r="AF57" s="368">
        <f t="shared" si="14"/>
        <v>2076.65</v>
      </c>
      <c r="AG57" s="2580"/>
      <c r="AH57" s="2537"/>
      <c r="AI57" s="775"/>
      <c r="AJ57" s="775">
        <f t="shared" si="21"/>
        <v>2076.65</v>
      </c>
      <c r="AK57" s="2580"/>
      <c r="AL57" s="2537">
        <f>471.5-4.1</f>
        <v>467.4</v>
      </c>
      <c r="AM57" s="570"/>
      <c r="AN57" s="4048">
        <f t="shared" si="8"/>
        <v>467.4</v>
      </c>
      <c r="AO57" s="775"/>
      <c r="AP57" s="368">
        <f t="shared" si="16"/>
        <v>2544.0500000000002</v>
      </c>
      <c r="AQ57" s="2580"/>
      <c r="AR57" s="2537">
        <v>362.85</v>
      </c>
      <c r="AS57" s="775"/>
      <c r="AT57" s="775">
        <f t="shared" si="17"/>
        <v>2906.9</v>
      </c>
      <c r="AU57" s="2580"/>
      <c r="AV57" s="2537"/>
      <c r="AW57" s="775"/>
      <c r="AX57" s="368">
        <f t="shared" si="18"/>
        <v>2906.9</v>
      </c>
      <c r="AY57" s="2580"/>
      <c r="AZ57" s="2537">
        <v>328</v>
      </c>
      <c r="BA57" s="570"/>
      <c r="BB57" s="570">
        <f t="shared" si="9"/>
        <v>690.85</v>
      </c>
      <c r="BC57" s="657"/>
      <c r="BD57" s="657">
        <f t="shared" si="19"/>
        <v>1158.25</v>
      </c>
      <c r="BE57" s="775"/>
      <c r="BF57" s="775">
        <f t="shared" si="20"/>
        <v>3234.9</v>
      </c>
      <c r="BG57" s="1202"/>
      <c r="BH57" s="1520">
        <f t="shared" si="0"/>
        <v>0</v>
      </c>
      <c r="BI57" s="1520">
        <f t="shared" si="1"/>
        <v>0</v>
      </c>
      <c r="BJ57" s="26">
        <f t="shared" si="2"/>
        <v>0</v>
      </c>
      <c r="BK57" s="26">
        <f t="shared" si="3"/>
        <v>0</v>
      </c>
      <c r="BL57" s="26">
        <f t="shared" si="4"/>
        <v>0</v>
      </c>
      <c r="BM57" s="26">
        <f t="shared" si="5"/>
        <v>0</v>
      </c>
    </row>
    <row r="58" spans="1:65" ht="16.2" thickBot="1" x14ac:dyDescent="0.35">
      <c r="A58" s="146"/>
      <c r="B58" s="4400" t="s">
        <v>864</v>
      </c>
      <c r="C58" s="4371" t="s">
        <v>1892</v>
      </c>
      <c r="D58" s="2535" t="s">
        <v>50</v>
      </c>
      <c r="E58" s="4401"/>
      <c r="F58" s="4402"/>
      <c r="G58" s="4401"/>
      <c r="H58" s="4402">
        <v>225.5</v>
      </c>
      <c r="I58" s="4403"/>
      <c r="J58" s="42">
        <f t="shared" si="10"/>
        <v>225.5</v>
      </c>
      <c r="K58" s="4401"/>
      <c r="L58" s="4402">
        <v>209.1</v>
      </c>
      <c r="M58" s="4405"/>
      <c r="N58" s="613">
        <f t="shared" si="11"/>
        <v>434.6</v>
      </c>
      <c r="O58" s="4401"/>
      <c r="P58" s="4402"/>
      <c r="Q58" s="4403"/>
      <c r="R58" s="368">
        <f t="shared" si="12"/>
        <v>434.6</v>
      </c>
      <c r="S58" s="4401"/>
      <c r="T58" s="4402"/>
      <c r="U58" s="4403"/>
      <c r="V58" s="368">
        <f t="shared" si="13"/>
        <v>434.6</v>
      </c>
      <c r="W58" s="4401"/>
      <c r="X58" s="4402"/>
      <c r="Y58" s="4406"/>
      <c r="Z58" s="4048">
        <f t="shared" si="6"/>
        <v>0</v>
      </c>
      <c r="AA58" s="4407"/>
      <c r="AB58" s="4049">
        <f t="shared" si="7"/>
        <v>434.6</v>
      </c>
      <c r="AC58" s="4401"/>
      <c r="AD58" s="4402"/>
      <c r="AE58" s="4403"/>
      <c r="AF58" s="368">
        <f t="shared" si="14"/>
        <v>434.6</v>
      </c>
      <c r="AG58" s="4401"/>
      <c r="AH58" s="4402"/>
      <c r="AI58" s="4403"/>
      <c r="AJ58" s="368">
        <f>+AF58+AH58</f>
        <v>434.6</v>
      </c>
      <c r="AK58" s="4401"/>
      <c r="AL58" s="4402"/>
      <c r="AM58" s="4406"/>
      <c r="AN58" s="4048">
        <f t="shared" si="8"/>
        <v>0</v>
      </c>
      <c r="AO58" s="4403"/>
      <c r="AP58" s="368">
        <f t="shared" si="16"/>
        <v>434.6</v>
      </c>
      <c r="AQ58" s="4401"/>
      <c r="AR58" s="4402"/>
      <c r="AS58" s="4403"/>
      <c r="AT58" s="4403">
        <f t="shared" si="17"/>
        <v>434.6</v>
      </c>
      <c r="AU58" s="4401"/>
      <c r="AV58" s="4402"/>
      <c r="AW58" s="4403"/>
      <c r="AX58" s="368">
        <f t="shared" si="18"/>
        <v>434.6</v>
      </c>
      <c r="AY58" s="4401"/>
      <c r="AZ58" s="4402"/>
      <c r="BA58" s="4406"/>
      <c r="BB58" s="570">
        <f t="shared" si="9"/>
        <v>0</v>
      </c>
      <c r="BC58" s="4407"/>
      <c r="BD58" s="657">
        <f t="shared" si="19"/>
        <v>0</v>
      </c>
      <c r="BE58" s="4403"/>
      <c r="BF58" s="775">
        <f t="shared" si="20"/>
        <v>434.6</v>
      </c>
      <c r="BG58" s="1202"/>
      <c r="BH58" s="1520">
        <f t="shared" si="0"/>
        <v>0</v>
      </c>
      <c r="BI58" s="1520">
        <f t="shared" si="1"/>
        <v>0</v>
      </c>
      <c r="BJ58" s="26">
        <f t="shared" si="2"/>
        <v>0</v>
      </c>
      <c r="BK58" s="26">
        <f t="shared" si="3"/>
        <v>0</v>
      </c>
      <c r="BL58" s="26">
        <f t="shared" si="4"/>
        <v>0</v>
      </c>
      <c r="BM58" s="26">
        <f t="shared" si="5"/>
        <v>0</v>
      </c>
    </row>
    <row r="59" spans="1:65" ht="16.5" customHeight="1" thickBot="1" x14ac:dyDescent="0.35">
      <c r="A59" s="146"/>
      <c r="B59" s="842" t="s">
        <v>864</v>
      </c>
      <c r="C59" s="2534" t="s">
        <v>968</v>
      </c>
      <c r="D59" s="2535" t="s">
        <v>50</v>
      </c>
      <c r="E59" s="2580"/>
      <c r="F59" s="2537"/>
      <c r="G59" s="2580"/>
      <c r="H59" s="2537"/>
      <c r="I59" s="2538"/>
      <c r="J59" s="42">
        <f t="shared" si="10"/>
        <v>0</v>
      </c>
      <c r="K59" s="2580"/>
      <c r="L59" s="2537"/>
      <c r="M59" s="774"/>
      <c r="N59" s="613">
        <f t="shared" si="11"/>
        <v>0</v>
      </c>
      <c r="O59" s="2580"/>
      <c r="P59" s="2537"/>
      <c r="Q59" s="775"/>
      <c r="R59" s="368">
        <f t="shared" si="12"/>
        <v>0</v>
      </c>
      <c r="S59" s="2580"/>
      <c r="T59" s="2537">
        <v>198.85</v>
      </c>
      <c r="U59" s="775"/>
      <c r="V59" s="368">
        <f t="shared" si="13"/>
        <v>198.85</v>
      </c>
      <c r="W59" s="2580"/>
      <c r="X59" s="2537"/>
      <c r="Y59" s="570"/>
      <c r="Z59" s="4048">
        <f t="shared" si="6"/>
        <v>198.85</v>
      </c>
      <c r="AA59" s="657"/>
      <c r="AB59" s="4049">
        <f t="shared" si="7"/>
        <v>198.85</v>
      </c>
      <c r="AC59" s="2580"/>
      <c r="AD59" s="2537"/>
      <c r="AE59" s="775"/>
      <c r="AF59" s="368">
        <f t="shared" si="14"/>
        <v>198.85</v>
      </c>
      <c r="AG59" s="2580"/>
      <c r="AH59" s="2537"/>
      <c r="AI59" s="775"/>
      <c r="AJ59" s="775">
        <f t="shared" si="21"/>
        <v>198.85</v>
      </c>
      <c r="AK59" s="2580"/>
      <c r="AL59" s="2537"/>
      <c r="AM59" s="570"/>
      <c r="AN59" s="4048">
        <f t="shared" si="8"/>
        <v>0</v>
      </c>
      <c r="AO59" s="775"/>
      <c r="AP59" s="368">
        <f t="shared" si="16"/>
        <v>198.85</v>
      </c>
      <c r="AQ59" s="2580"/>
      <c r="AR59" s="2537"/>
      <c r="AS59" s="775"/>
      <c r="AT59" s="775">
        <f t="shared" si="17"/>
        <v>198.85</v>
      </c>
      <c r="AU59" s="2580"/>
      <c r="AV59" s="2537"/>
      <c r="AW59" s="775"/>
      <c r="AX59" s="368">
        <f t="shared" si="18"/>
        <v>198.85</v>
      </c>
      <c r="AY59" s="2580"/>
      <c r="AZ59" s="2537"/>
      <c r="BA59" s="570"/>
      <c r="BB59" s="570">
        <f t="shared" si="9"/>
        <v>0</v>
      </c>
      <c r="BC59" s="657"/>
      <c r="BD59" s="657">
        <f t="shared" si="19"/>
        <v>0</v>
      </c>
      <c r="BE59" s="775"/>
      <c r="BF59" s="775">
        <f t="shared" si="20"/>
        <v>198.85</v>
      </c>
      <c r="BG59" s="1202"/>
      <c r="BH59" s="1520">
        <f t="shared" si="0"/>
        <v>0</v>
      </c>
      <c r="BI59" s="1520">
        <f t="shared" si="1"/>
        <v>0</v>
      </c>
      <c r="BJ59" s="26">
        <f t="shared" si="2"/>
        <v>0</v>
      </c>
      <c r="BK59" s="26">
        <f t="shared" si="3"/>
        <v>0</v>
      </c>
      <c r="BL59" s="26">
        <f t="shared" si="4"/>
        <v>0</v>
      </c>
      <c r="BM59" s="26">
        <f t="shared" si="5"/>
        <v>0</v>
      </c>
    </row>
    <row r="60" spans="1:65" ht="16.2" thickBot="1" x14ac:dyDescent="0.35">
      <c r="A60" s="146"/>
      <c r="B60" s="842" t="s">
        <v>864</v>
      </c>
      <c r="C60" s="2534" t="s">
        <v>868</v>
      </c>
      <c r="D60" s="2535" t="s">
        <v>50</v>
      </c>
      <c r="E60" s="2580"/>
      <c r="F60" s="2537">
        <f>1576.45-14.25</f>
        <v>1562.2</v>
      </c>
      <c r="G60" s="2580"/>
      <c r="H60" s="2537">
        <f>1920.85-2.05-12.3</f>
        <v>1906.5</v>
      </c>
      <c r="I60" s="2538"/>
      <c r="J60" s="42">
        <f t="shared" si="10"/>
        <v>3468.7</v>
      </c>
      <c r="K60" s="2580"/>
      <c r="L60" s="2537">
        <v>848.69999999999993</v>
      </c>
      <c r="M60" s="774"/>
      <c r="N60" s="613">
        <f t="shared" si="11"/>
        <v>4317.3999999999996</v>
      </c>
      <c r="O60" s="2580"/>
      <c r="P60" s="2537">
        <v>1406.3</v>
      </c>
      <c r="Q60" s="775"/>
      <c r="R60" s="368">
        <f t="shared" si="12"/>
        <v>5723.7</v>
      </c>
      <c r="S60" s="2580"/>
      <c r="T60" s="2537">
        <v>1170.55</v>
      </c>
      <c r="U60" s="775"/>
      <c r="V60" s="368">
        <f t="shared" si="13"/>
        <v>6894.25</v>
      </c>
      <c r="W60" s="2580"/>
      <c r="X60" s="2537">
        <v>272.64999999999998</v>
      </c>
      <c r="Y60" s="570"/>
      <c r="Z60" s="4048">
        <f t="shared" si="6"/>
        <v>2849.5</v>
      </c>
      <c r="AA60" s="657"/>
      <c r="AB60" s="4049">
        <f t="shared" si="7"/>
        <v>7166.9</v>
      </c>
      <c r="AC60" s="2580"/>
      <c r="AD60" s="2537">
        <f>1133.65-26.65</f>
        <v>1107</v>
      </c>
      <c r="AE60" s="775"/>
      <c r="AF60" s="368">
        <f t="shared" si="14"/>
        <v>8273.9</v>
      </c>
      <c r="AG60" s="2580"/>
      <c r="AH60" s="2537">
        <v>735.95</v>
      </c>
      <c r="AI60" s="775"/>
      <c r="AJ60" s="368">
        <f t="shared" si="21"/>
        <v>9009.85</v>
      </c>
      <c r="AK60" s="2580"/>
      <c r="AL60" s="2537">
        <f>1324.3-18.45</f>
        <v>1305.8499999999999</v>
      </c>
      <c r="AM60" s="570"/>
      <c r="AN60" s="4048">
        <f t="shared" si="8"/>
        <v>3148.8</v>
      </c>
      <c r="AO60" s="775"/>
      <c r="AP60" s="368">
        <f t="shared" si="16"/>
        <v>10315.700000000001</v>
      </c>
      <c r="AQ60" s="2580"/>
      <c r="AR60" s="2537">
        <f>1355.05-2.05</f>
        <v>1353</v>
      </c>
      <c r="AS60" s="775"/>
      <c r="AT60" s="775">
        <f t="shared" si="17"/>
        <v>11668.7</v>
      </c>
      <c r="AU60" s="2580"/>
      <c r="AV60" s="2537">
        <v>973.75</v>
      </c>
      <c r="AW60" s="775"/>
      <c r="AX60" s="368">
        <f t="shared" si="18"/>
        <v>12642.45</v>
      </c>
      <c r="AY60" s="2580"/>
      <c r="AZ60" s="2537">
        <f>2367.75-12.3</f>
        <v>2355.4499999999998</v>
      </c>
      <c r="BA60" s="570"/>
      <c r="BB60" s="570">
        <f t="shared" si="9"/>
        <v>4682.2</v>
      </c>
      <c r="BC60" s="657"/>
      <c r="BD60" s="657">
        <f t="shared" si="19"/>
        <v>7831</v>
      </c>
      <c r="BE60" s="775"/>
      <c r="BF60" s="775">
        <f t="shared" si="20"/>
        <v>14997.900000000001</v>
      </c>
      <c r="BG60" s="1202"/>
      <c r="BH60" s="1520">
        <f t="shared" si="0"/>
        <v>0</v>
      </c>
      <c r="BI60" s="1520">
        <f t="shared" si="1"/>
        <v>0</v>
      </c>
      <c r="BJ60" s="26">
        <f t="shared" si="2"/>
        <v>0</v>
      </c>
      <c r="BK60" s="26">
        <f t="shared" si="3"/>
        <v>0</v>
      </c>
      <c r="BL60" s="26">
        <f t="shared" si="4"/>
        <v>0</v>
      </c>
      <c r="BM60" s="26">
        <f t="shared" si="5"/>
        <v>0</v>
      </c>
    </row>
    <row r="61" spans="1:65" ht="16.2" thickBot="1" x14ac:dyDescent="0.35">
      <c r="A61" s="146"/>
      <c r="B61" s="842" t="s">
        <v>864</v>
      </c>
      <c r="C61" s="2534" t="s">
        <v>962</v>
      </c>
      <c r="D61" s="2535" t="s">
        <v>50</v>
      </c>
      <c r="E61" s="2580"/>
      <c r="F61" s="2537"/>
      <c r="G61" s="2580"/>
      <c r="H61" s="2537"/>
      <c r="I61" s="2538"/>
      <c r="J61" s="42">
        <f t="shared" si="10"/>
        <v>0</v>
      </c>
      <c r="K61" s="2580"/>
      <c r="L61" s="2537">
        <v>161.95000000000002</v>
      </c>
      <c r="M61" s="774"/>
      <c r="N61" s="613">
        <f t="shared" si="11"/>
        <v>161.95000000000002</v>
      </c>
      <c r="O61" s="2580"/>
      <c r="P61" s="2537">
        <v>129.14999999999998</v>
      </c>
      <c r="Q61" s="775"/>
      <c r="R61" s="368">
        <f t="shared" si="12"/>
        <v>291.10000000000002</v>
      </c>
      <c r="S61" s="2580"/>
      <c r="T61" s="2537">
        <v>186.55</v>
      </c>
      <c r="U61" s="775"/>
      <c r="V61" s="368">
        <f t="shared" si="13"/>
        <v>477.65000000000003</v>
      </c>
      <c r="W61" s="2580"/>
      <c r="X61" s="2537"/>
      <c r="Y61" s="570"/>
      <c r="Z61" s="4048">
        <f t="shared" si="6"/>
        <v>315.7</v>
      </c>
      <c r="AA61" s="657"/>
      <c r="AB61" s="4049">
        <f t="shared" si="7"/>
        <v>477.65</v>
      </c>
      <c r="AC61" s="2580"/>
      <c r="AD61" s="2537"/>
      <c r="AE61" s="775"/>
      <c r="AF61" s="368">
        <f t="shared" si="14"/>
        <v>477.65</v>
      </c>
      <c r="AG61" s="2580"/>
      <c r="AH61" s="2537">
        <v>1207.45</v>
      </c>
      <c r="AI61" s="775"/>
      <c r="AJ61" s="368">
        <f t="shared" si="21"/>
        <v>1685.1</v>
      </c>
      <c r="AK61" s="2580"/>
      <c r="AL61" s="2537"/>
      <c r="AM61" s="570"/>
      <c r="AN61" s="4048">
        <f t="shared" si="8"/>
        <v>1207.45</v>
      </c>
      <c r="AO61" s="775"/>
      <c r="AP61" s="368">
        <f t="shared" si="16"/>
        <v>1685.1</v>
      </c>
      <c r="AQ61" s="2580"/>
      <c r="AR61" s="2537"/>
      <c r="AS61" s="775"/>
      <c r="AT61" s="775">
        <f t="shared" si="17"/>
        <v>1685.1</v>
      </c>
      <c r="AU61" s="2580"/>
      <c r="AV61" s="2537"/>
      <c r="AW61" s="775"/>
      <c r="AX61" s="368">
        <f t="shared" si="18"/>
        <v>1685.1</v>
      </c>
      <c r="AY61" s="2580"/>
      <c r="AZ61" s="2537"/>
      <c r="BA61" s="570"/>
      <c r="BB61" s="570">
        <f t="shared" si="9"/>
        <v>0</v>
      </c>
      <c r="BC61" s="657"/>
      <c r="BD61" s="657">
        <f t="shared" si="19"/>
        <v>1207.45</v>
      </c>
      <c r="BE61" s="775"/>
      <c r="BF61" s="775">
        <f t="shared" si="20"/>
        <v>1685.1</v>
      </c>
      <c r="BG61" s="1202"/>
      <c r="BH61" s="1520">
        <f t="shared" si="0"/>
        <v>0</v>
      </c>
      <c r="BI61" s="1520">
        <f t="shared" si="1"/>
        <v>0</v>
      </c>
      <c r="BJ61" s="26">
        <f t="shared" si="2"/>
        <v>0</v>
      </c>
      <c r="BK61" s="26">
        <f t="shared" si="3"/>
        <v>0</v>
      </c>
      <c r="BL61" s="26">
        <f t="shared" si="4"/>
        <v>0</v>
      </c>
      <c r="BM61" s="26">
        <f t="shared" si="5"/>
        <v>0</v>
      </c>
    </row>
    <row r="62" spans="1:65" ht="16.2" thickBot="1" x14ac:dyDescent="0.35">
      <c r="A62" s="146"/>
      <c r="B62" s="842" t="s">
        <v>864</v>
      </c>
      <c r="C62" s="2534" t="s">
        <v>964</v>
      </c>
      <c r="D62" s="2535" t="s">
        <v>50</v>
      </c>
      <c r="E62" s="2580"/>
      <c r="F62" s="2537">
        <v>90.2</v>
      </c>
      <c r="G62" s="2580"/>
      <c r="H62" s="2537"/>
      <c r="I62" s="2538"/>
      <c r="J62" s="42">
        <f t="shared" si="10"/>
        <v>90.2</v>
      </c>
      <c r="K62" s="2580"/>
      <c r="L62" s="2537">
        <v>399.75</v>
      </c>
      <c r="M62" s="2420"/>
      <c r="N62" s="613">
        <f t="shared" si="11"/>
        <v>489.95</v>
      </c>
      <c r="O62" s="2580"/>
      <c r="P62" s="2537">
        <v>791.29999999999973</v>
      </c>
      <c r="Q62" s="2418"/>
      <c r="R62" s="368">
        <f t="shared" si="12"/>
        <v>1281.2499999999998</v>
      </c>
      <c r="S62" s="2580"/>
      <c r="T62" s="2537">
        <v>457.14999999999992</v>
      </c>
      <c r="U62" s="2418"/>
      <c r="V62" s="368">
        <f t="shared" si="13"/>
        <v>1738.3999999999996</v>
      </c>
      <c r="W62" s="2580"/>
      <c r="X62" s="2537">
        <v>563.75</v>
      </c>
      <c r="Y62" s="2421"/>
      <c r="Z62" s="4048">
        <f t="shared" si="6"/>
        <v>1812.1999999999996</v>
      </c>
      <c r="AA62" s="657"/>
      <c r="AB62" s="4049">
        <f t="shared" si="7"/>
        <v>2302.1499999999996</v>
      </c>
      <c r="AC62" s="2580"/>
      <c r="AD62" s="2537">
        <v>430.5</v>
      </c>
      <c r="AE62" s="2418"/>
      <c r="AF62" s="368">
        <f t="shared" si="14"/>
        <v>2732.6499999999996</v>
      </c>
      <c r="AG62" s="2580"/>
      <c r="AH62" s="2537">
        <v>612.95000000000005</v>
      </c>
      <c r="AI62" s="2418"/>
      <c r="AJ62" s="368">
        <f t="shared" si="21"/>
        <v>3345.5999999999995</v>
      </c>
      <c r="AK62" s="2580"/>
      <c r="AL62" s="2537">
        <v>600.65</v>
      </c>
      <c r="AM62" s="2421"/>
      <c r="AN62" s="4048">
        <f t="shared" si="8"/>
        <v>1644.1</v>
      </c>
      <c r="AO62" s="775"/>
      <c r="AP62" s="368">
        <f t="shared" si="16"/>
        <v>3946.2499999999995</v>
      </c>
      <c r="AQ62" s="2580"/>
      <c r="AR62" s="2537">
        <v>1076.2500000000002</v>
      </c>
      <c r="AS62" s="2418"/>
      <c r="AT62" s="775">
        <f t="shared" si="17"/>
        <v>5022.5</v>
      </c>
      <c r="AU62" s="2580"/>
      <c r="AV62" s="2537">
        <v>1275.1000000000004</v>
      </c>
      <c r="AW62" s="2418"/>
      <c r="AX62" s="368">
        <f t="shared" si="18"/>
        <v>6297.6</v>
      </c>
      <c r="AY62" s="2580"/>
      <c r="AZ62" s="2537">
        <v>551.44999999999993</v>
      </c>
      <c r="BA62" s="2421"/>
      <c r="BB62" s="570">
        <f t="shared" si="9"/>
        <v>2902.8</v>
      </c>
      <c r="BC62" s="657"/>
      <c r="BD62" s="657">
        <f t="shared" si="19"/>
        <v>4546.8999999999996</v>
      </c>
      <c r="BE62" s="775"/>
      <c r="BF62" s="775">
        <f t="shared" si="20"/>
        <v>6849.05</v>
      </c>
      <c r="BG62" s="1202"/>
      <c r="BH62" s="1520">
        <f t="shared" si="0"/>
        <v>0</v>
      </c>
      <c r="BI62" s="1520">
        <f t="shared" si="1"/>
        <v>0</v>
      </c>
      <c r="BJ62" s="26">
        <f t="shared" si="2"/>
        <v>0</v>
      </c>
      <c r="BK62" s="26">
        <f t="shared" si="3"/>
        <v>0</v>
      </c>
      <c r="BL62" s="26">
        <f t="shared" si="4"/>
        <v>0</v>
      </c>
      <c r="BM62" s="26">
        <f t="shared" si="5"/>
        <v>0</v>
      </c>
    </row>
    <row r="63" spans="1:65" ht="16.2" thickBot="1" x14ac:dyDescent="0.35">
      <c r="A63" s="146"/>
      <c r="B63" s="842" t="s">
        <v>864</v>
      </c>
      <c r="C63" s="2534" t="s">
        <v>966</v>
      </c>
      <c r="D63" s="2535" t="s">
        <v>50</v>
      </c>
      <c r="E63" s="2580"/>
      <c r="F63" s="2537">
        <v>147.6</v>
      </c>
      <c r="G63" s="2580"/>
      <c r="H63" s="2537"/>
      <c r="I63" s="2538"/>
      <c r="J63" s="42">
        <f t="shared" si="10"/>
        <v>147.6</v>
      </c>
      <c r="K63" s="2580"/>
      <c r="L63" s="2537"/>
      <c r="M63" s="2539"/>
      <c r="N63" s="613">
        <f t="shared" si="11"/>
        <v>147.6</v>
      </c>
      <c r="O63" s="2580"/>
      <c r="P63" s="2537"/>
      <c r="Q63" s="2538"/>
      <c r="R63" s="368">
        <f t="shared" si="12"/>
        <v>147.6</v>
      </c>
      <c r="S63" s="2580"/>
      <c r="T63" s="2537"/>
      <c r="U63" s="2538"/>
      <c r="V63" s="368">
        <f t="shared" si="13"/>
        <v>147.6</v>
      </c>
      <c r="W63" s="2580"/>
      <c r="X63" s="2537">
        <v>209.10000000000002</v>
      </c>
      <c r="Y63" s="2540"/>
      <c r="Z63" s="4048">
        <f t="shared" si="6"/>
        <v>209.10000000000002</v>
      </c>
      <c r="AA63" s="2541"/>
      <c r="AB63" s="4049">
        <f t="shared" si="7"/>
        <v>356.70000000000005</v>
      </c>
      <c r="AC63" s="2580"/>
      <c r="AD63" s="2537"/>
      <c r="AE63" s="2538"/>
      <c r="AF63" s="368">
        <f t="shared" si="14"/>
        <v>356.70000000000005</v>
      </c>
      <c r="AG63" s="2580"/>
      <c r="AH63" s="2537"/>
      <c r="AI63" s="2538"/>
      <c r="AJ63" s="368">
        <f t="shared" si="21"/>
        <v>356.70000000000005</v>
      </c>
      <c r="AK63" s="2580"/>
      <c r="AL63" s="2537">
        <v>114.8</v>
      </c>
      <c r="AM63" s="2540"/>
      <c r="AN63" s="4048">
        <f t="shared" si="8"/>
        <v>114.8</v>
      </c>
      <c r="AO63" s="2538"/>
      <c r="AP63" s="368">
        <f t="shared" si="16"/>
        <v>471.50000000000006</v>
      </c>
      <c r="AQ63" s="2580"/>
      <c r="AR63" s="2537"/>
      <c r="AS63" s="2538"/>
      <c r="AT63" s="775">
        <f t="shared" si="17"/>
        <v>471.50000000000006</v>
      </c>
      <c r="AU63" s="2580"/>
      <c r="AV63" s="2537">
        <v>211.14999999999998</v>
      </c>
      <c r="AW63" s="2538"/>
      <c r="AX63" s="368">
        <f t="shared" si="18"/>
        <v>682.65000000000009</v>
      </c>
      <c r="AY63" s="2580"/>
      <c r="AZ63" s="2537">
        <v>555.54999999999995</v>
      </c>
      <c r="BA63" s="2540"/>
      <c r="BB63" s="570">
        <f t="shared" si="9"/>
        <v>766.69999999999993</v>
      </c>
      <c r="BC63" s="2541"/>
      <c r="BD63" s="657">
        <f t="shared" si="19"/>
        <v>881.49999999999989</v>
      </c>
      <c r="BE63" s="2538"/>
      <c r="BF63" s="775">
        <f t="shared" si="20"/>
        <v>1238.2</v>
      </c>
      <c r="BG63" s="1202"/>
      <c r="BH63" s="1520">
        <f t="shared" si="0"/>
        <v>0</v>
      </c>
      <c r="BI63" s="1520">
        <f t="shared" si="1"/>
        <v>0</v>
      </c>
      <c r="BJ63" s="26">
        <f t="shared" si="2"/>
        <v>0</v>
      </c>
      <c r="BK63" s="26">
        <f t="shared" si="3"/>
        <v>0</v>
      </c>
      <c r="BL63" s="26">
        <f t="shared" si="4"/>
        <v>0</v>
      </c>
      <c r="BM63" s="26">
        <f t="shared" si="5"/>
        <v>0</v>
      </c>
    </row>
    <row r="64" spans="1:65" ht="16.2" thickBot="1" x14ac:dyDescent="0.35">
      <c r="A64" s="146"/>
      <c r="B64" s="842" t="s">
        <v>864</v>
      </c>
      <c r="C64" s="2534" t="s">
        <v>1130</v>
      </c>
      <c r="D64" s="2535" t="s">
        <v>50</v>
      </c>
      <c r="E64" s="2580"/>
      <c r="F64" s="2537">
        <v>18.45</v>
      </c>
      <c r="G64" s="2580"/>
      <c r="H64" s="2537">
        <v>4.0999999999999996</v>
      </c>
      <c r="I64" s="2538"/>
      <c r="J64" s="42">
        <f t="shared" si="10"/>
        <v>22.549999999999997</v>
      </c>
      <c r="K64" s="2580"/>
      <c r="L64" s="2537">
        <v>45.1</v>
      </c>
      <c r="M64" s="774"/>
      <c r="N64" s="613">
        <f t="shared" si="11"/>
        <v>67.650000000000006</v>
      </c>
      <c r="O64" s="2580"/>
      <c r="P64" s="2537">
        <v>2.0499999999999998</v>
      </c>
      <c r="Q64" s="775"/>
      <c r="R64" s="368">
        <f t="shared" si="12"/>
        <v>69.7</v>
      </c>
      <c r="S64" s="2580"/>
      <c r="T64" s="2537"/>
      <c r="U64" s="775"/>
      <c r="V64" s="368">
        <f t="shared" si="13"/>
        <v>69.7</v>
      </c>
      <c r="W64" s="2580"/>
      <c r="X64" s="2537"/>
      <c r="Y64" s="570"/>
      <c r="Z64" s="4048">
        <f t="shared" si="6"/>
        <v>2.0499999999999998</v>
      </c>
      <c r="AA64" s="657"/>
      <c r="AB64" s="4049">
        <f t="shared" si="7"/>
        <v>69.7</v>
      </c>
      <c r="AC64" s="2580"/>
      <c r="AD64" s="2537">
        <v>51.25</v>
      </c>
      <c r="AE64" s="775"/>
      <c r="AF64" s="368">
        <f t="shared" si="14"/>
        <v>120.95</v>
      </c>
      <c r="AG64" s="2580"/>
      <c r="AH64" s="2537">
        <v>2.0499999999999998</v>
      </c>
      <c r="AI64" s="775"/>
      <c r="AJ64" s="368">
        <f t="shared" si="21"/>
        <v>123</v>
      </c>
      <c r="AK64" s="2580"/>
      <c r="AL64" s="2537">
        <v>92.25</v>
      </c>
      <c r="AM64" s="570"/>
      <c r="AN64" s="4048">
        <f t="shared" si="8"/>
        <v>145.55000000000001</v>
      </c>
      <c r="AO64" s="775"/>
      <c r="AP64" s="368">
        <f t="shared" si="16"/>
        <v>215.25</v>
      </c>
      <c r="AQ64" s="2580"/>
      <c r="AR64" s="2537"/>
      <c r="AS64" s="775"/>
      <c r="AT64" s="775">
        <f t="shared" si="17"/>
        <v>215.25</v>
      </c>
      <c r="AU64" s="2580"/>
      <c r="AV64" s="2537">
        <v>94.3</v>
      </c>
      <c r="AW64" s="775"/>
      <c r="AX64" s="368">
        <f t="shared" si="18"/>
        <v>309.55</v>
      </c>
      <c r="AY64" s="2580"/>
      <c r="AZ64" s="2537">
        <v>53.3</v>
      </c>
      <c r="BA64" s="570"/>
      <c r="BB64" s="570">
        <f t="shared" si="9"/>
        <v>147.6</v>
      </c>
      <c r="BC64" s="657"/>
      <c r="BD64" s="657">
        <f t="shared" si="19"/>
        <v>293.14999999999998</v>
      </c>
      <c r="BE64" s="775"/>
      <c r="BF64" s="775">
        <f t="shared" si="20"/>
        <v>362.85</v>
      </c>
      <c r="BG64" s="1202"/>
      <c r="BH64" s="1520">
        <f t="shared" si="0"/>
        <v>0</v>
      </c>
      <c r="BI64" s="1520">
        <f t="shared" si="1"/>
        <v>0</v>
      </c>
      <c r="BJ64" s="26">
        <f t="shared" si="2"/>
        <v>0</v>
      </c>
      <c r="BK64" s="26">
        <f t="shared" si="3"/>
        <v>0</v>
      </c>
      <c r="BL64" s="26">
        <f t="shared" si="4"/>
        <v>0</v>
      </c>
      <c r="BM64" s="26">
        <f t="shared" si="5"/>
        <v>0</v>
      </c>
    </row>
    <row r="65" spans="1:65" ht="16.2" thickBot="1" x14ac:dyDescent="0.35">
      <c r="A65" s="146"/>
      <c r="B65" s="842" t="s">
        <v>864</v>
      </c>
      <c r="C65" s="2534" t="s">
        <v>965</v>
      </c>
      <c r="D65" s="2535" t="s">
        <v>50</v>
      </c>
      <c r="E65" s="2580"/>
      <c r="F65" s="2537"/>
      <c r="G65" s="2580"/>
      <c r="H65" s="2537"/>
      <c r="I65" s="2538"/>
      <c r="J65" s="42">
        <f t="shared" si="10"/>
        <v>0</v>
      </c>
      <c r="K65" s="2580"/>
      <c r="L65" s="2537">
        <v>10.25</v>
      </c>
      <c r="M65" s="774"/>
      <c r="N65" s="613">
        <f t="shared" si="11"/>
        <v>10.25</v>
      </c>
      <c r="O65" s="2580"/>
      <c r="P65" s="2537"/>
      <c r="Q65" s="775"/>
      <c r="R65" s="368">
        <f t="shared" si="12"/>
        <v>10.25</v>
      </c>
      <c r="S65" s="2580"/>
      <c r="T65" s="2537"/>
      <c r="U65" s="775"/>
      <c r="V65" s="368">
        <f t="shared" si="13"/>
        <v>10.25</v>
      </c>
      <c r="W65" s="2580"/>
      <c r="X65" s="2537"/>
      <c r="Y65" s="570"/>
      <c r="Z65" s="4048">
        <f t="shared" si="6"/>
        <v>0</v>
      </c>
      <c r="AA65" s="657"/>
      <c r="AB65" s="4049">
        <f t="shared" si="7"/>
        <v>10.25</v>
      </c>
      <c r="AC65" s="2580"/>
      <c r="AD65" s="2537"/>
      <c r="AE65" s="775"/>
      <c r="AF65" s="368">
        <f t="shared" si="14"/>
        <v>10.25</v>
      </c>
      <c r="AG65" s="2580"/>
      <c r="AH65" s="2537"/>
      <c r="AI65" s="775"/>
      <c r="AJ65" s="368">
        <f t="shared" si="21"/>
        <v>10.25</v>
      </c>
      <c r="AK65" s="2580"/>
      <c r="AL65" s="2537"/>
      <c r="AM65" s="570"/>
      <c r="AN65" s="4048">
        <f t="shared" si="8"/>
        <v>0</v>
      </c>
      <c r="AO65" s="775"/>
      <c r="AP65" s="368">
        <f t="shared" si="16"/>
        <v>10.25</v>
      </c>
      <c r="AQ65" s="2580"/>
      <c r="AR65" s="2537"/>
      <c r="AS65" s="775"/>
      <c r="AT65" s="775">
        <f t="shared" si="17"/>
        <v>10.25</v>
      </c>
      <c r="AU65" s="2580"/>
      <c r="AV65" s="2537"/>
      <c r="AW65" s="775"/>
      <c r="AX65" s="368">
        <f t="shared" si="18"/>
        <v>10.25</v>
      </c>
      <c r="AY65" s="2580"/>
      <c r="AZ65" s="2537"/>
      <c r="BA65" s="570"/>
      <c r="BB65" s="570">
        <f t="shared" si="9"/>
        <v>0</v>
      </c>
      <c r="BC65" s="657"/>
      <c r="BD65" s="657">
        <f t="shared" si="19"/>
        <v>0</v>
      </c>
      <c r="BE65" s="775"/>
      <c r="BF65" s="775">
        <f t="shared" si="20"/>
        <v>10.25</v>
      </c>
      <c r="BG65" s="1202"/>
      <c r="BH65" s="1520">
        <f t="shared" si="0"/>
        <v>0</v>
      </c>
      <c r="BI65" s="1520">
        <f t="shared" si="1"/>
        <v>0</v>
      </c>
      <c r="BJ65" s="26">
        <f t="shared" si="2"/>
        <v>0</v>
      </c>
      <c r="BK65" s="26">
        <f t="shared" si="3"/>
        <v>0</v>
      </c>
      <c r="BL65" s="26">
        <f t="shared" si="4"/>
        <v>0</v>
      </c>
      <c r="BM65" s="26">
        <f t="shared" si="5"/>
        <v>0</v>
      </c>
    </row>
    <row r="66" spans="1:65" ht="16.2" thickBot="1" x14ac:dyDescent="0.35">
      <c r="A66" s="146"/>
      <c r="B66" s="842" t="s">
        <v>864</v>
      </c>
      <c r="C66" s="2534" t="s">
        <v>967</v>
      </c>
      <c r="D66" s="2535" t="s">
        <v>50</v>
      </c>
      <c r="E66" s="2580"/>
      <c r="F66" s="2537">
        <v>108.65</v>
      </c>
      <c r="G66" s="2580"/>
      <c r="H66" s="2537"/>
      <c r="I66" s="2538"/>
      <c r="J66" s="42">
        <f t="shared" si="10"/>
        <v>108.65</v>
      </c>
      <c r="K66" s="2580"/>
      <c r="L66" s="2537"/>
      <c r="M66" s="2539"/>
      <c r="N66" s="613">
        <f t="shared" si="11"/>
        <v>108.65</v>
      </c>
      <c r="O66" s="2580"/>
      <c r="P66" s="2537"/>
      <c r="Q66" s="2538"/>
      <c r="R66" s="368">
        <f t="shared" si="12"/>
        <v>108.65</v>
      </c>
      <c r="S66" s="2580"/>
      <c r="T66" s="2537"/>
      <c r="U66" s="2538"/>
      <c r="V66" s="368">
        <f t="shared" si="13"/>
        <v>108.65</v>
      </c>
      <c r="W66" s="2580"/>
      <c r="X66" s="2537"/>
      <c r="Y66" s="2540"/>
      <c r="Z66" s="4048">
        <f t="shared" si="6"/>
        <v>0</v>
      </c>
      <c r="AA66" s="657"/>
      <c r="AB66" s="4049">
        <f t="shared" si="7"/>
        <v>108.65</v>
      </c>
      <c r="AC66" s="2580"/>
      <c r="AD66" s="2537"/>
      <c r="AE66" s="2538"/>
      <c r="AF66" s="368">
        <f t="shared" si="14"/>
        <v>108.65</v>
      </c>
      <c r="AG66" s="2580"/>
      <c r="AH66" s="2537"/>
      <c r="AI66" s="2538"/>
      <c r="AJ66" s="368">
        <f t="shared" si="21"/>
        <v>108.65</v>
      </c>
      <c r="AK66" s="2580"/>
      <c r="AL66" s="2537">
        <v>82</v>
      </c>
      <c r="AM66" s="2540"/>
      <c r="AN66" s="4048">
        <f t="shared" si="8"/>
        <v>82</v>
      </c>
      <c r="AO66" s="2538"/>
      <c r="AP66" s="368">
        <f t="shared" si="16"/>
        <v>190.65</v>
      </c>
      <c r="AQ66" s="2580"/>
      <c r="AR66" s="2537"/>
      <c r="AS66" s="2538"/>
      <c r="AT66" s="775">
        <f t="shared" si="17"/>
        <v>190.65</v>
      </c>
      <c r="AU66" s="2580"/>
      <c r="AV66" s="2537"/>
      <c r="AW66" s="2538"/>
      <c r="AX66" s="368">
        <f t="shared" si="18"/>
        <v>190.65</v>
      </c>
      <c r="AY66" s="2580"/>
      <c r="AZ66" s="2537"/>
      <c r="BA66" s="2540"/>
      <c r="BB66" s="570">
        <f t="shared" si="9"/>
        <v>0</v>
      </c>
      <c r="BC66" s="2541"/>
      <c r="BD66" s="657">
        <f t="shared" si="19"/>
        <v>82</v>
      </c>
      <c r="BE66" s="2538"/>
      <c r="BF66" s="775">
        <f t="shared" si="20"/>
        <v>190.65</v>
      </c>
      <c r="BG66" s="1202"/>
      <c r="BH66" s="1520">
        <f t="shared" si="0"/>
        <v>0</v>
      </c>
      <c r="BI66" s="1520">
        <f t="shared" si="1"/>
        <v>0</v>
      </c>
      <c r="BJ66" s="26">
        <f t="shared" si="2"/>
        <v>0</v>
      </c>
      <c r="BK66" s="26">
        <f t="shared" si="3"/>
        <v>0</v>
      </c>
      <c r="BL66" s="26">
        <f t="shared" si="4"/>
        <v>0</v>
      </c>
      <c r="BM66" s="26">
        <f t="shared" si="5"/>
        <v>0</v>
      </c>
    </row>
    <row r="67" spans="1:65" ht="15.75" customHeight="1" thickBot="1" x14ac:dyDescent="0.35">
      <c r="A67" s="146"/>
      <c r="B67" s="842" t="s">
        <v>864</v>
      </c>
      <c r="C67" s="2534" t="s">
        <v>1131</v>
      </c>
      <c r="D67" s="2535" t="s">
        <v>50</v>
      </c>
      <c r="E67" s="2580"/>
      <c r="F67" s="2537">
        <f>4571.5-18.45-2.05-2.05</f>
        <v>4548.95</v>
      </c>
      <c r="G67" s="2580"/>
      <c r="H67" s="2537">
        <f>3854-2.05-4.1</f>
        <v>3847.85</v>
      </c>
      <c r="I67" s="2538"/>
      <c r="J67" s="42">
        <f t="shared" si="10"/>
        <v>8396.7999999999993</v>
      </c>
      <c r="K67" s="2580"/>
      <c r="L67" s="2537">
        <f>6109-45.1</f>
        <v>6063.9</v>
      </c>
      <c r="M67" s="774"/>
      <c r="N67" s="613">
        <f t="shared" si="11"/>
        <v>14460.699999999999</v>
      </c>
      <c r="O67" s="2580"/>
      <c r="P67" s="2537">
        <f>5282.85-2.05</f>
        <v>5280.8</v>
      </c>
      <c r="Q67" s="775"/>
      <c r="R67" s="368">
        <f t="shared" si="12"/>
        <v>19741.5</v>
      </c>
      <c r="S67" s="2580"/>
      <c r="T67" s="2537">
        <v>4751.9000000000005</v>
      </c>
      <c r="U67" s="775"/>
      <c r="V67" s="368">
        <f t="shared" si="13"/>
        <v>24493.4</v>
      </c>
      <c r="W67" s="2580"/>
      <c r="X67" s="2537">
        <v>5106.55</v>
      </c>
      <c r="Y67" s="570"/>
      <c r="Z67" s="4048">
        <f t="shared" si="6"/>
        <v>15139.25</v>
      </c>
      <c r="AA67" s="657"/>
      <c r="AB67" s="4049">
        <f t="shared" si="7"/>
        <v>29599.949999999997</v>
      </c>
      <c r="AC67" s="2580"/>
      <c r="AD67" s="2537">
        <f>8146.7-51.25-2.05-2.05</f>
        <v>8091.3499999999995</v>
      </c>
      <c r="AE67" s="775"/>
      <c r="AF67" s="368">
        <f t="shared" si="14"/>
        <v>37691.299999999996</v>
      </c>
      <c r="AG67" s="2580"/>
      <c r="AH67" s="2537">
        <f>5002-2.05</f>
        <v>4999.95</v>
      </c>
      <c r="AI67" s="775"/>
      <c r="AJ67" s="368">
        <f t="shared" si="21"/>
        <v>42691.249999999993</v>
      </c>
      <c r="AK67" s="2580"/>
      <c r="AL67" s="2537">
        <f>7377.95-92.25-4.1-4.1</f>
        <v>7277.4999999999991</v>
      </c>
      <c r="AM67" s="570"/>
      <c r="AN67" s="4048">
        <f t="shared" si="8"/>
        <v>20368.8</v>
      </c>
      <c r="AO67" s="775"/>
      <c r="AP67" s="368">
        <f t="shared" si="16"/>
        <v>49968.749999999993</v>
      </c>
      <c r="AQ67" s="2580"/>
      <c r="AR67" s="2537">
        <v>9878.9500000000025</v>
      </c>
      <c r="AS67" s="775"/>
      <c r="AT67" s="775">
        <f t="shared" si="17"/>
        <v>59847.7</v>
      </c>
      <c r="AU67" s="2580"/>
      <c r="AV67" s="2537">
        <f>7650.6-94.3</f>
        <v>7556.3</v>
      </c>
      <c r="AW67" s="775"/>
      <c r="AX67" s="368">
        <f t="shared" si="18"/>
        <v>67404</v>
      </c>
      <c r="AY67" s="2580"/>
      <c r="AZ67" s="2537">
        <f>9983.49999999999-53.3</f>
        <v>9930.1999999999916</v>
      </c>
      <c r="BA67" s="570"/>
      <c r="BB67" s="570">
        <f t="shared" si="9"/>
        <v>27365.449999999997</v>
      </c>
      <c r="BC67" s="657"/>
      <c r="BD67" s="657">
        <f t="shared" si="19"/>
        <v>47734.25</v>
      </c>
      <c r="BE67" s="775"/>
      <c r="BF67" s="775">
        <f t="shared" si="20"/>
        <v>77334.2</v>
      </c>
      <c r="BG67" s="1202"/>
      <c r="BH67" s="1520">
        <f t="shared" si="0"/>
        <v>0</v>
      </c>
      <c r="BI67" s="1520">
        <f t="shared" si="1"/>
        <v>0</v>
      </c>
      <c r="BJ67" s="26">
        <f t="shared" si="2"/>
        <v>0</v>
      </c>
      <c r="BK67" s="26">
        <f t="shared" si="3"/>
        <v>0</v>
      </c>
      <c r="BL67" s="26">
        <f t="shared" si="4"/>
        <v>0</v>
      </c>
      <c r="BM67" s="26">
        <f t="shared" si="5"/>
        <v>0</v>
      </c>
    </row>
    <row r="68" spans="1:65" ht="16.2" thickBot="1" x14ac:dyDescent="0.35">
      <c r="A68" s="146"/>
      <c r="B68" s="2780" t="s">
        <v>864</v>
      </c>
      <c r="C68" s="2781" t="s">
        <v>941</v>
      </c>
      <c r="D68" s="2782" t="s">
        <v>50</v>
      </c>
      <c r="E68" s="2785"/>
      <c r="F68" s="107"/>
      <c r="G68" s="2785"/>
      <c r="H68" s="107"/>
      <c r="I68" s="584"/>
      <c r="J68" s="42">
        <f t="shared" si="10"/>
        <v>0</v>
      </c>
      <c r="K68" s="2785"/>
      <c r="L68" s="107"/>
      <c r="M68" s="774"/>
      <c r="N68" s="613">
        <f t="shared" si="11"/>
        <v>0</v>
      </c>
      <c r="O68" s="2785"/>
      <c r="P68" s="107"/>
      <c r="Q68" s="775"/>
      <c r="R68" s="368">
        <f t="shared" si="12"/>
        <v>0</v>
      </c>
      <c r="S68" s="2785"/>
      <c r="T68" s="107"/>
      <c r="U68" s="775"/>
      <c r="V68" s="368">
        <f t="shared" si="13"/>
        <v>0</v>
      </c>
      <c r="W68" s="2785"/>
      <c r="X68" s="107"/>
      <c r="Y68" s="570"/>
      <c r="Z68" s="4048">
        <f t="shared" si="6"/>
        <v>0</v>
      </c>
      <c r="AA68" s="657"/>
      <c r="AB68" s="4049">
        <f t="shared" si="7"/>
        <v>0</v>
      </c>
      <c r="AC68" s="2785"/>
      <c r="AD68" s="107"/>
      <c r="AE68" s="775"/>
      <c r="AF68" s="368">
        <f t="shared" si="14"/>
        <v>0</v>
      </c>
      <c r="AG68" s="2785"/>
      <c r="AH68" s="107"/>
      <c r="AI68" s="775"/>
      <c r="AJ68" s="368">
        <f t="shared" si="21"/>
        <v>0</v>
      </c>
      <c r="AK68" s="2785"/>
      <c r="AL68" s="107"/>
      <c r="AM68" s="570"/>
      <c r="AN68" s="4048">
        <f t="shared" si="8"/>
        <v>0</v>
      </c>
      <c r="AO68" s="775"/>
      <c r="AP68" s="368">
        <f t="shared" si="16"/>
        <v>0</v>
      </c>
      <c r="AQ68" s="2785"/>
      <c r="AR68" s="107"/>
      <c r="AS68" s="775"/>
      <c r="AT68" s="775">
        <f t="shared" si="17"/>
        <v>0</v>
      </c>
      <c r="AU68" s="2785"/>
      <c r="AV68" s="107"/>
      <c r="AW68" s="775"/>
      <c r="AX68" s="368">
        <f t="shared" si="18"/>
        <v>0</v>
      </c>
      <c r="AY68" s="2785"/>
      <c r="AZ68" s="107"/>
      <c r="BA68" s="570"/>
      <c r="BB68" s="570">
        <f t="shared" si="9"/>
        <v>0</v>
      </c>
      <c r="BC68" s="657"/>
      <c r="BD68" s="657">
        <f t="shared" si="19"/>
        <v>0</v>
      </c>
      <c r="BE68" s="775"/>
      <c r="BF68" s="775">
        <f t="shared" si="20"/>
        <v>0</v>
      </c>
      <c r="BG68" s="1202"/>
      <c r="BH68" s="1520">
        <f t="shared" si="0"/>
        <v>0</v>
      </c>
      <c r="BI68" s="1520">
        <f t="shared" si="1"/>
        <v>0</v>
      </c>
      <c r="BJ68" s="26">
        <f t="shared" si="2"/>
        <v>0</v>
      </c>
      <c r="BK68" s="26">
        <f t="shared" si="3"/>
        <v>0</v>
      </c>
      <c r="BL68" s="26">
        <f t="shared" si="4"/>
        <v>0</v>
      </c>
      <c r="BM68" s="26">
        <f t="shared" si="5"/>
        <v>0</v>
      </c>
    </row>
    <row r="69" spans="1:65" ht="16.2" thickBot="1" x14ac:dyDescent="0.35">
      <c r="A69" s="146"/>
      <c r="B69" s="842" t="s">
        <v>52</v>
      </c>
      <c r="C69" s="2534" t="s">
        <v>961</v>
      </c>
      <c r="D69" s="2535" t="s">
        <v>50</v>
      </c>
      <c r="E69" s="2536"/>
      <c r="F69" s="2537"/>
      <c r="G69" s="2536"/>
      <c r="H69" s="2537"/>
      <c r="I69" s="2538"/>
      <c r="J69" s="42">
        <f t="shared" si="10"/>
        <v>0</v>
      </c>
      <c r="K69" s="2536"/>
      <c r="L69" s="2537"/>
      <c r="M69" s="2539"/>
      <c r="N69" s="613">
        <f t="shared" si="11"/>
        <v>0</v>
      </c>
      <c r="O69" s="2536"/>
      <c r="P69" s="2537"/>
      <c r="Q69" s="2538"/>
      <c r="R69" s="368">
        <f t="shared" si="12"/>
        <v>0</v>
      </c>
      <c r="S69" s="2536"/>
      <c r="T69" s="2537"/>
      <c r="U69" s="2538"/>
      <c r="V69" s="368">
        <f t="shared" si="13"/>
        <v>0</v>
      </c>
      <c r="W69" s="2536"/>
      <c r="X69" s="2537"/>
      <c r="Y69" s="2540"/>
      <c r="Z69" s="4048">
        <f t="shared" si="6"/>
        <v>0</v>
      </c>
      <c r="AA69" s="2541"/>
      <c r="AB69" s="4049">
        <f t="shared" si="7"/>
        <v>0</v>
      </c>
      <c r="AC69" s="2536"/>
      <c r="AD69" s="2537"/>
      <c r="AE69" s="2538"/>
      <c r="AF69" s="368">
        <f t="shared" si="14"/>
        <v>0</v>
      </c>
      <c r="AG69" s="2536"/>
      <c r="AH69" s="2537"/>
      <c r="AI69" s="2538"/>
      <c r="AJ69" s="368">
        <f t="shared" si="21"/>
        <v>0</v>
      </c>
      <c r="AK69" s="2536"/>
      <c r="AL69" s="2537"/>
      <c r="AM69" s="2540"/>
      <c r="AN69" s="4048">
        <f t="shared" si="8"/>
        <v>0</v>
      </c>
      <c r="AO69" s="2538"/>
      <c r="AP69" s="368">
        <f t="shared" si="16"/>
        <v>0</v>
      </c>
      <c r="AQ69" s="2536"/>
      <c r="AR69" s="2537"/>
      <c r="AS69" s="2538"/>
      <c r="AT69" s="775">
        <f t="shared" si="17"/>
        <v>0</v>
      </c>
      <c r="AU69" s="2536"/>
      <c r="AV69" s="2537"/>
      <c r="AW69" s="2538"/>
      <c r="AX69" s="368">
        <f t="shared" si="18"/>
        <v>0</v>
      </c>
      <c r="AY69" s="2536"/>
      <c r="AZ69" s="2537"/>
      <c r="BA69" s="2540"/>
      <c r="BB69" s="570">
        <f t="shared" si="9"/>
        <v>0</v>
      </c>
      <c r="BC69" s="2541"/>
      <c r="BD69" s="657">
        <f t="shared" si="19"/>
        <v>0</v>
      </c>
      <c r="BE69" s="2538"/>
      <c r="BF69" s="775">
        <f t="shared" si="20"/>
        <v>0</v>
      </c>
      <c r="BG69" s="1202"/>
      <c r="BH69" s="1520">
        <f t="shared" si="0"/>
        <v>0</v>
      </c>
      <c r="BI69" s="1520">
        <f t="shared" si="1"/>
        <v>0</v>
      </c>
      <c r="BJ69" s="26">
        <f t="shared" si="2"/>
        <v>0</v>
      </c>
      <c r="BK69" s="26">
        <f t="shared" si="3"/>
        <v>0</v>
      </c>
      <c r="BL69" s="26">
        <f t="shared" si="4"/>
        <v>0</v>
      </c>
      <c r="BM69" s="26">
        <f t="shared" si="5"/>
        <v>0</v>
      </c>
    </row>
    <row r="70" spans="1:65" ht="16.2" thickBot="1" x14ac:dyDescent="0.35">
      <c r="A70" s="146"/>
      <c r="B70" s="842" t="s">
        <v>52</v>
      </c>
      <c r="C70" s="2534" t="s">
        <v>963</v>
      </c>
      <c r="D70" s="2535" t="s">
        <v>50</v>
      </c>
      <c r="E70" s="2536"/>
      <c r="F70" s="2537"/>
      <c r="G70" s="2536"/>
      <c r="H70" s="2537"/>
      <c r="I70" s="2538"/>
      <c r="J70" s="42">
        <f t="shared" si="10"/>
        <v>0</v>
      </c>
      <c r="K70" s="2536"/>
      <c r="L70" s="2537"/>
      <c r="M70" s="774"/>
      <c r="N70" s="613">
        <f t="shared" si="11"/>
        <v>0</v>
      </c>
      <c r="O70" s="2536"/>
      <c r="P70" s="2537"/>
      <c r="Q70" s="775"/>
      <c r="R70" s="368">
        <f t="shared" si="12"/>
        <v>0</v>
      </c>
      <c r="S70" s="2536"/>
      <c r="T70" s="2537"/>
      <c r="U70" s="775"/>
      <c r="V70" s="368">
        <f t="shared" si="13"/>
        <v>0</v>
      </c>
      <c r="W70" s="2536"/>
      <c r="X70" s="2537"/>
      <c r="Y70" s="570"/>
      <c r="Z70" s="4048">
        <f t="shared" si="6"/>
        <v>0</v>
      </c>
      <c r="AA70" s="657"/>
      <c r="AB70" s="4049">
        <f t="shared" si="7"/>
        <v>0</v>
      </c>
      <c r="AC70" s="2536"/>
      <c r="AD70" s="2537"/>
      <c r="AE70" s="775"/>
      <c r="AF70" s="368">
        <f t="shared" si="14"/>
        <v>0</v>
      </c>
      <c r="AG70" s="2536"/>
      <c r="AH70" s="2537"/>
      <c r="AI70" s="775"/>
      <c r="AJ70" s="368">
        <f t="shared" si="21"/>
        <v>0</v>
      </c>
      <c r="AK70" s="2536"/>
      <c r="AL70" s="2537"/>
      <c r="AM70" s="570"/>
      <c r="AN70" s="4048">
        <f t="shared" si="8"/>
        <v>0</v>
      </c>
      <c r="AO70" s="775"/>
      <c r="AP70" s="368">
        <f t="shared" si="16"/>
        <v>0</v>
      </c>
      <c r="AQ70" s="2536"/>
      <c r="AR70" s="2537"/>
      <c r="AS70" s="775"/>
      <c r="AT70" s="775">
        <f t="shared" si="17"/>
        <v>0</v>
      </c>
      <c r="AU70" s="2536"/>
      <c r="AV70" s="2537"/>
      <c r="AW70" s="775"/>
      <c r="AX70" s="368">
        <f t="shared" si="18"/>
        <v>0</v>
      </c>
      <c r="AY70" s="2536"/>
      <c r="AZ70" s="2537"/>
      <c r="BA70" s="570"/>
      <c r="BB70" s="570">
        <f t="shared" si="9"/>
        <v>0</v>
      </c>
      <c r="BC70" s="657"/>
      <c r="BD70" s="657">
        <f t="shared" si="19"/>
        <v>0</v>
      </c>
      <c r="BE70" s="775"/>
      <c r="BF70" s="775">
        <f t="shared" si="20"/>
        <v>0</v>
      </c>
      <c r="BG70" s="1202"/>
      <c r="BH70" s="1520">
        <f t="shared" ref="BH70:BH134" si="22">E70+G70+K70+O70+S70+W70+AC70+AG70+AK70+AQ70+AU70+AY70-BE70</f>
        <v>0</v>
      </c>
      <c r="BI70" s="1520">
        <f t="shared" ref="BI70:BI134" si="23">F70+H70+L70+P70+T70+X70+AD70+AH70+AL70+AR70+AV70+AZ70-BF70</f>
        <v>0</v>
      </c>
      <c r="BJ70" s="26">
        <f t="shared" ref="BJ70:BJ134" si="24">AY70+AU70+AQ70+AK70+AG70+AC70-BC70</f>
        <v>0</v>
      </c>
      <c r="BK70" s="26">
        <f t="shared" ref="BK70:BK134" si="25">AZ70+AV70+AR70+AL70+AH70+AD70-BD70</f>
        <v>0</v>
      </c>
      <c r="BL70" s="26">
        <f t="shared" ref="BL70:BL134" si="26">AQ70+AU70+AY70-BA70</f>
        <v>0</v>
      </c>
      <c r="BM70" s="26">
        <f t="shared" ref="BM70:BM134" si="27">AR70+AV70+AZ70-BB70</f>
        <v>0</v>
      </c>
    </row>
    <row r="71" spans="1:65" ht="16.2" thickBot="1" x14ac:dyDescent="0.35">
      <c r="A71" s="146"/>
      <c r="B71" s="842" t="s">
        <v>52</v>
      </c>
      <c r="C71" s="2534" t="s">
        <v>1127</v>
      </c>
      <c r="D71" s="2535" t="s">
        <v>50</v>
      </c>
      <c r="E71" s="2536"/>
      <c r="F71" s="2537"/>
      <c r="G71" s="2536"/>
      <c r="H71" s="2537"/>
      <c r="I71" s="2538"/>
      <c r="J71" s="42">
        <f t="shared" si="10"/>
        <v>0</v>
      </c>
      <c r="K71" s="2536"/>
      <c r="L71" s="2537"/>
      <c r="M71" s="774"/>
      <c r="N71" s="613">
        <f t="shared" si="11"/>
        <v>0</v>
      </c>
      <c r="O71" s="2536"/>
      <c r="P71" s="2537"/>
      <c r="Q71" s="775"/>
      <c r="R71" s="368">
        <f t="shared" si="12"/>
        <v>0</v>
      </c>
      <c r="S71" s="2536"/>
      <c r="T71" s="2795">
        <f>1418.6-32.8-4.1</f>
        <v>1381.7</v>
      </c>
      <c r="U71" s="775"/>
      <c r="V71" s="368">
        <f t="shared" si="13"/>
        <v>1381.7</v>
      </c>
      <c r="W71" s="2536"/>
      <c r="X71" s="2537"/>
      <c r="Y71" s="570"/>
      <c r="Z71" s="4048">
        <f t="shared" si="6"/>
        <v>1381.7</v>
      </c>
      <c r="AA71" s="657"/>
      <c r="AB71" s="4049">
        <f t="shared" si="7"/>
        <v>1381.7</v>
      </c>
      <c r="AC71" s="2536"/>
      <c r="AD71" s="2537"/>
      <c r="AE71" s="775"/>
      <c r="AF71" s="368">
        <f t="shared" si="14"/>
        <v>1381.7</v>
      </c>
      <c r="AG71" s="2536"/>
      <c r="AH71" s="2537"/>
      <c r="AI71" s="775"/>
      <c r="AJ71" s="775">
        <f t="shared" si="21"/>
        <v>1381.7</v>
      </c>
      <c r="AK71" s="2536"/>
      <c r="AL71" s="2537"/>
      <c r="AM71" s="570"/>
      <c r="AN71" s="4048">
        <f t="shared" si="8"/>
        <v>0</v>
      </c>
      <c r="AO71" s="775"/>
      <c r="AP71" s="368">
        <f t="shared" si="16"/>
        <v>1381.7</v>
      </c>
      <c r="AQ71" s="2536"/>
      <c r="AR71" s="2537"/>
      <c r="AS71" s="775"/>
      <c r="AT71" s="775">
        <f t="shared" si="17"/>
        <v>1381.7</v>
      </c>
      <c r="AU71" s="2536"/>
      <c r="AV71" s="2537"/>
      <c r="AW71" s="775"/>
      <c r="AX71" s="368">
        <f t="shared" si="18"/>
        <v>1381.7</v>
      </c>
      <c r="AY71" s="2536"/>
      <c r="AZ71" s="2537"/>
      <c r="BA71" s="570"/>
      <c r="BB71" s="570">
        <f t="shared" si="9"/>
        <v>0</v>
      </c>
      <c r="BC71" s="657"/>
      <c r="BD71" s="657">
        <f t="shared" si="19"/>
        <v>0</v>
      </c>
      <c r="BE71" s="775"/>
      <c r="BF71" s="775">
        <f t="shared" si="20"/>
        <v>1381.7</v>
      </c>
      <c r="BG71" s="1202"/>
      <c r="BH71" s="1520">
        <f t="shared" si="22"/>
        <v>0</v>
      </c>
      <c r="BI71" s="1520">
        <f t="shared" si="23"/>
        <v>0</v>
      </c>
      <c r="BJ71" s="26">
        <f t="shared" si="24"/>
        <v>0</v>
      </c>
      <c r="BK71" s="26">
        <f t="shared" si="25"/>
        <v>0</v>
      </c>
      <c r="BL71" s="26">
        <f t="shared" si="26"/>
        <v>0</v>
      </c>
      <c r="BM71" s="26">
        <f t="shared" si="27"/>
        <v>0</v>
      </c>
    </row>
    <row r="72" spans="1:65" ht="16.2" thickBot="1" x14ac:dyDescent="0.35">
      <c r="A72" s="146"/>
      <c r="B72" s="842" t="s">
        <v>52</v>
      </c>
      <c r="C72" s="2534" t="s">
        <v>968</v>
      </c>
      <c r="D72" s="2535" t="s">
        <v>50</v>
      </c>
      <c r="E72" s="2536"/>
      <c r="F72" s="2537"/>
      <c r="G72" s="2536"/>
      <c r="H72" s="2537"/>
      <c r="I72" s="2538"/>
      <c r="J72" s="42">
        <f t="shared" si="10"/>
        <v>0</v>
      </c>
      <c r="K72" s="2536"/>
      <c r="L72" s="2537"/>
      <c r="M72" s="774"/>
      <c r="N72" s="613">
        <f t="shared" si="11"/>
        <v>0</v>
      </c>
      <c r="O72" s="2536"/>
      <c r="P72" s="2537"/>
      <c r="Q72" s="775"/>
      <c r="R72" s="368">
        <f t="shared" si="12"/>
        <v>0</v>
      </c>
      <c r="S72" s="2536"/>
      <c r="T72" s="2537"/>
      <c r="U72" s="775"/>
      <c r="V72" s="368">
        <f t="shared" si="13"/>
        <v>0</v>
      </c>
      <c r="W72" s="2536"/>
      <c r="X72" s="2537"/>
      <c r="Y72" s="570"/>
      <c r="Z72" s="4048">
        <f t="shared" si="6"/>
        <v>0</v>
      </c>
      <c r="AA72" s="657"/>
      <c r="AB72" s="4049">
        <f t="shared" si="7"/>
        <v>0</v>
      </c>
      <c r="AC72" s="2536"/>
      <c r="AD72" s="2537"/>
      <c r="AE72" s="775"/>
      <c r="AF72" s="368">
        <f t="shared" si="14"/>
        <v>0</v>
      </c>
      <c r="AG72" s="2536"/>
      <c r="AH72" s="2537"/>
      <c r="AI72" s="775"/>
      <c r="AJ72" s="775">
        <f t="shared" si="21"/>
        <v>0</v>
      </c>
      <c r="AK72" s="2536"/>
      <c r="AL72" s="2537"/>
      <c r="AM72" s="570"/>
      <c r="AN72" s="4048">
        <f t="shared" si="8"/>
        <v>0</v>
      </c>
      <c r="AO72" s="775"/>
      <c r="AP72" s="368">
        <f t="shared" si="16"/>
        <v>0</v>
      </c>
      <c r="AQ72" s="2536"/>
      <c r="AR72" s="2537"/>
      <c r="AS72" s="775"/>
      <c r="AT72" s="775">
        <f t="shared" si="17"/>
        <v>0</v>
      </c>
      <c r="AU72" s="2536"/>
      <c r="AV72" s="2537"/>
      <c r="AW72" s="775"/>
      <c r="AX72" s="368">
        <f t="shared" si="18"/>
        <v>0</v>
      </c>
      <c r="AY72" s="2536"/>
      <c r="AZ72" s="2537"/>
      <c r="BA72" s="570"/>
      <c r="BB72" s="570">
        <f t="shared" si="9"/>
        <v>0</v>
      </c>
      <c r="BC72" s="657"/>
      <c r="BD72" s="657">
        <f t="shared" si="19"/>
        <v>0</v>
      </c>
      <c r="BE72" s="775"/>
      <c r="BF72" s="775">
        <f t="shared" si="20"/>
        <v>0</v>
      </c>
      <c r="BG72" s="1202"/>
      <c r="BH72" s="1520">
        <f t="shared" si="22"/>
        <v>0</v>
      </c>
      <c r="BI72" s="1520">
        <f t="shared" si="23"/>
        <v>0</v>
      </c>
      <c r="BJ72" s="26">
        <f t="shared" si="24"/>
        <v>0</v>
      </c>
      <c r="BK72" s="26">
        <f t="shared" si="25"/>
        <v>0</v>
      </c>
      <c r="BL72" s="26">
        <f t="shared" si="26"/>
        <v>0</v>
      </c>
      <c r="BM72" s="26">
        <f t="shared" si="27"/>
        <v>0</v>
      </c>
    </row>
    <row r="73" spans="1:65" ht="16.2" thickBot="1" x14ac:dyDescent="0.35">
      <c r="A73" s="146"/>
      <c r="B73" s="842" t="s">
        <v>52</v>
      </c>
      <c r="C73" s="2534" t="s">
        <v>1131</v>
      </c>
      <c r="D73" s="2535" t="s">
        <v>50</v>
      </c>
      <c r="E73" s="2536"/>
      <c r="F73" s="2537"/>
      <c r="G73" s="2536"/>
      <c r="H73" s="2537"/>
      <c r="I73" s="2538"/>
      <c r="J73" s="42">
        <f t="shared" si="10"/>
        <v>0</v>
      </c>
      <c r="K73" s="2536"/>
      <c r="L73" s="2537"/>
      <c r="M73" s="774"/>
      <c r="N73" s="613">
        <f t="shared" si="11"/>
        <v>0</v>
      </c>
      <c r="O73" s="2536"/>
      <c r="P73" s="2537"/>
      <c r="Q73" s="775"/>
      <c r="R73" s="368">
        <f t="shared" si="12"/>
        <v>0</v>
      </c>
      <c r="S73" s="2536"/>
      <c r="T73" s="2537"/>
      <c r="U73" s="775"/>
      <c r="V73" s="368">
        <f t="shared" si="13"/>
        <v>0</v>
      </c>
      <c r="W73" s="2536"/>
      <c r="X73" s="2537"/>
      <c r="Y73" s="570"/>
      <c r="Z73" s="4048">
        <f t="shared" si="6"/>
        <v>0</v>
      </c>
      <c r="AA73" s="657"/>
      <c r="AB73" s="4049">
        <f t="shared" si="7"/>
        <v>0</v>
      </c>
      <c r="AC73" s="2536"/>
      <c r="AD73" s="2537"/>
      <c r="AE73" s="775"/>
      <c r="AF73" s="368">
        <f t="shared" si="14"/>
        <v>0</v>
      </c>
      <c r="AG73" s="2536"/>
      <c r="AH73" s="2537"/>
      <c r="AI73" s="775"/>
      <c r="AJ73" s="368">
        <f t="shared" si="21"/>
        <v>0</v>
      </c>
      <c r="AK73" s="2536"/>
      <c r="AL73" s="2537"/>
      <c r="AM73" s="570"/>
      <c r="AN73" s="4048">
        <f t="shared" si="8"/>
        <v>0</v>
      </c>
      <c r="AO73" s="775"/>
      <c r="AP73" s="368">
        <f t="shared" si="16"/>
        <v>0</v>
      </c>
      <c r="AQ73" s="2536"/>
      <c r="AR73" s="2537"/>
      <c r="AS73" s="775"/>
      <c r="AT73" s="775">
        <f t="shared" si="17"/>
        <v>0</v>
      </c>
      <c r="AU73" s="2536"/>
      <c r="AV73" s="2537"/>
      <c r="AW73" s="775"/>
      <c r="AX73" s="368">
        <f t="shared" si="18"/>
        <v>0</v>
      </c>
      <c r="AY73" s="2536"/>
      <c r="AZ73" s="2537"/>
      <c r="BA73" s="570"/>
      <c r="BB73" s="570">
        <f t="shared" si="9"/>
        <v>0</v>
      </c>
      <c r="BC73" s="657"/>
      <c r="BD73" s="657">
        <f t="shared" si="19"/>
        <v>0</v>
      </c>
      <c r="BE73" s="775"/>
      <c r="BF73" s="775">
        <f t="shared" si="20"/>
        <v>0</v>
      </c>
      <c r="BG73" s="1202"/>
      <c r="BH73" s="1520">
        <f t="shared" si="22"/>
        <v>0</v>
      </c>
      <c r="BI73" s="1520">
        <f t="shared" si="23"/>
        <v>0</v>
      </c>
      <c r="BJ73" s="26">
        <f t="shared" si="24"/>
        <v>0</v>
      </c>
      <c r="BK73" s="26">
        <f t="shared" si="25"/>
        <v>0</v>
      </c>
      <c r="BL73" s="26">
        <f t="shared" si="26"/>
        <v>0</v>
      </c>
      <c r="BM73" s="26">
        <f t="shared" si="27"/>
        <v>0</v>
      </c>
    </row>
    <row r="74" spans="1:65" ht="16.2" thickBot="1" x14ac:dyDescent="0.35">
      <c r="A74" s="146"/>
      <c r="B74" s="2780" t="s">
        <v>52</v>
      </c>
      <c r="C74" s="2781" t="s">
        <v>1432</v>
      </c>
      <c r="D74" s="2782" t="s">
        <v>50</v>
      </c>
      <c r="E74" s="2786"/>
      <c r="F74" s="107"/>
      <c r="G74" s="2786"/>
      <c r="H74" s="107"/>
      <c r="I74" s="584"/>
      <c r="J74" s="42">
        <f t="shared" ref="J74:J125" si="28">+F74+H74</f>
        <v>0</v>
      </c>
      <c r="K74" s="2786"/>
      <c r="L74" s="107"/>
      <c r="M74" s="774"/>
      <c r="N74" s="613">
        <f t="shared" ref="N74:N143" si="29">+F74+H74+L74</f>
        <v>0</v>
      </c>
      <c r="O74" s="2786"/>
      <c r="P74" s="107"/>
      <c r="Q74" s="775"/>
      <c r="R74" s="368">
        <f t="shared" ref="R74:R140" si="30">+N74+P74</f>
        <v>0</v>
      </c>
      <c r="S74" s="2786"/>
      <c r="T74" s="107"/>
      <c r="U74" s="775"/>
      <c r="V74" s="368">
        <f t="shared" ref="V74:V140" si="31">+R74+T74</f>
        <v>0</v>
      </c>
      <c r="W74" s="2786"/>
      <c r="X74" s="107"/>
      <c r="Y74" s="570"/>
      <c r="Z74" s="4048">
        <f t="shared" si="6"/>
        <v>0</v>
      </c>
      <c r="AA74" s="657"/>
      <c r="AB74" s="4049">
        <f t="shared" si="7"/>
        <v>0</v>
      </c>
      <c r="AC74" s="2786"/>
      <c r="AD74" s="107"/>
      <c r="AE74" s="775"/>
      <c r="AF74" s="368">
        <f t="shared" ref="AF74:AF127" si="32">+AB74+AD74</f>
        <v>0</v>
      </c>
      <c r="AG74" s="2786"/>
      <c r="AH74" s="107"/>
      <c r="AI74" s="775"/>
      <c r="AJ74" s="368">
        <f t="shared" si="21"/>
        <v>0</v>
      </c>
      <c r="AK74" s="2786"/>
      <c r="AL74" s="107"/>
      <c r="AM74" s="570"/>
      <c r="AN74" s="4048">
        <f t="shared" si="8"/>
        <v>0</v>
      </c>
      <c r="AO74" s="775"/>
      <c r="AP74" s="368">
        <f t="shared" ref="AP74:AP127" si="33">AJ74+AL74</f>
        <v>0</v>
      </c>
      <c r="AQ74" s="2786"/>
      <c r="AR74" s="107"/>
      <c r="AS74" s="775"/>
      <c r="AT74" s="775">
        <f t="shared" ref="AT74:AT127" si="34">+AP74+AR74</f>
        <v>0</v>
      </c>
      <c r="AU74" s="2786"/>
      <c r="AV74" s="107"/>
      <c r="AW74" s="775"/>
      <c r="AX74" s="368">
        <f t="shared" ref="AX74:AX127" si="35">+AT74+AV74</f>
        <v>0</v>
      </c>
      <c r="AY74" s="2786"/>
      <c r="AZ74" s="107"/>
      <c r="BA74" s="570"/>
      <c r="BB74" s="570">
        <f t="shared" ref="BB74:BB121" si="36">AR74+AV74+AZ74</f>
        <v>0</v>
      </c>
      <c r="BC74" s="657"/>
      <c r="BD74" s="657">
        <f t="shared" si="19"/>
        <v>0</v>
      </c>
      <c r="BE74" s="775"/>
      <c r="BF74" s="775">
        <f t="shared" si="20"/>
        <v>0</v>
      </c>
      <c r="BG74" s="1202"/>
      <c r="BH74" s="1520">
        <f t="shared" si="22"/>
        <v>0</v>
      </c>
      <c r="BI74" s="1520">
        <f t="shared" si="23"/>
        <v>0</v>
      </c>
      <c r="BJ74" s="26">
        <f t="shared" si="24"/>
        <v>0</v>
      </c>
      <c r="BK74" s="26">
        <f t="shared" si="25"/>
        <v>0</v>
      </c>
      <c r="BL74" s="26">
        <f t="shared" si="26"/>
        <v>0</v>
      </c>
      <c r="BM74" s="26">
        <f t="shared" si="27"/>
        <v>0</v>
      </c>
    </row>
    <row r="75" spans="1:65" ht="16.2" thickBot="1" x14ac:dyDescent="0.35">
      <c r="B75" s="2776" t="s">
        <v>862</v>
      </c>
      <c r="C75" s="2777" t="s">
        <v>1127</v>
      </c>
      <c r="D75" s="2778" t="s">
        <v>50</v>
      </c>
      <c r="E75" s="2787"/>
      <c r="F75" s="155">
        <v>145.55000000000001</v>
      </c>
      <c r="G75" s="2787"/>
      <c r="H75" s="155">
        <v>516.6</v>
      </c>
      <c r="I75" s="2788"/>
      <c r="J75" s="42">
        <f t="shared" si="28"/>
        <v>662.15000000000009</v>
      </c>
      <c r="K75" s="2787"/>
      <c r="L75" s="155"/>
      <c r="M75" s="894"/>
      <c r="N75" s="613">
        <f t="shared" si="29"/>
        <v>662.15000000000009</v>
      </c>
      <c r="O75" s="2787"/>
      <c r="P75" s="155"/>
      <c r="Q75" s="844"/>
      <c r="R75" s="368">
        <f t="shared" si="30"/>
        <v>662.15000000000009</v>
      </c>
      <c r="S75" s="2787"/>
      <c r="T75" s="2798">
        <f>1004.5-6.15</f>
        <v>998.35</v>
      </c>
      <c r="U75" s="844"/>
      <c r="V75" s="368">
        <f t="shared" si="31"/>
        <v>1660.5</v>
      </c>
      <c r="W75" s="2787"/>
      <c r="X75" s="155">
        <v>1217.6999999999998</v>
      </c>
      <c r="Y75" s="570"/>
      <c r="Z75" s="4048">
        <f t="shared" si="6"/>
        <v>2216.0499999999997</v>
      </c>
      <c r="AA75" s="657"/>
      <c r="AB75" s="4049">
        <f t="shared" si="7"/>
        <v>2878.2</v>
      </c>
      <c r="AC75" s="2787"/>
      <c r="AD75" s="155"/>
      <c r="AE75" s="844"/>
      <c r="AF75" s="368">
        <f t="shared" si="32"/>
        <v>2878.2</v>
      </c>
      <c r="AG75" s="2787"/>
      <c r="AH75" s="155"/>
      <c r="AI75" s="844"/>
      <c r="AJ75" s="775">
        <f t="shared" si="21"/>
        <v>2878.2</v>
      </c>
      <c r="AK75" s="2787"/>
      <c r="AL75" s="155"/>
      <c r="AM75" s="570"/>
      <c r="AN75" s="4048">
        <f t="shared" ref="AN75:AN127" si="37">AD75+AH75+AL75</f>
        <v>0</v>
      </c>
      <c r="AO75" s="775"/>
      <c r="AP75" s="368">
        <f t="shared" si="33"/>
        <v>2878.2</v>
      </c>
      <c r="AQ75" s="2787"/>
      <c r="AR75" s="155"/>
      <c r="AS75" s="844"/>
      <c r="AT75" s="775">
        <f t="shared" si="34"/>
        <v>2878.2</v>
      </c>
      <c r="AU75" s="2787"/>
      <c r="AV75" s="155"/>
      <c r="AW75" s="844"/>
      <c r="AX75" s="368">
        <f t="shared" si="35"/>
        <v>2878.2</v>
      </c>
      <c r="AY75" s="2787"/>
      <c r="AZ75" s="155"/>
      <c r="BA75" s="570"/>
      <c r="BB75" s="570">
        <f t="shared" si="36"/>
        <v>0</v>
      </c>
      <c r="BC75" s="657"/>
      <c r="BD75" s="657">
        <f t="shared" ref="BD75:BD145" si="38">AN75+BB75</f>
        <v>0</v>
      </c>
      <c r="BE75" s="775"/>
      <c r="BF75" s="775">
        <f t="shared" ref="BF75:BF124" si="39">+AX75+AZ75</f>
        <v>2878.2</v>
      </c>
      <c r="BG75" s="1202"/>
      <c r="BH75" s="1520">
        <f t="shared" si="22"/>
        <v>0</v>
      </c>
      <c r="BI75" s="1520">
        <f t="shared" si="23"/>
        <v>0</v>
      </c>
      <c r="BJ75" s="26">
        <f t="shared" si="24"/>
        <v>0</v>
      </c>
      <c r="BK75" s="26">
        <f t="shared" si="25"/>
        <v>0</v>
      </c>
      <c r="BL75" s="26">
        <f t="shared" si="26"/>
        <v>0</v>
      </c>
      <c r="BM75" s="26">
        <f t="shared" si="27"/>
        <v>0</v>
      </c>
    </row>
    <row r="76" spans="1:65" ht="16.2" thickBot="1" x14ac:dyDescent="0.35">
      <c r="B76" s="842" t="s">
        <v>862</v>
      </c>
      <c r="C76" s="2534" t="s">
        <v>968</v>
      </c>
      <c r="D76" s="2535" t="s">
        <v>50</v>
      </c>
      <c r="E76" s="845"/>
      <c r="F76" s="2537">
        <f>307.5-6.15</f>
        <v>301.35000000000002</v>
      </c>
      <c r="G76" s="845"/>
      <c r="H76" s="2537">
        <v>506.35</v>
      </c>
      <c r="I76" s="2789"/>
      <c r="J76" s="42">
        <f t="shared" si="28"/>
        <v>807.7</v>
      </c>
      <c r="K76" s="845"/>
      <c r="L76" s="2537"/>
      <c r="M76" s="894"/>
      <c r="N76" s="613">
        <f t="shared" si="29"/>
        <v>807.7</v>
      </c>
      <c r="O76" s="845"/>
      <c r="P76" s="2537"/>
      <c r="Q76" s="844"/>
      <c r="R76" s="368">
        <f t="shared" si="30"/>
        <v>807.7</v>
      </c>
      <c r="S76" s="845"/>
      <c r="T76" s="2795">
        <v>205</v>
      </c>
      <c r="U76" s="844"/>
      <c r="V76" s="368">
        <f t="shared" si="31"/>
        <v>1012.7</v>
      </c>
      <c r="W76" s="845"/>
      <c r="X76" s="2537">
        <v>205.00000000000003</v>
      </c>
      <c r="Y76" s="570"/>
      <c r="Z76" s="4048">
        <f t="shared" si="6"/>
        <v>410</v>
      </c>
      <c r="AA76" s="657"/>
      <c r="AB76" s="4049">
        <f t="shared" si="7"/>
        <v>1217.7</v>
      </c>
      <c r="AC76" s="845"/>
      <c r="AD76" s="2537"/>
      <c r="AE76" s="844"/>
      <c r="AF76" s="368">
        <f t="shared" si="32"/>
        <v>1217.7</v>
      </c>
      <c r="AG76" s="845"/>
      <c r="AH76" s="2537"/>
      <c r="AI76" s="844"/>
      <c r="AJ76" s="775">
        <f t="shared" ref="AJ76:AJ141" si="40">+AF76+AH76</f>
        <v>1217.7</v>
      </c>
      <c r="AK76" s="845"/>
      <c r="AL76" s="2537"/>
      <c r="AM76" s="570"/>
      <c r="AN76" s="4048">
        <f t="shared" si="37"/>
        <v>0</v>
      </c>
      <c r="AO76" s="775"/>
      <c r="AP76" s="368">
        <f t="shared" si="33"/>
        <v>1217.7</v>
      </c>
      <c r="AQ76" s="845"/>
      <c r="AR76" s="2537"/>
      <c r="AS76" s="844"/>
      <c r="AT76" s="775">
        <f t="shared" si="34"/>
        <v>1217.7</v>
      </c>
      <c r="AU76" s="845"/>
      <c r="AV76" s="2537"/>
      <c r="AW76" s="844"/>
      <c r="AX76" s="368">
        <f t="shared" si="35"/>
        <v>1217.7</v>
      </c>
      <c r="AY76" s="845"/>
      <c r="AZ76" s="2537"/>
      <c r="BA76" s="570"/>
      <c r="BB76" s="570">
        <f t="shared" si="36"/>
        <v>0</v>
      </c>
      <c r="BC76" s="657"/>
      <c r="BD76" s="657">
        <f t="shared" si="38"/>
        <v>0</v>
      </c>
      <c r="BE76" s="775"/>
      <c r="BF76" s="775">
        <f t="shared" si="39"/>
        <v>1217.7</v>
      </c>
      <c r="BG76" s="1202"/>
      <c r="BH76" s="1520">
        <f t="shared" si="22"/>
        <v>0</v>
      </c>
      <c r="BI76" s="1520">
        <f t="shared" si="23"/>
        <v>0</v>
      </c>
      <c r="BJ76" s="26">
        <f t="shared" si="24"/>
        <v>0</v>
      </c>
      <c r="BK76" s="26">
        <f t="shared" si="25"/>
        <v>0</v>
      </c>
      <c r="BL76" s="26">
        <f t="shared" si="26"/>
        <v>0</v>
      </c>
      <c r="BM76" s="26">
        <f t="shared" si="27"/>
        <v>0</v>
      </c>
    </row>
    <row r="77" spans="1:65" ht="16.2" thickBot="1" x14ac:dyDescent="0.35">
      <c r="B77" s="842" t="s">
        <v>862</v>
      </c>
      <c r="C77" s="2534" t="s">
        <v>1029</v>
      </c>
      <c r="D77" s="2535" t="s">
        <v>50</v>
      </c>
      <c r="E77" s="4352"/>
      <c r="F77" s="4338">
        <v>410.00000000000006</v>
      </c>
      <c r="G77" s="4352"/>
      <c r="H77" s="4338"/>
      <c r="I77" s="4353"/>
      <c r="J77" s="42">
        <f t="shared" si="28"/>
        <v>410.00000000000006</v>
      </c>
      <c r="K77" s="4352"/>
      <c r="L77" s="4338"/>
      <c r="M77" s="4354"/>
      <c r="N77" s="613">
        <f t="shared" si="29"/>
        <v>410.00000000000006</v>
      </c>
      <c r="O77" s="4352"/>
      <c r="P77" s="4338"/>
      <c r="Q77" s="4353"/>
      <c r="R77" s="368">
        <f t="shared" si="30"/>
        <v>410.00000000000006</v>
      </c>
      <c r="S77" s="4352"/>
      <c r="T77" s="5434"/>
      <c r="U77" s="4353"/>
      <c r="V77" s="368">
        <f t="shared" si="31"/>
        <v>410.00000000000006</v>
      </c>
      <c r="W77" s="4352"/>
      <c r="X77" s="4338">
        <v>309.54999999999995</v>
      </c>
      <c r="Y77" s="4355"/>
      <c r="Z77" s="4048">
        <f t="shared" si="6"/>
        <v>309.54999999999995</v>
      </c>
      <c r="AA77" s="4356"/>
      <c r="AB77" s="4049">
        <f t="shared" si="7"/>
        <v>719.55</v>
      </c>
      <c r="AC77" s="4352"/>
      <c r="AD77" s="4338"/>
      <c r="AE77" s="4353"/>
      <c r="AF77" s="368">
        <f t="shared" si="32"/>
        <v>719.55</v>
      </c>
      <c r="AG77" s="4352"/>
      <c r="AH77" s="4338"/>
      <c r="AI77" s="4353"/>
      <c r="AJ77" s="368">
        <f t="shared" si="40"/>
        <v>719.55</v>
      </c>
      <c r="AK77" s="4352"/>
      <c r="AL77" s="4338"/>
      <c r="AM77" s="4355"/>
      <c r="AN77" s="4048">
        <f t="shared" si="37"/>
        <v>0</v>
      </c>
      <c r="AO77" s="4340"/>
      <c r="AP77" s="368">
        <f t="shared" si="33"/>
        <v>719.55</v>
      </c>
      <c r="AQ77" s="4352"/>
      <c r="AR77" s="4338"/>
      <c r="AS77" s="4353"/>
      <c r="AT77" s="775">
        <f t="shared" si="34"/>
        <v>719.55</v>
      </c>
      <c r="AU77" s="4352"/>
      <c r="AV77" s="4338"/>
      <c r="AW77" s="4353"/>
      <c r="AX77" s="368">
        <f t="shared" si="35"/>
        <v>719.55</v>
      </c>
      <c r="AY77" s="4352"/>
      <c r="AZ77" s="4338"/>
      <c r="BA77" s="4355"/>
      <c r="BB77" s="570">
        <f t="shared" si="36"/>
        <v>0</v>
      </c>
      <c r="BC77" s="4356"/>
      <c r="BD77" s="657">
        <f t="shared" si="38"/>
        <v>0</v>
      </c>
      <c r="BE77" s="4340"/>
      <c r="BF77" s="775">
        <f t="shared" si="39"/>
        <v>719.55</v>
      </c>
      <c r="BG77" s="1202"/>
      <c r="BH77" s="1520">
        <f t="shared" si="22"/>
        <v>0</v>
      </c>
      <c r="BI77" s="1520">
        <f t="shared" si="23"/>
        <v>0</v>
      </c>
      <c r="BJ77" s="26">
        <f t="shared" si="24"/>
        <v>0</v>
      </c>
      <c r="BK77" s="26">
        <f t="shared" si="25"/>
        <v>0</v>
      </c>
      <c r="BL77" s="26">
        <f t="shared" si="26"/>
        <v>0</v>
      </c>
      <c r="BM77" s="26">
        <f t="shared" si="27"/>
        <v>0</v>
      </c>
    </row>
    <row r="78" spans="1:65" ht="16.2" thickBot="1" x14ac:dyDescent="0.35">
      <c r="B78" s="842" t="s">
        <v>862</v>
      </c>
      <c r="C78" s="2534" t="s">
        <v>966</v>
      </c>
      <c r="D78" s="2535" t="s">
        <v>50</v>
      </c>
      <c r="E78" s="845"/>
      <c r="F78" s="2537"/>
      <c r="G78" s="845"/>
      <c r="H78" s="2537"/>
      <c r="I78" s="2789"/>
      <c r="J78" s="42">
        <f t="shared" si="28"/>
        <v>0</v>
      </c>
      <c r="K78" s="845"/>
      <c r="L78" s="2537"/>
      <c r="M78" s="894"/>
      <c r="N78" s="613">
        <f t="shared" si="29"/>
        <v>0</v>
      </c>
      <c r="O78" s="845"/>
      <c r="P78" s="2537"/>
      <c r="Q78" s="844"/>
      <c r="R78" s="368">
        <f t="shared" si="30"/>
        <v>0</v>
      </c>
      <c r="S78" s="845"/>
      <c r="T78" s="2795"/>
      <c r="U78" s="844"/>
      <c r="V78" s="368">
        <f t="shared" si="31"/>
        <v>0</v>
      </c>
      <c r="W78" s="845"/>
      <c r="X78" s="2537"/>
      <c r="Y78" s="570"/>
      <c r="Z78" s="4048">
        <f t="shared" si="6"/>
        <v>0</v>
      </c>
      <c r="AA78" s="657"/>
      <c r="AB78" s="4049">
        <f t="shared" si="7"/>
        <v>0</v>
      </c>
      <c r="AC78" s="845"/>
      <c r="AD78" s="2537"/>
      <c r="AE78" s="844"/>
      <c r="AF78" s="368">
        <f t="shared" si="32"/>
        <v>0</v>
      </c>
      <c r="AG78" s="845"/>
      <c r="AH78" s="2537"/>
      <c r="AI78" s="844"/>
      <c r="AJ78" s="368">
        <f t="shared" si="40"/>
        <v>0</v>
      </c>
      <c r="AK78" s="845"/>
      <c r="AL78" s="2537"/>
      <c r="AM78" s="570"/>
      <c r="AN78" s="4048">
        <f t="shared" si="37"/>
        <v>0</v>
      </c>
      <c r="AO78" s="775"/>
      <c r="AP78" s="368">
        <f t="shared" si="33"/>
        <v>0</v>
      </c>
      <c r="AQ78" s="845"/>
      <c r="AR78" s="2537"/>
      <c r="AS78" s="844"/>
      <c r="AT78" s="775">
        <f t="shared" si="34"/>
        <v>0</v>
      </c>
      <c r="AU78" s="845"/>
      <c r="AV78" s="2537"/>
      <c r="AW78" s="844"/>
      <c r="AX78" s="368">
        <f t="shared" si="35"/>
        <v>0</v>
      </c>
      <c r="AY78" s="845"/>
      <c r="AZ78" s="2537"/>
      <c r="BA78" s="570"/>
      <c r="BB78" s="570">
        <f t="shared" si="36"/>
        <v>0</v>
      </c>
      <c r="BC78" s="657"/>
      <c r="BD78" s="657">
        <f t="shared" si="38"/>
        <v>0</v>
      </c>
      <c r="BE78" s="775"/>
      <c r="BF78" s="775">
        <f t="shared" si="39"/>
        <v>0</v>
      </c>
      <c r="BG78" s="1202"/>
      <c r="BH78" s="1520">
        <f t="shared" si="22"/>
        <v>0</v>
      </c>
      <c r="BI78" s="1520">
        <f t="shared" si="23"/>
        <v>0</v>
      </c>
      <c r="BJ78" s="26">
        <f t="shared" si="24"/>
        <v>0</v>
      </c>
      <c r="BK78" s="26">
        <f t="shared" si="25"/>
        <v>0</v>
      </c>
      <c r="BL78" s="26">
        <f t="shared" si="26"/>
        <v>0</v>
      </c>
      <c r="BM78" s="26">
        <f t="shared" si="27"/>
        <v>0</v>
      </c>
    </row>
    <row r="79" spans="1:65" ht="16.2" thickBot="1" x14ac:dyDescent="0.35">
      <c r="B79" s="842" t="s">
        <v>862</v>
      </c>
      <c r="C79" s="2534" t="s">
        <v>1130</v>
      </c>
      <c r="D79" s="2535" t="s">
        <v>50</v>
      </c>
      <c r="E79" s="845"/>
      <c r="F79" s="2537"/>
      <c r="G79" s="845"/>
      <c r="H79" s="2537"/>
      <c r="I79" s="2789"/>
      <c r="J79" s="42">
        <f t="shared" si="28"/>
        <v>0</v>
      </c>
      <c r="K79" s="845"/>
      <c r="L79" s="2537"/>
      <c r="M79" s="894"/>
      <c r="N79" s="613">
        <f t="shared" si="29"/>
        <v>0</v>
      </c>
      <c r="O79" s="845"/>
      <c r="P79" s="2537"/>
      <c r="Q79" s="844"/>
      <c r="R79" s="368">
        <f t="shared" si="30"/>
        <v>0</v>
      </c>
      <c r="S79" s="845"/>
      <c r="T79" s="2795"/>
      <c r="U79" s="844"/>
      <c r="V79" s="368">
        <f t="shared" si="31"/>
        <v>0</v>
      </c>
      <c r="W79" s="845"/>
      <c r="X79" s="2537"/>
      <c r="Y79" s="570"/>
      <c r="Z79" s="4048">
        <f t="shared" ref="Z79:Z145" si="41">P79+T79+X79</f>
        <v>0</v>
      </c>
      <c r="AA79" s="657"/>
      <c r="AB79" s="4049">
        <f t="shared" ref="AB79:AB145" si="42">N79+Z79</f>
        <v>0</v>
      </c>
      <c r="AC79" s="845"/>
      <c r="AD79" s="2537"/>
      <c r="AE79" s="844"/>
      <c r="AF79" s="368">
        <f t="shared" si="32"/>
        <v>0</v>
      </c>
      <c r="AG79" s="845"/>
      <c r="AH79" s="2537"/>
      <c r="AI79" s="844"/>
      <c r="AJ79" s="368">
        <f t="shared" si="40"/>
        <v>0</v>
      </c>
      <c r="AK79" s="845"/>
      <c r="AL79" s="2537"/>
      <c r="AM79" s="570"/>
      <c r="AN79" s="4048">
        <f t="shared" si="37"/>
        <v>0</v>
      </c>
      <c r="AO79" s="775"/>
      <c r="AP79" s="368">
        <f t="shared" si="33"/>
        <v>0</v>
      </c>
      <c r="AQ79" s="845"/>
      <c r="AR79" s="2537"/>
      <c r="AS79" s="844"/>
      <c r="AT79" s="775">
        <f t="shared" si="34"/>
        <v>0</v>
      </c>
      <c r="AU79" s="845"/>
      <c r="AV79" s="2537"/>
      <c r="AW79" s="844"/>
      <c r="AX79" s="368">
        <f t="shared" si="35"/>
        <v>0</v>
      </c>
      <c r="AY79" s="845"/>
      <c r="AZ79" s="2537"/>
      <c r="BA79" s="570"/>
      <c r="BB79" s="570">
        <f t="shared" si="36"/>
        <v>0</v>
      </c>
      <c r="BC79" s="657"/>
      <c r="BD79" s="657">
        <f t="shared" si="38"/>
        <v>0</v>
      </c>
      <c r="BE79" s="775"/>
      <c r="BF79" s="775">
        <f t="shared" si="39"/>
        <v>0</v>
      </c>
      <c r="BG79" s="1202"/>
      <c r="BH79" s="1520">
        <f t="shared" si="22"/>
        <v>0</v>
      </c>
      <c r="BI79" s="1520">
        <f t="shared" si="23"/>
        <v>0</v>
      </c>
      <c r="BJ79" s="26">
        <f t="shared" si="24"/>
        <v>0</v>
      </c>
      <c r="BK79" s="26">
        <f t="shared" si="25"/>
        <v>0</v>
      </c>
      <c r="BL79" s="26">
        <f t="shared" si="26"/>
        <v>0</v>
      </c>
      <c r="BM79" s="26">
        <f t="shared" si="27"/>
        <v>0</v>
      </c>
    </row>
    <row r="80" spans="1:65" ht="16.2" thickBot="1" x14ac:dyDescent="0.35">
      <c r="B80" s="842" t="s">
        <v>862</v>
      </c>
      <c r="C80" s="2534" t="s">
        <v>1432</v>
      </c>
      <c r="D80" s="2535" t="s">
        <v>50</v>
      </c>
      <c r="E80" s="845"/>
      <c r="F80" s="2537">
        <v>67.650000000000006</v>
      </c>
      <c r="G80" s="845"/>
      <c r="H80" s="2537"/>
      <c r="I80" s="2789"/>
      <c r="J80" s="42">
        <f t="shared" si="28"/>
        <v>67.650000000000006</v>
      </c>
      <c r="K80" s="845"/>
      <c r="L80" s="2537"/>
      <c r="M80" s="2757"/>
      <c r="N80" s="613">
        <f t="shared" si="29"/>
        <v>67.650000000000006</v>
      </c>
      <c r="O80" s="845"/>
      <c r="P80" s="2537"/>
      <c r="Q80" s="2789"/>
      <c r="R80" s="368">
        <f t="shared" si="30"/>
        <v>67.650000000000006</v>
      </c>
      <c r="S80" s="845"/>
      <c r="T80" s="2795"/>
      <c r="U80" s="2789"/>
      <c r="V80" s="368">
        <f t="shared" si="31"/>
        <v>67.650000000000006</v>
      </c>
      <c r="W80" s="845"/>
      <c r="X80" s="2537"/>
      <c r="Y80" s="2540"/>
      <c r="Z80" s="4048">
        <f t="shared" si="41"/>
        <v>0</v>
      </c>
      <c r="AA80" s="2541"/>
      <c r="AB80" s="4049">
        <f t="shared" si="42"/>
        <v>67.650000000000006</v>
      </c>
      <c r="AC80" s="845"/>
      <c r="AD80" s="2537"/>
      <c r="AE80" s="2789"/>
      <c r="AF80" s="368">
        <f t="shared" si="32"/>
        <v>67.650000000000006</v>
      </c>
      <c r="AG80" s="845"/>
      <c r="AH80" s="2537"/>
      <c r="AI80" s="2789"/>
      <c r="AJ80" s="368">
        <f t="shared" si="40"/>
        <v>67.650000000000006</v>
      </c>
      <c r="AK80" s="845"/>
      <c r="AL80" s="2537"/>
      <c r="AM80" s="2540"/>
      <c r="AN80" s="4048">
        <f t="shared" si="37"/>
        <v>0</v>
      </c>
      <c r="AO80" s="2538"/>
      <c r="AP80" s="368">
        <f t="shared" si="33"/>
        <v>67.650000000000006</v>
      </c>
      <c r="AQ80" s="845"/>
      <c r="AR80" s="2537"/>
      <c r="AS80" s="2789"/>
      <c r="AT80" s="775">
        <f t="shared" si="34"/>
        <v>67.650000000000006</v>
      </c>
      <c r="AU80" s="845"/>
      <c r="AV80" s="2537"/>
      <c r="AW80" s="2789"/>
      <c r="AX80" s="368">
        <f t="shared" si="35"/>
        <v>67.650000000000006</v>
      </c>
      <c r="AY80" s="845"/>
      <c r="AZ80" s="2537"/>
      <c r="BA80" s="2540"/>
      <c r="BB80" s="570">
        <f t="shared" si="36"/>
        <v>0</v>
      </c>
      <c r="BC80" s="2541"/>
      <c r="BD80" s="657">
        <f t="shared" si="38"/>
        <v>0</v>
      </c>
      <c r="BE80" s="2538"/>
      <c r="BF80" s="775">
        <f t="shared" si="39"/>
        <v>67.650000000000006</v>
      </c>
      <c r="BG80" s="1202"/>
      <c r="BH80" s="1520">
        <f t="shared" si="22"/>
        <v>0</v>
      </c>
      <c r="BI80" s="1520">
        <f t="shared" si="23"/>
        <v>0</v>
      </c>
      <c r="BJ80" s="26">
        <f t="shared" si="24"/>
        <v>0</v>
      </c>
      <c r="BK80" s="26">
        <f t="shared" si="25"/>
        <v>0</v>
      </c>
      <c r="BL80" s="26">
        <f t="shared" si="26"/>
        <v>0</v>
      </c>
      <c r="BM80" s="26">
        <f t="shared" si="27"/>
        <v>0</v>
      </c>
    </row>
    <row r="81" spans="2:65" ht="16.2" thickBot="1" x14ac:dyDescent="0.35">
      <c r="B81" s="842" t="s">
        <v>862</v>
      </c>
      <c r="C81" s="2534" t="s">
        <v>1830</v>
      </c>
      <c r="D81" s="2535" t="s">
        <v>50</v>
      </c>
      <c r="E81" s="845"/>
      <c r="F81" s="2537">
        <v>514.54999999999995</v>
      </c>
      <c r="G81" s="845"/>
      <c r="H81" s="2537"/>
      <c r="I81" s="2789"/>
      <c r="J81" s="42">
        <f t="shared" si="28"/>
        <v>514.54999999999995</v>
      </c>
      <c r="K81" s="845"/>
      <c r="L81" s="2537"/>
      <c r="M81" s="2757"/>
      <c r="N81" s="613">
        <f t="shared" si="29"/>
        <v>514.54999999999995</v>
      </c>
      <c r="O81" s="845"/>
      <c r="P81" s="2537"/>
      <c r="Q81" s="2789"/>
      <c r="R81" s="368">
        <f t="shared" si="30"/>
        <v>514.54999999999995</v>
      </c>
      <c r="S81" s="845"/>
      <c r="T81" s="2537"/>
      <c r="U81" s="2789"/>
      <c r="V81" s="368">
        <f t="shared" si="31"/>
        <v>514.54999999999995</v>
      </c>
      <c r="W81" s="845"/>
      <c r="X81" s="2537"/>
      <c r="Y81" s="2540"/>
      <c r="Z81" s="4048">
        <f t="shared" si="41"/>
        <v>0</v>
      </c>
      <c r="AA81" s="2541"/>
      <c r="AB81" s="4049">
        <f t="shared" si="42"/>
        <v>514.54999999999995</v>
      </c>
      <c r="AC81" s="845"/>
      <c r="AD81" s="2537"/>
      <c r="AE81" s="2789"/>
      <c r="AF81" s="368">
        <f t="shared" si="32"/>
        <v>514.54999999999995</v>
      </c>
      <c r="AG81" s="845"/>
      <c r="AH81" s="2537"/>
      <c r="AI81" s="2789"/>
      <c r="AJ81" s="368">
        <f t="shared" si="40"/>
        <v>514.54999999999995</v>
      </c>
      <c r="AK81" s="845"/>
      <c r="AL81" s="2537"/>
      <c r="AM81" s="2540"/>
      <c r="AN81" s="4048">
        <f t="shared" si="37"/>
        <v>0</v>
      </c>
      <c r="AO81" s="2538"/>
      <c r="AP81" s="368">
        <f t="shared" si="33"/>
        <v>514.54999999999995</v>
      </c>
      <c r="AQ81" s="845"/>
      <c r="AR81" s="2537"/>
      <c r="AS81" s="2789"/>
      <c r="AT81" s="775">
        <f t="shared" si="34"/>
        <v>514.54999999999995</v>
      </c>
      <c r="AU81" s="845"/>
      <c r="AV81" s="2537"/>
      <c r="AW81" s="2789"/>
      <c r="AX81" s="368">
        <f t="shared" si="35"/>
        <v>514.54999999999995</v>
      </c>
      <c r="AY81" s="845"/>
      <c r="AZ81" s="2537"/>
      <c r="BA81" s="2540"/>
      <c r="BB81" s="570">
        <f t="shared" si="36"/>
        <v>0</v>
      </c>
      <c r="BC81" s="2541"/>
      <c r="BD81" s="657">
        <f t="shared" si="38"/>
        <v>0</v>
      </c>
      <c r="BE81" s="2538"/>
      <c r="BF81" s="775">
        <f t="shared" si="39"/>
        <v>514.54999999999995</v>
      </c>
      <c r="BG81" s="1202"/>
      <c r="BH81" s="1520">
        <f t="shared" si="22"/>
        <v>0</v>
      </c>
      <c r="BI81" s="1520">
        <f t="shared" si="23"/>
        <v>0</v>
      </c>
      <c r="BJ81" s="26">
        <f t="shared" si="24"/>
        <v>0</v>
      </c>
      <c r="BK81" s="26">
        <f t="shared" si="25"/>
        <v>0</v>
      </c>
      <c r="BL81" s="26">
        <f t="shared" si="26"/>
        <v>0</v>
      </c>
      <c r="BM81" s="26">
        <f t="shared" si="27"/>
        <v>0</v>
      </c>
    </row>
    <row r="82" spans="2:65" ht="16.2" thickBot="1" x14ac:dyDescent="0.35">
      <c r="B82" s="842" t="s">
        <v>862</v>
      </c>
      <c r="C82" s="2534" t="s">
        <v>1488</v>
      </c>
      <c r="D82" s="2535" t="s">
        <v>50</v>
      </c>
      <c r="E82" s="845"/>
      <c r="F82" s="2537"/>
      <c r="G82" s="845"/>
      <c r="H82" s="2537"/>
      <c r="I82" s="2789"/>
      <c r="J82" s="42">
        <f t="shared" si="28"/>
        <v>0</v>
      </c>
      <c r="K82" s="845"/>
      <c r="L82" s="2537"/>
      <c r="M82" s="894"/>
      <c r="N82" s="613">
        <f t="shared" si="29"/>
        <v>0</v>
      </c>
      <c r="O82" s="845"/>
      <c r="P82" s="2537"/>
      <c r="Q82" s="844"/>
      <c r="R82" s="368">
        <f t="shared" si="30"/>
        <v>0</v>
      </c>
      <c r="S82" s="845"/>
      <c r="T82" s="2537"/>
      <c r="U82" s="844"/>
      <c r="V82" s="368">
        <f t="shared" si="31"/>
        <v>0</v>
      </c>
      <c r="W82" s="845"/>
      <c r="X82" s="2537"/>
      <c r="Y82" s="570"/>
      <c r="Z82" s="4048">
        <f t="shared" si="41"/>
        <v>0</v>
      </c>
      <c r="AA82" s="657"/>
      <c r="AB82" s="4049">
        <f t="shared" si="42"/>
        <v>0</v>
      </c>
      <c r="AC82" s="845"/>
      <c r="AD82" s="2537"/>
      <c r="AE82" s="844"/>
      <c r="AF82" s="368">
        <f t="shared" si="32"/>
        <v>0</v>
      </c>
      <c r="AG82" s="845"/>
      <c r="AH82" s="2537"/>
      <c r="AI82" s="844"/>
      <c r="AJ82" s="368">
        <f t="shared" si="40"/>
        <v>0</v>
      </c>
      <c r="AK82" s="845"/>
      <c r="AL82" s="2537"/>
      <c r="AM82" s="570"/>
      <c r="AN82" s="4048">
        <f t="shared" si="37"/>
        <v>0</v>
      </c>
      <c r="AO82" s="775"/>
      <c r="AP82" s="368">
        <f t="shared" si="33"/>
        <v>0</v>
      </c>
      <c r="AQ82" s="845"/>
      <c r="AR82" s="2537"/>
      <c r="AS82" s="844"/>
      <c r="AT82" s="775">
        <f t="shared" si="34"/>
        <v>0</v>
      </c>
      <c r="AU82" s="845"/>
      <c r="AV82" s="2537"/>
      <c r="AW82" s="844"/>
      <c r="AX82" s="368">
        <f t="shared" si="35"/>
        <v>0</v>
      </c>
      <c r="AY82" s="845"/>
      <c r="AZ82" s="2537"/>
      <c r="BA82" s="570"/>
      <c r="BB82" s="570">
        <f t="shared" si="36"/>
        <v>0</v>
      </c>
      <c r="BC82" s="657"/>
      <c r="BD82" s="657">
        <f t="shared" si="38"/>
        <v>0</v>
      </c>
      <c r="BE82" s="775"/>
      <c r="BF82" s="775">
        <f t="shared" si="39"/>
        <v>0</v>
      </c>
      <c r="BG82" s="1202"/>
      <c r="BH82" s="1520">
        <f t="shared" si="22"/>
        <v>0</v>
      </c>
      <c r="BI82" s="1520">
        <f t="shared" si="23"/>
        <v>0</v>
      </c>
      <c r="BJ82" s="26">
        <f t="shared" si="24"/>
        <v>0</v>
      </c>
      <c r="BK82" s="26">
        <f t="shared" si="25"/>
        <v>0</v>
      </c>
      <c r="BL82" s="26">
        <f t="shared" si="26"/>
        <v>0</v>
      </c>
      <c r="BM82" s="26">
        <f t="shared" si="27"/>
        <v>0</v>
      </c>
    </row>
    <row r="83" spans="2:65" ht="16.2" thickBot="1" x14ac:dyDescent="0.35">
      <c r="B83" s="3839" t="s">
        <v>862</v>
      </c>
      <c r="C83" s="3840" t="s">
        <v>1434</v>
      </c>
      <c r="D83" s="3060" t="s">
        <v>50</v>
      </c>
      <c r="E83" s="3841"/>
      <c r="F83" s="4022">
        <v>141.45000000000002</v>
      </c>
      <c r="G83" s="3841"/>
      <c r="H83" s="4022"/>
      <c r="I83" s="4035"/>
      <c r="J83" s="42">
        <f t="shared" si="28"/>
        <v>141.45000000000002</v>
      </c>
      <c r="K83" s="3841"/>
      <c r="L83" s="4022"/>
      <c r="M83" s="4036"/>
      <c r="N83" s="613">
        <f t="shared" si="29"/>
        <v>141.45000000000002</v>
      </c>
      <c r="O83" s="3841"/>
      <c r="P83" s="4022"/>
      <c r="Q83" s="4035"/>
      <c r="R83" s="368">
        <f t="shared" si="30"/>
        <v>141.45000000000002</v>
      </c>
      <c r="S83" s="3841"/>
      <c r="T83" s="4022"/>
      <c r="U83" s="4035"/>
      <c r="V83" s="368">
        <f t="shared" si="31"/>
        <v>141.45000000000002</v>
      </c>
      <c r="W83" s="3841"/>
      <c r="X83" s="4022"/>
      <c r="Y83" s="4039"/>
      <c r="Z83" s="4048">
        <f t="shared" si="41"/>
        <v>0</v>
      </c>
      <c r="AA83" s="4040"/>
      <c r="AB83" s="4049">
        <f t="shared" si="42"/>
        <v>141.45000000000002</v>
      </c>
      <c r="AC83" s="3841"/>
      <c r="AD83" s="4022"/>
      <c r="AE83" s="4035"/>
      <c r="AF83" s="368">
        <f t="shared" si="32"/>
        <v>141.45000000000002</v>
      </c>
      <c r="AG83" s="3841"/>
      <c r="AH83" s="4022"/>
      <c r="AI83" s="4035"/>
      <c r="AJ83" s="368">
        <f t="shared" si="40"/>
        <v>141.45000000000002</v>
      </c>
      <c r="AK83" s="3841"/>
      <c r="AL83" s="4022"/>
      <c r="AM83" s="570"/>
      <c r="AN83" s="4048">
        <f t="shared" si="37"/>
        <v>0</v>
      </c>
      <c r="AO83" s="775"/>
      <c r="AP83" s="368">
        <f t="shared" si="33"/>
        <v>141.45000000000002</v>
      </c>
      <c r="AQ83" s="3841"/>
      <c r="AR83" s="4022"/>
      <c r="AS83" s="844"/>
      <c r="AT83" s="775">
        <f t="shared" si="34"/>
        <v>141.45000000000002</v>
      </c>
      <c r="AU83" s="3841"/>
      <c r="AV83" s="4022"/>
      <c r="AW83" s="844"/>
      <c r="AX83" s="368">
        <f t="shared" si="35"/>
        <v>141.45000000000002</v>
      </c>
      <c r="AY83" s="3841"/>
      <c r="AZ83" s="4022"/>
      <c r="BA83" s="570"/>
      <c r="BB83" s="570">
        <f t="shared" si="36"/>
        <v>0</v>
      </c>
      <c r="BC83" s="657"/>
      <c r="BD83" s="657">
        <f t="shared" si="38"/>
        <v>0</v>
      </c>
      <c r="BE83" s="775"/>
      <c r="BF83" s="775">
        <f t="shared" si="39"/>
        <v>141.45000000000002</v>
      </c>
      <c r="BG83" s="1202"/>
      <c r="BH83" s="1520">
        <f t="shared" si="22"/>
        <v>0</v>
      </c>
      <c r="BI83" s="1520">
        <f t="shared" si="23"/>
        <v>0</v>
      </c>
      <c r="BJ83" s="26">
        <f t="shared" si="24"/>
        <v>0</v>
      </c>
      <c r="BK83" s="26">
        <f t="shared" si="25"/>
        <v>0</v>
      </c>
      <c r="BL83" s="26">
        <f t="shared" si="26"/>
        <v>0</v>
      </c>
      <c r="BM83" s="26">
        <f t="shared" si="27"/>
        <v>0</v>
      </c>
    </row>
    <row r="84" spans="2:65" ht="16.2" thickBot="1" x14ac:dyDescent="0.35">
      <c r="B84" s="2776" t="s">
        <v>1843</v>
      </c>
      <c r="C84" s="3442" t="s">
        <v>1127</v>
      </c>
      <c r="D84" s="4052" t="s">
        <v>50</v>
      </c>
      <c r="E84" s="3427"/>
      <c r="F84" s="155">
        <v>94.3</v>
      </c>
      <c r="G84" s="3427"/>
      <c r="H84" s="155"/>
      <c r="I84" s="2788"/>
      <c r="J84" s="42">
        <f t="shared" si="28"/>
        <v>94.3</v>
      </c>
      <c r="K84" s="3427"/>
      <c r="L84" s="155"/>
      <c r="M84" s="3428"/>
      <c r="N84" s="613">
        <f t="shared" si="29"/>
        <v>94.3</v>
      </c>
      <c r="O84" s="3427"/>
      <c r="P84" s="155"/>
      <c r="Q84" s="2788"/>
      <c r="R84" s="368">
        <f t="shared" si="30"/>
        <v>94.3</v>
      </c>
      <c r="S84" s="3427"/>
      <c r="T84" s="155">
        <f>1125.45-20.5-14.35</f>
        <v>1090.6000000000001</v>
      </c>
      <c r="U84" s="2788"/>
      <c r="V84" s="368">
        <f t="shared" si="31"/>
        <v>1184.9000000000001</v>
      </c>
      <c r="W84" s="3427"/>
      <c r="X84" s="155"/>
      <c r="Y84" s="4048"/>
      <c r="Z84" s="4048">
        <f t="shared" si="41"/>
        <v>1090.6000000000001</v>
      </c>
      <c r="AA84" s="4049"/>
      <c r="AB84" s="4049">
        <f t="shared" si="42"/>
        <v>1184.9000000000001</v>
      </c>
      <c r="AC84" s="3427"/>
      <c r="AD84" s="155"/>
      <c r="AE84" s="2788"/>
      <c r="AF84" s="368">
        <f t="shared" si="32"/>
        <v>1184.9000000000001</v>
      </c>
      <c r="AG84" s="3427"/>
      <c r="AH84" s="155"/>
      <c r="AI84" s="2788"/>
      <c r="AJ84" s="567">
        <f t="shared" si="40"/>
        <v>1184.9000000000001</v>
      </c>
      <c r="AK84" s="3427"/>
      <c r="AL84" s="155"/>
      <c r="AM84" s="4029"/>
      <c r="AN84" s="4048">
        <f t="shared" si="37"/>
        <v>0</v>
      </c>
      <c r="AO84" s="3970"/>
      <c r="AP84" s="368">
        <f t="shared" si="33"/>
        <v>1184.9000000000001</v>
      </c>
      <c r="AQ84" s="3427"/>
      <c r="AR84" s="155"/>
      <c r="AS84" s="4034"/>
      <c r="AT84" s="775">
        <f t="shared" si="34"/>
        <v>1184.9000000000001</v>
      </c>
      <c r="AU84" s="3427"/>
      <c r="AV84" s="155"/>
      <c r="AW84" s="4034"/>
      <c r="AX84" s="368">
        <f t="shared" si="35"/>
        <v>1184.9000000000001</v>
      </c>
      <c r="AY84" s="3427"/>
      <c r="AZ84" s="155"/>
      <c r="BA84" s="4029"/>
      <c r="BB84" s="570">
        <f t="shared" si="36"/>
        <v>0</v>
      </c>
      <c r="BC84" s="4030"/>
      <c r="BD84" s="657">
        <f t="shared" si="38"/>
        <v>0</v>
      </c>
      <c r="BE84" s="3970"/>
      <c r="BF84" s="775">
        <f t="shared" si="39"/>
        <v>1184.9000000000001</v>
      </c>
      <c r="BG84" s="1202"/>
      <c r="BH84" s="1520">
        <f t="shared" si="22"/>
        <v>0</v>
      </c>
      <c r="BI84" s="1520">
        <f t="shared" si="23"/>
        <v>0</v>
      </c>
      <c r="BJ84" s="26">
        <f t="shared" si="24"/>
        <v>0</v>
      </c>
      <c r="BK84" s="26">
        <f t="shared" si="25"/>
        <v>0</v>
      </c>
      <c r="BL84" s="26">
        <f t="shared" si="26"/>
        <v>0</v>
      </c>
      <c r="BM84" s="26">
        <f t="shared" si="27"/>
        <v>0</v>
      </c>
    </row>
    <row r="85" spans="2:65" ht="16.2" thickBot="1" x14ac:dyDescent="0.35">
      <c r="B85" s="2776" t="s">
        <v>1843</v>
      </c>
      <c r="C85" s="2534" t="s">
        <v>1029</v>
      </c>
      <c r="D85" s="4052" t="s">
        <v>50</v>
      </c>
      <c r="E85" s="3431"/>
      <c r="F85" s="1186"/>
      <c r="G85" s="3431"/>
      <c r="H85" s="1186"/>
      <c r="I85" s="3432"/>
      <c r="J85" s="42">
        <f t="shared" si="28"/>
        <v>0</v>
      </c>
      <c r="K85" s="3431"/>
      <c r="L85" s="1186"/>
      <c r="M85" s="3433"/>
      <c r="N85" s="613">
        <f t="shared" si="29"/>
        <v>0</v>
      </c>
      <c r="O85" s="3431"/>
      <c r="P85" s="1186"/>
      <c r="Q85" s="3432"/>
      <c r="R85" s="368">
        <f t="shared" si="30"/>
        <v>0</v>
      </c>
      <c r="S85" s="3431"/>
      <c r="T85" s="1186"/>
      <c r="U85" s="3432"/>
      <c r="V85" s="368">
        <f t="shared" si="31"/>
        <v>0</v>
      </c>
      <c r="W85" s="3431"/>
      <c r="X85" s="1186"/>
      <c r="Y85" s="4044"/>
      <c r="Z85" s="4048">
        <f t="shared" si="41"/>
        <v>0</v>
      </c>
      <c r="AA85" s="4045"/>
      <c r="AB85" s="4049">
        <f t="shared" si="42"/>
        <v>0</v>
      </c>
      <c r="AC85" s="3431"/>
      <c r="AD85" s="1186"/>
      <c r="AE85" s="3432"/>
      <c r="AF85" s="368">
        <f t="shared" si="32"/>
        <v>0</v>
      </c>
      <c r="AG85" s="3431"/>
      <c r="AH85" s="1186"/>
      <c r="AI85" s="3432"/>
      <c r="AJ85" s="368">
        <f>+AF85+AH85</f>
        <v>0</v>
      </c>
      <c r="AK85" s="3431"/>
      <c r="AL85" s="1186"/>
      <c r="AM85" s="4355"/>
      <c r="AN85" s="4048">
        <f t="shared" si="37"/>
        <v>0</v>
      </c>
      <c r="AO85" s="4340"/>
      <c r="AP85" s="368">
        <f t="shared" si="33"/>
        <v>0</v>
      </c>
      <c r="AQ85" s="3431"/>
      <c r="AR85" s="1186"/>
      <c r="AS85" s="4353"/>
      <c r="AT85" s="775">
        <f t="shared" si="34"/>
        <v>0</v>
      </c>
      <c r="AU85" s="3431"/>
      <c r="AV85" s="1186"/>
      <c r="AW85" s="4353"/>
      <c r="AX85" s="368">
        <f t="shared" si="35"/>
        <v>0</v>
      </c>
      <c r="AY85" s="3431"/>
      <c r="AZ85" s="1186"/>
      <c r="BA85" s="4355"/>
      <c r="BB85" s="570">
        <f t="shared" si="36"/>
        <v>0</v>
      </c>
      <c r="BC85" s="4356"/>
      <c r="BD85" s="657">
        <f t="shared" si="38"/>
        <v>0</v>
      </c>
      <c r="BE85" s="4340"/>
      <c r="BF85" s="775">
        <f t="shared" si="39"/>
        <v>0</v>
      </c>
      <c r="BG85" s="1202"/>
      <c r="BH85" s="1520">
        <f t="shared" si="22"/>
        <v>0</v>
      </c>
      <c r="BI85" s="1520">
        <f t="shared" si="23"/>
        <v>0</v>
      </c>
      <c r="BJ85" s="26">
        <f t="shared" si="24"/>
        <v>0</v>
      </c>
      <c r="BK85" s="26">
        <f t="shared" si="25"/>
        <v>0</v>
      </c>
      <c r="BL85" s="26">
        <f t="shared" si="26"/>
        <v>0</v>
      </c>
      <c r="BM85" s="26">
        <f t="shared" si="27"/>
        <v>0</v>
      </c>
    </row>
    <row r="86" spans="2:65" ht="16.2" thickBot="1" x14ac:dyDescent="0.35">
      <c r="B86" s="4041" t="s">
        <v>1843</v>
      </c>
      <c r="C86" s="4509" t="s">
        <v>968</v>
      </c>
      <c r="D86" s="4802" t="s">
        <v>50</v>
      </c>
      <c r="E86" s="3431"/>
      <c r="F86" s="1186"/>
      <c r="G86" s="3431"/>
      <c r="H86" s="1186">
        <f>30.75-2.05</f>
        <v>28.7</v>
      </c>
      <c r="I86" s="3432"/>
      <c r="J86" s="42">
        <f t="shared" si="28"/>
        <v>28.7</v>
      </c>
      <c r="K86" s="3431"/>
      <c r="L86" s="1186"/>
      <c r="M86" s="3433"/>
      <c r="N86" s="613">
        <f t="shared" si="29"/>
        <v>28.7</v>
      </c>
      <c r="O86" s="3431"/>
      <c r="P86" s="1186"/>
      <c r="Q86" s="3432"/>
      <c r="R86" s="368">
        <f t="shared" si="30"/>
        <v>28.7</v>
      </c>
      <c r="S86" s="3431"/>
      <c r="T86" s="1186"/>
      <c r="U86" s="3432"/>
      <c r="V86" s="368">
        <f t="shared" si="31"/>
        <v>28.7</v>
      </c>
      <c r="W86" s="3431"/>
      <c r="X86" s="1186"/>
      <c r="Y86" s="4044"/>
      <c r="Z86" s="4048">
        <f t="shared" si="41"/>
        <v>0</v>
      </c>
      <c r="AA86" s="4045"/>
      <c r="AB86" s="4049">
        <f t="shared" si="42"/>
        <v>28.7</v>
      </c>
      <c r="AC86" s="3431"/>
      <c r="AD86" s="1186"/>
      <c r="AE86" s="3432"/>
      <c r="AF86" s="368">
        <f t="shared" si="32"/>
        <v>28.7</v>
      </c>
      <c r="AG86" s="3431"/>
      <c r="AH86" s="1186"/>
      <c r="AI86" s="3432"/>
      <c r="AJ86" s="368">
        <f t="shared" ref="AJ86:AJ87" si="43">+AF86+AH86</f>
        <v>28.7</v>
      </c>
      <c r="AK86" s="3431"/>
      <c r="AL86" s="1186"/>
      <c r="AM86" s="4803"/>
      <c r="AN86" s="4048">
        <f t="shared" si="37"/>
        <v>0</v>
      </c>
      <c r="AO86" s="4804"/>
      <c r="AP86" s="368">
        <f t="shared" si="33"/>
        <v>28.7</v>
      </c>
      <c r="AQ86" s="3431"/>
      <c r="AR86" s="1186"/>
      <c r="AS86" s="4805"/>
      <c r="AT86" s="4804">
        <f t="shared" si="34"/>
        <v>28.7</v>
      </c>
      <c r="AU86" s="3431"/>
      <c r="AV86" s="1186"/>
      <c r="AW86" s="4805"/>
      <c r="AX86" s="368">
        <f t="shared" si="35"/>
        <v>28.7</v>
      </c>
      <c r="AY86" s="3431"/>
      <c r="AZ86" s="1186"/>
      <c r="BA86" s="4803"/>
      <c r="BB86" s="570">
        <f t="shared" si="36"/>
        <v>0</v>
      </c>
      <c r="BC86" s="4806"/>
      <c r="BD86" s="4524">
        <f t="shared" si="38"/>
        <v>0</v>
      </c>
      <c r="BE86" s="4804"/>
      <c r="BF86" s="775">
        <f t="shared" si="39"/>
        <v>28.7</v>
      </c>
      <c r="BG86" s="1202"/>
      <c r="BH86" s="1520">
        <f t="shared" si="22"/>
        <v>0</v>
      </c>
      <c r="BI86" s="1520">
        <f t="shared" si="23"/>
        <v>0</v>
      </c>
      <c r="BJ86" s="26">
        <f t="shared" si="24"/>
        <v>0</v>
      </c>
      <c r="BK86" s="26">
        <f t="shared" si="25"/>
        <v>0</v>
      </c>
      <c r="BL86" s="26">
        <f t="shared" si="26"/>
        <v>0</v>
      </c>
      <c r="BM86" s="26">
        <f t="shared" si="27"/>
        <v>0</v>
      </c>
    </row>
    <row r="87" spans="2:65" ht="16.2" thickBot="1" x14ac:dyDescent="0.35">
      <c r="B87" s="842" t="s">
        <v>1843</v>
      </c>
      <c r="C87" s="4046" t="s">
        <v>1844</v>
      </c>
      <c r="D87" s="3060" t="s">
        <v>50</v>
      </c>
      <c r="E87" s="4047"/>
      <c r="F87" s="4024"/>
      <c r="G87" s="4047"/>
      <c r="H87" s="4024"/>
      <c r="I87" s="4034"/>
      <c r="J87" s="42">
        <f t="shared" si="28"/>
        <v>0</v>
      </c>
      <c r="K87" s="4047"/>
      <c r="L87" s="4024">
        <v>79.95</v>
      </c>
      <c r="M87" s="4027"/>
      <c r="N87" s="613">
        <f t="shared" si="29"/>
        <v>79.95</v>
      </c>
      <c r="O87" s="4047"/>
      <c r="P87" s="4024"/>
      <c r="Q87" s="4034"/>
      <c r="R87" s="368">
        <f t="shared" si="30"/>
        <v>79.95</v>
      </c>
      <c r="S87" s="4047"/>
      <c r="T87" s="4024"/>
      <c r="U87" s="4034"/>
      <c r="V87" s="368">
        <f t="shared" si="31"/>
        <v>79.95</v>
      </c>
      <c r="W87" s="4047"/>
      <c r="X87" s="4024"/>
      <c r="Y87" s="4029"/>
      <c r="Z87" s="4048">
        <f t="shared" si="41"/>
        <v>0</v>
      </c>
      <c r="AA87" s="4030"/>
      <c r="AB87" s="4049">
        <f t="shared" si="42"/>
        <v>79.95</v>
      </c>
      <c r="AC87" s="4047"/>
      <c r="AD87" s="4024"/>
      <c r="AE87" s="4034"/>
      <c r="AF87" s="368">
        <f t="shared" si="32"/>
        <v>79.95</v>
      </c>
      <c r="AG87" s="4047"/>
      <c r="AH87" s="4024"/>
      <c r="AI87" s="4034"/>
      <c r="AJ87" s="368">
        <f t="shared" si="43"/>
        <v>79.95</v>
      </c>
      <c r="AK87" s="4047"/>
      <c r="AL87" s="4024"/>
      <c r="AM87" s="4029"/>
      <c r="AN87" s="4048">
        <f t="shared" si="37"/>
        <v>0</v>
      </c>
      <c r="AO87" s="3970"/>
      <c r="AP87" s="368">
        <f t="shared" si="33"/>
        <v>79.95</v>
      </c>
      <c r="AQ87" s="4047"/>
      <c r="AR87" s="4024"/>
      <c r="AS87" s="4034"/>
      <c r="AT87" s="775">
        <f t="shared" si="34"/>
        <v>79.95</v>
      </c>
      <c r="AU87" s="4047"/>
      <c r="AV87" s="4024"/>
      <c r="AW87" s="4034"/>
      <c r="AX87" s="368">
        <f t="shared" si="35"/>
        <v>79.95</v>
      </c>
      <c r="AY87" s="4047"/>
      <c r="AZ87" s="4024"/>
      <c r="BA87" s="4029"/>
      <c r="BB87" s="570">
        <f t="shared" si="36"/>
        <v>0</v>
      </c>
      <c r="BC87" s="4030"/>
      <c r="BD87" s="657">
        <f t="shared" si="38"/>
        <v>0</v>
      </c>
      <c r="BE87" s="3970"/>
      <c r="BF87" s="775">
        <f t="shared" si="39"/>
        <v>79.95</v>
      </c>
      <c r="BG87" s="1202"/>
      <c r="BH87" s="1520">
        <f t="shared" si="22"/>
        <v>0</v>
      </c>
      <c r="BI87" s="1520">
        <f t="shared" si="23"/>
        <v>0</v>
      </c>
      <c r="BJ87" s="26">
        <f t="shared" si="24"/>
        <v>0</v>
      </c>
      <c r="BK87" s="26">
        <f t="shared" si="25"/>
        <v>0</v>
      </c>
      <c r="BL87" s="26">
        <f t="shared" si="26"/>
        <v>0</v>
      </c>
      <c r="BM87" s="26">
        <f t="shared" si="27"/>
        <v>0</v>
      </c>
    </row>
    <row r="88" spans="2:65" ht="16.2" thickBot="1" x14ac:dyDescent="0.35">
      <c r="B88" s="2780" t="s">
        <v>1843</v>
      </c>
      <c r="C88" s="3446" t="s">
        <v>1845</v>
      </c>
      <c r="D88" s="2782" t="s">
        <v>50</v>
      </c>
      <c r="E88" s="3425"/>
      <c r="F88" s="107">
        <v>498.15000000000003</v>
      </c>
      <c r="G88" s="3425"/>
      <c r="H88" s="107">
        <f>590.4-12.3</f>
        <v>578.1</v>
      </c>
      <c r="I88" s="2791"/>
      <c r="J88" s="42">
        <f t="shared" si="28"/>
        <v>1076.25</v>
      </c>
      <c r="K88" s="3425"/>
      <c r="L88" s="107">
        <v>434.6</v>
      </c>
      <c r="M88" s="3426"/>
      <c r="N88" s="613">
        <f t="shared" si="29"/>
        <v>1510.85</v>
      </c>
      <c r="O88" s="3425"/>
      <c r="P88" s="107"/>
      <c r="Q88" s="2791"/>
      <c r="R88" s="368">
        <f t="shared" si="30"/>
        <v>1510.85</v>
      </c>
      <c r="S88" s="3425"/>
      <c r="T88" s="107"/>
      <c r="U88" s="2791"/>
      <c r="V88" s="368">
        <f t="shared" si="31"/>
        <v>1510.85</v>
      </c>
      <c r="W88" s="3425"/>
      <c r="X88" s="107"/>
      <c r="Y88" s="4050"/>
      <c r="Z88" s="4048">
        <f t="shared" si="41"/>
        <v>0</v>
      </c>
      <c r="AA88" s="4051"/>
      <c r="AB88" s="4049">
        <f t="shared" si="42"/>
        <v>1510.85</v>
      </c>
      <c r="AC88" s="3425"/>
      <c r="AD88" s="107"/>
      <c r="AE88" s="2791"/>
      <c r="AF88" s="368">
        <f t="shared" si="32"/>
        <v>1510.85</v>
      </c>
      <c r="AG88" s="3425"/>
      <c r="AH88" s="107"/>
      <c r="AI88" s="2791"/>
      <c r="AJ88" s="368">
        <f t="shared" ref="AJ88" si="44">+AF88+AH88</f>
        <v>1510.85</v>
      </c>
      <c r="AK88" s="3425"/>
      <c r="AL88" s="107"/>
      <c r="AM88" s="4029"/>
      <c r="AN88" s="4048">
        <f t="shared" si="37"/>
        <v>0</v>
      </c>
      <c r="AO88" s="3970"/>
      <c r="AP88" s="368">
        <f t="shared" si="33"/>
        <v>1510.85</v>
      </c>
      <c r="AQ88" s="3425"/>
      <c r="AR88" s="107"/>
      <c r="AS88" s="4034"/>
      <c r="AT88" s="775">
        <f t="shared" si="34"/>
        <v>1510.85</v>
      </c>
      <c r="AU88" s="3425"/>
      <c r="AV88" s="107"/>
      <c r="AW88" s="4034"/>
      <c r="AX88" s="368">
        <f t="shared" si="35"/>
        <v>1510.85</v>
      </c>
      <c r="AY88" s="3425"/>
      <c r="AZ88" s="107"/>
      <c r="BA88" s="4029"/>
      <c r="BB88" s="570">
        <f t="shared" si="36"/>
        <v>0</v>
      </c>
      <c r="BC88" s="4030"/>
      <c r="BD88" s="657">
        <f t="shared" si="38"/>
        <v>0</v>
      </c>
      <c r="BE88" s="3970"/>
      <c r="BF88" s="775">
        <f t="shared" si="39"/>
        <v>1510.85</v>
      </c>
      <c r="BG88" s="1202"/>
      <c r="BH88" s="1520">
        <f t="shared" si="22"/>
        <v>0</v>
      </c>
      <c r="BI88" s="1520">
        <f t="shared" si="23"/>
        <v>0</v>
      </c>
      <c r="BJ88" s="26">
        <f t="shared" si="24"/>
        <v>0</v>
      </c>
      <c r="BK88" s="26">
        <f t="shared" si="25"/>
        <v>0</v>
      </c>
      <c r="BL88" s="26">
        <f t="shared" si="26"/>
        <v>0</v>
      </c>
      <c r="BM88" s="26">
        <f t="shared" si="27"/>
        <v>0</v>
      </c>
    </row>
    <row r="89" spans="2:65" ht="16.2" thickBot="1" x14ac:dyDescent="0.35">
      <c r="B89" s="4041" t="s">
        <v>1037</v>
      </c>
      <c r="C89" s="4042" t="s">
        <v>1127</v>
      </c>
      <c r="D89" s="48" t="s">
        <v>50</v>
      </c>
      <c r="E89" s="4043"/>
      <c r="F89" s="1186"/>
      <c r="G89" s="4043"/>
      <c r="H89" s="1186">
        <v>266.5</v>
      </c>
      <c r="I89" s="3432"/>
      <c r="J89" s="42">
        <f t="shared" si="28"/>
        <v>266.5</v>
      </c>
      <c r="K89" s="4043"/>
      <c r="L89" s="1186"/>
      <c r="M89" s="3433"/>
      <c r="N89" s="613">
        <f t="shared" si="29"/>
        <v>266.5</v>
      </c>
      <c r="O89" s="4043"/>
      <c r="P89" s="1186">
        <f>1184.9-2.05</f>
        <v>1182.8500000000001</v>
      </c>
      <c r="Q89" s="3432"/>
      <c r="R89" s="368">
        <f t="shared" si="30"/>
        <v>1449.3500000000001</v>
      </c>
      <c r="S89" s="4043"/>
      <c r="T89" s="1186"/>
      <c r="U89" s="3432"/>
      <c r="V89" s="368">
        <f t="shared" si="31"/>
        <v>1449.3500000000001</v>
      </c>
      <c r="W89" s="4043"/>
      <c r="X89" s="1186">
        <v>1215.6500000000001</v>
      </c>
      <c r="Y89" s="4044"/>
      <c r="Z89" s="4048">
        <f t="shared" si="41"/>
        <v>2398.5</v>
      </c>
      <c r="AA89" s="4045"/>
      <c r="AB89" s="4049">
        <f t="shared" si="42"/>
        <v>2665</v>
      </c>
      <c r="AC89" s="4043"/>
      <c r="AD89" s="1186">
        <v>590.40000000000009</v>
      </c>
      <c r="AE89" s="3432"/>
      <c r="AF89" s="368">
        <f t="shared" si="32"/>
        <v>3255.4</v>
      </c>
      <c r="AG89" s="4043"/>
      <c r="AH89" s="1186"/>
      <c r="AI89" s="3432"/>
      <c r="AJ89" s="567">
        <f t="shared" si="40"/>
        <v>3255.4</v>
      </c>
      <c r="AK89" s="4043"/>
      <c r="AL89" s="1186">
        <f>1246.4-14.35</f>
        <v>1232.0500000000002</v>
      </c>
      <c r="AM89" s="570"/>
      <c r="AN89" s="4048">
        <f t="shared" si="37"/>
        <v>1822.4500000000003</v>
      </c>
      <c r="AO89" s="775"/>
      <c r="AP89" s="368">
        <f t="shared" si="33"/>
        <v>4487.4500000000007</v>
      </c>
      <c r="AQ89" s="4043"/>
      <c r="AR89" s="1186">
        <v>1340.6999999999994</v>
      </c>
      <c r="AS89" s="844"/>
      <c r="AT89" s="775">
        <f t="shared" si="34"/>
        <v>5828.15</v>
      </c>
      <c r="AU89" s="4043"/>
      <c r="AV89" s="1186"/>
      <c r="AW89" s="844"/>
      <c r="AX89" s="368">
        <f t="shared" si="35"/>
        <v>5828.15</v>
      </c>
      <c r="AY89" s="4043"/>
      <c r="AZ89" s="1186"/>
      <c r="BA89" s="570"/>
      <c r="BB89" s="570">
        <f t="shared" si="36"/>
        <v>1340.6999999999994</v>
      </c>
      <c r="BC89" s="657"/>
      <c r="BD89" s="657">
        <f t="shared" si="38"/>
        <v>3163.1499999999996</v>
      </c>
      <c r="BE89" s="775"/>
      <c r="BF89" s="775">
        <f t="shared" si="39"/>
        <v>5828.15</v>
      </c>
      <c r="BG89" s="1202"/>
      <c r="BH89" s="1520">
        <f t="shared" si="22"/>
        <v>0</v>
      </c>
      <c r="BI89" s="1520">
        <f t="shared" si="23"/>
        <v>0</v>
      </c>
      <c r="BJ89" s="26">
        <f t="shared" si="24"/>
        <v>0</v>
      </c>
      <c r="BK89" s="26">
        <f t="shared" si="25"/>
        <v>0</v>
      </c>
      <c r="BL89" s="26">
        <f t="shared" si="26"/>
        <v>0</v>
      </c>
      <c r="BM89" s="26">
        <f t="shared" si="27"/>
        <v>0</v>
      </c>
    </row>
    <row r="90" spans="2:65" ht="16.2" thickBot="1" x14ac:dyDescent="0.35">
      <c r="B90" s="842" t="s">
        <v>861</v>
      </c>
      <c r="C90" s="2534" t="s">
        <v>968</v>
      </c>
      <c r="D90" s="2535" t="s">
        <v>50</v>
      </c>
      <c r="E90" s="845"/>
      <c r="F90" s="2537"/>
      <c r="G90" s="845"/>
      <c r="H90" s="2537">
        <f>811.8-2.05</f>
        <v>809.75</v>
      </c>
      <c r="I90" s="2789"/>
      <c r="J90" s="42">
        <f t="shared" si="28"/>
        <v>809.75</v>
      </c>
      <c r="K90" s="845"/>
      <c r="L90" s="2537"/>
      <c r="M90" s="894"/>
      <c r="N90" s="613">
        <f t="shared" si="29"/>
        <v>809.75</v>
      </c>
      <c r="O90" s="845"/>
      <c r="P90" s="2537">
        <f>1385.8-4.1</f>
        <v>1381.7</v>
      </c>
      <c r="Q90" s="844"/>
      <c r="R90" s="368">
        <f t="shared" si="30"/>
        <v>2191.4499999999998</v>
      </c>
      <c r="S90" s="845"/>
      <c r="T90" s="2537"/>
      <c r="U90" s="844"/>
      <c r="V90" s="368">
        <f t="shared" si="31"/>
        <v>2191.4499999999998</v>
      </c>
      <c r="W90" s="845"/>
      <c r="X90" s="2537">
        <v>196.79999999999998</v>
      </c>
      <c r="Y90" s="570"/>
      <c r="Z90" s="4048">
        <f t="shared" si="41"/>
        <v>1578.5</v>
      </c>
      <c r="AA90" s="657"/>
      <c r="AB90" s="4049">
        <f t="shared" si="42"/>
        <v>2388.25</v>
      </c>
      <c r="AC90" s="845"/>
      <c r="AD90" s="2537">
        <f>1281.25-18.45</f>
        <v>1262.8</v>
      </c>
      <c r="AE90" s="844"/>
      <c r="AF90" s="368">
        <f t="shared" si="32"/>
        <v>3651.05</v>
      </c>
      <c r="AG90" s="845"/>
      <c r="AH90" s="2537"/>
      <c r="AI90" s="844"/>
      <c r="AJ90" s="775">
        <f t="shared" si="40"/>
        <v>3651.05</v>
      </c>
      <c r="AK90" s="845"/>
      <c r="AL90" s="2537">
        <f>1359.15-4.1</f>
        <v>1355.0500000000002</v>
      </c>
      <c r="AM90" s="570"/>
      <c r="AN90" s="4048">
        <f t="shared" si="37"/>
        <v>2617.8500000000004</v>
      </c>
      <c r="AO90" s="775"/>
      <c r="AP90" s="368">
        <f t="shared" si="33"/>
        <v>5006.1000000000004</v>
      </c>
      <c r="AQ90" s="845"/>
      <c r="AR90" s="2537">
        <v>2152.5000000000005</v>
      </c>
      <c r="AS90" s="844"/>
      <c r="AT90" s="775">
        <f t="shared" si="34"/>
        <v>7158.6</v>
      </c>
      <c r="AU90" s="845"/>
      <c r="AV90" s="2537"/>
      <c r="AW90" s="844"/>
      <c r="AX90" s="368">
        <f t="shared" si="35"/>
        <v>7158.6</v>
      </c>
      <c r="AY90" s="845"/>
      <c r="AZ90" s="2537"/>
      <c r="BA90" s="570"/>
      <c r="BB90" s="570">
        <f t="shared" si="36"/>
        <v>2152.5000000000005</v>
      </c>
      <c r="BC90" s="657"/>
      <c r="BD90" s="657">
        <f t="shared" si="38"/>
        <v>4770.3500000000004</v>
      </c>
      <c r="BE90" s="775"/>
      <c r="BF90" s="775">
        <f t="shared" si="39"/>
        <v>7158.6</v>
      </c>
      <c r="BG90" s="1202"/>
      <c r="BH90" s="1520">
        <f t="shared" si="22"/>
        <v>0</v>
      </c>
      <c r="BI90" s="1520">
        <f t="shared" si="23"/>
        <v>0</v>
      </c>
      <c r="BJ90" s="26">
        <f t="shared" si="24"/>
        <v>0</v>
      </c>
      <c r="BK90" s="26">
        <f t="shared" si="25"/>
        <v>0</v>
      </c>
      <c r="BL90" s="26">
        <f t="shared" si="26"/>
        <v>0</v>
      </c>
      <c r="BM90" s="26">
        <f t="shared" si="27"/>
        <v>0</v>
      </c>
    </row>
    <row r="91" spans="2:65" ht="15" customHeight="1" thickBot="1" x14ac:dyDescent="0.35">
      <c r="B91" s="842" t="s">
        <v>1037</v>
      </c>
      <c r="C91" s="2534" t="s">
        <v>1029</v>
      </c>
      <c r="D91" s="2535" t="s">
        <v>50</v>
      </c>
      <c r="E91" s="845"/>
      <c r="F91" s="2537"/>
      <c r="G91" s="845"/>
      <c r="H91" s="2537"/>
      <c r="I91" s="2789"/>
      <c r="J91" s="42">
        <f t="shared" si="28"/>
        <v>0</v>
      </c>
      <c r="K91" s="845"/>
      <c r="L91" s="2537"/>
      <c r="M91" s="894"/>
      <c r="N91" s="613">
        <f t="shared" si="29"/>
        <v>0</v>
      </c>
      <c r="O91" s="845"/>
      <c r="P91" s="2537"/>
      <c r="Q91" s="844"/>
      <c r="R91" s="368">
        <f t="shared" si="30"/>
        <v>0</v>
      </c>
      <c r="S91" s="845"/>
      <c r="T91" s="2537"/>
      <c r="U91" s="844"/>
      <c r="V91" s="368">
        <f t="shared" si="31"/>
        <v>0</v>
      </c>
      <c r="W91" s="845"/>
      <c r="X91" s="2537">
        <v>405.9</v>
      </c>
      <c r="Y91" s="570"/>
      <c r="Z91" s="4048">
        <f t="shared" si="41"/>
        <v>405.9</v>
      </c>
      <c r="AA91" s="657"/>
      <c r="AB91" s="4049">
        <f t="shared" si="42"/>
        <v>405.9</v>
      </c>
      <c r="AC91" s="845"/>
      <c r="AD91" s="2537"/>
      <c r="AE91" s="844"/>
      <c r="AF91" s="368">
        <f t="shared" si="32"/>
        <v>405.9</v>
      </c>
      <c r="AG91" s="845"/>
      <c r="AH91" s="2537"/>
      <c r="AI91" s="844"/>
      <c r="AJ91" s="368">
        <f t="shared" si="40"/>
        <v>405.9</v>
      </c>
      <c r="AK91" s="845"/>
      <c r="AL91" s="2537"/>
      <c r="AM91" s="570"/>
      <c r="AN91" s="4048">
        <f t="shared" si="37"/>
        <v>0</v>
      </c>
      <c r="AO91" s="775"/>
      <c r="AP91" s="368">
        <f t="shared" si="33"/>
        <v>405.9</v>
      </c>
      <c r="AQ91" s="845"/>
      <c r="AR91" s="2537"/>
      <c r="AS91" s="844"/>
      <c r="AT91" s="775">
        <f t="shared" si="34"/>
        <v>405.9</v>
      </c>
      <c r="AU91" s="845"/>
      <c r="AV91" s="2537"/>
      <c r="AW91" s="844"/>
      <c r="AX91" s="368">
        <f t="shared" si="35"/>
        <v>405.9</v>
      </c>
      <c r="AY91" s="845"/>
      <c r="AZ91" s="2537"/>
      <c r="BA91" s="570"/>
      <c r="BB91" s="570">
        <f t="shared" si="36"/>
        <v>0</v>
      </c>
      <c r="BC91" s="657"/>
      <c r="BD91" s="657">
        <f t="shared" si="38"/>
        <v>0</v>
      </c>
      <c r="BE91" s="775"/>
      <c r="BF91" s="775">
        <f t="shared" si="39"/>
        <v>405.9</v>
      </c>
      <c r="BG91" s="1202"/>
      <c r="BH91" s="1520">
        <f t="shared" si="22"/>
        <v>0</v>
      </c>
      <c r="BI91" s="1520">
        <f t="shared" si="23"/>
        <v>0</v>
      </c>
      <c r="BJ91" s="26">
        <f t="shared" si="24"/>
        <v>0</v>
      </c>
      <c r="BK91" s="26">
        <f t="shared" si="25"/>
        <v>0</v>
      </c>
      <c r="BL91" s="26">
        <f t="shared" si="26"/>
        <v>0</v>
      </c>
      <c r="BM91" s="26">
        <f t="shared" si="27"/>
        <v>0</v>
      </c>
    </row>
    <row r="92" spans="2:65" ht="15" customHeight="1" thickBot="1" x14ac:dyDescent="0.35">
      <c r="B92" s="3839" t="s">
        <v>1037</v>
      </c>
      <c r="C92" s="3840" t="s">
        <v>941</v>
      </c>
      <c r="D92" s="3060" t="s">
        <v>50</v>
      </c>
      <c r="E92" s="3841"/>
      <c r="F92" s="2801"/>
      <c r="G92" s="3841"/>
      <c r="H92" s="2801">
        <v>104.55</v>
      </c>
      <c r="I92" s="3842"/>
      <c r="J92" s="42">
        <f t="shared" si="28"/>
        <v>104.55</v>
      </c>
      <c r="K92" s="3841"/>
      <c r="L92" s="2801"/>
      <c r="M92" s="2757"/>
      <c r="N92" s="613">
        <f t="shared" si="29"/>
        <v>104.55</v>
      </c>
      <c r="O92" s="3841"/>
      <c r="P92" s="2801"/>
      <c r="Q92" s="2789"/>
      <c r="R92" s="368">
        <f t="shared" si="30"/>
        <v>104.55</v>
      </c>
      <c r="S92" s="3841"/>
      <c r="T92" s="2801"/>
      <c r="U92" s="2789"/>
      <c r="V92" s="368">
        <f t="shared" si="31"/>
        <v>104.55</v>
      </c>
      <c r="W92" s="3841"/>
      <c r="X92" s="2801"/>
      <c r="Y92" s="2540"/>
      <c r="Z92" s="4048">
        <f t="shared" si="41"/>
        <v>0</v>
      </c>
      <c r="AA92" s="2541"/>
      <c r="AB92" s="4049">
        <f t="shared" si="42"/>
        <v>104.55</v>
      </c>
      <c r="AC92" s="3841"/>
      <c r="AD92" s="2801"/>
      <c r="AE92" s="2789"/>
      <c r="AF92" s="368">
        <f t="shared" si="32"/>
        <v>104.55</v>
      </c>
      <c r="AG92" s="3841"/>
      <c r="AH92" s="2801"/>
      <c r="AI92" s="2789"/>
      <c r="AJ92" s="368">
        <f t="shared" si="40"/>
        <v>104.55</v>
      </c>
      <c r="AK92" s="3841"/>
      <c r="AL92" s="2801"/>
      <c r="AM92" s="2540"/>
      <c r="AN92" s="4048">
        <f t="shared" si="37"/>
        <v>0</v>
      </c>
      <c r="AO92" s="2538"/>
      <c r="AP92" s="368">
        <f t="shared" si="33"/>
        <v>104.55</v>
      </c>
      <c r="AQ92" s="3841"/>
      <c r="AR92" s="2801"/>
      <c r="AS92" s="2789"/>
      <c r="AT92" s="775">
        <f t="shared" si="34"/>
        <v>104.55</v>
      </c>
      <c r="AU92" s="3841"/>
      <c r="AV92" s="2801"/>
      <c r="AW92" s="2789"/>
      <c r="AX92" s="368">
        <f t="shared" si="35"/>
        <v>104.55</v>
      </c>
      <c r="AY92" s="3841"/>
      <c r="AZ92" s="2801"/>
      <c r="BA92" s="2540"/>
      <c r="BB92" s="570">
        <f t="shared" si="36"/>
        <v>0</v>
      </c>
      <c r="BC92" s="2541"/>
      <c r="BD92" s="657">
        <f t="shared" si="38"/>
        <v>0</v>
      </c>
      <c r="BE92" s="2538"/>
      <c r="BF92" s="775">
        <f t="shared" si="39"/>
        <v>104.55</v>
      </c>
      <c r="BG92" s="1202"/>
      <c r="BH92" s="1520">
        <f t="shared" si="22"/>
        <v>0</v>
      </c>
      <c r="BI92" s="1520">
        <f t="shared" si="23"/>
        <v>0</v>
      </c>
      <c r="BJ92" s="26">
        <f t="shared" si="24"/>
        <v>0</v>
      </c>
      <c r="BK92" s="26">
        <f t="shared" si="25"/>
        <v>0</v>
      </c>
      <c r="BL92" s="26">
        <f t="shared" si="26"/>
        <v>0</v>
      </c>
      <c r="BM92" s="26">
        <f t="shared" si="27"/>
        <v>0</v>
      </c>
    </row>
    <row r="93" spans="2:65" ht="15" customHeight="1" thickBot="1" x14ac:dyDescent="0.35">
      <c r="B93" s="3839" t="s">
        <v>1037</v>
      </c>
      <c r="C93" s="3840" t="s">
        <v>1028</v>
      </c>
      <c r="D93" s="3060" t="s">
        <v>50</v>
      </c>
      <c r="E93" s="3841"/>
      <c r="F93" s="2801"/>
      <c r="G93" s="3841"/>
      <c r="H93" s="2801"/>
      <c r="I93" s="3842"/>
      <c r="J93" s="42">
        <f t="shared" si="28"/>
        <v>0</v>
      </c>
      <c r="K93" s="3841"/>
      <c r="L93" s="2801"/>
      <c r="M93" s="2757"/>
      <c r="N93" s="613">
        <f t="shared" si="29"/>
        <v>0</v>
      </c>
      <c r="O93" s="3841"/>
      <c r="P93" s="2801"/>
      <c r="Q93" s="2789"/>
      <c r="R93" s="368">
        <f t="shared" si="30"/>
        <v>0</v>
      </c>
      <c r="S93" s="3841"/>
      <c r="T93" s="2801"/>
      <c r="U93" s="2789"/>
      <c r="V93" s="368">
        <f t="shared" si="31"/>
        <v>0</v>
      </c>
      <c r="W93" s="3841"/>
      <c r="X93" s="2801"/>
      <c r="Y93" s="2540"/>
      <c r="Z93" s="4048">
        <f t="shared" si="41"/>
        <v>0</v>
      </c>
      <c r="AA93" s="2541"/>
      <c r="AB93" s="4049">
        <f t="shared" si="42"/>
        <v>0</v>
      </c>
      <c r="AC93" s="3841"/>
      <c r="AD93" s="2801">
        <v>243.95</v>
      </c>
      <c r="AE93" s="2789"/>
      <c r="AF93" s="368">
        <f t="shared" si="32"/>
        <v>243.95</v>
      </c>
      <c r="AG93" s="3841"/>
      <c r="AH93" s="2801"/>
      <c r="AI93" s="2789"/>
      <c r="AJ93" s="368">
        <f t="shared" si="40"/>
        <v>243.95</v>
      </c>
      <c r="AK93" s="3841"/>
      <c r="AL93" s="2801"/>
      <c r="AM93" s="2540"/>
      <c r="AN93" s="4048">
        <f t="shared" si="37"/>
        <v>243.95</v>
      </c>
      <c r="AO93" s="2538"/>
      <c r="AP93" s="368">
        <f t="shared" si="33"/>
        <v>243.95</v>
      </c>
      <c r="AQ93" s="3841"/>
      <c r="AR93" s="2801"/>
      <c r="AS93" s="2789"/>
      <c r="AT93" s="775">
        <f t="shared" si="34"/>
        <v>243.95</v>
      </c>
      <c r="AU93" s="3841"/>
      <c r="AV93" s="2801"/>
      <c r="AW93" s="2789"/>
      <c r="AX93" s="368">
        <f t="shared" si="35"/>
        <v>243.95</v>
      </c>
      <c r="AY93" s="3841"/>
      <c r="AZ93" s="2801"/>
      <c r="BA93" s="2540"/>
      <c r="BB93" s="570">
        <f t="shared" si="36"/>
        <v>0</v>
      </c>
      <c r="BC93" s="2541"/>
      <c r="BD93" s="657">
        <f t="shared" si="38"/>
        <v>243.95</v>
      </c>
      <c r="BE93" s="2538"/>
      <c r="BF93" s="775">
        <f t="shared" si="39"/>
        <v>243.95</v>
      </c>
      <c r="BG93" s="1202"/>
      <c r="BH93" s="1520">
        <f t="shared" si="22"/>
        <v>0</v>
      </c>
      <c r="BI93" s="1520">
        <f t="shared" si="23"/>
        <v>0</v>
      </c>
      <c r="BJ93" s="26">
        <f t="shared" si="24"/>
        <v>0</v>
      </c>
      <c r="BK93" s="26">
        <f t="shared" si="25"/>
        <v>0</v>
      </c>
      <c r="BL93" s="26">
        <f t="shared" si="26"/>
        <v>0</v>
      </c>
      <c r="BM93" s="26">
        <f t="shared" si="27"/>
        <v>0</v>
      </c>
    </row>
    <row r="94" spans="2:65" ht="15" customHeight="1" thickBot="1" x14ac:dyDescent="0.35">
      <c r="B94" s="3839" t="s">
        <v>1037</v>
      </c>
      <c r="C94" s="3840" t="s">
        <v>1432</v>
      </c>
      <c r="D94" s="3060" t="s">
        <v>50</v>
      </c>
      <c r="E94" s="3841"/>
      <c r="F94" s="2801"/>
      <c r="G94" s="3841"/>
      <c r="H94" s="2801">
        <f>225.5-225.5</f>
        <v>0</v>
      </c>
      <c r="I94" s="3842"/>
      <c r="J94" s="42">
        <f t="shared" si="28"/>
        <v>0</v>
      </c>
      <c r="K94" s="3841"/>
      <c r="L94" s="2801"/>
      <c r="M94" s="2757"/>
      <c r="N94" s="613">
        <f t="shared" si="29"/>
        <v>0</v>
      </c>
      <c r="O94" s="3841"/>
      <c r="P94" s="2801"/>
      <c r="Q94" s="2789"/>
      <c r="R94" s="368">
        <f t="shared" si="30"/>
        <v>0</v>
      </c>
      <c r="S94" s="3841"/>
      <c r="T94" s="2801"/>
      <c r="U94" s="2789"/>
      <c r="V94" s="368">
        <f t="shared" si="31"/>
        <v>0</v>
      </c>
      <c r="W94" s="3841"/>
      <c r="X94" s="2801"/>
      <c r="Y94" s="2540"/>
      <c r="Z94" s="4048">
        <f t="shared" si="41"/>
        <v>0</v>
      </c>
      <c r="AA94" s="2541"/>
      <c r="AB94" s="4049">
        <f t="shared" si="42"/>
        <v>0</v>
      </c>
      <c r="AC94" s="3841"/>
      <c r="AD94" s="2801"/>
      <c r="AE94" s="2789"/>
      <c r="AF94" s="368">
        <f t="shared" si="32"/>
        <v>0</v>
      </c>
      <c r="AG94" s="3841"/>
      <c r="AH94" s="2801"/>
      <c r="AI94" s="2789"/>
      <c r="AJ94" s="368">
        <f t="shared" si="40"/>
        <v>0</v>
      </c>
      <c r="AK94" s="3841"/>
      <c r="AL94" s="2801"/>
      <c r="AM94" s="2540"/>
      <c r="AN94" s="4048">
        <f t="shared" si="37"/>
        <v>0</v>
      </c>
      <c r="AO94" s="2538"/>
      <c r="AP94" s="368">
        <f t="shared" si="33"/>
        <v>0</v>
      </c>
      <c r="AQ94" s="3841"/>
      <c r="AR94" s="2801"/>
      <c r="AS94" s="2789"/>
      <c r="AT94" s="775">
        <f t="shared" si="34"/>
        <v>0</v>
      </c>
      <c r="AU94" s="3841"/>
      <c r="AV94" s="2801"/>
      <c r="AW94" s="2789"/>
      <c r="AX94" s="368">
        <f t="shared" si="35"/>
        <v>0</v>
      </c>
      <c r="AY94" s="3841"/>
      <c r="AZ94" s="2801"/>
      <c r="BA94" s="2540"/>
      <c r="BB94" s="570">
        <f t="shared" si="36"/>
        <v>0</v>
      </c>
      <c r="BC94" s="2541"/>
      <c r="BD94" s="657">
        <f t="shared" si="38"/>
        <v>0</v>
      </c>
      <c r="BE94" s="2538"/>
      <c r="BF94" s="775">
        <f t="shared" si="39"/>
        <v>0</v>
      </c>
      <c r="BG94" s="1202"/>
      <c r="BH94" s="1520">
        <f t="shared" si="22"/>
        <v>0</v>
      </c>
      <c r="BI94" s="1520">
        <f t="shared" si="23"/>
        <v>0</v>
      </c>
      <c r="BJ94" s="26">
        <f t="shared" si="24"/>
        <v>0</v>
      </c>
      <c r="BK94" s="26">
        <f t="shared" si="25"/>
        <v>0</v>
      </c>
      <c r="BL94" s="26">
        <f t="shared" si="26"/>
        <v>0</v>
      </c>
      <c r="BM94" s="26">
        <f t="shared" si="27"/>
        <v>0</v>
      </c>
    </row>
    <row r="95" spans="2:65" ht="15" customHeight="1" thickBot="1" x14ac:dyDescent="0.35">
      <c r="B95" s="2780" t="s">
        <v>1037</v>
      </c>
      <c r="C95" s="2781" t="s">
        <v>1434</v>
      </c>
      <c r="D95" s="2782" t="s">
        <v>50</v>
      </c>
      <c r="E95" s="2790"/>
      <c r="F95" s="107"/>
      <c r="G95" s="2790"/>
      <c r="H95" s="107">
        <f>239.85-38.95</f>
        <v>200.89999999999998</v>
      </c>
      <c r="I95" s="2791"/>
      <c r="J95" s="42">
        <f t="shared" si="28"/>
        <v>200.89999999999998</v>
      </c>
      <c r="K95" s="2790"/>
      <c r="L95" s="107"/>
      <c r="M95" s="894"/>
      <c r="N95" s="613">
        <f t="shared" si="29"/>
        <v>200.89999999999998</v>
      </c>
      <c r="O95" s="2790"/>
      <c r="P95" s="107"/>
      <c r="Q95" s="844"/>
      <c r="R95" s="368">
        <f t="shared" si="30"/>
        <v>200.89999999999998</v>
      </c>
      <c r="S95" s="2790"/>
      <c r="T95" s="107"/>
      <c r="U95" s="844"/>
      <c r="V95" s="368">
        <f t="shared" si="31"/>
        <v>200.89999999999998</v>
      </c>
      <c r="W95" s="2790"/>
      <c r="X95" s="107"/>
      <c r="Y95" s="570"/>
      <c r="Z95" s="4048">
        <f t="shared" si="41"/>
        <v>0</v>
      </c>
      <c r="AA95" s="657"/>
      <c r="AB95" s="4049">
        <f t="shared" si="42"/>
        <v>200.89999999999998</v>
      </c>
      <c r="AC95" s="2790"/>
      <c r="AD95" s="107"/>
      <c r="AE95" s="844"/>
      <c r="AF95" s="368">
        <f t="shared" si="32"/>
        <v>200.89999999999998</v>
      </c>
      <c r="AG95" s="2790"/>
      <c r="AH95" s="107"/>
      <c r="AI95" s="844"/>
      <c r="AJ95" s="368">
        <f t="shared" si="40"/>
        <v>200.89999999999998</v>
      </c>
      <c r="AK95" s="2790"/>
      <c r="AL95" s="107"/>
      <c r="AM95" s="570"/>
      <c r="AN95" s="4048">
        <f t="shared" si="37"/>
        <v>0</v>
      </c>
      <c r="AO95" s="775"/>
      <c r="AP95" s="368">
        <f t="shared" si="33"/>
        <v>200.89999999999998</v>
      </c>
      <c r="AQ95" s="2790"/>
      <c r="AR95" s="107">
        <v>79.949999999999989</v>
      </c>
      <c r="AS95" s="844"/>
      <c r="AT95" s="775">
        <f t="shared" si="34"/>
        <v>280.84999999999997</v>
      </c>
      <c r="AU95" s="2790"/>
      <c r="AV95" s="107"/>
      <c r="AW95" s="844"/>
      <c r="AX95" s="368">
        <f t="shared" si="35"/>
        <v>280.84999999999997</v>
      </c>
      <c r="AY95" s="2790"/>
      <c r="AZ95" s="107"/>
      <c r="BA95" s="570"/>
      <c r="BB95" s="570">
        <f t="shared" si="36"/>
        <v>79.949999999999989</v>
      </c>
      <c r="BC95" s="657"/>
      <c r="BD95" s="657">
        <f t="shared" si="38"/>
        <v>79.949999999999989</v>
      </c>
      <c r="BE95" s="775"/>
      <c r="BF95" s="775">
        <f t="shared" si="39"/>
        <v>280.84999999999997</v>
      </c>
      <c r="BG95" s="1202"/>
      <c r="BH95" s="1520">
        <f t="shared" si="22"/>
        <v>0</v>
      </c>
      <c r="BI95" s="1520">
        <f t="shared" si="23"/>
        <v>0</v>
      </c>
      <c r="BJ95" s="26">
        <f t="shared" si="24"/>
        <v>0</v>
      </c>
      <c r="BK95" s="26">
        <f t="shared" si="25"/>
        <v>0</v>
      </c>
      <c r="BL95" s="26">
        <f t="shared" si="26"/>
        <v>0</v>
      </c>
      <c r="BM95" s="26">
        <f t="shared" si="27"/>
        <v>0</v>
      </c>
    </row>
    <row r="96" spans="2:65" ht="15" customHeight="1" thickBot="1" x14ac:dyDescent="0.35">
      <c r="B96" s="842" t="s">
        <v>872</v>
      </c>
      <c r="C96" s="2534" t="s">
        <v>1028</v>
      </c>
      <c r="D96" s="2535" t="s">
        <v>50</v>
      </c>
      <c r="E96" s="845"/>
      <c r="F96" s="2537">
        <v>399.75</v>
      </c>
      <c r="G96" s="845"/>
      <c r="H96" s="2537"/>
      <c r="I96" s="2789"/>
      <c r="J96" s="42">
        <f t="shared" si="28"/>
        <v>399.75</v>
      </c>
      <c r="K96" s="845"/>
      <c r="L96" s="2537"/>
      <c r="M96" s="894"/>
      <c r="N96" s="613">
        <f t="shared" si="29"/>
        <v>399.75</v>
      </c>
      <c r="O96" s="845"/>
      <c r="P96" s="2537"/>
      <c r="Q96" s="844"/>
      <c r="R96" s="368">
        <f t="shared" si="30"/>
        <v>399.75</v>
      </c>
      <c r="S96" s="845"/>
      <c r="T96" s="2537"/>
      <c r="U96" s="844"/>
      <c r="V96" s="368">
        <f t="shared" si="31"/>
        <v>399.75</v>
      </c>
      <c r="W96" s="845"/>
      <c r="X96" s="2537"/>
      <c r="Y96" s="570"/>
      <c r="Z96" s="4048">
        <f t="shared" si="41"/>
        <v>0</v>
      </c>
      <c r="AA96" s="657"/>
      <c r="AB96" s="4049">
        <f t="shared" si="42"/>
        <v>399.75</v>
      </c>
      <c r="AC96" s="845"/>
      <c r="AD96" s="2537"/>
      <c r="AE96" s="844"/>
      <c r="AF96" s="368">
        <f t="shared" si="32"/>
        <v>399.75</v>
      </c>
      <c r="AG96" s="845"/>
      <c r="AH96" s="2537"/>
      <c r="AI96" s="844"/>
      <c r="AJ96" s="368">
        <f t="shared" si="40"/>
        <v>399.75</v>
      </c>
      <c r="AK96" s="845"/>
      <c r="AL96" s="2537"/>
      <c r="AM96" s="570"/>
      <c r="AN96" s="4048">
        <f t="shared" si="37"/>
        <v>0</v>
      </c>
      <c r="AO96" s="775"/>
      <c r="AP96" s="368">
        <f t="shared" si="33"/>
        <v>399.75</v>
      </c>
      <c r="AQ96" s="845"/>
      <c r="AR96" s="2537"/>
      <c r="AS96" s="844"/>
      <c r="AT96" s="775">
        <f t="shared" si="34"/>
        <v>399.75</v>
      </c>
      <c r="AU96" s="845"/>
      <c r="AV96" s="2537"/>
      <c r="AW96" s="844"/>
      <c r="AX96" s="368">
        <f t="shared" si="35"/>
        <v>399.75</v>
      </c>
      <c r="AY96" s="845"/>
      <c r="AZ96" s="2537"/>
      <c r="BA96" s="570"/>
      <c r="BB96" s="570">
        <f t="shared" si="36"/>
        <v>0</v>
      </c>
      <c r="BC96" s="657"/>
      <c r="BD96" s="657">
        <f t="shared" si="38"/>
        <v>0</v>
      </c>
      <c r="BE96" s="775"/>
      <c r="BF96" s="775">
        <f t="shared" si="39"/>
        <v>399.75</v>
      </c>
      <c r="BG96" s="1202"/>
      <c r="BH96" s="1520">
        <f t="shared" si="22"/>
        <v>0</v>
      </c>
      <c r="BI96" s="1520">
        <f t="shared" si="23"/>
        <v>0</v>
      </c>
      <c r="BJ96" s="26">
        <f t="shared" si="24"/>
        <v>0</v>
      </c>
      <c r="BK96" s="26">
        <f t="shared" si="25"/>
        <v>0</v>
      </c>
      <c r="BL96" s="26">
        <f t="shared" si="26"/>
        <v>0</v>
      </c>
      <c r="BM96" s="26">
        <f t="shared" si="27"/>
        <v>0</v>
      </c>
    </row>
    <row r="97" spans="2:65" ht="15" customHeight="1" thickBot="1" x14ac:dyDescent="0.35">
      <c r="B97" s="842" t="s">
        <v>872</v>
      </c>
      <c r="C97" s="2534" t="s">
        <v>968</v>
      </c>
      <c r="D97" s="2535" t="s">
        <v>50</v>
      </c>
      <c r="E97" s="845"/>
      <c r="F97" s="2537"/>
      <c r="G97" s="845"/>
      <c r="H97" s="2537"/>
      <c r="I97" s="2789"/>
      <c r="J97" s="42">
        <f t="shared" si="28"/>
        <v>0</v>
      </c>
      <c r="K97" s="845"/>
      <c r="L97" s="2537"/>
      <c r="M97" s="2419"/>
      <c r="N97" s="613">
        <f t="shared" si="29"/>
        <v>0</v>
      </c>
      <c r="O97" s="845"/>
      <c r="P97" s="2537"/>
      <c r="Q97" s="2417"/>
      <c r="R97" s="368">
        <f t="shared" si="30"/>
        <v>0</v>
      </c>
      <c r="S97" s="845"/>
      <c r="T97" s="2537"/>
      <c r="U97" s="2417"/>
      <c r="V97" s="368">
        <f t="shared" si="31"/>
        <v>0</v>
      </c>
      <c r="W97" s="845"/>
      <c r="X97" s="2537"/>
      <c r="Y97" s="2421"/>
      <c r="Z97" s="4048">
        <f t="shared" si="41"/>
        <v>0</v>
      </c>
      <c r="AA97" s="657"/>
      <c r="AB97" s="4049">
        <f t="shared" si="42"/>
        <v>0</v>
      </c>
      <c r="AC97" s="845"/>
      <c r="AD97" s="2537"/>
      <c r="AE97" s="2417"/>
      <c r="AF97" s="368">
        <f t="shared" si="32"/>
        <v>0</v>
      </c>
      <c r="AG97" s="845"/>
      <c r="AH97" s="2537"/>
      <c r="AI97" s="2417"/>
      <c r="AJ97" s="775">
        <f t="shared" si="40"/>
        <v>0</v>
      </c>
      <c r="AK97" s="845"/>
      <c r="AL97" s="2537"/>
      <c r="AM97" s="2421"/>
      <c r="AN97" s="4048">
        <f t="shared" si="37"/>
        <v>0</v>
      </c>
      <c r="AO97" s="775"/>
      <c r="AP97" s="368">
        <f t="shared" si="33"/>
        <v>0</v>
      </c>
      <c r="AQ97" s="845"/>
      <c r="AR97" s="2537"/>
      <c r="AS97" s="2417"/>
      <c r="AT97" s="775">
        <f t="shared" si="34"/>
        <v>0</v>
      </c>
      <c r="AU97" s="845"/>
      <c r="AV97" s="2537"/>
      <c r="AW97" s="2417"/>
      <c r="AX97" s="368">
        <f t="shared" si="35"/>
        <v>0</v>
      </c>
      <c r="AY97" s="845"/>
      <c r="AZ97" s="2537"/>
      <c r="BA97" s="2421"/>
      <c r="BB97" s="570">
        <f t="shared" si="36"/>
        <v>0</v>
      </c>
      <c r="BC97" s="657"/>
      <c r="BD97" s="657">
        <f t="shared" si="38"/>
        <v>0</v>
      </c>
      <c r="BE97" s="775"/>
      <c r="BF97" s="775">
        <f t="shared" si="39"/>
        <v>0</v>
      </c>
      <c r="BG97" s="1202"/>
      <c r="BH97" s="1520">
        <f t="shared" si="22"/>
        <v>0</v>
      </c>
      <c r="BI97" s="1520">
        <f t="shared" si="23"/>
        <v>0</v>
      </c>
      <c r="BJ97" s="26">
        <f t="shared" si="24"/>
        <v>0</v>
      </c>
      <c r="BK97" s="26">
        <f t="shared" si="25"/>
        <v>0</v>
      </c>
      <c r="BL97" s="26">
        <f t="shared" si="26"/>
        <v>0</v>
      </c>
      <c r="BM97" s="26">
        <f t="shared" si="27"/>
        <v>0</v>
      </c>
    </row>
    <row r="98" spans="2:65" ht="15" customHeight="1" thickBot="1" x14ac:dyDescent="0.35">
      <c r="B98" s="842" t="s">
        <v>872</v>
      </c>
      <c r="C98" s="2534" t="s">
        <v>1029</v>
      </c>
      <c r="D98" s="2535" t="s">
        <v>50</v>
      </c>
      <c r="E98" s="845"/>
      <c r="F98" s="2537">
        <v>582.20000000000005</v>
      </c>
      <c r="G98" s="845"/>
      <c r="H98" s="2537"/>
      <c r="I98" s="2789"/>
      <c r="J98" s="42">
        <f t="shared" si="28"/>
        <v>582.20000000000005</v>
      </c>
      <c r="K98" s="845"/>
      <c r="L98" s="2537"/>
      <c r="M98" s="894"/>
      <c r="N98" s="613">
        <f t="shared" si="29"/>
        <v>582.20000000000005</v>
      </c>
      <c r="O98" s="845"/>
      <c r="P98" s="2537"/>
      <c r="Q98" s="844"/>
      <c r="R98" s="368">
        <f t="shared" si="30"/>
        <v>582.20000000000005</v>
      </c>
      <c r="S98" s="845"/>
      <c r="T98" s="2537"/>
      <c r="U98" s="844"/>
      <c r="V98" s="368">
        <f t="shared" si="31"/>
        <v>582.20000000000005</v>
      </c>
      <c r="W98" s="845"/>
      <c r="X98" s="2537"/>
      <c r="Y98" s="570"/>
      <c r="Z98" s="4048">
        <f t="shared" si="41"/>
        <v>0</v>
      </c>
      <c r="AA98" s="657"/>
      <c r="AB98" s="4049">
        <f t="shared" si="42"/>
        <v>582.20000000000005</v>
      </c>
      <c r="AC98" s="845"/>
      <c r="AD98" s="2537"/>
      <c r="AE98" s="844"/>
      <c r="AF98" s="368">
        <f t="shared" si="32"/>
        <v>582.20000000000005</v>
      </c>
      <c r="AG98" s="845"/>
      <c r="AH98" s="2537"/>
      <c r="AI98" s="844"/>
      <c r="AJ98" s="368">
        <f t="shared" si="40"/>
        <v>582.20000000000005</v>
      </c>
      <c r="AK98" s="845"/>
      <c r="AL98" s="2537"/>
      <c r="AM98" s="570"/>
      <c r="AN98" s="4048">
        <f t="shared" si="37"/>
        <v>0</v>
      </c>
      <c r="AO98" s="775"/>
      <c r="AP98" s="368">
        <f t="shared" si="33"/>
        <v>582.20000000000005</v>
      </c>
      <c r="AQ98" s="845"/>
      <c r="AR98" s="2537"/>
      <c r="AS98" s="844"/>
      <c r="AT98" s="775">
        <f t="shared" si="34"/>
        <v>582.20000000000005</v>
      </c>
      <c r="AU98" s="845"/>
      <c r="AV98" s="2537"/>
      <c r="AW98" s="844"/>
      <c r="AX98" s="368">
        <f t="shared" si="35"/>
        <v>582.20000000000005</v>
      </c>
      <c r="AY98" s="845"/>
      <c r="AZ98" s="2537"/>
      <c r="BA98" s="570"/>
      <c r="BB98" s="570">
        <f t="shared" si="36"/>
        <v>0</v>
      </c>
      <c r="BC98" s="657"/>
      <c r="BD98" s="657">
        <f t="shared" si="38"/>
        <v>0</v>
      </c>
      <c r="BE98" s="775"/>
      <c r="BF98" s="775">
        <f t="shared" si="39"/>
        <v>582.20000000000005</v>
      </c>
      <c r="BG98" s="1202"/>
      <c r="BH98" s="1520">
        <f t="shared" si="22"/>
        <v>0</v>
      </c>
      <c r="BI98" s="1520">
        <f t="shared" si="23"/>
        <v>0</v>
      </c>
      <c r="BJ98" s="26">
        <f t="shared" si="24"/>
        <v>0</v>
      </c>
      <c r="BK98" s="26">
        <f t="shared" si="25"/>
        <v>0</v>
      </c>
      <c r="BL98" s="26">
        <f t="shared" si="26"/>
        <v>0</v>
      </c>
      <c r="BM98" s="26">
        <f t="shared" si="27"/>
        <v>0</v>
      </c>
    </row>
    <row r="99" spans="2:65" ht="15" customHeight="1" thickBot="1" x14ac:dyDescent="0.35">
      <c r="B99" s="842" t="s">
        <v>872</v>
      </c>
      <c r="C99" s="2534" t="s">
        <v>941</v>
      </c>
      <c r="D99" s="2535" t="s">
        <v>50</v>
      </c>
      <c r="E99" s="845"/>
      <c r="F99" s="2537"/>
      <c r="G99" s="845"/>
      <c r="H99" s="2537"/>
      <c r="I99" s="2789"/>
      <c r="J99" s="42">
        <f t="shared" si="28"/>
        <v>0</v>
      </c>
      <c r="K99" s="845"/>
      <c r="L99" s="2537"/>
      <c r="M99" s="894"/>
      <c r="N99" s="613">
        <f t="shared" si="29"/>
        <v>0</v>
      </c>
      <c r="O99" s="845"/>
      <c r="P99" s="2537"/>
      <c r="Q99" s="844"/>
      <c r="R99" s="368">
        <f t="shared" si="30"/>
        <v>0</v>
      </c>
      <c r="S99" s="845"/>
      <c r="T99" s="2537"/>
      <c r="U99" s="844"/>
      <c r="V99" s="368">
        <f t="shared" si="31"/>
        <v>0</v>
      </c>
      <c r="W99" s="845"/>
      <c r="X99" s="2537"/>
      <c r="Y99" s="570"/>
      <c r="Z99" s="4048">
        <f t="shared" si="41"/>
        <v>0</v>
      </c>
      <c r="AA99" s="657"/>
      <c r="AB99" s="4049">
        <f t="shared" si="42"/>
        <v>0</v>
      </c>
      <c r="AC99" s="845"/>
      <c r="AD99" s="2537"/>
      <c r="AE99" s="844"/>
      <c r="AF99" s="368">
        <f t="shared" si="32"/>
        <v>0</v>
      </c>
      <c r="AG99" s="845"/>
      <c r="AH99" s="2537"/>
      <c r="AI99" s="844"/>
      <c r="AJ99" s="368">
        <f t="shared" si="40"/>
        <v>0</v>
      </c>
      <c r="AK99" s="845"/>
      <c r="AL99" s="2537"/>
      <c r="AM99" s="570"/>
      <c r="AN99" s="4048">
        <f t="shared" si="37"/>
        <v>0</v>
      </c>
      <c r="AO99" s="775"/>
      <c r="AP99" s="368">
        <f t="shared" si="33"/>
        <v>0</v>
      </c>
      <c r="AQ99" s="845"/>
      <c r="AR99" s="2537"/>
      <c r="AS99" s="844"/>
      <c r="AT99" s="775">
        <f t="shared" si="34"/>
        <v>0</v>
      </c>
      <c r="AU99" s="845"/>
      <c r="AV99" s="2537"/>
      <c r="AW99" s="844"/>
      <c r="AX99" s="368">
        <f t="shared" si="35"/>
        <v>0</v>
      </c>
      <c r="AY99" s="845"/>
      <c r="AZ99" s="2537"/>
      <c r="BA99" s="570"/>
      <c r="BB99" s="570">
        <f t="shared" si="36"/>
        <v>0</v>
      </c>
      <c r="BC99" s="657"/>
      <c r="BD99" s="657">
        <f t="shared" si="38"/>
        <v>0</v>
      </c>
      <c r="BE99" s="775"/>
      <c r="BF99" s="775">
        <f t="shared" si="39"/>
        <v>0</v>
      </c>
      <c r="BG99" s="1202"/>
      <c r="BH99" s="1520">
        <f t="shared" si="22"/>
        <v>0</v>
      </c>
      <c r="BI99" s="1520">
        <f t="shared" si="23"/>
        <v>0</v>
      </c>
      <c r="BJ99" s="26">
        <f t="shared" si="24"/>
        <v>0</v>
      </c>
      <c r="BK99" s="26">
        <f t="shared" si="25"/>
        <v>0</v>
      </c>
      <c r="BL99" s="26">
        <f t="shared" si="26"/>
        <v>0</v>
      </c>
      <c r="BM99" s="26">
        <f t="shared" si="27"/>
        <v>0</v>
      </c>
    </row>
    <row r="100" spans="2:65" ht="15" customHeight="1" thickBot="1" x14ac:dyDescent="0.35">
      <c r="B100" s="842" t="s">
        <v>872</v>
      </c>
      <c r="C100" s="2534" t="s">
        <v>1830</v>
      </c>
      <c r="D100" s="2535" t="s">
        <v>50</v>
      </c>
      <c r="E100" s="845"/>
      <c r="F100" s="2537">
        <v>748.25000000000011</v>
      </c>
      <c r="G100" s="845"/>
      <c r="H100" s="2537"/>
      <c r="I100" s="2789"/>
      <c r="J100" s="42">
        <f t="shared" si="28"/>
        <v>748.25000000000011</v>
      </c>
      <c r="K100" s="845"/>
      <c r="L100" s="2537"/>
      <c r="M100" s="894"/>
      <c r="N100" s="613">
        <f t="shared" si="29"/>
        <v>748.25000000000011</v>
      </c>
      <c r="O100" s="845"/>
      <c r="P100" s="2537"/>
      <c r="Q100" s="844"/>
      <c r="R100" s="368">
        <f t="shared" si="30"/>
        <v>748.25000000000011</v>
      </c>
      <c r="S100" s="845"/>
      <c r="T100" s="2537"/>
      <c r="U100" s="844"/>
      <c r="V100" s="368">
        <f t="shared" si="31"/>
        <v>748.25000000000011</v>
      </c>
      <c r="W100" s="845"/>
      <c r="X100" s="2537"/>
      <c r="Y100" s="570"/>
      <c r="Z100" s="4048">
        <f t="shared" si="41"/>
        <v>0</v>
      </c>
      <c r="AA100" s="657"/>
      <c r="AB100" s="4049">
        <f t="shared" si="42"/>
        <v>748.25000000000011</v>
      </c>
      <c r="AC100" s="845"/>
      <c r="AD100" s="2537"/>
      <c r="AE100" s="844"/>
      <c r="AF100" s="368">
        <f t="shared" si="32"/>
        <v>748.25000000000011</v>
      </c>
      <c r="AG100" s="845"/>
      <c r="AH100" s="2537"/>
      <c r="AI100" s="844"/>
      <c r="AJ100" s="368">
        <f t="shared" si="40"/>
        <v>748.25000000000011</v>
      </c>
      <c r="AK100" s="845"/>
      <c r="AL100" s="2537"/>
      <c r="AM100" s="570"/>
      <c r="AN100" s="4048">
        <f t="shared" si="37"/>
        <v>0</v>
      </c>
      <c r="AO100" s="775"/>
      <c r="AP100" s="368">
        <f t="shared" si="33"/>
        <v>748.25000000000011</v>
      </c>
      <c r="AQ100" s="845"/>
      <c r="AR100" s="2537"/>
      <c r="AS100" s="844"/>
      <c r="AT100" s="775">
        <f t="shared" si="34"/>
        <v>748.25000000000011</v>
      </c>
      <c r="AU100" s="845"/>
      <c r="AV100" s="2537"/>
      <c r="AW100" s="844"/>
      <c r="AX100" s="368">
        <f t="shared" si="35"/>
        <v>748.25000000000011</v>
      </c>
      <c r="AY100" s="845"/>
      <c r="AZ100" s="2537"/>
      <c r="BA100" s="570"/>
      <c r="BB100" s="570">
        <f t="shared" si="36"/>
        <v>0</v>
      </c>
      <c r="BC100" s="657"/>
      <c r="BD100" s="657">
        <f t="shared" si="38"/>
        <v>0</v>
      </c>
      <c r="BE100" s="775"/>
      <c r="BF100" s="775">
        <f t="shared" si="39"/>
        <v>748.25000000000011</v>
      </c>
      <c r="BG100" s="1202"/>
      <c r="BH100" s="1520">
        <f t="shared" si="22"/>
        <v>0</v>
      </c>
      <c r="BI100" s="1520">
        <f t="shared" si="23"/>
        <v>0</v>
      </c>
      <c r="BJ100" s="26">
        <f t="shared" si="24"/>
        <v>0</v>
      </c>
      <c r="BK100" s="26">
        <f t="shared" si="25"/>
        <v>0</v>
      </c>
      <c r="BL100" s="26">
        <f t="shared" si="26"/>
        <v>0</v>
      </c>
      <c r="BM100" s="26">
        <f t="shared" si="27"/>
        <v>0</v>
      </c>
    </row>
    <row r="101" spans="2:65" ht="15" customHeight="1" thickBot="1" x14ac:dyDescent="0.35">
      <c r="B101" s="842" t="s">
        <v>872</v>
      </c>
      <c r="C101" s="2534" t="s">
        <v>1354</v>
      </c>
      <c r="D101" s="2535" t="s">
        <v>50</v>
      </c>
      <c r="E101" s="845"/>
      <c r="F101" s="2537"/>
      <c r="G101" s="845"/>
      <c r="H101" s="2537"/>
      <c r="I101" s="2789"/>
      <c r="J101" s="42">
        <f t="shared" si="28"/>
        <v>0</v>
      </c>
      <c r="K101" s="845"/>
      <c r="L101" s="2537"/>
      <c r="M101" s="894"/>
      <c r="N101" s="613">
        <f t="shared" si="29"/>
        <v>0</v>
      </c>
      <c r="O101" s="845"/>
      <c r="P101" s="2537"/>
      <c r="Q101" s="844"/>
      <c r="R101" s="368">
        <f t="shared" si="30"/>
        <v>0</v>
      </c>
      <c r="S101" s="845"/>
      <c r="T101" s="2537"/>
      <c r="U101" s="844"/>
      <c r="V101" s="368">
        <f t="shared" si="31"/>
        <v>0</v>
      </c>
      <c r="W101" s="845"/>
      <c r="X101" s="2537"/>
      <c r="Y101" s="570"/>
      <c r="Z101" s="4048">
        <f t="shared" si="41"/>
        <v>0</v>
      </c>
      <c r="AA101" s="657"/>
      <c r="AB101" s="4049">
        <f t="shared" si="42"/>
        <v>0</v>
      </c>
      <c r="AC101" s="845"/>
      <c r="AD101" s="2537"/>
      <c r="AE101" s="844"/>
      <c r="AF101" s="368">
        <f t="shared" si="32"/>
        <v>0</v>
      </c>
      <c r="AG101" s="845"/>
      <c r="AH101" s="2537"/>
      <c r="AI101" s="844"/>
      <c r="AJ101" s="368">
        <f t="shared" si="40"/>
        <v>0</v>
      </c>
      <c r="AK101" s="845"/>
      <c r="AL101" s="2537"/>
      <c r="AM101" s="570"/>
      <c r="AN101" s="4048">
        <f t="shared" si="37"/>
        <v>0</v>
      </c>
      <c r="AO101" s="775"/>
      <c r="AP101" s="368">
        <f t="shared" si="33"/>
        <v>0</v>
      </c>
      <c r="AQ101" s="845"/>
      <c r="AR101" s="2537"/>
      <c r="AS101" s="844"/>
      <c r="AT101" s="775">
        <f t="shared" si="34"/>
        <v>0</v>
      </c>
      <c r="AU101" s="845"/>
      <c r="AV101" s="2537"/>
      <c r="AW101" s="844"/>
      <c r="AX101" s="368">
        <f t="shared" si="35"/>
        <v>0</v>
      </c>
      <c r="AY101" s="845"/>
      <c r="AZ101" s="2537"/>
      <c r="BA101" s="570"/>
      <c r="BB101" s="570">
        <f t="shared" si="36"/>
        <v>0</v>
      </c>
      <c r="BC101" s="657"/>
      <c r="BD101" s="657">
        <f t="shared" si="38"/>
        <v>0</v>
      </c>
      <c r="BE101" s="775"/>
      <c r="BF101" s="775">
        <f t="shared" si="39"/>
        <v>0</v>
      </c>
      <c r="BG101" s="1202"/>
      <c r="BH101" s="1520">
        <f t="shared" si="22"/>
        <v>0</v>
      </c>
      <c r="BI101" s="1520">
        <f t="shared" si="23"/>
        <v>0</v>
      </c>
      <c r="BJ101" s="26">
        <f t="shared" si="24"/>
        <v>0</v>
      </c>
      <c r="BK101" s="26">
        <f t="shared" si="25"/>
        <v>0</v>
      </c>
      <c r="BL101" s="26">
        <f t="shared" si="26"/>
        <v>0</v>
      </c>
      <c r="BM101" s="26">
        <f t="shared" si="27"/>
        <v>0</v>
      </c>
    </row>
    <row r="102" spans="2:65" ht="15" customHeight="1" thickBot="1" x14ac:dyDescent="0.35">
      <c r="B102" s="842" t="s">
        <v>872</v>
      </c>
      <c r="C102" s="2534" t="s">
        <v>1382</v>
      </c>
      <c r="D102" s="2535" t="s">
        <v>50</v>
      </c>
      <c r="E102" s="845"/>
      <c r="F102" s="2537"/>
      <c r="G102" s="845"/>
      <c r="H102" s="2537"/>
      <c r="I102" s="2789"/>
      <c r="J102" s="42">
        <f t="shared" si="28"/>
        <v>0</v>
      </c>
      <c r="K102" s="845"/>
      <c r="L102" s="2537"/>
      <c r="M102" s="894"/>
      <c r="N102" s="613">
        <f t="shared" si="29"/>
        <v>0</v>
      </c>
      <c r="O102" s="845"/>
      <c r="P102" s="2537"/>
      <c r="Q102" s="844"/>
      <c r="R102" s="368">
        <f t="shared" si="30"/>
        <v>0</v>
      </c>
      <c r="S102" s="845"/>
      <c r="T102" s="2537"/>
      <c r="U102" s="844"/>
      <c r="V102" s="368">
        <f t="shared" si="31"/>
        <v>0</v>
      </c>
      <c r="W102" s="845"/>
      <c r="X102" s="2537"/>
      <c r="Y102" s="570"/>
      <c r="Z102" s="4048">
        <f t="shared" si="41"/>
        <v>0</v>
      </c>
      <c r="AA102" s="657"/>
      <c r="AB102" s="4049">
        <f t="shared" si="42"/>
        <v>0</v>
      </c>
      <c r="AC102" s="845"/>
      <c r="AD102" s="2537"/>
      <c r="AE102" s="844"/>
      <c r="AF102" s="368">
        <f t="shared" si="32"/>
        <v>0</v>
      </c>
      <c r="AG102" s="845"/>
      <c r="AH102" s="2537"/>
      <c r="AI102" s="844"/>
      <c r="AJ102" s="368">
        <f t="shared" si="40"/>
        <v>0</v>
      </c>
      <c r="AK102" s="845"/>
      <c r="AL102" s="2537"/>
      <c r="AM102" s="570"/>
      <c r="AN102" s="4048">
        <f t="shared" si="37"/>
        <v>0</v>
      </c>
      <c r="AO102" s="775"/>
      <c r="AP102" s="368">
        <f t="shared" si="33"/>
        <v>0</v>
      </c>
      <c r="AQ102" s="845"/>
      <c r="AR102" s="2537"/>
      <c r="AS102" s="844"/>
      <c r="AT102" s="775">
        <f t="shared" si="34"/>
        <v>0</v>
      </c>
      <c r="AU102" s="845"/>
      <c r="AV102" s="2537"/>
      <c r="AW102" s="844"/>
      <c r="AX102" s="368">
        <f t="shared" si="35"/>
        <v>0</v>
      </c>
      <c r="AY102" s="845"/>
      <c r="AZ102" s="2537"/>
      <c r="BA102" s="570"/>
      <c r="BB102" s="570">
        <f t="shared" si="36"/>
        <v>0</v>
      </c>
      <c r="BC102" s="657"/>
      <c r="BD102" s="657">
        <f t="shared" si="38"/>
        <v>0</v>
      </c>
      <c r="BE102" s="775"/>
      <c r="BF102" s="775">
        <f t="shared" si="39"/>
        <v>0</v>
      </c>
      <c r="BG102" s="1202"/>
      <c r="BH102" s="1520">
        <f t="shared" si="22"/>
        <v>0</v>
      </c>
      <c r="BI102" s="1520">
        <f t="shared" si="23"/>
        <v>0</v>
      </c>
      <c r="BJ102" s="26">
        <f t="shared" si="24"/>
        <v>0</v>
      </c>
      <c r="BK102" s="26">
        <f t="shared" si="25"/>
        <v>0</v>
      </c>
      <c r="BL102" s="26">
        <f t="shared" si="26"/>
        <v>0</v>
      </c>
      <c r="BM102" s="26">
        <f t="shared" si="27"/>
        <v>0</v>
      </c>
    </row>
    <row r="103" spans="2:65" ht="15" customHeight="1" thickBot="1" x14ac:dyDescent="0.35">
      <c r="B103" s="842" t="s">
        <v>872</v>
      </c>
      <c r="C103" s="2534" t="s">
        <v>1432</v>
      </c>
      <c r="D103" s="2535" t="s">
        <v>50</v>
      </c>
      <c r="E103" s="845"/>
      <c r="F103" s="2537"/>
      <c r="G103" s="845"/>
      <c r="H103" s="2537"/>
      <c r="I103" s="2789"/>
      <c r="J103" s="42">
        <f t="shared" si="28"/>
        <v>0</v>
      </c>
      <c r="K103" s="845"/>
      <c r="L103" s="2537"/>
      <c r="M103" s="894"/>
      <c r="N103" s="613">
        <f t="shared" si="29"/>
        <v>0</v>
      </c>
      <c r="O103" s="845"/>
      <c r="P103" s="2537"/>
      <c r="Q103" s="844"/>
      <c r="R103" s="368">
        <f t="shared" si="30"/>
        <v>0</v>
      </c>
      <c r="S103" s="845"/>
      <c r="T103" s="2537"/>
      <c r="U103" s="844"/>
      <c r="V103" s="368">
        <f t="shared" si="31"/>
        <v>0</v>
      </c>
      <c r="W103" s="845"/>
      <c r="X103" s="2537"/>
      <c r="Y103" s="570"/>
      <c r="Z103" s="4048">
        <f t="shared" si="41"/>
        <v>0</v>
      </c>
      <c r="AA103" s="657"/>
      <c r="AB103" s="4049">
        <f t="shared" si="42"/>
        <v>0</v>
      </c>
      <c r="AC103" s="845"/>
      <c r="AD103" s="2537"/>
      <c r="AE103" s="844"/>
      <c r="AF103" s="368">
        <f t="shared" si="32"/>
        <v>0</v>
      </c>
      <c r="AG103" s="845"/>
      <c r="AH103" s="2537"/>
      <c r="AI103" s="844"/>
      <c r="AJ103" s="368">
        <f t="shared" si="40"/>
        <v>0</v>
      </c>
      <c r="AK103" s="845"/>
      <c r="AL103" s="2537"/>
      <c r="AM103" s="570"/>
      <c r="AN103" s="4048">
        <f t="shared" si="37"/>
        <v>0</v>
      </c>
      <c r="AO103" s="775"/>
      <c r="AP103" s="368">
        <f t="shared" si="33"/>
        <v>0</v>
      </c>
      <c r="AQ103" s="845"/>
      <c r="AR103" s="2537"/>
      <c r="AS103" s="844"/>
      <c r="AT103" s="775">
        <f t="shared" si="34"/>
        <v>0</v>
      </c>
      <c r="AU103" s="845"/>
      <c r="AV103" s="2537"/>
      <c r="AW103" s="844"/>
      <c r="AX103" s="368">
        <f t="shared" si="35"/>
        <v>0</v>
      </c>
      <c r="AY103" s="845"/>
      <c r="AZ103" s="2537"/>
      <c r="BA103" s="570"/>
      <c r="BB103" s="570">
        <f t="shared" si="36"/>
        <v>0</v>
      </c>
      <c r="BC103" s="657"/>
      <c r="BD103" s="657">
        <f t="shared" si="38"/>
        <v>0</v>
      </c>
      <c r="BE103" s="775"/>
      <c r="BF103" s="775">
        <f t="shared" si="39"/>
        <v>0</v>
      </c>
      <c r="BG103" s="1202"/>
      <c r="BH103" s="1520">
        <f t="shared" si="22"/>
        <v>0</v>
      </c>
      <c r="BI103" s="1520">
        <f t="shared" si="23"/>
        <v>0</v>
      </c>
      <c r="BJ103" s="26">
        <f t="shared" si="24"/>
        <v>0</v>
      </c>
      <c r="BK103" s="26">
        <f t="shared" si="25"/>
        <v>0</v>
      </c>
      <c r="BL103" s="26">
        <f t="shared" si="26"/>
        <v>0</v>
      </c>
      <c r="BM103" s="26">
        <f t="shared" si="27"/>
        <v>0</v>
      </c>
    </row>
    <row r="104" spans="2:65" ht="16.2" thickBot="1" x14ac:dyDescent="0.35">
      <c r="B104" s="2776" t="s">
        <v>860</v>
      </c>
      <c r="C104" s="2777" t="s">
        <v>968</v>
      </c>
      <c r="D104" s="2778" t="s">
        <v>50</v>
      </c>
      <c r="E104" s="2787"/>
      <c r="F104" s="155"/>
      <c r="G104" s="2787"/>
      <c r="H104" s="155"/>
      <c r="I104" s="2788"/>
      <c r="J104" s="42">
        <f t="shared" si="28"/>
        <v>0</v>
      </c>
      <c r="K104" s="2787"/>
      <c r="L104" s="155"/>
      <c r="M104" s="894"/>
      <c r="N104" s="613">
        <f t="shared" si="29"/>
        <v>0</v>
      </c>
      <c r="O104" s="2787"/>
      <c r="P104" s="155"/>
      <c r="Q104" s="844"/>
      <c r="R104" s="368">
        <f t="shared" si="30"/>
        <v>0</v>
      </c>
      <c r="S104" s="2787"/>
      <c r="T104" s="155">
        <v>53.300000000000011</v>
      </c>
      <c r="U104" s="844"/>
      <c r="V104" s="368">
        <f t="shared" si="31"/>
        <v>53.300000000000011</v>
      </c>
      <c r="W104" s="2787"/>
      <c r="X104" s="155"/>
      <c r="Y104" s="570"/>
      <c r="Z104" s="4048">
        <f t="shared" si="41"/>
        <v>53.300000000000011</v>
      </c>
      <c r="AA104" s="657"/>
      <c r="AB104" s="4049">
        <f t="shared" si="42"/>
        <v>53.300000000000011</v>
      </c>
      <c r="AC104" s="2787"/>
      <c r="AD104" s="155"/>
      <c r="AE104" s="844"/>
      <c r="AF104" s="368">
        <f t="shared" si="32"/>
        <v>53.300000000000011</v>
      </c>
      <c r="AG104" s="2787"/>
      <c r="AH104" s="155">
        <v>209.1</v>
      </c>
      <c r="AI104" s="844"/>
      <c r="AJ104" s="775">
        <f t="shared" si="40"/>
        <v>262.39999999999998</v>
      </c>
      <c r="AK104" s="2787"/>
      <c r="AL104" s="1429">
        <f>469.45-2.05</f>
        <v>467.4</v>
      </c>
      <c r="AM104" s="570"/>
      <c r="AN104" s="4048">
        <f t="shared" si="37"/>
        <v>676.5</v>
      </c>
      <c r="AO104" s="775"/>
      <c r="AP104" s="368">
        <f t="shared" si="33"/>
        <v>729.8</v>
      </c>
      <c r="AQ104" s="2787"/>
      <c r="AR104" s="155">
        <f>418.2-2.05</f>
        <v>416.15</v>
      </c>
      <c r="AS104" s="844"/>
      <c r="AT104" s="775">
        <f t="shared" si="34"/>
        <v>1145.9499999999998</v>
      </c>
      <c r="AU104" s="2787"/>
      <c r="AV104" s="155">
        <v>186.54999999999995</v>
      </c>
      <c r="AW104" s="844"/>
      <c r="AX104" s="368">
        <f t="shared" si="35"/>
        <v>1332.4999999999998</v>
      </c>
      <c r="AY104" s="2787"/>
      <c r="AZ104" s="155"/>
      <c r="BA104" s="570"/>
      <c r="BB104" s="570">
        <f t="shared" si="36"/>
        <v>602.69999999999993</v>
      </c>
      <c r="BC104" s="657"/>
      <c r="BD104" s="657">
        <f t="shared" si="38"/>
        <v>1279.1999999999998</v>
      </c>
      <c r="BE104" s="775"/>
      <c r="BF104" s="775">
        <f t="shared" si="39"/>
        <v>1332.4999999999998</v>
      </c>
      <c r="BG104" s="1202"/>
      <c r="BH104" s="1520">
        <f t="shared" si="22"/>
        <v>0</v>
      </c>
      <c r="BI104" s="1520">
        <f t="shared" si="23"/>
        <v>0</v>
      </c>
      <c r="BJ104" s="26">
        <f t="shared" si="24"/>
        <v>0</v>
      </c>
      <c r="BK104" s="26">
        <f t="shared" si="25"/>
        <v>0</v>
      </c>
      <c r="BL104" s="26">
        <f t="shared" si="26"/>
        <v>0</v>
      </c>
      <c r="BM104" s="26">
        <f t="shared" si="27"/>
        <v>0</v>
      </c>
    </row>
    <row r="105" spans="2:65" ht="16.2" thickBot="1" x14ac:dyDescent="0.35">
      <c r="B105" s="2776" t="s">
        <v>860</v>
      </c>
      <c r="C105" s="2777" t="s">
        <v>2345</v>
      </c>
      <c r="D105" s="48"/>
      <c r="E105" s="4043"/>
      <c r="F105" s="1186"/>
      <c r="G105" s="4043"/>
      <c r="H105" s="1186"/>
      <c r="I105" s="3432"/>
      <c r="J105" s="42"/>
      <c r="K105" s="4043"/>
      <c r="L105" s="1186"/>
      <c r="M105" s="5482"/>
      <c r="N105" s="613"/>
      <c r="O105" s="4043"/>
      <c r="P105" s="1186"/>
      <c r="Q105" s="5481"/>
      <c r="R105" s="368"/>
      <c r="S105" s="4043"/>
      <c r="T105" s="1186"/>
      <c r="U105" s="5481"/>
      <c r="V105" s="368"/>
      <c r="W105" s="4043"/>
      <c r="X105" s="1186"/>
      <c r="Y105" s="5498"/>
      <c r="Z105" s="4048"/>
      <c r="AA105" s="5499"/>
      <c r="AB105" s="4049"/>
      <c r="AC105" s="4043"/>
      <c r="AD105" s="1186"/>
      <c r="AE105" s="5481"/>
      <c r="AF105" s="368"/>
      <c r="AG105" s="4043"/>
      <c r="AH105" s="1186"/>
      <c r="AI105" s="5481"/>
      <c r="AJ105" s="5460"/>
      <c r="AK105" s="4043"/>
      <c r="AL105" s="101"/>
      <c r="AM105" s="5498"/>
      <c r="AN105" s="4048"/>
      <c r="AO105" s="5460"/>
      <c r="AP105" s="368"/>
      <c r="AQ105" s="4043"/>
      <c r="AR105" s="1186"/>
      <c r="AS105" s="5481"/>
      <c r="AT105" s="5460"/>
      <c r="AU105" s="4043"/>
      <c r="AV105" s="1186"/>
      <c r="AW105" s="5481"/>
      <c r="AX105" s="368"/>
      <c r="AY105" s="4043"/>
      <c r="AZ105" s="155">
        <v>278.8</v>
      </c>
      <c r="BA105" s="5498"/>
      <c r="BB105" s="570">
        <f t="shared" si="36"/>
        <v>278.8</v>
      </c>
      <c r="BC105" s="5499"/>
      <c r="BD105" s="657">
        <f t="shared" si="38"/>
        <v>278.8</v>
      </c>
      <c r="BE105" s="5460"/>
      <c r="BF105" s="775">
        <f t="shared" si="39"/>
        <v>278.8</v>
      </c>
      <c r="BG105" s="1202"/>
      <c r="BH105" s="1520"/>
      <c r="BI105" s="1520"/>
      <c r="BJ105" s="26"/>
      <c r="BK105" s="26"/>
      <c r="BL105" s="26"/>
      <c r="BM105" s="26"/>
    </row>
    <row r="106" spans="2:65" ht="16.2" thickBot="1" x14ac:dyDescent="0.35">
      <c r="B106" s="4041" t="s">
        <v>860</v>
      </c>
      <c r="C106" s="4042" t="s">
        <v>1127</v>
      </c>
      <c r="D106" s="48"/>
      <c r="E106" s="4043"/>
      <c r="F106" s="1186"/>
      <c r="G106" s="4043"/>
      <c r="H106" s="1186"/>
      <c r="I106" s="3432"/>
      <c r="J106" s="42"/>
      <c r="K106" s="4043"/>
      <c r="L106" s="1186"/>
      <c r="M106" s="4959"/>
      <c r="N106" s="613">
        <f t="shared" si="29"/>
        <v>0</v>
      </c>
      <c r="O106" s="4043"/>
      <c r="P106" s="1186"/>
      <c r="Q106" s="5111"/>
      <c r="R106" s="368"/>
      <c r="S106" s="4043"/>
      <c r="T106" s="1186"/>
      <c r="U106" s="5111"/>
      <c r="V106" s="368"/>
      <c r="W106" s="4043"/>
      <c r="X106" s="1186"/>
      <c r="Y106" s="5112"/>
      <c r="Z106" s="4048">
        <f t="shared" si="41"/>
        <v>0</v>
      </c>
      <c r="AA106" s="4958"/>
      <c r="AB106" s="4049">
        <f t="shared" si="42"/>
        <v>0</v>
      </c>
      <c r="AC106" s="4043"/>
      <c r="AD106" s="1186"/>
      <c r="AE106" s="5111"/>
      <c r="AF106" s="368">
        <f t="shared" si="32"/>
        <v>0</v>
      </c>
      <c r="AG106" s="4043"/>
      <c r="AH106" s="1186">
        <v>389.5</v>
      </c>
      <c r="AI106" s="5111"/>
      <c r="AJ106" s="775">
        <f t="shared" si="40"/>
        <v>389.5</v>
      </c>
      <c r="AK106" s="4043"/>
      <c r="AL106" s="101">
        <v>467.39999999999992</v>
      </c>
      <c r="AM106" s="5112"/>
      <c r="AN106" s="4048">
        <f t="shared" si="37"/>
        <v>856.89999999999986</v>
      </c>
      <c r="AO106" s="4936"/>
      <c r="AP106" s="368">
        <f t="shared" si="33"/>
        <v>856.89999999999986</v>
      </c>
      <c r="AQ106" s="4043"/>
      <c r="AR106" s="1186">
        <v>461.25</v>
      </c>
      <c r="AS106" s="5111"/>
      <c r="AT106" s="4936">
        <f t="shared" si="34"/>
        <v>1318.1499999999999</v>
      </c>
      <c r="AU106" s="4043"/>
      <c r="AV106" s="1186">
        <v>235.75</v>
      </c>
      <c r="AW106" s="5111"/>
      <c r="AX106" s="368">
        <f t="shared" si="35"/>
        <v>1553.8999999999999</v>
      </c>
      <c r="AY106" s="4043"/>
      <c r="AZ106" s="1186"/>
      <c r="BA106" s="5112"/>
      <c r="BB106" s="570">
        <f t="shared" si="36"/>
        <v>697</v>
      </c>
      <c r="BC106" s="4958"/>
      <c r="BD106" s="4524">
        <f t="shared" si="38"/>
        <v>1553.8999999999999</v>
      </c>
      <c r="BE106" s="4936"/>
      <c r="BF106" s="775">
        <f t="shared" si="39"/>
        <v>1553.8999999999999</v>
      </c>
      <c r="BG106" s="1202"/>
      <c r="BH106" s="1520">
        <f t="shared" si="22"/>
        <v>0</v>
      </c>
      <c r="BI106" s="1520">
        <f t="shared" si="23"/>
        <v>0</v>
      </c>
      <c r="BJ106" s="26">
        <f t="shared" si="24"/>
        <v>0</v>
      </c>
      <c r="BK106" s="26">
        <f t="shared" si="25"/>
        <v>0</v>
      </c>
      <c r="BL106" s="26">
        <f t="shared" si="26"/>
        <v>0</v>
      </c>
      <c r="BM106" s="26">
        <f t="shared" si="27"/>
        <v>0</v>
      </c>
    </row>
    <row r="107" spans="2:65" ht="16.2" thickBot="1" x14ac:dyDescent="0.35">
      <c r="B107" s="842" t="s">
        <v>860</v>
      </c>
      <c r="C107" s="2534" t="s">
        <v>1028</v>
      </c>
      <c r="D107" s="2535" t="s">
        <v>50</v>
      </c>
      <c r="E107" s="845"/>
      <c r="F107" s="2537">
        <f>1275.1-79.95</f>
        <v>1195.1499999999999</v>
      </c>
      <c r="G107" s="845"/>
      <c r="H107" s="2537">
        <v>1022.9499999999999</v>
      </c>
      <c r="I107" s="2789"/>
      <c r="J107" s="42">
        <f t="shared" si="28"/>
        <v>2218.1</v>
      </c>
      <c r="K107" s="845"/>
      <c r="L107" s="2537">
        <f>707.25-8.2</f>
        <v>699.05</v>
      </c>
      <c r="M107" s="894"/>
      <c r="N107" s="613">
        <f t="shared" si="29"/>
        <v>2917.1499999999996</v>
      </c>
      <c r="O107" s="845"/>
      <c r="P107" s="2537">
        <v>820</v>
      </c>
      <c r="Q107" s="844"/>
      <c r="R107" s="368">
        <f t="shared" si="30"/>
        <v>3737.1499999999996</v>
      </c>
      <c r="S107" s="845"/>
      <c r="T107" s="2537">
        <v>578.1</v>
      </c>
      <c r="U107" s="844"/>
      <c r="V107" s="368">
        <f t="shared" si="31"/>
        <v>4315.25</v>
      </c>
      <c r="W107" s="845"/>
      <c r="X107" s="2537"/>
      <c r="Y107" s="570"/>
      <c r="Z107" s="4048">
        <f t="shared" si="41"/>
        <v>1398.1</v>
      </c>
      <c r="AA107" s="657"/>
      <c r="AB107" s="4049">
        <f t="shared" si="42"/>
        <v>4315.25</v>
      </c>
      <c r="AC107" s="845"/>
      <c r="AD107" s="2537">
        <v>809.74999999999989</v>
      </c>
      <c r="AE107" s="844"/>
      <c r="AF107" s="368">
        <f t="shared" si="32"/>
        <v>5125</v>
      </c>
      <c r="AG107" s="845"/>
      <c r="AH107" s="2537">
        <v>172.2</v>
      </c>
      <c r="AI107" s="844"/>
      <c r="AJ107" s="368">
        <f t="shared" si="40"/>
        <v>5297.2</v>
      </c>
      <c r="AK107" s="845"/>
      <c r="AL107" s="2794">
        <v>1377.6000000000004</v>
      </c>
      <c r="AM107" s="570"/>
      <c r="AN107" s="4048">
        <f t="shared" si="37"/>
        <v>2359.5500000000002</v>
      </c>
      <c r="AO107" s="775"/>
      <c r="AP107" s="368">
        <f t="shared" si="33"/>
        <v>6674.8</v>
      </c>
      <c r="AQ107" s="845"/>
      <c r="AR107" s="2537">
        <v>774.9</v>
      </c>
      <c r="AS107" s="844"/>
      <c r="AT107" s="775">
        <f t="shared" si="34"/>
        <v>7449.7</v>
      </c>
      <c r="AU107" s="845"/>
      <c r="AV107" s="2537"/>
      <c r="AW107" s="844"/>
      <c r="AX107" s="368">
        <f t="shared" si="35"/>
        <v>7449.7</v>
      </c>
      <c r="AY107" s="845"/>
      <c r="AZ107" s="2537">
        <v>996.29999999999973</v>
      </c>
      <c r="BA107" s="570"/>
      <c r="BB107" s="570">
        <f t="shared" si="36"/>
        <v>1771.1999999999998</v>
      </c>
      <c r="BC107" s="657"/>
      <c r="BD107" s="657">
        <f t="shared" si="38"/>
        <v>4130.75</v>
      </c>
      <c r="BE107" s="775"/>
      <c r="BF107" s="775">
        <f t="shared" si="39"/>
        <v>8446</v>
      </c>
      <c r="BG107" s="1202"/>
      <c r="BH107" s="1520">
        <f t="shared" si="22"/>
        <v>0</v>
      </c>
      <c r="BI107" s="1520">
        <f t="shared" si="23"/>
        <v>0</v>
      </c>
      <c r="BJ107" s="26">
        <f t="shared" si="24"/>
        <v>0</v>
      </c>
      <c r="BK107" s="26">
        <f t="shared" si="25"/>
        <v>0</v>
      </c>
      <c r="BL107" s="26">
        <f t="shared" si="26"/>
        <v>0</v>
      </c>
      <c r="BM107" s="26">
        <f t="shared" si="27"/>
        <v>0</v>
      </c>
    </row>
    <row r="108" spans="2:65" ht="16.2" thickBot="1" x14ac:dyDescent="0.35">
      <c r="B108" s="842" t="s">
        <v>860</v>
      </c>
      <c r="C108" s="2534" t="s">
        <v>1029</v>
      </c>
      <c r="D108" s="2535" t="s">
        <v>50</v>
      </c>
      <c r="E108" s="845"/>
      <c r="F108" s="2537">
        <v>2150.4499999999994</v>
      </c>
      <c r="G108" s="845"/>
      <c r="H108" s="2537">
        <v>1022.9500000000002</v>
      </c>
      <c r="I108" s="2789"/>
      <c r="J108" s="42">
        <f t="shared" si="28"/>
        <v>3173.3999999999996</v>
      </c>
      <c r="K108" s="845"/>
      <c r="L108" s="2537">
        <v>824.09999999999991</v>
      </c>
      <c r="M108" s="894"/>
      <c r="N108" s="613">
        <f t="shared" si="29"/>
        <v>3997.4999999999995</v>
      </c>
      <c r="O108" s="845"/>
      <c r="P108" s="2537">
        <f>1141.85-4.1</f>
        <v>1137.75</v>
      </c>
      <c r="Q108" s="844"/>
      <c r="R108" s="368">
        <f t="shared" si="30"/>
        <v>5135.25</v>
      </c>
      <c r="S108" s="845"/>
      <c r="T108" s="2537">
        <v>2359.5500000000002</v>
      </c>
      <c r="U108" s="844"/>
      <c r="V108" s="368">
        <f t="shared" si="31"/>
        <v>7494.8</v>
      </c>
      <c r="W108" s="845"/>
      <c r="X108" s="2537">
        <v>1596.9499999999998</v>
      </c>
      <c r="Y108" s="570"/>
      <c r="Z108" s="4048">
        <f t="shared" si="41"/>
        <v>5094.25</v>
      </c>
      <c r="AA108" s="657"/>
      <c r="AB108" s="4049">
        <f t="shared" si="42"/>
        <v>9091.75</v>
      </c>
      <c r="AC108" s="845"/>
      <c r="AD108" s="2537">
        <v>1941.3499999999997</v>
      </c>
      <c r="AE108" s="844"/>
      <c r="AF108" s="368">
        <f t="shared" si="32"/>
        <v>11033.1</v>
      </c>
      <c r="AG108" s="845"/>
      <c r="AH108" s="2537">
        <v>672.39999999999986</v>
      </c>
      <c r="AI108" s="844"/>
      <c r="AJ108" s="368">
        <f t="shared" si="40"/>
        <v>11705.5</v>
      </c>
      <c r="AK108" s="845"/>
      <c r="AL108" s="2794">
        <f>4473.1-53.3</f>
        <v>4419.8</v>
      </c>
      <c r="AM108" s="570"/>
      <c r="AN108" s="4048">
        <f t="shared" si="37"/>
        <v>7033.5499999999993</v>
      </c>
      <c r="AO108" s="775"/>
      <c r="AP108" s="368">
        <f t="shared" si="33"/>
        <v>16125.3</v>
      </c>
      <c r="AQ108" s="845"/>
      <c r="AR108" s="2537">
        <f>3868.35-6.15</f>
        <v>3862.2</v>
      </c>
      <c r="AS108" s="844"/>
      <c r="AT108" s="775">
        <f t="shared" si="34"/>
        <v>19987.5</v>
      </c>
      <c r="AU108" s="845"/>
      <c r="AV108" s="2537"/>
      <c r="AW108" s="844"/>
      <c r="AX108" s="368">
        <f t="shared" si="35"/>
        <v>19987.5</v>
      </c>
      <c r="AY108" s="845"/>
      <c r="AZ108" s="2537">
        <f>6357.05-4.1</f>
        <v>6352.95</v>
      </c>
      <c r="BA108" s="570"/>
      <c r="BB108" s="570">
        <f t="shared" si="36"/>
        <v>10215.15</v>
      </c>
      <c r="BC108" s="657"/>
      <c r="BD108" s="657">
        <f t="shared" si="38"/>
        <v>17248.699999999997</v>
      </c>
      <c r="BE108" s="775"/>
      <c r="BF108" s="775">
        <f t="shared" si="39"/>
        <v>26340.45</v>
      </c>
      <c r="BG108" s="1202"/>
      <c r="BH108" s="1520">
        <f t="shared" si="22"/>
        <v>0</v>
      </c>
      <c r="BI108" s="1520">
        <f t="shared" si="23"/>
        <v>0</v>
      </c>
      <c r="BJ108" s="26">
        <f t="shared" si="24"/>
        <v>0</v>
      </c>
      <c r="BK108" s="26">
        <f t="shared" si="25"/>
        <v>0</v>
      </c>
      <c r="BL108" s="26">
        <f t="shared" si="26"/>
        <v>0</v>
      </c>
      <c r="BM108" s="26">
        <f t="shared" si="27"/>
        <v>0</v>
      </c>
    </row>
    <row r="109" spans="2:65" ht="16.2" thickBot="1" x14ac:dyDescent="0.35">
      <c r="B109" s="842" t="s">
        <v>860</v>
      </c>
      <c r="C109" s="2534" t="s">
        <v>1432</v>
      </c>
      <c r="D109" s="2535" t="s">
        <v>50</v>
      </c>
      <c r="E109" s="845"/>
      <c r="F109" s="1664">
        <v>161.94999999999999</v>
      </c>
      <c r="G109" s="845"/>
      <c r="H109" s="1664"/>
      <c r="I109" s="2789"/>
      <c r="J109" s="42">
        <f t="shared" si="28"/>
        <v>161.94999999999999</v>
      </c>
      <c r="K109" s="845"/>
      <c r="L109" s="1664"/>
      <c r="M109" s="894"/>
      <c r="N109" s="613">
        <f t="shared" si="29"/>
        <v>161.94999999999999</v>
      </c>
      <c r="O109" s="845"/>
      <c r="P109" s="1664"/>
      <c r="Q109" s="844"/>
      <c r="R109" s="368">
        <f t="shared" si="30"/>
        <v>161.94999999999999</v>
      </c>
      <c r="S109" s="845"/>
      <c r="T109" s="1664"/>
      <c r="U109" s="844"/>
      <c r="V109" s="368">
        <f t="shared" si="31"/>
        <v>161.94999999999999</v>
      </c>
      <c r="W109" s="845"/>
      <c r="X109" s="1664"/>
      <c r="Y109" s="570"/>
      <c r="Z109" s="4048">
        <f t="shared" si="41"/>
        <v>0</v>
      </c>
      <c r="AA109" s="657"/>
      <c r="AB109" s="4049">
        <f t="shared" si="42"/>
        <v>161.94999999999999</v>
      </c>
      <c r="AC109" s="845"/>
      <c r="AD109" s="1664"/>
      <c r="AE109" s="844"/>
      <c r="AF109" s="368">
        <f t="shared" si="32"/>
        <v>161.94999999999999</v>
      </c>
      <c r="AG109" s="845"/>
      <c r="AH109" s="1664"/>
      <c r="AI109" s="844"/>
      <c r="AJ109" s="368">
        <f t="shared" si="40"/>
        <v>161.94999999999999</v>
      </c>
      <c r="AK109" s="845"/>
      <c r="AL109" s="5432"/>
      <c r="AM109" s="570"/>
      <c r="AN109" s="4048">
        <f t="shared" si="37"/>
        <v>0</v>
      </c>
      <c r="AO109" s="775"/>
      <c r="AP109" s="368">
        <f t="shared" si="33"/>
        <v>161.94999999999999</v>
      </c>
      <c r="AQ109" s="845"/>
      <c r="AR109" s="1664"/>
      <c r="AS109" s="844"/>
      <c r="AT109" s="775">
        <f t="shared" si="34"/>
        <v>161.94999999999999</v>
      </c>
      <c r="AU109" s="845"/>
      <c r="AV109" s="1664"/>
      <c r="AW109" s="844"/>
      <c r="AX109" s="368">
        <f t="shared" si="35"/>
        <v>161.94999999999999</v>
      </c>
      <c r="AY109" s="845"/>
      <c r="AZ109" s="1664"/>
      <c r="BA109" s="570"/>
      <c r="BB109" s="570">
        <f t="shared" si="36"/>
        <v>0</v>
      </c>
      <c r="BC109" s="657"/>
      <c r="BD109" s="657">
        <f t="shared" si="38"/>
        <v>0</v>
      </c>
      <c r="BE109" s="775"/>
      <c r="BF109" s="775">
        <f t="shared" si="39"/>
        <v>161.94999999999999</v>
      </c>
      <c r="BG109" s="1202"/>
      <c r="BH109" s="1520">
        <f t="shared" si="22"/>
        <v>0</v>
      </c>
      <c r="BI109" s="1520">
        <f t="shared" si="23"/>
        <v>0</v>
      </c>
      <c r="BJ109" s="26">
        <f t="shared" si="24"/>
        <v>0</v>
      </c>
      <c r="BK109" s="26">
        <f t="shared" si="25"/>
        <v>0</v>
      </c>
      <c r="BL109" s="26">
        <f t="shared" si="26"/>
        <v>0</v>
      </c>
      <c r="BM109" s="26">
        <f t="shared" si="27"/>
        <v>0</v>
      </c>
    </row>
    <row r="110" spans="2:65" ht="16.2" thickBot="1" x14ac:dyDescent="0.35">
      <c r="B110" s="2780" t="s">
        <v>860</v>
      </c>
      <c r="C110" s="2781" t="s">
        <v>1434</v>
      </c>
      <c r="D110" s="2782" t="s">
        <v>50</v>
      </c>
      <c r="E110" s="2790"/>
      <c r="F110" s="2792">
        <v>127.1</v>
      </c>
      <c r="G110" s="2790"/>
      <c r="H110" s="2792"/>
      <c r="I110" s="2791"/>
      <c r="J110" s="42">
        <f t="shared" si="28"/>
        <v>127.1</v>
      </c>
      <c r="K110" s="2790"/>
      <c r="L110" s="2792"/>
      <c r="M110" s="894"/>
      <c r="N110" s="613">
        <f t="shared" si="29"/>
        <v>127.1</v>
      </c>
      <c r="O110" s="2790"/>
      <c r="P110" s="2792"/>
      <c r="Q110" s="844"/>
      <c r="R110" s="368">
        <f t="shared" si="30"/>
        <v>127.1</v>
      </c>
      <c r="S110" s="2790"/>
      <c r="T110" s="2792"/>
      <c r="U110" s="844"/>
      <c r="V110" s="368">
        <f t="shared" si="31"/>
        <v>127.1</v>
      </c>
      <c r="W110" s="2790"/>
      <c r="X110" s="2792"/>
      <c r="Y110" s="570"/>
      <c r="Z110" s="4048">
        <f t="shared" si="41"/>
        <v>0</v>
      </c>
      <c r="AA110" s="657"/>
      <c r="AB110" s="4049">
        <f t="shared" si="42"/>
        <v>127.1</v>
      </c>
      <c r="AC110" s="2790"/>
      <c r="AD110" s="2792"/>
      <c r="AE110" s="844"/>
      <c r="AF110" s="368">
        <f t="shared" si="32"/>
        <v>127.1</v>
      </c>
      <c r="AG110" s="2790"/>
      <c r="AH110" s="2792"/>
      <c r="AI110" s="844"/>
      <c r="AJ110" s="368">
        <f t="shared" si="40"/>
        <v>127.1</v>
      </c>
      <c r="AK110" s="2790"/>
      <c r="AL110" s="5433">
        <v>20.5</v>
      </c>
      <c r="AM110" s="570"/>
      <c r="AN110" s="4048">
        <f t="shared" si="37"/>
        <v>20.5</v>
      </c>
      <c r="AO110" s="775"/>
      <c r="AP110" s="368">
        <f t="shared" si="33"/>
        <v>147.6</v>
      </c>
      <c r="AQ110" s="2790"/>
      <c r="AR110" s="2792">
        <v>102.50000000000001</v>
      </c>
      <c r="AS110" s="844"/>
      <c r="AT110" s="775">
        <f t="shared" si="34"/>
        <v>250.10000000000002</v>
      </c>
      <c r="AU110" s="2790"/>
      <c r="AV110" s="2792">
        <v>20.5</v>
      </c>
      <c r="AW110" s="844"/>
      <c r="AX110" s="368">
        <f t="shared" si="35"/>
        <v>270.60000000000002</v>
      </c>
      <c r="AY110" s="2790"/>
      <c r="AZ110" s="2792">
        <v>137.35000000000002</v>
      </c>
      <c r="BA110" s="570"/>
      <c r="BB110" s="570">
        <f t="shared" si="36"/>
        <v>260.35000000000002</v>
      </c>
      <c r="BC110" s="657"/>
      <c r="BD110" s="657">
        <f t="shared" si="38"/>
        <v>280.85000000000002</v>
      </c>
      <c r="BE110" s="775"/>
      <c r="BF110" s="775">
        <f t="shared" si="39"/>
        <v>407.95000000000005</v>
      </c>
      <c r="BG110" s="1202"/>
      <c r="BH110" s="1520">
        <f t="shared" si="22"/>
        <v>0</v>
      </c>
      <c r="BI110" s="1520">
        <f t="shared" si="23"/>
        <v>0</v>
      </c>
      <c r="BJ110" s="26">
        <f t="shared" si="24"/>
        <v>0</v>
      </c>
      <c r="BK110" s="26">
        <f t="shared" si="25"/>
        <v>0</v>
      </c>
      <c r="BL110" s="26">
        <f t="shared" si="26"/>
        <v>0</v>
      </c>
      <c r="BM110" s="26">
        <f t="shared" si="27"/>
        <v>0</v>
      </c>
    </row>
    <row r="111" spans="2:65" ht="16.2" thickBot="1" x14ac:dyDescent="0.35">
      <c r="B111" s="2776" t="s">
        <v>1312</v>
      </c>
      <c r="C111" s="2777" t="s">
        <v>1028</v>
      </c>
      <c r="D111" s="2778" t="s">
        <v>50</v>
      </c>
      <c r="E111" s="2787"/>
      <c r="F111" s="2787"/>
      <c r="G111" s="2787"/>
      <c r="H111" s="2787"/>
      <c r="I111" s="2788"/>
      <c r="J111" s="42">
        <f t="shared" si="28"/>
        <v>0</v>
      </c>
      <c r="K111" s="2787"/>
      <c r="L111" s="2787"/>
      <c r="M111" s="894"/>
      <c r="N111" s="613">
        <f t="shared" si="29"/>
        <v>0</v>
      </c>
      <c r="O111" s="2787"/>
      <c r="P111" s="2787"/>
      <c r="Q111" s="844"/>
      <c r="R111" s="368">
        <f t="shared" si="30"/>
        <v>0</v>
      </c>
      <c r="S111" s="2787"/>
      <c r="T111" s="2787"/>
      <c r="U111" s="844"/>
      <c r="V111" s="368">
        <f t="shared" si="31"/>
        <v>0</v>
      </c>
      <c r="W111" s="2787"/>
      <c r="X111" s="2787"/>
      <c r="Y111" s="570"/>
      <c r="Z111" s="4048">
        <f t="shared" si="41"/>
        <v>0</v>
      </c>
      <c r="AA111" s="657"/>
      <c r="AB111" s="4049">
        <f t="shared" si="42"/>
        <v>0</v>
      </c>
      <c r="AC111" s="2787"/>
      <c r="AD111" s="2787"/>
      <c r="AE111" s="844"/>
      <c r="AF111" s="368">
        <f t="shared" si="32"/>
        <v>0</v>
      </c>
      <c r="AG111" s="2787"/>
      <c r="AH111" s="2787"/>
      <c r="AI111" s="844"/>
      <c r="AJ111" s="368">
        <f t="shared" si="40"/>
        <v>0</v>
      </c>
      <c r="AK111" s="2787"/>
      <c r="AL111" s="2787"/>
      <c r="AM111" s="570"/>
      <c r="AN111" s="4048">
        <f t="shared" si="37"/>
        <v>0</v>
      </c>
      <c r="AO111" s="775"/>
      <c r="AP111" s="368">
        <f t="shared" si="33"/>
        <v>0</v>
      </c>
      <c r="AQ111" s="2787"/>
      <c r="AR111" s="2787"/>
      <c r="AS111" s="844"/>
      <c r="AT111" s="775">
        <f t="shared" si="34"/>
        <v>0</v>
      </c>
      <c r="AU111" s="2787"/>
      <c r="AV111" s="2787"/>
      <c r="AW111" s="844"/>
      <c r="AX111" s="368">
        <f t="shared" si="35"/>
        <v>0</v>
      </c>
      <c r="AY111" s="2787"/>
      <c r="AZ111" s="5486">
        <v>1006.55</v>
      </c>
      <c r="BA111" s="570"/>
      <c r="BB111" s="570">
        <f t="shared" si="36"/>
        <v>1006.55</v>
      </c>
      <c r="BC111" s="657"/>
      <c r="BD111" s="657">
        <f t="shared" si="38"/>
        <v>1006.55</v>
      </c>
      <c r="BE111" s="775"/>
      <c r="BF111" s="775">
        <f t="shared" si="39"/>
        <v>1006.55</v>
      </c>
      <c r="BG111" s="1202"/>
      <c r="BH111" s="1520">
        <f t="shared" si="22"/>
        <v>0</v>
      </c>
      <c r="BI111" s="1520">
        <f t="shared" si="23"/>
        <v>0</v>
      </c>
      <c r="BJ111" s="26">
        <f t="shared" si="24"/>
        <v>0</v>
      </c>
      <c r="BK111" s="26">
        <f t="shared" si="25"/>
        <v>0</v>
      </c>
      <c r="BL111" s="26">
        <f t="shared" si="26"/>
        <v>0</v>
      </c>
      <c r="BM111" s="26">
        <f t="shared" si="27"/>
        <v>0</v>
      </c>
    </row>
    <row r="112" spans="2:65" ht="16.2" thickBot="1" x14ac:dyDescent="0.35">
      <c r="B112" s="2780" t="s">
        <v>1312</v>
      </c>
      <c r="C112" s="2781" t="s">
        <v>1029</v>
      </c>
      <c r="D112" s="2782" t="s">
        <v>50</v>
      </c>
      <c r="E112" s="2790"/>
      <c r="F112" s="2790"/>
      <c r="G112" s="2790"/>
      <c r="H112" s="2790"/>
      <c r="I112" s="2791"/>
      <c r="J112" s="42">
        <f t="shared" si="28"/>
        <v>0</v>
      </c>
      <c r="K112" s="2790"/>
      <c r="L112" s="2790"/>
      <c r="M112" s="894"/>
      <c r="N112" s="613">
        <f t="shared" si="29"/>
        <v>0</v>
      </c>
      <c r="O112" s="2790"/>
      <c r="P112" s="2790"/>
      <c r="Q112" s="844"/>
      <c r="R112" s="368">
        <f t="shared" si="30"/>
        <v>0</v>
      </c>
      <c r="S112" s="2790"/>
      <c r="T112" s="2790"/>
      <c r="U112" s="844"/>
      <c r="V112" s="368">
        <f t="shared" si="31"/>
        <v>0</v>
      </c>
      <c r="W112" s="2790"/>
      <c r="X112" s="2790"/>
      <c r="Y112" s="570"/>
      <c r="Z112" s="4048">
        <f t="shared" si="41"/>
        <v>0</v>
      </c>
      <c r="AA112" s="657"/>
      <c r="AB112" s="4049">
        <f t="shared" si="42"/>
        <v>0</v>
      </c>
      <c r="AC112" s="2790"/>
      <c r="AD112" s="2790"/>
      <c r="AE112" s="844"/>
      <c r="AF112" s="368">
        <f t="shared" si="32"/>
        <v>0</v>
      </c>
      <c r="AG112" s="2790"/>
      <c r="AH112" s="2790"/>
      <c r="AI112" s="844"/>
      <c r="AJ112" s="368">
        <f t="shared" si="40"/>
        <v>0</v>
      </c>
      <c r="AK112" s="2790"/>
      <c r="AL112" s="2790"/>
      <c r="AM112" s="570"/>
      <c r="AN112" s="4048">
        <f t="shared" si="37"/>
        <v>0</v>
      </c>
      <c r="AO112" s="775"/>
      <c r="AP112" s="368">
        <f t="shared" si="33"/>
        <v>0</v>
      </c>
      <c r="AQ112" s="2790"/>
      <c r="AR112" s="2790"/>
      <c r="AS112" s="844"/>
      <c r="AT112" s="775">
        <f t="shared" si="34"/>
        <v>0</v>
      </c>
      <c r="AU112" s="2790"/>
      <c r="AV112" s="2790"/>
      <c r="AW112" s="844"/>
      <c r="AX112" s="368">
        <f t="shared" si="35"/>
        <v>0</v>
      </c>
      <c r="AY112" s="2790"/>
      <c r="AZ112" s="2792">
        <v>2392.3500000000004</v>
      </c>
      <c r="BA112" s="570"/>
      <c r="BB112" s="570">
        <f t="shared" si="36"/>
        <v>2392.3500000000004</v>
      </c>
      <c r="BC112" s="657"/>
      <c r="BD112" s="657">
        <f t="shared" si="38"/>
        <v>2392.3500000000004</v>
      </c>
      <c r="BE112" s="775"/>
      <c r="BF112" s="775">
        <f t="shared" si="39"/>
        <v>2392.3500000000004</v>
      </c>
      <c r="BG112" s="1202"/>
      <c r="BH112" s="1520">
        <f t="shared" si="22"/>
        <v>0</v>
      </c>
      <c r="BI112" s="1520">
        <f t="shared" si="23"/>
        <v>0</v>
      </c>
      <c r="BJ112" s="26">
        <f t="shared" si="24"/>
        <v>0</v>
      </c>
      <c r="BK112" s="26">
        <f t="shared" si="25"/>
        <v>0</v>
      </c>
      <c r="BL112" s="26">
        <f t="shared" si="26"/>
        <v>0</v>
      </c>
      <c r="BM112" s="26">
        <f t="shared" si="27"/>
        <v>0</v>
      </c>
    </row>
    <row r="113" spans="2:65" ht="15" customHeight="1" thickBot="1" x14ac:dyDescent="0.35">
      <c r="B113" s="2776" t="s">
        <v>876</v>
      </c>
      <c r="C113" s="2777" t="s">
        <v>1028</v>
      </c>
      <c r="D113" s="2778" t="s">
        <v>50</v>
      </c>
      <c r="E113" s="2787"/>
      <c r="F113" s="155">
        <f>1022.95-26.65</f>
        <v>996.30000000000007</v>
      </c>
      <c r="G113" s="2787"/>
      <c r="H113" s="155">
        <v>1002.45</v>
      </c>
      <c r="I113" s="2788"/>
      <c r="J113" s="42">
        <f t="shared" si="28"/>
        <v>1998.75</v>
      </c>
      <c r="K113" s="2787"/>
      <c r="L113" s="155"/>
      <c r="M113" s="894"/>
      <c r="N113" s="613">
        <f t="shared" si="29"/>
        <v>1998.75</v>
      </c>
      <c r="O113" s="2787"/>
      <c r="P113" s="155"/>
      <c r="Q113" s="844"/>
      <c r="R113" s="368">
        <f t="shared" si="30"/>
        <v>1998.75</v>
      </c>
      <c r="S113" s="2787"/>
      <c r="T113" s="155"/>
      <c r="U113" s="844"/>
      <c r="V113" s="368">
        <f t="shared" si="31"/>
        <v>1998.75</v>
      </c>
      <c r="W113" s="2787"/>
      <c r="X113" s="155"/>
      <c r="Y113" s="570"/>
      <c r="Z113" s="4048">
        <f t="shared" si="41"/>
        <v>0</v>
      </c>
      <c r="AA113" s="657"/>
      <c r="AB113" s="4049">
        <f t="shared" si="42"/>
        <v>1998.75</v>
      </c>
      <c r="AC113" s="2787"/>
      <c r="AD113" s="155"/>
      <c r="AE113" s="844"/>
      <c r="AF113" s="368">
        <f t="shared" si="32"/>
        <v>1998.75</v>
      </c>
      <c r="AG113" s="2787"/>
      <c r="AH113" s="155"/>
      <c r="AI113" s="844"/>
      <c r="AJ113" s="368">
        <f t="shared" si="40"/>
        <v>1998.75</v>
      </c>
      <c r="AK113" s="2787"/>
      <c r="AL113" s="2798">
        <f>1133.65-2.05</f>
        <v>1131.6000000000001</v>
      </c>
      <c r="AM113" s="570"/>
      <c r="AN113" s="4048">
        <f t="shared" si="37"/>
        <v>1131.6000000000001</v>
      </c>
      <c r="AO113" s="775"/>
      <c r="AP113" s="368">
        <f t="shared" si="33"/>
        <v>3130.3500000000004</v>
      </c>
      <c r="AQ113" s="2787"/>
      <c r="AR113" s="155"/>
      <c r="AS113" s="844"/>
      <c r="AT113" s="775">
        <f t="shared" si="34"/>
        <v>3130.3500000000004</v>
      </c>
      <c r="AU113" s="2787"/>
      <c r="AV113" s="155"/>
      <c r="AW113" s="844"/>
      <c r="AX113" s="368">
        <f t="shared" si="35"/>
        <v>3130.3500000000004</v>
      </c>
      <c r="AY113" s="2787"/>
      <c r="AZ113" s="155">
        <f>1371.45-2.05</f>
        <v>1369.4</v>
      </c>
      <c r="BA113" s="570"/>
      <c r="BB113" s="570">
        <f t="shared" si="36"/>
        <v>1369.4</v>
      </c>
      <c r="BC113" s="657"/>
      <c r="BD113" s="657">
        <f t="shared" si="38"/>
        <v>2501</v>
      </c>
      <c r="BE113" s="775"/>
      <c r="BF113" s="775">
        <f t="shared" si="39"/>
        <v>4499.75</v>
      </c>
      <c r="BG113" s="1202"/>
      <c r="BH113" s="1520">
        <f t="shared" si="22"/>
        <v>0</v>
      </c>
      <c r="BI113" s="1520">
        <f t="shared" si="23"/>
        <v>0</v>
      </c>
      <c r="BJ113" s="26">
        <f t="shared" si="24"/>
        <v>0</v>
      </c>
      <c r="BK113" s="26">
        <f t="shared" si="25"/>
        <v>0</v>
      </c>
      <c r="BL113" s="26">
        <f t="shared" si="26"/>
        <v>0</v>
      </c>
      <c r="BM113" s="26">
        <f t="shared" si="27"/>
        <v>0</v>
      </c>
    </row>
    <row r="114" spans="2:65" ht="15" customHeight="1" thickBot="1" x14ac:dyDescent="0.35">
      <c r="B114" s="4041" t="s">
        <v>876</v>
      </c>
      <c r="C114" s="4042" t="s">
        <v>968</v>
      </c>
      <c r="D114" s="48"/>
      <c r="E114" s="4043"/>
      <c r="F114" s="1186"/>
      <c r="G114" s="4043"/>
      <c r="H114" s="1186"/>
      <c r="I114" s="3432"/>
      <c r="J114" s="42"/>
      <c r="K114" s="4043"/>
      <c r="L114" s="1186"/>
      <c r="M114" s="4415"/>
      <c r="N114" s="613"/>
      <c r="O114" s="4043"/>
      <c r="P114" s="1186"/>
      <c r="Q114" s="5294"/>
      <c r="R114" s="368"/>
      <c r="S114" s="4043"/>
      <c r="T114" s="1186"/>
      <c r="U114" s="5294"/>
      <c r="V114" s="368"/>
      <c r="W114" s="4043"/>
      <c r="X114" s="1186"/>
      <c r="Y114" s="4406"/>
      <c r="Z114" s="4048"/>
      <c r="AA114" s="4407"/>
      <c r="AB114" s="4049"/>
      <c r="AC114" s="4043"/>
      <c r="AD114" s="1186"/>
      <c r="AE114" s="5294"/>
      <c r="AF114" s="368"/>
      <c r="AG114" s="4043"/>
      <c r="AH114" s="1186"/>
      <c r="AI114" s="5294"/>
      <c r="AJ114" s="368">
        <f t="shared" si="40"/>
        <v>0</v>
      </c>
      <c r="AK114" s="4043"/>
      <c r="AL114" s="5431">
        <v>395.65</v>
      </c>
      <c r="AM114" s="4406"/>
      <c r="AN114" s="4048">
        <f t="shared" si="37"/>
        <v>395.65</v>
      </c>
      <c r="AO114" s="775"/>
      <c r="AP114" s="368">
        <f t="shared" si="33"/>
        <v>395.65</v>
      </c>
      <c r="AQ114" s="2787"/>
      <c r="AR114" s="155"/>
      <c r="AS114" s="844"/>
      <c r="AT114" s="775">
        <f t="shared" si="34"/>
        <v>395.65</v>
      </c>
      <c r="AU114" s="2787"/>
      <c r="AV114" s="155"/>
      <c r="AW114" s="844"/>
      <c r="AX114" s="368">
        <f t="shared" si="35"/>
        <v>395.65</v>
      </c>
      <c r="AY114" s="2787"/>
      <c r="AZ114" s="155"/>
      <c r="BA114" s="570"/>
      <c r="BB114" s="570">
        <f t="shared" ref="BB114" si="45">AR114+AV114+AZ114</f>
        <v>0</v>
      </c>
      <c r="BC114" s="657"/>
      <c r="BD114" s="657">
        <f t="shared" ref="BD114" si="46">AN114+BB114</f>
        <v>395.65</v>
      </c>
      <c r="BE114" s="775"/>
      <c r="BF114" s="775">
        <f t="shared" ref="BF114" si="47">+AX114+AZ114</f>
        <v>395.65</v>
      </c>
      <c r="BG114" s="1202"/>
      <c r="BH114" s="1520">
        <f t="shared" si="22"/>
        <v>0</v>
      </c>
      <c r="BI114" s="1520">
        <f t="shared" si="23"/>
        <v>0</v>
      </c>
      <c r="BJ114" s="26">
        <f t="shared" si="24"/>
        <v>0</v>
      </c>
      <c r="BK114" s="26">
        <f t="shared" si="25"/>
        <v>0</v>
      </c>
      <c r="BL114" s="26">
        <f t="shared" si="26"/>
        <v>0</v>
      </c>
      <c r="BM114" s="26">
        <f t="shared" si="27"/>
        <v>0</v>
      </c>
    </row>
    <row r="115" spans="2:65" ht="16.2" thickBot="1" x14ac:dyDescent="0.35">
      <c r="B115" s="842" t="s">
        <v>876</v>
      </c>
      <c r="C115" s="2534" t="s">
        <v>1029</v>
      </c>
      <c r="D115" s="2535" t="s">
        <v>50</v>
      </c>
      <c r="E115" s="845"/>
      <c r="F115" s="2537">
        <v>617.04999999999995</v>
      </c>
      <c r="G115" s="845"/>
      <c r="H115" s="2537">
        <f>516.6-4.1</f>
        <v>512.5</v>
      </c>
      <c r="I115" s="2789"/>
      <c r="J115" s="42">
        <f t="shared" si="28"/>
        <v>1129.55</v>
      </c>
      <c r="K115" s="845"/>
      <c r="L115" s="2537"/>
      <c r="M115" s="894"/>
      <c r="N115" s="613">
        <f t="shared" si="29"/>
        <v>1129.55</v>
      </c>
      <c r="O115" s="845"/>
      <c r="P115" s="2537"/>
      <c r="Q115" s="844"/>
      <c r="R115" s="368">
        <f t="shared" si="30"/>
        <v>1129.55</v>
      </c>
      <c r="S115" s="845"/>
      <c r="T115" s="2537"/>
      <c r="U115" s="844"/>
      <c r="V115" s="368">
        <f t="shared" si="31"/>
        <v>1129.55</v>
      </c>
      <c r="W115" s="845"/>
      <c r="X115" s="2537"/>
      <c r="Y115" s="570"/>
      <c r="Z115" s="4048">
        <f t="shared" si="41"/>
        <v>0</v>
      </c>
      <c r="AA115" s="657"/>
      <c r="AB115" s="4049">
        <f t="shared" si="42"/>
        <v>1129.55</v>
      </c>
      <c r="AC115" s="845"/>
      <c r="AD115" s="2537"/>
      <c r="AE115" s="844"/>
      <c r="AF115" s="368">
        <f t="shared" si="32"/>
        <v>1129.55</v>
      </c>
      <c r="AG115" s="845"/>
      <c r="AH115" s="2537"/>
      <c r="AI115" s="844"/>
      <c r="AJ115" s="368">
        <f t="shared" si="40"/>
        <v>1129.55</v>
      </c>
      <c r="AK115" s="845"/>
      <c r="AL115" s="2795">
        <f>227.55-10.25</f>
        <v>217.3</v>
      </c>
      <c r="AM115" s="570"/>
      <c r="AN115" s="4048">
        <f t="shared" si="37"/>
        <v>217.3</v>
      </c>
      <c r="AO115" s="775"/>
      <c r="AP115" s="368">
        <f t="shared" si="33"/>
        <v>1346.85</v>
      </c>
      <c r="AQ115" s="845"/>
      <c r="AR115" s="2537"/>
      <c r="AS115" s="844"/>
      <c r="AT115" s="775">
        <f t="shared" si="34"/>
        <v>1346.85</v>
      </c>
      <c r="AU115" s="845"/>
      <c r="AV115" s="2537"/>
      <c r="AW115" s="844"/>
      <c r="AX115" s="368">
        <f t="shared" si="35"/>
        <v>1346.85</v>
      </c>
      <c r="AY115" s="845"/>
      <c r="AZ115" s="2537">
        <f>526.85-2.05-6.15</f>
        <v>518.65000000000009</v>
      </c>
      <c r="BA115" s="570"/>
      <c r="BB115" s="570">
        <f t="shared" si="36"/>
        <v>518.65000000000009</v>
      </c>
      <c r="BC115" s="657"/>
      <c r="BD115" s="657">
        <f t="shared" si="38"/>
        <v>735.95</v>
      </c>
      <c r="BE115" s="775"/>
      <c r="BF115" s="775">
        <f t="shared" si="39"/>
        <v>1865.5</v>
      </c>
      <c r="BG115" s="1202"/>
      <c r="BH115" s="1520">
        <f t="shared" si="22"/>
        <v>0</v>
      </c>
      <c r="BI115" s="1520">
        <f t="shared" si="23"/>
        <v>0</v>
      </c>
      <c r="BJ115" s="26">
        <f t="shared" si="24"/>
        <v>0</v>
      </c>
      <c r="BK115" s="26">
        <f t="shared" si="25"/>
        <v>0</v>
      </c>
      <c r="BL115" s="26">
        <f t="shared" si="26"/>
        <v>0</v>
      </c>
      <c r="BM115" s="26">
        <f t="shared" si="27"/>
        <v>0</v>
      </c>
    </row>
    <row r="116" spans="2:65" ht="16.2" thickBot="1" x14ac:dyDescent="0.35">
      <c r="B116" s="3839" t="s">
        <v>876</v>
      </c>
      <c r="C116" s="3840" t="s">
        <v>1432</v>
      </c>
      <c r="D116" s="3060" t="s">
        <v>50</v>
      </c>
      <c r="E116" s="3841"/>
      <c r="F116" s="2801"/>
      <c r="G116" s="3841"/>
      <c r="H116" s="2801"/>
      <c r="I116" s="3842"/>
      <c r="J116" s="42">
        <f t="shared" si="28"/>
        <v>0</v>
      </c>
      <c r="K116" s="3841"/>
      <c r="L116" s="2801"/>
      <c r="M116" s="2757"/>
      <c r="N116" s="613">
        <f t="shared" si="29"/>
        <v>0</v>
      </c>
      <c r="O116" s="3841"/>
      <c r="P116" s="2801"/>
      <c r="Q116" s="2789"/>
      <c r="R116" s="368">
        <f t="shared" si="30"/>
        <v>0</v>
      </c>
      <c r="S116" s="3841"/>
      <c r="T116" s="2801"/>
      <c r="U116" s="2789"/>
      <c r="V116" s="368">
        <f t="shared" si="31"/>
        <v>0</v>
      </c>
      <c r="W116" s="3841"/>
      <c r="X116" s="2801"/>
      <c r="Y116" s="2540"/>
      <c r="Z116" s="4048">
        <f t="shared" si="41"/>
        <v>0</v>
      </c>
      <c r="AA116" s="657"/>
      <c r="AB116" s="4049">
        <f t="shared" si="42"/>
        <v>0</v>
      </c>
      <c r="AC116" s="3841"/>
      <c r="AD116" s="2801"/>
      <c r="AE116" s="2789"/>
      <c r="AF116" s="368">
        <f t="shared" si="32"/>
        <v>0</v>
      </c>
      <c r="AG116" s="3841"/>
      <c r="AH116" s="2801"/>
      <c r="AI116" s="2789"/>
      <c r="AJ116" s="368">
        <f t="shared" si="40"/>
        <v>0</v>
      </c>
      <c r="AK116" s="3841"/>
      <c r="AL116" s="2801"/>
      <c r="AM116" s="2540"/>
      <c r="AN116" s="4048">
        <f t="shared" si="37"/>
        <v>0</v>
      </c>
      <c r="AO116" s="2538"/>
      <c r="AP116" s="368">
        <f t="shared" si="33"/>
        <v>0</v>
      </c>
      <c r="AQ116" s="3892"/>
      <c r="AR116" s="1199"/>
      <c r="AS116" s="2789"/>
      <c r="AT116" s="775">
        <f t="shared" si="34"/>
        <v>0</v>
      </c>
      <c r="AU116" s="3892"/>
      <c r="AV116" s="1199"/>
      <c r="AW116" s="2789"/>
      <c r="AX116" s="368">
        <f t="shared" si="35"/>
        <v>0</v>
      </c>
      <c r="AY116" s="3892"/>
      <c r="AZ116" s="1199"/>
      <c r="BA116" s="2540"/>
      <c r="BB116" s="570">
        <f t="shared" si="36"/>
        <v>0</v>
      </c>
      <c r="BC116" s="2541"/>
      <c r="BD116" s="657">
        <f t="shared" si="38"/>
        <v>0</v>
      </c>
      <c r="BE116" s="2538"/>
      <c r="BF116" s="775">
        <f t="shared" si="39"/>
        <v>0</v>
      </c>
      <c r="BG116" s="1202"/>
      <c r="BH116" s="1520">
        <f t="shared" si="22"/>
        <v>0</v>
      </c>
      <c r="BI116" s="1520">
        <f t="shared" si="23"/>
        <v>0</v>
      </c>
      <c r="BJ116" s="26">
        <f t="shared" si="24"/>
        <v>0</v>
      </c>
      <c r="BK116" s="26">
        <f t="shared" si="25"/>
        <v>0</v>
      </c>
      <c r="BL116" s="26">
        <f t="shared" si="26"/>
        <v>0</v>
      </c>
      <c r="BM116" s="26">
        <f t="shared" si="27"/>
        <v>0</v>
      </c>
    </row>
    <row r="117" spans="2:65" ht="16.2" thickBot="1" x14ac:dyDescent="0.35">
      <c r="B117" s="2780" t="s">
        <v>876</v>
      </c>
      <c r="C117" s="2781" t="s">
        <v>1434</v>
      </c>
      <c r="D117" s="2782" t="s">
        <v>50</v>
      </c>
      <c r="E117" s="2790"/>
      <c r="F117" s="107"/>
      <c r="G117" s="2790"/>
      <c r="H117" s="107"/>
      <c r="I117" s="2791"/>
      <c r="J117" s="42">
        <f t="shared" si="28"/>
        <v>0</v>
      </c>
      <c r="K117" s="2790"/>
      <c r="L117" s="107"/>
      <c r="M117" s="894"/>
      <c r="N117" s="613">
        <f t="shared" si="29"/>
        <v>0</v>
      </c>
      <c r="O117" s="2790"/>
      <c r="P117" s="107"/>
      <c r="Q117" s="844"/>
      <c r="R117" s="368">
        <f t="shared" si="30"/>
        <v>0</v>
      </c>
      <c r="S117" s="2790"/>
      <c r="T117" s="107"/>
      <c r="U117" s="844"/>
      <c r="V117" s="368">
        <f t="shared" si="31"/>
        <v>0</v>
      </c>
      <c r="W117" s="2790"/>
      <c r="X117" s="107"/>
      <c r="Y117" s="570"/>
      <c r="Z117" s="4048">
        <f t="shared" si="41"/>
        <v>0</v>
      </c>
      <c r="AA117" s="657"/>
      <c r="AB117" s="4049">
        <f t="shared" si="42"/>
        <v>0</v>
      </c>
      <c r="AC117" s="2790"/>
      <c r="AD117" s="107"/>
      <c r="AE117" s="844"/>
      <c r="AF117" s="368">
        <f t="shared" si="32"/>
        <v>0</v>
      </c>
      <c r="AG117" s="2790"/>
      <c r="AH117" s="107"/>
      <c r="AI117" s="844"/>
      <c r="AJ117" s="368">
        <f t="shared" si="40"/>
        <v>0</v>
      </c>
      <c r="AK117" s="2790"/>
      <c r="AL117" s="107"/>
      <c r="AM117" s="570"/>
      <c r="AN117" s="4048">
        <f t="shared" si="37"/>
        <v>0</v>
      </c>
      <c r="AO117" s="775"/>
      <c r="AP117" s="368">
        <f t="shared" si="33"/>
        <v>0</v>
      </c>
      <c r="AQ117" s="2790"/>
      <c r="AR117" s="107"/>
      <c r="AS117" s="844"/>
      <c r="AT117" s="775">
        <f t="shared" si="34"/>
        <v>0</v>
      </c>
      <c r="AU117" s="2790"/>
      <c r="AV117" s="107"/>
      <c r="AW117" s="844"/>
      <c r="AX117" s="368">
        <f t="shared" si="35"/>
        <v>0</v>
      </c>
      <c r="AY117" s="2790"/>
      <c r="AZ117" s="107"/>
      <c r="BA117" s="570"/>
      <c r="BB117" s="570">
        <f t="shared" si="36"/>
        <v>0</v>
      </c>
      <c r="BC117" s="657"/>
      <c r="BD117" s="657">
        <f t="shared" si="38"/>
        <v>0</v>
      </c>
      <c r="BE117" s="775"/>
      <c r="BF117" s="775">
        <f t="shared" si="39"/>
        <v>0</v>
      </c>
      <c r="BG117" s="1202"/>
      <c r="BH117" s="1520">
        <f t="shared" si="22"/>
        <v>0</v>
      </c>
      <c r="BI117" s="1520">
        <f t="shared" si="23"/>
        <v>0</v>
      </c>
      <c r="BJ117" s="26">
        <f t="shared" si="24"/>
        <v>0</v>
      </c>
      <c r="BK117" s="26">
        <f t="shared" si="25"/>
        <v>0</v>
      </c>
      <c r="BL117" s="26">
        <f t="shared" si="26"/>
        <v>0</v>
      </c>
      <c r="BM117" s="26">
        <f t="shared" si="27"/>
        <v>0</v>
      </c>
    </row>
    <row r="118" spans="2:65" ht="16.2" thickBot="1" x14ac:dyDescent="0.35">
      <c r="B118" s="2776" t="s">
        <v>859</v>
      </c>
      <c r="C118" s="2777" t="s">
        <v>1028</v>
      </c>
      <c r="D118" s="2778" t="s">
        <v>50</v>
      </c>
      <c r="E118" s="2778"/>
      <c r="F118" s="155">
        <f>1016.8-14.35</f>
        <v>1002.4499999999999</v>
      </c>
      <c r="G118" s="2778"/>
      <c r="H118" s="155">
        <v>559.65</v>
      </c>
      <c r="I118" s="2788"/>
      <c r="J118" s="42">
        <f t="shared" si="28"/>
        <v>1562.1</v>
      </c>
      <c r="K118" s="2778"/>
      <c r="L118" s="155">
        <v>1086.5</v>
      </c>
      <c r="M118" s="894"/>
      <c r="N118" s="613">
        <f t="shared" si="29"/>
        <v>2648.6</v>
      </c>
      <c r="O118" s="2778"/>
      <c r="P118" s="155"/>
      <c r="Q118" s="844"/>
      <c r="R118" s="368">
        <f t="shared" si="30"/>
        <v>2648.6</v>
      </c>
      <c r="S118" s="2778"/>
      <c r="T118" s="155"/>
      <c r="U118" s="844"/>
      <c r="V118" s="368">
        <f t="shared" si="31"/>
        <v>2648.6</v>
      </c>
      <c r="W118" s="2778"/>
      <c r="X118" s="155"/>
      <c r="Y118" s="570"/>
      <c r="Z118" s="4048">
        <f t="shared" si="41"/>
        <v>0</v>
      </c>
      <c r="AA118" s="657"/>
      <c r="AB118" s="4049">
        <f t="shared" si="42"/>
        <v>2648.6</v>
      </c>
      <c r="AC118" s="2778"/>
      <c r="AD118" s="155"/>
      <c r="AE118" s="844"/>
      <c r="AF118" s="368">
        <f t="shared" si="32"/>
        <v>2648.6</v>
      </c>
      <c r="AG118" s="2778"/>
      <c r="AH118" s="155"/>
      <c r="AI118" s="844"/>
      <c r="AJ118" s="368">
        <f t="shared" si="40"/>
        <v>2648.6</v>
      </c>
      <c r="AK118" s="2778"/>
      <c r="AL118" s="155"/>
      <c r="AM118" s="570"/>
      <c r="AN118" s="4048">
        <f t="shared" si="37"/>
        <v>0</v>
      </c>
      <c r="AO118" s="775"/>
      <c r="AP118" s="368">
        <f t="shared" si="33"/>
        <v>2648.6</v>
      </c>
      <c r="AQ118" s="2778"/>
      <c r="AR118" s="155"/>
      <c r="AS118" s="844"/>
      <c r="AT118" s="775">
        <f t="shared" si="34"/>
        <v>2648.6</v>
      </c>
      <c r="AU118" s="2778"/>
      <c r="AV118" s="155"/>
      <c r="AW118" s="844"/>
      <c r="AX118" s="368">
        <f t="shared" si="35"/>
        <v>2648.6</v>
      </c>
      <c r="AY118" s="2778"/>
      <c r="AZ118" s="155"/>
      <c r="BA118" s="570"/>
      <c r="BB118" s="570">
        <f t="shared" si="36"/>
        <v>0</v>
      </c>
      <c r="BC118" s="657"/>
      <c r="BD118" s="657">
        <f t="shared" si="38"/>
        <v>0</v>
      </c>
      <c r="BE118" s="775"/>
      <c r="BF118" s="775">
        <f t="shared" si="39"/>
        <v>2648.6</v>
      </c>
      <c r="BG118" s="1202"/>
      <c r="BH118" s="1520">
        <f t="shared" si="22"/>
        <v>0</v>
      </c>
      <c r="BI118" s="1520">
        <f t="shared" si="23"/>
        <v>0</v>
      </c>
      <c r="BJ118" s="26">
        <f t="shared" si="24"/>
        <v>0</v>
      </c>
      <c r="BK118" s="26">
        <f t="shared" si="25"/>
        <v>0</v>
      </c>
      <c r="BL118" s="26">
        <f t="shared" si="26"/>
        <v>0</v>
      </c>
      <c r="BM118" s="26">
        <f t="shared" si="27"/>
        <v>0</v>
      </c>
    </row>
    <row r="119" spans="2:65" ht="16.2" thickBot="1" x14ac:dyDescent="0.35">
      <c r="B119" s="842" t="s">
        <v>859</v>
      </c>
      <c r="C119" s="2534" t="s">
        <v>968</v>
      </c>
      <c r="D119" s="2535" t="s">
        <v>50</v>
      </c>
      <c r="E119" s="1689"/>
      <c r="F119" s="2537"/>
      <c r="G119" s="1689"/>
      <c r="H119" s="2537"/>
      <c r="I119" s="2789"/>
      <c r="J119" s="42">
        <f t="shared" si="28"/>
        <v>0</v>
      </c>
      <c r="K119" s="1689"/>
      <c r="L119" s="2537"/>
      <c r="M119" s="894"/>
      <c r="N119" s="613">
        <f t="shared" si="29"/>
        <v>0</v>
      </c>
      <c r="O119" s="1689"/>
      <c r="P119" s="2537"/>
      <c r="Q119" s="844"/>
      <c r="R119" s="368">
        <f t="shared" si="30"/>
        <v>0</v>
      </c>
      <c r="S119" s="1689"/>
      <c r="T119" s="2537"/>
      <c r="U119" s="844"/>
      <c r="V119" s="368">
        <f t="shared" si="31"/>
        <v>0</v>
      </c>
      <c r="W119" s="1689"/>
      <c r="X119" s="2537"/>
      <c r="Y119" s="570"/>
      <c r="Z119" s="4048">
        <f t="shared" si="41"/>
        <v>0</v>
      </c>
      <c r="AA119" s="657"/>
      <c r="AB119" s="4049">
        <f t="shared" si="42"/>
        <v>0</v>
      </c>
      <c r="AC119" s="1689"/>
      <c r="AD119" s="2537"/>
      <c r="AE119" s="844"/>
      <c r="AF119" s="368">
        <f t="shared" si="32"/>
        <v>0</v>
      </c>
      <c r="AG119" s="1689"/>
      <c r="AH119" s="2537"/>
      <c r="AI119" s="844"/>
      <c r="AJ119" s="775">
        <f t="shared" si="40"/>
        <v>0</v>
      </c>
      <c r="AK119" s="1689"/>
      <c r="AL119" s="2537"/>
      <c r="AM119" s="570"/>
      <c r="AN119" s="4048">
        <f t="shared" si="37"/>
        <v>0</v>
      </c>
      <c r="AO119" s="775"/>
      <c r="AP119" s="368">
        <f t="shared" si="33"/>
        <v>0</v>
      </c>
      <c r="AQ119" s="1689"/>
      <c r="AR119" s="2537"/>
      <c r="AS119" s="844"/>
      <c r="AT119" s="775">
        <f t="shared" si="34"/>
        <v>0</v>
      </c>
      <c r="AU119" s="1689"/>
      <c r="AV119" s="2537"/>
      <c r="AW119" s="844"/>
      <c r="AX119" s="368">
        <f t="shared" si="35"/>
        <v>0</v>
      </c>
      <c r="AY119" s="1689"/>
      <c r="AZ119" s="2537"/>
      <c r="BA119" s="570"/>
      <c r="BB119" s="570">
        <f t="shared" si="36"/>
        <v>0</v>
      </c>
      <c r="BC119" s="657"/>
      <c r="BD119" s="657">
        <f t="shared" si="38"/>
        <v>0</v>
      </c>
      <c r="BE119" s="775"/>
      <c r="BF119" s="775">
        <f t="shared" si="39"/>
        <v>0</v>
      </c>
      <c r="BG119" s="1202"/>
      <c r="BH119" s="1520">
        <f t="shared" si="22"/>
        <v>0</v>
      </c>
      <c r="BI119" s="1520">
        <f t="shared" si="23"/>
        <v>0</v>
      </c>
      <c r="BJ119" s="26">
        <f t="shared" si="24"/>
        <v>0</v>
      </c>
      <c r="BK119" s="26">
        <f t="shared" si="25"/>
        <v>0</v>
      </c>
      <c r="BL119" s="26">
        <f t="shared" si="26"/>
        <v>0</v>
      </c>
      <c r="BM119" s="26">
        <f t="shared" si="27"/>
        <v>0</v>
      </c>
    </row>
    <row r="120" spans="2:65" ht="16.2" thickBot="1" x14ac:dyDescent="0.35">
      <c r="B120" s="842" t="s">
        <v>859</v>
      </c>
      <c r="C120" s="2534" t="s">
        <v>1029</v>
      </c>
      <c r="D120" s="2535" t="s">
        <v>50</v>
      </c>
      <c r="E120" s="845"/>
      <c r="F120" s="2537">
        <v>606.80000000000007</v>
      </c>
      <c r="G120" s="845"/>
      <c r="H120" s="2537">
        <v>922.49999999999989</v>
      </c>
      <c r="I120" s="2789"/>
      <c r="J120" s="42">
        <f t="shared" si="28"/>
        <v>1529.3</v>
      </c>
      <c r="K120" s="845"/>
      <c r="L120" s="2537">
        <v>990.15</v>
      </c>
      <c r="M120" s="894"/>
      <c r="N120" s="613">
        <f t="shared" si="29"/>
        <v>2519.4499999999998</v>
      </c>
      <c r="O120" s="845"/>
      <c r="P120" s="2537"/>
      <c r="Q120" s="844"/>
      <c r="R120" s="368">
        <f t="shared" si="30"/>
        <v>2519.4499999999998</v>
      </c>
      <c r="S120" s="845"/>
      <c r="T120" s="2537"/>
      <c r="U120" s="844"/>
      <c r="V120" s="368">
        <f t="shared" si="31"/>
        <v>2519.4499999999998</v>
      </c>
      <c r="W120" s="845"/>
      <c r="X120" s="2537"/>
      <c r="Y120" s="570"/>
      <c r="Z120" s="4048">
        <f t="shared" si="41"/>
        <v>0</v>
      </c>
      <c r="AA120" s="657"/>
      <c r="AB120" s="4049">
        <f t="shared" si="42"/>
        <v>2519.4499999999998</v>
      </c>
      <c r="AC120" s="845"/>
      <c r="AD120" s="2537"/>
      <c r="AE120" s="844"/>
      <c r="AF120" s="368">
        <f t="shared" si="32"/>
        <v>2519.4499999999998</v>
      </c>
      <c r="AG120" s="845"/>
      <c r="AH120" s="2537"/>
      <c r="AI120" s="844"/>
      <c r="AJ120" s="368">
        <f t="shared" si="40"/>
        <v>2519.4499999999998</v>
      </c>
      <c r="AK120" s="845"/>
      <c r="AL120" s="2537"/>
      <c r="AM120" s="570"/>
      <c r="AN120" s="4048">
        <f t="shared" si="37"/>
        <v>0</v>
      </c>
      <c r="AO120" s="775"/>
      <c r="AP120" s="368">
        <f t="shared" si="33"/>
        <v>2519.4499999999998</v>
      </c>
      <c r="AQ120" s="845"/>
      <c r="AR120" s="2537"/>
      <c r="AS120" s="844"/>
      <c r="AT120" s="775">
        <f t="shared" si="34"/>
        <v>2519.4499999999998</v>
      </c>
      <c r="AU120" s="845"/>
      <c r="AV120" s="2537"/>
      <c r="AW120" s="844"/>
      <c r="AX120" s="368">
        <f t="shared" si="35"/>
        <v>2519.4499999999998</v>
      </c>
      <c r="AY120" s="845"/>
      <c r="AZ120" s="2537"/>
      <c r="BA120" s="570"/>
      <c r="BB120" s="570">
        <f t="shared" si="36"/>
        <v>0</v>
      </c>
      <c r="BC120" s="657"/>
      <c r="BD120" s="657">
        <f t="shared" si="38"/>
        <v>0</v>
      </c>
      <c r="BE120" s="775"/>
      <c r="BF120" s="775">
        <f t="shared" si="39"/>
        <v>2519.4499999999998</v>
      </c>
      <c r="BG120" s="1202"/>
      <c r="BH120" s="1520">
        <f t="shared" si="22"/>
        <v>0</v>
      </c>
      <c r="BI120" s="1520">
        <f t="shared" si="23"/>
        <v>0</v>
      </c>
      <c r="BJ120" s="26">
        <f t="shared" si="24"/>
        <v>0</v>
      </c>
      <c r="BK120" s="26">
        <f t="shared" si="25"/>
        <v>0</v>
      </c>
      <c r="BL120" s="26">
        <f t="shared" si="26"/>
        <v>0</v>
      </c>
      <c r="BM120" s="26">
        <f t="shared" si="27"/>
        <v>0</v>
      </c>
    </row>
    <row r="121" spans="2:65" ht="16.2" thickBot="1" x14ac:dyDescent="0.35">
      <c r="B121" s="3839" t="s">
        <v>859</v>
      </c>
      <c r="C121" s="3893" t="s">
        <v>1432</v>
      </c>
      <c r="D121" s="3894" t="s">
        <v>50</v>
      </c>
      <c r="E121" s="3895"/>
      <c r="F121" s="1199"/>
      <c r="G121" s="3895"/>
      <c r="H121" s="1199"/>
      <c r="I121" s="3858"/>
      <c r="J121" s="42">
        <f t="shared" si="28"/>
        <v>0</v>
      </c>
      <c r="K121" s="3895"/>
      <c r="L121" s="1199"/>
      <c r="M121" s="2757"/>
      <c r="N121" s="613">
        <f t="shared" si="29"/>
        <v>0</v>
      </c>
      <c r="O121" s="3895"/>
      <c r="P121" s="1199"/>
      <c r="Q121" s="2789"/>
      <c r="R121" s="368">
        <f t="shared" si="30"/>
        <v>0</v>
      </c>
      <c r="S121" s="3895"/>
      <c r="T121" s="1199"/>
      <c r="U121" s="2789"/>
      <c r="V121" s="368">
        <f t="shared" si="31"/>
        <v>0</v>
      </c>
      <c r="W121" s="3895"/>
      <c r="X121" s="1199"/>
      <c r="Y121" s="2540"/>
      <c r="Z121" s="4048">
        <f t="shared" si="41"/>
        <v>0</v>
      </c>
      <c r="AA121" s="657"/>
      <c r="AB121" s="4049">
        <f t="shared" si="42"/>
        <v>0</v>
      </c>
      <c r="AC121" s="3895"/>
      <c r="AD121" s="1199"/>
      <c r="AE121" s="2789"/>
      <c r="AF121" s="368">
        <f t="shared" si="32"/>
        <v>0</v>
      </c>
      <c r="AG121" s="3895"/>
      <c r="AH121" s="1199"/>
      <c r="AI121" s="2789"/>
      <c r="AJ121" s="368">
        <f t="shared" si="40"/>
        <v>0</v>
      </c>
      <c r="AK121" s="3895"/>
      <c r="AL121" s="1199"/>
      <c r="AM121" s="2540"/>
      <c r="AN121" s="4048">
        <f t="shared" si="37"/>
        <v>0</v>
      </c>
      <c r="AO121" s="2538"/>
      <c r="AP121" s="368">
        <f t="shared" si="33"/>
        <v>0</v>
      </c>
      <c r="AQ121" s="3895"/>
      <c r="AR121" s="1199"/>
      <c r="AS121" s="2789"/>
      <c r="AT121" s="775">
        <f t="shared" si="34"/>
        <v>0</v>
      </c>
      <c r="AU121" s="3895"/>
      <c r="AV121" s="1199"/>
      <c r="AW121" s="2789"/>
      <c r="AX121" s="368">
        <f t="shared" si="35"/>
        <v>0</v>
      </c>
      <c r="AY121" s="3895"/>
      <c r="AZ121" s="1199"/>
      <c r="BA121" s="2540"/>
      <c r="BB121" s="570">
        <f t="shared" si="36"/>
        <v>0</v>
      </c>
      <c r="BC121" s="2541"/>
      <c r="BD121" s="657">
        <f t="shared" si="38"/>
        <v>0</v>
      </c>
      <c r="BE121" s="2538"/>
      <c r="BF121" s="775">
        <f t="shared" si="39"/>
        <v>0</v>
      </c>
      <c r="BG121" s="1202"/>
      <c r="BH121" s="1520">
        <f t="shared" si="22"/>
        <v>0</v>
      </c>
      <c r="BI121" s="1520">
        <f t="shared" si="23"/>
        <v>0</v>
      </c>
      <c r="BJ121" s="26">
        <f t="shared" si="24"/>
        <v>0</v>
      </c>
      <c r="BK121" s="26">
        <f t="shared" si="25"/>
        <v>0</v>
      </c>
      <c r="BL121" s="26">
        <f t="shared" si="26"/>
        <v>0</v>
      </c>
      <c r="BM121" s="26">
        <f t="shared" si="27"/>
        <v>0</v>
      </c>
    </row>
    <row r="122" spans="2:65" ht="16.2" thickBot="1" x14ac:dyDescent="0.35">
      <c r="B122" s="2780" t="s">
        <v>859</v>
      </c>
      <c r="C122" s="2781" t="s">
        <v>1434</v>
      </c>
      <c r="D122" s="2782" t="s">
        <v>50</v>
      </c>
      <c r="E122" s="2793"/>
      <c r="F122" s="107">
        <v>143.5</v>
      </c>
      <c r="G122" s="2793"/>
      <c r="H122" s="107"/>
      <c r="I122" s="2791"/>
      <c r="J122" s="42">
        <f t="shared" si="28"/>
        <v>143.5</v>
      </c>
      <c r="K122" s="2793"/>
      <c r="L122" s="107"/>
      <c r="M122" s="894"/>
      <c r="N122" s="613">
        <f t="shared" si="29"/>
        <v>143.5</v>
      </c>
      <c r="O122" s="2793"/>
      <c r="P122" s="107"/>
      <c r="Q122" s="844"/>
      <c r="R122" s="368">
        <f t="shared" si="30"/>
        <v>143.5</v>
      </c>
      <c r="S122" s="2793"/>
      <c r="T122" s="107"/>
      <c r="U122" s="844"/>
      <c r="V122" s="368">
        <f t="shared" si="31"/>
        <v>143.5</v>
      </c>
      <c r="W122" s="2793"/>
      <c r="X122" s="107"/>
      <c r="Y122" s="570"/>
      <c r="Z122" s="4048">
        <f t="shared" si="41"/>
        <v>0</v>
      </c>
      <c r="AA122" s="657"/>
      <c r="AB122" s="4049">
        <f t="shared" si="42"/>
        <v>143.5</v>
      </c>
      <c r="AC122" s="2793"/>
      <c r="AD122" s="107"/>
      <c r="AE122" s="844"/>
      <c r="AF122" s="368">
        <f t="shared" si="32"/>
        <v>143.5</v>
      </c>
      <c r="AG122" s="2793"/>
      <c r="AH122" s="107"/>
      <c r="AI122" s="844"/>
      <c r="AJ122" s="368">
        <f t="shared" si="40"/>
        <v>143.5</v>
      </c>
      <c r="AK122" s="2793"/>
      <c r="AL122" s="107"/>
      <c r="AM122" s="570"/>
      <c r="AN122" s="4048">
        <f t="shared" si="37"/>
        <v>0</v>
      </c>
      <c r="AO122" s="775"/>
      <c r="AP122" s="368">
        <f t="shared" si="33"/>
        <v>143.5</v>
      </c>
      <c r="AQ122" s="2793"/>
      <c r="AR122" s="107"/>
      <c r="AS122" s="844"/>
      <c r="AT122" s="775">
        <f t="shared" si="34"/>
        <v>143.5</v>
      </c>
      <c r="AU122" s="2793"/>
      <c r="AV122" s="107"/>
      <c r="AW122" s="844"/>
      <c r="AX122" s="368">
        <f t="shared" si="35"/>
        <v>143.5</v>
      </c>
      <c r="AY122" s="2793"/>
      <c r="AZ122" s="107"/>
      <c r="BA122" s="570"/>
      <c r="BB122" s="570">
        <f t="shared" ref="BB122:BB157" si="48">AR122+AV122+AZ122</f>
        <v>0</v>
      </c>
      <c r="BC122" s="657"/>
      <c r="BD122" s="657">
        <f t="shared" si="38"/>
        <v>0</v>
      </c>
      <c r="BE122" s="775"/>
      <c r="BF122" s="775">
        <f t="shared" si="39"/>
        <v>143.5</v>
      </c>
      <c r="BG122" s="1202"/>
      <c r="BH122" s="1520">
        <f t="shared" si="22"/>
        <v>0</v>
      </c>
      <c r="BI122" s="1520">
        <f t="shared" si="23"/>
        <v>0</v>
      </c>
      <c r="BJ122" s="26">
        <f t="shared" si="24"/>
        <v>0</v>
      </c>
      <c r="BK122" s="26">
        <f t="shared" si="25"/>
        <v>0</v>
      </c>
      <c r="BL122" s="26">
        <f t="shared" si="26"/>
        <v>0</v>
      </c>
      <c r="BM122" s="26">
        <f t="shared" si="27"/>
        <v>0</v>
      </c>
    </row>
    <row r="123" spans="2:65" ht="16.2" thickBot="1" x14ac:dyDescent="0.35">
      <c r="B123" s="4838" t="s">
        <v>2046</v>
      </c>
      <c r="C123" s="4839" t="s">
        <v>1258</v>
      </c>
      <c r="D123" s="4802" t="s">
        <v>50</v>
      </c>
      <c r="E123" s="4844"/>
      <c r="F123" s="3437"/>
      <c r="G123" s="4844"/>
      <c r="H123" s="3437"/>
      <c r="I123" s="3438"/>
      <c r="J123" s="42">
        <f t="shared" si="28"/>
        <v>0</v>
      </c>
      <c r="K123" s="4844"/>
      <c r="L123" s="3437">
        <v>2436.8500000000004</v>
      </c>
      <c r="M123" s="4841"/>
      <c r="N123" s="613">
        <f t="shared" si="29"/>
        <v>2436.8500000000004</v>
      </c>
      <c r="O123" s="4844"/>
      <c r="P123" s="3437">
        <v>1510.85</v>
      </c>
      <c r="Q123" s="4842"/>
      <c r="R123" s="368">
        <f t="shared" si="30"/>
        <v>3947.7000000000003</v>
      </c>
      <c r="S123" s="4844"/>
      <c r="T123" s="3437"/>
      <c r="U123" s="4842"/>
      <c r="V123" s="368">
        <f t="shared" si="31"/>
        <v>3947.7000000000003</v>
      </c>
      <c r="W123" s="4844"/>
      <c r="X123" s="3437"/>
      <c r="Y123" s="4827"/>
      <c r="Z123" s="4048">
        <f t="shared" si="41"/>
        <v>1510.85</v>
      </c>
      <c r="AA123" s="4828"/>
      <c r="AB123" s="4049">
        <f t="shared" si="42"/>
        <v>3947.7000000000003</v>
      </c>
      <c r="AC123" s="4844"/>
      <c r="AD123" s="3437"/>
      <c r="AE123" s="4842"/>
      <c r="AF123" s="368">
        <f t="shared" si="32"/>
        <v>3947.7000000000003</v>
      </c>
      <c r="AG123" s="4844"/>
      <c r="AH123" s="3437"/>
      <c r="AI123" s="4842"/>
      <c r="AJ123" s="368">
        <f t="shared" si="40"/>
        <v>3947.7000000000003</v>
      </c>
      <c r="AK123" s="4844"/>
      <c r="AL123" s="3437"/>
      <c r="AM123" s="4827"/>
      <c r="AN123" s="4048">
        <f t="shared" si="37"/>
        <v>0</v>
      </c>
      <c r="AO123" s="4843"/>
      <c r="AP123" s="368">
        <f t="shared" si="33"/>
        <v>3947.7000000000003</v>
      </c>
      <c r="AQ123" s="4844"/>
      <c r="AR123" s="3437"/>
      <c r="AS123" s="4842"/>
      <c r="AT123" s="4843">
        <f t="shared" si="34"/>
        <v>3947.7000000000003</v>
      </c>
      <c r="AU123" s="4844"/>
      <c r="AV123" s="3437"/>
      <c r="AW123" s="4842"/>
      <c r="AX123" s="368">
        <f t="shared" si="35"/>
        <v>3947.7000000000003</v>
      </c>
      <c r="AY123" s="4844"/>
      <c r="AZ123" s="3437"/>
      <c r="BA123" s="4827"/>
      <c r="BB123" s="570">
        <f t="shared" si="48"/>
        <v>0</v>
      </c>
      <c r="BC123" s="4828"/>
      <c r="BD123" s="4524">
        <f t="shared" si="38"/>
        <v>0</v>
      </c>
      <c r="BE123" s="4843"/>
      <c r="BF123" s="775">
        <f t="shared" si="39"/>
        <v>3947.7000000000003</v>
      </c>
      <c r="BG123" s="1202"/>
      <c r="BH123" s="1520">
        <f t="shared" si="22"/>
        <v>0</v>
      </c>
      <c r="BI123" s="1520">
        <f t="shared" si="23"/>
        <v>0</v>
      </c>
      <c r="BJ123" s="26">
        <f t="shared" si="24"/>
        <v>0</v>
      </c>
      <c r="BK123" s="26">
        <f t="shared" si="25"/>
        <v>0</v>
      </c>
      <c r="BL123" s="26">
        <f t="shared" si="26"/>
        <v>0</v>
      </c>
      <c r="BM123" s="26">
        <f t="shared" si="27"/>
        <v>0</v>
      </c>
    </row>
    <row r="124" spans="2:65" ht="16.2" thickBot="1" x14ac:dyDescent="0.35">
      <c r="B124" s="4838" t="s">
        <v>2046</v>
      </c>
      <c r="C124" s="4839" t="s">
        <v>2045</v>
      </c>
      <c r="D124" s="4802" t="s">
        <v>50</v>
      </c>
      <c r="E124" s="4844"/>
      <c r="F124" s="3437"/>
      <c r="G124" s="4844"/>
      <c r="H124" s="3437"/>
      <c r="I124" s="3438"/>
      <c r="J124" s="42">
        <f t="shared" si="28"/>
        <v>0</v>
      </c>
      <c r="K124" s="4844"/>
      <c r="L124" s="3437">
        <v>2882.2999999999997</v>
      </c>
      <c r="M124" s="4841"/>
      <c r="N124" s="613">
        <f t="shared" si="29"/>
        <v>2882.2999999999997</v>
      </c>
      <c r="O124" s="4844"/>
      <c r="P124" s="3437">
        <v>9542.7500000000018</v>
      </c>
      <c r="Q124" s="4842"/>
      <c r="R124" s="368">
        <f t="shared" si="30"/>
        <v>12425.050000000001</v>
      </c>
      <c r="S124" s="4844"/>
      <c r="T124" s="3437"/>
      <c r="U124" s="4842"/>
      <c r="V124" s="368">
        <f t="shared" si="31"/>
        <v>12425.050000000001</v>
      </c>
      <c r="W124" s="4844"/>
      <c r="X124" s="3437"/>
      <c r="Y124" s="4827"/>
      <c r="Z124" s="4048">
        <f t="shared" si="41"/>
        <v>9542.7500000000018</v>
      </c>
      <c r="AA124" s="4828"/>
      <c r="AB124" s="4049">
        <f t="shared" si="42"/>
        <v>12425.050000000001</v>
      </c>
      <c r="AC124" s="4844"/>
      <c r="AD124" s="3437"/>
      <c r="AE124" s="4842"/>
      <c r="AF124" s="368">
        <f t="shared" si="32"/>
        <v>12425.050000000001</v>
      </c>
      <c r="AG124" s="4844"/>
      <c r="AH124" s="3437"/>
      <c r="AI124" s="4842"/>
      <c r="AJ124" s="368">
        <f t="shared" si="40"/>
        <v>12425.050000000001</v>
      </c>
      <c r="AK124" s="4844"/>
      <c r="AL124" s="3437"/>
      <c r="AM124" s="4827"/>
      <c r="AN124" s="4048">
        <f t="shared" si="37"/>
        <v>0</v>
      </c>
      <c r="AO124" s="4843"/>
      <c r="AP124" s="368">
        <f t="shared" si="33"/>
        <v>12425.050000000001</v>
      </c>
      <c r="AQ124" s="4844"/>
      <c r="AR124" s="3437"/>
      <c r="AS124" s="4842"/>
      <c r="AT124" s="4843">
        <f t="shared" si="34"/>
        <v>12425.050000000001</v>
      </c>
      <c r="AU124" s="4844"/>
      <c r="AV124" s="3437"/>
      <c r="AW124" s="4842"/>
      <c r="AX124" s="368">
        <f t="shared" si="35"/>
        <v>12425.050000000001</v>
      </c>
      <c r="AY124" s="4844"/>
      <c r="AZ124" s="3437"/>
      <c r="BA124" s="4827"/>
      <c r="BB124" s="570">
        <f t="shared" si="48"/>
        <v>0</v>
      </c>
      <c r="BC124" s="4828"/>
      <c r="BD124" s="4524">
        <f t="shared" si="38"/>
        <v>0</v>
      </c>
      <c r="BE124" s="4843"/>
      <c r="BF124" s="775">
        <f t="shared" si="39"/>
        <v>12425.050000000001</v>
      </c>
      <c r="BG124" s="1202"/>
      <c r="BH124" s="1520">
        <f t="shared" si="22"/>
        <v>0</v>
      </c>
      <c r="BI124" s="1520">
        <f t="shared" si="23"/>
        <v>0</v>
      </c>
      <c r="BJ124" s="26">
        <f t="shared" si="24"/>
        <v>0</v>
      </c>
      <c r="BK124" s="26">
        <f t="shared" si="25"/>
        <v>0</v>
      </c>
      <c r="BL124" s="26">
        <f t="shared" si="26"/>
        <v>0</v>
      </c>
      <c r="BM124" s="26">
        <f t="shared" si="27"/>
        <v>0</v>
      </c>
    </row>
    <row r="125" spans="2:65" ht="16.2" thickBot="1" x14ac:dyDescent="0.35">
      <c r="B125" s="2776" t="s">
        <v>867</v>
      </c>
      <c r="C125" s="2777" t="s">
        <v>1258</v>
      </c>
      <c r="D125" s="2778" t="s">
        <v>50</v>
      </c>
      <c r="E125" s="2787"/>
      <c r="F125" s="155"/>
      <c r="G125" s="2787"/>
      <c r="H125" s="155"/>
      <c r="I125" s="2788"/>
      <c r="J125" s="42">
        <f t="shared" si="28"/>
        <v>0</v>
      </c>
      <c r="K125" s="2787"/>
      <c r="L125" s="155">
        <f>3165.2-2.05</f>
        <v>3163.1499999999996</v>
      </c>
      <c r="M125" s="894"/>
      <c r="N125" s="613">
        <f t="shared" si="29"/>
        <v>3163.1499999999996</v>
      </c>
      <c r="O125" s="2787"/>
      <c r="P125" s="2798">
        <f>196.8-2.05</f>
        <v>194.75</v>
      </c>
      <c r="Q125" s="844"/>
      <c r="R125" s="368">
        <f t="shared" si="30"/>
        <v>3357.8999999999996</v>
      </c>
      <c r="S125" s="2787"/>
      <c r="T125" s="155"/>
      <c r="U125" s="844"/>
      <c r="V125" s="368">
        <f t="shared" si="31"/>
        <v>3357.8999999999996</v>
      </c>
      <c r="W125" s="2787"/>
      <c r="X125" s="155"/>
      <c r="Y125" s="570"/>
      <c r="Z125" s="4048">
        <f t="shared" si="41"/>
        <v>194.75</v>
      </c>
      <c r="AA125" s="657"/>
      <c r="AB125" s="4049">
        <f t="shared" si="42"/>
        <v>3357.8999999999996</v>
      </c>
      <c r="AC125" s="2787"/>
      <c r="AD125" s="155"/>
      <c r="AE125" s="844"/>
      <c r="AF125" s="368">
        <f t="shared" si="32"/>
        <v>3357.8999999999996</v>
      </c>
      <c r="AG125" s="2787"/>
      <c r="AH125" s="155"/>
      <c r="AI125" s="844"/>
      <c r="AJ125" s="368">
        <f t="shared" si="40"/>
        <v>3357.8999999999996</v>
      </c>
      <c r="AK125" s="2787"/>
      <c r="AL125" s="155"/>
      <c r="AM125" s="570"/>
      <c r="AN125" s="4048">
        <f t="shared" si="37"/>
        <v>0</v>
      </c>
      <c r="AO125" s="775"/>
      <c r="AP125" s="368">
        <f t="shared" si="33"/>
        <v>3357.8999999999996</v>
      </c>
      <c r="AQ125" s="2787"/>
      <c r="AR125" s="155"/>
      <c r="AS125" s="844"/>
      <c r="AT125" s="775">
        <f t="shared" si="34"/>
        <v>3357.8999999999996</v>
      </c>
      <c r="AU125" s="2787"/>
      <c r="AV125" s="155"/>
      <c r="AW125" s="844"/>
      <c r="AX125" s="368">
        <f t="shared" si="35"/>
        <v>3357.8999999999996</v>
      </c>
      <c r="AY125" s="2787"/>
      <c r="AZ125" s="155"/>
      <c r="BA125" s="570"/>
      <c r="BB125" s="570">
        <f t="shared" si="48"/>
        <v>0</v>
      </c>
      <c r="BC125" s="657"/>
      <c r="BD125" s="657">
        <f t="shared" si="38"/>
        <v>0</v>
      </c>
      <c r="BE125" s="775"/>
      <c r="BF125" s="775">
        <f t="shared" ref="BF125:BF157" si="49">+AX125+AZ125</f>
        <v>3357.8999999999996</v>
      </c>
      <c r="BG125" s="1202"/>
      <c r="BH125" s="1520">
        <f t="shared" si="22"/>
        <v>0</v>
      </c>
      <c r="BI125" s="1520">
        <f t="shared" si="23"/>
        <v>0</v>
      </c>
      <c r="BJ125" s="26">
        <f t="shared" si="24"/>
        <v>0</v>
      </c>
      <c r="BK125" s="26">
        <f t="shared" si="25"/>
        <v>0</v>
      </c>
      <c r="BL125" s="26">
        <f t="shared" si="26"/>
        <v>0</v>
      </c>
      <c r="BM125" s="26">
        <f t="shared" si="27"/>
        <v>0</v>
      </c>
    </row>
    <row r="126" spans="2:65" ht="16.2" thickBot="1" x14ac:dyDescent="0.35">
      <c r="B126" s="4838" t="s">
        <v>867</v>
      </c>
      <c r="C126" s="4839" t="s">
        <v>2045</v>
      </c>
      <c r="D126" s="4802" t="s">
        <v>50</v>
      </c>
      <c r="E126" s="4840"/>
      <c r="F126" s="3437"/>
      <c r="G126" s="4840"/>
      <c r="H126" s="3437"/>
      <c r="I126" s="3438"/>
      <c r="J126" s="42">
        <f t="shared" ref="J126:J127" si="50">+F126+H126</f>
        <v>0</v>
      </c>
      <c r="K126" s="4840"/>
      <c r="L126" s="3437">
        <v>879.45000000000016</v>
      </c>
      <c r="M126" s="4841"/>
      <c r="N126" s="613">
        <f t="shared" si="29"/>
        <v>879.45000000000016</v>
      </c>
      <c r="O126" s="4840"/>
      <c r="P126" s="3437"/>
      <c r="Q126" s="4842"/>
      <c r="R126" s="368">
        <f t="shared" si="30"/>
        <v>879.45000000000016</v>
      </c>
      <c r="S126" s="4840"/>
      <c r="T126" s="3437"/>
      <c r="U126" s="4842"/>
      <c r="V126" s="368">
        <f t="shared" si="31"/>
        <v>879.45000000000016</v>
      </c>
      <c r="W126" s="4840"/>
      <c r="X126" s="3437"/>
      <c r="Y126" s="4827"/>
      <c r="Z126" s="4048">
        <f t="shared" si="41"/>
        <v>0</v>
      </c>
      <c r="AA126" s="4828"/>
      <c r="AB126" s="4049">
        <f t="shared" si="42"/>
        <v>879.45000000000016</v>
      </c>
      <c r="AC126" s="4840"/>
      <c r="AD126" s="3437"/>
      <c r="AE126" s="4842"/>
      <c r="AF126" s="368">
        <f t="shared" si="32"/>
        <v>879.45000000000016</v>
      </c>
      <c r="AG126" s="4840"/>
      <c r="AH126" s="3437"/>
      <c r="AI126" s="4842"/>
      <c r="AJ126" s="368">
        <f t="shared" si="40"/>
        <v>879.45000000000016</v>
      </c>
      <c r="AK126" s="4840"/>
      <c r="AL126" s="3437"/>
      <c r="AM126" s="4827"/>
      <c r="AN126" s="4048">
        <f t="shared" si="37"/>
        <v>0</v>
      </c>
      <c r="AO126" s="4843"/>
      <c r="AP126" s="368">
        <f t="shared" si="33"/>
        <v>879.45000000000016</v>
      </c>
      <c r="AQ126" s="4840"/>
      <c r="AR126" s="3437"/>
      <c r="AS126" s="4842"/>
      <c r="AT126" s="4843">
        <f t="shared" si="34"/>
        <v>879.45000000000016</v>
      </c>
      <c r="AU126" s="4840"/>
      <c r="AV126" s="3437"/>
      <c r="AW126" s="4842"/>
      <c r="AX126" s="368">
        <f t="shared" si="35"/>
        <v>879.45000000000016</v>
      </c>
      <c r="AY126" s="4840"/>
      <c r="AZ126" s="3437"/>
      <c r="BA126" s="4827"/>
      <c r="BB126" s="570">
        <f t="shared" si="48"/>
        <v>0</v>
      </c>
      <c r="BC126" s="4828"/>
      <c r="BD126" s="4524">
        <f t="shared" si="38"/>
        <v>0</v>
      </c>
      <c r="BE126" s="4843"/>
      <c r="BF126" s="775">
        <f t="shared" si="49"/>
        <v>879.45000000000016</v>
      </c>
      <c r="BG126" s="1202"/>
      <c r="BH126" s="1520">
        <f t="shared" si="22"/>
        <v>0</v>
      </c>
      <c r="BI126" s="1520">
        <f t="shared" si="23"/>
        <v>0</v>
      </c>
      <c r="BJ126" s="26">
        <f t="shared" si="24"/>
        <v>0</v>
      </c>
      <c r="BK126" s="26">
        <f t="shared" si="25"/>
        <v>0</v>
      </c>
      <c r="BL126" s="26">
        <f t="shared" si="26"/>
        <v>0</v>
      </c>
      <c r="BM126" s="26">
        <f t="shared" si="27"/>
        <v>0</v>
      </c>
    </row>
    <row r="127" spans="2:65" ht="16.2" thickBot="1" x14ac:dyDescent="0.35">
      <c r="B127" s="2780" t="s">
        <v>867</v>
      </c>
      <c r="C127" s="2781" t="s">
        <v>871</v>
      </c>
      <c r="D127" s="2782" t="s">
        <v>50</v>
      </c>
      <c r="E127" s="2790"/>
      <c r="F127" s="107"/>
      <c r="G127" s="2790"/>
      <c r="H127" s="107"/>
      <c r="I127" s="2791"/>
      <c r="J127" s="43">
        <f t="shared" si="50"/>
        <v>0</v>
      </c>
      <c r="K127" s="2790"/>
      <c r="L127" s="107"/>
      <c r="M127" s="894"/>
      <c r="N127" s="613">
        <f t="shared" si="29"/>
        <v>0</v>
      </c>
      <c r="O127" s="2790"/>
      <c r="P127" s="107"/>
      <c r="Q127" s="844"/>
      <c r="R127" s="368">
        <f t="shared" si="30"/>
        <v>0</v>
      </c>
      <c r="S127" s="2790"/>
      <c r="T127" s="107"/>
      <c r="U127" s="844"/>
      <c r="V127" s="368">
        <f t="shared" si="31"/>
        <v>0</v>
      </c>
      <c r="W127" s="2790"/>
      <c r="X127" s="107"/>
      <c r="Y127" s="570"/>
      <c r="Z127" s="4048">
        <f t="shared" si="41"/>
        <v>0</v>
      </c>
      <c r="AA127" s="657"/>
      <c r="AB127" s="4049">
        <f t="shared" si="42"/>
        <v>0</v>
      </c>
      <c r="AC127" s="2790"/>
      <c r="AD127" s="107"/>
      <c r="AE127" s="844"/>
      <c r="AF127" s="368">
        <f t="shared" si="32"/>
        <v>0</v>
      </c>
      <c r="AG127" s="2790"/>
      <c r="AH127" s="107"/>
      <c r="AI127" s="844"/>
      <c r="AJ127" s="368">
        <f t="shared" si="40"/>
        <v>0</v>
      </c>
      <c r="AK127" s="2790"/>
      <c r="AL127" s="107"/>
      <c r="AM127" s="570"/>
      <c r="AN127" s="4048">
        <f t="shared" si="37"/>
        <v>0</v>
      </c>
      <c r="AO127" s="775"/>
      <c r="AP127" s="368">
        <f t="shared" si="33"/>
        <v>0</v>
      </c>
      <c r="AQ127" s="2790"/>
      <c r="AR127" s="107"/>
      <c r="AS127" s="844"/>
      <c r="AT127" s="775">
        <f t="shared" si="34"/>
        <v>0</v>
      </c>
      <c r="AU127" s="2790"/>
      <c r="AV127" s="107"/>
      <c r="AW127" s="844"/>
      <c r="AX127" s="368">
        <f t="shared" si="35"/>
        <v>0</v>
      </c>
      <c r="AY127" s="2790"/>
      <c r="AZ127" s="107"/>
      <c r="BA127" s="570"/>
      <c r="BB127" s="570">
        <f t="shared" si="48"/>
        <v>0</v>
      </c>
      <c r="BC127" s="657"/>
      <c r="BD127" s="657">
        <f t="shared" si="38"/>
        <v>0</v>
      </c>
      <c r="BE127" s="775"/>
      <c r="BF127" s="775">
        <f t="shared" si="49"/>
        <v>0</v>
      </c>
      <c r="BG127" s="1202"/>
      <c r="BH127" s="1520">
        <f t="shared" si="22"/>
        <v>0</v>
      </c>
      <c r="BI127" s="1520">
        <f t="shared" si="23"/>
        <v>0</v>
      </c>
      <c r="BJ127" s="26">
        <f t="shared" si="24"/>
        <v>0</v>
      </c>
      <c r="BK127" s="26">
        <f t="shared" si="25"/>
        <v>0</v>
      </c>
      <c r="BL127" s="26">
        <f t="shared" si="26"/>
        <v>0</v>
      </c>
      <c r="BM127" s="26">
        <f t="shared" si="27"/>
        <v>0</v>
      </c>
    </row>
    <row r="128" spans="2:65" ht="16.2" thickBot="1" x14ac:dyDescent="0.35">
      <c r="B128" s="2826" t="s">
        <v>1061</v>
      </c>
      <c r="E128"/>
      <c r="F128"/>
      <c r="G128"/>
      <c r="I128"/>
      <c r="J128"/>
      <c r="K128"/>
      <c r="L128"/>
      <c r="M128"/>
      <c r="N128" s="613">
        <f t="shared" si="29"/>
        <v>0</v>
      </c>
      <c r="O128"/>
      <c r="P128"/>
      <c r="Q128"/>
      <c r="R128" s="368">
        <f t="shared" si="30"/>
        <v>0</v>
      </c>
      <c r="V128" s="368">
        <f t="shared" si="31"/>
        <v>0</v>
      </c>
      <c r="AJ128" s="368"/>
      <c r="BG128" s="1202"/>
      <c r="BH128" s="1520">
        <f t="shared" si="22"/>
        <v>0</v>
      </c>
      <c r="BI128" s="1520">
        <f t="shared" si="23"/>
        <v>0</v>
      </c>
      <c r="BJ128" s="26">
        <f t="shared" si="24"/>
        <v>0</v>
      </c>
      <c r="BK128" s="26">
        <f t="shared" si="25"/>
        <v>0</v>
      </c>
      <c r="BL128" s="26">
        <f t="shared" si="26"/>
        <v>0</v>
      </c>
      <c r="BM128" s="26">
        <f t="shared" si="27"/>
        <v>0</v>
      </c>
    </row>
    <row r="129" spans="2:65" ht="16.2" thickBot="1" x14ac:dyDescent="0.35">
      <c r="B129" s="2827" t="s">
        <v>1027</v>
      </c>
      <c r="C129" s="2828" t="s">
        <v>1062</v>
      </c>
      <c r="D129" s="2829" t="s">
        <v>50</v>
      </c>
      <c r="E129" s="2787"/>
      <c r="F129" s="155">
        <v>6.15</v>
      </c>
      <c r="G129" s="2787"/>
      <c r="H129" s="155">
        <v>4.0999999999999996</v>
      </c>
      <c r="I129" s="2830"/>
      <c r="J129" s="42">
        <f t="shared" ref="J129:J157" si="51">+F129+H129</f>
        <v>10.25</v>
      </c>
      <c r="K129" s="2787"/>
      <c r="L129" s="155"/>
      <c r="M129" s="894"/>
      <c r="N129" s="613">
        <f t="shared" si="29"/>
        <v>10.25</v>
      </c>
      <c r="O129" s="2787"/>
      <c r="P129" s="155"/>
      <c r="Q129" s="261"/>
      <c r="R129" s="368">
        <f t="shared" si="30"/>
        <v>10.25</v>
      </c>
      <c r="S129" s="2787"/>
      <c r="T129" s="155">
        <v>6.15</v>
      </c>
      <c r="U129" s="261"/>
      <c r="V129" s="368">
        <f t="shared" si="31"/>
        <v>16.399999999999999</v>
      </c>
      <c r="W129" s="2787"/>
      <c r="X129" s="155">
        <v>6.15</v>
      </c>
      <c r="Y129" s="570"/>
      <c r="Z129" s="4048">
        <f t="shared" si="41"/>
        <v>12.3</v>
      </c>
      <c r="AA129" s="657"/>
      <c r="AB129" s="4049">
        <f t="shared" si="42"/>
        <v>22.55</v>
      </c>
      <c r="AC129" s="2787"/>
      <c r="AD129" s="155"/>
      <c r="AE129" s="261"/>
      <c r="AF129" s="775">
        <f t="shared" ref="AF129:AF154" si="52">+AB129+AD129</f>
        <v>22.55</v>
      </c>
      <c r="AG129" s="2787"/>
      <c r="AH129" s="155">
        <v>2.0499999999999998</v>
      </c>
      <c r="AI129" s="261"/>
      <c r="AJ129" s="368">
        <f t="shared" si="40"/>
        <v>24.6</v>
      </c>
      <c r="AK129" s="2787"/>
      <c r="AL129" s="155">
        <v>8.1999999999999993</v>
      </c>
      <c r="AM129" s="570"/>
      <c r="AN129" s="570">
        <f t="shared" ref="AN129:AN147" si="53">AD129+AH129+AL129</f>
        <v>10.25</v>
      </c>
      <c r="AO129" s="775"/>
      <c r="AP129" s="775">
        <f t="shared" ref="AP129:AP148" si="54">AJ129+AL129</f>
        <v>32.799999999999997</v>
      </c>
      <c r="AQ129" s="2787"/>
      <c r="AR129" s="2798"/>
      <c r="AS129" s="261"/>
      <c r="AT129" s="775">
        <f t="shared" ref="AT129:AT157" si="55">+AP129+AR129</f>
        <v>32.799999999999997</v>
      </c>
      <c r="AU129" s="2787"/>
      <c r="AV129" s="2798">
        <v>14.35</v>
      </c>
      <c r="AW129" s="261"/>
      <c r="AX129" s="775">
        <f t="shared" ref="AX129:AX146" si="56">+AT129+AV129</f>
        <v>47.15</v>
      </c>
      <c r="AY129" s="2787"/>
      <c r="AZ129" s="2798"/>
      <c r="BA129" s="570"/>
      <c r="BB129" s="570">
        <f t="shared" si="48"/>
        <v>14.35</v>
      </c>
      <c r="BC129" s="657"/>
      <c r="BD129" s="657">
        <f t="shared" si="38"/>
        <v>24.6</v>
      </c>
      <c r="BE129" s="775"/>
      <c r="BF129" s="775">
        <f t="shared" si="49"/>
        <v>47.15</v>
      </c>
      <c r="BG129" s="1202"/>
      <c r="BH129" s="1520">
        <f t="shared" si="22"/>
        <v>0</v>
      </c>
      <c r="BI129" s="1520">
        <f t="shared" si="23"/>
        <v>0</v>
      </c>
      <c r="BJ129" s="26">
        <f t="shared" si="24"/>
        <v>0</v>
      </c>
      <c r="BK129" s="26">
        <f t="shared" si="25"/>
        <v>0</v>
      </c>
      <c r="BL129" s="26">
        <f t="shared" si="26"/>
        <v>0</v>
      </c>
      <c r="BM129" s="26">
        <f t="shared" si="27"/>
        <v>0</v>
      </c>
    </row>
    <row r="130" spans="2:65" ht="16.2" thickBot="1" x14ac:dyDescent="0.35">
      <c r="B130" s="1609" t="s">
        <v>1026</v>
      </c>
      <c r="C130" s="2831" t="s">
        <v>1062</v>
      </c>
      <c r="D130" s="2832" t="s">
        <v>50</v>
      </c>
      <c r="E130" s="845"/>
      <c r="F130" s="2537">
        <v>82</v>
      </c>
      <c r="G130" s="845"/>
      <c r="H130" s="2537">
        <v>36.9</v>
      </c>
      <c r="I130" s="2833"/>
      <c r="J130" s="38">
        <f t="shared" si="51"/>
        <v>118.9</v>
      </c>
      <c r="K130" s="845"/>
      <c r="L130" s="2537">
        <v>22.55</v>
      </c>
      <c r="M130" s="894"/>
      <c r="N130" s="613">
        <f t="shared" si="29"/>
        <v>141.45000000000002</v>
      </c>
      <c r="O130" s="845"/>
      <c r="P130" s="2537">
        <v>32.799999999999997</v>
      </c>
      <c r="Q130" s="261"/>
      <c r="R130" s="368">
        <f t="shared" si="30"/>
        <v>174.25</v>
      </c>
      <c r="S130" s="845"/>
      <c r="T130" s="2537">
        <v>92.25</v>
      </c>
      <c r="U130" s="261"/>
      <c r="V130" s="368">
        <f t="shared" si="31"/>
        <v>266.5</v>
      </c>
      <c r="W130" s="845"/>
      <c r="X130" s="2537">
        <v>14.35</v>
      </c>
      <c r="Y130" s="570"/>
      <c r="Z130" s="4048">
        <f t="shared" si="41"/>
        <v>139.4</v>
      </c>
      <c r="AA130" s="657"/>
      <c r="AB130" s="4049">
        <f t="shared" si="42"/>
        <v>280.85000000000002</v>
      </c>
      <c r="AC130" s="845"/>
      <c r="AD130" s="2537">
        <v>18.45</v>
      </c>
      <c r="AE130" s="261"/>
      <c r="AF130" s="775">
        <f t="shared" si="52"/>
        <v>299.3</v>
      </c>
      <c r="AG130" s="845"/>
      <c r="AH130" s="2537">
        <v>16.399999999999999</v>
      </c>
      <c r="AI130" s="261"/>
      <c r="AJ130" s="368">
        <f t="shared" si="40"/>
        <v>315.7</v>
      </c>
      <c r="AK130" s="845"/>
      <c r="AL130" s="2537">
        <v>10.25</v>
      </c>
      <c r="AM130" s="570"/>
      <c r="AN130" s="570">
        <f t="shared" si="53"/>
        <v>45.099999999999994</v>
      </c>
      <c r="AO130" s="775"/>
      <c r="AP130" s="775">
        <f t="shared" si="54"/>
        <v>325.95</v>
      </c>
      <c r="AQ130" s="845"/>
      <c r="AR130" s="2795">
        <f>14.35+4.1+2.05</f>
        <v>20.5</v>
      </c>
      <c r="AS130" s="261"/>
      <c r="AT130" s="775">
        <f t="shared" si="55"/>
        <v>346.45</v>
      </c>
      <c r="AU130" s="845"/>
      <c r="AV130" s="2795">
        <v>43.05</v>
      </c>
      <c r="AW130" s="261"/>
      <c r="AX130" s="775">
        <f t="shared" si="56"/>
        <v>389.5</v>
      </c>
      <c r="AY130" s="845"/>
      <c r="AZ130" s="2795">
        <v>24.6</v>
      </c>
      <c r="BA130" s="570"/>
      <c r="BB130" s="570">
        <f t="shared" si="48"/>
        <v>88.15</v>
      </c>
      <c r="BC130" s="657"/>
      <c r="BD130" s="657">
        <f t="shared" si="38"/>
        <v>133.25</v>
      </c>
      <c r="BE130" s="775"/>
      <c r="BF130" s="775">
        <f t="shared" si="49"/>
        <v>414.1</v>
      </c>
      <c r="BG130" s="1202"/>
      <c r="BH130" s="1520">
        <f t="shared" si="22"/>
        <v>0</v>
      </c>
      <c r="BI130" s="1520">
        <f t="shared" si="23"/>
        <v>0</v>
      </c>
      <c r="BJ130" s="26">
        <f t="shared" si="24"/>
        <v>0</v>
      </c>
      <c r="BK130" s="26">
        <f t="shared" si="25"/>
        <v>0</v>
      </c>
      <c r="BL130" s="26">
        <f t="shared" si="26"/>
        <v>0</v>
      </c>
      <c r="BM130" s="26">
        <f t="shared" si="27"/>
        <v>0</v>
      </c>
    </row>
    <row r="131" spans="2:65" ht="16.2" thickBot="1" x14ac:dyDescent="0.35">
      <c r="B131" s="1609" t="s">
        <v>1025</v>
      </c>
      <c r="C131" s="2831" t="s">
        <v>1062</v>
      </c>
      <c r="D131" s="2832" t="s">
        <v>50</v>
      </c>
      <c r="E131" s="845"/>
      <c r="F131" s="2537"/>
      <c r="G131" s="845"/>
      <c r="H131" s="2537"/>
      <c r="I131" s="2833"/>
      <c r="J131" s="38">
        <f t="shared" si="51"/>
        <v>0</v>
      </c>
      <c r="K131" s="845"/>
      <c r="L131" s="2537"/>
      <c r="M131" s="894"/>
      <c r="N131" s="613">
        <f t="shared" si="29"/>
        <v>0</v>
      </c>
      <c r="O131" s="845"/>
      <c r="P131" s="2537"/>
      <c r="Q131" s="261"/>
      <c r="R131" s="368">
        <f t="shared" si="30"/>
        <v>0</v>
      </c>
      <c r="S131" s="845"/>
      <c r="T131" s="2537"/>
      <c r="U131" s="261"/>
      <c r="V131" s="368">
        <f t="shared" si="31"/>
        <v>0</v>
      </c>
      <c r="W131" s="845"/>
      <c r="X131" s="2537"/>
      <c r="Y131" s="570"/>
      <c r="Z131" s="4048">
        <f t="shared" si="41"/>
        <v>0</v>
      </c>
      <c r="AA131" s="657"/>
      <c r="AB131" s="4049">
        <f t="shared" si="42"/>
        <v>0</v>
      </c>
      <c r="AC131" s="845"/>
      <c r="AD131" s="2537"/>
      <c r="AE131" s="261"/>
      <c r="AF131" s="775">
        <f t="shared" si="52"/>
        <v>0</v>
      </c>
      <c r="AG131" s="845"/>
      <c r="AH131" s="2537">
        <v>2.0499999999999998</v>
      </c>
      <c r="AI131" s="261"/>
      <c r="AJ131" s="368">
        <f t="shared" si="40"/>
        <v>2.0499999999999998</v>
      </c>
      <c r="AK131" s="845"/>
      <c r="AL131" s="2537"/>
      <c r="AM131" s="570"/>
      <c r="AN131" s="570">
        <f t="shared" si="53"/>
        <v>2.0499999999999998</v>
      </c>
      <c r="AO131" s="775"/>
      <c r="AP131" s="775">
        <f t="shared" si="54"/>
        <v>2.0499999999999998</v>
      </c>
      <c r="AQ131" s="845"/>
      <c r="AR131" s="2795">
        <v>2.0499999999999998</v>
      </c>
      <c r="AS131" s="261"/>
      <c r="AT131" s="775">
        <f t="shared" si="55"/>
        <v>4.0999999999999996</v>
      </c>
      <c r="AU131" s="845"/>
      <c r="AV131" s="2795"/>
      <c r="AW131" s="261"/>
      <c r="AX131" s="775">
        <f t="shared" si="56"/>
        <v>4.0999999999999996</v>
      </c>
      <c r="AY131" s="845"/>
      <c r="AZ131" s="2795"/>
      <c r="BA131" s="570"/>
      <c r="BB131" s="570">
        <f t="shared" si="48"/>
        <v>2.0499999999999998</v>
      </c>
      <c r="BC131" s="657"/>
      <c r="BD131" s="657">
        <f t="shared" si="38"/>
        <v>4.0999999999999996</v>
      </c>
      <c r="BE131" s="775"/>
      <c r="BF131" s="775">
        <f t="shared" si="49"/>
        <v>4.0999999999999996</v>
      </c>
      <c r="BG131" s="1202"/>
      <c r="BH131" s="1520">
        <f t="shared" si="22"/>
        <v>0</v>
      </c>
      <c r="BI131" s="1520">
        <f t="shared" si="23"/>
        <v>0</v>
      </c>
      <c r="BJ131" s="26">
        <f t="shared" si="24"/>
        <v>0</v>
      </c>
      <c r="BK131" s="26">
        <f t="shared" si="25"/>
        <v>0</v>
      </c>
      <c r="BL131" s="26">
        <f t="shared" si="26"/>
        <v>0</v>
      </c>
      <c r="BM131" s="26">
        <f t="shared" si="27"/>
        <v>0</v>
      </c>
    </row>
    <row r="132" spans="2:65" ht="16.2" thickBot="1" x14ac:dyDescent="0.35">
      <c r="B132" s="1609" t="s">
        <v>1023</v>
      </c>
      <c r="C132" s="2831" t="s">
        <v>1062</v>
      </c>
      <c r="D132" s="2832" t="s">
        <v>50</v>
      </c>
      <c r="E132" s="845"/>
      <c r="F132" s="2537">
        <f>4.1+2.05</f>
        <v>6.1499999999999995</v>
      </c>
      <c r="G132" s="845"/>
      <c r="H132" s="2537">
        <v>12.3</v>
      </c>
      <c r="I132" s="2833"/>
      <c r="J132" s="38">
        <f t="shared" si="51"/>
        <v>18.45</v>
      </c>
      <c r="K132" s="845"/>
      <c r="L132" s="2537"/>
      <c r="M132" s="894"/>
      <c r="N132" s="613">
        <f t="shared" si="29"/>
        <v>18.45</v>
      </c>
      <c r="O132" s="845"/>
      <c r="P132" s="2537"/>
      <c r="Q132" s="261"/>
      <c r="R132" s="368">
        <f t="shared" si="30"/>
        <v>18.45</v>
      </c>
      <c r="S132" s="845"/>
      <c r="T132" s="2537">
        <v>4.0999999999999996</v>
      </c>
      <c r="U132" s="261"/>
      <c r="V132" s="368">
        <f t="shared" si="31"/>
        <v>22.549999999999997</v>
      </c>
      <c r="W132" s="845"/>
      <c r="X132" s="2537"/>
      <c r="Y132" s="570"/>
      <c r="Z132" s="4048">
        <f t="shared" si="41"/>
        <v>4.0999999999999996</v>
      </c>
      <c r="AA132" s="657"/>
      <c r="AB132" s="4049">
        <f t="shared" si="42"/>
        <v>22.549999999999997</v>
      </c>
      <c r="AC132" s="845"/>
      <c r="AD132" s="2537">
        <f>24.6+2.05</f>
        <v>26.650000000000002</v>
      </c>
      <c r="AE132" s="261"/>
      <c r="AF132" s="775">
        <f t="shared" si="52"/>
        <v>49.2</v>
      </c>
      <c r="AG132" s="845"/>
      <c r="AH132" s="2537">
        <v>4.0999999999999996</v>
      </c>
      <c r="AI132" s="261"/>
      <c r="AJ132" s="368">
        <f t="shared" si="40"/>
        <v>53.300000000000004</v>
      </c>
      <c r="AK132" s="845"/>
      <c r="AL132" s="2537"/>
      <c r="AM132" s="570"/>
      <c r="AN132" s="570">
        <f t="shared" si="53"/>
        <v>30.75</v>
      </c>
      <c r="AO132" s="775"/>
      <c r="AP132" s="775">
        <f t="shared" si="54"/>
        <v>53.300000000000004</v>
      </c>
      <c r="AQ132" s="845"/>
      <c r="AR132" s="2795">
        <v>2.0499999999999998</v>
      </c>
      <c r="AS132" s="261"/>
      <c r="AT132" s="775">
        <f t="shared" si="55"/>
        <v>55.35</v>
      </c>
      <c r="AU132" s="845"/>
      <c r="AV132" s="2795"/>
      <c r="AW132" s="261"/>
      <c r="AX132" s="775">
        <f t="shared" si="56"/>
        <v>55.35</v>
      </c>
      <c r="AY132" s="845"/>
      <c r="AZ132" s="2795"/>
      <c r="BA132" s="570"/>
      <c r="BB132" s="570">
        <f t="shared" si="48"/>
        <v>2.0499999999999998</v>
      </c>
      <c r="BC132" s="657"/>
      <c r="BD132" s="657">
        <f t="shared" si="38"/>
        <v>32.799999999999997</v>
      </c>
      <c r="BE132" s="775"/>
      <c r="BF132" s="775">
        <f t="shared" si="49"/>
        <v>55.35</v>
      </c>
      <c r="BG132" s="1202"/>
      <c r="BH132" s="1520">
        <f t="shared" si="22"/>
        <v>0</v>
      </c>
      <c r="BI132" s="1520">
        <f t="shared" si="23"/>
        <v>0</v>
      </c>
      <c r="BJ132" s="26">
        <f t="shared" si="24"/>
        <v>0</v>
      </c>
      <c r="BK132" s="26">
        <f t="shared" si="25"/>
        <v>0</v>
      </c>
      <c r="BL132" s="26">
        <f t="shared" si="26"/>
        <v>0</v>
      </c>
      <c r="BM132" s="26">
        <f t="shared" si="27"/>
        <v>0</v>
      </c>
    </row>
    <row r="133" spans="2:65" ht="16.2" thickBot="1" x14ac:dyDescent="0.35">
      <c r="B133" s="1609" t="s">
        <v>1024</v>
      </c>
      <c r="C133" s="2831" t="s">
        <v>1062</v>
      </c>
      <c r="D133" s="2832" t="s">
        <v>50</v>
      </c>
      <c r="E133" s="845"/>
      <c r="F133" s="2537"/>
      <c r="G133" s="845"/>
      <c r="H133" s="2537"/>
      <c r="I133" s="2833"/>
      <c r="J133" s="38">
        <f t="shared" si="51"/>
        <v>0</v>
      </c>
      <c r="K133" s="845"/>
      <c r="L133" s="2537"/>
      <c r="M133" s="894"/>
      <c r="N133" s="613">
        <f t="shared" si="29"/>
        <v>0</v>
      </c>
      <c r="O133" s="845"/>
      <c r="P133" s="2537"/>
      <c r="Q133" s="261"/>
      <c r="R133" s="368">
        <f t="shared" si="30"/>
        <v>0</v>
      </c>
      <c r="S133" s="845"/>
      <c r="T133" s="2795">
        <v>32.799999999999997</v>
      </c>
      <c r="U133" s="261"/>
      <c r="V133" s="368">
        <f t="shared" si="31"/>
        <v>32.799999999999997</v>
      </c>
      <c r="W133" s="845"/>
      <c r="X133" s="2537"/>
      <c r="Y133" s="570"/>
      <c r="Z133" s="4048">
        <f t="shared" si="41"/>
        <v>32.799999999999997</v>
      </c>
      <c r="AA133" s="657"/>
      <c r="AB133" s="4049">
        <f t="shared" si="42"/>
        <v>32.799999999999997</v>
      </c>
      <c r="AC133" s="845"/>
      <c r="AD133" s="2537"/>
      <c r="AE133" s="261"/>
      <c r="AF133" s="775">
        <f t="shared" si="52"/>
        <v>32.799999999999997</v>
      </c>
      <c r="AG133" s="845"/>
      <c r="AH133" s="2537"/>
      <c r="AI133" s="261"/>
      <c r="AJ133" s="368">
        <f t="shared" si="40"/>
        <v>32.799999999999997</v>
      </c>
      <c r="AK133" s="845"/>
      <c r="AL133" s="2537"/>
      <c r="AM133" s="570"/>
      <c r="AN133" s="570">
        <f t="shared" si="53"/>
        <v>0</v>
      </c>
      <c r="AO133" s="775"/>
      <c r="AP133" s="775">
        <f t="shared" si="54"/>
        <v>32.799999999999997</v>
      </c>
      <c r="AQ133" s="845"/>
      <c r="AR133" s="2795"/>
      <c r="AS133" s="261"/>
      <c r="AT133" s="775">
        <f t="shared" si="55"/>
        <v>32.799999999999997</v>
      </c>
      <c r="AU133" s="845"/>
      <c r="AV133" s="2795"/>
      <c r="AW133" s="261"/>
      <c r="AX133" s="775">
        <f t="shared" si="56"/>
        <v>32.799999999999997</v>
      </c>
      <c r="AY133" s="845"/>
      <c r="AZ133" s="2795"/>
      <c r="BA133" s="570"/>
      <c r="BB133" s="570">
        <f t="shared" si="48"/>
        <v>0</v>
      </c>
      <c r="BC133" s="657"/>
      <c r="BD133" s="657">
        <f t="shared" si="38"/>
        <v>0</v>
      </c>
      <c r="BE133" s="775"/>
      <c r="BF133" s="775">
        <f t="shared" si="49"/>
        <v>32.799999999999997</v>
      </c>
      <c r="BG133" s="1202"/>
      <c r="BH133" s="1520">
        <f t="shared" si="22"/>
        <v>0</v>
      </c>
      <c r="BI133" s="1520">
        <f t="shared" si="23"/>
        <v>0</v>
      </c>
      <c r="BJ133" s="26">
        <f t="shared" si="24"/>
        <v>0</v>
      </c>
      <c r="BK133" s="26">
        <f t="shared" si="25"/>
        <v>0</v>
      </c>
      <c r="BL133" s="26">
        <f t="shared" si="26"/>
        <v>0</v>
      </c>
      <c r="BM133" s="26">
        <f t="shared" si="27"/>
        <v>0</v>
      </c>
    </row>
    <row r="134" spans="2:65" ht="16.2" thickBot="1" x14ac:dyDescent="0.35">
      <c r="B134" s="1609" t="s">
        <v>1022</v>
      </c>
      <c r="C134" s="2831" t="s">
        <v>1062</v>
      </c>
      <c r="D134" s="2832" t="s">
        <v>50</v>
      </c>
      <c r="E134" s="845"/>
      <c r="F134" s="2537">
        <v>6.15</v>
      </c>
      <c r="G134" s="845"/>
      <c r="H134" s="2537"/>
      <c r="I134" s="2833"/>
      <c r="J134" s="38">
        <f t="shared" si="51"/>
        <v>6.15</v>
      </c>
      <c r="K134" s="845"/>
      <c r="L134" s="2537"/>
      <c r="M134" s="894"/>
      <c r="N134" s="613">
        <f t="shared" si="29"/>
        <v>6.15</v>
      </c>
      <c r="O134" s="845"/>
      <c r="P134" s="2537"/>
      <c r="Q134" s="261"/>
      <c r="R134" s="368">
        <f t="shared" si="30"/>
        <v>6.15</v>
      </c>
      <c r="S134" s="845"/>
      <c r="T134" s="2537"/>
      <c r="U134" s="261"/>
      <c r="V134" s="368">
        <f t="shared" si="31"/>
        <v>6.15</v>
      </c>
      <c r="W134" s="845"/>
      <c r="X134" s="2537"/>
      <c r="Y134" s="570"/>
      <c r="Z134" s="4048">
        <f t="shared" si="41"/>
        <v>0</v>
      </c>
      <c r="AA134" s="657"/>
      <c r="AB134" s="4049">
        <f t="shared" si="42"/>
        <v>6.15</v>
      </c>
      <c r="AC134" s="845"/>
      <c r="AD134" s="2537"/>
      <c r="AE134" s="261"/>
      <c r="AF134" s="775">
        <f t="shared" si="52"/>
        <v>6.15</v>
      </c>
      <c r="AG134" s="845"/>
      <c r="AH134" s="2537"/>
      <c r="AI134" s="261"/>
      <c r="AJ134" s="368">
        <f t="shared" si="40"/>
        <v>6.15</v>
      </c>
      <c r="AK134" s="845"/>
      <c r="AL134" s="2537"/>
      <c r="AM134" s="570"/>
      <c r="AN134" s="570">
        <f t="shared" si="53"/>
        <v>0</v>
      </c>
      <c r="AO134" s="775"/>
      <c r="AP134" s="775">
        <f t="shared" si="54"/>
        <v>6.15</v>
      </c>
      <c r="AQ134" s="845"/>
      <c r="AR134" s="2795"/>
      <c r="AS134" s="261"/>
      <c r="AT134" s="775">
        <f t="shared" si="55"/>
        <v>6.15</v>
      </c>
      <c r="AU134" s="845"/>
      <c r="AV134" s="2795"/>
      <c r="AW134" s="261"/>
      <c r="AX134" s="775">
        <f t="shared" si="56"/>
        <v>6.15</v>
      </c>
      <c r="AY134" s="845"/>
      <c r="AZ134" s="2795"/>
      <c r="BA134" s="570"/>
      <c r="BB134" s="570">
        <f t="shared" si="48"/>
        <v>0</v>
      </c>
      <c r="BC134" s="657"/>
      <c r="BD134" s="657">
        <f t="shared" si="38"/>
        <v>0</v>
      </c>
      <c r="BE134" s="775"/>
      <c r="BF134" s="775">
        <f t="shared" si="49"/>
        <v>6.15</v>
      </c>
      <c r="BG134" s="1202"/>
      <c r="BH134" s="1520">
        <f t="shared" si="22"/>
        <v>0</v>
      </c>
      <c r="BI134" s="1520">
        <f t="shared" si="23"/>
        <v>0</v>
      </c>
      <c r="BJ134" s="26">
        <f t="shared" si="24"/>
        <v>0</v>
      </c>
      <c r="BK134" s="26">
        <f t="shared" si="25"/>
        <v>0</v>
      </c>
      <c r="BL134" s="26">
        <f t="shared" si="26"/>
        <v>0</v>
      </c>
      <c r="BM134" s="26">
        <f t="shared" si="27"/>
        <v>0</v>
      </c>
    </row>
    <row r="135" spans="2:65" ht="16.2" thickBot="1" x14ac:dyDescent="0.35">
      <c r="B135" s="1609" t="s">
        <v>1841</v>
      </c>
      <c r="C135" s="2831" t="s">
        <v>1062</v>
      </c>
      <c r="D135" s="2832" t="s">
        <v>50</v>
      </c>
      <c r="E135" s="845"/>
      <c r="F135" s="4024"/>
      <c r="G135" s="845"/>
      <c r="H135" s="4024">
        <v>2.0499999999999998</v>
      </c>
      <c r="I135" s="4026"/>
      <c r="J135" s="38">
        <f t="shared" si="51"/>
        <v>2.0499999999999998</v>
      </c>
      <c r="K135" s="845"/>
      <c r="L135" s="4024">
        <v>20.5</v>
      </c>
      <c r="M135" s="4027"/>
      <c r="N135" s="613">
        <f t="shared" si="29"/>
        <v>22.55</v>
      </c>
      <c r="O135" s="845"/>
      <c r="P135" s="4024"/>
      <c r="Q135" s="4028"/>
      <c r="R135" s="368">
        <f t="shared" si="30"/>
        <v>22.55</v>
      </c>
      <c r="S135" s="845"/>
      <c r="T135" s="4024">
        <f>20.5+14.35</f>
        <v>34.85</v>
      </c>
      <c r="U135" s="4028"/>
      <c r="V135" s="368">
        <f t="shared" si="31"/>
        <v>57.400000000000006</v>
      </c>
      <c r="W135" s="845"/>
      <c r="X135" s="4024"/>
      <c r="Y135" s="4029"/>
      <c r="Z135" s="4048">
        <f t="shared" si="41"/>
        <v>34.85</v>
      </c>
      <c r="AA135" s="4030"/>
      <c r="AB135" s="4049">
        <f t="shared" si="42"/>
        <v>57.400000000000006</v>
      </c>
      <c r="AC135" s="845"/>
      <c r="AD135" s="4024"/>
      <c r="AE135" s="4028"/>
      <c r="AF135" s="775">
        <f t="shared" si="52"/>
        <v>57.400000000000006</v>
      </c>
      <c r="AG135" s="845"/>
      <c r="AH135" s="4024"/>
      <c r="AI135" s="4028"/>
      <c r="AJ135" s="368">
        <f t="shared" si="40"/>
        <v>57.400000000000006</v>
      </c>
      <c r="AK135" s="845"/>
      <c r="AL135" s="4024"/>
      <c r="AM135" s="4029"/>
      <c r="AN135" s="570">
        <f t="shared" si="53"/>
        <v>0</v>
      </c>
      <c r="AO135" s="3970"/>
      <c r="AP135" s="775">
        <f t="shared" si="54"/>
        <v>57.400000000000006</v>
      </c>
      <c r="AQ135" s="845"/>
      <c r="AR135" s="4025"/>
      <c r="AS135" s="4028"/>
      <c r="AT135" s="775">
        <f t="shared" si="55"/>
        <v>57.400000000000006</v>
      </c>
      <c r="AU135" s="845"/>
      <c r="AV135" s="4025"/>
      <c r="AW135" s="4028"/>
      <c r="AX135" s="775">
        <f t="shared" si="56"/>
        <v>57.400000000000006</v>
      </c>
      <c r="AY135" s="845"/>
      <c r="AZ135" s="4025"/>
      <c r="BA135" s="4029"/>
      <c r="BB135" s="4029">
        <f t="shared" si="48"/>
        <v>0</v>
      </c>
      <c r="BC135" s="4030"/>
      <c r="BD135" s="657">
        <f t="shared" si="38"/>
        <v>0</v>
      </c>
      <c r="BE135" s="3970"/>
      <c r="BF135" s="775">
        <f t="shared" si="49"/>
        <v>57.400000000000006</v>
      </c>
      <c r="BG135" s="1202"/>
      <c r="BH135" s="1520">
        <f t="shared" ref="BH135:BH197" si="57">E135+G135+K135+O135+S135+W135+AC135+AG135+AK135+AQ135+AU135+AY135-BE135</f>
        <v>0</v>
      </c>
      <c r="BI135" s="1520">
        <f t="shared" ref="BI135:BI197" si="58">F135+H135+L135+P135+T135+X135+AD135+AH135+AL135+AR135+AV135+AZ135-BF135</f>
        <v>0</v>
      </c>
      <c r="BJ135" s="26">
        <f t="shared" ref="BJ135:BJ197" si="59">AY135+AU135+AQ135+AK135+AG135+AC135-BC135</f>
        <v>0</v>
      </c>
      <c r="BK135" s="26">
        <f t="shared" ref="BK135:BK197" si="60">AZ135+AV135+AR135+AL135+AH135+AD135-BD135</f>
        <v>0</v>
      </c>
      <c r="BL135" s="26">
        <f t="shared" ref="BL135:BL197" si="61">AQ135+AU135+AY135-BA135</f>
        <v>0</v>
      </c>
      <c r="BM135" s="26">
        <f t="shared" ref="BM135:BM197" si="62">AR135+AV135+AZ135-BB135</f>
        <v>0</v>
      </c>
    </row>
    <row r="136" spans="2:65" ht="16.2" thickBot="1" x14ac:dyDescent="0.35">
      <c r="B136" s="1609" t="s">
        <v>1021</v>
      </c>
      <c r="C136" s="2831" t="s">
        <v>1062</v>
      </c>
      <c r="D136" s="2832" t="s">
        <v>50</v>
      </c>
      <c r="E136" s="845"/>
      <c r="F136" s="2537"/>
      <c r="G136" s="845"/>
      <c r="H136" s="2537">
        <v>266.5</v>
      </c>
      <c r="I136" s="2833"/>
      <c r="J136" s="38">
        <f t="shared" si="51"/>
        <v>266.5</v>
      </c>
      <c r="K136" s="845"/>
      <c r="L136" s="2537"/>
      <c r="M136" s="894"/>
      <c r="N136" s="613">
        <f t="shared" si="29"/>
        <v>266.5</v>
      </c>
      <c r="O136" s="845"/>
      <c r="P136" s="2537">
        <v>2.0499999999999998</v>
      </c>
      <c r="Q136" s="261"/>
      <c r="R136" s="368">
        <f t="shared" si="30"/>
        <v>268.55</v>
      </c>
      <c r="S136" s="845"/>
      <c r="T136" s="2537"/>
      <c r="U136" s="261"/>
      <c r="V136" s="368">
        <f t="shared" si="31"/>
        <v>268.55</v>
      </c>
      <c r="W136" s="845"/>
      <c r="X136" s="2537"/>
      <c r="Y136" s="570"/>
      <c r="Z136" s="4048">
        <f t="shared" si="41"/>
        <v>2.0499999999999998</v>
      </c>
      <c r="AA136" s="657"/>
      <c r="AB136" s="4049">
        <f t="shared" si="42"/>
        <v>268.55</v>
      </c>
      <c r="AC136" s="845"/>
      <c r="AD136" s="2537">
        <v>18.45</v>
      </c>
      <c r="AE136" s="261"/>
      <c r="AF136" s="775">
        <f t="shared" si="52"/>
        <v>287</v>
      </c>
      <c r="AG136" s="845"/>
      <c r="AH136" s="2537"/>
      <c r="AI136" s="261"/>
      <c r="AJ136" s="368">
        <f t="shared" si="40"/>
        <v>287</v>
      </c>
      <c r="AK136" s="845"/>
      <c r="AL136" s="2537">
        <v>14.35</v>
      </c>
      <c r="AM136" s="570"/>
      <c r="AN136" s="570">
        <f t="shared" si="53"/>
        <v>32.799999999999997</v>
      </c>
      <c r="AO136" s="775"/>
      <c r="AP136" s="775">
        <f t="shared" si="54"/>
        <v>301.35000000000002</v>
      </c>
      <c r="AQ136" s="845"/>
      <c r="AR136" s="2795"/>
      <c r="AS136" s="261"/>
      <c r="AT136" s="775">
        <f t="shared" si="55"/>
        <v>301.35000000000002</v>
      </c>
      <c r="AU136" s="845"/>
      <c r="AV136" s="2795"/>
      <c r="AW136" s="261"/>
      <c r="AX136" s="775">
        <f t="shared" si="56"/>
        <v>301.35000000000002</v>
      </c>
      <c r="AY136" s="845"/>
      <c r="AZ136" s="2795"/>
      <c r="BA136" s="570"/>
      <c r="BB136" s="570">
        <f t="shared" si="48"/>
        <v>0</v>
      </c>
      <c r="BC136" s="657"/>
      <c r="BD136" s="657">
        <f t="shared" si="38"/>
        <v>32.799999999999997</v>
      </c>
      <c r="BE136" s="775"/>
      <c r="BF136" s="775">
        <f t="shared" si="49"/>
        <v>301.35000000000002</v>
      </c>
      <c r="BG136" s="1202"/>
      <c r="BH136" s="1520">
        <f t="shared" si="57"/>
        <v>0</v>
      </c>
      <c r="BI136" s="1520">
        <f t="shared" si="58"/>
        <v>0</v>
      </c>
      <c r="BJ136" s="26">
        <f t="shared" si="59"/>
        <v>0</v>
      </c>
      <c r="BK136" s="26">
        <f t="shared" si="60"/>
        <v>0</v>
      </c>
      <c r="BL136" s="26">
        <f t="shared" si="61"/>
        <v>0</v>
      </c>
      <c r="BM136" s="26">
        <f t="shared" si="62"/>
        <v>0</v>
      </c>
    </row>
    <row r="137" spans="2:65" ht="16.2" thickBot="1" x14ac:dyDescent="0.35">
      <c r="B137" s="1609" t="s">
        <v>1334</v>
      </c>
      <c r="C137" s="2831" t="s">
        <v>1062</v>
      </c>
      <c r="D137" s="2832" t="s">
        <v>50</v>
      </c>
      <c r="E137" s="845"/>
      <c r="F137" s="2537"/>
      <c r="G137" s="845"/>
      <c r="H137" s="2537"/>
      <c r="I137" s="2833"/>
      <c r="J137" s="38">
        <f t="shared" si="51"/>
        <v>0</v>
      </c>
      <c r="K137" s="845"/>
      <c r="L137" s="2537"/>
      <c r="M137" s="894"/>
      <c r="N137" s="613">
        <f t="shared" si="29"/>
        <v>0</v>
      </c>
      <c r="O137" s="845"/>
      <c r="P137" s="2537"/>
      <c r="Q137" s="261"/>
      <c r="R137" s="368">
        <f t="shared" si="30"/>
        <v>0</v>
      </c>
      <c r="S137" s="845"/>
      <c r="T137" s="2537"/>
      <c r="U137" s="261"/>
      <c r="V137" s="368">
        <f t="shared" si="31"/>
        <v>0</v>
      </c>
      <c r="W137" s="845"/>
      <c r="X137" s="2537"/>
      <c r="Y137" s="570"/>
      <c r="Z137" s="4048">
        <f t="shared" si="41"/>
        <v>0</v>
      </c>
      <c r="AA137" s="657"/>
      <c r="AB137" s="4049">
        <f t="shared" si="42"/>
        <v>0</v>
      </c>
      <c r="AC137" s="845"/>
      <c r="AD137" s="2537"/>
      <c r="AE137" s="261"/>
      <c r="AF137" s="775">
        <f t="shared" si="52"/>
        <v>0</v>
      </c>
      <c r="AG137" s="845"/>
      <c r="AH137" s="2537"/>
      <c r="AI137" s="261"/>
      <c r="AJ137" s="368">
        <f t="shared" si="40"/>
        <v>0</v>
      </c>
      <c r="AK137" s="845"/>
      <c r="AL137" s="2537"/>
      <c r="AM137" s="570"/>
      <c r="AN137" s="570">
        <f t="shared" si="53"/>
        <v>0</v>
      </c>
      <c r="AO137" s="775"/>
      <c r="AP137" s="775">
        <f t="shared" si="54"/>
        <v>0</v>
      </c>
      <c r="AQ137" s="845"/>
      <c r="AR137" s="2795"/>
      <c r="AS137" s="261"/>
      <c r="AT137" s="775">
        <f t="shared" si="55"/>
        <v>0</v>
      </c>
      <c r="AU137" s="845"/>
      <c r="AV137" s="2795"/>
      <c r="AW137" s="261"/>
      <c r="AX137" s="775">
        <f t="shared" si="56"/>
        <v>0</v>
      </c>
      <c r="AY137" s="845"/>
      <c r="AZ137" s="2795"/>
      <c r="BA137" s="570"/>
      <c r="BB137" s="570">
        <f t="shared" si="48"/>
        <v>0</v>
      </c>
      <c r="BC137" s="657"/>
      <c r="BD137" s="657">
        <f t="shared" si="38"/>
        <v>0</v>
      </c>
      <c r="BE137" s="775"/>
      <c r="BF137" s="775">
        <f t="shared" si="49"/>
        <v>0</v>
      </c>
      <c r="BG137" s="1202"/>
      <c r="BH137" s="1520">
        <f t="shared" si="57"/>
        <v>0</v>
      </c>
      <c r="BI137" s="1520">
        <f t="shared" si="58"/>
        <v>0</v>
      </c>
      <c r="BJ137" s="26">
        <f t="shared" si="59"/>
        <v>0</v>
      </c>
      <c r="BK137" s="26">
        <f t="shared" si="60"/>
        <v>0</v>
      </c>
      <c r="BL137" s="26">
        <f t="shared" si="61"/>
        <v>0</v>
      </c>
      <c r="BM137" s="26">
        <f t="shared" si="62"/>
        <v>0</v>
      </c>
    </row>
    <row r="138" spans="2:65" ht="16.2" thickBot="1" x14ac:dyDescent="0.35">
      <c r="B138" s="1609" t="s">
        <v>1020</v>
      </c>
      <c r="C138" s="2834" t="s">
        <v>1062</v>
      </c>
      <c r="D138" s="2832" t="s">
        <v>50</v>
      </c>
      <c r="E138" s="845"/>
      <c r="F138" s="2537">
        <v>79.95</v>
      </c>
      <c r="G138" s="845"/>
      <c r="H138" s="2537"/>
      <c r="I138" s="2833"/>
      <c r="J138" s="38">
        <f t="shared" si="51"/>
        <v>79.95</v>
      </c>
      <c r="K138" s="845"/>
      <c r="L138" s="2537">
        <v>8.1999999999999993</v>
      </c>
      <c r="M138" s="894"/>
      <c r="N138" s="613">
        <f t="shared" si="29"/>
        <v>88.15</v>
      </c>
      <c r="O138" s="845"/>
      <c r="P138" s="2537">
        <v>4.0999999999999996</v>
      </c>
      <c r="Q138" s="261"/>
      <c r="R138" s="368">
        <f t="shared" si="30"/>
        <v>92.25</v>
      </c>
      <c r="S138" s="845"/>
      <c r="T138" s="2537"/>
      <c r="U138" s="261"/>
      <c r="V138" s="368">
        <f t="shared" si="31"/>
        <v>92.25</v>
      </c>
      <c r="W138" s="845"/>
      <c r="X138" s="2537"/>
      <c r="Y138" s="570"/>
      <c r="Z138" s="4048">
        <f t="shared" si="41"/>
        <v>4.0999999999999996</v>
      </c>
      <c r="AA138" s="657"/>
      <c r="AB138" s="4049">
        <f t="shared" si="42"/>
        <v>92.25</v>
      </c>
      <c r="AC138" s="845"/>
      <c r="AD138" s="2537"/>
      <c r="AE138" s="261"/>
      <c r="AF138" s="775">
        <f t="shared" si="52"/>
        <v>92.25</v>
      </c>
      <c r="AG138" s="845"/>
      <c r="AH138" s="2537"/>
      <c r="AI138" s="261"/>
      <c r="AJ138" s="368">
        <f t="shared" si="40"/>
        <v>92.25</v>
      </c>
      <c r="AK138" s="845"/>
      <c r="AL138" s="2794">
        <v>53.3</v>
      </c>
      <c r="AM138" s="570"/>
      <c r="AN138" s="570">
        <f t="shared" si="53"/>
        <v>53.3</v>
      </c>
      <c r="AO138" s="775"/>
      <c r="AP138" s="775">
        <f t="shared" si="54"/>
        <v>145.55000000000001</v>
      </c>
      <c r="AQ138" s="845"/>
      <c r="AR138" s="2795">
        <v>6.15</v>
      </c>
      <c r="AS138" s="261"/>
      <c r="AT138" s="775">
        <f t="shared" si="55"/>
        <v>151.70000000000002</v>
      </c>
      <c r="AU138" s="845"/>
      <c r="AV138" s="2795"/>
      <c r="AW138" s="261"/>
      <c r="AX138" s="775">
        <f t="shared" si="56"/>
        <v>151.70000000000002</v>
      </c>
      <c r="AY138" s="845"/>
      <c r="AZ138" s="2795">
        <v>4.0999999999999996</v>
      </c>
      <c r="BA138" s="570"/>
      <c r="BB138" s="570">
        <f t="shared" si="48"/>
        <v>10.25</v>
      </c>
      <c r="BC138" s="657"/>
      <c r="BD138" s="657">
        <f t="shared" si="38"/>
        <v>63.55</v>
      </c>
      <c r="BE138" s="775"/>
      <c r="BF138" s="775">
        <f t="shared" si="49"/>
        <v>155.80000000000001</v>
      </c>
      <c r="BG138" s="1202"/>
      <c r="BH138" s="1520">
        <f t="shared" si="57"/>
        <v>0</v>
      </c>
      <c r="BI138" s="1520">
        <f t="shared" si="58"/>
        <v>0</v>
      </c>
      <c r="BJ138" s="26">
        <f t="shared" si="59"/>
        <v>0</v>
      </c>
      <c r="BK138" s="26">
        <f t="shared" si="60"/>
        <v>0</v>
      </c>
      <c r="BL138" s="26">
        <f t="shared" si="61"/>
        <v>0</v>
      </c>
      <c r="BM138" s="26">
        <f t="shared" si="62"/>
        <v>0</v>
      </c>
    </row>
    <row r="139" spans="2:65" ht="16.2" thickBot="1" x14ac:dyDescent="0.35">
      <c r="B139" s="1609" t="s">
        <v>1318</v>
      </c>
      <c r="C139" s="2834" t="s">
        <v>1062</v>
      </c>
      <c r="D139" s="2832" t="s">
        <v>50</v>
      </c>
      <c r="E139" s="845"/>
      <c r="F139" s="2537"/>
      <c r="G139" s="845"/>
      <c r="H139" s="2537"/>
      <c r="I139" s="2833"/>
      <c r="J139" s="38">
        <f t="shared" si="51"/>
        <v>0</v>
      </c>
      <c r="K139" s="845"/>
      <c r="L139" s="2537"/>
      <c r="M139" s="894"/>
      <c r="N139" s="613">
        <f t="shared" si="29"/>
        <v>0</v>
      </c>
      <c r="O139" s="845"/>
      <c r="P139" s="2537"/>
      <c r="Q139" s="261"/>
      <c r="R139" s="368">
        <f t="shared" si="30"/>
        <v>0</v>
      </c>
      <c r="S139" s="845"/>
      <c r="T139" s="2537"/>
      <c r="U139" s="261"/>
      <c r="V139" s="368">
        <f t="shared" si="31"/>
        <v>0</v>
      </c>
      <c r="W139" s="845"/>
      <c r="X139" s="2537"/>
      <c r="Y139" s="570"/>
      <c r="Z139" s="4048">
        <f t="shared" si="41"/>
        <v>0</v>
      </c>
      <c r="AA139" s="657"/>
      <c r="AB139" s="4049">
        <f t="shared" si="42"/>
        <v>0</v>
      </c>
      <c r="AC139" s="845"/>
      <c r="AD139" s="2537"/>
      <c r="AE139" s="261"/>
      <c r="AF139" s="775">
        <f t="shared" si="52"/>
        <v>0</v>
      </c>
      <c r="AG139" s="845"/>
      <c r="AH139" s="2537"/>
      <c r="AI139" s="261"/>
      <c r="AJ139" s="368">
        <f t="shared" si="40"/>
        <v>0</v>
      </c>
      <c r="AK139" s="845"/>
      <c r="AL139" s="2537"/>
      <c r="AM139" s="570"/>
      <c r="AN139" s="570">
        <f t="shared" si="53"/>
        <v>0</v>
      </c>
      <c r="AO139" s="775"/>
      <c r="AP139" s="775">
        <f t="shared" si="54"/>
        <v>0</v>
      </c>
      <c r="AQ139" s="845"/>
      <c r="AR139" s="2795"/>
      <c r="AS139" s="261"/>
      <c r="AT139" s="775">
        <f t="shared" si="55"/>
        <v>0</v>
      </c>
      <c r="AU139" s="845"/>
      <c r="AV139" s="2795"/>
      <c r="AW139" s="261"/>
      <c r="AX139" s="775">
        <f t="shared" si="56"/>
        <v>0</v>
      </c>
      <c r="AY139" s="845"/>
      <c r="AZ139" s="2795"/>
      <c r="BA139" s="570"/>
      <c r="BB139" s="570">
        <f t="shared" si="48"/>
        <v>0</v>
      </c>
      <c r="BC139" s="657"/>
      <c r="BD139" s="657">
        <f t="shared" si="38"/>
        <v>0</v>
      </c>
      <c r="BE139" s="775"/>
      <c r="BF139" s="775">
        <f t="shared" si="49"/>
        <v>0</v>
      </c>
      <c r="BG139" s="1202"/>
      <c r="BH139" s="1520">
        <f t="shared" si="57"/>
        <v>0</v>
      </c>
      <c r="BI139" s="1520">
        <f t="shared" si="58"/>
        <v>0</v>
      </c>
      <c r="BJ139" s="26">
        <f t="shared" si="59"/>
        <v>0</v>
      </c>
      <c r="BK139" s="26">
        <f t="shared" si="60"/>
        <v>0</v>
      </c>
      <c r="BL139" s="26">
        <f t="shared" si="61"/>
        <v>0</v>
      </c>
      <c r="BM139" s="26">
        <f t="shared" si="62"/>
        <v>0</v>
      </c>
    </row>
    <row r="140" spans="2:65" ht="16.2" thickBot="1" x14ac:dyDescent="0.35">
      <c r="B140" s="1609" t="s">
        <v>1313</v>
      </c>
      <c r="C140" s="2834" t="s">
        <v>1062</v>
      </c>
      <c r="D140" s="2832" t="s">
        <v>50</v>
      </c>
      <c r="E140" s="845"/>
      <c r="F140" s="2537">
        <v>26.65</v>
      </c>
      <c r="G140" s="845"/>
      <c r="H140" s="2537"/>
      <c r="I140" s="2833"/>
      <c r="J140" s="38">
        <f t="shared" si="51"/>
        <v>26.65</v>
      </c>
      <c r="K140" s="845"/>
      <c r="L140" s="2537"/>
      <c r="M140" s="894"/>
      <c r="N140" s="613">
        <f t="shared" si="29"/>
        <v>26.65</v>
      </c>
      <c r="O140" s="845"/>
      <c r="P140" s="2537"/>
      <c r="Q140" s="261"/>
      <c r="R140" s="368">
        <f t="shared" si="30"/>
        <v>26.65</v>
      </c>
      <c r="S140" s="845"/>
      <c r="T140" s="2537"/>
      <c r="U140" s="261"/>
      <c r="V140" s="368">
        <f t="shared" si="31"/>
        <v>26.65</v>
      </c>
      <c r="W140" s="845"/>
      <c r="X140" s="2537"/>
      <c r="Y140" s="570"/>
      <c r="Z140" s="4048">
        <f t="shared" si="41"/>
        <v>0</v>
      </c>
      <c r="AA140" s="657"/>
      <c r="AB140" s="4049">
        <f t="shared" si="42"/>
        <v>26.65</v>
      </c>
      <c r="AC140" s="845"/>
      <c r="AD140" s="2537"/>
      <c r="AE140" s="261"/>
      <c r="AF140" s="775">
        <f t="shared" si="52"/>
        <v>26.65</v>
      </c>
      <c r="AG140" s="845"/>
      <c r="AH140" s="2537"/>
      <c r="AI140" s="261"/>
      <c r="AJ140" s="368">
        <f t="shared" si="40"/>
        <v>26.65</v>
      </c>
      <c r="AK140" s="845"/>
      <c r="AL140" s="2537">
        <v>10.25</v>
      </c>
      <c r="AM140" s="570"/>
      <c r="AN140" s="570">
        <f t="shared" si="53"/>
        <v>10.25</v>
      </c>
      <c r="AO140" s="775"/>
      <c r="AP140" s="775">
        <f t="shared" si="54"/>
        <v>36.9</v>
      </c>
      <c r="AQ140" s="845"/>
      <c r="AR140" s="2795"/>
      <c r="AS140" s="261"/>
      <c r="AT140" s="775">
        <f t="shared" si="55"/>
        <v>36.9</v>
      </c>
      <c r="AU140" s="845"/>
      <c r="AV140" s="2795"/>
      <c r="AW140" s="261"/>
      <c r="AX140" s="775">
        <f t="shared" si="56"/>
        <v>36.9</v>
      </c>
      <c r="AY140" s="845"/>
      <c r="AZ140" s="2795">
        <v>10.25</v>
      </c>
      <c r="BA140" s="570"/>
      <c r="BB140" s="570">
        <f t="shared" si="48"/>
        <v>10.25</v>
      </c>
      <c r="BC140" s="657"/>
      <c r="BD140" s="657">
        <f t="shared" si="38"/>
        <v>20.5</v>
      </c>
      <c r="BE140" s="775"/>
      <c r="BF140" s="775">
        <f t="shared" si="49"/>
        <v>47.15</v>
      </c>
      <c r="BG140" s="1202"/>
      <c r="BH140" s="1520">
        <f t="shared" si="57"/>
        <v>0</v>
      </c>
      <c r="BI140" s="1520">
        <f t="shared" si="58"/>
        <v>0</v>
      </c>
      <c r="BJ140" s="26">
        <f t="shared" si="59"/>
        <v>0</v>
      </c>
      <c r="BK140" s="26">
        <f t="shared" si="60"/>
        <v>0</v>
      </c>
      <c r="BL140" s="26">
        <f t="shared" si="61"/>
        <v>0</v>
      </c>
      <c r="BM140" s="26">
        <f t="shared" si="62"/>
        <v>0</v>
      </c>
    </row>
    <row r="141" spans="2:65" ht="16.2" thickBot="1" x14ac:dyDescent="0.35">
      <c r="B141" s="2835" t="s">
        <v>1092</v>
      </c>
      <c r="C141" s="2836" t="s">
        <v>1062</v>
      </c>
      <c r="D141" s="2837" t="s">
        <v>50</v>
      </c>
      <c r="E141" s="2790"/>
      <c r="F141" s="107">
        <v>14.35</v>
      </c>
      <c r="G141" s="2790"/>
      <c r="H141" s="107"/>
      <c r="I141" s="2838"/>
      <c r="J141" s="43">
        <f t="shared" si="51"/>
        <v>14.35</v>
      </c>
      <c r="K141" s="2790"/>
      <c r="L141" s="107"/>
      <c r="M141" s="894"/>
      <c r="N141" s="613">
        <f t="shared" si="29"/>
        <v>14.35</v>
      </c>
      <c r="O141" s="2790"/>
      <c r="P141" s="107"/>
      <c r="Q141" s="261"/>
      <c r="R141" s="368">
        <f t="shared" ref="R141:R157" si="63">+N141+P141</f>
        <v>14.35</v>
      </c>
      <c r="S141" s="2790"/>
      <c r="T141" s="107"/>
      <c r="U141" s="261"/>
      <c r="V141" s="368">
        <f t="shared" ref="V141:V155" si="64">+R141+T141</f>
        <v>14.35</v>
      </c>
      <c r="W141" s="2790"/>
      <c r="X141" s="107"/>
      <c r="Y141" s="570"/>
      <c r="Z141" s="4048">
        <f t="shared" si="41"/>
        <v>0</v>
      </c>
      <c r="AA141" s="657"/>
      <c r="AB141" s="4049">
        <f t="shared" si="42"/>
        <v>14.35</v>
      </c>
      <c r="AC141" s="2790"/>
      <c r="AD141" s="107"/>
      <c r="AE141" s="261"/>
      <c r="AF141" s="775">
        <f t="shared" si="52"/>
        <v>14.35</v>
      </c>
      <c r="AG141" s="2790"/>
      <c r="AH141" s="107"/>
      <c r="AI141" s="261"/>
      <c r="AJ141" s="368">
        <f t="shared" si="40"/>
        <v>14.35</v>
      </c>
      <c r="AK141" s="2790"/>
      <c r="AL141" s="107"/>
      <c r="AM141" s="570"/>
      <c r="AN141" s="570">
        <f t="shared" si="53"/>
        <v>0</v>
      </c>
      <c r="AO141" s="775"/>
      <c r="AP141" s="775">
        <f t="shared" si="54"/>
        <v>14.35</v>
      </c>
      <c r="AQ141" s="2790"/>
      <c r="AR141" s="2796"/>
      <c r="AS141" s="261"/>
      <c r="AT141" s="775">
        <f t="shared" si="55"/>
        <v>14.35</v>
      </c>
      <c r="AU141" s="2790"/>
      <c r="AV141" s="2796"/>
      <c r="AW141" s="261"/>
      <c r="AX141" s="775">
        <f t="shared" si="56"/>
        <v>14.35</v>
      </c>
      <c r="AY141" s="2790"/>
      <c r="AZ141" s="2796"/>
      <c r="BA141" s="570"/>
      <c r="BB141" s="570">
        <f t="shared" si="48"/>
        <v>0</v>
      </c>
      <c r="BC141" s="657"/>
      <c r="BD141" s="657">
        <f t="shared" si="38"/>
        <v>0</v>
      </c>
      <c r="BE141" s="775"/>
      <c r="BF141" s="775">
        <f t="shared" si="49"/>
        <v>14.35</v>
      </c>
      <c r="BG141" s="1202"/>
      <c r="BH141" s="1520">
        <f t="shared" si="57"/>
        <v>0</v>
      </c>
      <c r="BI141" s="1520">
        <f t="shared" si="58"/>
        <v>0</v>
      </c>
      <c r="BJ141" s="26">
        <f t="shared" si="59"/>
        <v>0</v>
      </c>
      <c r="BK141" s="26">
        <f t="shared" si="60"/>
        <v>0</v>
      </c>
      <c r="BL141" s="26">
        <f t="shared" si="61"/>
        <v>0</v>
      </c>
      <c r="BM141" s="26">
        <f t="shared" si="62"/>
        <v>0</v>
      </c>
    </row>
    <row r="142" spans="2:65" ht="16.2" thickBot="1" x14ac:dyDescent="0.35">
      <c r="B142" s="2826" t="s">
        <v>824</v>
      </c>
      <c r="C142" s="1620"/>
      <c r="E142"/>
      <c r="F142"/>
      <c r="G142"/>
      <c r="I142"/>
      <c r="J142"/>
      <c r="K142"/>
      <c r="L142"/>
      <c r="M142" s="528"/>
      <c r="N142" s="613">
        <f t="shared" si="29"/>
        <v>0</v>
      </c>
      <c r="O142"/>
      <c r="P142"/>
      <c r="Q142"/>
      <c r="R142" s="368">
        <f t="shared" si="63"/>
        <v>0</v>
      </c>
      <c r="V142" s="368">
        <f t="shared" si="64"/>
        <v>0</v>
      </c>
      <c r="Z142" s="4048"/>
      <c r="AA142" s="657"/>
      <c r="AB142" s="4049"/>
      <c r="AF142" s="775"/>
      <c r="AJ142" s="368"/>
      <c r="AN142" s="570">
        <f t="shared" si="53"/>
        <v>0</v>
      </c>
      <c r="AO142" s="775"/>
      <c r="AP142" s="775">
        <f t="shared" si="54"/>
        <v>0</v>
      </c>
      <c r="AT142" s="775">
        <f t="shared" si="55"/>
        <v>0</v>
      </c>
      <c r="AX142" s="775">
        <f t="shared" si="56"/>
        <v>0</v>
      </c>
      <c r="BB142" s="570">
        <f t="shared" si="48"/>
        <v>0</v>
      </c>
      <c r="BC142" s="657"/>
      <c r="BD142" s="657">
        <f t="shared" si="38"/>
        <v>0</v>
      </c>
      <c r="BE142" s="775"/>
      <c r="BF142" s="775">
        <f t="shared" si="49"/>
        <v>0</v>
      </c>
      <c r="BG142" s="1202"/>
      <c r="BH142" s="1520">
        <f t="shared" si="57"/>
        <v>0</v>
      </c>
      <c r="BI142" s="1520">
        <f t="shared" si="58"/>
        <v>0</v>
      </c>
      <c r="BJ142" s="26">
        <f t="shared" si="59"/>
        <v>0</v>
      </c>
      <c r="BK142" s="26">
        <f t="shared" si="60"/>
        <v>0</v>
      </c>
      <c r="BL142" s="26">
        <f t="shared" si="61"/>
        <v>0</v>
      </c>
      <c r="BM142" s="26">
        <f t="shared" si="62"/>
        <v>0</v>
      </c>
    </row>
    <row r="143" spans="2:65" ht="16.2" thickBot="1" x14ac:dyDescent="0.35">
      <c r="B143" s="2810" t="s">
        <v>1027</v>
      </c>
      <c r="C143" s="2811"/>
      <c r="D143" s="2812" t="s">
        <v>50</v>
      </c>
      <c r="E143" s="2813"/>
      <c r="F143" s="155">
        <v>14.35</v>
      </c>
      <c r="G143" s="2813"/>
      <c r="H143" s="155">
        <f>6.15+2.05</f>
        <v>8.1999999999999993</v>
      </c>
      <c r="I143" s="2814"/>
      <c r="J143" s="42">
        <f t="shared" si="51"/>
        <v>22.549999999999997</v>
      </c>
      <c r="K143" s="2813"/>
      <c r="L143" s="155">
        <f>20.5+2.05</f>
        <v>22.55</v>
      </c>
      <c r="M143" s="1473"/>
      <c r="N143" s="613">
        <f t="shared" si="29"/>
        <v>45.099999999999994</v>
      </c>
      <c r="O143" s="2813"/>
      <c r="P143" s="155">
        <v>55.35</v>
      </c>
      <c r="Q143" s="261"/>
      <c r="R143" s="368">
        <f t="shared" si="63"/>
        <v>100.44999999999999</v>
      </c>
      <c r="S143" s="2813"/>
      <c r="T143" s="2061">
        <f>4.1+2.05+4.1</f>
        <v>10.25</v>
      </c>
      <c r="U143" s="261"/>
      <c r="V143" s="368">
        <f t="shared" si="64"/>
        <v>110.69999999999999</v>
      </c>
      <c r="W143" s="2813"/>
      <c r="X143" s="155">
        <v>2.0499999999999998</v>
      </c>
      <c r="Y143" s="570"/>
      <c r="Z143" s="4048">
        <f t="shared" si="41"/>
        <v>67.649999999999991</v>
      </c>
      <c r="AA143" s="657"/>
      <c r="AB143" s="4049">
        <f t="shared" si="42"/>
        <v>112.74999999999999</v>
      </c>
      <c r="AC143" s="2813"/>
      <c r="AD143" s="155"/>
      <c r="AE143" s="261"/>
      <c r="AF143" s="775">
        <f t="shared" si="52"/>
        <v>112.74999999999999</v>
      </c>
      <c r="AG143" s="2813"/>
      <c r="AH143" s="155">
        <f>47.15+4.1</f>
        <v>51.25</v>
      </c>
      <c r="AI143" s="261"/>
      <c r="AJ143" s="368">
        <f t="shared" ref="AJ143:AJ157" si="65">+AF143+AH143</f>
        <v>164</v>
      </c>
      <c r="AK143" s="2813"/>
      <c r="AL143" s="155">
        <v>6.1499999999999995</v>
      </c>
      <c r="AM143" s="570"/>
      <c r="AN143" s="570">
        <f t="shared" si="53"/>
        <v>57.4</v>
      </c>
      <c r="AO143" s="775"/>
      <c r="AP143" s="775">
        <f t="shared" si="54"/>
        <v>170.15</v>
      </c>
      <c r="AQ143" s="2813"/>
      <c r="AR143" s="2798">
        <v>2.0499999999999998</v>
      </c>
      <c r="AS143" s="261"/>
      <c r="AT143" s="775">
        <f t="shared" si="55"/>
        <v>172.20000000000002</v>
      </c>
      <c r="AU143" s="2813"/>
      <c r="AV143" s="2798">
        <v>6.15</v>
      </c>
      <c r="AW143" s="261"/>
      <c r="AX143" s="775">
        <f t="shared" si="56"/>
        <v>178.35000000000002</v>
      </c>
      <c r="AY143" s="2813"/>
      <c r="AZ143" s="2798">
        <v>2.0499999999999998</v>
      </c>
      <c r="BA143" s="570"/>
      <c r="BB143" s="570">
        <f t="shared" si="48"/>
        <v>10.25</v>
      </c>
      <c r="BC143" s="657"/>
      <c r="BD143" s="657">
        <f t="shared" si="38"/>
        <v>67.650000000000006</v>
      </c>
      <c r="BE143" s="775"/>
      <c r="BF143" s="370">
        <f t="shared" si="49"/>
        <v>180.40000000000003</v>
      </c>
      <c r="BG143" s="1202"/>
      <c r="BH143" s="1520">
        <f t="shared" si="57"/>
        <v>0</v>
      </c>
      <c r="BI143" s="1520">
        <f t="shared" si="58"/>
        <v>0</v>
      </c>
      <c r="BJ143" s="26">
        <f t="shared" si="59"/>
        <v>0</v>
      </c>
      <c r="BK143" s="26">
        <f t="shared" si="60"/>
        <v>0</v>
      </c>
      <c r="BL143" s="26">
        <f t="shared" si="61"/>
        <v>0</v>
      </c>
      <c r="BM143" s="26">
        <f t="shared" si="62"/>
        <v>0</v>
      </c>
    </row>
    <row r="144" spans="2:65" ht="16.2" thickBot="1" x14ac:dyDescent="0.35">
      <c r="B144" s="1610" t="s">
        <v>1026</v>
      </c>
      <c r="C144" s="2815"/>
      <c r="D144" s="2816" t="s">
        <v>50</v>
      </c>
      <c r="E144" s="847"/>
      <c r="F144" s="2537">
        <v>90.22</v>
      </c>
      <c r="G144" s="847"/>
      <c r="H144" s="2537">
        <v>79.95</v>
      </c>
      <c r="I144" s="2817"/>
      <c r="J144" s="38">
        <f t="shared" si="51"/>
        <v>170.17000000000002</v>
      </c>
      <c r="K144" s="847"/>
      <c r="L144" s="2537">
        <f>63.55+2.05</f>
        <v>65.599999999999994</v>
      </c>
      <c r="M144" s="1473"/>
      <c r="N144" s="613">
        <f t="shared" ref="N144:N157" si="66">+F144+H144+L144</f>
        <v>235.77</v>
      </c>
      <c r="O144" s="847"/>
      <c r="P144" s="2537">
        <v>49.2</v>
      </c>
      <c r="Q144" s="261"/>
      <c r="R144" s="368">
        <f t="shared" si="63"/>
        <v>284.97000000000003</v>
      </c>
      <c r="S144" s="847"/>
      <c r="T144" s="2599">
        <v>53.3</v>
      </c>
      <c r="U144" s="261"/>
      <c r="V144" s="368">
        <f t="shared" si="64"/>
        <v>338.27000000000004</v>
      </c>
      <c r="W144" s="847"/>
      <c r="X144" s="2537">
        <v>129.15</v>
      </c>
      <c r="Y144" s="570"/>
      <c r="Z144" s="4048">
        <f t="shared" si="41"/>
        <v>231.65</v>
      </c>
      <c r="AA144" s="657"/>
      <c r="AB144" s="4049">
        <f t="shared" si="42"/>
        <v>467.42</v>
      </c>
      <c r="AC144" s="847"/>
      <c r="AD144" s="2794">
        <v>12.3</v>
      </c>
      <c r="AE144" s="261"/>
      <c r="AF144" s="775">
        <f t="shared" si="52"/>
        <v>479.72</v>
      </c>
      <c r="AG144" s="847"/>
      <c r="AH144" s="2794">
        <f>4.1+2.05+2.05</f>
        <v>8.1999999999999993</v>
      </c>
      <c r="AI144" s="261"/>
      <c r="AJ144" s="368">
        <f t="shared" si="65"/>
        <v>487.92</v>
      </c>
      <c r="AK144" s="847"/>
      <c r="AL144" s="2794">
        <f>28.7+4.1</f>
        <v>32.799999999999997</v>
      </c>
      <c r="AM144" s="570"/>
      <c r="AN144" s="570">
        <f t="shared" si="53"/>
        <v>53.3</v>
      </c>
      <c r="AO144" s="775"/>
      <c r="AP144" s="775">
        <f t="shared" si="54"/>
        <v>520.72</v>
      </c>
      <c r="AQ144" s="847"/>
      <c r="AR144" s="2795">
        <f>12.3+6.15+2.05</f>
        <v>20.500000000000004</v>
      </c>
      <c r="AS144" s="261"/>
      <c r="AT144" s="775">
        <f t="shared" si="55"/>
        <v>541.22</v>
      </c>
      <c r="AU144" s="847"/>
      <c r="AV144" s="2795">
        <v>2.0499999999999998</v>
      </c>
      <c r="AW144" s="261"/>
      <c r="AX144" s="775">
        <f t="shared" si="56"/>
        <v>543.27</v>
      </c>
      <c r="AY144" s="847"/>
      <c r="AZ144" s="2795">
        <v>12.3</v>
      </c>
      <c r="BA144" s="570"/>
      <c r="BB144" s="570">
        <f t="shared" si="48"/>
        <v>34.850000000000009</v>
      </c>
      <c r="BC144" s="657"/>
      <c r="BD144" s="657">
        <f t="shared" si="38"/>
        <v>88.15</v>
      </c>
      <c r="BE144" s="775"/>
      <c r="BF144" s="775">
        <f t="shared" si="49"/>
        <v>555.56999999999994</v>
      </c>
      <c r="BG144" s="1202"/>
      <c r="BH144" s="1520">
        <f t="shared" si="57"/>
        <v>0</v>
      </c>
      <c r="BI144" s="1520">
        <f t="shared" si="58"/>
        <v>0</v>
      </c>
      <c r="BJ144" s="26">
        <f t="shared" si="59"/>
        <v>0</v>
      </c>
      <c r="BK144" s="26">
        <f t="shared" si="60"/>
        <v>0</v>
      </c>
      <c r="BL144" s="26">
        <f t="shared" si="61"/>
        <v>0</v>
      </c>
      <c r="BM144" s="26">
        <f t="shared" si="62"/>
        <v>0</v>
      </c>
    </row>
    <row r="145" spans="1:65" ht="16.2" thickBot="1" x14ac:dyDescent="0.35">
      <c r="B145" s="1610" t="s">
        <v>1025</v>
      </c>
      <c r="C145" s="2815"/>
      <c r="D145" s="2816" t="s">
        <v>50</v>
      </c>
      <c r="E145" s="847"/>
      <c r="F145" s="2537"/>
      <c r="G145" s="847"/>
      <c r="H145" s="2537"/>
      <c r="I145" s="2817"/>
      <c r="J145" s="38">
        <f t="shared" si="51"/>
        <v>0</v>
      </c>
      <c r="K145" s="847"/>
      <c r="L145" s="2537"/>
      <c r="M145" s="1473"/>
      <c r="N145" s="613">
        <f t="shared" si="66"/>
        <v>0</v>
      </c>
      <c r="O145" s="847"/>
      <c r="P145" s="2537"/>
      <c r="Q145" s="261"/>
      <c r="R145" s="368">
        <f t="shared" si="63"/>
        <v>0</v>
      </c>
      <c r="S145" s="847"/>
      <c r="T145" s="2599"/>
      <c r="U145" s="261"/>
      <c r="V145" s="368">
        <f t="shared" si="64"/>
        <v>0</v>
      </c>
      <c r="W145" s="847"/>
      <c r="X145" s="2537"/>
      <c r="Y145" s="570"/>
      <c r="Z145" s="4048">
        <f t="shared" si="41"/>
        <v>0</v>
      </c>
      <c r="AA145" s="657"/>
      <c r="AB145" s="4049">
        <f t="shared" si="42"/>
        <v>0</v>
      </c>
      <c r="AC145" s="847"/>
      <c r="AD145" s="2794"/>
      <c r="AE145" s="261"/>
      <c r="AF145" s="775">
        <f t="shared" si="52"/>
        <v>0</v>
      </c>
      <c r="AG145" s="847"/>
      <c r="AH145" s="2794">
        <v>6.1499999999999995</v>
      </c>
      <c r="AI145" s="261"/>
      <c r="AJ145" s="368">
        <f t="shared" si="65"/>
        <v>6.1499999999999995</v>
      </c>
      <c r="AK145" s="847"/>
      <c r="AL145" s="2794">
        <f>8.2+4.1+2.05+4.1</f>
        <v>18.449999999999996</v>
      </c>
      <c r="AM145" s="570"/>
      <c r="AN145" s="570">
        <f t="shared" si="53"/>
        <v>24.599999999999994</v>
      </c>
      <c r="AO145" s="775"/>
      <c r="AP145" s="775">
        <f t="shared" si="54"/>
        <v>24.599999999999994</v>
      </c>
      <c r="AQ145" s="847"/>
      <c r="AR145" s="2795"/>
      <c r="AS145" s="261"/>
      <c r="AT145" s="775">
        <f t="shared" si="55"/>
        <v>24.599999999999994</v>
      </c>
      <c r="AU145" s="847"/>
      <c r="AV145" s="2795"/>
      <c r="AW145" s="261"/>
      <c r="AX145" s="775">
        <f t="shared" si="56"/>
        <v>24.599999999999994</v>
      </c>
      <c r="AY145" s="847"/>
      <c r="AZ145" s="2795"/>
      <c r="BA145" s="570"/>
      <c r="BB145" s="570">
        <f t="shared" si="48"/>
        <v>0</v>
      </c>
      <c r="BC145" s="657"/>
      <c r="BD145" s="657">
        <f t="shared" si="38"/>
        <v>24.599999999999994</v>
      </c>
      <c r="BE145" s="775"/>
      <c r="BF145" s="775">
        <f t="shared" si="49"/>
        <v>24.599999999999994</v>
      </c>
      <c r="BG145" s="1202"/>
      <c r="BH145" s="1520">
        <f t="shared" si="57"/>
        <v>0</v>
      </c>
      <c r="BI145" s="1520">
        <f t="shared" si="58"/>
        <v>0</v>
      </c>
      <c r="BJ145" s="26">
        <f t="shared" si="59"/>
        <v>0</v>
      </c>
      <c r="BK145" s="26">
        <f t="shared" si="60"/>
        <v>0</v>
      </c>
      <c r="BL145" s="26">
        <f t="shared" si="61"/>
        <v>0</v>
      </c>
      <c r="BM145" s="26">
        <f t="shared" si="62"/>
        <v>0</v>
      </c>
    </row>
    <row r="146" spans="1:65" ht="16.2" thickBot="1" x14ac:dyDescent="0.35">
      <c r="B146" s="1610" t="s">
        <v>1023</v>
      </c>
      <c r="C146" s="2815"/>
      <c r="D146" s="2816" t="s">
        <v>50</v>
      </c>
      <c r="E146" s="847"/>
      <c r="F146" s="2537">
        <f>30.75+2.05</f>
        <v>32.799999999999997</v>
      </c>
      <c r="G146" s="847"/>
      <c r="H146" s="2537">
        <f>16.4+4.1</f>
        <v>20.5</v>
      </c>
      <c r="I146" s="2817"/>
      <c r="J146" s="38">
        <f t="shared" si="51"/>
        <v>53.3</v>
      </c>
      <c r="K146" s="847"/>
      <c r="L146" s="2537">
        <v>6.1499999999999995</v>
      </c>
      <c r="M146" s="1473"/>
      <c r="N146" s="613">
        <f t="shared" si="66"/>
        <v>59.449999999999996</v>
      </c>
      <c r="O146" s="847"/>
      <c r="P146" s="2537">
        <v>86.1</v>
      </c>
      <c r="Q146" s="261"/>
      <c r="R146" s="368">
        <f t="shared" si="63"/>
        <v>145.54999999999998</v>
      </c>
      <c r="S146" s="847"/>
      <c r="T146" s="2599">
        <v>8.1999999999999993</v>
      </c>
      <c r="U146" s="261"/>
      <c r="V146" s="368">
        <f t="shared" si="64"/>
        <v>153.74999999999997</v>
      </c>
      <c r="W146" s="847"/>
      <c r="X146" s="2537">
        <v>6.15</v>
      </c>
      <c r="Y146" s="570"/>
      <c r="Z146" s="4048">
        <f t="shared" ref="Z146:Z151" si="67">P146+T146+X146</f>
        <v>100.45</v>
      </c>
      <c r="AA146" s="657"/>
      <c r="AB146" s="4049">
        <f t="shared" ref="AB146:AB155" si="68">N146+Z146</f>
        <v>159.9</v>
      </c>
      <c r="AC146" s="847"/>
      <c r="AD146" s="2794">
        <f>14.35+2.05</f>
        <v>16.399999999999999</v>
      </c>
      <c r="AE146" s="261"/>
      <c r="AF146" s="775">
        <f t="shared" si="52"/>
        <v>176.3</v>
      </c>
      <c r="AG146" s="847"/>
      <c r="AH146" s="2794">
        <v>26.65</v>
      </c>
      <c r="AI146" s="261"/>
      <c r="AJ146" s="368">
        <f t="shared" si="65"/>
        <v>202.95000000000002</v>
      </c>
      <c r="AK146" s="847"/>
      <c r="AL146" s="2794">
        <f>34.85+4.1+10.25</f>
        <v>49.2</v>
      </c>
      <c r="AM146" s="570"/>
      <c r="AN146" s="570">
        <f t="shared" si="53"/>
        <v>92.25</v>
      </c>
      <c r="AO146" s="775"/>
      <c r="AP146" s="775">
        <f t="shared" si="54"/>
        <v>252.15000000000003</v>
      </c>
      <c r="AQ146" s="847"/>
      <c r="AR146" s="2795">
        <v>14.35</v>
      </c>
      <c r="AS146" s="261"/>
      <c r="AT146" s="775">
        <f t="shared" si="55"/>
        <v>266.50000000000006</v>
      </c>
      <c r="AU146" s="847"/>
      <c r="AV146" s="2795">
        <v>40.999999999999986</v>
      </c>
      <c r="AW146" s="261"/>
      <c r="AX146" s="775">
        <f t="shared" si="56"/>
        <v>307.50000000000006</v>
      </c>
      <c r="AY146" s="847"/>
      <c r="AZ146" s="2795">
        <v>55.35</v>
      </c>
      <c r="BA146" s="570"/>
      <c r="BB146" s="570">
        <f t="shared" si="48"/>
        <v>110.69999999999999</v>
      </c>
      <c r="BC146" s="657"/>
      <c r="BD146" s="657">
        <f t="shared" ref="BD146:BD156" si="69">AN146+BB146</f>
        <v>202.95</v>
      </c>
      <c r="BE146" s="775"/>
      <c r="BF146" s="775">
        <f t="shared" si="49"/>
        <v>362.85000000000008</v>
      </c>
      <c r="BG146" s="1202"/>
      <c r="BH146" s="1520">
        <f t="shared" si="57"/>
        <v>0</v>
      </c>
      <c r="BI146" s="1520">
        <f t="shared" si="58"/>
        <v>0</v>
      </c>
      <c r="BJ146" s="26">
        <f t="shared" si="59"/>
        <v>0</v>
      </c>
      <c r="BK146" s="26">
        <f t="shared" si="60"/>
        <v>0</v>
      </c>
      <c r="BL146" s="26">
        <f t="shared" si="61"/>
        <v>0</v>
      </c>
      <c r="BM146" s="26">
        <f t="shared" si="62"/>
        <v>0</v>
      </c>
    </row>
    <row r="147" spans="1:65" ht="16.2" thickBot="1" x14ac:dyDescent="0.35">
      <c r="B147" s="1610" t="s">
        <v>1113</v>
      </c>
      <c r="C147" s="2815"/>
      <c r="D147" s="2816" t="s">
        <v>50</v>
      </c>
      <c r="E147" s="847"/>
      <c r="F147" s="2537"/>
      <c r="G147" s="847"/>
      <c r="H147" s="2537"/>
      <c r="I147" s="2817"/>
      <c r="J147" s="38">
        <f t="shared" si="51"/>
        <v>0</v>
      </c>
      <c r="K147" s="847"/>
      <c r="L147" s="2537"/>
      <c r="M147" s="1473"/>
      <c r="N147" s="613">
        <f t="shared" si="66"/>
        <v>0</v>
      </c>
      <c r="O147" s="847"/>
      <c r="P147" s="2537"/>
      <c r="Q147" s="261"/>
      <c r="R147" s="368">
        <f t="shared" si="63"/>
        <v>0</v>
      </c>
      <c r="S147" s="847"/>
      <c r="T147" s="2599">
        <v>4.0999999999999996</v>
      </c>
      <c r="U147" s="261"/>
      <c r="V147" s="368">
        <f t="shared" si="64"/>
        <v>4.0999999999999996</v>
      </c>
      <c r="W147" s="847"/>
      <c r="X147" s="2537"/>
      <c r="Y147" s="570"/>
      <c r="Z147" s="4048">
        <f t="shared" si="67"/>
        <v>4.0999999999999996</v>
      </c>
      <c r="AA147" s="657"/>
      <c r="AB147" s="4049">
        <f t="shared" si="68"/>
        <v>4.0999999999999996</v>
      </c>
      <c r="AC147" s="847"/>
      <c r="AD147" s="2537"/>
      <c r="AE147" s="261"/>
      <c r="AF147" s="775">
        <f t="shared" si="52"/>
        <v>4.0999999999999996</v>
      </c>
      <c r="AG147" s="847"/>
      <c r="AH147" s="2537"/>
      <c r="AI147" s="261"/>
      <c r="AJ147" s="368">
        <f t="shared" si="65"/>
        <v>4.0999999999999996</v>
      </c>
      <c r="AK147" s="847"/>
      <c r="AL147" s="2537"/>
      <c r="AM147" s="570"/>
      <c r="AN147" s="570">
        <f t="shared" si="53"/>
        <v>0</v>
      </c>
      <c r="AO147" s="775"/>
      <c r="AP147" s="775">
        <f t="shared" si="54"/>
        <v>4.0999999999999996</v>
      </c>
      <c r="AQ147" s="847"/>
      <c r="AR147" s="2794"/>
      <c r="AS147" s="261"/>
      <c r="AT147" s="775">
        <f t="shared" si="55"/>
        <v>4.0999999999999996</v>
      </c>
      <c r="AU147" s="847"/>
      <c r="AV147" s="2794"/>
      <c r="AW147" s="261"/>
      <c r="AX147" s="775">
        <f t="shared" ref="AX147:AX157" si="70">+AT147+AV147</f>
        <v>4.0999999999999996</v>
      </c>
      <c r="AY147" s="847"/>
      <c r="AZ147" s="2794"/>
      <c r="BA147" s="570"/>
      <c r="BB147" s="570">
        <f t="shared" si="48"/>
        <v>0</v>
      </c>
      <c r="BC147" s="657"/>
      <c r="BD147" s="657">
        <f t="shared" si="69"/>
        <v>0</v>
      </c>
      <c r="BE147" s="775"/>
      <c r="BF147" s="775">
        <f t="shared" si="49"/>
        <v>4.0999999999999996</v>
      </c>
      <c r="BG147" s="1202"/>
      <c r="BH147" s="1520">
        <f t="shared" si="57"/>
        <v>0</v>
      </c>
      <c r="BI147" s="1520">
        <f t="shared" si="58"/>
        <v>0</v>
      </c>
      <c r="BJ147" s="26">
        <f t="shared" si="59"/>
        <v>0</v>
      </c>
      <c r="BK147" s="26">
        <f t="shared" si="60"/>
        <v>0</v>
      </c>
      <c r="BL147" s="26">
        <f t="shared" si="61"/>
        <v>0</v>
      </c>
      <c r="BM147" s="26">
        <f t="shared" si="62"/>
        <v>0</v>
      </c>
    </row>
    <row r="148" spans="1:65" ht="16.2" thickBot="1" x14ac:dyDescent="0.35">
      <c r="B148" s="1610" t="s">
        <v>1114</v>
      </c>
      <c r="C148" s="2815"/>
      <c r="D148" s="2816" t="s">
        <v>50</v>
      </c>
      <c r="E148" s="847"/>
      <c r="F148" s="2537"/>
      <c r="G148" s="847"/>
      <c r="H148" s="2537"/>
      <c r="I148" s="2817"/>
      <c r="J148" s="38">
        <f t="shared" si="51"/>
        <v>0</v>
      </c>
      <c r="K148" s="847"/>
      <c r="L148" s="2537">
        <f>6.15+2.05</f>
        <v>8.1999999999999993</v>
      </c>
      <c r="M148" s="1473"/>
      <c r="N148" s="613">
        <f t="shared" si="66"/>
        <v>8.1999999999999993</v>
      </c>
      <c r="O148" s="847"/>
      <c r="P148" s="2537">
        <v>2.0499999999999998</v>
      </c>
      <c r="Q148" s="261"/>
      <c r="R148" s="368">
        <f t="shared" si="63"/>
        <v>10.25</v>
      </c>
      <c r="S148" s="847"/>
      <c r="T148" s="2599"/>
      <c r="U148" s="261"/>
      <c r="V148" s="368">
        <f t="shared" si="64"/>
        <v>10.25</v>
      </c>
      <c r="W148" s="847"/>
      <c r="X148" s="2537"/>
      <c r="Y148" s="570"/>
      <c r="Z148" s="4048">
        <f t="shared" si="67"/>
        <v>2.0499999999999998</v>
      </c>
      <c r="AA148" s="657"/>
      <c r="AB148" s="4049">
        <f t="shared" si="68"/>
        <v>10.25</v>
      </c>
      <c r="AC148" s="847"/>
      <c r="AD148" s="2537"/>
      <c r="AE148" s="261"/>
      <c r="AF148" s="775">
        <f t="shared" si="52"/>
        <v>10.25</v>
      </c>
      <c r="AG148" s="847"/>
      <c r="AH148" s="2537"/>
      <c r="AI148" s="261"/>
      <c r="AJ148" s="368">
        <f t="shared" si="65"/>
        <v>10.25</v>
      </c>
      <c r="AK148" s="847"/>
      <c r="AL148" s="2537"/>
      <c r="AM148" s="570"/>
      <c r="AN148" s="570">
        <f t="shared" ref="AN148:AN157" si="71">AD148+AH148+AL148</f>
        <v>0</v>
      </c>
      <c r="AO148" s="775"/>
      <c r="AP148" s="775">
        <f t="shared" si="54"/>
        <v>10.25</v>
      </c>
      <c r="AQ148" s="847"/>
      <c r="AR148" s="2794"/>
      <c r="AS148" s="261"/>
      <c r="AT148" s="775">
        <f t="shared" si="55"/>
        <v>10.25</v>
      </c>
      <c r="AU148" s="847"/>
      <c r="AV148" s="2794"/>
      <c r="AW148" s="261"/>
      <c r="AX148" s="775">
        <f t="shared" si="70"/>
        <v>10.25</v>
      </c>
      <c r="AY148" s="847"/>
      <c r="AZ148" s="2794"/>
      <c r="BA148" s="570"/>
      <c r="BB148" s="570">
        <f t="shared" si="48"/>
        <v>0</v>
      </c>
      <c r="BC148" s="657"/>
      <c r="BD148" s="657">
        <f t="shared" si="69"/>
        <v>0</v>
      </c>
      <c r="BE148" s="775"/>
      <c r="BF148" s="775">
        <f t="shared" si="49"/>
        <v>10.25</v>
      </c>
      <c r="BG148" s="1202"/>
      <c r="BH148" s="1520">
        <f t="shared" si="57"/>
        <v>0</v>
      </c>
      <c r="BI148" s="1520">
        <f t="shared" si="58"/>
        <v>0</v>
      </c>
      <c r="BJ148" s="26">
        <f t="shared" si="59"/>
        <v>0</v>
      </c>
      <c r="BK148" s="26">
        <f t="shared" si="60"/>
        <v>0</v>
      </c>
      <c r="BL148" s="26">
        <f t="shared" si="61"/>
        <v>0</v>
      </c>
      <c r="BM148" s="26">
        <f t="shared" si="62"/>
        <v>0</v>
      </c>
    </row>
    <row r="149" spans="1:65" ht="16.2" thickBot="1" x14ac:dyDescent="0.35">
      <c r="B149" s="1610" t="s">
        <v>1259</v>
      </c>
      <c r="C149" s="2815"/>
      <c r="D149" s="2816" t="s">
        <v>50</v>
      </c>
      <c r="E149" s="847"/>
      <c r="F149" s="2537"/>
      <c r="G149" s="847"/>
      <c r="H149" s="2537"/>
      <c r="I149" s="2817"/>
      <c r="J149" s="38">
        <f t="shared" si="51"/>
        <v>0</v>
      </c>
      <c r="K149" s="847"/>
      <c r="L149" s="2537">
        <v>10.1</v>
      </c>
      <c r="M149" s="1473"/>
      <c r="N149" s="613">
        <f t="shared" si="66"/>
        <v>10.1</v>
      </c>
      <c r="O149" s="847"/>
      <c r="P149" s="2537">
        <v>16.399999999999999</v>
      </c>
      <c r="Q149" s="261"/>
      <c r="R149" s="368">
        <f t="shared" si="63"/>
        <v>26.5</v>
      </c>
      <c r="S149" s="847"/>
      <c r="T149" s="2599"/>
      <c r="U149" s="261"/>
      <c r="V149" s="368">
        <f t="shared" si="64"/>
        <v>26.5</v>
      </c>
      <c r="W149" s="847"/>
      <c r="X149" s="2537"/>
      <c r="Y149" s="570"/>
      <c r="Z149" s="4048">
        <f t="shared" si="67"/>
        <v>16.399999999999999</v>
      </c>
      <c r="AA149" s="657"/>
      <c r="AB149" s="4049">
        <f t="shared" si="68"/>
        <v>26.5</v>
      </c>
      <c r="AC149" s="847"/>
      <c r="AD149" s="2537"/>
      <c r="AE149" s="261"/>
      <c r="AF149" s="775">
        <f t="shared" si="52"/>
        <v>26.5</v>
      </c>
      <c r="AG149" s="847"/>
      <c r="AH149" s="2537"/>
      <c r="AI149" s="261"/>
      <c r="AJ149" s="368">
        <f t="shared" si="65"/>
        <v>26.5</v>
      </c>
      <c r="AK149" s="847"/>
      <c r="AL149" s="2537"/>
      <c r="AM149" s="570"/>
      <c r="AN149" s="570">
        <f t="shared" si="71"/>
        <v>0</v>
      </c>
      <c r="AO149" s="775"/>
      <c r="AP149" s="775">
        <f t="shared" ref="AP149:AP157" si="72">AJ149+AL149</f>
        <v>26.5</v>
      </c>
      <c r="AQ149" s="847"/>
      <c r="AR149" s="2537"/>
      <c r="AS149" s="261"/>
      <c r="AT149" s="775">
        <f t="shared" si="55"/>
        <v>26.5</v>
      </c>
      <c r="AU149" s="847"/>
      <c r="AV149" s="2537"/>
      <c r="AW149" s="261"/>
      <c r="AX149" s="775">
        <f t="shared" si="70"/>
        <v>26.5</v>
      </c>
      <c r="AY149" s="847"/>
      <c r="AZ149" s="2537"/>
      <c r="BA149" s="570"/>
      <c r="BB149" s="570">
        <f t="shared" si="48"/>
        <v>0</v>
      </c>
      <c r="BC149" s="657"/>
      <c r="BD149" s="657">
        <f t="shared" si="69"/>
        <v>0</v>
      </c>
      <c r="BE149" s="775"/>
      <c r="BF149" s="775">
        <f t="shared" si="49"/>
        <v>26.5</v>
      </c>
      <c r="BG149" s="1202"/>
      <c r="BH149" s="1520">
        <f t="shared" si="57"/>
        <v>0</v>
      </c>
      <c r="BI149" s="1520">
        <f t="shared" si="58"/>
        <v>0</v>
      </c>
      <c r="BJ149" s="26">
        <f t="shared" si="59"/>
        <v>0</v>
      </c>
      <c r="BK149" s="26">
        <f t="shared" si="60"/>
        <v>0</v>
      </c>
      <c r="BL149" s="26">
        <f t="shared" si="61"/>
        <v>0</v>
      </c>
      <c r="BM149" s="26">
        <f t="shared" si="62"/>
        <v>0</v>
      </c>
    </row>
    <row r="150" spans="1:65" ht="16.2" thickBot="1" x14ac:dyDescent="0.35">
      <c r="B150" s="1610" t="s">
        <v>1022</v>
      </c>
      <c r="C150" s="2815"/>
      <c r="D150" s="2816" t="s">
        <v>50</v>
      </c>
      <c r="E150" s="847"/>
      <c r="F150" s="2537"/>
      <c r="G150" s="847"/>
      <c r="H150" s="2537">
        <v>2.0499999999999998</v>
      </c>
      <c r="I150" s="2817"/>
      <c r="J150" s="38">
        <f t="shared" si="51"/>
        <v>2.0499999999999998</v>
      </c>
      <c r="K150" s="847"/>
      <c r="L150" s="2537"/>
      <c r="M150" s="1473"/>
      <c r="N150" s="613">
        <f t="shared" si="66"/>
        <v>2.0499999999999998</v>
      </c>
      <c r="O150" s="847"/>
      <c r="P150" s="2537"/>
      <c r="Q150" s="261"/>
      <c r="R150" s="368">
        <f t="shared" si="63"/>
        <v>2.0499999999999998</v>
      </c>
      <c r="S150" s="847"/>
      <c r="T150" s="2599">
        <v>6.15</v>
      </c>
      <c r="U150" s="261"/>
      <c r="V150" s="368">
        <f t="shared" si="64"/>
        <v>8.1999999999999993</v>
      </c>
      <c r="W150" s="847"/>
      <c r="X150" s="2537"/>
      <c r="Y150" s="570"/>
      <c r="Z150" s="4048">
        <f t="shared" si="67"/>
        <v>6.15</v>
      </c>
      <c r="AA150" s="657"/>
      <c r="AB150" s="4049">
        <f t="shared" si="68"/>
        <v>8.1999999999999993</v>
      </c>
      <c r="AC150" s="847"/>
      <c r="AD150" s="2537"/>
      <c r="AE150" s="261"/>
      <c r="AF150" s="775">
        <f t="shared" si="52"/>
        <v>8.1999999999999993</v>
      </c>
      <c r="AG150" s="847"/>
      <c r="AH150" s="2537"/>
      <c r="AI150" s="261"/>
      <c r="AJ150" s="368">
        <f t="shared" si="65"/>
        <v>8.1999999999999993</v>
      </c>
      <c r="AK150" s="847"/>
      <c r="AL150" s="2537"/>
      <c r="AM150" s="570"/>
      <c r="AN150" s="570">
        <f t="shared" si="71"/>
        <v>0</v>
      </c>
      <c r="AO150" s="775"/>
      <c r="AP150" s="775">
        <f t="shared" si="72"/>
        <v>8.1999999999999993</v>
      </c>
      <c r="AQ150" s="847"/>
      <c r="AR150" s="2537"/>
      <c r="AS150" s="261"/>
      <c r="AT150" s="775">
        <f t="shared" si="55"/>
        <v>8.1999999999999993</v>
      </c>
      <c r="AU150" s="847"/>
      <c r="AV150" s="2537"/>
      <c r="AW150" s="261"/>
      <c r="AX150" s="775">
        <f t="shared" si="70"/>
        <v>8.1999999999999993</v>
      </c>
      <c r="AY150" s="847"/>
      <c r="AZ150" s="2537"/>
      <c r="BA150" s="570"/>
      <c r="BB150" s="570">
        <f t="shared" si="48"/>
        <v>0</v>
      </c>
      <c r="BC150" s="657"/>
      <c r="BD150" s="657">
        <f t="shared" si="69"/>
        <v>0</v>
      </c>
      <c r="BE150" s="775"/>
      <c r="BF150" s="775">
        <f t="shared" si="49"/>
        <v>8.1999999999999993</v>
      </c>
      <c r="BG150" s="1202"/>
      <c r="BH150" s="1520">
        <f t="shared" si="57"/>
        <v>0</v>
      </c>
      <c r="BI150" s="1520">
        <f t="shared" si="58"/>
        <v>0</v>
      </c>
      <c r="BJ150" s="26">
        <f t="shared" si="59"/>
        <v>0</v>
      </c>
      <c r="BK150" s="26">
        <f t="shared" si="60"/>
        <v>0</v>
      </c>
      <c r="BL150" s="26">
        <f t="shared" si="61"/>
        <v>0</v>
      </c>
      <c r="BM150" s="26">
        <f t="shared" si="62"/>
        <v>0</v>
      </c>
    </row>
    <row r="151" spans="1:65" ht="16.2" thickBot="1" x14ac:dyDescent="0.35">
      <c r="B151" s="1610" t="s">
        <v>1841</v>
      </c>
      <c r="C151" s="2815"/>
      <c r="D151" s="2816" t="s">
        <v>50</v>
      </c>
      <c r="E151" s="847"/>
      <c r="F151" s="4024"/>
      <c r="G151" s="847"/>
      <c r="H151" s="5512">
        <f>4.1+12.3</f>
        <v>16.399999999999999</v>
      </c>
      <c r="I151" s="4031"/>
      <c r="J151" s="38">
        <f t="shared" si="51"/>
        <v>16.399999999999999</v>
      </c>
      <c r="K151" s="847"/>
      <c r="L151" s="4024"/>
      <c r="M151" s="4032"/>
      <c r="N151" s="613">
        <f t="shared" si="66"/>
        <v>16.399999999999999</v>
      </c>
      <c r="O151" s="847"/>
      <c r="P151" s="4024"/>
      <c r="Q151" s="4028"/>
      <c r="R151" s="368">
        <f t="shared" si="63"/>
        <v>16.399999999999999</v>
      </c>
      <c r="S151" s="847"/>
      <c r="T151" s="3974"/>
      <c r="U151" s="4028"/>
      <c r="V151" s="368">
        <f t="shared" si="64"/>
        <v>16.399999999999999</v>
      </c>
      <c r="W151" s="847"/>
      <c r="X151" s="4024"/>
      <c r="Y151" s="4029"/>
      <c r="Z151" s="4048">
        <f t="shared" si="67"/>
        <v>0</v>
      </c>
      <c r="AA151" s="4030"/>
      <c r="AB151" s="4049">
        <f t="shared" si="68"/>
        <v>16.399999999999999</v>
      </c>
      <c r="AC151" s="847"/>
      <c r="AD151" s="4024"/>
      <c r="AE151" s="4028"/>
      <c r="AF151" s="775">
        <f t="shared" si="52"/>
        <v>16.399999999999999</v>
      </c>
      <c r="AG151" s="847"/>
      <c r="AH151" s="4024"/>
      <c r="AI151" s="4028"/>
      <c r="AJ151" s="368">
        <f t="shared" si="65"/>
        <v>16.399999999999999</v>
      </c>
      <c r="AK151" s="847"/>
      <c r="AL151" s="4024"/>
      <c r="AM151" s="4029"/>
      <c r="AN151" s="570">
        <f t="shared" si="71"/>
        <v>0</v>
      </c>
      <c r="AO151" s="3970"/>
      <c r="AP151" s="775">
        <f t="shared" si="72"/>
        <v>16.399999999999999</v>
      </c>
      <c r="AQ151" s="847"/>
      <c r="AR151" s="4025"/>
      <c r="AS151" s="4028"/>
      <c r="AT151" s="775">
        <f t="shared" si="55"/>
        <v>16.399999999999999</v>
      </c>
      <c r="AU151" s="847"/>
      <c r="AV151" s="4025"/>
      <c r="AW151" s="4028"/>
      <c r="AX151" s="775">
        <f t="shared" si="70"/>
        <v>16.399999999999999</v>
      </c>
      <c r="AY151" s="847"/>
      <c r="AZ151" s="4025"/>
      <c r="BA151" s="4029"/>
      <c r="BB151" s="570">
        <f t="shared" si="48"/>
        <v>0</v>
      </c>
      <c r="BC151" s="4030"/>
      <c r="BD151" s="657">
        <f t="shared" si="69"/>
        <v>0</v>
      </c>
      <c r="BE151" s="3970"/>
      <c r="BF151" s="775">
        <f t="shared" si="49"/>
        <v>16.399999999999999</v>
      </c>
      <c r="BG151" s="1202"/>
      <c r="BH151" s="1520">
        <f t="shared" si="57"/>
        <v>0</v>
      </c>
      <c r="BI151" s="1520">
        <f t="shared" si="58"/>
        <v>0</v>
      </c>
      <c r="BJ151" s="26">
        <f t="shared" si="59"/>
        <v>0</v>
      </c>
      <c r="BK151" s="26">
        <f t="shared" si="60"/>
        <v>0</v>
      </c>
      <c r="BL151" s="26">
        <f t="shared" si="61"/>
        <v>0</v>
      </c>
      <c r="BM151" s="26">
        <f t="shared" si="62"/>
        <v>0</v>
      </c>
    </row>
    <row r="152" spans="1:65" ht="16.2" thickBot="1" x14ac:dyDescent="0.35">
      <c r="B152" s="1610" t="s">
        <v>1021</v>
      </c>
      <c r="C152" s="2815"/>
      <c r="D152" s="2816" t="s">
        <v>50</v>
      </c>
      <c r="E152" s="847"/>
      <c r="F152" s="2537"/>
      <c r="G152" s="847"/>
      <c r="H152" s="2537">
        <v>2.0499999999999998</v>
      </c>
      <c r="I152" s="2817"/>
      <c r="J152" s="38">
        <f t="shared" si="51"/>
        <v>2.0499999999999998</v>
      </c>
      <c r="K152" s="847"/>
      <c r="L152" s="2537"/>
      <c r="M152" s="1473"/>
      <c r="N152" s="613">
        <f t="shared" si="66"/>
        <v>2.0499999999999998</v>
      </c>
      <c r="O152" s="847"/>
      <c r="P152" s="2537">
        <v>4.0999999999999996</v>
      </c>
      <c r="Q152" s="261"/>
      <c r="R152" s="368">
        <f t="shared" si="63"/>
        <v>6.1499999999999995</v>
      </c>
      <c r="S152" s="847"/>
      <c r="T152" s="2599"/>
      <c r="U152" s="261"/>
      <c r="V152" s="368">
        <f t="shared" si="64"/>
        <v>6.1499999999999995</v>
      </c>
      <c r="W152" s="847"/>
      <c r="X152" s="2537">
        <v>6.15</v>
      </c>
      <c r="Y152" s="570"/>
      <c r="Z152" s="570">
        <f t="shared" ref="Z152:Z157" si="73">P152+T152+X152</f>
        <v>10.25</v>
      </c>
      <c r="AA152" s="657"/>
      <c r="AB152" s="4049">
        <f t="shared" si="68"/>
        <v>12.3</v>
      </c>
      <c r="AC152" s="847"/>
      <c r="AD152" s="2537"/>
      <c r="AE152" s="261"/>
      <c r="AF152" s="775">
        <f t="shared" si="52"/>
        <v>12.3</v>
      </c>
      <c r="AG152" s="847"/>
      <c r="AH152" s="2537"/>
      <c r="AI152" s="261"/>
      <c r="AJ152" s="368">
        <f t="shared" si="65"/>
        <v>12.3</v>
      </c>
      <c r="AK152" s="847"/>
      <c r="AL152" s="2537">
        <f>36.9+4.1</f>
        <v>41</v>
      </c>
      <c r="AM152" s="570"/>
      <c r="AN152" s="570">
        <f t="shared" si="71"/>
        <v>41</v>
      </c>
      <c r="AO152" s="775"/>
      <c r="AP152" s="775">
        <f t="shared" si="72"/>
        <v>53.3</v>
      </c>
      <c r="AQ152" s="847"/>
      <c r="AR152" s="2537"/>
      <c r="AS152" s="261"/>
      <c r="AT152" s="775">
        <f t="shared" si="55"/>
        <v>53.3</v>
      </c>
      <c r="AU152" s="847"/>
      <c r="AV152" s="2537"/>
      <c r="AW152" s="261"/>
      <c r="AX152" s="775">
        <f t="shared" si="70"/>
        <v>53.3</v>
      </c>
      <c r="AY152" s="847"/>
      <c r="AZ152" s="2537"/>
      <c r="BA152" s="570"/>
      <c r="BB152" s="570">
        <f t="shared" si="48"/>
        <v>0</v>
      </c>
      <c r="BC152" s="657"/>
      <c r="BD152" s="657">
        <f t="shared" si="69"/>
        <v>41</v>
      </c>
      <c r="BE152" s="775"/>
      <c r="BF152" s="775">
        <f t="shared" si="49"/>
        <v>53.3</v>
      </c>
      <c r="BG152" s="1202"/>
      <c r="BH152" s="1520">
        <f t="shared" si="57"/>
        <v>0</v>
      </c>
      <c r="BI152" s="1520">
        <f t="shared" si="58"/>
        <v>0</v>
      </c>
      <c r="BJ152" s="26">
        <f t="shared" si="59"/>
        <v>0</v>
      </c>
      <c r="BK152" s="26">
        <f t="shared" si="60"/>
        <v>0</v>
      </c>
      <c r="BL152" s="26">
        <f t="shared" si="61"/>
        <v>0</v>
      </c>
      <c r="BM152" s="26">
        <f t="shared" si="62"/>
        <v>0</v>
      </c>
    </row>
    <row r="153" spans="1:65" ht="16.2" thickBot="1" x14ac:dyDescent="0.35">
      <c r="B153" s="1610" t="s">
        <v>1334</v>
      </c>
      <c r="C153" s="2815"/>
      <c r="D153" s="2816" t="s">
        <v>50</v>
      </c>
      <c r="E153" s="847"/>
      <c r="F153" s="2537">
        <v>4.0999999999999996</v>
      </c>
      <c r="G153" s="847"/>
      <c r="H153" s="2537"/>
      <c r="I153" s="2817"/>
      <c r="J153" s="38">
        <f t="shared" si="51"/>
        <v>4.0999999999999996</v>
      </c>
      <c r="K153" s="847"/>
      <c r="L153" s="2537"/>
      <c r="M153" s="1473"/>
      <c r="N153" s="613">
        <f t="shared" si="66"/>
        <v>4.0999999999999996</v>
      </c>
      <c r="O153" s="847"/>
      <c r="P153" s="2537"/>
      <c r="Q153" s="261"/>
      <c r="R153" s="368">
        <f t="shared" si="63"/>
        <v>4.0999999999999996</v>
      </c>
      <c r="S153" s="847"/>
      <c r="T153" s="2599"/>
      <c r="U153" s="261"/>
      <c r="V153" s="368">
        <f t="shared" si="64"/>
        <v>4.0999999999999996</v>
      </c>
      <c r="W153" s="847"/>
      <c r="X153" s="2537"/>
      <c r="Y153" s="570"/>
      <c r="Z153" s="570">
        <f t="shared" si="73"/>
        <v>0</v>
      </c>
      <c r="AA153" s="657"/>
      <c r="AB153" s="4049">
        <f t="shared" si="68"/>
        <v>4.0999999999999996</v>
      </c>
      <c r="AC153" s="847"/>
      <c r="AD153" s="2537"/>
      <c r="AE153" s="261"/>
      <c r="AF153" s="775">
        <f t="shared" si="52"/>
        <v>4.0999999999999996</v>
      </c>
      <c r="AG153" s="847"/>
      <c r="AH153" s="2537"/>
      <c r="AI153" s="261"/>
      <c r="AJ153" s="368">
        <f t="shared" si="65"/>
        <v>4.0999999999999996</v>
      </c>
      <c r="AK153" s="847"/>
      <c r="AL153" s="2537"/>
      <c r="AM153" s="570"/>
      <c r="AN153" s="570">
        <f t="shared" si="71"/>
        <v>0</v>
      </c>
      <c r="AO153" s="775"/>
      <c r="AP153" s="775">
        <f t="shared" si="72"/>
        <v>4.0999999999999996</v>
      </c>
      <c r="AQ153" s="847"/>
      <c r="AR153" s="2537"/>
      <c r="AS153" s="261"/>
      <c r="AT153" s="775">
        <f t="shared" si="55"/>
        <v>4.0999999999999996</v>
      </c>
      <c r="AU153" s="847"/>
      <c r="AV153" s="2537"/>
      <c r="AW153" s="261"/>
      <c r="AX153" s="775">
        <f t="shared" si="70"/>
        <v>4.0999999999999996</v>
      </c>
      <c r="AY153" s="847"/>
      <c r="AZ153" s="2537"/>
      <c r="BA153" s="570"/>
      <c r="BB153" s="570">
        <f t="shared" si="48"/>
        <v>0</v>
      </c>
      <c r="BC153" s="657"/>
      <c r="BD153" s="657">
        <f t="shared" si="69"/>
        <v>0</v>
      </c>
      <c r="BE153" s="775"/>
      <c r="BF153" s="775">
        <f t="shared" si="49"/>
        <v>4.0999999999999996</v>
      </c>
      <c r="BG153" s="1202"/>
      <c r="BH153" s="1520">
        <f t="shared" si="57"/>
        <v>0</v>
      </c>
      <c r="BI153" s="1520">
        <f t="shared" si="58"/>
        <v>0</v>
      </c>
      <c r="BJ153" s="26">
        <f t="shared" si="59"/>
        <v>0</v>
      </c>
      <c r="BK153" s="26">
        <f t="shared" si="60"/>
        <v>0</v>
      </c>
      <c r="BL153" s="26">
        <f t="shared" si="61"/>
        <v>0</v>
      </c>
      <c r="BM153" s="26">
        <f t="shared" si="62"/>
        <v>0</v>
      </c>
    </row>
    <row r="154" spans="1:65" ht="15.75" customHeight="1" thickBot="1" x14ac:dyDescent="0.35">
      <c r="B154" s="1610" t="s">
        <v>1020</v>
      </c>
      <c r="C154" s="2815"/>
      <c r="D154" s="2816" t="s">
        <v>50</v>
      </c>
      <c r="E154" s="847"/>
      <c r="F154" s="2537"/>
      <c r="G154" s="847"/>
      <c r="H154" s="2537"/>
      <c r="I154" s="2817"/>
      <c r="J154" s="38">
        <f t="shared" si="51"/>
        <v>0</v>
      </c>
      <c r="K154" s="847"/>
      <c r="L154" s="2537">
        <v>2.0499999999999998</v>
      </c>
      <c r="M154" s="1473"/>
      <c r="N154" s="613">
        <f t="shared" si="66"/>
        <v>2.0499999999999998</v>
      </c>
      <c r="O154" s="847"/>
      <c r="P154" s="2537"/>
      <c r="Q154" s="261"/>
      <c r="R154" s="368">
        <f t="shared" si="63"/>
        <v>2.0499999999999998</v>
      </c>
      <c r="S154" s="847"/>
      <c r="T154" s="2599"/>
      <c r="U154" s="261"/>
      <c r="V154" s="368">
        <f t="shared" si="64"/>
        <v>2.0499999999999998</v>
      </c>
      <c r="W154" s="847"/>
      <c r="X154" s="2537"/>
      <c r="Y154" s="570"/>
      <c r="Z154" s="570">
        <f t="shared" si="73"/>
        <v>0</v>
      </c>
      <c r="AA154" s="657"/>
      <c r="AB154" s="4049">
        <f t="shared" si="68"/>
        <v>2.0499999999999998</v>
      </c>
      <c r="AC154" s="847"/>
      <c r="AD154" s="2537"/>
      <c r="AE154" s="261"/>
      <c r="AF154" s="775">
        <f t="shared" si="52"/>
        <v>2.0499999999999998</v>
      </c>
      <c r="AG154" s="847"/>
      <c r="AH154" s="2537"/>
      <c r="AI154" s="261"/>
      <c r="AJ154" s="368">
        <f t="shared" si="65"/>
        <v>2.0499999999999998</v>
      </c>
      <c r="AK154" s="847"/>
      <c r="AL154" s="2537">
        <v>2.0499999999999998</v>
      </c>
      <c r="AM154" s="570"/>
      <c r="AN154" s="570">
        <f t="shared" si="71"/>
        <v>2.0499999999999998</v>
      </c>
      <c r="AO154" s="775"/>
      <c r="AP154" s="775">
        <f t="shared" si="72"/>
        <v>4.0999999999999996</v>
      </c>
      <c r="AQ154" s="847"/>
      <c r="AR154" s="2537">
        <f>4.1+2.05</f>
        <v>6.1499999999999995</v>
      </c>
      <c r="AS154" s="261"/>
      <c r="AT154" s="775">
        <f t="shared" si="55"/>
        <v>10.25</v>
      </c>
      <c r="AU154" s="847"/>
      <c r="AV154" s="2537"/>
      <c r="AW154" s="261"/>
      <c r="AX154" s="775">
        <f t="shared" si="70"/>
        <v>10.25</v>
      </c>
      <c r="AY154" s="847"/>
      <c r="AZ154" s="2537">
        <v>4.0999999999999996</v>
      </c>
      <c r="BA154" s="570"/>
      <c r="BB154" s="570">
        <f t="shared" si="48"/>
        <v>10.25</v>
      </c>
      <c r="BC154" s="657"/>
      <c r="BD154" s="657">
        <f t="shared" si="69"/>
        <v>12.3</v>
      </c>
      <c r="BE154" s="775"/>
      <c r="BF154" s="775">
        <f t="shared" si="49"/>
        <v>14.35</v>
      </c>
      <c r="BG154" s="1202"/>
      <c r="BH154" s="1520">
        <f t="shared" si="57"/>
        <v>0</v>
      </c>
      <c r="BI154" s="1520">
        <f t="shared" si="58"/>
        <v>0</v>
      </c>
      <c r="BJ154" s="26">
        <f t="shared" si="59"/>
        <v>0</v>
      </c>
      <c r="BK154" s="26">
        <f t="shared" si="60"/>
        <v>0</v>
      </c>
      <c r="BL154" s="26">
        <f t="shared" si="61"/>
        <v>0</v>
      </c>
      <c r="BM154" s="26">
        <f t="shared" si="62"/>
        <v>0</v>
      </c>
    </row>
    <row r="155" spans="1:65" ht="15.75" customHeight="1" thickBot="1" x14ac:dyDescent="0.35">
      <c r="B155" s="1610" t="s">
        <v>1280</v>
      </c>
      <c r="C155" s="2815"/>
      <c r="D155" s="2816" t="s">
        <v>50</v>
      </c>
      <c r="E155" s="2818"/>
      <c r="F155" s="2537"/>
      <c r="G155" s="2818"/>
      <c r="H155" s="2537"/>
      <c r="I155" s="2819"/>
      <c r="J155" s="38">
        <f t="shared" si="51"/>
        <v>0</v>
      </c>
      <c r="K155" s="2818"/>
      <c r="L155" s="2537"/>
      <c r="M155" s="1474"/>
      <c r="N155" s="613">
        <f t="shared" si="66"/>
        <v>0</v>
      </c>
      <c r="O155" s="2818"/>
      <c r="P155" s="2537"/>
      <c r="Q155" s="1687"/>
      <c r="R155" s="368">
        <f t="shared" si="63"/>
        <v>0</v>
      </c>
      <c r="S155" s="2818"/>
      <c r="T155" s="2599"/>
      <c r="U155" s="1687"/>
      <c r="V155" s="368">
        <f t="shared" si="64"/>
        <v>0</v>
      </c>
      <c r="W155" s="2818"/>
      <c r="X155" s="2537"/>
      <c r="Y155" s="848"/>
      <c r="Z155" s="570">
        <f t="shared" si="73"/>
        <v>0</v>
      </c>
      <c r="AA155" s="657"/>
      <c r="AB155" s="4049">
        <f t="shared" si="68"/>
        <v>0</v>
      </c>
      <c r="AC155" s="2818"/>
      <c r="AD155" s="2537"/>
      <c r="AE155" s="261"/>
      <c r="AF155" s="775">
        <f t="shared" ref="AF155:AF157" si="74">+AB155+AD155</f>
        <v>0</v>
      </c>
      <c r="AG155" s="2818"/>
      <c r="AH155" s="2537"/>
      <c r="AI155" s="261"/>
      <c r="AJ155" s="368">
        <f t="shared" si="65"/>
        <v>0</v>
      </c>
      <c r="AK155" s="2818"/>
      <c r="AL155" s="2537"/>
      <c r="AM155" s="848"/>
      <c r="AN155" s="570">
        <f t="shared" si="71"/>
        <v>0</v>
      </c>
      <c r="AO155" s="775"/>
      <c r="AP155" s="775">
        <f t="shared" si="72"/>
        <v>0</v>
      </c>
      <c r="AQ155" s="2818"/>
      <c r="AR155" s="2537"/>
      <c r="AS155" s="261"/>
      <c r="AT155" s="775">
        <f t="shared" si="55"/>
        <v>0</v>
      </c>
      <c r="AU155" s="2818"/>
      <c r="AV155" s="2537"/>
      <c r="AW155" s="261"/>
      <c r="AX155" s="775">
        <f t="shared" si="70"/>
        <v>0</v>
      </c>
      <c r="AY155" s="2818"/>
      <c r="AZ155" s="2537"/>
      <c r="BA155" s="848"/>
      <c r="BB155" s="570">
        <f t="shared" si="48"/>
        <v>0</v>
      </c>
      <c r="BC155" s="657"/>
      <c r="BD155" s="657">
        <f t="shared" si="69"/>
        <v>0</v>
      </c>
      <c r="BE155" s="775"/>
      <c r="BF155" s="775">
        <f t="shared" si="49"/>
        <v>0</v>
      </c>
      <c r="BG155" s="1202"/>
      <c r="BH155" s="1520">
        <f t="shared" si="57"/>
        <v>0</v>
      </c>
      <c r="BI155" s="1520">
        <f t="shared" si="58"/>
        <v>0</v>
      </c>
      <c r="BJ155" s="26">
        <f t="shared" si="59"/>
        <v>0</v>
      </c>
      <c r="BK155" s="26">
        <f t="shared" si="60"/>
        <v>0</v>
      </c>
      <c r="BL155" s="26">
        <f t="shared" si="61"/>
        <v>0</v>
      </c>
      <c r="BM155" s="26">
        <f t="shared" si="62"/>
        <v>0</v>
      </c>
    </row>
    <row r="156" spans="1:65" ht="15.75" customHeight="1" thickBot="1" x14ac:dyDescent="0.35">
      <c r="B156" s="1610" t="s">
        <v>1313</v>
      </c>
      <c r="C156" s="2815"/>
      <c r="D156" s="2820" t="s">
        <v>50</v>
      </c>
      <c r="E156" s="2818"/>
      <c r="F156" s="2537">
        <v>4.0999999999999996</v>
      </c>
      <c r="G156" s="2818"/>
      <c r="H156" s="2537">
        <f>4.1+4.1</f>
        <v>8.1999999999999993</v>
      </c>
      <c r="I156" s="2819"/>
      <c r="J156" s="38">
        <f t="shared" si="51"/>
        <v>12.299999999999999</v>
      </c>
      <c r="K156" s="2818"/>
      <c r="L156" s="2537"/>
      <c r="M156" s="1474"/>
      <c r="N156" s="613">
        <f t="shared" si="66"/>
        <v>12.299999999999999</v>
      </c>
      <c r="O156" s="2818"/>
      <c r="P156" s="2537"/>
      <c r="Q156" s="1688"/>
      <c r="R156" s="368">
        <f t="shared" si="63"/>
        <v>12.299999999999999</v>
      </c>
      <c r="S156" s="2818"/>
      <c r="T156" s="2599"/>
      <c r="U156" s="1688"/>
      <c r="V156" s="775">
        <f t="shared" ref="V156:V157" si="75">+R156+T156</f>
        <v>12.299999999999999</v>
      </c>
      <c r="W156" s="2818"/>
      <c r="X156" s="2537"/>
      <c r="Y156" s="848"/>
      <c r="Z156" s="570">
        <f t="shared" si="73"/>
        <v>0</v>
      </c>
      <c r="AA156" s="657"/>
      <c r="AB156" s="657">
        <f t="shared" ref="AB156:AB157" si="76">N156+Z156</f>
        <v>12.299999999999999</v>
      </c>
      <c r="AC156" s="2818"/>
      <c r="AD156" s="2537"/>
      <c r="AE156" s="598"/>
      <c r="AF156" s="775">
        <f t="shared" si="74"/>
        <v>12.299999999999999</v>
      </c>
      <c r="AG156" s="2818"/>
      <c r="AH156" s="2537"/>
      <c r="AI156" s="598"/>
      <c r="AJ156" s="368">
        <f t="shared" si="65"/>
        <v>12.299999999999999</v>
      </c>
      <c r="AK156" s="2818"/>
      <c r="AL156" s="2537">
        <v>2.0499999999999998</v>
      </c>
      <c r="AM156" s="848"/>
      <c r="AN156" s="570">
        <f t="shared" si="71"/>
        <v>2.0499999999999998</v>
      </c>
      <c r="AO156" s="775"/>
      <c r="AP156" s="775">
        <f t="shared" si="72"/>
        <v>14.349999999999998</v>
      </c>
      <c r="AQ156" s="2818"/>
      <c r="AR156" s="2537"/>
      <c r="AS156" s="598"/>
      <c r="AT156" s="775">
        <f t="shared" si="55"/>
        <v>14.349999999999998</v>
      </c>
      <c r="AU156" s="2818"/>
      <c r="AV156" s="2537"/>
      <c r="AW156" s="598"/>
      <c r="AX156" s="775">
        <f t="shared" si="70"/>
        <v>14.349999999999998</v>
      </c>
      <c r="AY156" s="2818"/>
      <c r="AZ156" s="2537">
        <v>22.55</v>
      </c>
      <c r="BA156" s="848"/>
      <c r="BB156" s="570">
        <f t="shared" si="48"/>
        <v>22.55</v>
      </c>
      <c r="BC156" s="657"/>
      <c r="BD156" s="657">
        <f t="shared" si="69"/>
        <v>24.6</v>
      </c>
      <c r="BE156" s="775"/>
      <c r="BF156" s="775">
        <f t="shared" si="49"/>
        <v>36.9</v>
      </c>
      <c r="BG156" s="1202"/>
      <c r="BH156" s="1520">
        <f t="shared" si="57"/>
        <v>0</v>
      </c>
      <c r="BI156" s="1520">
        <f t="shared" si="58"/>
        <v>0</v>
      </c>
      <c r="BJ156" s="26">
        <f t="shared" si="59"/>
        <v>0</v>
      </c>
      <c r="BK156" s="26">
        <f t="shared" si="60"/>
        <v>0</v>
      </c>
      <c r="BL156" s="26">
        <f t="shared" si="61"/>
        <v>0</v>
      </c>
      <c r="BM156" s="26">
        <f t="shared" si="62"/>
        <v>0</v>
      </c>
    </row>
    <row r="157" spans="1:65" ht="15.75" customHeight="1" thickBot="1" x14ac:dyDescent="0.35">
      <c r="B157" s="2821" t="s">
        <v>1092</v>
      </c>
      <c r="C157" s="2822"/>
      <c r="D157" s="2823" t="s">
        <v>50</v>
      </c>
      <c r="E157" s="2824"/>
      <c r="F157" s="107"/>
      <c r="G157" s="2824"/>
      <c r="H157" s="107"/>
      <c r="I157" s="2825"/>
      <c r="J157" s="43">
        <f t="shared" si="51"/>
        <v>0</v>
      </c>
      <c r="K157" s="2824"/>
      <c r="L157" s="107">
        <v>2.0499999999999998</v>
      </c>
      <c r="M157" s="1474"/>
      <c r="N157" s="613">
        <f t="shared" si="66"/>
        <v>2.0499999999999998</v>
      </c>
      <c r="O157" s="2824"/>
      <c r="P157" s="107"/>
      <c r="Q157" s="1608"/>
      <c r="R157" s="368">
        <f t="shared" si="63"/>
        <v>2.0499999999999998</v>
      </c>
      <c r="S157" s="2824"/>
      <c r="T157" s="107"/>
      <c r="U157" s="1608"/>
      <c r="V157" s="775">
        <f t="shared" si="75"/>
        <v>2.0499999999999998</v>
      </c>
      <c r="W157" s="2824"/>
      <c r="X157" s="107"/>
      <c r="Y157" s="848"/>
      <c r="Z157" s="570">
        <f t="shared" si="73"/>
        <v>0</v>
      </c>
      <c r="AA157" s="657"/>
      <c r="AB157" s="657">
        <f t="shared" si="76"/>
        <v>2.0499999999999998</v>
      </c>
      <c r="AC157" s="2824"/>
      <c r="AD157" s="107"/>
      <c r="AE157" s="1608"/>
      <c r="AF157" s="775">
        <f t="shared" si="74"/>
        <v>2.0499999999999998</v>
      </c>
      <c r="AG157" s="2824"/>
      <c r="AH157" s="107"/>
      <c r="AI157" s="1608"/>
      <c r="AJ157" s="368">
        <f t="shared" si="65"/>
        <v>2.0499999999999998</v>
      </c>
      <c r="AK157" s="2824"/>
      <c r="AL157" s="107"/>
      <c r="AM157" s="848"/>
      <c r="AN157" s="570">
        <f t="shared" si="71"/>
        <v>0</v>
      </c>
      <c r="AO157" s="775"/>
      <c r="AP157" s="775">
        <f t="shared" si="72"/>
        <v>2.0499999999999998</v>
      </c>
      <c r="AQ157" s="2824"/>
      <c r="AR157" s="107"/>
      <c r="AS157" s="1608"/>
      <c r="AT157" s="775">
        <f t="shared" si="55"/>
        <v>2.0499999999999998</v>
      </c>
      <c r="AU157" s="2824"/>
      <c r="AV157" s="107"/>
      <c r="AW157" s="1608"/>
      <c r="AX157" s="775">
        <f t="shared" si="70"/>
        <v>2.0499999999999998</v>
      </c>
      <c r="AY157" s="2824"/>
      <c r="AZ157" s="107"/>
      <c r="BA157" s="848"/>
      <c r="BB157" s="570">
        <f t="shared" si="48"/>
        <v>0</v>
      </c>
      <c r="BC157" s="657"/>
      <c r="BD157" s="657">
        <f t="shared" ref="BD157" si="77">AN157+BB157</f>
        <v>0</v>
      </c>
      <c r="BE157" s="775"/>
      <c r="BF157" s="775">
        <f t="shared" si="49"/>
        <v>2.0499999999999998</v>
      </c>
      <c r="BG157" s="1202"/>
      <c r="BH157" s="1520">
        <f t="shared" si="57"/>
        <v>0</v>
      </c>
      <c r="BI157" s="1520">
        <f t="shared" si="58"/>
        <v>0</v>
      </c>
      <c r="BJ157" s="26">
        <f t="shared" si="59"/>
        <v>0</v>
      </c>
      <c r="BK157" s="26">
        <f t="shared" si="60"/>
        <v>0</v>
      </c>
      <c r="BL157" s="26">
        <f t="shared" si="61"/>
        <v>0</v>
      </c>
      <c r="BM157" s="26">
        <f t="shared" si="62"/>
        <v>0</v>
      </c>
    </row>
    <row r="158" spans="1:65" ht="15.6" x14ac:dyDescent="0.3">
      <c r="A158" s="86"/>
      <c r="B158" s="2808" t="s">
        <v>300</v>
      </c>
      <c r="C158" s="2808"/>
      <c r="D158" s="113" t="s">
        <v>50</v>
      </c>
      <c r="E158" s="2809">
        <f>+E159</f>
        <v>42500</v>
      </c>
      <c r="F158" s="2809">
        <f>SUM(F7:F157)</f>
        <v>36887.700000000012</v>
      </c>
      <c r="G158" s="2809">
        <f>+G159</f>
        <v>44000</v>
      </c>
      <c r="H158" s="2809">
        <f>SUM(H7:H157)</f>
        <v>39489.149999999994</v>
      </c>
      <c r="I158" s="2809">
        <f>+I159</f>
        <v>86500</v>
      </c>
      <c r="J158" s="2809">
        <f>SUM(J7:J157)</f>
        <v>76376.850000000006</v>
      </c>
      <c r="K158" s="2809">
        <f>+K159</f>
        <v>42500</v>
      </c>
      <c r="L158" s="2809">
        <f>SUM(L7:L157)</f>
        <v>38408.049999999996</v>
      </c>
      <c r="M158" s="1121">
        <f>+M159</f>
        <v>129000</v>
      </c>
      <c r="N158" s="1121">
        <f>SUM(N7:N157)</f>
        <v>114784.89999999998</v>
      </c>
      <c r="O158" s="2809">
        <f>+O159</f>
        <v>44000</v>
      </c>
      <c r="P158" s="2809">
        <f>SUM(P7:P157)</f>
        <v>47277.099999999991</v>
      </c>
      <c r="Q158" s="1121">
        <f>+Q159</f>
        <v>173000</v>
      </c>
      <c r="R158" s="1121">
        <f>SUM(R7:R157)</f>
        <v>162061.99999999994</v>
      </c>
      <c r="S158" s="2809">
        <f>+S159</f>
        <v>44000</v>
      </c>
      <c r="T158" s="2809">
        <f>SUM(T7:T157)</f>
        <v>38800.350000000006</v>
      </c>
      <c r="U158" s="1121">
        <f>+U159</f>
        <v>217000</v>
      </c>
      <c r="V158" s="1121">
        <f>SUM(V7:V157)</f>
        <v>200862.35</v>
      </c>
      <c r="W158" s="2809">
        <f>+W159</f>
        <v>25000</v>
      </c>
      <c r="X158" s="2809">
        <f>SUM(X7:X157)</f>
        <v>41149.650000000016</v>
      </c>
      <c r="Y158" s="1121">
        <f>+Y159</f>
        <v>113000</v>
      </c>
      <c r="Z158" s="1121">
        <f>SUM(Z7:Z157)</f>
        <v>127227.10000000003</v>
      </c>
      <c r="AA158" s="1121">
        <f>+AA159</f>
        <v>242000</v>
      </c>
      <c r="AB158" s="1121">
        <f>SUM(AB7:AB157)</f>
        <v>242012</v>
      </c>
      <c r="AC158" s="2809">
        <f>+AC159</f>
        <v>42500</v>
      </c>
      <c r="AD158" s="2809">
        <f>SUM(AD7:AD157)</f>
        <v>30063.250000000004</v>
      </c>
      <c r="AE158" s="1121">
        <f>+AE159</f>
        <v>284500</v>
      </c>
      <c r="AF158" s="1121">
        <f>SUM(AF7:AF157)</f>
        <v>272075.25</v>
      </c>
      <c r="AG158" s="2809">
        <f>+AG159</f>
        <v>42500</v>
      </c>
      <c r="AH158" s="2809">
        <f>SUM(AH7:AH157)</f>
        <v>34706.500000000007</v>
      </c>
      <c r="AI158" s="1121">
        <f>+AI159</f>
        <v>327000</v>
      </c>
      <c r="AJ158" s="2809">
        <f>SUM(AJ7:AJ157)</f>
        <v>306781.75</v>
      </c>
      <c r="AK158" s="2809">
        <f>+AK159</f>
        <v>44000</v>
      </c>
      <c r="AL158" s="2809">
        <f>SUM(AL7:AL157)</f>
        <v>44159.050000000017</v>
      </c>
      <c r="AM158" s="1121">
        <f>+AM159</f>
        <v>129000</v>
      </c>
      <c r="AN158" s="1121">
        <f>SUM(AN7:AN157)</f>
        <v>108928.80000000005</v>
      </c>
      <c r="AO158" s="1121">
        <f>+AO159</f>
        <v>371000</v>
      </c>
      <c r="AP158" s="1121">
        <f>SUM(AP7:AP157)</f>
        <v>350940.8</v>
      </c>
      <c r="AQ158" s="2809">
        <f>+AQ159</f>
        <v>44500</v>
      </c>
      <c r="AR158" s="5424">
        <f>SUM(AR7:AR157)</f>
        <v>44632.60000000002</v>
      </c>
      <c r="AS158" s="1121">
        <f>+AS159</f>
        <v>415500</v>
      </c>
      <c r="AT158" s="1121">
        <f>SUM(AT7:AT157)</f>
        <v>395573.40000000008</v>
      </c>
      <c r="AU158" s="2809">
        <f>+AU159</f>
        <v>40000</v>
      </c>
      <c r="AV158" s="2809">
        <f>SUM(AV7:AV157)</f>
        <v>37469.900000000023</v>
      </c>
      <c r="AW158" s="1121">
        <f>+AW159</f>
        <v>455500</v>
      </c>
      <c r="AX158" s="1121">
        <f>SUM(AX7:AX157)</f>
        <v>433043.3</v>
      </c>
      <c r="AY158" s="2809">
        <f>+AY159</f>
        <v>44500</v>
      </c>
      <c r="AZ158" s="2809">
        <f>SUM(AZ7:AZ157)</f>
        <v>46789.200000000004</v>
      </c>
      <c r="BA158" s="1121">
        <f>+BA159</f>
        <v>129000</v>
      </c>
      <c r="BB158" s="1121">
        <f>SUM(BB7:BB157)</f>
        <v>128891.70000000003</v>
      </c>
      <c r="BC158" s="1121">
        <f>+BC159</f>
        <v>258000</v>
      </c>
      <c r="BD158" s="1121">
        <f>SUM(BD7:BD157)</f>
        <v>237820.50000000003</v>
      </c>
      <c r="BE158" s="1121">
        <f>+BE159</f>
        <v>500000</v>
      </c>
      <c r="BF158" s="1121">
        <f>SUM(BF7:BF157)</f>
        <v>479832.50000000006</v>
      </c>
      <c r="BG158" s="1202"/>
      <c r="BH158" s="1520">
        <f t="shared" si="57"/>
        <v>0</v>
      </c>
      <c r="BI158" s="1520">
        <f t="shared" si="58"/>
        <v>0</v>
      </c>
      <c r="BJ158" s="26">
        <f t="shared" si="59"/>
        <v>0</v>
      </c>
      <c r="BK158" s="26">
        <f t="shared" si="60"/>
        <v>0</v>
      </c>
      <c r="BL158" s="26">
        <f t="shared" si="61"/>
        <v>0</v>
      </c>
      <c r="BM158" s="26">
        <f t="shared" si="62"/>
        <v>0</v>
      </c>
    </row>
    <row r="159" spans="1:65" ht="15.6" x14ac:dyDescent="0.3">
      <c r="B159" s="849" t="s">
        <v>819</v>
      </c>
      <c r="C159" s="849"/>
      <c r="D159" s="850" t="s">
        <v>50</v>
      </c>
      <c r="E159" s="1121">
        <f>+'Maj Production Summ'!E30</f>
        <v>42500</v>
      </c>
      <c r="F159" s="1121">
        <f>+SUM(F7:F141)</f>
        <v>36742.130000000012</v>
      </c>
      <c r="G159" s="1121">
        <f>+'Maj Production Summ'!G30</f>
        <v>44000</v>
      </c>
      <c r="H159" s="1121">
        <f>+SUM(H7:H141)</f>
        <v>39351.799999999996</v>
      </c>
      <c r="I159" s="1121">
        <f>+'Maj Production Summ'!I30</f>
        <v>86500</v>
      </c>
      <c r="J159" s="1121">
        <f>+SUM(J7:J141)</f>
        <v>76093.929999999993</v>
      </c>
      <c r="K159" s="1121">
        <f>+'Maj Production Summ'!K30</f>
        <v>42500</v>
      </c>
      <c r="L159" s="1121">
        <f>+SUM(L7:L141)</f>
        <v>38291.349999999991</v>
      </c>
      <c r="M159" s="1121">
        <f>+'Maj Production Summ'!M30</f>
        <v>129000</v>
      </c>
      <c r="N159" s="1121">
        <f>+SUM(N7:N141)</f>
        <v>114385.27999999996</v>
      </c>
      <c r="O159" s="1121">
        <f>+'Maj Production Summ'!O30</f>
        <v>44000</v>
      </c>
      <c r="P159" s="1121">
        <f>+SUM(P7:P141)</f>
        <v>47063.899999999994</v>
      </c>
      <c r="Q159" s="1121">
        <f>+'Maj Production Summ'!Q30</f>
        <v>173000</v>
      </c>
      <c r="R159" s="1121">
        <f>+SUM(R7:R141)</f>
        <v>161449.18</v>
      </c>
      <c r="S159" s="1121">
        <f>+'Maj Production Summ'!S30</f>
        <v>44000</v>
      </c>
      <c r="T159" s="1121">
        <f>+SUM(T7:T141)</f>
        <v>38718.350000000006</v>
      </c>
      <c r="U159" s="1121">
        <f>+'Maj Production Summ'!U30</f>
        <v>217000</v>
      </c>
      <c r="V159" s="1121">
        <f>+SUM(V7:V141)</f>
        <v>200167.53000000003</v>
      </c>
      <c r="W159" s="1121">
        <f>+'Maj Production Summ'!W30</f>
        <v>25000</v>
      </c>
      <c r="X159" s="1121">
        <f>+SUM(X7:X141)</f>
        <v>41006.150000000009</v>
      </c>
      <c r="Y159" s="1121">
        <f>+'Maj Production Summ'!Y30</f>
        <v>113000</v>
      </c>
      <c r="Z159" s="1121">
        <f>+SUM(Z7:Z141)</f>
        <v>126788.40000000005</v>
      </c>
      <c r="AA159" s="1121">
        <f>+'Maj Production Summ'!AA30</f>
        <v>242000</v>
      </c>
      <c r="AB159" s="1121">
        <f>+SUM(AB7:AB141)</f>
        <v>241173.68000000002</v>
      </c>
      <c r="AC159" s="1121">
        <f>+'Maj Production Summ'!AC30</f>
        <v>42500</v>
      </c>
      <c r="AD159" s="1121">
        <f>+SUM(AD7:AD141)</f>
        <v>30034.550000000003</v>
      </c>
      <c r="AE159" s="1121">
        <f>+'Maj Production Summ'!AE30</f>
        <v>284500</v>
      </c>
      <c r="AF159" s="1121">
        <f>+SUM(AF7:AF141)</f>
        <v>271208.2300000001</v>
      </c>
      <c r="AG159" s="1121">
        <f>+'Maj Production Summ'!AG30</f>
        <v>42500</v>
      </c>
      <c r="AH159" s="1121">
        <f>+SUM(AH7:AH141)</f>
        <v>34614.250000000007</v>
      </c>
      <c r="AI159" s="1121">
        <f>+'Maj Production Summ'!AI30</f>
        <v>327000</v>
      </c>
      <c r="AJ159" s="1121">
        <f>+SUM(AJ7:AJ141)</f>
        <v>305822.48000000004</v>
      </c>
      <c r="AK159" s="1121">
        <f>+'Maj Production Summ'!AK30</f>
        <v>44000</v>
      </c>
      <c r="AL159" s="1121">
        <f>+SUM(AL7:AL141)</f>
        <v>44007.350000000013</v>
      </c>
      <c r="AM159" s="1121">
        <f>+'Maj Production Summ'!AM30</f>
        <v>129000</v>
      </c>
      <c r="AN159" s="1121">
        <f>+SUM(AN7:AN141)</f>
        <v>108656.15000000004</v>
      </c>
      <c r="AO159" s="1121">
        <f>+'Maj Production Summ'!AO30</f>
        <v>371000</v>
      </c>
      <c r="AP159" s="1121">
        <f>+SUM(AP7:AP141)</f>
        <v>349829.83000000007</v>
      </c>
      <c r="AQ159" s="1121">
        <f>+'Maj Production Summ'!AQ30</f>
        <v>44500</v>
      </c>
      <c r="AR159" s="1121">
        <f>+SUM(AR7:AR141)</f>
        <v>44589.550000000017</v>
      </c>
      <c r="AS159" s="1121">
        <f>+'Maj Production Summ'!AS30</f>
        <v>415500</v>
      </c>
      <c r="AT159" s="1121">
        <f>+SUM(AT7:AT141)</f>
        <v>394419.38000000018</v>
      </c>
      <c r="AU159" s="1121">
        <f>+'Maj Production Summ'!AU30</f>
        <v>40000</v>
      </c>
      <c r="AV159" s="1121">
        <f>+SUM(AV7:AV141)</f>
        <v>37420.700000000019</v>
      </c>
      <c r="AW159" s="1121">
        <f>+'Maj Production Summ'!AW30</f>
        <v>455500</v>
      </c>
      <c r="AX159" s="1121">
        <f>+SUM(AX7:AX141)</f>
        <v>431840.08000000007</v>
      </c>
      <c r="AY159" s="1121">
        <f>+'Maj Production Summ'!AY30</f>
        <v>44500</v>
      </c>
      <c r="AZ159" s="1121">
        <f>+SUM(AZ7:AZ141)</f>
        <v>46692.85</v>
      </c>
      <c r="BA159" s="1121">
        <f>+'Maj Production Summ'!BA30</f>
        <v>129000</v>
      </c>
      <c r="BB159" s="1121">
        <f>+SUM(BB7:BB141)</f>
        <v>128703.10000000002</v>
      </c>
      <c r="BC159" s="1121">
        <f>+'Maj Production Summ'!BC30</f>
        <v>258000</v>
      </c>
      <c r="BD159" s="1121">
        <f>+SUM(BD7:BD141)</f>
        <v>237359.25000000003</v>
      </c>
      <c r="BE159" s="1121">
        <f>+'Maj Production Summ'!BE30</f>
        <v>500000</v>
      </c>
      <c r="BF159" s="1121">
        <f>+SUM(BF7:BF141)</f>
        <v>478532.93000000011</v>
      </c>
      <c r="BG159" s="1202"/>
      <c r="BH159" s="1520">
        <f t="shared" si="57"/>
        <v>0</v>
      </c>
      <c r="BI159" s="1520">
        <f t="shared" si="58"/>
        <v>0</v>
      </c>
      <c r="BJ159" s="26">
        <f t="shared" si="59"/>
        <v>0</v>
      </c>
      <c r="BK159" s="26">
        <f t="shared" si="60"/>
        <v>0</v>
      </c>
      <c r="BL159" s="26">
        <f t="shared" si="61"/>
        <v>0</v>
      </c>
      <c r="BM159" s="26">
        <f t="shared" si="62"/>
        <v>0</v>
      </c>
    </row>
    <row r="160" spans="1:65" ht="15.6" x14ac:dyDescent="0.3">
      <c r="A160" s="146"/>
      <c r="B160" s="851" t="s">
        <v>818</v>
      </c>
      <c r="C160" s="851"/>
      <c r="D160" s="852" t="s">
        <v>50</v>
      </c>
      <c r="E160" s="1121"/>
      <c r="F160" s="806">
        <f>+SUM(F143:F157)</f>
        <v>145.57</v>
      </c>
      <c r="G160" s="1121"/>
      <c r="H160" s="806">
        <f>+SUM(H143:H157)</f>
        <v>137.35</v>
      </c>
      <c r="I160" s="1121"/>
      <c r="J160" s="806">
        <f>+SUM(J143:J157)</f>
        <v>282.92000000000007</v>
      </c>
      <c r="K160" s="1121"/>
      <c r="L160" s="806">
        <f>+SUM(L143:L157)</f>
        <v>116.69999999999999</v>
      </c>
      <c r="M160" s="1121"/>
      <c r="N160" s="806">
        <f>+SUM(N143:N157)</f>
        <v>399.62000000000006</v>
      </c>
      <c r="O160" s="1121"/>
      <c r="P160" s="806">
        <f>+SUM(P143:P157)</f>
        <v>213.20000000000002</v>
      </c>
      <c r="Q160" s="1121"/>
      <c r="R160" s="806">
        <f>+SUM(R143:R157)</f>
        <v>612.81999999999982</v>
      </c>
      <c r="S160" s="1121"/>
      <c r="T160" s="806">
        <f>+SUM(T143:T157)</f>
        <v>82</v>
      </c>
      <c r="U160" s="1121"/>
      <c r="V160" s="806">
        <f>+SUM(V143:V157)</f>
        <v>694.81999999999994</v>
      </c>
      <c r="W160" s="1121"/>
      <c r="X160" s="806">
        <f>+SUM(X143:X157)</f>
        <v>143.50000000000003</v>
      </c>
      <c r="Y160" s="1121"/>
      <c r="Z160" s="806">
        <f>+SUM(Z143:Z157)</f>
        <v>438.7</v>
      </c>
      <c r="AA160" s="1121"/>
      <c r="AB160" s="806">
        <f>+SUM(AB143:AB157)</f>
        <v>838.31999999999982</v>
      </c>
      <c r="AC160" s="1121"/>
      <c r="AD160" s="806">
        <f>+SUM(AD143:AD157)</f>
        <v>28.7</v>
      </c>
      <c r="AE160" s="1121"/>
      <c r="AF160" s="806">
        <f>+SUM(AF143:AF157)</f>
        <v>867.01999999999987</v>
      </c>
      <c r="AG160" s="1121"/>
      <c r="AH160" s="806">
        <f>+SUM(AH143:AH157)</f>
        <v>92.25</v>
      </c>
      <c r="AI160" s="1121"/>
      <c r="AJ160" s="806">
        <f>+SUM(AJ143:AJ157)</f>
        <v>959.27</v>
      </c>
      <c r="AK160" s="1121"/>
      <c r="AL160" s="806">
        <f>+SUM(AL143:AL157)</f>
        <v>151.70000000000002</v>
      </c>
      <c r="AM160" s="1121"/>
      <c r="AN160" s="806">
        <f>+SUM(AN143:AN157)</f>
        <v>272.64999999999998</v>
      </c>
      <c r="AO160" s="1121"/>
      <c r="AP160" s="806">
        <f>+SUM(AP143:AP157)</f>
        <v>1110.9699999999998</v>
      </c>
      <c r="AQ160" s="1121"/>
      <c r="AR160" s="806">
        <f>+SUM(AR143:AR157)</f>
        <v>43.050000000000004</v>
      </c>
      <c r="AS160" s="1121"/>
      <c r="AT160" s="806">
        <f>+SUM(AT143:AT157)</f>
        <v>1154.0200000000002</v>
      </c>
      <c r="AU160" s="1121"/>
      <c r="AV160" s="806">
        <f>+SUM(AV143:AV157)</f>
        <v>49.199999999999989</v>
      </c>
      <c r="AW160" s="1121"/>
      <c r="AX160" s="806">
        <f>+SUM(AX143:AX157)</f>
        <v>1203.2199999999998</v>
      </c>
      <c r="AY160" s="1121"/>
      <c r="AZ160" s="2644">
        <f>+SUM(AZ143:AZ157)</f>
        <v>96.35</v>
      </c>
      <c r="BA160" s="1121"/>
      <c r="BB160" s="806">
        <f>+SUM(BB143:BB157)</f>
        <v>188.60000000000002</v>
      </c>
      <c r="BC160" s="1121"/>
      <c r="BD160" s="806">
        <f>+SUM(BD143:BD157)</f>
        <v>461.25000000000006</v>
      </c>
      <c r="BE160" s="1121"/>
      <c r="BF160" s="806">
        <f>+SUM(BF143:BF157)</f>
        <v>1299.57</v>
      </c>
      <c r="BG160" s="1202"/>
      <c r="BH160" s="1520">
        <f t="shared" si="57"/>
        <v>0</v>
      </c>
      <c r="BI160" s="1520">
        <f t="shared" si="58"/>
        <v>0</v>
      </c>
      <c r="BJ160" s="26">
        <f t="shared" si="59"/>
        <v>0</v>
      </c>
      <c r="BK160" s="26">
        <f t="shared" si="60"/>
        <v>0</v>
      </c>
      <c r="BL160" s="26">
        <f t="shared" si="61"/>
        <v>0</v>
      </c>
      <c r="BM160" s="26">
        <f t="shared" si="62"/>
        <v>0</v>
      </c>
    </row>
    <row r="161" spans="1:65" ht="15.6" x14ac:dyDescent="0.3">
      <c r="B161" s="803" t="s">
        <v>314</v>
      </c>
      <c r="C161" s="803"/>
      <c r="D161" s="797" t="s">
        <v>49</v>
      </c>
      <c r="E161" s="806">
        <f t="shared" ref="E161:AJ161" si="78">+E159*100/E5</f>
        <v>96</v>
      </c>
      <c r="F161" s="806">
        <f t="shared" si="78"/>
        <v>95.807194531097892</v>
      </c>
      <c r="G161" s="806">
        <f t="shared" si="78"/>
        <v>96</v>
      </c>
      <c r="H161" s="806">
        <f t="shared" si="78"/>
        <v>95.612744452503435</v>
      </c>
      <c r="I161" s="806">
        <f t="shared" si="78"/>
        <v>96</v>
      </c>
      <c r="J161" s="806">
        <f t="shared" si="78"/>
        <v>95.706536477953421</v>
      </c>
      <c r="K161" s="806">
        <f t="shared" si="78"/>
        <v>96</v>
      </c>
      <c r="L161" s="806">
        <f t="shared" si="78"/>
        <v>95.257540790258943</v>
      </c>
      <c r="M161" s="806">
        <f t="shared" si="78"/>
        <v>96</v>
      </c>
      <c r="N161" s="806">
        <f t="shared" si="78"/>
        <v>95.555761171680388</v>
      </c>
      <c r="O161" s="806">
        <f t="shared" si="78"/>
        <v>96</v>
      </c>
      <c r="P161" s="806">
        <f t="shared" si="78"/>
        <v>95.75055357177952</v>
      </c>
      <c r="Q161" s="806">
        <f t="shared" si="78"/>
        <v>96</v>
      </c>
      <c r="R161" s="806">
        <f t="shared" si="78"/>
        <v>95.612463029709218</v>
      </c>
      <c r="S161" s="806">
        <f t="shared" si="78"/>
        <v>96</v>
      </c>
      <c r="T161" s="806">
        <f t="shared" si="78"/>
        <v>95.876083003897975</v>
      </c>
      <c r="U161" s="806">
        <f t="shared" si="78"/>
        <v>95.999999999999986</v>
      </c>
      <c r="V161" s="806">
        <f t="shared" si="78"/>
        <v>95.663341821510642</v>
      </c>
      <c r="W161" s="806">
        <f t="shared" si="78"/>
        <v>96</v>
      </c>
      <c r="X161" s="806">
        <f t="shared" si="78"/>
        <v>95.610321120425965</v>
      </c>
      <c r="Y161" s="806">
        <f t="shared" si="78"/>
        <v>95.999999999999986</v>
      </c>
      <c r="Z161" s="806">
        <f t="shared" si="78"/>
        <v>95.743417030300961</v>
      </c>
      <c r="AA161" s="806">
        <f t="shared" si="78"/>
        <v>96</v>
      </c>
      <c r="AB161" s="806">
        <f t="shared" si="78"/>
        <v>95.654322697135811</v>
      </c>
      <c r="AC161" s="806">
        <f t="shared" si="78"/>
        <v>96</v>
      </c>
      <c r="AD161" s="806">
        <f t="shared" si="78"/>
        <v>95.954340193087916</v>
      </c>
      <c r="AE161" s="806">
        <f t="shared" si="78"/>
        <v>96</v>
      </c>
      <c r="AF161" s="806">
        <f t="shared" si="78"/>
        <v>95.687455275101897</v>
      </c>
      <c r="AG161" s="806">
        <f t="shared" si="78"/>
        <v>96</v>
      </c>
      <c r="AH161" s="806">
        <f t="shared" si="78"/>
        <v>95.766381296125843</v>
      </c>
      <c r="AI161" s="806">
        <f t="shared" si="78"/>
        <v>96</v>
      </c>
      <c r="AJ161" s="806">
        <f t="shared" si="78"/>
        <v>95.69638191817792</v>
      </c>
      <c r="AK161" s="806">
        <f t="shared" ref="AK161:BF161" si="79">+AK159*100/AK5</f>
        <v>96</v>
      </c>
      <c r="AL161" s="806">
        <f t="shared" si="79"/>
        <v>95.336201881591947</v>
      </c>
      <c r="AM161" s="806">
        <f t="shared" si="79"/>
        <v>96</v>
      </c>
      <c r="AN161" s="806">
        <f t="shared" si="79"/>
        <v>95.643377799808036</v>
      </c>
      <c r="AO161" s="806">
        <f t="shared" si="79"/>
        <v>96</v>
      </c>
      <c r="AP161" s="806">
        <f t="shared" si="79"/>
        <v>95.650922974983658</v>
      </c>
      <c r="AQ161" s="806">
        <f t="shared" si="79"/>
        <v>95.999999999999986</v>
      </c>
      <c r="AR161" s="2644">
        <f t="shared" si="79"/>
        <v>95.804245221551284</v>
      </c>
      <c r="AS161" s="806">
        <f t="shared" si="79"/>
        <v>96</v>
      </c>
      <c r="AT161" s="806">
        <f t="shared" si="79"/>
        <v>95.668231617572204</v>
      </c>
      <c r="AU161" s="806">
        <f t="shared" si="79"/>
        <v>95.999999999999986</v>
      </c>
      <c r="AV161" s="2644">
        <f t="shared" si="79"/>
        <v>95.614821440744819</v>
      </c>
      <c r="AW161" s="806">
        <f t="shared" si="79"/>
        <v>96</v>
      </c>
      <c r="AX161" s="806">
        <f t="shared" si="79"/>
        <v>95.663601047271698</v>
      </c>
      <c r="AY161" s="806">
        <f t="shared" ref="AY161:AZ161" si="80">+AY159*100/AY5</f>
        <v>95.999999999999986</v>
      </c>
      <c r="AZ161" s="806">
        <f t="shared" si="80"/>
        <v>95.474822787338823</v>
      </c>
      <c r="BA161" s="806">
        <f t="shared" si="79"/>
        <v>96</v>
      </c>
      <c r="BB161" s="806">
        <f t="shared" si="79"/>
        <v>95.629455026212497</v>
      </c>
      <c r="BC161" s="806">
        <f t="shared" si="79"/>
        <v>96</v>
      </c>
      <c r="BD161" s="806">
        <f t="shared" si="79"/>
        <v>95.635827963269534</v>
      </c>
      <c r="BE161" s="806">
        <f t="shared" si="79"/>
        <v>95.999999999999986</v>
      </c>
      <c r="BF161" s="806">
        <f t="shared" si="79"/>
        <v>95.645148147796974</v>
      </c>
      <c r="BG161" s="1202"/>
      <c r="BH161" s="1520"/>
      <c r="BI161" s="1520"/>
      <c r="BJ161" s="26"/>
      <c r="BK161" s="26"/>
      <c r="BL161" s="26"/>
      <c r="BM161" s="26"/>
    </row>
    <row r="162" spans="1:65" x14ac:dyDescent="0.3">
      <c r="A162" s="146"/>
      <c r="B162" s="853" t="s">
        <v>812</v>
      </c>
      <c r="C162" s="853"/>
      <c r="D162" s="805" t="s">
        <v>50</v>
      </c>
      <c r="E162" s="452"/>
      <c r="F162" s="452">
        <f>+'Value added steel '!G38</f>
        <v>35399.379999999997</v>
      </c>
      <c r="G162" s="452"/>
      <c r="H162" s="452">
        <f>+'Value added steel '!I38</f>
        <v>36334.199999999997</v>
      </c>
      <c r="I162" s="452"/>
      <c r="J162" s="452">
        <f>+'Value added steel '!K38</f>
        <v>71733.58</v>
      </c>
      <c r="K162" s="452"/>
      <c r="L162" s="452">
        <f>+'Value added steel '!M38</f>
        <v>37452.9</v>
      </c>
      <c r="M162" s="452"/>
      <c r="N162" s="452">
        <f>+'Value added steel '!O38</f>
        <v>109186.48</v>
      </c>
      <c r="O162" s="452"/>
      <c r="P162" s="452">
        <f>+'Value added steel '!Q38</f>
        <v>44200.05</v>
      </c>
      <c r="Q162" s="452"/>
      <c r="R162" s="452">
        <f>+'Value added steel '!S38</f>
        <v>153386.53000000003</v>
      </c>
      <c r="S162" s="452"/>
      <c r="T162" s="452">
        <f>+'Value added steel '!U38</f>
        <v>33658.950000000004</v>
      </c>
      <c r="U162" s="452"/>
      <c r="V162" s="452">
        <f>+'Value added steel '!W38</f>
        <v>187045.48</v>
      </c>
      <c r="W162" s="452"/>
      <c r="X162" s="452">
        <f>+'Value added steel '!Y38</f>
        <v>37412.5</v>
      </c>
      <c r="Y162" s="452"/>
      <c r="Z162" s="452">
        <f>+'Value added steel '!AA38</f>
        <v>115271.50000000001</v>
      </c>
      <c r="AA162" s="452"/>
      <c r="AB162" s="452">
        <f>+'Value added steel '!AC38</f>
        <v>224457.97999999998</v>
      </c>
      <c r="AC162" s="452"/>
      <c r="AD162" s="452">
        <f>+'Value added steel '!AE38</f>
        <v>28117.8</v>
      </c>
      <c r="AE162" s="452"/>
      <c r="AF162" s="452">
        <f>+'Value added steel '!AG38</f>
        <v>252575.78000000003</v>
      </c>
      <c r="AG162" s="452"/>
      <c r="AH162" s="452">
        <f>+'Value added steel '!AI38</f>
        <v>33991.050000000003</v>
      </c>
      <c r="AI162" s="452"/>
      <c r="AJ162" s="452">
        <f>+'Value added steel '!AK38</f>
        <v>286566.83</v>
      </c>
      <c r="AK162" s="452"/>
      <c r="AL162" s="452">
        <f>+'Value added steel '!AM38</f>
        <v>39526.050000000003</v>
      </c>
      <c r="AM162" s="452"/>
      <c r="AN162" s="452">
        <f>+'Value added steel '!AO38</f>
        <v>101634.90000000001</v>
      </c>
      <c r="AO162" s="452"/>
      <c r="AP162" s="452">
        <f>+'Value added steel '!AQ38</f>
        <v>326092.88</v>
      </c>
      <c r="AQ162" s="452"/>
      <c r="AR162" s="452">
        <f>+'Value added steel '!AS38</f>
        <v>39585.500000000007</v>
      </c>
      <c r="AS162" s="452"/>
      <c r="AT162" s="452">
        <f>+'Value added steel '!AU38</f>
        <v>365678.38</v>
      </c>
      <c r="AU162" s="452"/>
      <c r="AV162" s="452">
        <f>+'Value added steel '!AW38</f>
        <v>36941.000000000022</v>
      </c>
      <c r="AW162" s="452"/>
      <c r="AX162" s="452">
        <f>+'Value added steel '!AY38</f>
        <v>402619.38</v>
      </c>
      <c r="AY162" s="452"/>
      <c r="AZ162" s="452">
        <f>+'Value added steel '!BA38</f>
        <v>46047.099999999991</v>
      </c>
      <c r="BA162" s="452"/>
      <c r="BB162" s="452">
        <f>+'Value added steel '!BC38</f>
        <v>122573.6</v>
      </c>
      <c r="BC162" s="452"/>
      <c r="BD162" s="452">
        <f>+'Value added steel '!BE38</f>
        <v>224208.5</v>
      </c>
      <c r="BE162" s="452"/>
      <c r="BF162" s="452">
        <f>+'Value added steel '!BG38</f>
        <v>448666.48000000004</v>
      </c>
      <c r="BG162" s="1202"/>
      <c r="BH162" s="1520">
        <f t="shared" si="57"/>
        <v>0</v>
      </c>
      <c r="BI162" s="1520">
        <f t="shared" si="58"/>
        <v>0</v>
      </c>
      <c r="BJ162" s="26">
        <f t="shared" si="59"/>
        <v>0</v>
      </c>
      <c r="BK162" s="26">
        <f t="shared" si="60"/>
        <v>0</v>
      </c>
      <c r="BL162" s="26">
        <f t="shared" si="61"/>
        <v>0</v>
      </c>
      <c r="BM162" s="26">
        <f t="shared" si="62"/>
        <v>0</v>
      </c>
    </row>
    <row r="163" spans="1:65" x14ac:dyDescent="0.3">
      <c r="A163" s="146"/>
      <c r="B163" s="853" t="s">
        <v>813</v>
      </c>
      <c r="C163" s="853"/>
      <c r="D163" s="805" t="s">
        <v>49</v>
      </c>
      <c r="E163" s="618"/>
      <c r="F163" s="618">
        <f>+F162/F159</f>
        <v>0.96345475888305843</v>
      </c>
      <c r="G163" s="618"/>
      <c r="H163" s="618">
        <f>+H162/H159</f>
        <v>0.9233173577828715</v>
      </c>
      <c r="I163" s="618"/>
      <c r="J163" s="618">
        <f>+J162/J159</f>
        <v>0.94269779468612025</v>
      </c>
      <c r="K163" s="618"/>
      <c r="L163" s="618">
        <f>+L162/L159</f>
        <v>0.97810340977792665</v>
      </c>
      <c r="M163" s="618"/>
      <c r="N163" s="618">
        <f>+N162/N159</f>
        <v>0.95455009595640317</v>
      </c>
      <c r="O163" s="618"/>
      <c r="P163" s="618">
        <f>+P162/P159</f>
        <v>0.93914975172053328</v>
      </c>
      <c r="Q163" s="618"/>
      <c r="R163" s="618">
        <f>+R162/R159</f>
        <v>0.95006075596048267</v>
      </c>
      <c r="S163" s="618"/>
      <c r="T163" s="618">
        <f>+T162/T159</f>
        <v>0.86932810928151638</v>
      </c>
      <c r="U163" s="618"/>
      <c r="V163" s="618">
        <f>+V162/V159</f>
        <v>0.93444466242851665</v>
      </c>
      <c r="W163" s="618"/>
      <c r="X163" s="618">
        <f>+X162/X159</f>
        <v>0.91236314552817055</v>
      </c>
      <c r="Y163" s="618"/>
      <c r="Z163" s="618">
        <f>+Z162/Z159</f>
        <v>0.9091644030526449</v>
      </c>
      <c r="AA163" s="618"/>
      <c r="AB163" s="618">
        <f>+AB162/AB159</f>
        <v>0.93069019803487663</v>
      </c>
      <c r="AC163" s="618"/>
      <c r="AD163" s="618">
        <f>+AD162/AD159</f>
        <v>0.9361818305917684</v>
      </c>
      <c r="AE163" s="618"/>
      <c r="AF163" s="618">
        <f>+AF162/AF159</f>
        <v>0.93129836067290417</v>
      </c>
      <c r="AG163" s="618"/>
      <c r="AH163" s="618">
        <f>+AH162/AH159</f>
        <v>0.98199585430855774</v>
      </c>
      <c r="AI163" s="618"/>
      <c r="AJ163" s="618">
        <f>+AJ162/AJ159</f>
        <v>0.93703651216221906</v>
      </c>
      <c r="AK163" s="618"/>
      <c r="AL163" s="618">
        <f>+AL162/AL159</f>
        <v>0.89816928308566613</v>
      </c>
      <c r="AM163" s="618"/>
      <c r="AN163" s="618">
        <f>+AN162/AN159</f>
        <v>0.93538101616889591</v>
      </c>
      <c r="AO163" s="618"/>
      <c r="AP163" s="618">
        <f>+AP162/AP159</f>
        <v>0.93214715280283544</v>
      </c>
      <c r="AQ163" s="618"/>
      <c r="AR163" s="618">
        <f>+AR162/AR159</f>
        <v>0.88777527470001361</v>
      </c>
      <c r="AS163" s="618"/>
      <c r="AT163" s="618">
        <f>+AT162/AT159</f>
        <v>0.92713086258591004</v>
      </c>
      <c r="AU163" s="618"/>
      <c r="AV163" s="618">
        <f>+AV162/AV159</f>
        <v>0.98718089185931857</v>
      </c>
      <c r="AW163" s="618"/>
      <c r="AX163" s="618">
        <v>0.94862403987995336</v>
      </c>
      <c r="AY163" s="618"/>
      <c r="AZ163" s="618">
        <f>+AZ162/AZ159</f>
        <v>0.98617025947227455</v>
      </c>
      <c r="BA163" s="618"/>
      <c r="BB163" s="618">
        <f>+BB162/BB159</f>
        <v>0.95237488452104091</v>
      </c>
      <c r="BC163" s="618"/>
      <c r="BD163" s="618">
        <f>+BD162/BD159</f>
        <v>0.94459558664766585</v>
      </c>
      <c r="BE163" s="618"/>
      <c r="BF163" s="618">
        <f>+BF162/BF159</f>
        <v>0.93758747177545321</v>
      </c>
      <c r="BG163" s="1202"/>
      <c r="BH163" s="1520"/>
      <c r="BI163" s="1520"/>
      <c r="BJ163" s="26"/>
      <c r="BK163" s="26"/>
      <c r="BL163" s="26"/>
      <c r="BM163" s="26"/>
    </row>
    <row r="164" spans="1:65" ht="18" thickBot="1" x14ac:dyDescent="0.35">
      <c r="A164" s="146"/>
      <c r="B164" s="854" t="s">
        <v>53</v>
      </c>
      <c r="C164" s="268"/>
      <c r="D164" s="267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7"/>
      <c r="Z164" s="267"/>
      <c r="AA164" s="267"/>
      <c r="AB164" s="267"/>
      <c r="AC164" s="268"/>
      <c r="AD164" s="268"/>
      <c r="AE164" s="268"/>
      <c r="AF164" s="268"/>
      <c r="AG164" s="268"/>
      <c r="AH164" s="268"/>
      <c r="AI164" s="268"/>
      <c r="AJ164" s="268"/>
      <c r="AK164" s="268"/>
      <c r="AL164" s="268"/>
      <c r="AM164" s="267"/>
      <c r="AN164" s="267"/>
      <c r="AO164" s="268"/>
      <c r="AP164" s="268"/>
      <c r="AQ164" s="268"/>
      <c r="AR164" s="268"/>
      <c r="AS164" s="268"/>
      <c r="AT164" s="268"/>
      <c r="AU164" s="268"/>
      <c r="AV164" s="268"/>
      <c r="AW164" s="268"/>
      <c r="AX164" s="268"/>
      <c r="AY164" s="268"/>
      <c r="AZ164" s="268"/>
      <c r="BA164" s="267"/>
      <c r="BB164" s="267"/>
      <c r="BC164" s="267"/>
      <c r="BD164" s="267"/>
      <c r="BE164" s="268"/>
      <c r="BF164" s="268"/>
      <c r="BG164" s="1202"/>
      <c r="BH164" s="1520"/>
      <c r="BI164" s="1520"/>
      <c r="BJ164" s="26">
        <f t="shared" si="59"/>
        <v>0</v>
      </c>
      <c r="BK164" s="26">
        <f t="shared" si="60"/>
        <v>0</v>
      </c>
      <c r="BL164" s="26">
        <f t="shared" si="61"/>
        <v>0</v>
      </c>
      <c r="BM164" s="26">
        <f t="shared" si="62"/>
        <v>0</v>
      </c>
    </row>
    <row r="165" spans="1:65" x14ac:dyDescent="0.3">
      <c r="B165" s="855" t="s">
        <v>93</v>
      </c>
      <c r="C165" s="856"/>
      <c r="D165" s="751" t="s">
        <v>221</v>
      </c>
      <c r="E165" s="811">
        <f>+E2*24</f>
        <v>720</v>
      </c>
      <c r="F165" s="811">
        <f>+F2*24</f>
        <v>720</v>
      </c>
      <c r="G165" s="811">
        <f>+G2*24</f>
        <v>744</v>
      </c>
      <c r="H165" s="811">
        <f>+H2*24</f>
        <v>744</v>
      </c>
      <c r="I165" s="858">
        <f>+E165+G165</f>
        <v>1464</v>
      </c>
      <c r="J165" s="42">
        <f>+F165+H165</f>
        <v>1464</v>
      </c>
      <c r="K165" s="811">
        <f>+K2*24</f>
        <v>720</v>
      </c>
      <c r="L165" s="811">
        <f>+L2*24</f>
        <v>720</v>
      </c>
      <c r="M165" s="774">
        <f>+E165+G165+K165</f>
        <v>2184</v>
      </c>
      <c r="N165" s="774">
        <f>+F165+H165+L165</f>
        <v>2184</v>
      </c>
      <c r="O165" s="811">
        <f>+O2*24</f>
        <v>744</v>
      </c>
      <c r="P165" s="811">
        <f>+P2*24</f>
        <v>744</v>
      </c>
      <c r="Q165" s="775">
        <f>+M165+O165</f>
        <v>2928</v>
      </c>
      <c r="R165" s="775">
        <f>+N165+P165</f>
        <v>2928</v>
      </c>
      <c r="S165" s="811">
        <f>+S2*24</f>
        <v>744</v>
      </c>
      <c r="T165" s="811">
        <f>+T2*24</f>
        <v>744</v>
      </c>
      <c r="U165" s="775">
        <f>+Q165+S165</f>
        <v>3672</v>
      </c>
      <c r="V165" s="775">
        <f>+R165+T165</f>
        <v>3672</v>
      </c>
      <c r="W165" s="811">
        <f>+W2*24</f>
        <v>720</v>
      </c>
      <c r="X165" s="811">
        <f>+X2*24</f>
        <v>720</v>
      </c>
      <c r="Y165" s="774">
        <f>O165+S165+W165</f>
        <v>2208</v>
      </c>
      <c r="Z165" s="524">
        <f>P165+T165+X165</f>
        <v>2208</v>
      </c>
      <c r="AA165" s="2238">
        <f>M165+Y165</f>
        <v>4392</v>
      </c>
      <c r="AB165" s="460">
        <f>N165+Z165</f>
        <v>4392</v>
      </c>
      <c r="AC165" s="811">
        <f>+AC2*24</f>
        <v>744</v>
      </c>
      <c r="AD165" s="811">
        <f>+AD2*24</f>
        <v>744</v>
      </c>
      <c r="AE165" s="775">
        <f>+AA165+AC165</f>
        <v>5136</v>
      </c>
      <c r="AF165" s="775">
        <f>+AB165+AD165</f>
        <v>5136</v>
      </c>
      <c r="AG165" s="811">
        <f>+AG2*24</f>
        <v>720</v>
      </c>
      <c r="AH165" s="811">
        <f>+AH2*24</f>
        <v>720</v>
      </c>
      <c r="AI165" s="775">
        <f>+AE165+AG165</f>
        <v>5856</v>
      </c>
      <c r="AJ165" s="775">
        <f>+AF165+AH165</f>
        <v>5856</v>
      </c>
      <c r="AK165" s="811">
        <f>+AK2*24</f>
        <v>744</v>
      </c>
      <c r="AL165" s="811">
        <f>+AL2*24</f>
        <v>744</v>
      </c>
      <c r="AM165" s="774">
        <f>AC165+AG165+AK165</f>
        <v>2208</v>
      </c>
      <c r="AN165" s="524">
        <f>AD165+AH165+AL165</f>
        <v>2208</v>
      </c>
      <c r="AO165" s="775">
        <f t="shared" ref="AO165" si="81">AI165+AK165</f>
        <v>6600</v>
      </c>
      <c r="AP165" s="775">
        <f t="shared" ref="AP165" si="82">AJ165+AL165</f>
        <v>6600</v>
      </c>
      <c r="AQ165" s="811">
        <f>+AQ2*24</f>
        <v>744</v>
      </c>
      <c r="AR165" s="811">
        <f>+AR2*24</f>
        <v>744</v>
      </c>
      <c r="AS165" s="775">
        <f>+AO165+AQ165</f>
        <v>7344</v>
      </c>
      <c r="AT165" s="775">
        <f>+AP165+AR165</f>
        <v>7344</v>
      </c>
      <c r="AU165" s="811">
        <f>+AU2*24</f>
        <v>672</v>
      </c>
      <c r="AV165" s="811">
        <f>+AV2*24</f>
        <v>672</v>
      </c>
      <c r="AW165" s="775">
        <f>+AS165+AU165</f>
        <v>8016</v>
      </c>
      <c r="AX165" s="775">
        <f>+AT165+AV165</f>
        <v>8016</v>
      </c>
      <c r="AY165" s="811">
        <f>+AY2*24</f>
        <v>744</v>
      </c>
      <c r="AZ165" s="811">
        <f>+AZ2*24</f>
        <v>744</v>
      </c>
      <c r="BA165" s="774">
        <f>AQ165+AU165+AY165</f>
        <v>2160</v>
      </c>
      <c r="BB165" s="524">
        <f>AR165+AV165+AZ165</f>
        <v>2160</v>
      </c>
      <c r="BC165" s="460">
        <f>AM165+BA165</f>
        <v>4368</v>
      </c>
      <c r="BD165" s="460">
        <f>AN165+BB165</f>
        <v>4368</v>
      </c>
      <c r="BE165" s="775">
        <f>+AW165+AY165</f>
        <v>8760</v>
      </c>
      <c r="BF165" s="775">
        <f>+AX165+AZ165</f>
        <v>8760</v>
      </c>
      <c r="BG165" s="1202"/>
      <c r="BH165" s="1520"/>
      <c r="BI165" s="1520"/>
      <c r="BJ165" s="26">
        <f t="shared" si="59"/>
        <v>0</v>
      </c>
      <c r="BK165" s="26">
        <f t="shared" si="60"/>
        <v>0</v>
      </c>
      <c r="BL165" s="26">
        <f t="shared" si="61"/>
        <v>0</v>
      </c>
      <c r="BM165" s="26">
        <f t="shared" si="62"/>
        <v>0</v>
      </c>
    </row>
    <row r="166" spans="1:65" x14ac:dyDescent="0.3">
      <c r="B166" s="9" t="s">
        <v>303</v>
      </c>
      <c r="C166" s="859"/>
      <c r="D166" s="2803" t="s">
        <v>49</v>
      </c>
      <c r="E166" s="2794">
        <f t="shared" ref="E166:Z166" si="83">+E167/E165*100</f>
        <v>85</v>
      </c>
      <c r="F166" s="2794">
        <f t="shared" si="83"/>
        <v>75.400462962962976</v>
      </c>
      <c r="G166" s="2794">
        <f t="shared" ref="G166:H166" si="84">+G167/G165*100</f>
        <v>85.000000000000014</v>
      </c>
      <c r="H166" s="2794">
        <f t="shared" si="84"/>
        <v>80.533154121863788</v>
      </c>
      <c r="I166" s="860">
        <f t="shared" si="83"/>
        <v>85.000000000000014</v>
      </c>
      <c r="J166" s="105">
        <f t="shared" si="83"/>
        <v>78.00887978142076</v>
      </c>
      <c r="K166" s="2794">
        <f t="shared" si="83"/>
        <v>85</v>
      </c>
      <c r="L166" s="2794">
        <f t="shared" si="83"/>
        <v>84.173611111111128</v>
      </c>
      <c r="M166" s="861">
        <f t="shared" si="83"/>
        <v>85.000000000000014</v>
      </c>
      <c r="N166" s="348">
        <f t="shared" si="83"/>
        <v>80.041208791208788</v>
      </c>
      <c r="O166" s="2794">
        <f t="shared" ref="O166:P166" si="85">+O167/O165*100</f>
        <v>85.000000000000014</v>
      </c>
      <c r="P166" s="2794">
        <f t="shared" si="85"/>
        <v>85.398745519713245</v>
      </c>
      <c r="Q166" s="860">
        <f t="shared" si="83"/>
        <v>85.000000000000014</v>
      </c>
      <c r="R166" s="261">
        <f t="shared" si="83"/>
        <v>81.402550091074659</v>
      </c>
      <c r="S166" s="2794">
        <f t="shared" si="83"/>
        <v>85.000000000000014</v>
      </c>
      <c r="T166" s="2794">
        <f t="shared" si="83"/>
        <v>82.645609318996421</v>
      </c>
      <c r="U166" s="860">
        <f t="shared" ref="U166:X166" si="86">+U167/U165*100</f>
        <v>85.000000000000014</v>
      </c>
      <c r="V166" s="261">
        <f t="shared" si="86"/>
        <v>81.65441176470587</v>
      </c>
      <c r="W166" s="2794">
        <f t="shared" si="86"/>
        <v>55.000000000000007</v>
      </c>
      <c r="X166" s="2794">
        <f t="shared" si="86"/>
        <v>85.497685185185148</v>
      </c>
      <c r="Y166" s="861">
        <f t="shared" si="83"/>
        <v>75.217391304347842</v>
      </c>
      <c r="Z166" s="351">
        <f t="shared" si="83"/>
        <v>84.503321256038632</v>
      </c>
      <c r="AA166" s="461">
        <f t="shared" ref="AA166:AF166" si="87">+AA167/AA165*100</f>
        <v>80.081967213114751</v>
      </c>
      <c r="AB166" s="461">
        <f t="shared" si="87"/>
        <v>82.284456587735264</v>
      </c>
      <c r="AC166" s="2794">
        <f t="shared" si="87"/>
        <v>85.000000000000014</v>
      </c>
      <c r="AD166" s="2794">
        <f t="shared" si="87"/>
        <v>59.699820788530467</v>
      </c>
      <c r="AE166" s="860">
        <f t="shared" si="87"/>
        <v>80.794392523364493</v>
      </c>
      <c r="AF166" s="261">
        <f t="shared" si="87"/>
        <v>79.012850467289709</v>
      </c>
      <c r="AG166" s="2794">
        <f t="shared" ref="AG166:AH166" si="88">+AG167/AG165*100</f>
        <v>85</v>
      </c>
      <c r="AH166" s="2794">
        <f t="shared" si="88"/>
        <v>82.340277777777786</v>
      </c>
      <c r="AI166" s="860">
        <f t="shared" ref="AI166:AL166" si="89">+AI167/AI165*100</f>
        <v>81.311475409836078</v>
      </c>
      <c r="AJ166" s="261">
        <f t="shared" si="89"/>
        <v>79.42196038251366</v>
      </c>
      <c r="AK166" s="2794">
        <f t="shared" si="89"/>
        <v>85.000000000000014</v>
      </c>
      <c r="AL166" s="2794">
        <f t="shared" si="89"/>
        <v>81.359767025089596</v>
      </c>
      <c r="AM166" s="861">
        <f t="shared" ref="AM166:AT166" si="90">+AM167/AM165*100</f>
        <v>85.000000000000014</v>
      </c>
      <c r="AN166" s="351">
        <f t="shared" si="90"/>
        <v>74.38103864734299</v>
      </c>
      <c r="AO166" s="860">
        <f t="shared" si="90"/>
        <v>81.72727272727272</v>
      </c>
      <c r="AP166" s="261">
        <f t="shared" si="90"/>
        <v>79.640404040404036</v>
      </c>
      <c r="AQ166" s="2794">
        <f t="shared" si="90"/>
        <v>85.000000000000014</v>
      </c>
      <c r="AR166" s="2794">
        <f t="shared" si="90"/>
        <v>83.068996415770641</v>
      </c>
      <c r="AS166" s="860">
        <f t="shared" si="90"/>
        <v>82.058823529411768</v>
      </c>
      <c r="AT166" s="261">
        <f t="shared" si="90"/>
        <v>79.987745098039227</v>
      </c>
      <c r="AU166" s="2794">
        <f t="shared" ref="AU166:AV166" si="91">+AU167/AU165*100</f>
        <v>85.000000000000014</v>
      </c>
      <c r="AV166" s="2794">
        <f t="shared" si="91"/>
        <v>85.7465277777778</v>
      </c>
      <c r="AW166" s="860">
        <f t="shared" ref="AW166:AZ166" si="92">+AW167/AW165*100</f>
        <v>82.305389221556879</v>
      </c>
      <c r="AX166" s="261">
        <f t="shared" si="92"/>
        <v>80.470517298735871</v>
      </c>
      <c r="AY166" s="2794">
        <f t="shared" si="92"/>
        <v>85.000000000000014</v>
      </c>
      <c r="AZ166" s="2794">
        <f t="shared" si="92"/>
        <v>81.666666666666671</v>
      </c>
      <c r="BA166" s="861">
        <f t="shared" ref="BA166:BD166" si="93">+BA167/BA165*100</f>
        <v>85.000000000000014</v>
      </c>
      <c r="BB166" s="351">
        <f t="shared" si="93"/>
        <v>83.418981481481495</v>
      </c>
      <c r="BC166" s="461">
        <f t="shared" si="93"/>
        <v>85.000000000000014</v>
      </c>
      <c r="BD166" s="461">
        <f t="shared" si="93"/>
        <v>78.850351037851041</v>
      </c>
      <c r="BE166" s="860">
        <f t="shared" ref="BE166:BF166" si="94">+BE167/BE165*100</f>
        <v>82.534246575342465</v>
      </c>
      <c r="BF166" s="261">
        <f t="shared" si="94"/>
        <v>80.572108066971097</v>
      </c>
      <c r="BG166" s="1202"/>
      <c r="BH166" s="1520"/>
      <c r="BI166" s="1520"/>
      <c r="BJ166" s="26"/>
      <c r="BK166" s="26"/>
      <c r="BL166" s="26"/>
      <c r="BM166" s="26"/>
    </row>
    <row r="167" spans="1:65" x14ac:dyDescent="0.3">
      <c r="B167" s="9" t="s">
        <v>302</v>
      </c>
      <c r="C167" s="859"/>
      <c r="D167" s="2803" t="s">
        <v>221</v>
      </c>
      <c r="E167" s="2599">
        <v>612</v>
      </c>
      <c r="F167" s="2599">
        <v>542.88333333333344</v>
      </c>
      <c r="G167" s="2599">
        <v>632.40000000000009</v>
      </c>
      <c r="H167" s="2599">
        <v>599.16666666666652</v>
      </c>
      <c r="I167" s="668">
        <f>+E167+G167</f>
        <v>1244.4000000000001</v>
      </c>
      <c r="J167" s="38">
        <f>+F167+H167</f>
        <v>1142.05</v>
      </c>
      <c r="K167" s="2599">
        <v>612</v>
      </c>
      <c r="L167" s="2599">
        <v>606.05000000000007</v>
      </c>
      <c r="M167" s="774">
        <f>+E167+G167+K167</f>
        <v>1856.4</v>
      </c>
      <c r="N167" s="774">
        <f>+F167+H167+L167</f>
        <v>1748.1</v>
      </c>
      <c r="O167" s="2599">
        <v>632.40000000000009</v>
      </c>
      <c r="P167" s="2599">
        <v>635.36666666666656</v>
      </c>
      <c r="Q167" s="775">
        <f>+M167+O167</f>
        <v>2488.8000000000002</v>
      </c>
      <c r="R167" s="775">
        <f>+N167+P167</f>
        <v>2383.4666666666662</v>
      </c>
      <c r="S167" s="2599">
        <v>632.40000000000009</v>
      </c>
      <c r="T167" s="2599">
        <v>614.88333333333344</v>
      </c>
      <c r="U167" s="775">
        <f>+Q167+S167</f>
        <v>3121.2000000000003</v>
      </c>
      <c r="V167" s="775">
        <f>+R167+T167</f>
        <v>2998.3499999999995</v>
      </c>
      <c r="W167" s="2599">
        <v>396</v>
      </c>
      <c r="X167" s="2599">
        <v>615.58333333333303</v>
      </c>
      <c r="Y167" s="774">
        <f>O167+S167+W167</f>
        <v>1660.8000000000002</v>
      </c>
      <c r="Z167" s="524">
        <f>P167+T167+X167</f>
        <v>1865.833333333333</v>
      </c>
      <c r="AA167" s="460">
        <f>M167+Y167</f>
        <v>3517.2000000000003</v>
      </c>
      <c r="AB167" s="460">
        <f>N167+Z167</f>
        <v>3613.9333333333329</v>
      </c>
      <c r="AC167" s="2599">
        <v>632.40000000000009</v>
      </c>
      <c r="AD167" s="2599">
        <v>444.16666666666669</v>
      </c>
      <c r="AE167" s="775">
        <f>+AA167+AC167</f>
        <v>4149.6000000000004</v>
      </c>
      <c r="AF167" s="775">
        <f>+AB167+AD167</f>
        <v>4058.0999999999995</v>
      </c>
      <c r="AG167" s="2599">
        <v>612</v>
      </c>
      <c r="AH167" s="2599">
        <v>592.85</v>
      </c>
      <c r="AI167" s="775">
        <f>+AE167+AG167</f>
        <v>4761.6000000000004</v>
      </c>
      <c r="AJ167" s="775">
        <f>+AF167+AH167</f>
        <v>4650.95</v>
      </c>
      <c r="AK167" s="2599">
        <v>632.40000000000009</v>
      </c>
      <c r="AL167" s="2599">
        <v>605.31666666666661</v>
      </c>
      <c r="AM167" s="774">
        <f>AC167+AG167+AK167</f>
        <v>1876.8000000000002</v>
      </c>
      <c r="AN167" s="524">
        <f>AD167+AH167+AL167</f>
        <v>1642.3333333333333</v>
      </c>
      <c r="AO167" s="775">
        <f t="shared" ref="AO167:AP167" si="95">AI167+AK167</f>
        <v>5394</v>
      </c>
      <c r="AP167" s="775">
        <f t="shared" si="95"/>
        <v>5256.2666666666664</v>
      </c>
      <c r="AQ167" s="2599">
        <v>632.40000000000009</v>
      </c>
      <c r="AR167" s="2599">
        <v>618.03333333333353</v>
      </c>
      <c r="AS167" s="775">
        <f>+AO167+AQ167</f>
        <v>6026.4</v>
      </c>
      <c r="AT167" s="775">
        <f>+AP167+AR167</f>
        <v>5874.3</v>
      </c>
      <c r="AU167" s="2599">
        <v>571.20000000000005</v>
      </c>
      <c r="AV167" s="2599">
        <v>576.21666666666681</v>
      </c>
      <c r="AW167" s="775">
        <f>+AS167+AU167</f>
        <v>6597.5999999999995</v>
      </c>
      <c r="AX167" s="775">
        <f>+AT167+AV167</f>
        <v>6450.5166666666673</v>
      </c>
      <c r="AY167" s="2599">
        <v>632.40000000000009</v>
      </c>
      <c r="AZ167" s="2599">
        <v>607.6</v>
      </c>
      <c r="BA167" s="774">
        <f>AQ167+AU167+AY167</f>
        <v>1836.0000000000002</v>
      </c>
      <c r="BB167" s="524">
        <f>AR167+AV167+AZ167</f>
        <v>1801.8500000000004</v>
      </c>
      <c r="BC167" s="460">
        <f>AM167+BA167</f>
        <v>3712.8</v>
      </c>
      <c r="BD167" s="460">
        <f>AN167+BB167</f>
        <v>3444.1833333333334</v>
      </c>
      <c r="BE167" s="775">
        <f>+AW167+AY167</f>
        <v>7230</v>
      </c>
      <c r="BF167" s="775">
        <f>+AX167+AZ167</f>
        <v>7058.1166666666677</v>
      </c>
      <c r="BG167" s="1202"/>
      <c r="BH167" s="1520">
        <f t="shared" si="57"/>
        <v>0</v>
      </c>
      <c r="BI167" s="1520">
        <f t="shared" si="58"/>
        <v>0</v>
      </c>
      <c r="BJ167" s="26">
        <f t="shared" si="59"/>
        <v>0</v>
      </c>
      <c r="BK167" s="26">
        <f t="shared" si="60"/>
        <v>0</v>
      </c>
      <c r="BL167" s="26">
        <f t="shared" si="61"/>
        <v>0</v>
      </c>
      <c r="BM167" s="26">
        <f t="shared" si="62"/>
        <v>0</v>
      </c>
    </row>
    <row r="168" spans="1:65" x14ac:dyDescent="0.3">
      <c r="B168" s="9" t="s">
        <v>304</v>
      </c>
      <c r="C168" s="859"/>
      <c r="D168" s="2803" t="s">
        <v>49</v>
      </c>
      <c r="E168" s="2797">
        <f t="shared" ref="E168:AD168" si="96">+E169/E167*100</f>
        <v>87.5</v>
      </c>
      <c r="F168" s="2797">
        <f t="shared" si="96"/>
        <v>86.375218739446765</v>
      </c>
      <c r="G168" s="2797">
        <f t="shared" ref="G168:H168" si="97">+G169/G167*100</f>
        <v>87.499999999999986</v>
      </c>
      <c r="H168" s="2797">
        <f t="shared" si="97"/>
        <v>88.984700973574448</v>
      </c>
      <c r="I168" s="860">
        <f t="shared" si="96"/>
        <v>87.499999999999986</v>
      </c>
      <c r="J168" s="105">
        <f t="shared" si="96"/>
        <v>87.744261051033973</v>
      </c>
      <c r="K168" s="2797">
        <f t="shared" si="96"/>
        <v>87.5</v>
      </c>
      <c r="L168" s="2797">
        <f t="shared" si="96"/>
        <v>86.854769958474236</v>
      </c>
      <c r="M168" s="861">
        <f t="shared" si="96"/>
        <v>87.499999999999986</v>
      </c>
      <c r="N168" s="348">
        <f t="shared" si="96"/>
        <v>87.435882767957594</v>
      </c>
      <c r="O168" s="2797">
        <f t="shared" ref="O168:P168" si="98">+O169/O167*100</f>
        <v>87.499999999999986</v>
      </c>
      <c r="P168" s="2797">
        <f t="shared" si="98"/>
        <v>90.630082367137078</v>
      </c>
      <c r="Q168" s="860">
        <f t="shared" si="96"/>
        <v>87.499999999999986</v>
      </c>
      <c r="R168" s="261">
        <f t="shared" si="96"/>
        <v>88.287368538823003</v>
      </c>
      <c r="S168" s="2797">
        <f t="shared" si="96"/>
        <v>87.499999999999986</v>
      </c>
      <c r="T168" s="2797">
        <f t="shared" si="96"/>
        <v>84.869758490770593</v>
      </c>
      <c r="U168" s="860">
        <f t="shared" ref="U168:X168" si="99">+U169/U167*100</f>
        <v>87.499999999999986</v>
      </c>
      <c r="V168" s="261">
        <f t="shared" si="99"/>
        <v>87.586505911584709</v>
      </c>
      <c r="W168" s="2797">
        <f t="shared" si="99"/>
        <v>87.5</v>
      </c>
      <c r="X168" s="2797">
        <f t="shared" si="99"/>
        <v>89.801001759848418</v>
      </c>
      <c r="Y168" s="861">
        <f t="shared" si="96"/>
        <v>87.499999999999986</v>
      </c>
      <c r="Z168" s="351">
        <f t="shared" si="96"/>
        <v>88.458240285841896</v>
      </c>
      <c r="AA168" s="461">
        <f t="shared" si="96"/>
        <v>87.5</v>
      </c>
      <c r="AB168" s="461">
        <f t="shared" si="96"/>
        <v>87.96371451235035</v>
      </c>
      <c r="AC168" s="2797">
        <f t="shared" si="96"/>
        <v>87.499999999999986</v>
      </c>
      <c r="AD168" s="2797">
        <f t="shared" si="96"/>
        <v>87.28705440900562</v>
      </c>
      <c r="AE168" s="860">
        <f t="shared" ref="AE168:AH168" si="100">+AE169/AE167*100</f>
        <v>87.5</v>
      </c>
      <c r="AF168" s="261">
        <f t="shared" si="100"/>
        <v>87.889652793179067</v>
      </c>
      <c r="AG168" s="2797">
        <f t="shared" si="100"/>
        <v>87.5</v>
      </c>
      <c r="AH168" s="2797">
        <f t="shared" si="100"/>
        <v>79.323044052739604</v>
      </c>
      <c r="AI168" s="860">
        <f t="shared" ref="AI168:AL168" si="101">+AI169/AI167*100</f>
        <v>87.499999999999986</v>
      </c>
      <c r="AJ168" s="261">
        <f t="shared" si="101"/>
        <v>86.797679327162541</v>
      </c>
      <c r="AK168" s="2797">
        <f t="shared" si="101"/>
        <v>87.499999999999986</v>
      </c>
      <c r="AL168" s="2797">
        <f t="shared" si="101"/>
        <v>89.793221178997243</v>
      </c>
      <c r="AM168" s="861">
        <f t="shared" ref="AM168:AT168" si="102">+AM169/AM167*100</f>
        <v>87.499999999999972</v>
      </c>
      <c r="AN168" s="351">
        <f t="shared" si="102"/>
        <v>85.335904201339559</v>
      </c>
      <c r="AO168" s="860">
        <f t="shared" si="102"/>
        <v>87.5</v>
      </c>
      <c r="AP168" s="261">
        <f t="shared" si="102"/>
        <v>87.142648774795788</v>
      </c>
      <c r="AQ168" s="2797">
        <f t="shared" si="102"/>
        <v>87.499999999999986</v>
      </c>
      <c r="AR168" s="2797">
        <f t="shared" si="102"/>
        <v>90.734048864678257</v>
      </c>
      <c r="AS168" s="860">
        <f t="shared" si="102"/>
        <v>87.500000000000014</v>
      </c>
      <c r="AT168" s="261">
        <f t="shared" si="102"/>
        <v>87.52049889632238</v>
      </c>
      <c r="AU168" s="2797">
        <f t="shared" ref="AU168:AV168" si="103">+AU169/AU167*100</f>
        <v>87.5</v>
      </c>
      <c r="AV168" s="2797">
        <f t="shared" si="103"/>
        <v>88.716628582998283</v>
      </c>
      <c r="AW168" s="860">
        <f t="shared" ref="AW168:AZ168" si="104">+AW169/AW167*100</f>
        <v>87.500000000000014</v>
      </c>
      <c r="AX168" s="261">
        <f t="shared" si="104"/>
        <v>87.627347680159971</v>
      </c>
      <c r="AY168" s="2797">
        <f t="shared" si="104"/>
        <v>87.499999999999986</v>
      </c>
      <c r="AZ168" s="2797">
        <f t="shared" si="104"/>
        <v>90.31983761246434</v>
      </c>
      <c r="BA168" s="861">
        <f t="shared" ref="BA168:BD168" si="105">+BA169/BA167*100</f>
        <v>87.499999999999986</v>
      </c>
      <c r="BB168" s="351">
        <f t="shared" si="105"/>
        <v>89.949218858395525</v>
      </c>
      <c r="BC168" s="461">
        <f t="shared" si="105"/>
        <v>87.499999999999986</v>
      </c>
      <c r="BD168" s="461">
        <f t="shared" si="105"/>
        <v>87.749393905667034</v>
      </c>
      <c r="BE168" s="860">
        <f t="shared" ref="BE168:BF168" si="106">+BE169/BE167*100</f>
        <v>87.500000000000014</v>
      </c>
      <c r="BF168" s="261">
        <f t="shared" si="106"/>
        <v>87.859131449135361</v>
      </c>
      <c r="BG168" s="1202"/>
      <c r="BH168" s="1520"/>
      <c r="BI168" s="1520"/>
      <c r="BJ168" s="26"/>
      <c r="BK168" s="26"/>
      <c r="BL168" s="26"/>
      <c r="BM168" s="26"/>
    </row>
    <row r="169" spans="1:65" x14ac:dyDescent="0.3">
      <c r="B169" s="9" t="s">
        <v>305</v>
      </c>
      <c r="C169" s="859"/>
      <c r="D169" s="2803" t="s">
        <v>221</v>
      </c>
      <c r="E169" s="2599">
        <v>535.5</v>
      </c>
      <c r="F169" s="2599">
        <v>468.91666666666669</v>
      </c>
      <c r="G169" s="2599">
        <v>553.35</v>
      </c>
      <c r="H169" s="2599">
        <v>533.16666666666674</v>
      </c>
      <c r="I169" s="668">
        <f>+E169+G169</f>
        <v>1088.8499999999999</v>
      </c>
      <c r="J169" s="38">
        <f>+F169+H169</f>
        <v>1002.0833333333335</v>
      </c>
      <c r="K169" s="2599">
        <v>535.5</v>
      </c>
      <c r="L169" s="2599">
        <v>526.38333333333321</v>
      </c>
      <c r="M169" s="774">
        <f>+E169+G169+K169</f>
        <v>1624.35</v>
      </c>
      <c r="N169" s="774">
        <f>+F169+H169+L169</f>
        <v>1528.4666666666667</v>
      </c>
      <c r="O169" s="2599">
        <v>553.35</v>
      </c>
      <c r="P169" s="2599">
        <v>575.83333333333314</v>
      </c>
      <c r="Q169" s="775">
        <f>+M169+O169</f>
        <v>2177.6999999999998</v>
      </c>
      <c r="R169" s="775">
        <f>+N169+P169</f>
        <v>2104.2999999999997</v>
      </c>
      <c r="S169" s="2599">
        <v>553.35</v>
      </c>
      <c r="T169" s="2599">
        <v>521.85</v>
      </c>
      <c r="U169" s="775">
        <f>+Q169+S169</f>
        <v>2731.0499999999997</v>
      </c>
      <c r="V169" s="775">
        <f>+R169+T169</f>
        <v>2626.1499999999996</v>
      </c>
      <c r="W169" s="2599">
        <v>346.5</v>
      </c>
      <c r="X169" s="2599">
        <v>552.79999999999995</v>
      </c>
      <c r="Y169" s="774">
        <f>O169+S169+W169</f>
        <v>1453.2</v>
      </c>
      <c r="Z169" s="524">
        <f>P169+T169+X169</f>
        <v>1650.4833333333331</v>
      </c>
      <c r="AA169" s="460">
        <f>M169+Y169</f>
        <v>3077.55</v>
      </c>
      <c r="AB169" s="460">
        <f>N169+Z169</f>
        <v>3178.95</v>
      </c>
      <c r="AC169" s="2599">
        <v>553.35</v>
      </c>
      <c r="AD169" s="2599">
        <v>387.7</v>
      </c>
      <c r="AE169" s="775">
        <f>+AA169+AC169</f>
        <v>3630.9</v>
      </c>
      <c r="AF169" s="775">
        <f>+AB169+AD169</f>
        <v>3566.6499999999996</v>
      </c>
      <c r="AG169" s="2599">
        <v>535.5</v>
      </c>
      <c r="AH169" s="2599">
        <v>470.26666666666677</v>
      </c>
      <c r="AI169" s="775">
        <f>+AE169+AG169</f>
        <v>4166.3999999999996</v>
      </c>
      <c r="AJ169" s="775">
        <f>+AF169+AH169</f>
        <v>4036.9166666666665</v>
      </c>
      <c r="AK169" s="2599">
        <v>553.35</v>
      </c>
      <c r="AL169" s="2599">
        <v>543.53333333333342</v>
      </c>
      <c r="AM169" s="774">
        <f>AC169+AG169+AK169</f>
        <v>1642.1999999999998</v>
      </c>
      <c r="AN169" s="524">
        <f>AD169+AH169+AL169</f>
        <v>1401.5</v>
      </c>
      <c r="AO169" s="775">
        <f t="shared" ref="AO169:AP169" si="107">AI169+AK169</f>
        <v>4719.75</v>
      </c>
      <c r="AP169" s="775">
        <f t="shared" si="107"/>
        <v>4580.45</v>
      </c>
      <c r="AQ169" s="2599">
        <v>553.35</v>
      </c>
      <c r="AR169" s="2599">
        <v>560.76666666666665</v>
      </c>
      <c r="AS169" s="775">
        <f>+AO169+AQ169</f>
        <v>5273.1</v>
      </c>
      <c r="AT169" s="775">
        <f>+AP169+AR169</f>
        <v>5141.2166666666662</v>
      </c>
      <c r="AU169" s="2599">
        <v>499.8</v>
      </c>
      <c r="AV169" s="2599">
        <v>511.20000000000005</v>
      </c>
      <c r="AW169" s="775">
        <f>+AS169+AU169</f>
        <v>5772.9000000000005</v>
      </c>
      <c r="AX169" s="775">
        <f>+AT169+AV169</f>
        <v>5652.4166666666661</v>
      </c>
      <c r="AY169" s="2599">
        <v>553.35</v>
      </c>
      <c r="AZ169" s="2599">
        <v>548.7833333333333</v>
      </c>
      <c r="BA169" s="774">
        <f>AQ169+AU169+AY169</f>
        <v>1606.5</v>
      </c>
      <c r="BB169" s="524">
        <f>AR169+AV169+AZ169</f>
        <v>1620.75</v>
      </c>
      <c r="BC169" s="460">
        <f>AM169+BA169</f>
        <v>3248.7</v>
      </c>
      <c r="BD169" s="460">
        <f>AN169+BB169</f>
        <v>3022.25</v>
      </c>
      <c r="BE169" s="775">
        <f>+AW169+AY169</f>
        <v>6326.2500000000009</v>
      </c>
      <c r="BF169" s="775">
        <f>+AX169+AZ169</f>
        <v>6201.1999999999989</v>
      </c>
      <c r="BG169" s="1202"/>
      <c r="BH169" s="1520">
        <f t="shared" si="57"/>
        <v>0</v>
      </c>
      <c r="BI169" s="1520">
        <f t="shared" si="58"/>
        <v>0</v>
      </c>
      <c r="BJ169" s="26">
        <f t="shared" si="59"/>
        <v>0</v>
      </c>
      <c r="BK169" s="26">
        <f t="shared" si="60"/>
        <v>0</v>
      </c>
      <c r="BL169" s="26">
        <f t="shared" si="61"/>
        <v>0</v>
      </c>
      <c r="BM169" s="26">
        <f t="shared" si="62"/>
        <v>0</v>
      </c>
    </row>
    <row r="170" spans="1:65" x14ac:dyDescent="0.3">
      <c r="B170" s="9" t="s">
        <v>511</v>
      </c>
      <c r="C170" s="859"/>
      <c r="D170" s="2803" t="s">
        <v>510</v>
      </c>
      <c r="E170" s="2797">
        <f t="shared" ref="E170:AD170" si="108">+E169/(E167/24)</f>
        <v>21</v>
      </c>
      <c r="F170" s="2615">
        <f t="shared" si="108"/>
        <v>20.730052497467224</v>
      </c>
      <c r="G170" s="2797">
        <f t="shared" ref="G170:H170" si="109">+G169/(G167/24)</f>
        <v>20.999999999999996</v>
      </c>
      <c r="H170" s="2615">
        <f t="shared" si="109"/>
        <v>21.356328233657866</v>
      </c>
      <c r="I170" s="860">
        <f t="shared" si="108"/>
        <v>20.999999999999996</v>
      </c>
      <c r="J170" s="105">
        <f t="shared" si="108"/>
        <v>21.058622652248154</v>
      </c>
      <c r="K170" s="2797">
        <f t="shared" si="108"/>
        <v>21</v>
      </c>
      <c r="L170" s="2615">
        <f t="shared" si="108"/>
        <v>20.845144790033821</v>
      </c>
      <c r="M170" s="861">
        <f t="shared" si="108"/>
        <v>20.999999999999996</v>
      </c>
      <c r="N170" s="348">
        <f t="shared" si="108"/>
        <v>20.984611864309827</v>
      </c>
      <c r="O170" s="2797">
        <f t="shared" ref="O170:P170" si="110">+O169/(O167/24)</f>
        <v>20.999999999999996</v>
      </c>
      <c r="P170" s="2615">
        <f t="shared" si="110"/>
        <v>21.751219768112897</v>
      </c>
      <c r="Q170" s="860">
        <f t="shared" si="108"/>
        <v>20.999999999999996</v>
      </c>
      <c r="R170" s="261">
        <f t="shared" si="108"/>
        <v>21.188968449317521</v>
      </c>
      <c r="S170" s="2797">
        <f t="shared" si="108"/>
        <v>20.999999999999996</v>
      </c>
      <c r="T170" s="2615">
        <f t="shared" si="108"/>
        <v>20.368742037784944</v>
      </c>
      <c r="U170" s="860">
        <f t="shared" ref="U170:X170" si="111">+U169/(U167/24)</f>
        <v>20.999999999999996</v>
      </c>
      <c r="V170" s="261">
        <f t="shared" si="111"/>
        <v>21.020761418780332</v>
      </c>
      <c r="W170" s="2797">
        <f t="shared" si="111"/>
        <v>21</v>
      </c>
      <c r="X170" s="2615">
        <f t="shared" si="111"/>
        <v>21.552240422363621</v>
      </c>
      <c r="Y170" s="861">
        <f t="shared" si="108"/>
        <v>21</v>
      </c>
      <c r="Z170" s="351">
        <f t="shared" si="108"/>
        <v>21.229977668602054</v>
      </c>
      <c r="AA170" s="461">
        <f t="shared" si="108"/>
        <v>21</v>
      </c>
      <c r="AB170" s="461">
        <f t="shared" si="108"/>
        <v>21.111291482964084</v>
      </c>
      <c r="AC170" s="2797">
        <f t="shared" si="108"/>
        <v>20.999999999999996</v>
      </c>
      <c r="AD170" s="2615">
        <f t="shared" si="108"/>
        <v>20.94889305816135</v>
      </c>
      <c r="AE170" s="860">
        <f t="shared" ref="AE170:AH170" si="112">+AE169/(AE167/24)</f>
        <v>21</v>
      </c>
      <c r="AF170" s="261">
        <f t="shared" si="112"/>
        <v>21.093516670362977</v>
      </c>
      <c r="AG170" s="2797">
        <f t="shared" si="112"/>
        <v>21</v>
      </c>
      <c r="AH170" s="2615">
        <f t="shared" si="112"/>
        <v>19.037530572657506</v>
      </c>
      <c r="AI170" s="860">
        <f t="shared" ref="AI170:AL170" si="113">+AI169/(AI167/24)</f>
        <v>20.999999999999996</v>
      </c>
      <c r="AJ170" s="261">
        <f t="shared" si="113"/>
        <v>20.831443038519012</v>
      </c>
      <c r="AK170" s="2797">
        <f t="shared" si="113"/>
        <v>20.999999999999996</v>
      </c>
      <c r="AL170" s="2615">
        <f t="shared" si="113"/>
        <v>21.550373082959336</v>
      </c>
      <c r="AM170" s="861">
        <f t="shared" ref="AM170:AT170" si="114">+AM169/(AM167/24)</f>
        <v>20.999999999999996</v>
      </c>
      <c r="AN170" s="351">
        <f t="shared" si="114"/>
        <v>20.480617008321492</v>
      </c>
      <c r="AO170" s="860">
        <f t="shared" si="114"/>
        <v>21</v>
      </c>
      <c r="AP170" s="261">
        <f t="shared" si="114"/>
        <v>20.914235705950993</v>
      </c>
      <c r="AQ170" s="2797">
        <f t="shared" si="114"/>
        <v>20.999999999999996</v>
      </c>
      <c r="AR170" s="2615">
        <f t="shared" si="114"/>
        <v>21.77617172752278</v>
      </c>
      <c r="AS170" s="860">
        <f t="shared" si="114"/>
        <v>21.000000000000004</v>
      </c>
      <c r="AT170" s="261">
        <f t="shared" si="114"/>
        <v>21.004919735117372</v>
      </c>
      <c r="AU170" s="2797">
        <f t="shared" ref="AU170:AV170" si="115">+AU169/(AU167/24)</f>
        <v>21</v>
      </c>
      <c r="AV170" s="2615">
        <f t="shared" si="115"/>
        <v>21.291990859919586</v>
      </c>
      <c r="AW170" s="860">
        <f t="shared" ref="AW170:AZ170" si="116">+AW169/(AW167/24)</f>
        <v>21.000000000000004</v>
      </c>
      <c r="AX170" s="261">
        <f t="shared" si="116"/>
        <v>21.030563443238393</v>
      </c>
      <c r="AY170" s="2797">
        <f t="shared" si="116"/>
        <v>20.999999999999996</v>
      </c>
      <c r="AZ170" s="2615">
        <f t="shared" si="116"/>
        <v>21.676761026991439</v>
      </c>
      <c r="BA170" s="861">
        <f t="shared" ref="BA170:BD170" si="117">+BA169/(BA167/24)</f>
        <v>20.999999999999996</v>
      </c>
      <c r="BB170" s="351">
        <f t="shared" si="117"/>
        <v>21.587812526014925</v>
      </c>
      <c r="BC170" s="461">
        <f t="shared" si="117"/>
        <v>20.999999999999996</v>
      </c>
      <c r="BD170" s="461">
        <f t="shared" si="117"/>
        <v>21.059854537360089</v>
      </c>
      <c r="BE170" s="860">
        <f t="shared" ref="BE170:BF170" si="118">+BE169/(BE167/24)</f>
        <v>21.000000000000004</v>
      </c>
      <c r="BF170" s="261">
        <f t="shared" si="118"/>
        <v>21.086191547792488</v>
      </c>
      <c r="BG170" s="1202"/>
      <c r="BH170" s="1520"/>
      <c r="BI170" s="1520"/>
      <c r="BJ170" s="26"/>
      <c r="BK170" s="26"/>
      <c r="BL170" s="26"/>
      <c r="BM170" s="26"/>
    </row>
    <row r="171" spans="1:65" x14ac:dyDescent="0.3">
      <c r="A171" s="1519">
        <v>0.28799999999999998</v>
      </c>
      <c r="B171" s="9" t="s">
        <v>306</v>
      </c>
      <c r="C171" s="859"/>
      <c r="D171" s="2803" t="s">
        <v>1085</v>
      </c>
      <c r="E171" s="2804">
        <v>0.28799999999999992</v>
      </c>
      <c r="F171" s="2619">
        <v>0.35699999999999998</v>
      </c>
      <c r="G171" s="2804">
        <v>0.28800000000000003</v>
      </c>
      <c r="H171" s="2619">
        <v>0.35299999999999998</v>
      </c>
      <c r="I171" s="862">
        <f>+((E171*E5)+(G171*G5))/I5</f>
        <v>0.28799999999999998</v>
      </c>
      <c r="J171" s="2805">
        <f>+((F171*F5)+(H171*H5))/J5</f>
        <v>0.35492938004711455</v>
      </c>
      <c r="K171" s="2804">
        <v>0.28799999999999998</v>
      </c>
      <c r="L171" s="2619">
        <v>0.3417</v>
      </c>
      <c r="M171" s="863">
        <f>+((E171*E5)+(G171*G5)+(K171*K5))/M5</f>
        <v>0.28799999999999998</v>
      </c>
      <c r="N171" s="863">
        <f>+((F171*F5)+(H171*H5)+(L171*L5))/N5</f>
        <v>0.3504868789650929</v>
      </c>
      <c r="O171" s="2804">
        <v>0.28799999999999998</v>
      </c>
      <c r="P171" s="2619">
        <v>0.30199999999999999</v>
      </c>
      <c r="Q171" s="862">
        <f>+((M171*M5)+(O171*O5))/Q5</f>
        <v>0.28799999999999998</v>
      </c>
      <c r="R171" s="862">
        <f>+((N171*N5)+(P171*P5))/R5</f>
        <v>0.33637289851237151</v>
      </c>
      <c r="S171" s="2804">
        <v>0.28799999999999998</v>
      </c>
      <c r="T171" s="2619">
        <v>0.33800000000000002</v>
      </c>
      <c r="U171" s="862">
        <f>+((Q171*Q5)+(S171*S5))/U5</f>
        <v>0.28799999999999998</v>
      </c>
      <c r="V171" s="862">
        <f>+((R171*R5)+(T171*T5))/V5</f>
        <v>0.33668692994372867</v>
      </c>
      <c r="W171" s="2804">
        <v>0.28799999999999998</v>
      </c>
      <c r="X171" s="2619">
        <v>0.32700000000000001</v>
      </c>
      <c r="Y171" s="863">
        <f>+((O171*O5)+(S171*S5)+(W171*W5))/Y5</f>
        <v>0.28799999999999998</v>
      </c>
      <c r="Z171" s="863">
        <f>+((P171*P5)+(T171*T5)+(X171*X5))/Z5</f>
        <v>0.32107518917020528</v>
      </c>
      <c r="AA171" s="658">
        <f>+((M171*M5)+(Y171*Y5))/AA5</f>
        <v>0.28799999999999998</v>
      </c>
      <c r="AB171" s="658">
        <f>+((N171*N5)+(Z171*Z5))/AB5</f>
        <v>0.33503912777994577</v>
      </c>
      <c r="AC171" s="2804">
        <v>0.28799999999999998</v>
      </c>
      <c r="AD171" s="2619">
        <v>0.38900000000000001</v>
      </c>
      <c r="AE171" s="862">
        <f>+((AA171*AA5)+(AC171*AC5))/AE5</f>
        <v>0.28799999999999998</v>
      </c>
      <c r="AF171" s="862">
        <f>+((AB171*AB5)+(AD171*AD5))/AF5</f>
        <v>0.34099832292712678</v>
      </c>
      <c r="AG171" s="2804">
        <v>0.28799999999999998</v>
      </c>
      <c r="AH171" s="2619">
        <v>0.4</v>
      </c>
      <c r="AI171" s="862">
        <f>+((AE171*AE5)+(AG171*AG5))/AI5</f>
        <v>0.28799999999999998</v>
      </c>
      <c r="AJ171" s="862">
        <f>+((AF171*AF5)+(AH171*AH5))/AJ5</f>
        <v>0.34767149490874161</v>
      </c>
      <c r="AK171" s="2804">
        <v>0.28799999999999998</v>
      </c>
      <c r="AL171" s="2619">
        <v>0.40300000000000002</v>
      </c>
      <c r="AM171" s="863">
        <f>+((AC171*AC5)+(AG171*AG5)+(AK171*AK5))/AM5</f>
        <v>0.28799999999999998</v>
      </c>
      <c r="AN171" s="863">
        <f>+((AD171*AD5)+(AH171*AH5)+(AL171*AL5))/AN5</f>
        <v>0.39818821164075024</v>
      </c>
      <c r="AO171" s="862">
        <f>+((AK171*AK5)+(AI171*AI5))/AO5</f>
        <v>0.28799999999999998</v>
      </c>
      <c r="AP171" s="862">
        <f>+((AL171*AL5)+(AJ171*AJ5))/AP5</f>
        <v>0.35465460089598139</v>
      </c>
      <c r="AQ171" s="2804">
        <v>0.28799999999999998</v>
      </c>
      <c r="AR171" s="2619">
        <v>0.375</v>
      </c>
      <c r="AS171" s="862">
        <f>+((AO171*AO5)+(AQ171*AQ5))/AS5</f>
        <v>0.28799999999999998</v>
      </c>
      <c r="AT171" s="862">
        <f>+((AP171*AP5)+(AR171*AR5))/AT5</f>
        <v>0.35695140549737664</v>
      </c>
      <c r="AU171" s="2804">
        <v>0.28799999999999998</v>
      </c>
      <c r="AV171" s="2619">
        <v>0.33700000000000002</v>
      </c>
      <c r="AW171" s="862">
        <f>+((AS171*AS5)+(AU171*AU5))/AW5</f>
        <v>0.28799999999999998</v>
      </c>
      <c r="AX171" s="862">
        <f>+((AT171*AT5)+(AV171*AV5))/AX5</f>
        <v>0.35522165301878178</v>
      </c>
      <c r="AY171" s="2804">
        <v>0.28799999999999998</v>
      </c>
      <c r="AZ171" s="2619">
        <v>0.30599999999999999</v>
      </c>
      <c r="BA171" s="863">
        <f>+((AQ171*AQ5)+(AU171*AU5)+(AY171*AY5))/BA5</f>
        <v>0.28799999999999998</v>
      </c>
      <c r="BB171" s="863">
        <f>+((AR171*AR5)+(AV171*AV5)+(AZ171*AZ5))/BB5</f>
        <v>0.33887632496638354</v>
      </c>
      <c r="BC171" s="658">
        <f>+((AM171*AM5)+(BA171*BA5))/BC5</f>
        <v>0.28799999999999998</v>
      </c>
      <c r="BD171" s="658">
        <f>+((AN171*AN5)+(BB171*BB5))/BD5</f>
        <v>0.36602543558840556</v>
      </c>
      <c r="BE171" s="862">
        <f>+((AW171*AW5)+(AY171*AY5))/BE5</f>
        <v>0.28799999999999998</v>
      </c>
      <c r="BF171" s="862">
        <f>+((AX171*AX5)+(AZ171*AZ5))/BF5</f>
        <v>0.35041028217842213</v>
      </c>
      <c r="BG171" s="1202"/>
      <c r="BH171" s="1520"/>
      <c r="BI171" s="1520"/>
      <c r="BJ171" s="26"/>
      <c r="BK171" s="26"/>
      <c r="BL171" s="26"/>
      <c r="BM171" s="26"/>
    </row>
    <row r="172" spans="1:65" x14ac:dyDescent="0.3">
      <c r="B172" s="9" t="s">
        <v>307</v>
      </c>
      <c r="C172" s="859"/>
      <c r="D172" s="2803" t="s">
        <v>213</v>
      </c>
      <c r="E172" s="2599">
        <f>+'POWER DISTRIBUTION'!I26</f>
        <v>7362131.9332452696</v>
      </c>
      <c r="F172" s="2599">
        <f>+'POWER DISTRIBUTION'!J26</f>
        <v>6448268.6666666623</v>
      </c>
      <c r="G172" s="2599">
        <f>+'POWER DISTRIBUTION'!K26</f>
        <v>7621971.8838303965</v>
      </c>
      <c r="H172" s="2599">
        <f>+'POWER DISTRIBUTION'!L26</f>
        <v>6901113.0000000075</v>
      </c>
      <c r="I172" s="668">
        <f>+E172+G172</f>
        <v>14984103.817075666</v>
      </c>
      <c r="J172" s="38">
        <f>+F172+H172</f>
        <v>13349381.66666667</v>
      </c>
      <c r="K172" s="2599">
        <f>+'POWER DISTRIBUTION'!O26</f>
        <v>7362131.9332452696</v>
      </c>
      <c r="L172" s="2599">
        <f>+'POWER DISTRIBUTION'!P26</f>
        <v>6922432.3333333284</v>
      </c>
      <c r="M172" s="774">
        <f>+E172+G172+K172</f>
        <v>22346235.750320934</v>
      </c>
      <c r="N172" s="774">
        <f>+F172+H172+L172</f>
        <v>20271814</v>
      </c>
      <c r="O172" s="2599">
        <f>+'POWER DISTRIBUTION'!S26</f>
        <v>7621971.8838303965</v>
      </c>
      <c r="P172" s="2599">
        <f>+'POWER DISTRIBUTION'!T26</f>
        <v>7841078.3333333544</v>
      </c>
      <c r="Q172" s="775">
        <f>+M172+O172</f>
        <v>29968207.634151332</v>
      </c>
      <c r="R172" s="775">
        <f>+N172+P172</f>
        <v>28112892.333333354</v>
      </c>
      <c r="S172" s="2599">
        <f>+'POWER DISTRIBUTION'!W26</f>
        <v>7621971.8838303965</v>
      </c>
      <c r="T172" s="2599">
        <f>+'POWER DISTRIBUTION'!X26</f>
        <v>6963410.9999999758</v>
      </c>
      <c r="U172" s="775">
        <f>+Q172+S172</f>
        <v>37590179.51798173</v>
      </c>
      <c r="V172" s="775">
        <f>+R172+T172</f>
        <v>35076303.333333328</v>
      </c>
      <c r="W172" s="2599">
        <f>+'POWER DISTRIBUTION'!AA26</f>
        <v>4568265.843085452</v>
      </c>
      <c r="X172" s="2599">
        <f>+'POWER DISTRIBUTION'!AB26</f>
        <v>7182929.0000000158</v>
      </c>
      <c r="Y172" s="774">
        <f>O172+S172+W172</f>
        <v>19812209.610746246</v>
      </c>
      <c r="Z172" s="524">
        <f>P172+T172+X172</f>
        <v>21987418.333333347</v>
      </c>
      <c r="AA172" s="2238">
        <f>M172+Y172</f>
        <v>42158445.361067176</v>
      </c>
      <c r="AB172" s="460">
        <f>N172+Z172</f>
        <v>42259232.333333343</v>
      </c>
      <c r="AC172" s="2599">
        <f>+'POWER DISTRIBUTION'!AG26</f>
        <v>7362131.9332452696</v>
      </c>
      <c r="AD172" s="2599">
        <f>+'POWER DISTRIBUTION'!AH26</f>
        <v>5547879.3333333228</v>
      </c>
      <c r="AE172" s="775">
        <f>+AA172+AC172</f>
        <v>49520577.294312447</v>
      </c>
      <c r="AF172" s="775">
        <f>+AB172+AD172</f>
        <v>47807111.666666664</v>
      </c>
      <c r="AG172" s="2599">
        <f>+'POWER DISTRIBUTION'!AK26</f>
        <v>7362131.9332452696</v>
      </c>
      <c r="AH172" s="2599">
        <f>+'POWER DISTRIBUTION'!AL26</f>
        <v>6512563.6666666623</v>
      </c>
      <c r="AI172" s="775">
        <f>+AE172+AG172</f>
        <v>56882709.227557719</v>
      </c>
      <c r="AJ172" s="775">
        <f>+AF172+AH172</f>
        <v>54319675.333333328</v>
      </c>
      <c r="AK172" s="2599">
        <f>+'POWER DISTRIBUTION'!AO26</f>
        <v>7621971.8838303965</v>
      </c>
      <c r="AL172" s="2599">
        <f>+'POWER DISTRIBUTION'!AP26</f>
        <v>7109740.333333334</v>
      </c>
      <c r="AM172" s="774">
        <f>AC172+AG172+AK172</f>
        <v>22346235.750320934</v>
      </c>
      <c r="AN172" s="524">
        <f>AD172+AH172+AL172</f>
        <v>19170183.333333321</v>
      </c>
      <c r="AO172" s="775">
        <f t="shared" ref="AO172:AP172" si="119">AI172+AK172</f>
        <v>64504681.111388117</v>
      </c>
      <c r="AP172" s="775">
        <f t="shared" si="119"/>
        <v>61429415.666666664</v>
      </c>
      <c r="AQ172" s="2599">
        <f>+'POWER DISTRIBUTION'!AU26</f>
        <v>7708585.2006921051</v>
      </c>
      <c r="AR172" s="2599">
        <f>+'POWER DISTRIBUTION'!AV26</f>
        <v>7408421.3333333433</v>
      </c>
      <c r="AS172" s="775">
        <f>+AO172+AQ172</f>
        <v>72213266.312080219</v>
      </c>
      <c r="AT172" s="775">
        <f>+AP172+AR172</f>
        <v>68837837</v>
      </c>
      <c r="AU172" s="2599">
        <f>+'POWER DISTRIBUTION'!AY26</f>
        <v>6929065.3489367226</v>
      </c>
      <c r="AV172" s="2599">
        <f>+'POWER DISTRIBUTION'!AZ26</f>
        <v>6514605.0000000028</v>
      </c>
      <c r="AW172" s="775">
        <f>+AS172+AU172</f>
        <v>79142331.661016941</v>
      </c>
      <c r="AX172" s="775">
        <f>+AT172+AV172</f>
        <v>75352442</v>
      </c>
      <c r="AY172" s="2599">
        <f>+'POWER DISTRIBUTION'!BC26</f>
        <v>7708585.2006921051</v>
      </c>
      <c r="AZ172" s="2599">
        <f>+'POWER DISTRIBUTION'!BD26</f>
        <v>7028978.3333333144</v>
      </c>
      <c r="BA172" s="774">
        <f>AQ172+AU172+AY172</f>
        <v>22346235.750320934</v>
      </c>
      <c r="BB172" s="524">
        <f>AR172+AV172+AZ172</f>
        <v>20952004.66666666</v>
      </c>
      <c r="BC172" s="460">
        <f>AM172+BA172</f>
        <v>44692471.500641868</v>
      </c>
      <c r="BD172" s="460">
        <f>AN172+BB172</f>
        <v>40122187.999999985</v>
      </c>
      <c r="BE172" s="775">
        <f>+AW172+AY172</f>
        <v>86850916.861709043</v>
      </c>
      <c r="BF172" s="775">
        <f>+AX172+AZ172</f>
        <v>82381420.333333313</v>
      </c>
      <c r="BG172" s="1202"/>
      <c r="BH172" s="1520">
        <f t="shared" si="57"/>
        <v>0</v>
      </c>
      <c r="BI172" s="1520">
        <f t="shared" si="58"/>
        <v>0</v>
      </c>
      <c r="BJ172" s="26">
        <f t="shared" si="59"/>
        <v>0</v>
      </c>
      <c r="BK172" s="26">
        <f t="shared" si="60"/>
        <v>0</v>
      </c>
      <c r="BL172" s="26">
        <f t="shared" si="61"/>
        <v>0</v>
      </c>
      <c r="BM172" s="26">
        <f t="shared" si="62"/>
        <v>0</v>
      </c>
    </row>
    <row r="173" spans="1:65" x14ac:dyDescent="0.3">
      <c r="B173" s="9" t="s">
        <v>308</v>
      </c>
      <c r="C173" s="859"/>
      <c r="D173" s="2803" t="s">
        <v>2015</v>
      </c>
      <c r="E173" s="2797">
        <f>+E172/E159</f>
        <v>173.2266337234181</v>
      </c>
      <c r="F173" s="2797">
        <f t="shared" ref="F173:BF173" si="120">+F172/F159</f>
        <v>175.50067638067418</v>
      </c>
      <c r="G173" s="2797">
        <f t="shared" si="120"/>
        <v>173.2266337234181</v>
      </c>
      <c r="H173" s="2797">
        <f t="shared" si="120"/>
        <v>175.36969084006344</v>
      </c>
      <c r="I173" s="3058">
        <f>+I172/I159</f>
        <v>173.2266337234181</v>
      </c>
      <c r="J173" s="3058">
        <f>+J172/J159</f>
        <v>175.43293751113487</v>
      </c>
      <c r="K173" s="2797">
        <f t="shared" ref="K173:L173" si="121">+K172/K159</f>
        <v>173.2266337234181</v>
      </c>
      <c r="L173" s="2797">
        <f t="shared" si="121"/>
        <v>180.78318819611556</v>
      </c>
      <c r="M173" s="2797">
        <f t="shared" si="120"/>
        <v>173.2266337234181</v>
      </c>
      <c r="N173" s="2797">
        <f t="shared" si="120"/>
        <v>177.22397497300358</v>
      </c>
      <c r="O173" s="2797">
        <f t="shared" si="120"/>
        <v>173.2266337234181</v>
      </c>
      <c r="P173" s="2797">
        <f t="shared" si="120"/>
        <v>166.60494207520745</v>
      </c>
      <c r="Q173" s="2797">
        <f t="shared" si="120"/>
        <v>173.2266337234181</v>
      </c>
      <c r="R173" s="2797">
        <f t="shared" si="120"/>
        <v>174.12843058932449</v>
      </c>
      <c r="S173" s="2797">
        <f t="shared" ref="S173:T173" si="122">+S172/S159</f>
        <v>173.2266337234181</v>
      </c>
      <c r="T173" s="2797">
        <f t="shared" si="122"/>
        <v>179.84782409374301</v>
      </c>
      <c r="U173" s="2797">
        <f t="shared" si="120"/>
        <v>173.2266337234181</v>
      </c>
      <c r="V173" s="2797">
        <f t="shared" si="120"/>
        <v>175.23473129399821</v>
      </c>
      <c r="W173" s="2797">
        <f t="shared" si="120"/>
        <v>182.73063372341807</v>
      </c>
      <c r="X173" s="2797">
        <f t="shared" si="120"/>
        <v>175.16711517662628</v>
      </c>
      <c r="Y173" s="2797">
        <f t="shared" si="120"/>
        <v>175.32928859067474</v>
      </c>
      <c r="Z173" s="2797">
        <f t="shared" si="120"/>
        <v>173.41821754461242</v>
      </c>
      <c r="AA173" s="2797">
        <f t="shared" si="120"/>
        <v>174.20845190523627</v>
      </c>
      <c r="AB173" s="2797">
        <f t="shared" si="120"/>
        <v>175.22323469680995</v>
      </c>
      <c r="AC173" s="2797">
        <f t="shared" ref="AC173:AD173" si="123">+AC172/AC159</f>
        <v>173.2266337234181</v>
      </c>
      <c r="AD173" s="2797">
        <f t="shared" si="123"/>
        <v>184.71657918408374</v>
      </c>
      <c r="AE173" s="2797">
        <f t="shared" si="120"/>
        <v>174.06178310830387</v>
      </c>
      <c r="AF173" s="2797">
        <f t="shared" si="120"/>
        <v>176.27456094037652</v>
      </c>
      <c r="AG173" s="2797">
        <f t="shared" si="120"/>
        <v>173.2266337234181</v>
      </c>
      <c r="AH173" s="2797">
        <f t="shared" si="120"/>
        <v>188.14689518526794</v>
      </c>
      <c r="AI173" s="2797">
        <f t="shared" si="120"/>
        <v>173.95323922800526</v>
      </c>
      <c r="AJ173" s="2797">
        <f t="shared" si="120"/>
        <v>177.61832071119599</v>
      </c>
      <c r="AK173" s="2797">
        <f t="shared" ref="AK173:AL173" si="124">+AK172/AK159</f>
        <v>173.2266337234181</v>
      </c>
      <c r="AL173" s="2797">
        <f t="shared" si="124"/>
        <v>161.55802004286403</v>
      </c>
      <c r="AM173" s="861">
        <f t="shared" si="120"/>
        <v>173.2266337234181</v>
      </c>
      <c r="AN173" s="861">
        <f t="shared" si="120"/>
        <v>176.42980478632194</v>
      </c>
      <c r="AO173" s="860">
        <f t="shared" si="120"/>
        <v>173.86706499026445</v>
      </c>
      <c r="AP173" s="860">
        <f t="shared" si="120"/>
        <v>175.59799193415452</v>
      </c>
      <c r="AQ173" s="2794">
        <f t="shared" si="120"/>
        <v>173.2266337234181</v>
      </c>
      <c r="AR173" s="2794">
        <f t="shared" si="120"/>
        <v>166.14703071310072</v>
      </c>
      <c r="AS173" s="860">
        <f t="shared" si="120"/>
        <v>173.79847487865274</v>
      </c>
      <c r="AT173" s="860">
        <f t="shared" si="120"/>
        <v>174.52955024674489</v>
      </c>
      <c r="AU173" s="2794">
        <f t="shared" ref="AU173:AV173" si="125">+AU172/AU159</f>
        <v>173.22663372341808</v>
      </c>
      <c r="AV173" s="2794">
        <f t="shared" si="125"/>
        <v>174.09094431691548</v>
      </c>
      <c r="AW173" s="860">
        <f t="shared" si="120"/>
        <v>173.74825831178254</v>
      </c>
      <c r="AX173" s="860">
        <f t="shared" si="120"/>
        <v>174.49154325832836</v>
      </c>
      <c r="AY173" s="2794">
        <f t="shared" si="120"/>
        <v>173.2266337234181</v>
      </c>
      <c r="AZ173" s="2794">
        <f t="shared" si="120"/>
        <v>150.53650255517312</v>
      </c>
      <c r="BA173" s="861">
        <f t="shared" si="120"/>
        <v>173.2266337234181</v>
      </c>
      <c r="BB173" s="861">
        <f t="shared" si="120"/>
        <v>162.79331785067072</v>
      </c>
      <c r="BC173" s="488">
        <f t="shared" si="120"/>
        <v>173.2266337234181</v>
      </c>
      <c r="BD173" s="488">
        <f t="shared" si="120"/>
        <v>169.03570431740064</v>
      </c>
      <c r="BE173" s="860">
        <f t="shared" si="120"/>
        <v>173.70183372341808</v>
      </c>
      <c r="BF173" s="860">
        <f t="shared" si="120"/>
        <v>172.15413019399375</v>
      </c>
      <c r="BG173" s="1202"/>
      <c r="BH173" s="1520"/>
      <c r="BI173" s="1520"/>
      <c r="BJ173" s="26"/>
      <c r="BK173" s="26"/>
      <c r="BL173" s="26"/>
      <c r="BM173" s="26"/>
    </row>
    <row r="174" spans="1:65" ht="15" customHeight="1" x14ac:dyDescent="0.3">
      <c r="B174" s="9" t="s">
        <v>309</v>
      </c>
      <c r="C174" s="859"/>
      <c r="D174" s="2803" t="s">
        <v>301</v>
      </c>
      <c r="E174" s="2794">
        <f>EMD!D35/(EMD!D3*24)</f>
        <v>1.2757452008111396</v>
      </c>
      <c r="F174" s="2794">
        <f>EMD!E35/(EMD!E3*24)</f>
        <v>1.7189975872297982</v>
      </c>
      <c r="G174" s="2794">
        <f>EMD!F35/(EMD!F3*24)</f>
        <v>1.9192660357190869</v>
      </c>
      <c r="H174" s="2794">
        <f>EMD!G35/(EMD!G3*24)</f>
        <v>1.4005629876394965</v>
      </c>
      <c r="I174" s="860">
        <f t="shared" ref="I174:J177" si="126">+((E174*E$2)+(G174*G$2))/I$2</f>
        <v>1.6027803792069815</v>
      </c>
      <c r="J174" s="105">
        <f t="shared" si="126"/>
        <v>1.5571701677658745</v>
      </c>
      <c r="K174" s="2794">
        <f>EMD!J35/(EMD!J3*24)</f>
        <v>1.9335513199793837</v>
      </c>
      <c r="L174" s="2794">
        <f>EMD!K35/(EMD!K3*24)</f>
        <v>1.3309293574714225</v>
      </c>
      <c r="M174" s="861">
        <f t="shared" ref="M174:N177" si="127">+((E174*E$2)+(G174*G$2)+(K174*K$2))/M$2</f>
        <v>1.7118257442967844</v>
      </c>
      <c r="N174" s="861">
        <f t="shared" si="127"/>
        <v>1.48258528525122</v>
      </c>
      <c r="O174" s="2794">
        <f>EMD!N35/(EMD!N3*24)</f>
        <v>1.9207397746704657</v>
      </c>
      <c r="P174" s="2794">
        <f>EMD!O35/(EMD!O3*24)</f>
        <v>1.2567683539183148</v>
      </c>
      <c r="Q174" s="860">
        <f t="shared" ref="Q174:R177" si="128">+((M174*M$2)+(O174*O$2))/Q$2</f>
        <v>1.7649104569327199</v>
      </c>
      <c r="R174" s="860">
        <f t="shared" si="128"/>
        <v>1.4252055731912194</v>
      </c>
      <c r="S174" s="2794">
        <f>EMD!R35/(EMD!R3*24)</f>
        <v>1.9207397746704657</v>
      </c>
      <c r="T174" s="2794">
        <f>EMD!S35/(EMD!S3*24)</f>
        <v>1.405185454312772</v>
      </c>
      <c r="U174" s="860">
        <f t="shared" ref="U174:U177" si="129">+((Q174*Q$2)+(S174*S$2))/U$2</f>
        <v>1.7964837173893873</v>
      </c>
      <c r="V174" s="860">
        <f t="shared" ref="V174:V177" si="130">+((R174*R$2)+(T174*T$2))/V$2</f>
        <v>1.4211492092354554</v>
      </c>
      <c r="W174" s="2794">
        <f>EMD!V35/(EMD!V3*24)</f>
        <v>1.4547986462537776</v>
      </c>
      <c r="X174" s="2794">
        <f>EMD!W35/(EMD!W3*24)</f>
        <v>1.1269722222222223</v>
      </c>
      <c r="Y174" s="861">
        <f t="shared" ref="Y174:Z177" si="131">+((O174*O$2)+(S174*S$2)+(W174*W$2))/Y$2</f>
        <v>1.7688024501867632</v>
      </c>
      <c r="Z174" s="861">
        <f t="shared" si="131"/>
        <v>1.2644536382807647</v>
      </c>
      <c r="AA174" s="488">
        <f t="shared" ref="AA174:AB177" si="132">+((M174*M$2)+(Y174*Y$2))/AA$2</f>
        <v>1.7404697713015824</v>
      </c>
      <c r="AB174" s="488">
        <f t="shared" si="132"/>
        <v>1.3729234736595157</v>
      </c>
      <c r="AC174" s="2794">
        <f>EMD!AB35/(EMD!AB3*24)</f>
        <v>1.8450190830861386</v>
      </c>
      <c r="AD174" s="2794">
        <f>EMD!AC35/(EMD!AC3*24)</f>
        <v>0.92581989247311824</v>
      </c>
      <c r="AE174" s="860">
        <f t="shared" ref="AE174:AE177" si="133">+((AA174*AA$2)+(AC174*AC$2))/AE$2</f>
        <v>1.7556147650647658</v>
      </c>
      <c r="AF174" s="786">
        <f t="shared" ref="AF174:AF177" si="134">+((AB174*AB$2)+(AD174*AD$2))/AF$2</f>
        <v>1.3081561324596171</v>
      </c>
      <c r="AG174" s="2794">
        <f>EMD!AF35/(EMD!AF3*24)</f>
        <v>1.8882187984805543</v>
      </c>
      <c r="AH174" s="2794">
        <f>EMD!AG35/(EMD!AG3*24)</f>
        <v>1.1040555555555556</v>
      </c>
      <c r="AI174" s="860">
        <f t="shared" ref="AI174:AI177" si="135">+((AE174*AE$2)+(AG174*AG$2))/AI$2</f>
        <v>1.7719185396650676</v>
      </c>
      <c r="AJ174" s="860">
        <f t="shared" ref="AJ174:AJ177" si="136">+((AF174*AF$2)+(AH174*AH$2))/AJ$2</f>
        <v>1.2830617992337079</v>
      </c>
      <c r="AK174" s="2794">
        <f>EMD!AJ35/(EMD!AJ3*24)</f>
        <v>1.8916885124402647</v>
      </c>
      <c r="AL174" s="2794">
        <f>EMD!AK35/(EMD!AK3*24)</f>
        <v>1.0872888841477035</v>
      </c>
      <c r="AM174" s="861">
        <f t="shared" ref="AM174:AM177" si="137">+((AC174*AC$2)+(AG174*AG$2)+(AK174*AK$2))/AM$2</f>
        <v>1.8748315153884252</v>
      </c>
      <c r="AN174" s="861">
        <f t="shared" ref="AN174:AN177" si="138">+((AD174*AD$2)+(AH174*AH$2)+(AL174*AL$2))/AN$2</f>
        <v>1.0383482471946974</v>
      </c>
      <c r="AO174" s="860">
        <f t="shared" ref="AO174:AP177" si="139">+((AK174*AK$2)+(AI174*AI$2))/AO$2</f>
        <v>1.7854198820506353</v>
      </c>
      <c r="AP174" s="860">
        <f t="shared" si="139"/>
        <v>1.2609928524421947</v>
      </c>
      <c r="AQ174" s="2794">
        <f>EMD!AP35/(EMD!AP3*24)</f>
        <v>1.9089544816377637</v>
      </c>
      <c r="AR174" s="2794">
        <f>EMD!AQ35/(EMD!AQ3*24)</f>
        <v>0.85815860215053763</v>
      </c>
      <c r="AS174" s="860">
        <f t="shared" ref="AS174:AS177" si="140">+((AO174*AO$2)+(AQ174*AQ$2))/AS$2</f>
        <v>1.7979348251460634</v>
      </c>
      <c r="AT174" s="860">
        <f t="shared" ref="AT174:AT177" si="141">+((AP174*AP$2)+(AR174*AR$2))/AT$2</f>
        <v>1.2201828466936935</v>
      </c>
      <c r="AU174" s="2794">
        <f>EMD!AT35/(EMD!AT3*24)</f>
        <v>1.8600982761927081</v>
      </c>
      <c r="AV174" s="2794">
        <f>EMD!AU35/(EMD!AU3*24)</f>
        <v>1.0811160714285715</v>
      </c>
      <c r="AW174" s="860">
        <f t="shared" ref="AW174:AW177" si="142">+((AS174*AS$2)+(AU174*AU$2))/AW$2</f>
        <v>1.8031461324194349</v>
      </c>
      <c r="AX174" s="860">
        <f t="shared" ref="AX174:AX177" si="143">+((AT174*AT$2)+(AV174*AV$2))/AX$2</f>
        <v>1.2085245541564977</v>
      </c>
      <c r="AY174" s="2794">
        <f>EMD!AX35/(EMD!AX3*24)</f>
        <v>1.9003789755225988</v>
      </c>
      <c r="AZ174" s="2794">
        <f>EMD!AY35/(EMD!AY3*24)</f>
        <v>1.4538575268817204</v>
      </c>
      <c r="BA174" s="861">
        <f t="shared" ref="BA174:BA177" si="144">+((AQ174*AQ$2)+(AU174*AU$2)+(AY174*AY$2))/BA$2</f>
        <v>1.8908009878374119</v>
      </c>
      <c r="BB174" s="861">
        <f t="shared" ref="BB174:BB177" si="145">+((AR174*AR$2)+(AV174*AV$2)+(AZ174*AZ$2))/BB$2</f>
        <v>1.1327083333333332</v>
      </c>
      <c r="BC174" s="488">
        <f t="shared" ref="BC174:BD177" si="146">+((AM174*AM$2)+(BA174*BA$2))/BC$2</f>
        <v>0.9387851734824717</v>
      </c>
      <c r="BD174" s="488">
        <f t="shared" si="146"/>
        <v>0.54101859929291007</v>
      </c>
      <c r="BE174" s="860">
        <f t="shared" ref="BE174:BE177" si="147">+((AW174*AW$2)+(AY174*AY$2))/BE$2</f>
        <v>1.8114042642994297</v>
      </c>
      <c r="BF174" s="860">
        <f t="shared" ref="BF174:BF177" si="148">+((AX174*AX$2)+(AZ174*AZ$2))/BF$2</f>
        <v>1.2293610532098729</v>
      </c>
      <c r="BG174" s="1202"/>
      <c r="BH174" s="1520"/>
      <c r="BI174" s="1520"/>
      <c r="BJ174" s="26"/>
      <c r="BK174" s="26"/>
      <c r="BL174" s="26"/>
      <c r="BM174" s="26"/>
    </row>
    <row r="175" spans="1:65" x14ac:dyDescent="0.3">
      <c r="B175" s="9" t="s">
        <v>310</v>
      </c>
      <c r="C175" s="859"/>
      <c r="D175" s="2803" t="s">
        <v>301</v>
      </c>
      <c r="E175" s="2795">
        <f>+EMD!D65/(EMD!D3*24)</f>
        <v>2.5369070631268515</v>
      </c>
      <c r="F175" s="2795">
        <f>+EMD!E65/(EMD!E3*24)</f>
        <v>2.8579587439569933</v>
      </c>
      <c r="G175" s="2795">
        <f>+EMD!F65/(EMD!F3*24)</f>
        <v>3.5003978181423614</v>
      </c>
      <c r="H175" s="2795">
        <f>+EMD!G65/(EMD!G3*24)</f>
        <v>2.7043918087332703</v>
      </c>
      <c r="I175" s="786">
        <f t="shared" si="126"/>
        <v>3.0265499058396514</v>
      </c>
      <c r="J175" s="2806">
        <f t="shared" si="126"/>
        <v>2.7799165309744458</v>
      </c>
      <c r="K175" s="2795">
        <f>+EMD!J65/(EMD!J3*24)</f>
        <v>3.479479735798662</v>
      </c>
      <c r="L175" s="2795">
        <f>+EMD!K65/(EMD!K3*24)</f>
        <v>2.6376570524887413</v>
      </c>
      <c r="M175" s="861">
        <f t="shared" si="127"/>
        <v>3.1758674321997646</v>
      </c>
      <c r="N175" s="861">
        <f t="shared" si="127"/>
        <v>2.7330178018033342</v>
      </c>
      <c r="O175" s="2795">
        <f>+EMD!N65/(EMD!N3*24)</f>
        <v>3.4992227469083605</v>
      </c>
      <c r="P175" s="2795">
        <f>+EMD!O65/(EMD!O3*24)</f>
        <v>3.1067939169250067</v>
      </c>
      <c r="Q175" s="860">
        <f t="shared" si="128"/>
        <v>3.258031487576539</v>
      </c>
      <c r="R175" s="860">
        <f t="shared" si="128"/>
        <v>2.8279936999080215</v>
      </c>
      <c r="S175" s="2795">
        <f>+EMD!R65/(EMD!R3*24)</f>
        <v>3.4992227469083605</v>
      </c>
      <c r="T175" s="2795">
        <f>+EMD!S65/(EMD!S3*24)</f>
        <v>2.6059588568210632</v>
      </c>
      <c r="U175" s="860">
        <f t="shared" si="129"/>
        <v>3.3069003048267778</v>
      </c>
      <c r="V175" s="860">
        <f t="shared" si="130"/>
        <v>2.7830062480407292</v>
      </c>
      <c r="W175" s="2795">
        <f>+EMD!V65/(EMD!V3*24)</f>
        <v>2.182304680369167</v>
      </c>
      <c r="X175" s="2795">
        <f>+EMD!W65/(EMD!W3*24)</f>
        <v>2.6039861111111109</v>
      </c>
      <c r="Y175" s="861">
        <f t="shared" si="131"/>
        <v>3.0697929426021018</v>
      </c>
      <c r="Z175" s="861">
        <f t="shared" si="131"/>
        <v>2.7740752099941468</v>
      </c>
      <c r="AA175" s="488">
        <f t="shared" si="132"/>
        <v>3.1225403663911031</v>
      </c>
      <c r="AB175" s="488">
        <f t="shared" si="132"/>
        <v>2.7536586846096442</v>
      </c>
      <c r="AC175" s="2795">
        <f>+EMD!AB65/(EMD!AB3*24)</f>
        <v>3.3880965642394716</v>
      </c>
      <c r="AD175" s="2795">
        <f>+EMD!AC65/(EMD!AC3*24)</f>
        <v>2.5493010752688172</v>
      </c>
      <c r="AE175" s="860">
        <f t="shared" si="133"/>
        <v>3.1610087875747452</v>
      </c>
      <c r="AF175" s="786">
        <f t="shared" si="134"/>
        <v>2.7240554795182161</v>
      </c>
      <c r="AG175" s="2795">
        <f>+EMD!AF65/(EMD!AF3*24)</f>
        <v>4.0200505897834153</v>
      </c>
      <c r="AH175" s="2795">
        <f>+EMD!AG65/(EMD!AG3*24)</f>
        <v>1.7605138888888887</v>
      </c>
      <c r="AI175" s="860">
        <f t="shared" si="135"/>
        <v>3.2666286812889265</v>
      </c>
      <c r="AJ175" s="860">
        <f t="shared" si="136"/>
        <v>2.6055872511621514</v>
      </c>
      <c r="AK175" s="2795">
        <f>+EMD!AJ65/(EMD!AJ3*24)</f>
        <v>4.027738810811182</v>
      </c>
      <c r="AL175" s="2795">
        <f>+EMD!AK65/(EMD!AK3*24)</f>
        <v>2.4913152399890297</v>
      </c>
      <c r="AM175" s="861">
        <f t="shared" si="137"/>
        <v>3.8097001556529646</v>
      </c>
      <c r="AN175" s="861">
        <f t="shared" si="138"/>
        <v>2.2725491569528251</v>
      </c>
      <c r="AO175" s="860">
        <f t="shared" si="139"/>
        <v>3.3524265504350712</v>
      </c>
      <c r="AP175" s="860">
        <f t="shared" si="139"/>
        <v>2.592705678993545</v>
      </c>
      <c r="AQ175" s="2795">
        <f>+EMD!AP65/(EMD!AP3*24)</f>
        <v>4.0757515621838003</v>
      </c>
      <c r="AR175" s="2795">
        <f>+EMD!AQ65/(EMD!AQ3*24)</f>
        <v>2.8580376344086025</v>
      </c>
      <c r="AS175" s="860">
        <f t="shared" si="140"/>
        <v>3.4257045745011192</v>
      </c>
      <c r="AT175" s="860">
        <f t="shared" si="141"/>
        <v>2.6195857136924556</v>
      </c>
      <c r="AU175" s="2795">
        <f>+EMD!AT65/(EMD!AT3*24)</f>
        <v>4.0771547676092581</v>
      </c>
      <c r="AV175" s="2795">
        <f>+EMD!AU65/(EMD!AU3*24)</f>
        <v>2.2833630952380952</v>
      </c>
      <c r="AW175" s="860">
        <f t="shared" si="142"/>
        <v>3.4803171655401246</v>
      </c>
      <c r="AX175" s="860">
        <f t="shared" si="143"/>
        <v>2.5913993863968807</v>
      </c>
      <c r="AY175" s="2795">
        <f>+EMD!AX65/(EMD!AX3*24)</f>
        <v>3.5726243395610178</v>
      </c>
      <c r="AZ175" s="2795">
        <f>+EMD!AY65/(EMD!AY3*24)</f>
        <v>2.2599865591397852</v>
      </c>
      <c r="BA175" s="861">
        <f t="shared" si="144"/>
        <v>3.9028887383016513</v>
      </c>
      <c r="BB175" s="861">
        <f t="shared" si="145"/>
        <v>2.4732546296296301</v>
      </c>
      <c r="BC175" s="488">
        <f t="shared" si="146"/>
        <v>1.9226093171704695</v>
      </c>
      <c r="BD175" s="488">
        <f t="shared" si="146"/>
        <v>1.1826505180995248</v>
      </c>
      <c r="BE175" s="860">
        <f t="shared" si="147"/>
        <v>3.4881569529227212</v>
      </c>
      <c r="BF175" s="860">
        <f t="shared" si="148"/>
        <v>2.5632519955887436</v>
      </c>
      <c r="BG175" s="1202"/>
      <c r="BH175" s="1520"/>
      <c r="BI175" s="1520"/>
      <c r="BJ175" s="26"/>
      <c r="BK175" s="26"/>
      <c r="BL175" s="26"/>
      <c r="BM175" s="26"/>
    </row>
    <row r="176" spans="1:65" x14ac:dyDescent="0.3">
      <c r="B176" s="9" t="s">
        <v>1890</v>
      </c>
      <c r="C176" s="859"/>
      <c r="D176" s="2803" t="s">
        <v>301</v>
      </c>
      <c r="E176" s="2795">
        <f>+EMD!D91/(EMD!D3*24)</f>
        <v>2.0930194700807765</v>
      </c>
      <c r="F176" s="2795">
        <f>+EMD!E91/(EMD!E3*24)</f>
        <v>1.9470027966705756</v>
      </c>
      <c r="G176" s="2795">
        <f>+EMD!F91/(EMD!F3*24)</f>
        <v>0.59358743372755263</v>
      </c>
      <c r="H176" s="2795">
        <f>+EMD!G91/(EMD!G3*24)</f>
        <v>2.6168685584345672</v>
      </c>
      <c r="I176" s="786">
        <f t="shared" ref="I176" si="149">+((E176*E$2)+(G176*G$2))/I$2</f>
        <v>1.331013025376679</v>
      </c>
      <c r="J176" s="2806">
        <f t="shared" ref="J176" si="150">+((F176*F$2)+(H176*H$2))/J$2</f>
        <v>2.2874263805178505</v>
      </c>
      <c r="K176" s="2795">
        <f>+EMD!J91/(EMD!J3*24)</f>
        <v>0.59800556288022189</v>
      </c>
      <c r="L176" s="2795">
        <f>+EMD!K91/(EMD!K3*24)</f>
        <v>2.4254374067712718</v>
      </c>
      <c r="M176" s="861">
        <f t="shared" ref="M176" si="151">+((E176*E$2)+(G176*G$2)+(K176*K$2))/M$2</f>
        <v>1.0893622135646603</v>
      </c>
      <c r="N176" s="861">
        <f t="shared" ref="N176" si="152">+((F176*F$2)+(H176*H$2)+(L176*L$2))/N$2</f>
        <v>2.3329245210409564</v>
      </c>
      <c r="O176" s="2795">
        <f>+EMD!N91/(EMD!N3*24)</f>
        <v>0.59404322927952558</v>
      </c>
      <c r="P176" s="2795">
        <f>+EMD!O91/(EMD!O3*24)</f>
        <v>2.323436725450891</v>
      </c>
      <c r="Q176" s="860">
        <f t="shared" ref="Q176" si="153">+((M176*M$2)+(O176*O$2))/Q$2</f>
        <v>0.96350247165614245</v>
      </c>
      <c r="R176" s="860">
        <f t="shared" ref="R176" si="154">+((N176*N$2)+(P176*P$2))/R$2</f>
        <v>2.3305136877352841</v>
      </c>
      <c r="S176" s="2795">
        <f>+EMD!R91/(EMD!R3*24)</f>
        <v>0.59404322927952558</v>
      </c>
      <c r="T176" s="2795">
        <f>+EMD!S91/(EMD!S3*24)</f>
        <v>2.1189367707552327</v>
      </c>
      <c r="U176" s="860">
        <f t="shared" ref="U176" si="155">+((Q176*Q$2)+(S176*S$2))/U$2</f>
        <v>0.88864471666480171</v>
      </c>
      <c r="V176" s="860">
        <f t="shared" ref="V176" si="156">+((R176*R$2)+(T176*T$2))/V$2</f>
        <v>2.2876451620726597</v>
      </c>
      <c r="W176" s="2795">
        <f>+EMD!V91/(EMD!V3*24)</f>
        <v>0</v>
      </c>
      <c r="X176" s="2795">
        <f>+EMD!W91/(EMD!W3*24)</f>
        <v>2.8788888888888891</v>
      </c>
      <c r="Y176" s="861">
        <f t="shared" ref="Y176" si="157">+((O176*O$2)+(S176*S$2)+(W176*W$2))/Y$2</f>
        <v>0.40033348060141943</v>
      </c>
      <c r="Z176" s="861">
        <f t="shared" ref="Z176" si="158">+((P176*P$2)+(T176*T$2)+(X176*X$2))/Z$2</f>
        <v>2.4356548374897447</v>
      </c>
      <c r="AA176" s="488">
        <f t="shared" ref="AA176" si="159">+((M176*M$2)+(Y176*Y$2))/AA$2</f>
        <v>0.74296525491647358</v>
      </c>
      <c r="AB176" s="488">
        <f t="shared" ref="AB176" si="160">+((N176*N$2)+(Z176*Z$2))/AB$2</f>
        <v>2.3845703631900741</v>
      </c>
      <c r="AC176" s="2795">
        <f>+EMD!AB91/(EMD!AB3*24)</f>
        <v>0.57062445868643474</v>
      </c>
      <c r="AD176" s="2795">
        <f>+EMD!AC91/(EMD!AC3*24)</f>
        <v>1.9443548387096774</v>
      </c>
      <c r="AE176" s="860">
        <f t="shared" ref="AE176" si="161">+((AA176*AA$2)+(AC176*AC$2))/AE$2</f>
        <v>0.71799999938782311</v>
      </c>
      <c r="AF176" s="786">
        <f t="shared" ref="AF176" si="162">+((AB176*AB$2)+(AD176*AD$2))/AF$2</f>
        <v>2.3208008245971192</v>
      </c>
      <c r="AG176" s="2795">
        <f>+EMD!AF91/(EMD!AF3*24)</f>
        <v>0</v>
      </c>
      <c r="AH176" s="2795">
        <f>+EMD!AG91/(EMD!AG3*24)</f>
        <v>3.6506944444444445</v>
      </c>
      <c r="AI176" s="860">
        <f t="shared" ref="AI176" si="163">+((AE176*AE$2)+(AG176*AG$2))/AI$2</f>
        <v>0.62972131093850059</v>
      </c>
      <c r="AJ176" s="860">
        <f t="shared" ref="AJ176" si="164">+((AF176*AF$2)+(AH176*AH$2))/AJ$2</f>
        <v>2.4843123352340855</v>
      </c>
      <c r="AK176" s="2795">
        <f>+EMD!AJ91/(EMD!AJ3*24)</f>
        <v>0</v>
      </c>
      <c r="AL176" s="2795">
        <f>+EMD!AK91/(EMD!AK3*24)</f>
        <v>4.2466146598951884</v>
      </c>
      <c r="AM176" s="861">
        <f t="shared" ref="AM176" si="165">+((AC176*AC$2)+(AG176*AG$2)+(AK176*AK$2))/AM$2</f>
        <v>0.19227563281825519</v>
      </c>
      <c r="AN176" s="861">
        <f t="shared" ref="AN176" si="166">+((AD176*AD$2)+(AH176*AH$2)+(AL176*AL$2))/AN$2</f>
        <v>3.276531389022654</v>
      </c>
      <c r="AO176" s="860">
        <f t="shared" ref="AO176" si="167">+((AK176*AK$2)+(AI176*AI$2))/AO$2</f>
        <v>0.55873454497816055</v>
      </c>
      <c r="AP176" s="860">
        <f t="shared" ref="AP176" si="168">+((AL176*AL$2)+(AJ176*AJ$2))/AP$2</f>
        <v>2.6829718700140641</v>
      </c>
      <c r="AQ176" s="2795">
        <f>+EMD!AP91/(EMD!AP3*24)</f>
        <v>0</v>
      </c>
      <c r="AR176" s="2795">
        <f>+EMD!AQ91/(EMD!AQ3*24)</f>
        <v>3.9899193548387095</v>
      </c>
      <c r="AS176" s="860">
        <f t="shared" ref="AS176" si="169">+((AO176*AO$2)+(AQ176*AQ$2))/AS$2</f>
        <v>0.50213071852612468</v>
      </c>
      <c r="AT176" s="860">
        <f t="shared" ref="AT176" si="170">+((AP176*AP$2)+(AR176*AR$2))/AT$2</f>
        <v>2.8153750465812668</v>
      </c>
      <c r="AU176" s="2795">
        <f>+EMD!AT91/(EMD!AT3*24)</f>
        <v>0</v>
      </c>
      <c r="AV176" s="2795">
        <f>+EMD!AU91/(EMD!AU3*24)</f>
        <v>3.3541666666666665</v>
      </c>
      <c r="AW176" s="860">
        <f t="shared" si="142"/>
        <v>0.4600359277514795</v>
      </c>
      <c r="AX176" s="860">
        <f t="shared" si="143"/>
        <v>2.8605432063489049</v>
      </c>
      <c r="AY176" s="2795">
        <f>+EMD!AX91/(EMD!AX3*24)</f>
        <v>0.58774607490389652</v>
      </c>
      <c r="AZ176" s="2795">
        <f>+EMD!AY91/(EMD!AY3*24)</f>
        <v>3.3706989247311832</v>
      </c>
      <c r="BA176" s="861">
        <f>+EMD!AZ91/(EMD!AZ3*24)</f>
        <v>0.20244587024467545</v>
      </c>
      <c r="BB176" s="861">
        <f>+EMD!BA91/(EMD!BA3*24)</f>
        <v>3.5788425925925926</v>
      </c>
      <c r="BC176" s="488">
        <f>+EMD!BB91/(EMD!BB3*24)</f>
        <v>0.19730487110604542</v>
      </c>
      <c r="BD176" s="488">
        <f>+EMD!BC91/(EMD!BC3*24)</f>
        <v>3.4260259402385573</v>
      </c>
      <c r="BE176" s="860">
        <f>+EMD!BD91/(EMD!BD3*24)</f>
        <v>0.47088254298908211</v>
      </c>
      <c r="BF176" s="860">
        <f>+EMD!BE91/(EMD!BE3*24)</f>
        <v>2.9038715002389068</v>
      </c>
      <c r="BG176" s="1202"/>
      <c r="BH176" s="1520"/>
      <c r="BI176" s="1520"/>
      <c r="BJ176" s="26"/>
      <c r="BK176" s="26"/>
      <c r="BL176" s="26"/>
      <c r="BM176" s="26"/>
    </row>
    <row r="177" spans="2:65" x14ac:dyDescent="0.3">
      <c r="B177" s="9" t="s">
        <v>623</v>
      </c>
      <c r="C177" s="859"/>
      <c r="D177" s="2803" t="s">
        <v>301</v>
      </c>
      <c r="E177" s="2795">
        <f>+EMD!D104/(EMD!D3*24)</f>
        <v>0.77671820308815032</v>
      </c>
      <c r="F177" s="2795">
        <f>+EMD!E104/(EMD!E3*24)</f>
        <v>0.72887849082236555</v>
      </c>
      <c r="G177" s="2795">
        <f>+EMD!F104/(EMD!F3*24)</f>
        <v>0.68181870632457209</v>
      </c>
      <c r="H177" s="2795">
        <f>+EMD!G104/(EMD!G3*24)</f>
        <v>0.82305615540625088</v>
      </c>
      <c r="I177" s="786">
        <f t="shared" si="126"/>
        <v>0.72849058997879079</v>
      </c>
      <c r="J177" s="2806">
        <f t="shared" si="126"/>
        <v>0.7767392711846679</v>
      </c>
      <c r="K177" s="2795">
        <f>+EMD!J104/(EMD!J3*24)</f>
        <v>0.67135331844865054</v>
      </c>
      <c r="L177" s="2795">
        <f>+EMD!K104/(EMD!K3*24)</f>
        <v>0.85493005304187475</v>
      </c>
      <c r="M177" s="861">
        <f t="shared" si="127"/>
        <v>0.70965412683698625</v>
      </c>
      <c r="N177" s="861">
        <f t="shared" si="127"/>
        <v>0.80251645201671418</v>
      </c>
      <c r="O177" s="2795">
        <f>+EMD!N104/(EMD!N3*24)</f>
        <v>0.68106424305522151</v>
      </c>
      <c r="P177" s="2795">
        <f>+EMD!O104/(EMD!O3*24)</f>
        <v>0.97368846012228227</v>
      </c>
      <c r="Q177" s="860">
        <f t="shared" si="128"/>
        <v>0.70238948423670178</v>
      </c>
      <c r="R177" s="860">
        <f t="shared" si="128"/>
        <v>0.84601097866648967</v>
      </c>
      <c r="S177" s="2795">
        <f>+EMD!R104/(EMD!R3*24)</f>
        <v>0.68106424305522151</v>
      </c>
      <c r="T177" s="2795">
        <f>+EMD!S104/(EMD!S3*24)</f>
        <v>0.80047997584738484</v>
      </c>
      <c r="U177" s="860">
        <f t="shared" si="129"/>
        <v>0.69806868373587894</v>
      </c>
      <c r="V177" s="860">
        <f t="shared" si="130"/>
        <v>0.83678574280118079</v>
      </c>
      <c r="W177" s="2795">
        <f>+EMD!V104/(EMD!V3*24)</f>
        <v>0.29371428343994865</v>
      </c>
      <c r="X177" s="2795">
        <f>+EMD!W104/(EMD!W3*24)</f>
        <v>0.91180277777777785</v>
      </c>
      <c r="Y177" s="861">
        <f t="shared" si="131"/>
        <v>0.5547544736154586</v>
      </c>
      <c r="Z177" s="861">
        <f t="shared" si="131"/>
        <v>0.89514461791731537</v>
      </c>
      <c r="AA177" s="488">
        <f t="shared" si="132"/>
        <v>0.63178107712998877</v>
      </c>
      <c r="AB177" s="488">
        <f t="shared" si="132"/>
        <v>0.84908361738750815</v>
      </c>
      <c r="AC177" s="2795">
        <f>+EMD!AB104/(EMD!AB3*24)</f>
        <v>0.66308886538174683</v>
      </c>
      <c r="AD177" s="2795">
        <f>+EMD!AC104/(EMD!AC3*24)</f>
        <v>0.84421774193548382</v>
      </c>
      <c r="AE177" s="786">
        <f t="shared" si="133"/>
        <v>0.63631631748421547</v>
      </c>
      <c r="AF177" s="860">
        <f t="shared" si="134"/>
        <v>0.84837874757903731</v>
      </c>
      <c r="AG177" s="2795">
        <f>+EMD!AF104/(EMD!AF3*24)</f>
        <v>0.77412054884294812</v>
      </c>
      <c r="AH177" s="2795">
        <f>+EMD!AG104/(EMD!AG3*24)</f>
        <v>0.91503055555555557</v>
      </c>
      <c r="AI177" s="786">
        <f t="shared" si="135"/>
        <v>0.6532594606840596</v>
      </c>
      <c r="AJ177" s="860">
        <f t="shared" si="136"/>
        <v>0.85657364200237973</v>
      </c>
      <c r="AK177" s="2795">
        <f>+EMD!AJ104/(EMD!AJ3*24)</f>
        <v>0.77564267066212633</v>
      </c>
      <c r="AL177" s="2795">
        <f>+EMD!AK104/(EMD!AK3*24)</f>
        <v>1.3112298805856688</v>
      </c>
      <c r="AM177" s="861">
        <f t="shared" si="137"/>
        <v>0.73722058785487521</v>
      </c>
      <c r="AN177" s="861">
        <f t="shared" si="138"/>
        <v>1.024671662661113</v>
      </c>
      <c r="AO177" s="860">
        <f t="shared" si="139"/>
        <v>0.66705538617249616</v>
      </c>
      <c r="AP177" s="860">
        <f t="shared" si="139"/>
        <v>0.90782579980631417</v>
      </c>
      <c r="AQ177" s="2795">
        <f>+EMD!AP104/(EMD!AP3*24)</f>
        <v>0.77564267066212633</v>
      </c>
      <c r="AR177" s="2795">
        <f>+EMD!AQ104/(EMD!AQ3*24)</f>
        <v>1.2594811827956989</v>
      </c>
      <c r="AS177" s="860">
        <f t="shared" si="140"/>
        <v>0.67805605878419073</v>
      </c>
      <c r="AT177" s="860">
        <f t="shared" si="141"/>
        <v>0.94345101834445444</v>
      </c>
      <c r="AU177" s="2795">
        <f>+EMD!AT104/(EMD!AT3*24)</f>
        <v>0.80129143059156505</v>
      </c>
      <c r="AV177" s="2795">
        <f>+EMD!AU104/(EMD!AU3*24)</f>
        <v>0.87912053571428572</v>
      </c>
      <c r="AW177" s="860">
        <f t="shared" si="142"/>
        <v>0.68838716779798259</v>
      </c>
      <c r="AX177" s="860">
        <f t="shared" si="143"/>
        <v>0.93805804375270385</v>
      </c>
      <c r="AY177" s="2795">
        <f>+EMD!AX104/(EMD!AX3*24)</f>
        <v>0.71040094476598603</v>
      </c>
      <c r="AZ177" s="2795">
        <f>+EMD!AY104/(EMD!AY3*24)</f>
        <v>0.75112634408602141</v>
      </c>
      <c r="BA177" s="861">
        <f t="shared" si="144"/>
        <v>0.7611501348315034</v>
      </c>
      <c r="BB177" s="861">
        <f t="shared" si="145"/>
        <v>0.96604675925925931</v>
      </c>
      <c r="BC177" s="488">
        <f t="shared" si="146"/>
        <v>0.37350083895201053</v>
      </c>
      <c r="BD177" s="488">
        <f t="shared" si="146"/>
        <v>0.49647671588535813</v>
      </c>
      <c r="BE177" s="860">
        <f t="shared" si="147"/>
        <v>0.69025683104731994</v>
      </c>
      <c r="BF177" s="860">
        <f t="shared" si="148"/>
        <v>0.92218165282210895</v>
      </c>
      <c r="BG177" s="1202"/>
      <c r="BH177" s="1520"/>
      <c r="BI177" s="1520"/>
      <c r="BJ177" s="26"/>
      <c r="BK177" s="26"/>
      <c r="BL177" s="26"/>
      <c r="BM177" s="26"/>
    </row>
    <row r="178" spans="2:65" ht="15" thickBot="1" x14ac:dyDescent="0.35">
      <c r="B178" s="12" t="s">
        <v>312</v>
      </c>
      <c r="C178" s="865"/>
      <c r="D178" s="742" t="s">
        <v>551</v>
      </c>
      <c r="E178" s="2796">
        <f>+E159/E169</f>
        <v>79.365079365079367</v>
      </c>
      <c r="F178" s="2796">
        <f t="shared" ref="F178:AB178" si="171">+F159/F169</f>
        <v>78.355350986315997</v>
      </c>
      <c r="G178" s="2796">
        <f>+G159/G169</f>
        <v>79.51567723863738</v>
      </c>
      <c r="H178" s="2796">
        <f t="shared" ref="H178" si="172">+H159/H169</f>
        <v>73.807689903094698</v>
      </c>
      <c r="I178" s="2807">
        <f t="shared" si="171"/>
        <v>79.441612710658035</v>
      </c>
      <c r="J178" s="161">
        <f t="shared" si="171"/>
        <v>75.935730561330544</v>
      </c>
      <c r="K178" s="2796">
        <f>+K159/K169</f>
        <v>79.365079365079367</v>
      </c>
      <c r="L178" s="2796">
        <f t="shared" ref="L178" si="173">+L159/L169</f>
        <v>72.744229490548719</v>
      </c>
      <c r="M178" s="864">
        <f>+M159/M169</f>
        <v>79.416381937390341</v>
      </c>
      <c r="N178" s="372">
        <f>+N159/N169</f>
        <v>74.836620578357369</v>
      </c>
      <c r="O178" s="2796">
        <f>+O159/O169</f>
        <v>79.51567723863738</v>
      </c>
      <c r="P178" s="2796">
        <f t="shared" ref="P178" si="174">+P159/P169</f>
        <v>81.731808972503629</v>
      </c>
      <c r="Q178" s="786">
        <f t="shared" si="171"/>
        <v>79.441612710658035</v>
      </c>
      <c r="R178" s="370">
        <f t="shared" si="171"/>
        <v>76.723461483628768</v>
      </c>
      <c r="S178" s="2796">
        <f>+S159/S169</f>
        <v>79.51567723863738</v>
      </c>
      <c r="T178" s="2796">
        <f t="shared" ref="T178" si="175">+T159/T169</f>
        <v>74.194404522372338</v>
      </c>
      <c r="U178" s="786">
        <f t="shared" ref="U178:V178" si="176">+U159/U169</f>
        <v>79.456619249006806</v>
      </c>
      <c r="V178" s="370">
        <f t="shared" si="176"/>
        <v>76.220905127277589</v>
      </c>
      <c r="W178" s="2796">
        <f>+W159/W169</f>
        <v>72.150072150072148</v>
      </c>
      <c r="X178" s="2796">
        <f t="shared" ref="X178" si="177">+X159/X169</f>
        <v>74.178997829233012</v>
      </c>
      <c r="Y178" s="864">
        <f t="shared" si="171"/>
        <v>77.759427470410131</v>
      </c>
      <c r="Z178" s="372">
        <f t="shared" si="171"/>
        <v>76.818952024154584</v>
      </c>
      <c r="AA178" s="787">
        <f t="shared" si="171"/>
        <v>78.63397832691588</v>
      </c>
      <c r="AB178" s="488">
        <f t="shared" si="171"/>
        <v>75.865829912392471</v>
      </c>
      <c r="AC178" s="2796">
        <f>+AC159/AC169</f>
        <v>76.804915514592935</v>
      </c>
      <c r="AD178" s="2796">
        <f t="shared" ref="AD178" si="178">+AD159/AD169</f>
        <v>77.468532370389482</v>
      </c>
      <c r="AE178" s="786">
        <f t="shared" ref="AE178:AF178" si="179">+AE159/AE169</f>
        <v>78.35522873116858</v>
      </c>
      <c r="AF178" s="370">
        <f t="shared" si="179"/>
        <v>76.040045981523306</v>
      </c>
      <c r="AG178" s="2796">
        <f>+AG159/AG169</f>
        <v>79.365079365079367</v>
      </c>
      <c r="AH178" s="2796">
        <f t="shared" ref="AH178" si="180">+AH159/AH169</f>
        <v>73.605578395236748</v>
      </c>
      <c r="AI178" s="786">
        <f t="shared" ref="AI178:AJ178" si="181">+AI159/AI169</f>
        <v>78.485023041474662</v>
      </c>
      <c r="AJ178" s="370">
        <f t="shared" si="181"/>
        <v>75.756451086844351</v>
      </c>
      <c r="AK178" s="2796">
        <f>+AK159/AK169</f>
        <v>79.51567723863738</v>
      </c>
      <c r="AL178" s="2796">
        <f t="shared" ref="AL178" si="182">+AL159/AL169</f>
        <v>80.965319514289234</v>
      </c>
      <c r="AM178" s="864">
        <f t="shared" ref="AM178:AP178" si="183">+AM159/AM169</f>
        <v>78.553160394592624</v>
      </c>
      <c r="AN178" s="372">
        <f t="shared" si="183"/>
        <v>77.52846949696756</v>
      </c>
      <c r="AO178" s="786">
        <f t="shared" si="183"/>
        <v>78.605858361142012</v>
      </c>
      <c r="AP178" s="370">
        <f t="shared" si="183"/>
        <v>76.374554901810981</v>
      </c>
      <c r="AQ178" s="2796">
        <f>+AQ159/AQ169</f>
        <v>80.419264479985543</v>
      </c>
      <c r="AR178" s="2796">
        <f t="shared" ref="AR178" si="184">+AR159/AR169</f>
        <v>79.515336146941721</v>
      </c>
      <c r="AS178" s="786">
        <f t="shared" ref="AS178:AT178" si="185">+AS159/AS169</f>
        <v>78.796154064971262</v>
      </c>
      <c r="AT178" s="370">
        <f t="shared" si="185"/>
        <v>76.717128565547114</v>
      </c>
      <c r="AU178" s="2796">
        <f>+AU159/AU169</f>
        <v>80.032012805122051</v>
      </c>
      <c r="AV178" s="2796">
        <f t="shared" ref="AV178" si="186">+AV159/AV169</f>
        <v>73.201682316118962</v>
      </c>
      <c r="AW178" s="786">
        <f t="shared" ref="AW178:AX178" si="187">+AW159/AW169</f>
        <v>78.90315092934226</v>
      </c>
      <c r="AX178" s="370">
        <f t="shared" si="187"/>
        <v>76.39919444485399</v>
      </c>
      <c r="AY178" s="2796">
        <f>+AY159/AY169</f>
        <v>80.419264479985543</v>
      </c>
      <c r="AZ178" s="2796">
        <f t="shared" ref="AZ178" si="188">+AZ159/AZ169</f>
        <v>85.084307710997052</v>
      </c>
      <c r="BA178" s="864">
        <f t="shared" ref="BA178:BF178" si="189">+BA159/BA169</f>
        <v>80.298786181139121</v>
      </c>
      <c r="BB178" s="372">
        <f t="shared" si="189"/>
        <v>79.409594323615622</v>
      </c>
      <c r="BC178" s="787">
        <f t="shared" si="189"/>
        <v>79.416381937390341</v>
      </c>
      <c r="BD178" s="488">
        <f t="shared" si="189"/>
        <v>78.537265282488221</v>
      </c>
      <c r="BE178" s="786">
        <f t="shared" si="189"/>
        <v>79.035763683066577</v>
      </c>
      <c r="BF178" s="370">
        <f t="shared" si="189"/>
        <v>77.167794942914313</v>
      </c>
      <c r="BG178" s="1202"/>
      <c r="BH178" s="1520"/>
      <c r="BI178" s="1520"/>
      <c r="BJ178" s="26"/>
      <c r="BK178" s="26"/>
      <c r="BL178" s="26"/>
      <c r="BM178" s="26"/>
    </row>
    <row r="179" spans="2:65" ht="15" thickBot="1" x14ac:dyDescent="0.35">
      <c r="B179" s="1040"/>
      <c r="C179" s="1041"/>
      <c r="D179" s="1041"/>
      <c r="E179" s="1041"/>
      <c r="F179" s="1041"/>
      <c r="G179" s="1041"/>
      <c r="H179" s="1041"/>
      <c r="I179" s="1041"/>
      <c r="J179" s="1041"/>
      <c r="K179" s="1041"/>
      <c r="L179" s="1041"/>
      <c r="M179" s="1041"/>
      <c r="N179" s="1041"/>
      <c r="O179" s="1041"/>
      <c r="P179" s="1041"/>
      <c r="Q179" s="1041"/>
      <c r="R179" s="1041"/>
      <c r="S179" s="1041"/>
      <c r="T179" s="1041"/>
      <c r="U179" s="1041"/>
      <c r="V179" s="1041"/>
      <c r="W179" s="1041"/>
      <c r="X179" s="1041"/>
      <c r="Y179" s="1042"/>
      <c r="Z179" s="1042"/>
      <c r="AA179" s="1042"/>
      <c r="AB179" s="1042"/>
      <c r="AC179" s="1041"/>
      <c r="AD179" s="1041"/>
      <c r="AE179" s="1041"/>
      <c r="AF179" s="1041"/>
      <c r="AG179" s="1041"/>
      <c r="AH179" s="1041"/>
      <c r="AI179" s="1041"/>
      <c r="AJ179" s="1041"/>
      <c r="AK179" s="1041"/>
      <c r="AL179" s="1041"/>
      <c r="AM179" s="1042"/>
      <c r="AN179" s="1042"/>
      <c r="AO179" s="1041"/>
      <c r="AP179" s="1041"/>
      <c r="AQ179" s="1041"/>
      <c r="AR179" s="1041"/>
      <c r="AS179" s="1041"/>
      <c r="AT179" s="1041"/>
      <c r="AU179" s="1041"/>
      <c r="AV179" s="1041"/>
      <c r="AW179" s="1041"/>
      <c r="AX179" s="1041"/>
      <c r="AY179" s="1041"/>
      <c r="AZ179" s="1041"/>
      <c r="BA179" s="1042"/>
      <c r="BB179" s="1042"/>
      <c r="BC179" s="1042"/>
      <c r="BD179" s="1042"/>
      <c r="BE179" s="1041"/>
      <c r="BF179" s="1041"/>
      <c r="BG179" s="1202"/>
      <c r="BH179" s="1520"/>
      <c r="BI179" s="1520"/>
      <c r="BJ179" s="26"/>
      <c r="BK179" s="26"/>
      <c r="BL179" s="26"/>
      <c r="BM179" s="26"/>
    </row>
    <row r="180" spans="2:65" ht="15" thickBot="1" x14ac:dyDescent="0.35">
      <c r="B180" s="1043" t="s">
        <v>798</v>
      </c>
      <c r="C180" s="1044"/>
      <c r="D180" s="811" t="s">
        <v>50</v>
      </c>
      <c r="E180" s="1044"/>
      <c r="F180" s="1045">
        <v>304.28999999999985</v>
      </c>
      <c r="G180" s="1044"/>
      <c r="H180" s="1045">
        <v>426.4199999999999</v>
      </c>
      <c r="I180" s="1046"/>
      <c r="J180" s="1047">
        <f>+F180+H180</f>
        <v>730.70999999999981</v>
      </c>
      <c r="K180" s="1044"/>
      <c r="L180" s="1045">
        <v>542.33999999999992</v>
      </c>
      <c r="M180" s="1048"/>
      <c r="N180" s="613">
        <f>+F180+H180+L180</f>
        <v>1273.0499999999997</v>
      </c>
      <c r="O180" s="1044"/>
      <c r="P180" s="1045">
        <v>391.22999999999985</v>
      </c>
      <c r="Q180" s="1046"/>
      <c r="R180" s="368">
        <f>+N180+P180</f>
        <v>1664.2799999999995</v>
      </c>
      <c r="S180" s="1044"/>
      <c r="T180" s="1045">
        <v>364.31999999999994</v>
      </c>
      <c r="U180" s="1046"/>
      <c r="V180" s="368">
        <f>+R180+T180</f>
        <v>2028.5999999999995</v>
      </c>
      <c r="W180" s="1044"/>
      <c r="X180" s="1045">
        <v>440.74999999999983</v>
      </c>
      <c r="Y180" s="1049"/>
      <c r="Z180" s="72">
        <f>P180+T180+X180</f>
        <v>1196.2999999999995</v>
      </c>
      <c r="AA180" s="1050"/>
      <c r="AB180" s="453">
        <f>N180+Z180</f>
        <v>2469.3499999999995</v>
      </c>
      <c r="AC180" s="1044"/>
      <c r="AD180" s="1045">
        <v>291.09999999999991</v>
      </c>
      <c r="AE180" s="1046"/>
      <c r="AF180" s="368">
        <f>+AB180+AD180</f>
        <v>2760.4499999999994</v>
      </c>
      <c r="AG180" s="1044"/>
      <c r="AH180" s="1045">
        <v>274.7</v>
      </c>
      <c r="AI180" s="1046"/>
      <c r="AJ180" s="368">
        <f>+AF180+AH180</f>
        <v>3035.1499999999992</v>
      </c>
      <c r="AK180" s="1044"/>
      <c r="AL180" s="1045">
        <v>377.2</v>
      </c>
      <c r="AM180" s="1049"/>
      <c r="AN180" s="72">
        <f>AD180+AH180+AL180</f>
        <v>943</v>
      </c>
      <c r="AO180" s="1046"/>
      <c r="AP180" s="368">
        <f>+AL180+AJ180</f>
        <v>3412.349999999999</v>
      </c>
      <c r="AQ180" s="1044"/>
      <c r="AR180" s="1045">
        <v>254.19999999999996</v>
      </c>
      <c r="AS180" s="1046"/>
      <c r="AT180" s="368">
        <f t="shared" ref="AT180:AT182" si="190">+AP180+AR180</f>
        <v>3666.5499999999988</v>
      </c>
      <c r="AU180" s="1044"/>
      <c r="AV180" s="1045">
        <v>278.7999999999999</v>
      </c>
      <c r="AW180" s="1046"/>
      <c r="AX180" s="368">
        <f>+AT180+AV180</f>
        <v>3945.3499999999985</v>
      </c>
      <c r="AY180" s="1044"/>
      <c r="AZ180" s="1045">
        <v>371.04999999999995</v>
      </c>
      <c r="BA180" s="1049"/>
      <c r="BB180" s="72">
        <f>AR180+AV180+AZ180</f>
        <v>904.04999999999984</v>
      </c>
      <c r="BC180" s="1050"/>
      <c r="BD180" s="453">
        <f>AN180+BB180</f>
        <v>1847.0499999999997</v>
      </c>
      <c r="BE180" s="1046"/>
      <c r="BF180" s="368">
        <f>+AX180+AZ180</f>
        <v>4316.3999999999987</v>
      </c>
      <c r="BG180" s="1202"/>
      <c r="BH180" s="1520">
        <f t="shared" si="57"/>
        <v>0</v>
      </c>
      <c r="BI180" s="1520">
        <f t="shared" si="58"/>
        <v>0</v>
      </c>
      <c r="BJ180" s="26">
        <f t="shared" si="59"/>
        <v>0</v>
      </c>
      <c r="BK180" s="26">
        <f t="shared" si="60"/>
        <v>0</v>
      </c>
      <c r="BL180" s="26">
        <f t="shared" si="61"/>
        <v>0</v>
      </c>
      <c r="BM180" s="26">
        <f t="shared" si="62"/>
        <v>0</v>
      </c>
    </row>
    <row r="181" spans="2:65" x14ac:dyDescent="0.3">
      <c r="B181" s="1051" t="s">
        <v>799</v>
      </c>
      <c r="C181" s="266"/>
      <c r="D181" s="156" t="s">
        <v>50</v>
      </c>
      <c r="E181" s="266"/>
      <c r="F181" s="361">
        <v>506.07000000000244</v>
      </c>
      <c r="G181" s="266"/>
      <c r="H181" s="361">
        <v>542.17499999999973</v>
      </c>
      <c r="I181" s="866"/>
      <c r="J181" s="362">
        <f>+F181+H181</f>
        <v>1048.2450000000022</v>
      </c>
      <c r="K181" s="266"/>
      <c r="L181" s="361">
        <v>563.9019999999997</v>
      </c>
      <c r="M181" s="867"/>
      <c r="N181" s="774">
        <f>+F181+H181+L181</f>
        <v>1612.1470000000018</v>
      </c>
      <c r="O181" s="266"/>
      <c r="P181" s="361">
        <v>648.58899999999915</v>
      </c>
      <c r="Q181" s="866"/>
      <c r="R181" s="775">
        <f>+N181+P181</f>
        <v>2260.7360000000008</v>
      </c>
      <c r="S181" s="266"/>
      <c r="T181" s="361">
        <v>532.47499999999968</v>
      </c>
      <c r="U181" s="866"/>
      <c r="V181" s="775">
        <f>+R181+T181</f>
        <v>2793.2110000000002</v>
      </c>
      <c r="W181" s="266"/>
      <c r="X181" s="361">
        <v>226.25699999999944</v>
      </c>
      <c r="Y181" s="868"/>
      <c r="Z181" s="68">
        <f>P181+T181+X181</f>
        <v>1407.3209999999983</v>
      </c>
      <c r="AA181" s="869"/>
      <c r="AB181" s="449">
        <f>N181+Z181</f>
        <v>3019.4679999999998</v>
      </c>
      <c r="AC181" s="266"/>
      <c r="AD181" s="361">
        <v>116.91799999999944</v>
      </c>
      <c r="AE181" s="866"/>
      <c r="AF181" s="775">
        <f>+AB181+AD181</f>
        <v>3136.3859999999995</v>
      </c>
      <c r="AG181" s="266"/>
      <c r="AH181" s="361">
        <v>242.51500000000078</v>
      </c>
      <c r="AI181" s="866"/>
      <c r="AJ181" s="775">
        <f>+AF181+AH181</f>
        <v>3378.9010000000003</v>
      </c>
      <c r="AK181" s="266"/>
      <c r="AL181" s="361">
        <v>496.09200000000095</v>
      </c>
      <c r="AM181" s="868"/>
      <c r="AN181" s="68">
        <f>AD181+AH181+AL181</f>
        <v>855.52500000000123</v>
      </c>
      <c r="AO181" s="866"/>
      <c r="AP181" s="368">
        <f>+AL181+AJ181</f>
        <v>3874.9930000000013</v>
      </c>
      <c r="AQ181" s="266"/>
      <c r="AR181" s="361">
        <v>467.91200000000157</v>
      </c>
      <c r="AS181" s="866"/>
      <c r="AT181" s="775">
        <f t="shared" si="190"/>
        <v>4342.9050000000025</v>
      </c>
      <c r="AU181" s="266"/>
      <c r="AV181" s="361">
        <v>378.48300000000125</v>
      </c>
      <c r="AW181" s="866"/>
      <c r="AX181" s="775">
        <f>+AT181+AV181</f>
        <v>4721.3880000000036</v>
      </c>
      <c r="AY181" s="266"/>
      <c r="AZ181" s="361">
        <v>539.3850000000416</v>
      </c>
      <c r="BA181" s="868"/>
      <c r="BB181" s="68">
        <f>AR181+AV181+AZ181</f>
        <v>1385.7800000000443</v>
      </c>
      <c r="BC181" s="869"/>
      <c r="BD181" s="449">
        <f>AN181+BB181</f>
        <v>2241.3050000000458</v>
      </c>
      <c r="BE181" s="866"/>
      <c r="BF181" s="775">
        <f>+AX181+AZ181</f>
        <v>5260.7730000000447</v>
      </c>
      <c r="BG181" s="1202"/>
      <c r="BH181" s="1520">
        <f t="shared" si="57"/>
        <v>0</v>
      </c>
      <c r="BI181" s="1520">
        <f t="shared" si="58"/>
        <v>0</v>
      </c>
      <c r="BJ181" s="26">
        <f t="shared" si="59"/>
        <v>0</v>
      </c>
      <c r="BK181" s="26">
        <f t="shared" si="60"/>
        <v>0</v>
      </c>
      <c r="BL181" s="26">
        <f t="shared" si="61"/>
        <v>0</v>
      </c>
      <c r="BM181" s="26">
        <f t="shared" si="62"/>
        <v>0</v>
      </c>
    </row>
    <row r="182" spans="2:65" x14ac:dyDescent="0.3">
      <c r="B182" s="1052" t="s">
        <v>821</v>
      </c>
      <c r="C182" s="637"/>
      <c r="D182" s="202" t="s">
        <v>50</v>
      </c>
      <c r="E182" s="637"/>
      <c r="F182" s="392">
        <f>SUM(F180:F181)</f>
        <v>810.36000000000229</v>
      </c>
      <c r="G182" s="637"/>
      <c r="H182" s="392">
        <f>SUM(H180:H181)</f>
        <v>968.59499999999957</v>
      </c>
      <c r="I182" s="866"/>
      <c r="J182" s="362">
        <f>SUM(J180:J181)</f>
        <v>1778.955000000002</v>
      </c>
      <c r="K182" s="637"/>
      <c r="L182" s="392">
        <f>SUM(L180:L181)</f>
        <v>1106.2419999999997</v>
      </c>
      <c r="M182" s="867"/>
      <c r="N182" s="441">
        <f>SUM(N180:N181)</f>
        <v>2885.1970000000015</v>
      </c>
      <c r="O182" s="637"/>
      <c r="P182" s="392">
        <f>SUM(P180:P181)</f>
        <v>1039.8189999999991</v>
      </c>
      <c r="Q182" s="866"/>
      <c r="R182" s="362">
        <f>SUM(R180:R181)</f>
        <v>3925.0160000000005</v>
      </c>
      <c r="S182" s="637"/>
      <c r="T182" s="392">
        <f>SUM(T180:T181)</f>
        <v>896.79499999999962</v>
      </c>
      <c r="U182" s="866"/>
      <c r="V182" s="362">
        <f>SUM(V180:V181)</f>
        <v>4821.8109999999997</v>
      </c>
      <c r="W182" s="637"/>
      <c r="X182" s="392">
        <f>SUM(X180:X181)</f>
        <v>667.00699999999927</v>
      </c>
      <c r="Y182" s="868"/>
      <c r="Z182" s="68">
        <f>SUM(Z180:Z181)</f>
        <v>2603.6209999999978</v>
      </c>
      <c r="AA182" s="869"/>
      <c r="AB182" s="449">
        <f>SUM(AB180:AB181)</f>
        <v>5488.8179999999993</v>
      </c>
      <c r="AC182" s="637"/>
      <c r="AD182" s="392">
        <f>SUM(AD180:AD181)</f>
        <v>408.01799999999935</v>
      </c>
      <c r="AE182" s="866"/>
      <c r="AF182" s="362">
        <f>SUM(AF180:AF181)</f>
        <v>5896.8359999999993</v>
      </c>
      <c r="AG182" s="637"/>
      <c r="AH182" s="392">
        <f>SUM(AH180:AH181)</f>
        <v>517.21500000000083</v>
      </c>
      <c r="AI182" s="866"/>
      <c r="AJ182" s="362">
        <f>SUM(AJ180:AJ181)</f>
        <v>6414.0509999999995</v>
      </c>
      <c r="AK182" s="637"/>
      <c r="AL182" s="392">
        <f>SUM(AL180:AL181)</f>
        <v>873.29200000000094</v>
      </c>
      <c r="AM182" s="868"/>
      <c r="AN182" s="68">
        <f>SUM(AN180:AN181)</f>
        <v>1798.5250000000012</v>
      </c>
      <c r="AO182" s="866"/>
      <c r="AP182" s="362">
        <f>SUM(AP180:AP181)</f>
        <v>7287.3430000000008</v>
      </c>
      <c r="AQ182" s="637"/>
      <c r="AR182" s="392">
        <f>SUM(AR180:AR181)</f>
        <v>722.11200000000156</v>
      </c>
      <c r="AS182" s="866"/>
      <c r="AT182" s="362">
        <f t="shared" si="190"/>
        <v>8009.4550000000027</v>
      </c>
      <c r="AU182" s="637"/>
      <c r="AV182" s="392">
        <f>SUM(AV180:AV181)</f>
        <v>657.28300000000115</v>
      </c>
      <c r="AW182" s="866"/>
      <c r="AX182" s="362">
        <f>SUM(AX180:AX181)</f>
        <v>8666.7380000000012</v>
      </c>
      <c r="AY182" s="637"/>
      <c r="AZ182" s="392">
        <f>SUM(AZ180:AZ181)</f>
        <v>910.43500000004155</v>
      </c>
      <c r="BA182" s="868"/>
      <c r="BB182" s="68">
        <f>SUM(BB180:BB181)</f>
        <v>2289.830000000044</v>
      </c>
      <c r="BC182" s="869"/>
      <c r="BD182" s="449">
        <f>SUM(BD180:BD181)</f>
        <v>4088.3550000000455</v>
      </c>
      <c r="BE182" s="866"/>
      <c r="BF182" s="362">
        <f>SUM(BF180:BF181)</f>
        <v>9577.1730000000425</v>
      </c>
      <c r="BG182" s="1202"/>
      <c r="BH182" s="1520">
        <f t="shared" si="57"/>
        <v>0</v>
      </c>
      <c r="BI182" s="1520">
        <f t="shared" si="58"/>
        <v>0</v>
      </c>
      <c r="BJ182" s="26">
        <f t="shared" si="59"/>
        <v>0</v>
      </c>
      <c r="BK182" s="26">
        <f t="shared" si="60"/>
        <v>0</v>
      </c>
      <c r="BL182" s="26">
        <f t="shared" si="61"/>
        <v>0</v>
      </c>
      <c r="BM182" s="26">
        <f t="shared" si="62"/>
        <v>0</v>
      </c>
    </row>
    <row r="183" spans="2:65" x14ac:dyDescent="0.3">
      <c r="B183" s="1052" t="s">
        <v>817</v>
      </c>
      <c r="C183" s="637"/>
      <c r="D183" s="202" t="s">
        <v>49</v>
      </c>
      <c r="E183" s="637"/>
      <c r="F183" s="437">
        <f>+F182/F5</f>
        <v>2.1130598079158902E-2</v>
      </c>
      <c r="G183" s="637"/>
      <c r="H183" s="437">
        <f>+H182/H5</f>
        <v>2.3533872964635046E-2</v>
      </c>
      <c r="I183" s="866"/>
      <c r="J183" s="434">
        <f>+J182/J5</f>
        <v>2.2374665311692778E-2</v>
      </c>
      <c r="K183" s="637"/>
      <c r="L183" s="437">
        <f>+L182/L5</f>
        <v>2.7520025394481427E-2</v>
      </c>
      <c r="M183" s="867"/>
      <c r="N183" s="435">
        <f>+N182/N5</f>
        <v>2.4102506499546882E-2</v>
      </c>
      <c r="O183" s="637"/>
      <c r="P183" s="437">
        <f>+P182/P5</f>
        <v>2.1154907448055548E-2</v>
      </c>
      <c r="Q183" s="866"/>
      <c r="R183" s="434">
        <f>+R182/R5</f>
        <v>2.3244493851936394E-2</v>
      </c>
      <c r="S183" s="637"/>
      <c r="T183" s="437">
        <f>+T182/T5</f>
        <v>2.2206832640719616E-2</v>
      </c>
      <c r="U183" s="866"/>
      <c r="V183" s="434">
        <f>+V182/V5</f>
        <v>2.3044224699766237E-2</v>
      </c>
      <c r="W183" s="637"/>
      <c r="X183" s="437">
        <f>+X182/X5</f>
        <v>1.5551997312493827E-2</v>
      </c>
      <c r="Y183" s="868"/>
      <c r="Z183" s="435">
        <f>+Z182/Z5</f>
        <v>1.9661070822870934E-2</v>
      </c>
      <c r="AA183" s="869"/>
      <c r="AB183" s="2206">
        <f>+AB182/AB5</f>
        <v>2.1769753987991039E-2</v>
      </c>
      <c r="AC183" s="637"/>
      <c r="AD183" s="437">
        <f>+AD182/AD5</f>
        <v>1.3035353610060174E-2</v>
      </c>
      <c r="AE183" s="866"/>
      <c r="AF183" s="434">
        <f>+AF182/AF5</f>
        <v>2.0805166237566258E-2</v>
      </c>
      <c r="AG183" s="637"/>
      <c r="AH183" s="437">
        <f>+AH182/AH5</f>
        <v>1.4309658277176538E-2</v>
      </c>
      <c r="AI183" s="866"/>
      <c r="AJ183" s="434">
        <f>+AJ182/AJ5</f>
        <v>2.0070515226306151E-2</v>
      </c>
      <c r="AK183" s="637"/>
      <c r="AL183" s="437">
        <f>+AL182/AL5</f>
        <v>1.8918735714279381E-2</v>
      </c>
      <c r="AM183" s="868"/>
      <c r="AN183" s="435">
        <f>+AN182/AN5</f>
        <v>1.5831317974859205E-2</v>
      </c>
      <c r="AO183" s="866"/>
      <c r="AP183" s="434">
        <f>+AP182/AP5</f>
        <v>1.9925147148980582E-2</v>
      </c>
      <c r="AQ183" s="637"/>
      <c r="AR183" s="437">
        <f>+AR182/AR5</f>
        <v>1.5515158848973573E-2</v>
      </c>
      <c r="AS183" s="866"/>
      <c r="AT183" s="434">
        <f>+AT182/AT5</f>
        <v>1.9427300861091606E-2</v>
      </c>
      <c r="AU183" s="637"/>
      <c r="AV183" s="437">
        <f>+AV182/AV5</f>
        <v>1.6794447105756213E-2</v>
      </c>
      <c r="AW183" s="866"/>
      <c r="AX183" s="434">
        <f>+AX182/AX5</f>
        <v>1.9199036977142772E-2</v>
      </c>
      <c r="AY183" s="637"/>
      <c r="AZ183" s="437">
        <f>+AZ182/AZ5</f>
        <v>1.8616045129906354E-2</v>
      </c>
      <c r="BA183" s="868"/>
      <c r="BB183" s="435">
        <f>+BB182/BB5</f>
        <v>1.7013979849955157E-2</v>
      </c>
      <c r="BC183" s="869"/>
      <c r="BD183" s="2206">
        <f>+BD182/BD5</f>
        <v>1.6472634432101431E-2</v>
      </c>
      <c r="BE183" s="866"/>
      <c r="BF183" s="434">
        <f>+BF182/BF5</f>
        <v>1.9142050065856182E-2</v>
      </c>
      <c r="BG183" s="1202"/>
      <c r="BH183" s="1520">
        <f t="shared" si="57"/>
        <v>0</v>
      </c>
      <c r="BI183" s="1520">
        <f t="shared" si="58"/>
        <v>0.20914558245984041</v>
      </c>
      <c r="BJ183" s="26">
        <f t="shared" si="59"/>
        <v>0</v>
      </c>
      <c r="BK183" s="26">
        <f t="shared" si="60"/>
        <v>8.0716764254050805E-2</v>
      </c>
      <c r="BL183" s="26">
        <f t="shared" si="61"/>
        <v>0</v>
      </c>
      <c r="BM183" s="26">
        <f t="shared" si="62"/>
        <v>3.3911671234680987E-2</v>
      </c>
    </row>
    <row r="184" spans="2:65" ht="15" thickBot="1" x14ac:dyDescent="0.35">
      <c r="B184" s="1052" t="s">
        <v>820</v>
      </c>
      <c r="C184" s="637"/>
      <c r="D184" s="202" t="s">
        <v>50</v>
      </c>
      <c r="E184" s="637"/>
      <c r="F184" s="438">
        <f>+F160</f>
        <v>145.57</v>
      </c>
      <c r="G184" s="637"/>
      <c r="H184" s="438">
        <f>+H160</f>
        <v>137.35</v>
      </c>
      <c r="I184" s="866"/>
      <c r="J184" s="439">
        <f>+J160</f>
        <v>282.92000000000007</v>
      </c>
      <c r="K184" s="637"/>
      <c r="L184" s="438">
        <f>+L160</f>
        <v>116.69999999999999</v>
      </c>
      <c r="M184" s="867"/>
      <c r="N184" s="440">
        <f>+N160</f>
        <v>399.62000000000006</v>
      </c>
      <c r="O184" s="637"/>
      <c r="P184" s="438">
        <f>+P160</f>
        <v>213.20000000000002</v>
      </c>
      <c r="Q184" s="866"/>
      <c r="R184" s="439">
        <f>+R160</f>
        <v>612.81999999999982</v>
      </c>
      <c r="S184" s="637"/>
      <c r="T184" s="438">
        <f>+T160</f>
        <v>82</v>
      </c>
      <c r="U184" s="866"/>
      <c r="V184" s="439">
        <f>+V160</f>
        <v>694.81999999999994</v>
      </c>
      <c r="W184" s="637"/>
      <c r="X184" s="438">
        <f>+X160</f>
        <v>143.50000000000003</v>
      </c>
      <c r="Y184" s="868"/>
      <c r="Z184" s="440">
        <f>+Z160</f>
        <v>438.7</v>
      </c>
      <c r="AA184" s="869"/>
      <c r="AB184" s="2207">
        <f>+AB160</f>
        <v>838.31999999999982</v>
      </c>
      <c r="AC184" s="637"/>
      <c r="AD184" s="438">
        <f>+AD160</f>
        <v>28.7</v>
      </c>
      <c r="AE184" s="866"/>
      <c r="AF184" s="439">
        <f>+AF160</f>
        <v>867.01999999999987</v>
      </c>
      <c r="AG184" s="637"/>
      <c r="AH184" s="438">
        <f>+AH160</f>
        <v>92.25</v>
      </c>
      <c r="AI184" s="866"/>
      <c r="AJ184" s="439">
        <f>+AJ160</f>
        <v>959.27</v>
      </c>
      <c r="AK184" s="637"/>
      <c r="AL184" s="438">
        <f>+AL160</f>
        <v>151.70000000000002</v>
      </c>
      <c r="AM184" s="868"/>
      <c r="AN184" s="440">
        <f>+AN160</f>
        <v>272.64999999999998</v>
      </c>
      <c r="AO184" s="866"/>
      <c r="AP184" s="439">
        <f>+AP160</f>
        <v>1110.9699999999998</v>
      </c>
      <c r="AQ184" s="637"/>
      <c r="AR184" s="438">
        <f>+AR160</f>
        <v>43.050000000000004</v>
      </c>
      <c r="AS184" s="866"/>
      <c r="AT184" s="439">
        <f t="shared" ref="AT184:AT186" si="191">+AP184+AR184</f>
        <v>1154.0199999999998</v>
      </c>
      <c r="AU184" s="637"/>
      <c r="AV184" s="438">
        <f>+AV160</f>
        <v>49.199999999999989</v>
      </c>
      <c r="AW184" s="866"/>
      <c r="AX184" s="439">
        <f t="shared" ref="AX184:AX186" si="192">+AT184+AV184</f>
        <v>1203.2199999999998</v>
      </c>
      <c r="AY184" s="637"/>
      <c r="AZ184" s="438">
        <f>+AZ160</f>
        <v>96.35</v>
      </c>
      <c r="BA184" s="868"/>
      <c r="BB184" s="440">
        <f>+BB160</f>
        <v>188.60000000000002</v>
      </c>
      <c r="BC184" s="869"/>
      <c r="BD184" s="2207">
        <f>+BD160</f>
        <v>461.25000000000006</v>
      </c>
      <c r="BE184" s="866"/>
      <c r="BF184" s="439">
        <f>+BF160</f>
        <v>1299.57</v>
      </c>
      <c r="BG184" s="1202"/>
      <c r="BH184" s="1520">
        <f t="shared" si="57"/>
        <v>0</v>
      </c>
      <c r="BI184" s="1520">
        <f t="shared" si="58"/>
        <v>0</v>
      </c>
      <c r="BJ184" s="26">
        <f t="shared" si="59"/>
        <v>0</v>
      </c>
      <c r="BK184" s="26">
        <f t="shared" si="60"/>
        <v>0</v>
      </c>
      <c r="BL184" s="26">
        <f t="shared" si="61"/>
        <v>0</v>
      </c>
      <c r="BM184" s="26">
        <f t="shared" si="62"/>
        <v>0</v>
      </c>
    </row>
    <row r="185" spans="2:65" ht="15" thickBot="1" x14ac:dyDescent="0.35">
      <c r="B185" s="1053" t="s">
        <v>800</v>
      </c>
      <c r="C185" s="919"/>
      <c r="D185" s="885" t="s">
        <v>50</v>
      </c>
      <c r="E185" s="1054"/>
      <c r="F185" s="1055">
        <v>652.01400000000024</v>
      </c>
      <c r="G185" s="1054"/>
      <c r="H185" s="1055">
        <v>699.73900000000003</v>
      </c>
      <c r="I185" s="1056"/>
      <c r="J185" s="1057">
        <f>+F185+H185</f>
        <v>1351.7530000000002</v>
      </c>
      <c r="K185" s="1054"/>
      <c r="L185" s="1055">
        <v>683.41800000000012</v>
      </c>
      <c r="M185" s="1058"/>
      <c r="N185" s="483">
        <f>+F185+H185+L185</f>
        <v>2035.1710000000003</v>
      </c>
      <c r="O185" s="1054"/>
      <c r="P185" s="1055">
        <v>835.69500000000016</v>
      </c>
      <c r="Q185" s="1056"/>
      <c r="R185" s="584">
        <f>+N185+P185</f>
        <v>2870.8660000000004</v>
      </c>
      <c r="S185" s="1054"/>
      <c r="T185" s="1055">
        <v>686.59700000000021</v>
      </c>
      <c r="U185" s="1056"/>
      <c r="V185" s="584">
        <f>+R185+T185</f>
        <v>3557.4630000000006</v>
      </c>
      <c r="W185" s="1054"/>
      <c r="X185" s="1055">
        <v>729.2010000000007</v>
      </c>
      <c r="Y185" s="1059"/>
      <c r="Z185" s="73">
        <f>P185+T185+X185</f>
        <v>2251.4930000000013</v>
      </c>
      <c r="AA185" s="1060"/>
      <c r="AB185" s="454">
        <f>N185+Z185</f>
        <v>4286.6640000000016</v>
      </c>
      <c r="AC185" s="1054"/>
      <c r="AD185" s="1055">
        <v>532.15500000000009</v>
      </c>
      <c r="AE185" s="1056"/>
      <c r="AF185" s="584">
        <f>+AB185+AD185</f>
        <v>4818.8190000000013</v>
      </c>
      <c r="AG185" s="1054"/>
      <c r="AH185" s="1055">
        <v>613.58000000000038</v>
      </c>
      <c r="AI185" s="1056"/>
      <c r="AJ185" s="584">
        <f>+AF185+AH185</f>
        <v>5432.3990000000013</v>
      </c>
      <c r="AK185" s="1054"/>
      <c r="AL185" s="1055">
        <v>781.54400000000044</v>
      </c>
      <c r="AM185" s="1059"/>
      <c r="AN185" s="73">
        <f>AD185+AH185+AL185</f>
        <v>1927.2790000000009</v>
      </c>
      <c r="AO185" s="1056"/>
      <c r="AP185" s="368">
        <f>+AL185+AJ185</f>
        <v>6213.943000000002</v>
      </c>
      <c r="AQ185" s="1054"/>
      <c r="AR185" s="1055">
        <v>790.72200000000032</v>
      </c>
      <c r="AS185" s="1056"/>
      <c r="AT185" s="584">
        <f t="shared" si="191"/>
        <v>7004.6650000000027</v>
      </c>
      <c r="AU185" s="1054"/>
      <c r="AV185" s="1055">
        <v>665.33200000000033</v>
      </c>
      <c r="AW185" s="1056"/>
      <c r="AX185" s="584">
        <f t="shared" si="192"/>
        <v>7669.997000000003</v>
      </c>
      <c r="AY185" s="1054"/>
      <c r="AZ185" s="1055">
        <v>831.40200000000027</v>
      </c>
      <c r="BA185" s="1059"/>
      <c r="BB185" s="73">
        <f>AR185+AV185+AZ185</f>
        <v>2287.456000000001</v>
      </c>
      <c r="BC185" s="1060"/>
      <c r="BD185" s="454">
        <f>AN185+BB185</f>
        <v>4214.7350000000024</v>
      </c>
      <c r="BE185" s="1056"/>
      <c r="BF185" s="584">
        <f>+AX185+AZ185</f>
        <v>8501.3990000000031</v>
      </c>
      <c r="BG185" s="1202"/>
      <c r="BH185" s="1520">
        <f t="shared" si="57"/>
        <v>0</v>
      </c>
      <c r="BI185" s="1520">
        <f t="shared" si="58"/>
        <v>0</v>
      </c>
      <c r="BJ185" s="26">
        <f t="shared" si="59"/>
        <v>0</v>
      </c>
      <c r="BK185" s="26">
        <f t="shared" si="60"/>
        <v>0</v>
      </c>
      <c r="BL185" s="26">
        <f t="shared" si="61"/>
        <v>0</v>
      </c>
      <c r="BM185" s="26">
        <f t="shared" si="62"/>
        <v>0</v>
      </c>
    </row>
    <row r="186" spans="2:65" ht="15" thickBot="1" x14ac:dyDescent="0.35">
      <c r="B186" s="1053" t="s">
        <v>2133</v>
      </c>
      <c r="C186" s="919"/>
      <c r="D186" s="885"/>
      <c r="E186" s="1054"/>
      <c r="F186" s="1055"/>
      <c r="G186" s="1054"/>
      <c r="H186" s="1055"/>
      <c r="I186" s="1056"/>
      <c r="J186" s="1057"/>
      <c r="K186" s="1054"/>
      <c r="L186" s="1055"/>
      <c r="M186" s="1058"/>
      <c r="N186" s="483"/>
      <c r="O186" s="1054"/>
      <c r="P186" s="1055"/>
      <c r="Q186" s="1056"/>
      <c r="R186" s="584"/>
      <c r="S186" s="1054"/>
      <c r="T186" s="1055"/>
      <c r="U186" s="1056"/>
      <c r="V186" s="584"/>
      <c r="W186" s="1054"/>
      <c r="X186" s="1055">
        <v>342.97399999999999</v>
      </c>
      <c r="Y186" s="1059"/>
      <c r="Z186" s="73">
        <f>P186+T186+X186</f>
        <v>342.97399999999999</v>
      </c>
      <c r="AA186" s="1060"/>
      <c r="AB186" s="454">
        <f>N186+Z186</f>
        <v>342.97399999999999</v>
      </c>
      <c r="AC186" s="1054"/>
      <c r="AD186" s="1055">
        <v>297.45400000000001</v>
      </c>
      <c r="AE186" s="1056"/>
      <c r="AF186" s="584">
        <f>+AB186+AD186</f>
        <v>640.428</v>
      </c>
      <c r="AG186" s="1054"/>
      <c r="AH186" s="1055">
        <v>307.17400000000004</v>
      </c>
      <c r="AI186" s="1056"/>
      <c r="AJ186" s="584">
        <f>+AF186+AH186</f>
        <v>947.60200000000009</v>
      </c>
      <c r="AK186" s="1054"/>
      <c r="AL186" s="1055">
        <v>346.28099999999995</v>
      </c>
      <c r="AM186" s="1059"/>
      <c r="AN186" s="73">
        <f>AD186+AH186+AL186</f>
        <v>950.90899999999999</v>
      </c>
      <c r="AO186" s="1056"/>
      <c r="AP186" s="368">
        <f>+AL186+AJ186</f>
        <v>1293.883</v>
      </c>
      <c r="AQ186" s="1054"/>
      <c r="AR186" s="1055">
        <v>396.9190000000001</v>
      </c>
      <c r="AS186" s="1056"/>
      <c r="AT186" s="584">
        <f t="shared" si="191"/>
        <v>1690.8020000000001</v>
      </c>
      <c r="AU186" s="1054"/>
      <c r="AV186" s="1055">
        <v>344.40900000000011</v>
      </c>
      <c r="AW186" s="1056"/>
      <c r="AX186" s="584">
        <f t="shared" si="192"/>
        <v>2035.2110000000002</v>
      </c>
      <c r="AY186" s="1054"/>
      <c r="AZ186" s="1055">
        <v>374.89300000000003</v>
      </c>
      <c r="BA186" s="1059"/>
      <c r="BB186" s="73">
        <f>AR186+AV186+AZ186</f>
        <v>1116.2210000000002</v>
      </c>
      <c r="BC186" s="1060"/>
      <c r="BD186" s="454">
        <f>AN186+BB186</f>
        <v>2067.13</v>
      </c>
      <c r="BE186" s="1056"/>
      <c r="BF186" s="584">
        <f>+AX186+AZ186</f>
        <v>2410.1040000000003</v>
      </c>
      <c r="BG186" s="1202"/>
      <c r="BH186" s="1520">
        <f t="shared" si="57"/>
        <v>0</v>
      </c>
      <c r="BI186" s="1520">
        <f t="shared" si="58"/>
        <v>0</v>
      </c>
      <c r="BJ186" s="26">
        <f t="shared" si="59"/>
        <v>0</v>
      </c>
      <c r="BK186" s="26">
        <f t="shared" si="60"/>
        <v>0</v>
      </c>
      <c r="BL186" s="26">
        <f t="shared" si="61"/>
        <v>0</v>
      </c>
      <c r="BM186" s="26">
        <f t="shared" si="62"/>
        <v>0</v>
      </c>
    </row>
    <row r="187" spans="2:65" ht="18.600000000000001" thickBot="1" x14ac:dyDescent="0.4">
      <c r="B187" s="875" t="s">
        <v>822</v>
      </c>
      <c r="C187" s="875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Q187" s="151"/>
      <c r="R187" s="151"/>
      <c r="S187" s="151"/>
      <c r="T187" s="151"/>
      <c r="U187" s="151"/>
      <c r="V187" s="151"/>
      <c r="W187" s="151"/>
      <c r="X187" s="151"/>
      <c r="Y187" s="617"/>
      <c r="Z187" s="617"/>
      <c r="AA187" s="617"/>
      <c r="AB187" s="617"/>
      <c r="AC187" s="151"/>
      <c r="AD187" s="151"/>
      <c r="AE187" s="151"/>
      <c r="AF187" s="151"/>
      <c r="AG187" s="151"/>
      <c r="AH187" s="151"/>
      <c r="AI187" s="151"/>
      <c r="AJ187" s="151"/>
      <c r="AK187" s="151"/>
      <c r="AL187" s="151"/>
      <c r="AM187" s="617"/>
      <c r="AN187" s="617"/>
      <c r="AO187" s="151"/>
      <c r="AP187" s="151"/>
      <c r="AQ187" s="151"/>
      <c r="AR187" s="92"/>
      <c r="AS187" s="151"/>
      <c r="AT187" s="151"/>
      <c r="AU187" s="151"/>
      <c r="AV187" s="92"/>
      <c r="AW187" s="151"/>
      <c r="AX187" s="151"/>
      <c r="AY187" s="151"/>
      <c r="AZ187" s="92"/>
      <c r="BA187" s="617"/>
      <c r="BB187" s="617"/>
      <c r="BC187" s="617"/>
      <c r="BD187" s="617"/>
      <c r="BE187" s="151"/>
      <c r="BF187" s="151"/>
      <c r="BG187" s="1202"/>
      <c r="BH187" s="1520">
        <f t="shared" si="57"/>
        <v>0</v>
      </c>
      <c r="BI187" s="1520">
        <f t="shared" si="58"/>
        <v>0</v>
      </c>
      <c r="BJ187" s="26">
        <f t="shared" si="59"/>
        <v>0</v>
      </c>
      <c r="BK187" s="26">
        <f t="shared" si="60"/>
        <v>0</v>
      </c>
      <c r="BL187" s="26">
        <f t="shared" si="61"/>
        <v>0</v>
      </c>
      <c r="BM187" s="26">
        <f t="shared" si="62"/>
        <v>0</v>
      </c>
    </row>
    <row r="188" spans="2:65" x14ac:dyDescent="0.3">
      <c r="B188" s="1043" t="s">
        <v>823</v>
      </c>
      <c r="C188" s="1044"/>
      <c r="D188" s="811" t="s">
        <v>50</v>
      </c>
      <c r="E188" s="1061"/>
      <c r="F188" s="1045">
        <f>+F5</f>
        <v>38350.074000000022</v>
      </c>
      <c r="G188" s="1061"/>
      <c r="H188" s="1045">
        <f>+H5</f>
        <v>41157.484000000004</v>
      </c>
      <c r="I188" s="1062"/>
      <c r="J188" s="1047">
        <f>+J5</f>
        <v>79507.558000000019</v>
      </c>
      <c r="K188" s="1061"/>
      <c r="L188" s="1045">
        <f>+L5</f>
        <v>40197.709999999992</v>
      </c>
      <c r="M188" s="1063"/>
      <c r="N188" s="1064">
        <f>+N5</f>
        <v>119705.26800000001</v>
      </c>
      <c r="O188" s="1061"/>
      <c r="P188" s="1045">
        <f>+P5</f>
        <v>49152.613999999987</v>
      </c>
      <c r="Q188" s="1062"/>
      <c r="R188" s="1047">
        <f>+R5</f>
        <v>168857.88199999998</v>
      </c>
      <c r="S188" s="1061"/>
      <c r="T188" s="1045">
        <f>+T5</f>
        <v>40383.741999999998</v>
      </c>
      <c r="U188" s="1062"/>
      <c r="V188" s="1047">
        <f>+V5</f>
        <v>209241.62399999998</v>
      </c>
      <c r="W188" s="1061"/>
      <c r="X188" s="1045">
        <f>+X5</f>
        <v>42888.832000000002</v>
      </c>
      <c r="Y188" s="1065"/>
      <c r="Z188" s="1064">
        <f>+Z5</f>
        <v>132425.18799999999</v>
      </c>
      <c r="AA188" s="1066"/>
      <c r="AB188" s="1067">
        <f>+AB5</f>
        <v>252130.45600000001</v>
      </c>
      <c r="AC188" s="1061"/>
      <c r="AD188" s="1045">
        <f>+AD5</f>
        <v>31300.876999999993</v>
      </c>
      <c r="AE188" s="1062"/>
      <c r="AF188" s="1047">
        <f>+AF5</f>
        <v>283431.33299999998</v>
      </c>
      <c r="AG188" s="1061"/>
      <c r="AH188" s="1045">
        <f>+AH5</f>
        <v>36144.469000000005</v>
      </c>
      <c r="AI188" s="1062"/>
      <c r="AJ188" s="1047">
        <f>+AJ5</f>
        <v>319575.80199999997</v>
      </c>
      <c r="AK188" s="1061"/>
      <c r="AL188" s="1045">
        <f>+AL5</f>
        <v>46160.167000000023</v>
      </c>
      <c r="AM188" s="1065"/>
      <c r="AN188" s="1064">
        <f>+AN5</f>
        <v>113605.51300000001</v>
      </c>
      <c r="AO188" s="1062"/>
      <c r="AP188" s="1047">
        <f>+AP5</f>
        <v>365735.96899999998</v>
      </c>
      <c r="AQ188" s="1532"/>
      <c r="AR188" s="1045">
        <f>+AR5</f>
        <v>46542.352999999988</v>
      </c>
      <c r="AS188" s="1062"/>
      <c r="AT188" s="1047">
        <f>+AT5</f>
        <v>412278.32199999999</v>
      </c>
      <c r="AU188" s="1532"/>
      <c r="AV188" s="1045">
        <f>+AV5</f>
        <v>39136.924000000014</v>
      </c>
      <c r="AW188" s="1062"/>
      <c r="AX188" s="1047">
        <f>+AX5</f>
        <v>451415.24599999998</v>
      </c>
      <c r="AY188" s="1532"/>
      <c r="AZ188" s="1045">
        <f>+AZ5</f>
        <v>48905.930000000029</v>
      </c>
      <c r="BA188" s="1065"/>
      <c r="BB188" s="1064">
        <f>+BB5</f>
        <v>134585.20700000002</v>
      </c>
      <c r="BC188" s="1066"/>
      <c r="BD188" s="1067">
        <f>+BD5</f>
        <v>248190.72000000003</v>
      </c>
      <c r="BE188" s="1062"/>
      <c r="BF188" s="1047">
        <f>+BF5</f>
        <v>500321.17600000004</v>
      </c>
      <c r="BG188" s="1202"/>
      <c r="BH188" s="1520">
        <f t="shared" si="57"/>
        <v>0</v>
      </c>
      <c r="BI188" s="1520">
        <f t="shared" si="58"/>
        <v>0</v>
      </c>
      <c r="BJ188" s="26">
        <f t="shared" si="59"/>
        <v>0</v>
      </c>
      <c r="BK188" s="26">
        <f t="shared" si="60"/>
        <v>0</v>
      </c>
      <c r="BL188" s="26">
        <f t="shared" si="61"/>
        <v>0</v>
      </c>
      <c r="BM188" s="26">
        <f t="shared" si="62"/>
        <v>0</v>
      </c>
    </row>
    <row r="189" spans="2:65" ht="28.8" x14ac:dyDescent="0.3">
      <c r="B189" s="1069" t="s">
        <v>829</v>
      </c>
      <c r="C189" s="876"/>
      <c r="D189" s="156" t="s">
        <v>50</v>
      </c>
      <c r="E189" s="870"/>
      <c r="F189" s="361">
        <f>+F182</f>
        <v>810.36000000000229</v>
      </c>
      <c r="G189" s="870"/>
      <c r="H189" s="361">
        <f>+H182</f>
        <v>968.59499999999957</v>
      </c>
      <c r="I189" s="871"/>
      <c r="J189" s="362">
        <f>+J182</f>
        <v>1778.955000000002</v>
      </c>
      <c r="K189" s="870"/>
      <c r="L189" s="361">
        <f>+L182</f>
        <v>1106.2419999999997</v>
      </c>
      <c r="M189" s="872"/>
      <c r="N189" s="441">
        <f>+N182</f>
        <v>2885.1970000000015</v>
      </c>
      <c r="O189" s="870"/>
      <c r="P189" s="361">
        <f>+P182</f>
        <v>1039.8189999999991</v>
      </c>
      <c r="Q189" s="871"/>
      <c r="R189" s="362">
        <f>+R182</f>
        <v>3925.0160000000005</v>
      </c>
      <c r="S189" s="870"/>
      <c r="T189" s="361">
        <f>+T182</f>
        <v>896.79499999999962</v>
      </c>
      <c r="U189" s="871"/>
      <c r="V189" s="362">
        <f>+V182</f>
        <v>4821.8109999999997</v>
      </c>
      <c r="W189" s="870"/>
      <c r="X189" s="361">
        <f>+X182</f>
        <v>667.00699999999927</v>
      </c>
      <c r="Y189" s="873"/>
      <c r="Z189" s="441">
        <f>+Z182</f>
        <v>2603.6209999999978</v>
      </c>
      <c r="AA189" s="874"/>
      <c r="AB189" s="465">
        <f>+AB182</f>
        <v>5488.8179999999993</v>
      </c>
      <c r="AC189" s="870"/>
      <c r="AD189" s="361">
        <f>+AD182</f>
        <v>408.01799999999935</v>
      </c>
      <c r="AE189" s="871"/>
      <c r="AF189" s="362">
        <f>+AF182</f>
        <v>5896.8359999999993</v>
      </c>
      <c r="AG189" s="870"/>
      <c r="AH189" s="361">
        <f>+AH182</f>
        <v>517.21500000000083</v>
      </c>
      <c r="AI189" s="871"/>
      <c r="AJ189" s="362">
        <f>+AJ182</f>
        <v>6414.0509999999995</v>
      </c>
      <c r="AK189" s="870"/>
      <c r="AL189" s="361">
        <f>+AL182</f>
        <v>873.29200000000094</v>
      </c>
      <c r="AM189" s="873"/>
      <c r="AN189" s="441">
        <f>+AN182</f>
        <v>1798.5250000000012</v>
      </c>
      <c r="AO189" s="871"/>
      <c r="AP189" s="362">
        <f>+AP182</f>
        <v>7287.3430000000008</v>
      </c>
      <c r="AQ189" s="1533"/>
      <c r="AR189" s="361">
        <f>+AR182</f>
        <v>722.11200000000156</v>
      </c>
      <c r="AS189" s="871"/>
      <c r="AT189" s="362">
        <f>+AT182</f>
        <v>8009.4550000000027</v>
      </c>
      <c r="AU189" s="1533"/>
      <c r="AV189" s="361">
        <f>+AV182</f>
        <v>657.28300000000115</v>
      </c>
      <c r="AW189" s="871"/>
      <c r="AX189" s="362">
        <f>+AX182</f>
        <v>8666.7380000000012</v>
      </c>
      <c r="AY189" s="1533"/>
      <c r="AZ189" s="361">
        <f>+AZ182</f>
        <v>910.43500000004155</v>
      </c>
      <c r="BA189" s="873"/>
      <c r="BB189" s="441">
        <f>+BB182</f>
        <v>2289.830000000044</v>
      </c>
      <c r="BC189" s="874"/>
      <c r="BD189" s="465">
        <f>+BD182</f>
        <v>4088.3550000000455</v>
      </c>
      <c r="BE189" s="871"/>
      <c r="BF189" s="362">
        <f>+BF182</f>
        <v>9577.1730000000425</v>
      </c>
      <c r="BG189" s="1202"/>
      <c r="BH189" s="1520">
        <f t="shared" si="57"/>
        <v>0</v>
      </c>
      <c r="BI189" s="1520">
        <f t="shared" si="58"/>
        <v>0</v>
      </c>
      <c r="BJ189" s="26">
        <f t="shared" si="59"/>
        <v>0</v>
      </c>
      <c r="BK189" s="26">
        <f t="shared" si="60"/>
        <v>0</v>
      </c>
      <c r="BL189" s="26">
        <f t="shared" si="61"/>
        <v>0</v>
      </c>
      <c r="BM189" s="26">
        <f t="shared" si="62"/>
        <v>0</v>
      </c>
    </row>
    <row r="190" spans="2:65" x14ac:dyDescent="0.3">
      <c r="B190" s="1051" t="s">
        <v>800</v>
      </c>
      <c r="C190" s="266"/>
      <c r="D190" s="156" t="s">
        <v>50</v>
      </c>
      <c r="E190" s="870"/>
      <c r="F190" s="361">
        <f>+F185</f>
        <v>652.01400000000024</v>
      </c>
      <c r="G190" s="870"/>
      <c r="H190" s="361">
        <f>+H185</f>
        <v>699.73900000000003</v>
      </c>
      <c r="I190" s="871"/>
      <c r="J190" s="362">
        <f>+J185</f>
        <v>1351.7530000000002</v>
      </c>
      <c r="K190" s="870"/>
      <c r="L190" s="361">
        <f>+L185</f>
        <v>683.41800000000012</v>
      </c>
      <c r="M190" s="872"/>
      <c r="N190" s="441">
        <f>+N185</f>
        <v>2035.1710000000003</v>
      </c>
      <c r="O190" s="870"/>
      <c r="P190" s="361">
        <f>+P185</f>
        <v>835.69500000000016</v>
      </c>
      <c r="Q190" s="871"/>
      <c r="R190" s="362">
        <f>+R185</f>
        <v>2870.8660000000004</v>
      </c>
      <c r="S190" s="870"/>
      <c r="T190" s="361">
        <f>+T185</f>
        <v>686.59700000000021</v>
      </c>
      <c r="U190" s="871"/>
      <c r="V190" s="362">
        <f>+V185</f>
        <v>3557.4630000000006</v>
      </c>
      <c r="W190" s="870"/>
      <c r="X190" s="361">
        <f>+X185</f>
        <v>729.2010000000007</v>
      </c>
      <c r="Y190" s="873"/>
      <c r="Z190" s="441">
        <f>+Z185</f>
        <v>2251.4930000000013</v>
      </c>
      <c r="AA190" s="874"/>
      <c r="AB190" s="465">
        <f>+AB185</f>
        <v>4286.6640000000016</v>
      </c>
      <c r="AC190" s="870"/>
      <c r="AD190" s="361">
        <f>+AD185</f>
        <v>532.15500000000009</v>
      </c>
      <c r="AE190" s="871"/>
      <c r="AF190" s="362">
        <f>+AF185</f>
        <v>4818.8190000000013</v>
      </c>
      <c r="AG190" s="870"/>
      <c r="AH190" s="361">
        <f>+AH185</f>
        <v>613.58000000000038</v>
      </c>
      <c r="AI190" s="871"/>
      <c r="AJ190" s="362">
        <f>+AJ185</f>
        <v>5432.3990000000013</v>
      </c>
      <c r="AK190" s="870"/>
      <c r="AL190" s="361">
        <f>+AL185</f>
        <v>781.54400000000044</v>
      </c>
      <c r="AM190" s="873"/>
      <c r="AN190" s="441">
        <f>+AN185</f>
        <v>1927.2790000000009</v>
      </c>
      <c r="AO190" s="871"/>
      <c r="AP190" s="362">
        <f>+AP185</f>
        <v>6213.943000000002</v>
      </c>
      <c r="AQ190" s="1533"/>
      <c r="AR190" s="361">
        <f>+AR185</f>
        <v>790.72200000000032</v>
      </c>
      <c r="AS190" s="871"/>
      <c r="AT190" s="362">
        <f>+AT185</f>
        <v>7004.6650000000027</v>
      </c>
      <c r="AU190" s="1533"/>
      <c r="AV190" s="361">
        <f>+AV185</f>
        <v>665.33200000000033</v>
      </c>
      <c r="AW190" s="871"/>
      <c r="AX190" s="362">
        <f>+AX185</f>
        <v>7669.997000000003</v>
      </c>
      <c r="AY190" s="1533"/>
      <c r="AZ190" s="361">
        <f>+AZ185</f>
        <v>831.40200000000027</v>
      </c>
      <c r="BA190" s="873"/>
      <c r="BB190" s="441">
        <f>+BB185</f>
        <v>2287.456000000001</v>
      </c>
      <c r="BC190" s="874"/>
      <c r="BD190" s="465">
        <f>+BD185</f>
        <v>4214.7350000000024</v>
      </c>
      <c r="BE190" s="871"/>
      <c r="BF190" s="362">
        <f>+BF185</f>
        <v>8501.3990000000031</v>
      </c>
      <c r="BG190" s="1202"/>
      <c r="BH190" s="1520">
        <f t="shared" si="57"/>
        <v>0</v>
      </c>
      <c r="BI190" s="1520">
        <f t="shared" si="58"/>
        <v>0</v>
      </c>
      <c r="BJ190" s="26">
        <f t="shared" si="59"/>
        <v>0</v>
      </c>
      <c r="BK190" s="26">
        <f t="shared" si="60"/>
        <v>0</v>
      </c>
      <c r="BL190" s="26">
        <f t="shared" si="61"/>
        <v>0</v>
      </c>
      <c r="BM190" s="26">
        <f t="shared" si="62"/>
        <v>0</v>
      </c>
    </row>
    <row r="191" spans="2:65" x14ac:dyDescent="0.3">
      <c r="B191" s="1051" t="s">
        <v>827</v>
      </c>
      <c r="C191" s="266"/>
      <c r="D191" s="156" t="s">
        <v>50</v>
      </c>
      <c r="E191" s="870"/>
      <c r="F191" s="361">
        <f>+F158</f>
        <v>36887.700000000012</v>
      </c>
      <c r="G191" s="870"/>
      <c r="H191" s="361">
        <f>+H158</f>
        <v>39489.149999999994</v>
      </c>
      <c r="I191" s="871"/>
      <c r="J191" s="362">
        <f>+J158</f>
        <v>76376.850000000006</v>
      </c>
      <c r="K191" s="870"/>
      <c r="L191" s="361">
        <f>+L158</f>
        <v>38408.049999999996</v>
      </c>
      <c r="M191" s="872"/>
      <c r="N191" s="441">
        <f>+N158</f>
        <v>114784.89999999998</v>
      </c>
      <c r="O191" s="870"/>
      <c r="P191" s="361">
        <f>+P158</f>
        <v>47277.099999999991</v>
      </c>
      <c r="Q191" s="871"/>
      <c r="R191" s="362">
        <f>+R158</f>
        <v>162061.99999999994</v>
      </c>
      <c r="S191" s="870"/>
      <c r="T191" s="361">
        <f>+T158</f>
        <v>38800.350000000006</v>
      </c>
      <c r="U191" s="871"/>
      <c r="V191" s="362">
        <f>+V158</f>
        <v>200862.35</v>
      </c>
      <c r="W191" s="870"/>
      <c r="X191" s="361">
        <f>+X158</f>
        <v>41149.650000000016</v>
      </c>
      <c r="Y191" s="873"/>
      <c r="Z191" s="441">
        <f>+Z158</f>
        <v>127227.10000000003</v>
      </c>
      <c r="AA191" s="874"/>
      <c r="AB191" s="465">
        <f>+AB158</f>
        <v>242012</v>
      </c>
      <c r="AC191" s="870"/>
      <c r="AD191" s="361">
        <f>+AD158</f>
        <v>30063.250000000004</v>
      </c>
      <c r="AE191" s="871"/>
      <c r="AF191" s="362">
        <f>+AF158</f>
        <v>272075.25</v>
      </c>
      <c r="AG191" s="870"/>
      <c r="AH191" s="361">
        <f>+AH158</f>
        <v>34706.500000000007</v>
      </c>
      <c r="AI191" s="871"/>
      <c r="AJ191" s="362">
        <f>+AJ158</f>
        <v>306781.75</v>
      </c>
      <c r="AK191" s="870"/>
      <c r="AL191" s="361">
        <f>+AL158</f>
        <v>44159.050000000017</v>
      </c>
      <c r="AM191" s="873"/>
      <c r="AN191" s="441">
        <f>+AN158</f>
        <v>108928.80000000005</v>
      </c>
      <c r="AO191" s="871"/>
      <c r="AP191" s="362">
        <f>+AP158</f>
        <v>350940.8</v>
      </c>
      <c r="AQ191" s="1533"/>
      <c r="AR191" s="361">
        <f>+AR158</f>
        <v>44632.60000000002</v>
      </c>
      <c r="AS191" s="871"/>
      <c r="AT191" s="362">
        <f>+AT158</f>
        <v>395573.40000000008</v>
      </c>
      <c r="AU191" s="1533"/>
      <c r="AV191" s="361">
        <f>+AV158</f>
        <v>37469.900000000023</v>
      </c>
      <c r="AW191" s="871"/>
      <c r="AX191" s="362">
        <f>+AX158</f>
        <v>433043.3</v>
      </c>
      <c r="AY191" s="1533"/>
      <c r="AZ191" s="361">
        <f>+AZ158</f>
        <v>46789.200000000004</v>
      </c>
      <c r="BA191" s="873"/>
      <c r="BB191" s="441">
        <f>+BB158</f>
        <v>128891.70000000003</v>
      </c>
      <c r="BC191" s="874"/>
      <c r="BD191" s="465">
        <f>+BD158</f>
        <v>237820.50000000003</v>
      </c>
      <c r="BE191" s="871"/>
      <c r="BF191" s="362">
        <f>+BF158</f>
        <v>479832.50000000006</v>
      </c>
      <c r="BG191" s="1202"/>
      <c r="BH191" s="1520">
        <f t="shared" si="57"/>
        <v>0</v>
      </c>
      <c r="BI191" s="1520">
        <f t="shared" si="58"/>
        <v>0</v>
      </c>
      <c r="BJ191" s="26">
        <f t="shared" si="59"/>
        <v>0</v>
      </c>
      <c r="BK191" s="26">
        <f t="shared" si="60"/>
        <v>0</v>
      </c>
      <c r="BL191" s="26">
        <f t="shared" si="61"/>
        <v>0</v>
      </c>
      <c r="BM191" s="26">
        <f t="shared" si="62"/>
        <v>0</v>
      </c>
    </row>
    <row r="192" spans="2:65" x14ac:dyDescent="0.3">
      <c r="B192" s="1051" t="s">
        <v>824</v>
      </c>
      <c r="C192" s="266"/>
      <c r="D192" s="156" t="s">
        <v>50</v>
      </c>
      <c r="E192" s="870"/>
      <c r="F192" s="361">
        <f>+F160</f>
        <v>145.57</v>
      </c>
      <c r="G192" s="870"/>
      <c r="H192" s="361">
        <f>+H160</f>
        <v>137.35</v>
      </c>
      <c r="I192" s="871"/>
      <c r="J192" s="362">
        <f>+J160</f>
        <v>282.92000000000007</v>
      </c>
      <c r="K192" s="870"/>
      <c r="L192" s="361">
        <f>+L160</f>
        <v>116.69999999999999</v>
      </c>
      <c r="M192" s="872"/>
      <c r="N192" s="441">
        <f>+N160</f>
        <v>399.62000000000006</v>
      </c>
      <c r="O192" s="870"/>
      <c r="P192" s="361">
        <f>+P160</f>
        <v>213.20000000000002</v>
      </c>
      <c r="Q192" s="871"/>
      <c r="R192" s="362">
        <f>+R160</f>
        <v>612.81999999999982</v>
      </c>
      <c r="S192" s="870"/>
      <c r="T192" s="361">
        <f>+T160</f>
        <v>82</v>
      </c>
      <c r="U192" s="871"/>
      <c r="V192" s="362">
        <f>+V160</f>
        <v>694.81999999999994</v>
      </c>
      <c r="W192" s="870"/>
      <c r="X192" s="361">
        <f>+X160</f>
        <v>143.50000000000003</v>
      </c>
      <c r="Y192" s="873"/>
      <c r="Z192" s="441">
        <f>+Z160</f>
        <v>438.7</v>
      </c>
      <c r="AA192" s="874"/>
      <c r="AB192" s="465">
        <f>+AB160</f>
        <v>838.31999999999982</v>
      </c>
      <c r="AC192" s="870"/>
      <c r="AD192" s="361">
        <f>+AD160</f>
        <v>28.7</v>
      </c>
      <c r="AE192" s="871"/>
      <c r="AF192" s="362">
        <f>+AF160</f>
        <v>867.01999999999987</v>
      </c>
      <c r="AG192" s="870"/>
      <c r="AH192" s="361">
        <f>+AH160</f>
        <v>92.25</v>
      </c>
      <c r="AI192" s="871"/>
      <c r="AJ192" s="362">
        <f>+AJ160</f>
        <v>959.27</v>
      </c>
      <c r="AK192" s="870"/>
      <c r="AL192" s="361">
        <f>+AL160</f>
        <v>151.70000000000002</v>
      </c>
      <c r="AM192" s="873"/>
      <c r="AN192" s="441">
        <f>+AN160</f>
        <v>272.64999999999998</v>
      </c>
      <c r="AO192" s="871"/>
      <c r="AP192" s="362">
        <f>+AP160</f>
        <v>1110.9699999999998</v>
      </c>
      <c r="AQ192" s="1533"/>
      <c r="AR192" s="361">
        <f>+AR160</f>
        <v>43.050000000000004</v>
      </c>
      <c r="AS192" s="871"/>
      <c r="AT192" s="362">
        <f>+AT160</f>
        <v>1154.0200000000002</v>
      </c>
      <c r="AU192" s="1533"/>
      <c r="AV192" s="361">
        <f>+AV160</f>
        <v>49.199999999999989</v>
      </c>
      <c r="AW192" s="871"/>
      <c r="AX192" s="362">
        <f>+AX160</f>
        <v>1203.2199999999998</v>
      </c>
      <c r="AY192" s="1533"/>
      <c r="AZ192" s="361">
        <f>+AZ160</f>
        <v>96.35</v>
      </c>
      <c r="BA192" s="873"/>
      <c r="BB192" s="441">
        <f>+BB160</f>
        <v>188.60000000000002</v>
      </c>
      <c r="BC192" s="874"/>
      <c r="BD192" s="465">
        <f>+BD160</f>
        <v>461.25000000000006</v>
      </c>
      <c r="BE192" s="871"/>
      <c r="BF192" s="362">
        <f>+BF160</f>
        <v>1299.57</v>
      </c>
      <c r="BG192" s="1202"/>
      <c r="BH192" s="1520">
        <f t="shared" si="57"/>
        <v>0</v>
      </c>
      <c r="BI192" s="1520">
        <f t="shared" si="58"/>
        <v>0</v>
      </c>
      <c r="BJ192" s="26">
        <f t="shared" si="59"/>
        <v>0</v>
      </c>
      <c r="BK192" s="26">
        <f t="shared" si="60"/>
        <v>0</v>
      </c>
      <c r="BL192" s="26">
        <f t="shared" si="61"/>
        <v>0</v>
      </c>
      <c r="BM192" s="26">
        <f t="shared" si="62"/>
        <v>0</v>
      </c>
    </row>
    <row r="193" spans="2:65" ht="15" thickBot="1" x14ac:dyDescent="0.35">
      <c r="B193" s="1053" t="s">
        <v>825</v>
      </c>
      <c r="C193" s="919"/>
      <c r="D193" s="885" t="s">
        <v>50</v>
      </c>
      <c r="E193" s="1054"/>
      <c r="F193" s="1055">
        <f>+F191-F192</f>
        <v>36742.130000000012</v>
      </c>
      <c r="G193" s="1054"/>
      <c r="H193" s="1055">
        <f>+H191-H192</f>
        <v>39351.799999999996</v>
      </c>
      <c r="I193" s="1056"/>
      <c r="J193" s="1057">
        <f>+J191-J192</f>
        <v>76093.930000000008</v>
      </c>
      <c r="K193" s="1054"/>
      <c r="L193" s="1055">
        <f>+L191-L192</f>
        <v>38291.35</v>
      </c>
      <c r="M193" s="1058"/>
      <c r="N193" s="1070">
        <f>+N191-N192</f>
        <v>114385.27999999998</v>
      </c>
      <c r="O193" s="1054"/>
      <c r="P193" s="1055">
        <f>+P191-P192</f>
        <v>47063.899999999994</v>
      </c>
      <c r="Q193" s="1056"/>
      <c r="R193" s="1057">
        <f>+R191-R192</f>
        <v>161449.17999999993</v>
      </c>
      <c r="S193" s="1054"/>
      <c r="T193" s="1055">
        <f>+T191-T192</f>
        <v>38718.350000000006</v>
      </c>
      <c r="U193" s="1056"/>
      <c r="V193" s="1057">
        <f>+V191-V192</f>
        <v>200167.53</v>
      </c>
      <c r="W193" s="1054"/>
      <c r="X193" s="1055">
        <f>+X191-X192</f>
        <v>41006.150000000016</v>
      </c>
      <c r="Y193" s="1059"/>
      <c r="Z193" s="1070">
        <f>+Z191-Z192</f>
        <v>126788.40000000004</v>
      </c>
      <c r="AA193" s="1060"/>
      <c r="AB193" s="1071">
        <f>+AB191-AB192</f>
        <v>241173.68</v>
      </c>
      <c r="AC193" s="1054"/>
      <c r="AD193" s="1055">
        <f>+AD191-AD192</f>
        <v>30034.550000000003</v>
      </c>
      <c r="AE193" s="1056"/>
      <c r="AF193" s="1057">
        <f>+AF191-AF192</f>
        <v>271208.23</v>
      </c>
      <c r="AG193" s="1054"/>
      <c r="AH193" s="1055">
        <f>+AH191-AH192</f>
        <v>34614.250000000007</v>
      </c>
      <c r="AI193" s="1056"/>
      <c r="AJ193" s="1057">
        <f>+AJ191-AJ192</f>
        <v>305822.48</v>
      </c>
      <c r="AK193" s="1054"/>
      <c r="AL193" s="1055">
        <f>+AL191-AL192</f>
        <v>44007.35000000002</v>
      </c>
      <c r="AM193" s="1059"/>
      <c r="AN193" s="1070">
        <f>+AN191-AN192</f>
        <v>108656.15000000005</v>
      </c>
      <c r="AO193" s="1056"/>
      <c r="AP193" s="1057">
        <f>+AP191-AP192</f>
        <v>349829.83</v>
      </c>
      <c r="AQ193" s="1531"/>
      <c r="AR193" s="1055">
        <f>+AR191-AR192</f>
        <v>44589.550000000017</v>
      </c>
      <c r="AS193" s="1056"/>
      <c r="AT193" s="1057">
        <f>+AT191-AT192</f>
        <v>394419.38000000006</v>
      </c>
      <c r="AU193" s="1531"/>
      <c r="AV193" s="1055">
        <f>+AV191-AV192</f>
        <v>37420.700000000026</v>
      </c>
      <c r="AW193" s="1056"/>
      <c r="AX193" s="1057">
        <f>+AX191-AX192</f>
        <v>431840.08</v>
      </c>
      <c r="AY193" s="1531"/>
      <c r="AZ193" s="1055">
        <f>+AZ191-AZ192</f>
        <v>46692.850000000006</v>
      </c>
      <c r="BA193" s="1059"/>
      <c r="BB193" s="1070">
        <f>+BB191-BB192</f>
        <v>128703.10000000002</v>
      </c>
      <c r="BC193" s="1060"/>
      <c r="BD193" s="1071">
        <f>+BD191-BD192</f>
        <v>237359.25000000003</v>
      </c>
      <c r="BE193" s="1056"/>
      <c r="BF193" s="1057">
        <f>+BF191-BF192</f>
        <v>478532.93000000005</v>
      </c>
      <c r="BG193" s="1202"/>
      <c r="BH193" s="1520">
        <f t="shared" si="57"/>
        <v>0</v>
      </c>
      <c r="BI193" s="1520">
        <f t="shared" si="58"/>
        <v>0</v>
      </c>
      <c r="BJ193" s="26">
        <f t="shared" si="59"/>
        <v>0</v>
      </c>
      <c r="BK193" s="26">
        <f t="shared" si="60"/>
        <v>0</v>
      </c>
      <c r="BL193" s="26">
        <f t="shared" si="61"/>
        <v>0</v>
      </c>
      <c r="BM193" s="26">
        <f t="shared" si="62"/>
        <v>0</v>
      </c>
    </row>
    <row r="194" spans="2:65" x14ac:dyDescent="0.3"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Q194" s="151"/>
      <c r="R194" s="151"/>
      <c r="S194" s="151"/>
      <c r="T194" s="151"/>
      <c r="U194" s="151"/>
      <c r="V194" s="151"/>
      <c r="W194" s="151"/>
      <c r="X194" s="151"/>
      <c r="Y194" s="617"/>
      <c r="Z194" s="617"/>
      <c r="AA194" s="617"/>
      <c r="AB194" s="617"/>
      <c r="AC194" s="151"/>
      <c r="AD194" s="151"/>
      <c r="AE194" s="151"/>
      <c r="AF194" s="151"/>
      <c r="AG194" s="151"/>
      <c r="AH194" s="151"/>
      <c r="AI194" s="151"/>
      <c r="AJ194" s="151"/>
      <c r="AK194" s="151"/>
      <c r="AL194" s="151"/>
      <c r="AM194" s="617"/>
      <c r="AN194" s="617"/>
      <c r="AO194" s="151"/>
      <c r="AP194" s="151"/>
      <c r="AQ194" s="151"/>
      <c r="AR194" s="92"/>
      <c r="AS194" s="151"/>
      <c r="AT194" s="151"/>
      <c r="AU194" s="151"/>
      <c r="AV194" s="92"/>
      <c r="AW194" s="151"/>
      <c r="AX194" s="151"/>
      <c r="AY194" s="151"/>
      <c r="AZ194" s="92"/>
      <c r="BA194" s="617"/>
      <c r="BB194" s="617"/>
      <c r="BC194" s="617"/>
      <c r="BD194" s="617"/>
      <c r="BE194" s="151"/>
      <c r="BF194" s="151"/>
      <c r="BG194" s="1202"/>
      <c r="BH194" s="1520">
        <f t="shared" si="57"/>
        <v>0</v>
      </c>
      <c r="BI194" s="1520">
        <f t="shared" si="58"/>
        <v>0</v>
      </c>
      <c r="BJ194" s="26">
        <f t="shared" si="59"/>
        <v>0</v>
      </c>
      <c r="BK194" s="26">
        <f t="shared" si="60"/>
        <v>0</v>
      </c>
      <c r="BL194" s="26">
        <f t="shared" si="61"/>
        <v>0</v>
      </c>
      <c r="BM194" s="26">
        <f t="shared" si="62"/>
        <v>0</v>
      </c>
    </row>
    <row r="195" spans="2:65" ht="15" thickBot="1" x14ac:dyDescent="0.35">
      <c r="B195" s="146"/>
      <c r="C195" s="146"/>
      <c r="D195" s="146"/>
      <c r="E195" s="146"/>
      <c r="F195" s="146"/>
      <c r="G195" s="146"/>
      <c r="H195" s="151"/>
      <c r="I195" s="200"/>
      <c r="J195" s="151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  <c r="AC195" s="146"/>
      <c r="AD195" s="146"/>
      <c r="AE195" s="146"/>
      <c r="AF195" s="146"/>
      <c r="AG195" s="146"/>
      <c r="AH195" s="146"/>
      <c r="AI195" s="146"/>
      <c r="AJ195" s="146"/>
      <c r="AK195" s="146"/>
      <c r="AL195" s="146"/>
      <c r="AM195" s="146"/>
      <c r="AN195" s="146"/>
      <c r="AO195" s="26"/>
      <c r="AP195" s="26"/>
      <c r="AQ195" s="200"/>
      <c r="AR195" s="92"/>
      <c r="AS195" s="26"/>
      <c r="AT195" s="26"/>
      <c r="AU195" s="200"/>
      <c r="AV195" s="92"/>
      <c r="AW195" s="26"/>
      <c r="AX195" s="26"/>
      <c r="AY195" s="200"/>
      <c r="AZ195" s="92"/>
      <c r="BA195" s="146"/>
      <c r="BB195" s="146"/>
      <c r="BC195" s="146"/>
      <c r="BD195" s="146"/>
      <c r="BE195" s="26"/>
      <c r="BF195" s="26"/>
      <c r="BG195" s="1202"/>
      <c r="BH195" s="1520">
        <f t="shared" si="57"/>
        <v>0</v>
      </c>
      <c r="BI195" s="1520">
        <f t="shared" si="58"/>
        <v>0</v>
      </c>
      <c r="BJ195" s="26">
        <f t="shared" si="59"/>
        <v>0</v>
      </c>
      <c r="BK195" s="26">
        <f t="shared" si="60"/>
        <v>0</v>
      </c>
      <c r="BL195" s="26">
        <f t="shared" si="61"/>
        <v>0</v>
      </c>
      <c r="BM195" s="26">
        <f t="shared" si="62"/>
        <v>0</v>
      </c>
    </row>
    <row r="196" spans="2:65" ht="15" thickBot="1" x14ac:dyDescent="0.35">
      <c r="B196" s="637" t="s">
        <v>1156</v>
      </c>
      <c r="C196" s="436"/>
      <c r="D196" s="436"/>
      <c r="E196" s="436"/>
      <c r="F196" s="2751">
        <f>+F158</f>
        <v>36887.700000000012</v>
      </c>
      <c r="G196" s="436"/>
      <c r="H196" s="2751">
        <f>+H158</f>
        <v>39489.149999999994</v>
      </c>
      <c r="I196" s="1197"/>
      <c r="J196" s="392">
        <f>+J158</f>
        <v>76376.850000000006</v>
      </c>
      <c r="K196" s="436"/>
      <c r="L196" s="2751">
        <f>+L158</f>
        <v>38408.049999999996</v>
      </c>
      <c r="M196" s="612"/>
      <c r="N196" s="441">
        <f>+N158</f>
        <v>114784.89999999998</v>
      </c>
      <c r="O196" s="436"/>
      <c r="P196" s="2751">
        <f>+P158</f>
        <v>47277.099999999991</v>
      </c>
      <c r="Q196" s="611"/>
      <c r="R196" s="362">
        <f>+R158</f>
        <v>162061.99999999994</v>
      </c>
      <c r="S196" s="436"/>
      <c r="T196" s="2751">
        <f>+T158</f>
        <v>38800.350000000006</v>
      </c>
      <c r="U196" s="611"/>
      <c r="V196" s="362">
        <f>+V158</f>
        <v>200862.35</v>
      </c>
      <c r="W196" s="436"/>
      <c r="X196" s="2751">
        <f>+X158</f>
        <v>41149.650000000016</v>
      </c>
      <c r="Y196" s="1072"/>
      <c r="Z196" s="441">
        <f>+Z158</f>
        <v>127227.10000000003</v>
      </c>
      <c r="AA196" s="1073"/>
      <c r="AB196" s="465">
        <f>+AB158</f>
        <v>242012</v>
      </c>
      <c r="AC196" s="436"/>
      <c r="AD196" s="2751">
        <f>+AD158</f>
        <v>30063.250000000004</v>
      </c>
      <c r="AE196" s="362"/>
      <c r="AF196" s="362">
        <f>+AF158</f>
        <v>272075.25</v>
      </c>
      <c r="AG196" s="436"/>
      <c r="AH196" s="2751">
        <f>+AH158</f>
        <v>34706.500000000007</v>
      </c>
      <c r="AI196" s="362"/>
      <c r="AJ196" s="362">
        <f>+AJ158</f>
        <v>306781.75</v>
      </c>
      <c r="AK196" s="436"/>
      <c r="AL196" s="2751">
        <f>+AL158</f>
        <v>44159.050000000017</v>
      </c>
      <c r="AM196" s="1072"/>
      <c r="AN196" s="441">
        <f>+AN158</f>
        <v>108928.80000000005</v>
      </c>
      <c r="AO196" s="362"/>
      <c r="AP196" s="362">
        <f>+AP158</f>
        <v>350940.8</v>
      </c>
      <c r="AQ196" s="1197"/>
      <c r="AR196" s="361">
        <f>+AR158</f>
        <v>44632.60000000002</v>
      </c>
      <c r="AS196" s="362"/>
      <c r="AT196" s="362">
        <f>+AT158</f>
        <v>395573.40000000008</v>
      </c>
      <c r="AU196" s="1197"/>
      <c r="AV196" s="361">
        <f>+AV158</f>
        <v>37469.900000000023</v>
      </c>
      <c r="AW196" s="362"/>
      <c r="AX196" s="362">
        <f>+AX158</f>
        <v>433043.3</v>
      </c>
      <c r="AY196" s="1197"/>
      <c r="AZ196" s="361">
        <f>+AZ158</f>
        <v>46789.200000000004</v>
      </c>
      <c r="BA196" s="1072"/>
      <c r="BB196" s="441">
        <f>+BB158</f>
        <v>128891.70000000003</v>
      </c>
      <c r="BC196" s="1073"/>
      <c r="BD196" s="465">
        <f>+BD158</f>
        <v>237820.50000000003</v>
      </c>
      <c r="BE196" s="362"/>
      <c r="BF196" s="362">
        <f>+BF158</f>
        <v>479832.50000000006</v>
      </c>
      <c r="BG196" s="1202"/>
      <c r="BH196" s="1520">
        <f t="shared" si="57"/>
        <v>0</v>
      </c>
      <c r="BI196" s="1520">
        <f t="shared" si="58"/>
        <v>0</v>
      </c>
      <c r="BJ196" s="26">
        <f t="shared" si="59"/>
        <v>0</v>
      </c>
      <c r="BK196" s="26">
        <f t="shared" si="60"/>
        <v>0</v>
      </c>
      <c r="BL196" s="26">
        <f t="shared" si="61"/>
        <v>0</v>
      </c>
      <c r="BM196" s="26">
        <f t="shared" si="62"/>
        <v>0</v>
      </c>
    </row>
    <row r="197" spans="2:65" x14ac:dyDescent="0.3"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BE197" s="26"/>
      <c r="BF197" s="26"/>
      <c r="BG197" s="1202"/>
      <c r="BH197" s="1520">
        <f t="shared" si="57"/>
        <v>0</v>
      </c>
      <c r="BI197" s="1520">
        <f t="shared" si="58"/>
        <v>0</v>
      </c>
      <c r="BJ197" s="26">
        <f t="shared" si="59"/>
        <v>0</v>
      </c>
      <c r="BK197" s="26">
        <f t="shared" si="60"/>
        <v>0</v>
      </c>
      <c r="BL197" s="26">
        <f t="shared" si="61"/>
        <v>0</v>
      </c>
      <c r="BM197" s="26">
        <f t="shared" si="62"/>
        <v>0</v>
      </c>
    </row>
    <row r="198" spans="2:65" x14ac:dyDescent="0.3">
      <c r="E198"/>
      <c r="F198"/>
      <c r="G198"/>
      <c r="H198"/>
      <c r="K198"/>
      <c r="L198"/>
      <c r="O198"/>
      <c r="P198"/>
      <c r="U198" s="86"/>
      <c r="V198" s="92"/>
      <c r="BE198" s="26"/>
      <c r="BF198" s="26"/>
      <c r="BG198" s="1202"/>
      <c r="BH198" s="1520">
        <f t="shared" ref="BH198:BH203" si="193">E198+G198+K198+O198+S198+W198+AC198+AG198+AK198+AQ198+AU198+AY198-BE198</f>
        <v>0</v>
      </c>
      <c r="BI198" s="1520">
        <f t="shared" ref="BI198:BI203" si="194">F198+H198+L198+P198+T198+X198+AD198+AH198+AL198+AR198+AV198+AZ198-BF198</f>
        <v>0</v>
      </c>
      <c r="BJ198" s="26">
        <f t="shared" ref="BJ198:BJ203" si="195">AY198+AU198+AQ198+AK198+AG198+AC198-BC198</f>
        <v>0</v>
      </c>
      <c r="BK198" s="26">
        <f t="shared" ref="BK198:BK203" si="196">AZ198+AV198+AR198+AL198+AH198+AD198-BD198</f>
        <v>0</v>
      </c>
      <c r="BL198" s="26">
        <f t="shared" ref="BL198:BL203" si="197">AQ198+AU198+AY198-BA198</f>
        <v>0</v>
      </c>
      <c r="BM198" s="26">
        <f t="shared" ref="BM198:BM203" si="198">AR198+AV198+AZ198-BB198</f>
        <v>0</v>
      </c>
    </row>
    <row r="199" spans="2:65" x14ac:dyDescent="0.3">
      <c r="B199" s="1622" t="s">
        <v>1286</v>
      </c>
      <c r="C199" s="1622"/>
      <c r="D199" s="1622"/>
      <c r="E199" s="1622"/>
      <c r="F199" s="1623">
        <f>+SUM(F7:F122)+SUM(F129:F141)</f>
        <v>36742.130000000012</v>
      </c>
      <c r="G199" s="1622"/>
      <c r="H199" s="1623">
        <f>+SUM(H7:H122)+SUM(H129:H141)</f>
        <v>39351.799999999988</v>
      </c>
      <c r="I199" s="1624"/>
      <c r="J199" s="1623">
        <f>+SUM(J7:J127)+SUM(J129:J141)</f>
        <v>76093.930000000008</v>
      </c>
      <c r="K199" s="1622"/>
      <c r="L199" s="1623">
        <f>+SUM(L7:L122)+SUM(L129:L141)</f>
        <v>28929.599999999991</v>
      </c>
      <c r="M199" s="1624"/>
      <c r="N199" s="1623">
        <f>+SUM(N7:N122)+SUM(N129:N141)</f>
        <v>105023.52999999997</v>
      </c>
      <c r="O199" s="1622"/>
      <c r="P199" s="1623">
        <f>+SUM(P7:P122)+SUM(P129:P141)</f>
        <v>35815.549999999988</v>
      </c>
      <c r="Q199" s="1624"/>
      <c r="R199" s="1623">
        <f>+SUM(R7:R127)+SUM(R129:R141)</f>
        <v>161449.18000000002</v>
      </c>
      <c r="S199" s="1622"/>
      <c r="T199" s="1623">
        <f>+SUM(T7:T122)+SUM(T129:T141)</f>
        <v>38718.350000000006</v>
      </c>
      <c r="U199" s="1624"/>
      <c r="V199" s="1623">
        <f>+SUM(V7:V122)+SUM(V129:V141)</f>
        <v>179557.43000000008</v>
      </c>
      <c r="W199" s="1622"/>
      <c r="X199" s="1623">
        <f>+SUM(X7:X122)+SUM(X129:X141)</f>
        <v>41006.150000000009</v>
      </c>
      <c r="Y199" s="1622"/>
      <c r="Z199" s="1623">
        <f>+SUM(Z7:Z122)+SUM(Z129:Z141)</f>
        <v>115540.05000000003</v>
      </c>
      <c r="AA199" s="1623"/>
      <c r="AB199" s="1623">
        <f>+SUM(AB7:AB122)+SUM(AB129:AB141)</f>
        <v>220563.58000000007</v>
      </c>
      <c r="AC199" s="1622"/>
      <c r="AD199" s="1623">
        <f>+SUM(AD7:AD122)+SUM(AD129:AD141)</f>
        <v>30034.55</v>
      </c>
      <c r="AF199" s="1623">
        <f>+SUM(AF8:AF122)+SUM(AF129:AF141)</f>
        <v>250598.13000000003</v>
      </c>
      <c r="AG199" s="1622"/>
      <c r="AH199" s="1623">
        <f>+SUM(AH7:AH122)+SUM(AH129:AH141)</f>
        <v>34614.25</v>
      </c>
      <c r="AJ199" s="1623">
        <f>+SUM(AJ8:AJ122)+SUM(AJ129:AJ141)</f>
        <v>285212.38</v>
      </c>
      <c r="AK199" s="1622"/>
      <c r="AL199" s="1623">
        <f>+SUM(AL7:AL122)+SUM(AL129:AL141)</f>
        <v>44007.350000000013</v>
      </c>
      <c r="AM199" s="1622"/>
      <c r="AN199" s="1623">
        <f>+SUM(AN7:AN122)+SUM(AN129:AN141)</f>
        <v>108656.15000000002</v>
      </c>
      <c r="AP199" s="1623">
        <f>+SUM(AP8:AP122)+SUM(AP129:AP141)</f>
        <v>329219.73000000004</v>
      </c>
      <c r="AQ199" s="1622"/>
      <c r="AR199" s="1623">
        <f>+SUM(AR7:AR122)+SUM(AR129:AR141)</f>
        <v>44589.55000000001</v>
      </c>
      <c r="AT199" s="1623">
        <f>+SUM(AT7:AT122)+SUM(AT129:AT141)</f>
        <v>373809.28000000014</v>
      </c>
      <c r="AU199" s="1622"/>
      <c r="AV199" s="1623">
        <f>+SUM(AV7:AV122)+SUM(AV129:AV141)</f>
        <v>37420.700000000019</v>
      </c>
      <c r="AX199" s="1623">
        <f>+SUM(AX7:AX122)+SUM(AX129:AX141)</f>
        <v>411229.98000000004</v>
      </c>
      <c r="AY199" s="1622"/>
      <c r="AZ199" s="1623">
        <f>+SUM(AZ7:AZ122)+SUM(AZ129:AZ141)</f>
        <v>46692.85</v>
      </c>
      <c r="BA199" s="1622"/>
      <c r="BB199" s="1623">
        <f>+SUM(BB7:BB122)+SUM(BB129:BB141)</f>
        <v>128703.10000000002</v>
      </c>
      <c r="BC199" s="1623"/>
      <c r="BD199" s="1623">
        <f>+SUM(BD7:BD122)+SUM(BD129:BD141)</f>
        <v>237359.25000000006</v>
      </c>
      <c r="BE199" s="1623"/>
      <c r="BF199" s="1623">
        <f>+SUM(BF7:BF122)+SUM(BF129:BF141)</f>
        <v>457922.83000000013</v>
      </c>
      <c r="BG199" s="1202"/>
      <c r="BH199" s="1520">
        <f t="shared" si="193"/>
        <v>0</v>
      </c>
      <c r="BI199" s="1520">
        <f t="shared" si="194"/>
        <v>0</v>
      </c>
      <c r="BJ199" s="26">
        <f t="shared" si="195"/>
        <v>0</v>
      </c>
      <c r="BK199" s="26">
        <f t="shared" si="196"/>
        <v>0</v>
      </c>
      <c r="BL199" s="26">
        <f t="shared" si="197"/>
        <v>0</v>
      </c>
      <c r="BM199" s="26">
        <f t="shared" si="198"/>
        <v>0</v>
      </c>
    </row>
    <row r="200" spans="2:65" x14ac:dyDescent="0.3">
      <c r="B200" s="1622" t="s">
        <v>630</v>
      </c>
      <c r="C200" s="1622"/>
      <c r="D200" s="1622"/>
      <c r="E200" s="1624"/>
      <c r="F200" s="1625">
        <f>+F159-F199</f>
        <v>0</v>
      </c>
      <c r="G200" s="1624"/>
      <c r="H200" s="1625">
        <f>+H159-H199</f>
        <v>0</v>
      </c>
      <c r="I200" s="1624"/>
      <c r="J200" s="1625">
        <f>+J159-J199</f>
        <v>0</v>
      </c>
      <c r="K200" s="1624"/>
      <c r="L200" s="1625">
        <f>+L159-L199</f>
        <v>9361.75</v>
      </c>
      <c r="M200" s="1624"/>
      <c r="N200" s="1625">
        <f>+N159-N199</f>
        <v>9361.7499999999854</v>
      </c>
      <c r="O200" s="1624"/>
      <c r="P200" s="1625">
        <f>+P159-P199</f>
        <v>11248.350000000006</v>
      </c>
      <c r="Q200" s="1624"/>
      <c r="R200" s="1625">
        <f>+R159-R199</f>
        <v>0</v>
      </c>
      <c r="S200" s="1624"/>
      <c r="T200" s="1625">
        <f>+T159-T199</f>
        <v>0</v>
      </c>
      <c r="U200" s="1624"/>
      <c r="V200" s="1625">
        <f>+V159-V199</f>
        <v>20610.099999999948</v>
      </c>
      <c r="W200" s="1624"/>
      <c r="X200" s="1625">
        <f>+X159-X199</f>
        <v>0</v>
      </c>
      <c r="Y200" s="1622"/>
      <c r="Z200" s="1625">
        <f>+Z159-Z199</f>
        <v>11248.35000000002</v>
      </c>
      <c r="AA200" s="1625"/>
      <c r="AB200" s="1625">
        <f>+AB159-AB199</f>
        <v>20610.099999999948</v>
      </c>
      <c r="AC200" s="1624"/>
      <c r="AD200" s="1625">
        <f>+AD159-AD199</f>
        <v>0</v>
      </c>
      <c r="AF200" s="1625">
        <f>+AF159-AF199</f>
        <v>20610.100000000064</v>
      </c>
      <c r="AG200" s="1624"/>
      <c r="AH200" s="1625">
        <f>+AH159-AH199</f>
        <v>0</v>
      </c>
      <c r="AJ200" s="1625">
        <f>+AJ159-AJ199</f>
        <v>20610.100000000035</v>
      </c>
      <c r="AK200" s="1624"/>
      <c r="AL200" s="1625">
        <f>+AL159-AL199</f>
        <v>0</v>
      </c>
      <c r="AM200" s="1622"/>
      <c r="AN200" s="1625">
        <f>+AN159-AN199</f>
        <v>0</v>
      </c>
      <c r="AP200" s="1625">
        <f>+AP159-AP199</f>
        <v>20610.100000000035</v>
      </c>
      <c r="AQ200" s="1622"/>
      <c r="AR200" s="1625">
        <f>+AR159-AR199</f>
        <v>0</v>
      </c>
      <c r="AT200" s="1625">
        <f>+AT159-AT199</f>
        <v>20610.100000000035</v>
      </c>
      <c r="AU200" s="1622"/>
      <c r="AV200" s="1625">
        <f>+AV159-AV199</f>
        <v>0</v>
      </c>
      <c r="AX200" s="1625">
        <f>+AX159-AX199</f>
        <v>20610.100000000035</v>
      </c>
      <c r="AY200" s="1622"/>
      <c r="AZ200" s="1625">
        <f>+AZ159-AZ199</f>
        <v>0</v>
      </c>
      <c r="BA200" s="1622"/>
      <c r="BB200" s="1625">
        <f>+BB159-BB199</f>
        <v>0</v>
      </c>
      <c r="BC200" s="1625"/>
      <c r="BD200" s="1625">
        <f>+BD159-BD199</f>
        <v>0</v>
      </c>
      <c r="BE200" s="1625"/>
      <c r="BF200" s="1625">
        <f>+BF159-BF199</f>
        <v>20610.099999999977</v>
      </c>
      <c r="BG200" s="1202"/>
      <c r="BH200" s="1520">
        <f t="shared" si="193"/>
        <v>0</v>
      </c>
      <c r="BI200" s="1520">
        <f t="shared" si="194"/>
        <v>2.9103830456733704E-11</v>
      </c>
      <c r="BJ200" s="26">
        <f t="shared" si="195"/>
        <v>0</v>
      </c>
      <c r="BK200" s="26">
        <f t="shared" si="196"/>
        <v>0</v>
      </c>
      <c r="BL200" s="26">
        <f t="shared" si="197"/>
        <v>0</v>
      </c>
      <c r="BM200" s="26">
        <f t="shared" si="198"/>
        <v>0</v>
      </c>
    </row>
    <row r="201" spans="2:65" x14ac:dyDescent="0.3">
      <c r="BG201" s="1202"/>
      <c r="BH201" s="1520">
        <f t="shared" si="193"/>
        <v>0</v>
      </c>
      <c r="BI201" s="1520">
        <f t="shared" si="194"/>
        <v>0</v>
      </c>
      <c r="BJ201" s="26">
        <f t="shared" si="195"/>
        <v>0</v>
      </c>
      <c r="BK201" s="26">
        <f t="shared" si="196"/>
        <v>0</v>
      </c>
      <c r="BL201" s="26">
        <f t="shared" si="197"/>
        <v>0</v>
      </c>
      <c r="BM201" s="26">
        <f t="shared" si="198"/>
        <v>0</v>
      </c>
    </row>
    <row r="202" spans="2:65" x14ac:dyDescent="0.3">
      <c r="C202" s="27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  <c r="AA202" s="114"/>
      <c r="AB202" s="114"/>
      <c r="AM202" s="114"/>
      <c r="AN202" s="114"/>
      <c r="BG202" s="1202"/>
      <c r="BH202" s="1520">
        <f t="shared" si="193"/>
        <v>0</v>
      </c>
      <c r="BI202" s="1520">
        <f t="shared" si="194"/>
        <v>0</v>
      </c>
      <c r="BJ202" s="26">
        <f t="shared" si="195"/>
        <v>0</v>
      </c>
      <c r="BK202" s="26">
        <f t="shared" si="196"/>
        <v>0</v>
      </c>
      <c r="BL202" s="26">
        <f t="shared" si="197"/>
        <v>0</v>
      </c>
      <c r="BM202" s="26">
        <f t="shared" si="198"/>
        <v>0</v>
      </c>
    </row>
    <row r="203" spans="2:65" x14ac:dyDescent="0.3">
      <c r="F203" s="114">
        <f>F159-'Maj Production Summ'!F30</f>
        <v>0</v>
      </c>
      <c r="G203" s="114">
        <f>G159-'Maj Production Summ'!G30</f>
        <v>0</v>
      </c>
      <c r="H203" s="114">
        <f>H159-'Maj Production Summ'!H30</f>
        <v>0</v>
      </c>
      <c r="I203" s="114"/>
      <c r="J203" s="114"/>
      <c r="K203" s="114">
        <f>K159-'Maj Production Summ'!K30</f>
        <v>0</v>
      </c>
      <c r="L203" s="114">
        <f>L159-'Maj Production Summ'!L30</f>
        <v>0</v>
      </c>
      <c r="M203" s="114">
        <f>M159-'Maj Production Summ'!M30</f>
        <v>0</v>
      </c>
      <c r="N203" s="114">
        <f>N159-'Maj Production Summ'!N30</f>
        <v>0</v>
      </c>
      <c r="O203" s="114">
        <f>O159-'Maj Production Summ'!O30</f>
        <v>0</v>
      </c>
      <c r="P203" s="114">
        <f>P159-'Maj Production Summ'!P30</f>
        <v>0</v>
      </c>
      <c r="Q203" s="114"/>
      <c r="R203" s="114"/>
      <c r="S203" s="114">
        <f>S159-'Maj Production Summ'!S30</f>
        <v>0</v>
      </c>
      <c r="T203" s="114">
        <f>T159-'Maj Production Summ'!T30</f>
        <v>0</v>
      </c>
      <c r="U203" s="114"/>
      <c r="V203" s="114"/>
      <c r="W203" s="114">
        <f>W159-'Maj Production Summ'!W30</f>
        <v>0</v>
      </c>
      <c r="X203" s="114">
        <f>X159-'Maj Production Summ'!X30</f>
        <v>0</v>
      </c>
      <c r="Y203" s="114">
        <f>Y159-'Maj Production Summ'!Y30</f>
        <v>0</v>
      </c>
      <c r="Z203" s="114">
        <f>Z159-'Maj Production Summ'!Z30</f>
        <v>0</v>
      </c>
      <c r="AA203" s="114">
        <f>AA159-'Maj Production Summ'!AA30</f>
        <v>0</v>
      </c>
      <c r="AB203" s="114">
        <f>AB159-'Maj Production Summ'!AB30</f>
        <v>0</v>
      </c>
      <c r="AC203" s="114">
        <f>AC159-'Maj Production Summ'!AC30</f>
        <v>0</v>
      </c>
      <c r="AD203" s="114">
        <f>AD159-'Maj Production Summ'!AD30</f>
        <v>0</v>
      </c>
      <c r="AE203" s="114">
        <f>AE159-'Maj Production Summ'!AE30</f>
        <v>0</v>
      </c>
      <c r="AF203" s="114">
        <f>AF159-'Maj Production Summ'!AF30</f>
        <v>0</v>
      </c>
      <c r="AG203" s="114">
        <f>AG159-'Maj Production Summ'!AG30</f>
        <v>0</v>
      </c>
      <c r="AH203" s="114">
        <f>AH159-'Maj Production Summ'!AH30</f>
        <v>0</v>
      </c>
      <c r="AI203" s="114">
        <f>AI159-'Maj Production Summ'!AI30</f>
        <v>0</v>
      </c>
      <c r="AJ203" s="114">
        <f>AJ159-'Maj Production Summ'!AJ30</f>
        <v>0</v>
      </c>
      <c r="AK203" s="114">
        <f>AK159-'Maj Production Summ'!AK30</f>
        <v>0</v>
      </c>
      <c r="AL203" s="114">
        <f>AL159-'Maj Production Summ'!AL30</f>
        <v>0</v>
      </c>
      <c r="AN203" s="114">
        <f>AN159-'Maj Production Summ'!AN30</f>
        <v>0</v>
      </c>
      <c r="AP203" s="114">
        <f>AP159-'Maj Production Summ'!AP30</f>
        <v>0</v>
      </c>
      <c r="AQ203" s="114">
        <f>AQ159-'Maj Production Summ'!AQ30</f>
        <v>0</v>
      </c>
      <c r="AR203" s="114">
        <f>AR159-'Maj Production Summ'!AR30</f>
        <v>0</v>
      </c>
      <c r="AT203" s="114">
        <f>AT159-'Maj Production Summ'!AT30</f>
        <v>0</v>
      </c>
      <c r="AU203" s="114">
        <f>AU159-'Maj Production Summ'!AU30</f>
        <v>0</v>
      </c>
      <c r="AV203" s="114">
        <f>AV159-'Maj Production Summ'!AV30</f>
        <v>0</v>
      </c>
      <c r="AW203" s="114">
        <f>AW159-'Maj Production Summ'!AW30</f>
        <v>0</v>
      </c>
      <c r="AX203" s="114">
        <f>AX159-'Maj Production Summ'!AX30</f>
        <v>0</v>
      </c>
      <c r="AY203" s="114">
        <f>AY159-'Maj Production Summ'!AY30</f>
        <v>0</v>
      </c>
      <c r="AZ203" s="114">
        <f>AZ159-'Maj Production Summ'!AZ30</f>
        <v>0</v>
      </c>
      <c r="BA203" s="114">
        <f>BA159-'Maj Production Summ'!BA30</f>
        <v>0</v>
      </c>
      <c r="BB203" s="114">
        <f>BB159-'Maj Production Summ'!BB30</f>
        <v>0</v>
      </c>
      <c r="BC203" s="114">
        <f>BC159-'Maj Production Summ'!BC30</f>
        <v>0</v>
      </c>
      <c r="BD203" s="114">
        <f>BD159-'Maj Production Summ'!BD30</f>
        <v>0</v>
      </c>
      <c r="BE203" s="114">
        <f>BE159-'Maj Production Summ'!BE30</f>
        <v>0</v>
      </c>
      <c r="BF203" s="114">
        <f>BF159-'Maj Production Summ'!BF30</f>
        <v>0</v>
      </c>
      <c r="BG203" s="1202"/>
      <c r="BH203" s="1520">
        <f t="shared" si="193"/>
        <v>0</v>
      </c>
      <c r="BI203" s="1520">
        <f t="shared" si="194"/>
        <v>0</v>
      </c>
      <c r="BJ203" s="26">
        <f t="shared" si="195"/>
        <v>0</v>
      </c>
      <c r="BK203" s="26">
        <f t="shared" si="196"/>
        <v>0</v>
      </c>
      <c r="BL203" s="26">
        <f t="shared" si="197"/>
        <v>0</v>
      </c>
      <c r="BM203" s="26">
        <f t="shared" si="198"/>
        <v>0</v>
      </c>
    </row>
    <row r="204" spans="2:65" x14ac:dyDescent="0.3">
      <c r="E204" s="26"/>
      <c r="F204" s="26"/>
      <c r="G204" s="26"/>
      <c r="H204" s="114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</row>
    <row r="205" spans="2:65" ht="15.75" customHeight="1" x14ac:dyDescent="0.3">
      <c r="E205" s="5514">
        <v>42500</v>
      </c>
      <c r="F205" s="5515">
        <v>36887.700000000004</v>
      </c>
      <c r="G205" s="5514">
        <v>44000</v>
      </c>
      <c r="H205" s="5515">
        <v>39489.149999999994</v>
      </c>
      <c r="I205" s="5514">
        <v>86500</v>
      </c>
      <c r="J205" s="5515">
        <v>76376.849999999991</v>
      </c>
      <c r="K205" s="5516">
        <v>42500</v>
      </c>
      <c r="L205" s="5515">
        <v>38408.049999999996</v>
      </c>
      <c r="M205" s="5514">
        <v>129000</v>
      </c>
      <c r="N205" s="5515">
        <v>114784.89999999997</v>
      </c>
      <c r="O205" s="5516">
        <v>44000</v>
      </c>
      <c r="P205" s="4821">
        <v>47277.1</v>
      </c>
      <c r="Q205" s="5514">
        <v>173000</v>
      </c>
      <c r="R205" s="5515">
        <v>162061.99999999997</v>
      </c>
      <c r="S205" s="2639">
        <v>44000</v>
      </c>
      <c r="T205" s="2639">
        <v>38800.350000000013</v>
      </c>
      <c r="U205" s="2639">
        <v>217000</v>
      </c>
      <c r="V205" s="2639">
        <v>200862.34999999989</v>
      </c>
      <c r="W205" s="2639">
        <v>25000</v>
      </c>
      <c r="X205" s="2639">
        <v>41149.650000000016</v>
      </c>
      <c r="Y205" s="2639">
        <v>113000</v>
      </c>
      <c r="Z205" s="2639">
        <v>127227.10000000005</v>
      </c>
      <c r="AA205" s="2639">
        <v>242000</v>
      </c>
      <c r="AB205" s="2639">
        <v>242012</v>
      </c>
      <c r="AC205" s="2639">
        <v>42500</v>
      </c>
      <c r="AD205" s="2639">
        <v>30063.250000000004</v>
      </c>
      <c r="AE205" s="2639">
        <v>284500</v>
      </c>
      <c r="AF205" s="2639">
        <v>272075.25</v>
      </c>
      <c r="AG205" s="2639">
        <v>42500</v>
      </c>
      <c r="AH205" s="2639">
        <v>34706.500000000007</v>
      </c>
      <c r="AI205" s="2639">
        <v>327000</v>
      </c>
      <c r="AJ205" s="2639">
        <v>306781.75000000006</v>
      </c>
      <c r="AK205" s="2639">
        <v>44000</v>
      </c>
      <c r="AL205" s="2639">
        <v>44159.05000000001</v>
      </c>
      <c r="AM205" s="2639">
        <v>129000</v>
      </c>
      <c r="AN205" s="2639">
        <v>108928.79999999999</v>
      </c>
      <c r="AO205" s="2639">
        <v>371000</v>
      </c>
      <c r="AP205" s="2639">
        <v>350940.8000000001</v>
      </c>
      <c r="AQ205">
        <v>44500</v>
      </c>
      <c r="AR205">
        <v>44632.600000000013</v>
      </c>
      <c r="AS205">
        <v>415500</v>
      </c>
      <c r="AT205">
        <v>395573.4000000002</v>
      </c>
      <c r="AV205">
        <v>37469.900000000016</v>
      </c>
    </row>
    <row r="206" spans="2:65" x14ac:dyDescent="0.3">
      <c r="C206" s="2638"/>
      <c r="E206" s="5514">
        <v>42500</v>
      </c>
      <c r="F206" s="5515">
        <v>36744.180000000008</v>
      </c>
      <c r="G206" s="5514">
        <v>44000</v>
      </c>
      <c r="H206" s="5515">
        <v>39362.049999999996</v>
      </c>
      <c r="I206" s="5514">
        <v>86500</v>
      </c>
      <c r="J206" s="5515">
        <v>76106.229999999981</v>
      </c>
      <c r="K206" s="5516">
        <v>42500</v>
      </c>
      <c r="L206" s="5515">
        <v>38295.44999999999</v>
      </c>
      <c r="M206" s="5514">
        <v>129000</v>
      </c>
      <c r="N206" s="5515">
        <v>114401.67999999993</v>
      </c>
      <c r="O206" s="5516">
        <v>44000</v>
      </c>
      <c r="P206" s="4821">
        <v>47070.05</v>
      </c>
      <c r="Q206" s="5514">
        <v>173000</v>
      </c>
      <c r="R206" s="5515">
        <v>161471.73000000001</v>
      </c>
      <c r="S206" s="2639">
        <v>44000</v>
      </c>
      <c r="T206" s="2639">
        <v>38732.700000000012</v>
      </c>
      <c r="U206" s="2639">
        <v>217000</v>
      </c>
      <c r="V206" s="2639">
        <v>200204.42999999993</v>
      </c>
      <c r="W206" s="2639">
        <v>25000</v>
      </c>
      <c r="X206" s="2639">
        <v>41006.150000000009</v>
      </c>
      <c r="Y206" s="2639">
        <v>113000</v>
      </c>
      <c r="Z206" s="2639">
        <v>126808.90000000007</v>
      </c>
      <c r="AA206" s="2639">
        <v>242000</v>
      </c>
      <c r="AB206" s="2639">
        <v>241210.58</v>
      </c>
      <c r="AC206" s="2639">
        <v>42500</v>
      </c>
      <c r="AD206" s="2639">
        <v>30036.600000000006</v>
      </c>
      <c r="AE206" s="2639">
        <v>284500</v>
      </c>
      <c r="AF206" s="2639">
        <v>271247.18000000011</v>
      </c>
      <c r="AG206" s="2639">
        <v>42500</v>
      </c>
      <c r="AH206" s="2639">
        <v>34618.350000000006</v>
      </c>
      <c r="AI206" s="2639">
        <v>327000</v>
      </c>
      <c r="AJ206" s="2639">
        <v>305865.53000000009</v>
      </c>
      <c r="AK206" s="2639">
        <v>44000</v>
      </c>
      <c r="AL206" s="2639">
        <v>44036.05000000001</v>
      </c>
      <c r="AM206" s="2639">
        <v>129000</v>
      </c>
      <c r="AN206" s="2639">
        <v>108691</v>
      </c>
      <c r="AO206" s="2639">
        <v>371000</v>
      </c>
      <c r="AP206" s="2639">
        <v>349901.58000000013</v>
      </c>
      <c r="AQ206">
        <v>44500</v>
      </c>
      <c r="AR206">
        <v>44599.80000000001</v>
      </c>
      <c r="AS206">
        <v>415500</v>
      </c>
      <c r="AT206">
        <v>394501.38000000024</v>
      </c>
      <c r="AV206">
        <v>37420.700000000012</v>
      </c>
    </row>
    <row r="207" spans="2:65" x14ac:dyDescent="0.3">
      <c r="C207" s="274"/>
      <c r="E207" s="5514"/>
      <c r="F207" s="5515">
        <v>143.51999999999998</v>
      </c>
      <c r="G207" s="5514"/>
      <c r="H207" s="5515">
        <v>127.1</v>
      </c>
      <c r="I207" s="5514"/>
      <c r="J207" s="5515">
        <v>270.62000000000006</v>
      </c>
      <c r="K207" s="5516"/>
      <c r="L207" s="5515">
        <v>112.6</v>
      </c>
      <c r="M207" s="5514"/>
      <c r="N207" s="5515">
        <v>383.22000000000008</v>
      </c>
      <c r="O207" s="5516"/>
      <c r="P207" s="4821">
        <v>207.05</v>
      </c>
      <c r="Q207" s="5514"/>
      <c r="R207" s="5515">
        <v>590.26999999999987</v>
      </c>
      <c r="S207" s="2639"/>
      <c r="T207" s="2639">
        <v>67.649999999999991</v>
      </c>
      <c r="U207" s="2639"/>
      <c r="V207" s="2639">
        <v>657.92</v>
      </c>
      <c r="W207" s="2639"/>
      <c r="X207" s="2639">
        <v>143.50000000000003</v>
      </c>
      <c r="Y207" s="2639"/>
      <c r="Z207" s="2639">
        <v>418.19999999999993</v>
      </c>
      <c r="AA207" s="2639"/>
      <c r="AB207" s="2639">
        <v>801.42</v>
      </c>
      <c r="AC207" s="2639"/>
      <c r="AD207" s="2639">
        <v>26.65</v>
      </c>
      <c r="AE207" s="2639"/>
      <c r="AF207" s="2639">
        <v>828.07</v>
      </c>
      <c r="AG207" s="2639"/>
      <c r="AH207" s="2639">
        <v>88.149999999999991</v>
      </c>
      <c r="AI207" s="2639"/>
      <c r="AJ207" s="2639">
        <v>916.22</v>
      </c>
      <c r="AK207" s="2639"/>
      <c r="AL207" s="2639">
        <v>123</v>
      </c>
      <c r="AM207" s="2639"/>
      <c r="AN207" s="2639">
        <v>237.8</v>
      </c>
      <c r="AO207" s="2639"/>
      <c r="AP207" s="2639">
        <v>1039.22</v>
      </c>
      <c r="AR207">
        <v>32.800000000000004</v>
      </c>
      <c r="AT207">
        <v>1072.02</v>
      </c>
      <c r="AV207">
        <v>49.199999999999989</v>
      </c>
    </row>
    <row r="208" spans="2:65" x14ac:dyDescent="0.3">
      <c r="E208" s="4525"/>
      <c r="F208" s="4525"/>
      <c r="G208" s="4525"/>
      <c r="H208" s="114"/>
      <c r="I208" s="4525"/>
      <c r="J208" s="4525"/>
      <c r="K208" s="4525"/>
      <c r="L208" s="4525"/>
      <c r="M208" s="4525"/>
      <c r="N208" s="4525"/>
      <c r="O208" s="4525"/>
      <c r="P208" s="4525"/>
      <c r="Q208" s="4525"/>
      <c r="R208" s="4525"/>
      <c r="S208" s="4525"/>
      <c r="T208" s="4525"/>
      <c r="U208" s="4525"/>
      <c r="V208" s="4525"/>
      <c r="W208" s="4525"/>
      <c r="X208" s="4525"/>
      <c r="Y208" s="4525"/>
      <c r="Z208" s="4525"/>
      <c r="AA208" s="4525"/>
      <c r="AB208" s="4525"/>
      <c r="AC208" s="4525"/>
      <c r="AD208" s="4525"/>
      <c r="AE208" s="4525"/>
      <c r="AF208" s="4525"/>
      <c r="AG208" s="4525"/>
      <c r="AH208" s="4525"/>
      <c r="AI208" s="4525"/>
      <c r="AJ208" s="4525"/>
      <c r="AK208" s="4525"/>
      <c r="AL208" s="4525"/>
      <c r="AM208" s="4525"/>
      <c r="AN208" s="4525"/>
      <c r="AO208" s="4525"/>
      <c r="AP208" s="4525"/>
      <c r="AQ208" s="4525"/>
      <c r="AR208" s="4525"/>
      <c r="AS208" s="4525"/>
      <c r="AT208" s="4525"/>
      <c r="AU208" s="4525"/>
      <c r="AV208" s="4525"/>
      <c r="AW208" s="4525"/>
      <c r="AX208" s="4525"/>
      <c r="AY208" s="4525"/>
      <c r="AZ208" s="4525"/>
      <c r="BA208" s="4525"/>
      <c r="BB208" s="4525"/>
      <c r="BC208" s="4525"/>
      <c r="BD208" s="4525"/>
      <c r="BE208" s="4525"/>
      <c r="BF208" s="4525"/>
    </row>
    <row r="209" spans="3:58" x14ac:dyDescent="0.3">
      <c r="C209" s="1621"/>
    </row>
    <row r="210" spans="3:58" x14ac:dyDescent="0.3">
      <c r="C210" s="2639"/>
      <c r="E210" s="4525">
        <f t="shared" ref="E210:AT210" si="199">E205-E158</f>
        <v>0</v>
      </c>
      <c r="F210" s="4525">
        <f t="shared" si="199"/>
        <v>0</v>
      </c>
      <c r="G210" s="4525">
        <f t="shared" si="199"/>
        <v>0</v>
      </c>
      <c r="H210" s="4525">
        <f t="shared" si="199"/>
        <v>0</v>
      </c>
      <c r="I210" s="4525">
        <f t="shared" si="199"/>
        <v>0</v>
      </c>
      <c r="J210" s="4525">
        <f t="shared" si="199"/>
        <v>0</v>
      </c>
      <c r="K210" s="4525">
        <f t="shared" si="199"/>
        <v>0</v>
      </c>
      <c r="L210" s="4525">
        <f t="shared" si="199"/>
        <v>0</v>
      </c>
      <c r="M210" s="4525">
        <f t="shared" si="199"/>
        <v>0</v>
      </c>
      <c r="N210" s="4525">
        <f t="shared" si="199"/>
        <v>0</v>
      </c>
      <c r="O210" s="4525">
        <f t="shared" si="199"/>
        <v>0</v>
      </c>
      <c r="P210" s="4525">
        <f t="shared" si="199"/>
        <v>0</v>
      </c>
      <c r="Q210" s="4525">
        <f t="shared" si="199"/>
        <v>0</v>
      </c>
      <c r="R210" s="4525">
        <f t="shared" si="199"/>
        <v>0</v>
      </c>
      <c r="S210" s="4525">
        <f t="shared" si="199"/>
        <v>0</v>
      </c>
      <c r="T210" s="4525">
        <f t="shared" si="199"/>
        <v>0</v>
      </c>
      <c r="U210" s="4525">
        <f t="shared" si="199"/>
        <v>0</v>
      </c>
      <c r="V210" s="4525">
        <f t="shared" si="199"/>
        <v>0</v>
      </c>
      <c r="W210" s="4525">
        <f t="shared" si="199"/>
        <v>0</v>
      </c>
      <c r="X210" s="4525">
        <f t="shared" si="199"/>
        <v>0</v>
      </c>
      <c r="Y210" s="4525">
        <f t="shared" si="199"/>
        <v>0</v>
      </c>
      <c r="Z210" s="4525">
        <f t="shared" si="199"/>
        <v>0</v>
      </c>
      <c r="AA210" s="4525">
        <f t="shared" si="199"/>
        <v>0</v>
      </c>
      <c r="AB210" s="4525">
        <f t="shared" si="199"/>
        <v>0</v>
      </c>
      <c r="AC210" s="4525">
        <f t="shared" si="199"/>
        <v>0</v>
      </c>
      <c r="AD210" s="4525">
        <f t="shared" si="199"/>
        <v>0</v>
      </c>
      <c r="AE210" s="4525">
        <f t="shared" si="199"/>
        <v>0</v>
      </c>
      <c r="AF210" s="4525">
        <f t="shared" si="199"/>
        <v>0</v>
      </c>
      <c r="AG210" s="4525">
        <f t="shared" si="199"/>
        <v>0</v>
      </c>
      <c r="AH210" s="4525">
        <f t="shared" si="199"/>
        <v>0</v>
      </c>
      <c r="AI210" s="4525">
        <f t="shared" si="199"/>
        <v>0</v>
      </c>
      <c r="AJ210" s="4525">
        <f t="shared" si="199"/>
        <v>0</v>
      </c>
      <c r="AK210" s="4525">
        <f t="shared" si="199"/>
        <v>0</v>
      </c>
      <c r="AL210" s="4525">
        <f t="shared" si="199"/>
        <v>0</v>
      </c>
      <c r="AM210" s="4525">
        <f t="shared" si="199"/>
        <v>0</v>
      </c>
      <c r="AN210" s="4525">
        <f t="shared" si="199"/>
        <v>0</v>
      </c>
      <c r="AO210" s="4525">
        <f t="shared" si="199"/>
        <v>0</v>
      </c>
      <c r="AP210" s="4525">
        <f t="shared" si="199"/>
        <v>0</v>
      </c>
      <c r="AQ210" s="4525">
        <f t="shared" si="199"/>
        <v>0</v>
      </c>
      <c r="AR210" s="4525">
        <f t="shared" si="199"/>
        <v>0</v>
      </c>
      <c r="AS210" s="4525">
        <f t="shared" si="199"/>
        <v>0</v>
      </c>
      <c r="AT210" s="4525">
        <f t="shared" si="199"/>
        <v>0</v>
      </c>
      <c r="AU210" s="4525"/>
      <c r="AV210" s="4525">
        <f>AV205-AV158</f>
        <v>0</v>
      </c>
      <c r="AW210" s="4525"/>
      <c r="AX210" s="4525"/>
      <c r="AY210" s="4525"/>
      <c r="AZ210" s="4525"/>
      <c r="BA210" s="4525"/>
      <c r="BB210" s="4525"/>
      <c r="BC210" s="4525"/>
      <c r="BD210" s="4525"/>
      <c r="BE210" s="4525"/>
      <c r="BF210" s="4525"/>
    </row>
    <row r="211" spans="3:58" x14ac:dyDescent="0.3">
      <c r="C211" s="2639"/>
      <c r="E211" s="4525"/>
      <c r="F211" s="4525"/>
      <c r="G211" s="4525"/>
      <c r="H211" s="4525"/>
      <c r="I211" s="4525"/>
      <c r="J211" s="4525"/>
      <c r="K211" s="4525"/>
      <c r="L211" s="4525"/>
      <c r="M211" s="4525"/>
      <c r="N211" s="4525"/>
      <c r="O211" s="4525"/>
      <c r="P211" s="4525"/>
      <c r="Q211" s="4525"/>
      <c r="R211" s="4525"/>
      <c r="S211" s="4525"/>
      <c r="T211" s="5513"/>
      <c r="U211" s="4525"/>
      <c r="V211" s="4525"/>
      <c r="W211" s="4525"/>
      <c r="X211" s="4525"/>
      <c r="Y211" s="4525"/>
      <c r="Z211" s="4525"/>
      <c r="AA211" s="4525"/>
      <c r="AB211" s="4525"/>
      <c r="AC211" s="4525"/>
      <c r="AD211" s="4525"/>
      <c r="AE211" s="4525"/>
      <c r="AF211" s="4525"/>
      <c r="AG211" s="4525"/>
      <c r="AH211" s="4525"/>
      <c r="AI211" s="4525"/>
      <c r="AJ211" s="4525"/>
      <c r="AK211" s="4525"/>
      <c r="AL211" s="4525"/>
      <c r="AM211" s="4525"/>
      <c r="AN211" s="4525"/>
      <c r="AO211" s="4525"/>
      <c r="AP211" s="4525"/>
      <c r="AQ211" s="4525"/>
      <c r="AR211" s="4525"/>
      <c r="AS211" s="4525"/>
      <c r="AT211" s="4525"/>
      <c r="AU211" s="4525"/>
      <c r="AV211" s="4525"/>
      <c r="AW211" s="4525"/>
      <c r="AX211" s="4525"/>
      <c r="AY211" s="4525"/>
      <c r="AZ211" s="4525"/>
      <c r="BA211" s="4525"/>
      <c r="BB211" s="4525"/>
      <c r="BC211" s="4525"/>
      <c r="BD211" s="4525"/>
      <c r="BE211" s="4525"/>
      <c r="BF211" s="4525"/>
    </row>
    <row r="212" spans="3:58" x14ac:dyDescent="0.3">
      <c r="E212" s="4525"/>
      <c r="F212" s="4525"/>
      <c r="G212" s="4525"/>
      <c r="H212" s="4525"/>
      <c r="I212" s="4525"/>
      <c r="J212" s="4525"/>
      <c r="K212" s="4525"/>
      <c r="L212" s="4525"/>
      <c r="M212" s="4525"/>
      <c r="N212" s="4525"/>
      <c r="O212" s="4525"/>
      <c r="P212" s="4525"/>
      <c r="Q212" s="4525"/>
      <c r="R212" s="4525"/>
      <c r="S212" s="4525"/>
      <c r="T212" s="4525"/>
      <c r="U212" s="4525"/>
      <c r="V212" s="4525"/>
      <c r="W212" s="4525"/>
      <c r="X212" s="4525"/>
      <c r="Y212" s="4525"/>
      <c r="Z212" s="4525"/>
      <c r="AA212" s="4525"/>
      <c r="AB212" s="4525"/>
      <c r="AC212" s="4525"/>
      <c r="AD212" s="4525"/>
      <c r="AE212" s="4525"/>
      <c r="AF212" s="4525"/>
      <c r="AG212" s="4525"/>
      <c r="AH212" s="4525"/>
      <c r="AI212" s="4525"/>
      <c r="AJ212" s="4525"/>
      <c r="AK212" s="4525"/>
      <c r="AL212" s="4525"/>
      <c r="AM212" s="4525"/>
      <c r="AN212" s="4525"/>
      <c r="AO212" s="4525"/>
      <c r="AP212" s="4525"/>
      <c r="AQ212" s="4525"/>
      <c r="AR212" s="4525"/>
      <c r="AS212" s="4525"/>
      <c r="AT212" s="4525"/>
      <c r="AU212" s="4525"/>
      <c r="AV212" s="4525"/>
      <c r="AW212" s="4525"/>
      <c r="AX212" s="4525"/>
      <c r="AY212" s="4525"/>
      <c r="AZ212" s="4525"/>
      <c r="BA212" s="4525"/>
      <c r="BB212" s="4525"/>
      <c r="BC212" s="4525"/>
      <c r="BD212" s="4525"/>
      <c r="BE212" s="4525"/>
      <c r="BF212" s="4525"/>
    </row>
    <row r="213" spans="3:58" x14ac:dyDescent="0.3">
      <c r="E213" s="4525"/>
      <c r="F213" s="4525"/>
      <c r="G213" s="4525"/>
      <c r="H213" s="5390"/>
      <c r="I213" s="5390"/>
      <c r="J213" s="5390"/>
      <c r="K213" s="5390"/>
      <c r="L213" s="5390"/>
      <c r="M213" s="5390"/>
      <c r="N213" s="5390"/>
      <c r="O213" s="5390"/>
      <c r="P213" s="5390"/>
      <c r="Q213" s="5390"/>
      <c r="R213" s="5390"/>
      <c r="S213" s="5390"/>
      <c r="T213" s="5390"/>
      <c r="U213" s="5390"/>
      <c r="V213" s="5390"/>
      <c r="W213" s="5390"/>
      <c r="X213" s="5390"/>
      <c r="Y213" s="5390"/>
      <c r="Z213" s="5390"/>
      <c r="AA213" s="5390"/>
      <c r="AB213" s="5390"/>
      <c r="AC213" s="5390"/>
      <c r="AD213" s="5390"/>
      <c r="AE213" s="5390"/>
      <c r="AF213" s="5390"/>
      <c r="AG213" s="5390"/>
      <c r="AH213" s="5390"/>
      <c r="AI213" s="5390"/>
      <c r="AJ213" s="5390"/>
      <c r="AK213" s="5390"/>
      <c r="AL213" s="5390"/>
      <c r="AM213" s="5390"/>
      <c r="AN213" s="5390"/>
      <c r="AO213" s="5390"/>
      <c r="AP213" s="5390"/>
      <c r="AQ213" s="4525"/>
      <c r="AR213" s="4525"/>
      <c r="AS213" s="4525"/>
      <c r="AT213" s="4525"/>
    </row>
  </sheetData>
  <mergeCells count="31"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1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0033CC"/>
    <pageSetUpPr fitToPage="1"/>
  </sheetPr>
  <dimension ref="A1:BN100"/>
  <sheetViews>
    <sheetView zoomScaleNormal="100" workbookViewId="0">
      <pane xSplit="4" topLeftCell="BA1" activePane="topRight" state="frozen"/>
      <selection pane="topRight" activeCell="AU4" sqref="AU4"/>
    </sheetView>
  </sheetViews>
  <sheetFormatPr defaultColWidth="8.88671875" defaultRowHeight="14.4" x14ac:dyDescent="0.3"/>
  <cols>
    <col min="2" max="2" width="39.33203125" bestFit="1" customWidth="1"/>
    <col min="3" max="3" width="17.33203125" bestFit="1" customWidth="1"/>
    <col min="4" max="4" width="24.33203125" bestFit="1" customWidth="1"/>
    <col min="5" max="5" width="10.44140625" customWidth="1"/>
    <col min="6" max="6" width="8.6640625" bestFit="1" customWidth="1"/>
    <col min="7" max="7" width="10.6640625" customWidth="1"/>
    <col min="8" max="8" width="8.6640625" customWidth="1"/>
    <col min="9" max="9" width="9" hidden="1" customWidth="1"/>
    <col min="10" max="10" width="9.44140625" hidden="1" customWidth="1"/>
    <col min="11" max="12" width="8.6640625" customWidth="1"/>
    <col min="13" max="13" width="13.44140625" customWidth="1"/>
    <col min="14" max="14" width="9" customWidth="1"/>
    <col min="15" max="15" width="9.109375" customWidth="1"/>
    <col min="16" max="16" width="8.6640625" bestFit="1" customWidth="1"/>
    <col min="17" max="17" width="12.109375" hidden="1" customWidth="1"/>
    <col min="18" max="18" width="9.44140625" hidden="1" customWidth="1"/>
    <col min="19" max="19" width="8.88671875" customWidth="1"/>
    <col min="20" max="20" width="11.33203125" customWidth="1"/>
    <col min="21" max="22" width="9" hidden="1" customWidth="1"/>
    <col min="23" max="23" width="8.6640625" customWidth="1"/>
    <col min="24" max="24" width="9.5546875" customWidth="1"/>
    <col min="25" max="25" width="9.33203125" customWidth="1"/>
    <col min="26" max="26" width="9" customWidth="1"/>
    <col min="27" max="27" width="9.33203125" customWidth="1"/>
    <col min="28" max="28" width="9" customWidth="1"/>
    <col min="29" max="29" width="8.88671875" customWidth="1"/>
    <col min="30" max="30" width="8" bestFit="1" customWidth="1"/>
    <col min="31" max="31" width="8.88671875" hidden="1" customWidth="1"/>
    <col min="32" max="32" width="9" hidden="1" customWidth="1"/>
    <col min="33" max="34" width="8.88671875" customWidth="1"/>
    <col min="35" max="36" width="8.88671875" hidden="1" customWidth="1"/>
    <col min="37" max="40" width="8.88671875" customWidth="1"/>
    <col min="41" max="42" width="8.88671875" hidden="1" customWidth="1"/>
    <col min="43" max="44" width="8.88671875" customWidth="1"/>
    <col min="45" max="46" width="8.88671875" hidden="1" customWidth="1"/>
    <col min="47" max="48" width="8.88671875" customWidth="1"/>
    <col min="49" max="49" width="9" hidden="1" customWidth="1"/>
    <col min="50" max="50" width="8.88671875" hidden="1" customWidth="1"/>
    <col min="51" max="59" width="8.88671875" customWidth="1"/>
    <col min="60" max="60" width="9.5546875" bestFit="1" customWidth="1"/>
  </cols>
  <sheetData>
    <row r="1" spans="1:66" ht="22.8" x14ac:dyDescent="0.4">
      <c r="B1" s="384" t="s">
        <v>95</v>
      </c>
      <c r="C1" s="384"/>
      <c r="D1" s="44"/>
      <c r="E1" s="44"/>
      <c r="F1" s="4069"/>
      <c r="G1" s="44"/>
      <c r="H1" s="594"/>
      <c r="I1" s="44"/>
      <c r="J1" s="44"/>
      <c r="K1" s="151"/>
      <c r="L1" s="594"/>
      <c r="M1" s="92"/>
      <c r="N1" s="92"/>
      <c r="O1" s="151"/>
      <c r="P1" s="1573"/>
      <c r="Q1" s="92"/>
      <c r="R1" s="114"/>
      <c r="S1" s="92"/>
      <c r="T1" s="92"/>
      <c r="U1" s="92"/>
      <c r="V1" s="92"/>
      <c r="W1" s="92"/>
      <c r="X1" s="92"/>
      <c r="Y1" s="92"/>
      <c r="Z1" s="92"/>
      <c r="AA1" s="92"/>
      <c r="AB1" s="92"/>
    </row>
    <row r="2" spans="1:66" s="274" customFormat="1" ht="15" thickBot="1" x14ac:dyDescent="0.35">
      <c r="B2" s="199"/>
      <c r="C2" s="199"/>
      <c r="D2" s="199"/>
      <c r="E2" s="95">
        <v>30</v>
      </c>
      <c r="F2" s="95">
        <v>30</v>
      </c>
      <c r="G2" s="95">
        <v>31</v>
      </c>
      <c r="H2" s="95">
        <v>31</v>
      </c>
      <c r="I2" s="95">
        <f>+E2+G2</f>
        <v>61</v>
      </c>
      <c r="J2" s="95">
        <f>+F2+H2</f>
        <v>61</v>
      </c>
      <c r="K2" s="394">
        <v>30</v>
      </c>
      <c r="L2" s="95">
        <v>30</v>
      </c>
      <c r="M2" s="394">
        <f>+I2+K2</f>
        <v>91</v>
      </c>
      <c r="N2" s="394">
        <f>+J2+L2</f>
        <v>91</v>
      </c>
      <c r="O2" s="394">
        <v>31</v>
      </c>
      <c r="P2" s="394">
        <v>31</v>
      </c>
      <c r="Q2" s="95">
        <f>+M2+O2</f>
        <v>122</v>
      </c>
      <c r="R2" s="95">
        <f>+N2+P2</f>
        <v>122</v>
      </c>
      <c r="S2" s="342">
        <v>31</v>
      </c>
      <c r="T2" s="342">
        <v>31</v>
      </c>
      <c r="U2" s="342">
        <f>+Q2+S2</f>
        <v>153</v>
      </c>
      <c r="V2" s="342">
        <f>+R2+T2</f>
        <v>153</v>
      </c>
      <c r="W2" s="342">
        <v>30</v>
      </c>
      <c r="X2" s="342">
        <v>30</v>
      </c>
      <c r="Y2" s="342">
        <f>+O2+S2+W2</f>
        <v>92</v>
      </c>
      <c r="Z2" s="342">
        <f>+P2+T2+X2</f>
        <v>92</v>
      </c>
      <c r="AA2" s="342">
        <f>+Y2+M2</f>
        <v>183</v>
      </c>
      <c r="AB2" s="342">
        <f>+Z2+N2</f>
        <v>183</v>
      </c>
      <c r="AC2" s="342">
        <v>31</v>
      </c>
      <c r="AD2" s="342">
        <v>31</v>
      </c>
      <c r="AE2" s="342">
        <f>+AA2+AC2</f>
        <v>214</v>
      </c>
      <c r="AF2" s="342">
        <f>+AB2+AD2</f>
        <v>214</v>
      </c>
      <c r="AG2" s="342">
        <v>30</v>
      </c>
      <c r="AH2" s="342">
        <v>30</v>
      </c>
      <c r="AI2" s="342">
        <f>+AE2+AG2</f>
        <v>244</v>
      </c>
      <c r="AJ2" s="342">
        <f>+AF2+AH2</f>
        <v>244</v>
      </c>
      <c r="AK2" s="342">
        <v>31</v>
      </c>
      <c r="AL2" s="342">
        <v>31</v>
      </c>
      <c r="AM2" s="342">
        <f>+AC2+AG2+AK2</f>
        <v>92</v>
      </c>
      <c r="AN2" s="342">
        <f>+AD2+AH2+AL2</f>
        <v>92</v>
      </c>
      <c r="AO2" s="342">
        <f>AI2+AK2</f>
        <v>275</v>
      </c>
      <c r="AP2" s="342">
        <f>AJ2+AL2</f>
        <v>275</v>
      </c>
      <c r="AQ2" s="342">
        <v>31</v>
      </c>
      <c r="AR2" s="342">
        <v>31</v>
      </c>
      <c r="AS2" s="342">
        <f>+AO2+AQ2</f>
        <v>306</v>
      </c>
      <c r="AT2" s="342">
        <f>+AP2+AR2</f>
        <v>306</v>
      </c>
      <c r="AU2" s="342">
        <v>28</v>
      </c>
      <c r="AV2" s="342">
        <v>28</v>
      </c>
      <c r="AW2" s="342">
        <f>+AS2+AU2</f>
        <v>334</v>
      </c>
      <c r="AX2" s="342">
        <f>+AT2+AV2</f>
        <v>334</v>
      </c>
      <c r="AY2" s="342">
        <v>31</v>
      </c>
      <c r="AZ2" s="274">
        <v>31</v>
      </c>
      <c r="BA2" s="342">
        <f>+AQ2+AU2+AY2</f>
        <v>90</v>
      </c>
      <c r="BB2" s="342">
        <f>+AR2+AV2+AZ2</f>
        <v>90</v>
      </c>
      <c r="BC2" s="342">
        <f>+AM2+BA2</f>
        <v>182</v>
      </c>
      <c r="BD2" s="342">
        <f>+AN2+BB2</f>
        <v>182</v>
      </c>
      <c r="BE2" s="342">
        <f>+AW2+AY2</f>
        <v>365</v>
      </c>
      <c r="BF2" s="342">
        <f>+AX2+AZ2</f>
        <v>365</v>
      </c>
    </row>
    <row r="3" spans="1:66" ht="15" thickBot="1" x14ac:dyDescent="0.35">
      <c r="B3" s="5874" t="s">
        <v>171</v>
      </c>
      <c r="C3" s="6302" t="s">
        <v>844</v>
      </c>
      <c r="D3" s="5952" t="s">
        <v>172</v>
      </c>
      <c r="E3" s="5866" t="s">
        <v>1962</v>
      </c>
      <c r="F3" s="6013"/>
      <c r="G3" s="5866" t="s">
        <v>2013</v>
      </c>
      <c r="H3" s="5866"/>
      <c r="I3" s="5867" t="s">
        <v>14</v>
      </c>
      <c r="J3" s="5868"/>
      <c r="K3" s="5957" t="s">
        <v>2043</v>
      </c>
      <c r="L3" s="5954"/>
      <c r="M3" s="5958" t="s">
        <v>637</v>
      </c>
      <c r="N3" s="5870"/>
      <c r="O3" s="5866" t="s">
        <v>2065</v>
      </c>
      <c r="P3" s="5866"/>
      <c r="Q3" s="5867" t="s">
        <v>17</v>
      </c>
      <c r="R3" s="5868"/>
      <c r="S3" s="5866" t="s">
        <v>2068</v>
      </c>
      <c r="T3" s="5866"/>
      <c r="U3" s="5867" t="s">
        <v>18</v>
      </c>
      <c r="V3" s="5868"/>
      <c r="W3" s="5866" t="s">
        <v>2110</v>
      </c>
      <c r="X3" s="5866"/>
      <c r="Y3" s="5958" t="s">
        <v>660</v>
      </c>
      <c r="Z3" s="5870"/>
      <c r="AA3" s="5871" t="s">
        <v>657</v>
      </c>
      <c r="AB3" s="5872"/>
      <c r="AC3" s="5866" t="s">
        <v>2135</v>
      </c>
      <c r="AD3" s="5866"/>
      <c r="AE3" s="5867" t="s">
        <v>24</v>
      </c>
      <c r="AF3" s="5868"/>
      <c r="AG3" s="5866" t="s">
        <v>2238</v>
      </c>
      <c r="AH3" s="5866"/>
      <c r="AI3" s="5867" t="s">
        <v>27</v>
      </c>
      <c r="AJ3" s="5868"/>
      <c r="AK3" s="5866" t="s">
        <v>2262</v>
      </c>
      <c r="AL3" s="5866"/>
      <c r="AM3" s="5958" t="s">
        <v>662</v>
      </c>
      <c r="AN3" s="5870"/>
      <c r="AO3" s="5867" t="s">
        <v>1613</v>
      </c>
      <c r="AP3" s="5868"/>
      <c r="AQ3" s="5866" t="s">
        <v>2274</v>
      </c>
      <c r="AR3" s="5866"/>
      <c r="AS3" s="5867" t="s">
        <v>28</v>
      </c>
      <c r="AT3" s="5868"/>
      <c r="AU3" s="5866" t="s">
        <v>2311</v>
      </c>
      <c r="AV3" s="5866"/>
      <c r="AW3" s="5867" t="s">
        <v>30</v>
      </c>
      <c r="AX3" s="5868"/>
      <c r="AY3" s="5866" t="s">
        <v>2329</v>
      </c>
      <c r="AZ3" s="5866"/>
      <c r="BA3" s="5958" t="s">
        <v>663</v>
      </c>
      <c r="BB3" s="5870"/>
      <c r="BC3" s="5871" t="s">
        <v>670</v>
      </c>
      <c r="BD3" s="5872"/>
      <c r="BE3" s="5867" t="s">
        <v>2041</v>
      </c>
      <c r="BF3" s="5868"/>
    </row>
    <row r="4" spans="1:66" ht="15" thickBot="1" x14ac:dyDescent="0.35">
      <c r="B4" s="5875"/>
      <c r="C4" s="6303"/>
      <c r="D4" s="5953"/>
      <c r="E4" s="541" t="s">
        <v>173</v>
      </c>
      <c r="F4" s="154" t="s">
        <v>174</v>
      </c>
      <c r="G4" s="541" t="s">
        <v>173</v>
      </c>
      <c r="H4" s="175" t="s">
        <v>174</v>
      </c>
      <c r="I4" s="143" t="s">
        <v>173</v>
      </c>
      <c r="J4" s="160" t="s">
        <v>174</v>
      </c>
      <c r="K4" s="227" t="s">
        <v>173</v>
      </c>
      <c r="L4" s="175" t="s">
        <v>174</v>
      </c>
      <c r="M4" s="699" t="s">
        <v>173</v>
      </c>
      <c r="N4" s="167" t="s">
        <v>174</v>
      </c>
      <c r="O4" s="227" t="s">
        <v>173</v>
      </c>
      <c r="P4" s="395" t="s">
        <v>174</v>
      </c>
      <c r="Q4" s="143" t="s">
        <v>173</v>
      </c>
      <c r="R4" s="160" t="s">
        <v>174</v>
      </c>
      <c r="S4" s="227" t="s">
        <v>173</v>
      </c>
      <c r="T4" s="175" t="s">
        <v>174</v>
      </c>
      <c r="U4" s="143" t="s">
        <v>173</v>
      </c>
      <c r="V4" s="160" t="s">
        <v>174</v>
      </c>
      <c r="W4" s="227" t="s">
        <v>173</v>
      </c>
      <c r="X4" s="395" t="s">
        <v>174</v>
      </c>
      <c r="Y4" s="699" t="s">
        <v>173</v>
      </c>
      <c r="Z4" s="167" t="s">
        <v>174</v>
      </c>
      <c r="AA4" s="700" t="s">
        <v>173</v>
      </c>
      <c r="AB4" s="462" t="s">
        <v>174</v>
      </c>
      <c r="AC4" s="227" t="s">
        <v>173</v>
      </c>
      <c r="AD4" s="175" t="s">
        <v>174</v>
      </c>
      <c r="AE4" s="143" t="s">
        <v>173</v>
      </c>
      <c r="AF4" s="160" t="s">
        <v>174</v>
      </c>
      <c r="AG4" s="227" t="s">
        <v>173</v>
      </c>
      <c r="AH4" s="175" t="s">
        <v>174</v>
      </c>
      <c r="AI4" s="143" t="s">
        <v>173</v>
      </c>
      <c r="AJ4" s="160" t="s">
        <v>174</v>
      </c>
      <c r="AK4" s="227" t="s">
        <v>173</v>
      </c>
      <c r="AL4" s="175" t="s">
        <v>174</v>
      </c>
      <c r="AM4" s="699" t="s">
        <v>173</v>
      </c>
      <c r="AN4" s="167" t="s">
        <v>174</v>
      </c>
      <c r="AO4" s="143" t="s">
        <v>173</v>
      </c>
      <c r="AP4" s="160" t="s">
        <v>174</v>
      </c>
      <c r="AQ4" s="227" t="s">
        <v>173</v>
      </c>
      <c r="AR4" s="175" t="s">
        <v>174</v>
      </c>
      <c r="AS4" s="143" t="s">
        <v>173</v>
      </c>
      <c r="AT4" s="160" t="s">
        <v>174</v>
      </c>
      <c r="AU4" s="227" t="s">
        <v>173</v>
      </c>
      <c r="AV4" s="175" t="s">
        <v>174</v>
      </c>
      <c r="AW4" s="143" t="s">
        <v>173</v>
      </c>
      <c r="AX4" s="160" t="s">
        <v>174</v>
      </c>
      <c r="AY4" s="227" t="s">
        <v>173</v>
      </c>
      <c r="AZ4" s="4068" t="s">
        <v>174</v>
      </c>
      <c r="BA4" s="699" t="s">
        <v>173</v>
      </c>
      <c r="BB4" s="167" t="s">
        <v>174</v>
      </c>
      <c r="BC4" s="700" t="s">
        <v>173</v>
      </c>
      <c r="BD4" s="462" t="s">
        <v>174</v>
      </c>
      <c r="BE4" s="143" t="s">
        <v>2330</v>
      </c>
      <c r="BF4" s="160" t="s">
        <v>174</v>
      </c>
    </row>
    <row r="5" spans="1:66" ht="17.100000000000001" customHeight="1" x14ac:dyDescent="0.3">
      <c r="B5" s="11" t="s">
        <v>841</v>
      </c>
      <c r="C5" s="1"/>
      <c r="D5" s="726" t="s">
        <v>50</v>
      </c>
      <c r="E5" s="877">
        <v>78756.476683937828</v>
      </c>
      <c r="F5" s="572">
        <v>69436.443999999974</v>
      </c>
      <c r="G5" s="877">
        <v>81865.284974093272</v>
      </c>
      <c r="H5" s="572">
        <v>78924.165999999954</v>
      </c>
      <c r="I5" s="878">
        <f>+E5+G5</f>
        <v>160621.76165803109</v>
      </c>
      <c r="J5" s="571">
        <f>+F5+H5</f>
        <v>148360.60999999993</v>
      </c>
      <c r="K5" s="877">
        <v>78756.476683937828</v>
      </c>
      <c r="L5" s="572">
        <v>76378.819999999949</v>
      </c>
      <c r="M5" s="660">
        <f>+E5+G5+K5</f>
        <v>239378.23834196891</v>
      </c>
      <c r="N5" s="660">
        <f>+F5+H5+L5</f>
        <v>224739.42999999988</v>
      </c>
      <c r="O5" s="877">
        <v>81865.284974093272</v>
      </c>
      <c r="P5" s="572">
        <v>91293.134999999951</v>
      </c>
      <c r="Q5" s="878">
        <f>+M5+O5</f>
        <v>321243.52331606217</v>
      </c>
      <c r="R5" s="878">
        <f>+N5+P5</f>
        <v>316032.56499999983</v>
      </c>
      <c r="S5" s="877">
        <v>81865.284974093272</v>
      </c>
      <c r="T5" s="572">
        <v>78744.385999999984</v>
      </c>
      <c r="U5" s="878">
        <f>+Q5+S5</f>
        <v>403108.80829015543</v>
      </c>
      <c r="V5" s="878">
        <f>+R5+T5</f>
        <v>394776.95099999983</v>
      </c>
      <c r="W5" s="877">
        <v>49222.797927461143</v>
      </c>
      <c r="X5" s="572">
        <v>79173.527999999977</v>
      </c>
      <c r="Y5" s="660">
        <f>+O5+S5+W5</f>
        <v>212953.36787564767</v>
      </c>
      <c r="Z5" s="660">
        <f>+P5+T5+X5</f>
        <v>249211.04899999994</v>
      </c>
      <c r="AA5" s="661">
        <f>+M5+Y5</f>
        <v>452331.60621761659</v>
      </c>
      <c r="AB5" s="661">
        <f>+N5+Z5</f>
        <v>473950.47899999982</v>
      </c>
      <c r="AC5" s="877">
        <v>80829.015544041453</v>
      </c>
      <c r="AD5" s="572">
        <v>52847.516999999993</v>
      </c>
      <c r="AE5" s="878">
        <f>+AA5+AC5</f>
        <v>533160.621761658</v>
      </c>
      <c r="AF5" s="878">
        <f>+AB5+AD5</f>
        <v>526797.99599999981</v>
      </c>
      <c r="AG5" s="877">
        <v>78756.476683937828</v>
      </c>
      <c r="AH5" s="572">
        <v>72562.518000000025</v>
      </c>
      <c r="AI5" s="878">
        <f>+AE5+AG5</f>
        <v>611917.09844559582</v>
      </c>
      <c r="AJ5" s="878">
        <f>+AF5+AH5</f>
        <v>599360.51399999985</v>
      </c>
      <c r="AK5" s="877">
        <v>81865.284974093272</v>
      </c>
      <c r="AL5" s="572">
        <v>85136.461000000039</v>
      </c>
      <c r="AM5" s="660">
        <f>+AC5+AG5+AK5</f>
        <v>241450.77720207255</v>
      </c>
      <c r="AN5" s="660">
        <f>+AD5+AH5+AL5</f>
        <v>210546.49600000004</v>
      </c>
      <c r="AO5" s="878">
        <f>AI5+AK5</f>
        <v>693782.38341968914</v>
      </c>
      <c r="AP5" s="878">
        <f>AJ5+AL5</f>
        <v>684496.97499999986</v>
      </c>
      <c r="AQ5" s="877">
        <v>81865.284974093272</v>
      </c>
      <c r="AR5" s="572">
        <v>89388.381000000038</v>
      </c>
      <c r="AS5" s="878">
        <f>+AO5+AQ5</f>
        <v>775647.66839378246</v>
      </c>
      <c r="AT5" s="878">
        <f>+AP5+AR5</f>
        <v>773885.35599999991</v>
      </c>
      <c r="AU5" s="877">
        <v>74093.264248704669</v>
      </c>
      <c r="AV5" s="572">
        <v>77175.722000000038</v>
      </c>
      <c r="AW5" s="878">
        <f>+AS5+AU5</f>
        <v>849740.93264248711</v>
      </c>
      <c r="AX5" s="878">
        <f>+AT5+AV5</f>
        <v>851061.07799999998</v>
      </c>
      <c r="AY5" s="877">
        <v>82901.554404145078</v>
      </c>
      <c r="AZ5" s="5616">
        <v>86982.177000000069</v>
      </c>
      <c r="BA5" s="660">
        <f>+AQ5+AU5+AY5</f>
        <v>238860.10362694302</v>
      </c>
      <c r="BB5" s="660">
        <f>+AR5+AV5+AZ5</f>
        <v>253546.28000000014</v>
      </c>
      <c r="BC5" s="661">
        <f>+AM5+BA5</f>
        <v>480310.88082901557</v>
      </c>
      <c r="BD5" s="661">
        <f>+AN5+BB5</f>
        <v>464092.77600000019</v>
      </c>
      <c r="BE5" s="878">
        <f>+AW5+AY5</f>
        <v>932642.48704663222</v>
      </c>
      <c r="BF5" s="878">
        <f>+AX5+AZ5</f>
        <v>938043.255</v>
      </c>
      <c r="BG5" s="1520"/>
      <c r="BH5" s="1520"/>
      <c r="BI5" s="26"/>
      <c r="BJ5" s="26"/>
      <c r="BK5" s="26"/>
      <c r="BL5" s="26"/>
      <c r="BM5" s="26"/>
      <c r="BN5" s="26"/>
    </row>
    <row r="6" spans="1:66" ht="24.75" customHeight="1" x14ac:dyDescent="0.3">
      <c r="A6" s="146"/>
      <c r="B6" s="2892" t="s">
        <v>313</v>
      </c>
      <c r="C6" s="2893"/>
      <c r="D6" s="2893"/>
      <c r="E6" s="2894"/>
      <c r="F6" s="2895"/>
      <c r="G6" s="2894"/>
      <c r="H6" s="2895"/>
      <c r="I6" s="2894"/>
      <c r="J6" s="2894"/>
      <c r="K6" s="2894"/>
      <c r="L6" s="2895"/>
      <c r="M6" s="573"/>
      <c r="N6" s="573"/>
      <c r="O6" s="2894"/>
      <c r="P6" s="2895"/>
      <c r="Q6" s="573"/>
      <c r="R6" s="573"/>
      <c r="S6" s="2894"/>
      <c r="T6" s="2895"/>
      <c r="U6" s="573"/>
      <c r="V6" s="573"/>
      <c r="W6" s="2894"/>
      <c r="X6" s="2895"/>
      <c r="Y6" s="573"/>
      <c r="Z6" s="573"/>
      <c r="AA6" s="573"/>
      <c r="AB6" s="583"/>
      <c r="AC6" s="2894"/>
      <c r="AD6" s="2895"/>
      <c r="AE6" s="573"/>
      <c r="AF6" s="573"/>
      <c r="AG6" s="2894"/>
      <c r="AH6" s="2895"/>
      <c r="AI6" s="573"/>
      <c r="AJ6" s="573"/>
      <c r="AK6" s="2894"/>
      <c r="AL6" s="2895"/>
      <c r="AM6" s="573"/>
      <c r="AN6" s="573"/>
      <c r="AO6" s="573"/>
      <c r="AP6" s="573"/>
      <c r="AQ6" s="2894"/>
      <c r="AR6" s="2895"/>
      <c r="AS6" s="573"/>
      <c r="AT6" s="573"/>
      <c r="AU6" s="2894"/>
      <c r="AV6" s="2895"/>
      <c r="AW6" s="573"/>
      <c r="AX6" s="573"/>
      <c r="AY6" s="2894"/>
      <c r="AZ6" s="5617"/>
      <c r="BA6" s="573"/>
      <c r="BB6" s="573"/>
      <c r="BC6" s="573"/>
      <c r="BD6" s="583"/>
      <c r="BE6" s="573"/>
      <c r="BF6" s="573"/>
      <c r="BG6" s="1520"/>
      <c r="BH6" s="1520"/>
      <c r="BI6" s="26"/>
      <c r="BJ6" s="26"/>
      <c r="BK6" s="26"/>
      <c r="BL6" s="26"/>
      <c r="BM6" s="26"/>
      <c r="BN6" s="26"/>
    </row>
    <row r="7" spans="1:66" ht="15.6" hidden="1" x14ac:dyDescent="0.3">
      <c r="A7" s="146"/>
      <c r="B7" s="2898" t="s">
        <v>852</v>
      </c>
      <c r="C7" s="2899" t="s">
        <v>1033</v>
      </c>
      <c r="D7" s="751" t="s">
        <v>50</v>
      </c>
      <c r="E7" s="2900"/>
      <c r="F7" s="270"/>
      <c r="G7" s="2900"/>
      <c r="H7" s="270"/>
      <c r="I7" s="368"/>
      <c r="J7" s="4506">
        <f t="shared" ref="J7:J42" si="0">+F7+H7</f>
        <v>0</v>
      </c>
      <c r="K7" s="2900"/>
      <c r="L7" s="270"/>
      <c r="M7" s="774"/>
      <c r="N7" s="774">
        <f t="shared" ref="N7:N42" si="1">+F7+H7+L7</f>
        <v>0</v>
      </c>
      <c r="O7" s="2900"/>
      <c r="P7" s="270"/>
      <c r="Q7" s="775"/>
      <c r="R7" s="775">
        <f t="shared" ref="R7:R54" si="2">+N7+P7</f>
        <v>0</v>
      </c>
      <c r="S7" s="2900"/>
      <c r="T7" s="270"/>
      <c r="U7" s="775"/>
      <c r="V7" s="775">
        <f t="shared" ref="V7:V42" si="3">+R7+T7</f>
        <v>0</v>
      </c>
      <c r="W7" s="2900"/>
      <c r="X7" s="270"/>
      <c r="Y7" s="793"/>
      <c r="Z7" s="774">
        <f t="shared" ref="Z7:Z42" si="4">+P7+T7+X7</f>
        <v>0</v>
      </c>
      <c r="AA7" s="517"/>
      <c r="AB7" s="657">
        <f t="shared" ref="AB7:AB42" si="5">+N7+Z7</f>
        <v>0</v>
      </c>
      <c r="AC7" s="2900"/>
      <c r="AD7" s="270"/>
      <c r="AE7" s="775"/>
      <c r="AF7" s="775">
        <f t="shared" ref="AF7:AF42" si="6">+AB7+AD7</f>
        <v>0</v>
      </c>
      <c r="AG7" s="2900"/>
      <c r="AH7" s="270"/>
      <c r="AI7" s="775"/>
      <c r="AJ7" s="775">
        <f t="shared" ref="AJ7:AJ42" si="7">+AF7+AH7</f>
        <v>0</v>
      </c>
      <c r="AK7" s="2900"/>
      <c r="AL7" s="270"/>
      <c r="AM7" s="793"/>
      <c r="AN7" s="774">
        <f t="shared" ref="AN7:AN42" si="8">+AD7+AH7+AL7</f>
        <v>0</v>
      </c>
      <c r="AO7" s="775"/>
      <c r="AP7" s="775">
        <f t="shared" ref="AP7:AP42" si="9">AJ7+AL7</f>
        <v>0</v>
      </c>
      <c r="AQ7" s="2900"/>
      <c r="AR7" s="270"/>
      <c r="AS7" s="775"/>
      <c r="AT7" s="775">
        <f t="shared" ref="AT7:AT42" si="10">+AP7+AR7</f>
        <v>0</v>
      </c>
      <c r="AU7" s="2900"/>
      <c r="AV7" s="270"/>
      <c r="AW7" s="775"/>
      <c r="AX7" s="775">
        <f t="shared" ref="AX7:AX42" si="11">+AT7+AV7</f>
        <v>0</v>
      </c>
      <c r="AY7" s="2900"/>
      <c r="AZ7" s="5618"/>
      <c r="BA7" s="793"/>
      <c r="BB7" s="774">
        <f t="shared" ref="BB7:BB42" si="12">+AR7+AV7+AZ7</f>
        <v>0</v>
      </c>
      <c r="BC7" s="517"/>
      <c r="BD7" s="657">
        <f t="shared" ref="BD7:BD42" si="13">+AN7+BB7</f>
        <v>0</v>
      </c>
      <c r="BE7" s="775"/>
      <c r="BF7" s="775">
        <f>+AX7+AZ7</f>
        <v>0</v>
      </c>
      <c r="BG7" s="1520"/>
      <c r="BH7" s="1520"/>
      <c r="BI7" s="26"/>
      <c r="BJ7" s="26"/>
      <c r="BK7" s="26"/>
      <c r="BL7" s="26"/>
      <c r="BM7" s="26"/>
      <c r="BN7" s="26"/>
    </row>
    <row r="8" spans="1:66" ht="15.6" hidden="1" x14ac:dyDescent="0.3">
      <c r="A8" s="146"/>
      <c r="B8" s="879" t="s">
        <v>852</v>
      </c>
      <c r="C8" s="2901" t="s">
        <v>1034</v>
      </c>
      <c r="D8" s="2803" t="s">
        <v>50</v>
      </c>
      <c r="E8" s="2902"/>
      <c r="F8" s="2599"/>
      <c r="G8" s="2902"/>
      <c r="H8" s="2599"/>
      <c r="I8" s="2538"/>
      <c r="J8" s="4506">
        <f t="shared" si="0"/>
        <v>0</v>
      </c>
      <c r="K8" s="2902"/>
      <c r="L8" s="2599"/>
      <c r="M8" s="774"/>
      <c r="N8" s="774">
        <f t="shared" si="1"/>
        <v>0</v>
      </c>
      <c r="O8" s="2902"/>
      <c r="P8" s="2599"/>
      <c r="Q8" s="775"/>
      <c r="R8" s="775">
        <f t="shared" si="2"/>
        <v>0</v>
      </c>
      <c r="S8" s="2902"/>
      <c r="T8" s="2599"/>
      <c r="U8" s="775"/>
      <c r="V8" s="775">
        <f t="shared" si="3"/>
        <v>0</v>
      </c>
      <c r="W8" s="2902"/>
      <c r="X8" s="2599"/>
      <c r="Y8" s="793"/>
      <c r="Z8" s="774">
        <f t="shared" si="4"/>
        <v>0</v>
      </c>
      <c r="AA8" s="517"/>
      <c r="AB8" s="657">
        <f t="shared" si="5"/>
        <v>0</v>
      </c>
      <c r="AC8" s="2902"/>
      <c r="AD8" s="2599"/>
      <c r="AE8" s="775"/>
      <c r="AF8" s="775">
        <f t="shared" si="6"/>
        <v>0</v>
      </c>
      <c r="AG8" s="2902"/>
      <c r="AH8" s="2599"/>
      <c r="AI8" s="775"/>
      <c r="AJ8" s="775">
        <f t="shared" si="7"/>
        <v>0</v>
      </c>
      <c r="AK8" s="2902"/>
      <c r="AL8" s="2599"/>
      <c r="AM8" s="793"/>
      <c r="AN8" s="774">
        <f t="shared" si="8"/>
        <v>0</v>
      </c>
      <c r="AO8" s="775"/>
      <c r="AP8" s="775">
        <f t="shared" si="9"/>
        <v>0</v>
      </c>
      <c r="AQ8" s="2902"/>
      <c r="AR8" s="2599"/>
      <c r="AS8" s="775"/>
      <c r="AT8" s="775">
        <f t="shared" si="10"/>
        <v>0</v>
      </c>
      <c r="AU8" s="2902"/>
      <c r="AV8" s="2599"/>
      <c r="AW8" s="775"/>
      <c r="AX8" s="775">
        <f t="shared" si="11"/>
        <v>0</v>
      </c>
      <c r="AY8" s="2902"/>
      <c r="AZ8" s="2649"/>
      <c r="BA8" s="793"/>
      <c r="BB8" s="774">
        <f t="shared" si="12"/>
        <v>0</v>
      </c>
      <c r="BC8" s="517"/>
      <c r="BD8" s="657">
        <f t="shared" si="13"/>
        <v>0</v>
      </c>
      <c r="BE8" s="775"/>
      <c r="BF8" s="775">
        <f t="shared" ref="BF8:BF42" si="14">+AX8+AZ8</f>
        <v>0</v>
      </c>
      <c r="BG8" s="1520"/>
      <c r="BH8" s="1520"/>
      <c r="BI8" s="26"/>
      <c r="BJ8" s="26"/>
      <c r="BK8" s="26"/>
      <c r="BL8" s="26"/>
      <c r="BM8" s="26"/>
      <c r="BN8" s="26"/>
    </row>
    <row r="9" spans="1:66" ht="15.6" hidden="1" x14ac:dyDescent="0.3">
      <c r="A9" s="146"/>
      <c r="B9" s="4925" t="s">
        <v>852</v>
      </c>
      <c r="C9" s="5796" t="s">
        <v>1003</v>
      </c>
      <c r="D9" s="5797" t="s">
        <v>50</v>
      </c>
      <c r="E9" s="5798"/>
      <c r="F9" s="5799"/>
      <c r="G9" s="5798"/>
      <c r="H9" s="5799"/>
      <c r="I9" s="5800"/>
      <c r="J9" s="5800">
        <f t="shared" si="0"/>
        <v>0</v>
      </c>
      <c r="K9" s="5798"/>
      <c r="L9" s="5799"/>
      <c r="M9" s="5801"/>
      <c r="N9" s="5801">
        <f t="shared" si="1"/>
        <v>0</v>
      </c>
      <c r="O9" s="5798"/>
      <c r="P9" s="5799"/>
      <c r="Q9" s="5800"/>
      <c r="R9" s="5800">
        <f t="shared" si="2"/>
        <v>0</v>
      </c>
      <c r="S9" s="5798"/>
      <c r="T9" s="5799"/>
      <c r="U9" s="5800"/>
      <c r="V9" s="5800">
        <f t="shared" si="3"/>
        <v>0</v>
      </c>
      <c r="W9" s="5798"/>
      <c r="X9" s="5799"/>
      <c r="Y9" s="5802"/>
      <c r="Z9" s="5801">
        <f t="shared" si="4"/>
        <v>0</v>
      </c>
      <c r="AA9" s="5803"/>
      <c r="AB9" s="5804">
        <f t="shared" si="5"/>
        <v>0</v>
      </c>
      <c r="AC9" s="5798"/>
      <c r="AD9" s="5799"/>
      <c r="AE9" s="5800"/>
      <c r="AF9" s="5800">
        <f t="shared" si="6"/>
        <v>0</v>
      </c>
      <c r="AG9" s="5798"/>
      <c r="AH9" s="5799"/>
      <c r="AI9" s="5800"/>
      <c r="AJ9" s="5800">
        <f t="shared" si="7"/>
        <v>0</v>
      </c>
      <c r="AK9" s="5798"/>
      <c r="AL9" s="5799"/>
      <c r="AM9" s="5802"/>
      <c r="AN9" s="5801">
        <f t="shared" si="8"/>
        <v>0</v>
      </c>
      <c r="AO9" s="5800"/>
      <c r="AP9" s="5800">
        <f t="shared" si="9"/>
        <v>0</v>
      </c>
      <c r="AQ9" s="5798"/>
      <c r="AR9" s="5799"/>
      <c r="AS9" s="5800"/>
      <c r="AT9" s="5800">
        <f t="shared" si="10"/>
        <v>0</v>
      </c>
      <c r="AU9" s="5798"/>
      <c r="AV9" s="5799"/>
      <c r="AW9" s="5800"/>
      <c r="AX9" s="5800">
        <f t="shared" si="11"/>
        <v>0</v>
      </c>
      <c r="AY9" s="5798"/>
      <c r="AZ9" s="5805"/>
      <c r="BA9" s="5802"/>
      <c r="BB9" s="5801">
        <f t="shared" si="12"/>
        <v>0</v>
      </c>
      <c r="BC9" s="5803"/>
      <c r="BD9" s="5804">
        <f t="shared" si="13"/>
        <v>0</v>
      </c>
      <c r="BE9" s="5800"/>
      <c r="BF9" s="5800">
        <f t="shared" si="14"/>
        <v>0</v>
      </c>
      <c r="BG9" s="1520"/>
      <c r="BH9" s="1520"/>
      <c r="BI9" s="26"/>
      <c r="BJ9" s="26"/>
      <c r="BK9" s="26"/>
      <c r="BL9" s="26"/>
      <c r="BM9" s="26"/>
      <c r="BN9" s="26"/>
    </row>
    <row r="10" spans="1:66" ht="15.6" x14ac:dyDescent="0.3">
      <c r="A10" s="146"/>
      <c r="B10" s="5806" t="s">
        <v>1900</v>
      </c>
      <c r="C10" s="5806" t="s">
        <v>1033</v>
      </c>
      <c r="D10" s="5462" t="s">
        <v>50</v>
      </c>
      <c r="E10" s="5807"/>
      <c r="F10" s="5458"/>
      <c r="G10" s="5807"/>
      <c r="H10" s="5458"/>
      <c r="I10" s="5460"/>
      <c r="J10" s="5460">
        <f t="shared" si="0"/>
        <v>0</v>
      </c>
      <c r="K10" s="5807"/>
      <c r="L10" s="5458">
        <v>2343.0900000000006</v>
      </c>
      <c r="M10" s="5461"/>
      <c r="N10" s="5461">
        <f t="shared" si="1"/>
        <v>2343.0900000000006</v>
      </c>
      <c r="O10" s="5807"/>
      <c r="P10" s="5458"/>
      <c r="Q10" s="5460"/>
      <c r="R10" s="5460">
        <f t="shared" si="2"/>
        <v>2343.0900000000006</v>
      </c>
      <c r="S10" s="5807"/>
      <c r="T10" s="5458"/>
      <c r="U10" s="5460"/>
      <c r="V10" s="5460">
        <f t="shared" si="3"/>
        <v>2343.0900000000006</v>
      </c>
      <c r="W10" s="5807"/>
      <c r="X10" s="5458"/>
      <c r="Y10" s="5508"/>
      <c r="Z10" s="5461">
        <f t="shared" si="4"/>
        <v>0</v>
      </c>
      <c r="AA10" s="5808"/>
      <c r="AB10" s="5499">
        <f t="shared" si="5"/>
        <v>2343.0900000000006</v>
      </c>
      <c r="AC10" s="5807"/>
      <c r="AD10" s="5458"/>
      <c r="AE10" s="5460"/>
      <c r="AF10" s="5460">
        <f t="shared" si="6"/>
        <v>2343.0900000000006</v>
      </c>
      <c r="AG10" s="5807"/>
      <c r="AH10" s="5458"/>
      <c r="AI10" s="5460"/>
      <c r="AJ10" s="5460">
        <f t="shared" si="7"/>
        <v>2343.0900000000006</v>
      </c>
      <c r="AK10" s="5807"/>
      <c r="AL10" s="5458"/>
      <c r="AM10" s="5508"/>
      <c r="AN10" s="5461">
        <f t="shared" si="8"/>
        <v>0</v>
      </c>
      <c r="AO10" s="5460"/>
      <c r="AP10" s="5460">
        <f t="shared" si="9"/>
        <v>2343.0900000000006</v>
      </c>
      <c r="AQ10" s="5807"/>
      <c r="AR10" s="5458"/>
      <c r="AS10" s="5460"/>
      <c r="AT10" s="5460">
        <f t="shared" si="10"/>
        <v>2343.0900000000006</v>
      </c>
      <c r="AU10" s="5807"/>
      <c r="AV10" s="5458"/>
      <c r="AW10" s="5460"/>
      <c r="AX10" s="5460">
        <f t="shared" si="11"/>
        <v>2343.0900000000006</v>
      </c>
      <c r="AY10" s="5807"/>
      <c r="AZ10" s="5809">
        <v>5071.9002814321702</v>
      </c>
      <c r="BA10" s="5508"/>
      <c r="BB10" s="5461">
        <f t="shared" si="12"/>
        <v>5071.9002814321702</v>
      </c>
      <c r="BC10" s="5808"/>
      <c r="BD10" s="5499">
        <f t="shared" si="13"/>
        <v>5071.9002814321702</v>
      </c>
      <c r="BE10" s="5460"/>
      <c r="BF10" s="5460">
        <f t="shared" si="14"/>
        <v>7414.9902814321704</v>
      </c>
      <c r="BG10" s="1520"/>
      <c r="BH10" s="1520"/>
      <c r="BI10" s="26"/>
      <c r="BJ10" s="26"/>
      <c r="BK10" s="26"/>
      <c r="BL10" s="26"/>
      <c r="BM10" s="26"/>
      <c r="BN10" s="26"/>
    </row>
    <row r="11" spans="1:66" ht="15.6" x14ac:dyDescent="0.3">
      <c r="A11" s="26"/>
      <c r="B11" s="5806" t="s">
        <v>851</v>
      </c>
      <c r="C11" s="5806" t="s">
        <v>1033</v>
      </c>
      <c r="D11" s="5462" t="s">
        <v>50</v>
      </c>
      <c r="E11" s="5453"/>
      <c r="F11" s="5458">
        <v>3073.6349999999993</v>
      </c>
      <c r="G11" s="5453"/>
      <c r="H11" s="5458">
        <v>7484.0600000000068</v>
      </c>
      <c r="I11" s="5460"/>
      <c r="J11" s="5460">
        <f t="shared" si="0"/>
        <v>10557.695000000007</v>
      </c>
      <c r="K11" s="5453"/>
      <c r="L11" s="5458">
        <v>2680.9949999999994</v>
      </c>
      <c r="M11" s="5461"/>
      <c r="N11" s="5461">
        <f t="shared" si="1"/>
        <v>13238.690000000006</v>
      </c>
      <c r="O11" s="5453"/>
      <c r="P11" s="5458">
        <v>8612.9100000000144</v>
      </c>
      <c r="Q11" s="5460"/>
      <c r="R11" s="5460">
        <f t="shared" si="2"/>
        <v>21851.60000000002</v>
      </c>
      <c r="S11" s="5453"/>
      <c r="T11" s="5458">
        <v>2746.4349999999995</v>
      </c>
      <c r="U11" s="5460"/>
      <c r="V11" s="5460">
        <f t="shared" si="3"/>
        <v>24598.035000000018</v>
      </c>
      <c r="W11" s="5453"/>
      <c r="X11" s="5458">
        <v>2824.1449999999995</v>
      </c>
      <c r="Y11" s="5508"/>
      <c r="Z11" s="5461">
        <f t="shared" si="4"/>
        <v>14183.490000000013</v>
      </c>
      <c r="AA11" s="5808"/>
      <c r="AB11" s="5499">
        <f t="shared" si="5"/>
        <v>27422.180000000018</v>
      </c>
      <c r="AC11" s="5453"/>
      <c r="AD11" s="5458">
        <v>1136.0549999999998</v>
      </c>
      <c r="AE11" s="5460"/>
      <c r="AF11" s="5460">
        <f t="shared" si="6"/>
        <v>28558.235000000019</v>
      </c>
      <c r="AG11" s="5453"/>
      <c r="AH11" s="5458"/>
      <c r="AI11" s="5460"/>
      <c r="AJ11" s="5460">
        <f t="shared" si="7"/>
        <v>28558.235000000019</v>
      </c>
      <c r="AK11" s="5453"/>
      <c r="AL11" s="5458">
        <v>2696.335</v>
      </c>
      <c r="AM11" s="5508"/>
      <c r="AN11" s="5461">
        <f t="shared" si="8"/>
        <v>3832.39</v>
      </c>
      <c r="AO11" s="5460"/>
      <c r="AP11" s="5460">
        <f t="shared" si="9"/>
        <v>31254.570000000018</v>
      </c>
      <c r="AQ11" s="5453"/>
      <c r="AR11" s="5458"/>
      <c r="AS11" s="5460"/>
      <c r="AT11" s="5460">
        <f t="shared" si="10"/>
        <v>31254.570000000018</v>
      </c>
      <c r="AU11" s="5453"/>
      <c r="AV11" s="5458"/>
      <c r="AW11" s="5460"/>
      <c r="AX11" s="5460">
        <f t="shared" si="11"/>
        <v>31254.570000000018</v>
      </c>
      <c r="AY11" s="5453"/>
      <c r="AZ11" s="5809">
        <v>2132.5966376472757</v>
      </c>
      <c r="BA11" s="5508"/>
      <c r="BB11" s="5461">
        <f t="shared" si="12"/>
        <v>2132.5966376472757</v>
      </c>
      <c r="BC11" s="5808"/>
      <c r="BD11" s="5499">
        <f t="shared" si="13"/>
        <v>5964.9866376472755</v>
      </c>
      <c r="BE11" s="5460"/>
      <c r="BF11" s="5460">
        <f t="shared" si="14"/>
        <v>33387.166637647293</v>
      </c>
      <c r="BG11" s="1520"/>
      <c r="BH11" s="1520"/>
      <c r="BI11" s="26"/>
      <c r="BJ11" s="26"/>
      <c r="BK11" s="26"/>
      <c r="BL11" s="26"/>
      <c r="BM11" s="26"/>
      <c r="BN11" s="26"/>
    </row>
    <row r="12" spans="1:66" ht="15" customHeight="1" x14ac:dyDescent="0.3">
      <c r="B12" s="879" t="s">
        <v>851</v>
      </c>
      <c r="C12" s="2901" t="s">
        <v>1034</v>
      </c>
      <c r="D12" s="2803" t="s">
        <v>50</v>
      </c>
      <c r="E12" s="2537"/>
      <c r="F12" s="2599">
        <v>5074.1500000000015</v>
      </c>
      <c r="G12" s="2537"/>
      <c r="H12" s="2599">
        <v>10903.48000000002</v>
      </c>
      <c r="I12" s="2538"/>
      <c r="J12" s="4506">
        <f t="shared" si="0"/>
        <v>15977.630000000021</v>
      </c>
      <c r="K12" s="2537"/>
      <c r="L12" s="2599">
        <v>7717.4150000000072</v>
      </c>
      <c r="M12" s="774"/>
      <c r="N12" s="774">
        <f t="shared" si="1"/>
        <v>23695.045000000027</v>
      </c>
      <c r="O12" s="2537"/>
      <c r="P12" s="2599">
        <v>4122.7200000000021</v>
      </c>
      <c r="Q12" s="775"/>
      <c r="R12" s="775">
        <f t="shared" si="2"/>
        <v>27817.765000000029</v>
      </c>
      <c r="S12" s="2537"/>
      <c r="T12" s="2599">
        <v>3936.6249999999991</v>
      </c>
      <c r="U12" s="775"/>
      <c r="V12" s="775">
        <f t="shared" si="3"/>
        <v>31754.390000000029</v>
      </c>
      <c r="W12" s="2537"/>
      <c r="X12" s="2599">
        <v>12586.515000000023</v>
      </c>
      <c r="Y12" s="793"/>
      <c r="Z12" s="774">
        <f t="shared" si="4"/>
        <v>20645.860000000022</v>
      </c>
      <c r="AA12" s="517"/>
      <c r="AB12" s="657">
        <f t="shared" si="5"/>
        <v>44340.90500000005</v>
      </c>
      <c r="AC12" s="2537"/>
      <c r="AD12" s="2599">
        <v>8655.4350000000068</v>
      </c>
      <c r="AE12" s="775"/>
      <c r="AF12" s="775">
        <f t="shared" si="6"/>
        <v>52996.340000000055</v>
      </c>
      <c r="AG12" s="2537"/>
      <c r="AH12" s="2599">
        <v>9239.3100000000104</v>
      </c>
      <c r="AI12" s="775"/>
      <c r="AJ12" s="775">
        <f t="shared" si="7"/>
        <v>62235.650000000067</v>
      </c>
      <c r="AK12" s="2537"/>
      <c r="AL12" s="2599">
        <v>11997.670000000024</v>
      </c>
      <c r="AM12" s="793"/>
      <c r="AN12" s="774">
        <f t="shared" si="8"/>
        <v>29892.415000000041</v>
      </c>
      <c r="AO12" s="775"/>
      <c r="AP12" s="775">
        <f t="shared" si="9"/>
        <v>74233.320000000094</v>
      </c>
      <c r="AQ12" s="2537"/>
      <c r="AR12" s="2599">
        <v>12537.895000000024</v>
      </c>
      <c r="AS12" s="775"/>
      <c r="AT12" s="775">
        <f t="shared" si="10"/>
        <v>86771.215000000113</v>
      </c>
      <c r="AU12" s="2537"/>
      <c r="AV12" s="2599">
        <v>4488.7749999999996</v>
      </c>
      <c r="AW12" s="775"/>
      <c r="AX12" s="775">
        <f t="shared" si="11"/>
        <v>91259.990000000107</v>
      </c>
      <c r="AY12" s="2537"/>
      <c r="AZ12" s="2649">
        <v>8693.7493565864224</v>
      </c>
      <c r="BA12" s="793"/>
      <c r="BB12" s="774">
        <f t="shared" si="12"/>
        <v>25720.419356586448</v>
      </c>
      <c r="BC12" s="517"/>
      <c r="BD12" s="657">
        <f t="shared" si="13"/>
        <v>55612.834356586493</v>
      </c>
      <c r="BE12" s="775"/>
      <c r="BF12" s="775">
        <f t="shared" si="14"/>
        <v>99953.739356586535</v>
      </c>
      <c r="BG12" s="1520"/>
      <c r="BH12" s="1520"/>
      <c r="BI12" s="26"/>
      <c r="BJ12" s="26"/>
      <c r="BK12" s="26"/>
      <c r="BL12" s="26"/>
      <c r="BM12" s="26"/>
      <c r="BN12" s="26"/>
    </row>
    <row r="13" spans="1:66" ht="15.6" hidden="1" x14ac:dyDescent="0.3">
      <c r="A13" s="26"/>
      <c r="B13" s="879" t="s">
        <v>851</v>
      </c>
      <c r="C13" s="2901" t="s">
        <v>1003</v>
      </c>
      <c r="D13" s="2803" t="s">
        <v>50</v>
      </c>
      <c r="E13" s="2537"/>
      <c r="F13" s="2599"/>
      <c r="G13" s="2537"/>
      <c r="H13" s="2599"/>
      <c r="I13" s="2538"/>
      <c r="J13" s="4506">
        <f t="shared" si="0"/>
        <v>0</v>
      </c>
      <c r="K13" s="2537"/>
      <c r="L13" s="2599"/>
      <c r="M13" s="774"/>
      <c r="N13" s="774">
        <f t="shared" si="1"/>
        <v>0</v>
      </c>
      <c r="O13" s="2537"/>
      <c r="P13" s="2599"/>
      <c r="Q13" s="775"/>
      <c r="R13" s="775">
        <f t="shared" si="2"/>
        <v>0</v>
      </c>
      <c r="S13" s="2537"/>
      <c r="T13" s="2599"/>
      <c r="U13" s="775"/>
      <c r="V13" s="775">
        <f t="shared" si="3"/>
        <v>0</v>
      </c>
      <c r="W13" s="2537"/>
      <c r="X13" s="2599"/>
      <c r="Y13" s="793"/>
      <c r="Z13" s="774">
        <f t="shared" si="4"/>
        <v>0</v>
      </c>
      <c r="AA13" s="517"/>
      <c r="AB13" s="657">
        <f t="shared" si="5"/>
        <v>0</v>
      </c>
      <c r="AC13" s="2537"/>
      <c r="AD13" s="2599"/>
      <c r="AE13" s="775"/>
      <c r="AF13" s="775">
        <f t="shared" si="6"/>
        <v>0</v>
      </c>
      <c r="AG13" s="2537"/>
      <c r="AH13" s="2599"/>
      <c r="AI13" s="775"/>
      <c r="AJ13" s="775">
        <f t="shared" si="7"/>
        <v>0</v>
      </c>
      <c r="AK13" s="2537"/>
      <c r="AL13" s="2599"/>
      <c r="AM13" s="793"/>
      <c r="AN13" s="774">
        <f t="shared" si="8"/>
        <v>0</v>
      </c>
      <c r="AO13" s="775"/>
      <c r="AP13" s="775">
        <f t="shared" si="9"/>
        <v>0</v>
      </c>
      <c r="AQ13" s="2537"/>
      <c r="AR13" s="2599"/>
      <c r="AS13" s="775"/>
      <c r="AT13" s="775">
        <f t="shared" si="10"/>
        <v>0</v>
      </c>
      <c r="AU13" s="2537"/>
      <c r="AV13" s="2599"/>
      <c r="AW13" s="775"/>
      <c r="AX13" s="775">
        <f t="shared" si="11"/>
        <v>0</v>
      </c>
      <c r="AY13" s="2537"/>
      <c r="AZ13" s="2649"/>
      <c r="BA13" s="793"/>
      <c r="BB13" s="774">
        <f t="shared" si="12"/>
        <v>0</v>
      </c>
      <c r="BC13" s="517"/>
      <c r="BD13" s="657">
        <f t="shared" si="13"/>
        <v>0</v>
      </c>
      <c r="BE13" s="775"/>
      <c r="BF13" s="775">
        <f t="shared" si="14"/>
        <v>0</v>
      </c>
      <c r="BG13" s="1520"/>
      <c r="BH13" s="1520"/>
      <c r="BI13" s="26"/>
      <c r="BJ13" s="26"/>
      <c r="BK13" s="26"/>
      <c r="BL13" s="26"/>
      <c r="BM13" s="26"/>
      <c r="BN13" s="26"/>
    </row>
    <row r="14" spans="1:66" ht="15.6" x14ac:dyDescent="0.3">
      <c r="A14" s="26"/>
      <c r="B14" s="879" t="s">
        <v>851</v>
      </c>
      <c r="C14" s="2901" t="s">
        <v>1035</v>
      </c>
      <c r="D14" s="2803" t="s">
        <v>50</v>
      </c>
      <c r="E14" s="2537"/>
      <c r="F14" s="2599"/>
      <c r="G14" s="2537"/>
      <c r="H14" s="2599"/>
      <c r="I14" s="2538"/>
      <c r="J14" s="4506">
        <f t="shared" si="0"/>
        <v>0</v>
      </c>
      <c r="K14" s="2537"/>
      <c r="L14" s="2599">
        <v>1914.7949999999998</v>
      </c>
      <c r="M14" s="774"/>
      <c r="N14" s="774">
        <f t="shared" si="1"/>
        <v>1914.7949999999998</v>
      </c>
      <c r="O14" s="2537"/>
      <c r="P14" s="2599"/>
      <c r="Q14" s="775"/>
      <c r="R14" s="775">
        <f t="shared" si="2"/>
        <v>1914.7949999999998</v>
      </c>
      <c r="S14" s="2537"/>
      <c r="T14" s="2599">
        <v>1443.7700000000002</v>
      </c>
      <c r="U14" s="775"/>
      <c r="V14" s="775">
        <f t="shared" si="3"/>
        <v>3358.5650000000001</v>
      </c>
      <c r="W14" s="2537"/>
      <c r="X14" s="2599"/>
      <c r="Y14" s="793"/>
      <c r="Z14" s="774">
        <f t="shared" si="4"/>
        <v>1443.7700000000002</v>
      </c>
      <c r="AA14" s="517"/>
      <c r="AB14" s="657">
        <f t="shared" si="5"/>
        <v>3358.5650000000001</v>
      </c>
      <c r="AC14" s="2537"/>
      <c r="AD14" s="2599"/>
      <c r="AE14" s="775"/>
      <c r="AF14" s="775">
        <f t="shared" si="6"/>
        <v>3358.5650000000001</v>
      </c>
      <c r="AG14" s="2537"/>
      <c r="AH14" s="2599">
        <v>3083.8599999999992</v>
      </c>
      <c r="AI14" s="775"/>
      <c r="AJ14" s="775">
        <f t="shared" si="7"/>
        <v>6442.4249999999993</v>
      </c>
      <c r="AK14" s="2537"/>
      <c r="AL14" s="2599"/>
      <c r="AM14" s="793"/>
      <c r="AN14" s="774">
        <f t="shared" si="8"/>
        <v>3083.8599999999992</v>
      </c>
      <c r="AO14" s="775"/>
      <c r="AP14" s="775">
        <f t="shared" si="9"/>
        <v>6442.4249999999993</v>
      </c>
      <c r="AQ14" s="2537"/>
      <c r="AR14" s="2599"/>
      <c r="AS14" s="775"/>
      <c r="AT14" s="775">
        <f t="shared" si="10"/>
        <v>6442.4249999999993</v>
      </c>
      <c r="AU14" s="2537"/>
      <c r="AV14" s="2599"/>
      <c r="AW14" s="775"/>
      <c r="AX14" s="775">
        <f t="shared" si="11"/>
        <v>6442.4249999999993</v>
      </c>
      <c r="AY14" s="2537"/>
      <c r="AZ14" s="2649"/>
      <c r="BA14" s="793"/>
      <c r="BB14" s="774">
        <f t="shared" si="12"/>
        <v>0</v>
      </c>
      <c r="BC14" s="517"/>
      <c r="BD14" s="657">
        <f t="shared" si="13"/>
        <v>3083.8599999999992</v>
      </c>
      <c r="BE14" s="775"/>
      <c r="BF14" s="775">
        <f t="shared" si="14"/>
        <v>6442.4249999999993</v>
      </c>
      <c r="BG14" s="1520"/>
      <c r="BH14" s="1520"/>
      <c r="BI14" s="26"/>
      <c r="BJ14" s="26"/>
      <c r="BK14" s="26"/>
      <c r="BL14" s="26"/>
      <c r="BM14" s="26"/>
      <c r="BN14" s="26"/>
    </row>
    <row r="15" spans="1:66" ht="16.2" thickBot="1" x14ac:dyDescent="0.35">
      <c r="A15" s="26"/>
      <c r="B15" s="2903" t="s">
        <v>851</v>
      </c>
      <c r="C15" s="2904" t="s">
        <v>1137</v>
      </c>
      <c r="D15" s="742" t="s">
        <v>50</v>
      </c>
      <c r="E15" s="107"/>
      <c r="F15" s="229">
        <v>5058.57</v>
      </c>
      <c r="G15" s="107"/>
      <c r="H15" s="229">
        <v>2936.62</v>
      </c>
      <c r="I15" s="584"/>
      <c r="J15" s="4506">
        <f t="shared" si="0"/>
        <v>7995.19</v>
      </c>
      <c r="K15" s="107"/>
      <c r="L15" s="229">
        <v>1650.3149999999996</v>
      </c>
      <c r="M15" s="774"/>
      <c r="N15" s="774">
        <f t="shared" si="1"/>
        <v>9645.5049999999992</v>
      </c>
      <c r="O15" s="107"/>
      <c r="P15" s="229">
        <v>3276.0899999999988</v>
      </c>
      <c r="Q15" s="775"/>
      <c r="R15" s="775">
        <f t="shared" si="2"/>
        <v>12921.594999999998</v>
      </c>
      <c r="S15" s="107"/>
      <c r="T15" s="229"/>
      <c r="U15" s="775"/>
      <c r="V15" s="775">
        <f t="shared" si="3"/>
        <v>12921.594999999998</v>
      </c>
      <c r="W15" s="107"/>
      <c r="X15" s="229">
        <v>2259.7249999999995</v>
      </c>
      <c r="Y15" s="793"/>
      <c r="Z15" s="774">
        <f t="shared" si="4"/>
        <v>5535.8149999999987</v>
      </c>
      <c r="AA15" s="517"/>
      <c r="AB15" s="657">
        <f t="shared" si="5"/>
        <v>15181.319999999998</v>
      </c>
      <c r="AC15" s="107"/>
      <c r="AD15" s="229"/>
      <c r="AE15" s="775"/>
      <c r="AF15" s="775">
        <f t="shared" si="6"/>
        <v>15181.319999999998</v>
      </c>
      <c r="AG15" s="107"/>
      <c r="AH15" s="229">
        <v>1229.5600000000004</v>
      </c>
      <c r="AI15" s="775"/>
      <c r="AJ15" s="775">
        <f t="shared" si="7"/>
        <v>16410.879999999997</v>
      </c>
      <c r="AK15" s="107"/>
      <c r="AL15" s="229">
        <v>3130.8950000000009</v>
      </c>
      <c r="AM15" s="793"/>
      <c r="AN15" s="774">
        <f t="shared" si="8"/>
        <v>4360.4550000000017</v>
      </c>
      <c r="AO15" s="775"/>
      <c r="AP15" s="775">
        <f t="shared" si="9"/>
        <v>19541.774999999998</v>
      </c>
      <c r="AQ15" s="107"/>
      <c r="AR15" s="229">
        <v>5002.0700000000024</v>
      </c>
      <c r="AS15" s="775"/>
      <c r="AT15" s="775">
        <f t="shared" si="10"/>
        <v>24543.845000000001</v>
      </c>
      <c r="AU15" s="107"/>
      <c r="AV15" s="229">
        <v>5167.715000000002</v>
      </c>
      <c r="AW15" s="775"/>
      <c r="AX15" s="775">
        <f t="shared" si="11"/>
        <v>29711.560000000005</v>
      </c>
      <c r="AY15" s="107"/>
      <c r="AZ15" s="5619">
        <v>6194.2521739959393</v>
      </c>
      <c r="BA15" s="793"/>
      <c r="BB15" s="774">
        <f t="shared" si="12"/>
        <v>16364.037173995943</v>
      </c>
      <c r="BC15" s="517"/>
      <c r="BD15" s="657">
        <f t="shared" si="13"/>
        <v>20724.492173995946</v>
      </c>
      <c r="BE15" s="775"/>
      <c r="BF15" s="775">
        <f t="shared" si="14"/>
        <v>35905.812173995946</v>
      </c>
      <c r="BG15" s="1520"/>
      <c r="BH15" s="1520"/>
      <c r="BI15" s="26"/>
      <c r="BJ15" s="26"/>
      <c r="BK15" s="26"/>
      <c r="BL15" s="26"/>
      <c r="BM15" s="26"/>
      <c r="BN15" s="26"/>
    </row>
    <row r="16" spans="1:66" ht="15" customHeight="1" x14ac:dyDescent="0.3">
      <c r="B16" s="2896" t="s">
        <v>940</v>
      </c>
      <c r="C16" s="2897" t="s">
        <v>1034</v>
      </c>
      <c r="D16" s="59" t="s">
        <v>50</v>
      </c>
      <c r="E16" s="1186"/>
      <c r="F16" s="1288"/>
      <c r="G16" s="1186"/>
      <c r="H16" s="1288"/>
      <c r="I16" s="567"/>
      <c r="J16" s="4506">
        <f t="shared" si="0"/>
        <v>0</v>
      </c>
      <c r="K16" s="1186"/>
      <c r="L16" s="1288"/>
      <c r="M16" s="774"/>
      <c r="N16" s="774">
        <f t="shared" si="1"/>
        <v>0</v>
      </c>
      <c r="O16" s="1186"/>
      <c r="P16" s="1288">
        <v>3445.0850000000009</v>
      </c>
      <c r="Q16" s="775"/>
      <c r="R16" s="775">
        <f t="shared" si="2"/>
        <v>3445.0850000000009</v>
      </c>
      <c r="S16" s="1186"/>
      <c r="T16" s="1288"/>
      <c r="U16" s="775"/>
      <c r="V16" s="775">
        <f t="shared" si="3"/>
        <v>3445.0850000000009</v>
      </c>
      <c r="W16" s="1186"/>
      <c r="X16" s="1288">
        <v>1057.6499999999996</v>
      </c>
      <c r="Y16" s="793"/>
      <c r="Z16" s="774">
        <f t="shared" si="4"/>
        <v>4502.7350000000006</v>
      </c>
      <c r="AA16" s="517"/>
      <c r="AB16" s="657">
        <f t="shared" si="5"/>
        <v>4502.7350000000006</v>
      </c>
      <c r="AC16" s="1186"/>
      <c r="AD16" s="1288"/>
      <c r="AE16" s="775"/>
      <c r="AF16" s="775">
        <f t="shared" si="6"/>
        <v>4502.7350000000006</v>
      </c>
      <c r="AG16" s="1186"/>
      <c r="AH16" s="1288"/>
      <c r="AI16" s="775"/>
      <c r="AJ16" s="775">
        <f t="shared" si="7"/>
        <v>4502.7350000000006</v>
      </c>
      <c r="AK16" s="1186"/>
      <c r="AL16" s="1288"/>
      <c r="AM16" s="793"/>
      <c r="AN16" s="774">
        <f t="shared" si="8"/>
        <v>0</v>
      </c>
      <c r="AO16" s="775"/>
      <c r="AP16" s="775">
        <f t="shared" si="9"/>
        <v>4502.7350000000006</v>
      </c>
      <c r="AQ16" s="1186"/>
      <c r="AR16" s="1288">
        <v>2243.3649999999998</v>
      </c>
      <c r="AS16" s="775"/>
      <c r="AT16" s="775">
        <f t="shared" si="10"/>
        <v>6746.1</v>
      </c>
      <c r="AU16" s="1186"/>
      <c r="AV16" s="1288"/>
      <c r="AW16" s="775"/>
      <c r="AX16" s="775">
        <f t="shared" si="11"/>
        <v>6746.1</v>
      </c>
      <c r="AY16" s="1186"/>
      <c r="AZ16" s="5620"/>
      <c r="BA16" s="793"/>
      <c r="BB16" s="774">
        <f t="shared" si="12"/>
        <v>2243.3649999999998</v>
      </c>
      <c r="BC16" s="517"/>
      <c r="BD16" s="657">
        <f t="shared" si="13"/>
        <v>2243.3649999999998</v>
      </c>
      <c r="BE16" s="775"/>
      <c r="BF16" s="775">
        <f t="shared" si="14"/>
        <v>6746.1</v>
      </c>
      <c r="BG16" s="1520"/>
      <c r="BH16" s="1520"/>
      <c r="BI16" s="26"/>
      <c r="BJ16" s="26"/>
      <c r="BK16" s="26"/>
      <c r="BL16" s="26"/>
      <c r="BM16" s="26"/>
      <c r="BN16" s="26"/>
    </row>
    <row r="17" spans="2:66" ht="15" customHeight="1" x14ac:dyDescent="0.3">
      <c r="B17" s="2896" t="s">
        <v>940</v>
      </c>
      <c r="C17" s="2897" t="s">
        <v>1033</v>
      </c>
      <c r="D17" s="59" t="s">
        <v>50</v>
      </c>
      <c r="E17" s="1186"/>
      <c r="F17" s="1288"/>
      <c r="G17" s="1186"/>
      <c r="H17" s="1288"/>
      <c r="I17" s="567"/>
      <c r="J17" s="4936"/>
      <c r="K17" s="1186"/>
      <c r="L17" s="1288"/>
      <c r="M17" s="4937"/>
      <c r="N17" s="4937"/>
      <c r="O17" s="1186"/>
      <c r="P17" s="1288"/>
      <c r="Q17" s="4936"/>
      <c r="R17" s="4936"/>
      <c r="S17" s="1186"/>
      <c r="T17" s="1288"/>
      <c r="U17" s="4936"/>
      <c r="V17" s="4936"/>
      <c r="W17" s="1186"/>
      <c r="X17" s="1288">
        <v>1104.3</v>
      </c>
      <c r="Y17" s="4956"/>
      <c r="Z17" s="774">
        <f t="shared" ref="Z17" si="15">+P17+T17+X17</f>
        <v>1104.3</v>
      </c>
      <c r="AA17" s="517"/>
      <c r="AB17" s="657">
        <f t="shared" ref="AB17" si="16">+N17+Z17</f>
        <v>1104.3</v>
      </c>
      <c r="AC17" s="1186"/>
      <c r="AD17" s="1288"/>
      <c r="AE17" s="4936"/>
      <c r="AF17" s="775">
        <f t="shared" si="6"/>
        <v>1104.3</v>
      </c>
      <c r="AG17" s="1186"/>
      <c r="AH17" s="1288"/>
      <c r="AI17" s="4936"/>
      <c r="AJ17" s="775">
        <f t="shared" si="7"/>
        <v>1104.3</v>
      </c>
      <c r="AK17" s="1186"/>
      <c r="AL17" s="1288"/>
      <c r="AM17" s="4956"/>
      <c r="AN17" s="774">
        <f t="shared" si="8"/>
        <v>0</v>
      </c>
      <c r="AO17" s="4936"/>
      <c r="AP17" s="775">
        <f t="shared" si="9"/>
        <v>1104.3</v>
      </c>
      <c r="AQ17" s="1186"/>
      <c r="AR17" s="1288">
        <v>1636.9950000000001</v>
      </c>
      <c r="AS17" s="4936"/>
      <c r="AT17" s="4936">
        <f t="shared" si="10"/>
        <v>2741.2950000000001</v>
      </c>
      <c r="AU17" s="1186"/>
      <c r="AV17" s="1288"/>
      <c r="AW17" s="4936"/>
      <c r="AX17" s="775">
        <f t="shared" si="11"/>
        <v>2741.2950000000001</v>
      </c>
      <c r="AY17" s="1186"/>
      <c r="AZ17" s="5620"/>
      <c r="BA17" s="4956"/>
      <c r="BB17" s="774">
        <f t="shared" si="12"/>
        <v>1636.9950000000001</v>
      </c>
      <c r="BC17" s="4957"/>
      <c r="BD17" s="657">
        <f t="shared" si="13"/>
        <v>1636.9950000000001</v>
      </c>
      <c r="BE17" s="4936"/>
      <c r="BF17" s="775">
        <f t="shared" si="14"/>
        <v>2741.2950000000001</v>
      </c>
      <c r="BG17" s="1520"/>
      <c r="BH17" s="1520"/>
      <c r="BI17" s="26"/>
      <c r="BJ17" s="26"/>
      <c r="BK17" s="26"/>
      <c r="BL17" s="26"/>
      <c r="BM17" s="26"/>
      <c r="BN17" s="26"/>
    </row>
    <row r="18" spans="2:66" ht="15" customHeight="1" x14ac:dyDescent="0.3">
      <c r="B18" s="879" t="s">
        <v>1518</v>
      </c>
      <c r="C18" s="2901" t="s">
        <v>1033</v>
      </c>
      <c r="D18" s="2803" t="s">
        <v>50</v>
      </c>
      <c r="E18" s="2537"/>
      <c r="F18" s="2599">
        <v>1808.4699999999996</v>
      </c>
      <c r="G18" s="2537"/>
      <c r="H18" s="2599"/>
      <c r="I18" s="2538"/>
      <c r="J18" s="4506">
        <f t="shared" si="0"/>
        <v>1808.4699999999996</v>
      </c>
      <c r="K18" s="2537"/>
      <c r="L18" s="2599"/>
      <c r="M18" s="774"/>
      <c r="N18" s="774">
        <f t="shared" si="1"/>
        <v>1808.4699999999996</v>
      </c>
      <c r="O18" s="2537"/>
      <c r="P18" s="2599">
        <v>2233.145</v>
      </c>
      <c r="Q18" s="775"/>
      <c r="R18" s="775">
        <f t="shared" si="2"/>
        <v>4041.6149999999998</v>
      </c>
      <c r="S18" s="2537"/>
      <c r="T18" s="2599"/>
      <c r="U18" s="775"/>
      <c r="V18" s="775">
        <f t="shared" si="3"/>
        <v>4041.6149999999998</v>
      </c>
      <c r="W18" s="2537"/>
      <c r="X18" s="2599"/>
      <c r="Y18" s="793"/>
      <c r="Z18" s="774">
        <f t="shared" si="4"/>
        <v>2233.145</v>
      </c>
      <c r="AA18" s="517"/>
      <c r="AB18" s="657">
        <f t="shared" si="5"/>
        <v>4041.6149999999998</v>
      </c>
      <c r="AC18" s="2537"/>
      <c r="AD18" s="2599"/>
      <c r="AE18" s="775"/>
      <c r="AF18" s="775">
        <f t="shared" si="6"/>
        <v>4041.6149999999998</v>
      </c>
      <c r="AG18" s="2537"/>
      <c r="AH18" s="2599"/>
      <c r="AI18" s="775"/>
      <c r="AJ18" s="775">
        <f t="shared" si="7"/>
        <v>4041.6149999999998</v>
      </c>
      <c r="AK18" s="2537"/>
      <c r="AL18" s="2599"/>
      <c r="AM18" s="793"/>
      <c r="AN18" s="774">
        <f t="shared" si="8"/>
        <v>0</v>
      </c>
      <c r="AO18" s="775"/>
      <c r="AP18" s="775">
        <f t="shared" si="9"/>
        <v>4041.6149999999998</v>
      </c>
      <c r="AQ18" s="2537"/>
      <c r="AR18" s="2599"/>
      <c r="AS18" s="775"/>
      <c r="AT18" s="775">
        <f t="shared" si="10"/>
        <v>4041.6149999999998</v>
      </c>
      <c r="AU18" s="2537"/>
      <c r="AV18" s="2599"/>
      <c r="AW18" s="775"/>
      <c r="AX18" s="775">
        <f t="shared" si="11"/>
        <v>4041.6149999999998</v>
      </c>
      <c r="AY18" s="2537"/>
      <c r="AZ18" s="2649"/>
      <c r="BA18" s="793"/>
      <c r="BB18" s="774">
        <f t="shared" si="12"/>
        <v>0</v>
      </c>
      <c r="BC18" s="517"/>
      <c r="BD18" s="657">
        <f t="shared" si="13"/>
        <v>0</v>
      </c>
      <c r="BE18" s="775"/>
      <c r="BF18" s="775">
        <f t="shared" si="14"/>
        <v>4041.6149999999998</v>
      </c>
      <c r="BG18" s="1520"/>
      <c r="BH18" s="1520"/>
      <c r="BI18" s="26"/>
      <c r="BJ18" s="26"/>
      <c r="BK18" s="26"/>
      <c r="BL18" s="26"/>
      <c r="BM18" s="26"/>
      <c r="BN18" s="26"/>
    </row>
    <row r="19" spans="2:66" ht="15" customHeight="1" x14ac:dyDescent="0.3">
      <c r="B19" s="4925" t="s">
        <v>1518</v>
      </c>
      <c r="C19" s="4926" t="s">
        <v>1035</v>
      </c>
      <c r="D19" s="4927" t="s">
        <v>50</v>
      </c>
      <c r="E19" s="4928"/>
      <c r="F19" s="4929"/>
      <c r="G19" s="4928"/>
      <c r="H19" s="4929"/>
      <c r="I19" s="4930"/>
      <c r="J19" s="4843"/>
      <c r="K19" s="4928"/>
      <c r="L19" s="4929"/>
      <c r="M19" s="4849"/>
      <c r="N19" s="774">
        <f t="shared" si="1"/>
        <v>0</v>
      </c>
      <c r="O19" s="4928"/>
      <c r="P19" s="4929"/>
      <c r="Q19" s="4843"/>
      <c r="R19" s="775">
        <f t="shared" si="2"/>
        <v>0</v>
      </c>
      <c r="S19" s="4928"/>
      <c r="T19" s="4929">
        <v>1092.5949999999998</v>
      </c>
      <c r="U19" s="4843"/>
      <c r="V19" s="775">
        <f t="shared" si="3"/>
        <v>1092.5949999999998</v>
      </c>
      <c r="W19" s="4928"/>
      <c r="X19" s="4929"/>
      <c r="Y19" s="4850"/>
      <c r="Z19" s="774">
        <f t="shared" si="4"/>
        <v>1092.5949999999998</v>
      </c>
      <c r="AA19" s="4818"/>
      <c r="AB19" s="657">
        <f t="shared" si="5"/>
        <v>1092.5949999999998</v>
      </c>
      <c r="AC19" s="4928"/>
      <c r="AD19" s="4929"/>
      <c r="AE19" s="4843"/>
      <c r="AF19" s="775">
        <f t="shared" si="6"/>
        <v>1092.5949999999998</v>
      </c>
      <c r="AG19" s="4928"/>
      <c r="AH19" s="4929"/>
      <c r="AI19" s="4843"/>
      <c r="AJ19" s="775">
        <f t="shared" si="7"/>
        <v>1092.5949999999998</v>
      </c>
      <c r="AK19" s="4928"/>
      <c r="AL19" s="4929"/>
      <c r="AM19" s="4850"/>
      <c r="AN19" s="774">
        <f t="shared" si="8"/>
        <v>0</v>
      </c>
      <c r="AO19" s="4843"/>
      <c r="AP19" s="775">
        <f t="shared" si="9"/>
        <v>1092.5949999999998</v>
      </c>
      <c r="AQ19" s="4928"/>
      <c r="AR19" s="4929"/>
      <c r="AS19" s="4843"/>
      <c r="AT19" s="4843">
        <f t="shared" si="10"/>
        <v>1092.5949999999998</v>
      </c>
      <c r="AU19" s="4928"/>
      <c r="AV19" s="4929"/>
      <c r="AW19" s="4843"/>
      <c r="AX19" s="775">
        <f t="shared" si="11"/>
        <v>1092.5949999999998</v>
      </c>
      <c r="AY19" s="4928"/>
      <c r="AZ19" s="5621"/>
      <c r="BA19" s="4850"/>
      <c r="BB19" s="774">
        <f t="shared" si="12"/>
        <v>0</v>
      </c>
      <c r="BC19" s="4818"/>
      <c r="BD19" s="657">
        <f t="shared" si="13"/>
        <v>0</v>
      </c>
      <c r="BE19" s="4843"/>
      <c r="BF19" s="775">
        <f t="shared" si="14"/>
        <v>1092.5949999999998</v>
      </c>
      <c r="BG19" s="1520"/>
      <c r="BH19" s="1520"/>
      <c r="BI19" s="26"/>
      <c r="BJ19" s="26"/>
      <c r="BK19" s="26"/>
      <c r="BL19" s="26"/>
      <c r="BM19" s="26"/>
      <c r="BN19" s="26"/>
    </row>
    <row r="20" spans="2:66" ht="15" customHeight="1" x14ac:dyDescent="0.3">
      <c r="B20" s="2905" t="s">
        <v>1518</v>
      </c>
      <c r="C20" s="2906" t="s">
        <v>1034</v>
      </c>
      <c r="D20" s="2907" t="s">
        <v>50</v>
      </c>
      <c r="E20" s="2801"/>
      <c r="F20" s="2840">
        <v>4663.2450000000026</v>
      </c>
      <c r="G20" s="2801"/>
      <c r="H20" s="2840"/>
      <c r="I20" s="2802"/>
      <c r="J20" s="4506">
        <f t="shared" si="0"/>
        <v>4663.2450000000026</v>
      </c>
      <c r="K20" s="2801"/>
      <c r="L20" s="2840"/>
      <c r="M20" s="774"/>
      <c r="N20" s="774">
        <f t="shared" si="1"/>
        <v>4663.2450000000026</v>
      </c>
      <c r="O20" s="2801"/>
      <c r="P20" s="2840">
        <v>4350.0300000000016</v>
      </c>
      <c r="Q20" s="775"/>
      <c r="R20" s="775">
        <f t="shared" si="2"/>
        <v>9013.2750000000051</v>
      </c>
      <c r="S20" s="2801"/>
      <c r="T20" s="2840">
        <v>8407.0550000000094</v>
      </c>
      <c r="U20" s="775"/>
      <c r="V20" s="775">
        <f t="shared" si="3"/>
        <v>17420.330000000016</v>
      </c>
      <c r="W20" s="2801"/>
      <c r="X20" s="2840"/>
      <c r="Y20" s="793"/>
      <c r="Z20" s="774">
        <f t="shared" si="4"/>
        <v>12757.08500000001</v>
      </c>
      <c r="AA20" s="517"/>
      <c r="AB20" s="657">
        <f t="shared" si="5"/>
        <v>17420.330000000013</v>
      </c>
      <c r="AC20" s="2801"/>
      <c r="AD20" s="2840"/>
      <c r="AE20" s="775"/>
      <c r="AF20" s="775">
        <f t="shared" si="6"/>
        <v>17420.330000000013</v>
      </c>
      <c r="AG20" s="2801"/>
      <c r="AH20" s="2840"/>
      <c r="AI20" s="775"/>
      <c r="AJ20" s="775">
        <f t="shared" si="7"/>
        <v>17420.330000000013</v>
      </c>
      <c r="AK20" s="2801"/>
      <c r="AL20" s="2840"/>
      <c r="AM20" s="793"/>
      <c r="AN20" s="774">
        <f t="shared" si="8"/>
        <v>0</v>
      </c>
      <c r="AO20" s="775"/>
      <c r="AP20" s="775">
        <f t="shared" si="9"/>
        <v>17420.330000000013</v>
      </c>
      <c r="AQ20" s="2801"/>
      <c r="AR20" s="2840"/>
      <c r="AS20" s="775"/>
      <c r="AT20" s="775">
        <f t="shared" si="10"/>
        <v>17420.330000000013</v>
      </c>
      <c r="AU20" s="2801"/>
      <c r="AV20" s="2840"/>
      <c r="AW20" s="775"/>
      <c r="AX20" s="775">
        <f t="shared" si="11"/>
        <v>17420.330000000013</v>
      </c>
      <c r="AY20" s="2801"/>
      <c r="AZ20" s="5622"/>
      <c r="BA20" s="793"/>
      <c r="BB20" s="774">
        <f t="shared" si="12"/>
        <v>0</v>
      </c>
      <c r="BC20" s="517"/>
      <c r="BD20" s="657">
        <f t="shared" si="13"/>
        <v>0</v>
      </c>
      <c r="BE20" s="775"/>
      <c r="BF20" s="775">
        <f t="shared" si="14"/>
        <v>17420.330000000013</v>
      </c>
      <c r="BG20" s="1520"/>
      <c r="BH20" s="1520"/>
      <c r="BI20" s="26"/>
      <c r="BJ20" s="26"/>
      <c r="BK20" s="26"/>
      <c r="BL20" s="26"/>
      <c r="BM20" s="26"/>
      <c r="BN20" s="26"/>
    </row>
    <row r="21" spans="2:66" ht="15" hidden="1" customHeight="1" thickBot="1" x14ac:dyDescent="0.35">
      <c r="B21" s="2908" t="s">
        <v>1525</v>
      </c>
      <c r="C21" s="2909" t="s">
        <v>1115</v>
      </c>
      <c r="D21" s="2910" t="s">
        <v>50</v>
      </c>
      <c r="E21" s="2911"/>
      <c r="F21" s="2912"/>
      <c r="G21" s="2911"/>
      <c r="H21" s="2912"/>
      <c r="I21" s="2913"/>
      <c r="J21" s="4506">
        <f t="shared" si="0"/>
        <v>0</v>
      </c>
      <c r="K21" s="2911"/>
      <c r="L21" s="2912"/>
      <c r="M21" s="774"/>
      <c r="N21" s="774">
        <f t="shared" si="1"/>
        <v>0</v>
      </c>
      <c r="O21" s="2911"/>
      <c r="P21" s="2912"/>
      <c r="Q21" s="775"/>
      <c r="R21" s="775">
        <f t="shared" si="2"/>
        <v>0</v>
      </c>
      <c r="S21" s="2911"/>
      <c r="T21" s="2912"/>
      <c r="U21" s="775"/>
      <c r="V21" s="775">
        <f t="shared" si="3"/>
        <v>0</v>
      </c>
      <c r="W21" s="2911"/>
      <c r="X21" s="2912"/>
      <c r="Y21" s="793"/>
      <c r="Z21" s="774">
        <f t="shared" si="4"/>
        <v>0</v>
      </c>
      <c r="AA21" s="517"/>
      <c r="AB21" s="657">
        <f t="shared" si="5"/>
        <v>0</v>
      </c>
      <c r="AC21" s="2911"/>
      <c r="AD21" s="2912"/>
      <c r="AE21" s="775"/>
      <c r="AF21" s="775">
        <f t="shared" si="6"/>
        <v>0</v>
      </c>
      <c r="AG21" s="2911"/>
      <c r="AH21" s="2912"/>
      <c r="AI21" s="775"/>
      <c r="AJ21" s="775">
        <f t="shared" si="7"/>
        <v>0</v>
      </c>
      <c r="AK21" s="2911"/>
      <c r="AL21" s="2912"/>
      <c r="AM21" s="793"/>
      <c r="AN21" s="774">
        <f t="shared" si="8"/>
        <v>0</v>
      </c>
      <c r="AO21" s="775"/>
      <c r="AP21" s="775">
        <f t="shared" si="9"/>
        <v>0</v>
      </c>
      <c r="AQ21" s="2911"/>
      <c r="AR21" s="2912"/>
      <c r="AS21" s="775"/>
      <c r="AT21" s="775">
        <f t="shared" si="10"/>
        <v>0</v>
      </c>
      <c r="AU21" s="2911"/>
      <c r="AV21" s="2912"/>
      <c r="AW21" s="775"/>
      <c r="AX21" s="775">
        <f t="shared" si="11"/>
        <v>0</v>
      </c>
      <c r="AY21" s="2911"/>
      <c r="AZ21" s="5623"/>
      <c r="BA21" s="793"/>
      <c r="BB21" s="774">
        <f t="shared" si="12"/>
        <v>0</v>
      </c>
      <c r="BC21" s="517"/>
      <c r="BD21" s="657">
        <f t="shared" si="13"/>
        <v>0</v>
      </c>
      <c r="BE21" s="775"/>
      <c r="BF21" s="775">
        <f t="shared" si="14"/>
        <v>0</v>
      </c>
      <c r="BG21" s="1520"/>
      <c r="BH21" s="1520"/>
      <c r="BI21" s="26"/>
      <c r="BJ21" s="26"/>
      <c r="BK21" s="26"/>
      <c r="BL21" s="26"/>
      <c r="BM21" s="26"/>
      <c r="BN21" s="26"/>
    </row>
    <row r="22" spans="2:66" ht="15" customHeight="1" x14ac:dyDescent="0.3">
      <c r="B22" s="2896" t="s">
        <v>853</v>
      </c>
      <c r="C22" s="2897" t="s">
        <v>1033</v>
      </c>
      <c r="D22" s="59" t="s">
        <v>50</v>
      </c>
      <c r="E22" s="1186"/>
      <c r="F22" s="1288"/>
      <c r="G22" s="1186"/>
      <c r="H22" s="1288">
        <v>2016.3700000000003</v>
      </c>
      <c r="I22" s="567"/>
      <c r="J22" s="4506">
        <f t="shared" si="0"/>
        <v>2016.3700000000003</v>
      </c>
      <c r="K22" s="1186"/>
      <c r="L22" s="1288">
        <v>2018.4149999999995</v>
      </c>
      <c r="M22" s="774"/>
      <c r="N22" s="774">
        <f t="shared" si="1"/>
        <v>4034.7849999999999</v>
      </c>
      <c r="O22" s="1186"/>
      <c r="P22" s="1288">
        <v>2157.4749999999995</v>
      </c>
      <c r="Q22" s="775"/>
      <c r="R22" s="775">
        <f t="shared" si="2"/>
        <v>6192.2599999999993</v>
      </c>
      <c r="S22" s="1186"/>
      <c r="T22" s="1288"/>
      <c r="U22" s="775"/>
      <c r="V22" s="775">
        <f t="shared" si="3"/>
        <v>6192.2599999999993</v>
      </c>
      <c r="W22" s="1186"/>
      <c r="X22" s="1288"/>
      <c r="Y22" s="793"/>
      <c r="Z22" s="774">
        <f t="shared" si="4"/>
        <v>2157.4749999999995</v>
      </c>
      <c r="AA22" s="517"/>
      <c r="AB22" s="657">
        <f t="shared" si="5"/>
        <v>6192.2599999999993</v>
      </c>
      <c r="AC22" s="1186"/>
      <c r="AD22" s="1288"/>
      <c r="AE22" s="775"/>
      <c r="AF22" s="775">
        <f t="shared" si="6"/>
        <v>6192.2599999999993</v>
      </c>
      <c r="AG22" s="1186"/>
      <c r="AH22" s="1288"/>
      <c r="AI22" s="775"/>
      <c r="AJ22" s="775">
        <f t="shared" si="7"/>
        <v>6192.2599999999993</v>
      </c>
      <c r="AK22" s="1186"/>
      <c r="AL22" s="1288"/>
      <c r="AM22" s="793"/>
      <c r="AN22" s="774">
        <f t="shared" si="8"/>
        <v>0</v>
      </c>
      <c r="AO22" s="775"/>
      <c r="AP22" s="775">
        <f t="shared" si="9"/>
        <v>6192.2599999999993</v>
      </c>
      <c r="AQ22" s="1186"/>
      <c r="AR22" s="1288"/>
      <c r="AS22" s="775"/>
      <c r="AT22" s="775">
        <f t="shared" si="10"/>
        <v>6192.2599999999993</v>
      </c>
      <c r="AU22" s="1186"/>
      <c r="AV22" s="1288">
        <v>2241.3199999999997</v>
      </c>
      <c r="AW22" s="775"/>
      <c r="AX22" s="775">
        <f t="shared" si="11"/>
        <v>8433.5799999999981</v>
      </c>
      <c r="AY22" s="1186"/>
      <c r="AZ22" s="5620">
        <v>985.65390815630406</v>
      </c>
      <c r="BA22" s="793"/>
      <c r="BB22" s="774">
        <f t="shared" si="12"/>
        <v>3226.9739081563039</v>
      </c>
      <c r="BC22" s="517"/>
      <c r="BD22" s="657">
        <f t="shared" si="13"/>
        <v>3226.9739081563039</v>
      </c>
      <c r="BE22" s="775"/>
      <c r="BF22" s="775">
        <f t="shared" si="14"/>
        <v>9419.2339081563023</v>
      </c>
      <c r="BG22" s="1520"/>
      <c r="BH22" s="1520"/>
      <c r="BI22" s="26"/>
      <c r="BJ22" s="26"/>
      <c r="BK22" s="26"/>
      <c r="BL22" s="26"/>
      <c r="BM22" s="26"/>
      <c r="BN22" s="26"/>
    </row>
    <row r="23" spans="2:66" ht="15" customHeight="1" x14ac:dyDescent="0.3">
      <c r="B23" s="879" t="s">
        <v>853</v>
      </c>
      <c r="C23" s="2901" t="s">
        <v>1034</v>
      </c>
      <c r="D23" s="2803" t="s">
        <v>50</v>
      </c>
      <c r="E23" s="2537"/>
      <c r="F23" s="2599"/>
      <c r="G23" s="2537"/>
      <c r="H23" s="2599">
        <v>5116.5899999999983</v>
      </c>
      <c r="I23" s="2538"/>
      <c r="J23" s="4506">
        <f t="shared" si="0"/>
        <v>5116.5899999999983</v>
      </c>
      <c r="K23" s="2537"/>
      <c r="L23" s="2599"/>
      <c r="M23" s="774"/>
      <c r="N23" s="774">
        <f t="shared" si="1"/>
        <v>5116.5899999999983</v>
      </c>
      <c r="O23" s="2537"/>
      <c r="P23" s="2599">
        <v>5458.1050000000059</v>
      </c>
      <c r="Q23" s="775"/>
      <c r="R23" s="775">
        <f t="shared" si="2"/>
        <v>10574.695000000003</v>
      </c>
      <c r="S23" s="2537"/>
      <c r="T23" s="2599">
        <v>3828.2400000000007</v>
      </c>
      <c r="U23" s="775"/>
      <c r="V23" s="775">
        <f t="shared" si="3"/>
        <v>14402.935000000005</v>
      </c>
      <c r="W23" s="2537"/>
      <c r="X23" s="2599"/>
      <c r="Y23" s="793"/>
      <c r="Z23" s="774">
        <f t="shared" si="4"/>
        <v>9286.3450000000066</v>
      </c>
      <c r="AA23" s="517"/>
      <c r="AB23" s="657">
        <f t="shared" si="5"/>
        <v>14402.935000000005</v>
      </c>
      <c r="AC23" s="2537"/>
      <c r="AD23" s="2599">
        <v>1832.3199999999997</v>
      </c>
      <c r="AE23" s="775"/>
      <c r="AF23" s="775">
        <f t="shared" si="6"/>
        <v>16235.255000000005</v>
      </c>
      <c r="AG23" s="2537"/>
      <c r="AH23" s="2599">
        <v>6705.5550000000067</v>
      </c>
      <c r="AI23" s="775"/>
      <c r="AJ23" s="775">
        <f t="shared" si="7"/>
        <v>22940.810000000012</v>
      </c>
      <c r="AK23" s="2537"/>
      <c r="AL23" s="2599">
        <v>2030.6849999999995</v>
      </c>
      <c r="AM23" s="793"/>
      <c r="AN23" s="774">
        <f t="shared" si="8"/>
        <v>10568.560000000007</v>
      </c>
      <c r="AO23" s="775"/>
      <c r="AP23" s="775">
        <f t="shared" si="9"/>
        <v>24971.49500000001</v>
      </c>
      <c r="AQ23" s="2537"/>
      <c r="AR23" s="2599">
        <v>9261.8050000000112</v>
      </c>
      <c r="AS23" s="775"/>
      <c r="AT23" s="775">
        <f t="shared" si="10"/>
        <v>34233.300000000017</v>
      </c>
      <c r="AU23" s="2537"/>
      <c r="AV23" s="2599">
        <v>7314.9650000000011</v>
      </c>
      <c r="AW23" s="775"/>
      <c r="AX23" s="775">
        <f t="shared" si="11"/>
        <v>41548.265000000021</v>
      </c>
      <c r="AY23" s="2537"/>
      <c r="AZ23" s="2649">
        <v>8303.3874687106891</v>
      </c>
      <c r="BA23" s="793"/>
      <c r="BB23" s="774">
        <f t="shared" si="12"/>
        <v>24880.157468710699</v>
      </c>
      <c r="BC23" s="517"/>
      <c r="BD23" s="657">
        <f t="shared" si="13"/>
        <v>35448.717468710704</v>
      </c>
      <c r="BE23" s="775"/>
      <c r="BF23" s="775">
        <f t="shared" si="14"/>
        <v>49851.652468710708</v>
      </c>
      <c r="BG23" s="1520"/>
      <c r="BH23" s="1520"/>
      <c r="BI23" s="26"/>
      <c r="BJ23" s="26"/>
      <c r="BK23" s="26"/>
      <c r="BL23" s="26"/>
      <c r="BM23" s="26"/>
      <c r="BN23" s="26"/>
    </row>
    <row r="24" spans="2:66" ht="15" hidden="1" customHeight="1" x14ac:dyDescent="0.3">
      <c r="B24" s="879" t="s">
        <v>853</v>
      </c>
      <c r="C24" s="2901" t="s">
        <v>1137</v>
      </c>
      <c r="D24" s="2803" t="s">
        <v>50</v>
      </c>
      <c r="E24" s="2537"/>
      <c r="F24" s="2599"/>
      <c r="G24" s="2537"/>
      <c r="H24" s="2599"/>
      <c r="I24" s="2538"/>
      <c r="J24" s="4506">
        <f t="shared" si="0"/>
        <v>0</v>
      </c>
      <c r="K24" s="2537"/>
      <c r="L24" s="2599"/>
      <c r="M24" s="774"/>
      <c r="N24" s="774">
        <f t="shared" si="1"/>
        <v>0</v>
      </c>
      <c r="O24" s="2537"/>
      <c r="P24" s="2599"/>
      <c r="Q24" s="775"/>
      <c r="R24" s="775">
        <f t="shared" si="2"/>
        <v>0</v>
      </c>
      <c r="S24" s="2537"/>
      <c r="T24" s="2599"/>
      <c r="U24" s="775"/>
      <c r="V24" s="775">
        <f t="shared" si="3"/>
        <v>0</v>
      </c>
      <c r="W24" s="2537"/>
      <c r="X24" s="2599"/>
      <c r="Y24" s="793"/>
      <c r="Z24" s="774">
        <f t="shared" si="4"/>
        <v>0</v>
      </c>
      <c r="AA24" s="517"/>
      <c r="AB24" s="657">
        <f t="shared" si="5"/>
        <v>0</v>
      </c>
      <c r="AC24" s="2537"/>
      <c r="AD24" s="2599"/>
      <c r="AE24" s="775"/>
      <c r="AF24" s="775">
        <f t="shared" si="6"/>
        <v>0</v>
      </c>
      <c r="AG24" s="2537"/>
      <c r="AH24" s="2599"/>
      <c r="AI24" s="775"/>
      <c r="AJ24" s="775">
        <f t="shared" si="7"/>
        <v>0</v>
      </c>
      <c r="AK24" s="2537"/>
      <c r="AL24" s="2599"/>
      <c r="AM24" s="793"/>
      <c r="AN24" s="774">
        <f t="shared" si="8"/>
        <v>0</v>
      </c>
      <c r="AO24" s="775"/>
      <c r="AP24" s="775">
        <f t="shared" si="9"/>
        <v>0</v>
      </c>
      <c r="AQ24" s="2537"/>
      <c r="AR24" s="2599"/>
      <c r="AS24" s="775"/>
      <c r="AT24" s="775">
        <f t="shared" si="10"/>
        <v>0</v>
      </c>
      <c r="AU24" s="2537"/>
      <c r="AV24" s="2599"/>
      <c r="AW24" s="775"/>
      <c r="AX24" s="775">
        <f t="shared" si="11"/>
        <v>0</v>
      </c>
      <c r="AY24" s="2537"/>
      <c r="AZ24" s="2649"/>
      <c r="BA24" s="793"/>
      <c r="BB24" s="774">
        <f t="shared" si="12"/>
        <v>0</v>
      </c>
      <c r="BC24" s="517"/>
      <c r="BD24" s="657">
        <f t="shared" si="13"/>
        <v>0</v>
      </c>
      <c r="BE24" s="775"/>
      <c r="BF24" s="775">
        <f t="shared" si="14"/>
        <v>0</v>
      </c>
      <c r="BG24" s="1520"/>
      <c r="BH24" s="1520"/>
      <c r="BI24" s="26"/>
      <c r="BJ24" s="26"/>
      <c r="BK24" s="26"/>
      <c r="BL24" s="26"/>
      <c r="BM24" s="26"/>
      <c r="BN24" s="26"/>
    </row>
    <row r="25" spans="2:66" ht="15" customHeight="1" x14ac:dyDescent="0.3">
      <c r="B25" s="879" t="s">
        <v>853</v>
      </c>
      <c r="C25" s="2901" t="s">
        <v>1035</v>
      </c>
      <c r="D25" s="2803" t="s">
        <v>50</v>
      </c>
      <c r="E25" s="2537"/>
      <c r="F25" s="2599"/>
      <c r="G25" s="2537"/>
      <c r="H25" s="2599"/>
      <c r="I25" s="2538"/>
      <c r="J25" s="4506">
        <f t="shared" si="0"/>
        <v>0</v>
      </c>
      <c r="K25" s="2537"/>
      <c r="L25" s="2599"/>
      <c r="M25" s="774"/>
      <c r="N25" s="774">
        <f t="shared" si="1"/>
        <v>0</v>
      </c>
      <c r="O25" s="2537"/>
      <c r="P25" s="2599"/>
      <c r="Q25" s="775"/>
      <c r="R25" s="775">
        <f t="shared" si="2"/>
        <v>0</v>
      </c>
      <c r="S25" s="2537"/>
      <c r="T25" s="2599">
        <v>513.29500000000007</v>
      </c>
      <c r="U25" s="775"/>
      <c r="V25" s="775">
        <f t="shared" si="3"/>
        <v>513.29500000000007</v>
      </c>
      <c r="W25" s="2537"/>
      <c r="X25" s="2599"/>
      <c r="Y25" s="793"/>
      <c r="Z25" s="774">
        <f t="shared" si="4"/>
        <v>513.29500000000007</v>
      </c>
      <c r="AA25" s="517"/>
      <c r="AB25" s="657">
        <f t="shared" si="5"/>
        <v>513.29500000000007</v>
      </c>
      <c r="AC25" s="2537"/>
      <c r="AD25" s="2599"/>
      <c r="AE25" s="775"/>
      <c r="AF25" s="775">
        <f t="shared" si="6"/>
        <v>513.29500000000007</v>
      </c>
      <c r="AG25" s="2537"/>
      <c r="AH25" s="2599">
        <v>1030.6800000000003</v>
      </c>
      <c r="AI25" s="775"/>
      <c r="AJ25" s="775">
        <f t="shared" si="7"/>
        <v>1543.9750000000004</v>
      </c>
      <c r="AK25" s="2537"/>
      <c r="AL25" s="2599">
        <v>3012.2849999999989</v>
      </c>
      <c r="AM25" s="793"/>
      <c r="AN25" s="774">
        <f t="shared" si="8"/>
        <v>4042.9649999999992</v>
      </c>
      <c r="AO25" s="775"/>
      <c r="AP25" s="775">
        <f t="shared" si="9"/>
        <v>4556.2599999999993</v>
      </c>
      <c r="AQ25" s="2537"/>
      <c r="AR25" s="2599"/>
      <c r="AS25" s="775"/>
      <c r="AT25" s="775">
        <f t="shared" si="10"/>
        <v>4556.2599999999993</v>
      </c>
      <c r="AU25" s="2537"/>
      <c r="AV25" s="2599"/>
      <c r="AW25" s="775"/>
      <c r="AX25" s="775">
        <f t="shared" si="11"/>
        <v>4556.2599999999993</v>
      </c>
      <c r="AY25" s="2537"/>
      <c r="AZ25" s="2649"/>
      <c r="BA25" s="793"/>
      <c r="BB25" s="774">
        <f t="shared" si="12"/>
        <v>0</v>
      </c>
      <c r="BC25" s="517"/>
      <c r="BD25" s="657">
        <f t="shared" si="13"/>
        <v>4042.9649999999992</v>
      </c>
      <c r="BE25" s="775"/>
      <c r="BF25" s="775">
        <f t="shared" si="14"/>
        <v>4556.2599999999993</v>
      </c>
      <c r="BG25" s="1520"/>
      <c r="BH25" s="1520"/>
      <c r="BI25" s="26"/>
      <c r="BJ25" s="26"/>
      <c r="BK25" s="26"/>
      <c r="BL25" s="26"/>
      <c r="BM25" s="26"/>
      <c r="BN25" s="26"/>
    </row>
    <row r="26" spans="2:66" ht="15" customHeight="1" thickBot="1" x14ac:dyDescent="0.35">
      <c r="B26" s="2905" t="s">
        <v>853</v>
      </c>
      <c r="C26" s="2906" t="s">
        <v>1115</v>
      </c>
      <c r="D26" s="2907" t="s">
        <v>50</v>
      </c>
      <c r="E26" s="2801"/>
      <c r="F26" s="2840"/>
      <c r="G26" s="2801"/>
      <c r="H26" s="2840">
        <v>137.01500000000001</v>
      </c>
      <c r="I26" s="2802"/>
      <c r="J26" s="4506">
        <f t="shared" si="0"/>
        <v>137.01500000000001</v>
      </c>
      <c r="K26" s="2801"/>
      <c r="L26" s="2840"/>
      <c r="M26" s="774"/>
      <c r="N26" s="774">
        <f t="shared" si="1"/>
        <v>137.01500000000001</v>
      </c>
      <c r="O26" s="2801"/>
      <c r="P26" s="2840"/>
      <c r="Q26" s="775"/>
      <c r="R26" s="775">
        <f t="shared" si="2"/>
        <v>137.01500000000001</v>
      </c>
      <c r="S26" s="2801"/>
      <c r="T26" s="2840"/>
      <c r="U26" s="775"/>
      <c r="V26" s="775">
        <f t="shared" si="3"/>
        <v>137.01500000000001</v>
      </c>
      <c r="W26" s="2801"/>
      <c r="X26" s="2840"/>
      <c r="Y26" s="793"/>
      <c r="Z26" s="774">
        <f t="shared" si="4"/>
        <v>0</v>
      </c>
      <c r="AA26" s="517"/>
      <c r="AB26" s="657">
        <f t="shared" si="5"/>
        <v>137.01500000000001</v>
      </c>
      <c r="AC26" s="2801"/>
      <c r="AD26" s="2840"/>
      <c r="AE26" s="775"/>
      <c r="AF26" s="775">
        <f t="shared" si="6"/>
        <v>137.01500000000001</v>
      </c>
      <c r="AG26" s="2801"/>
      <c r="AH26" s="2840"/>
      <c r="AI26" s="775"/>
      <c r="AJ26" s="775">
        <f t="shared" si="7"/>
        <v>137.01500000000001</v>
      </c>
      <c r="AK26" s="2801"/>
      <c r="AL26" s="2840"/>
      <c r="AM26" s="793"/>
      <c r="AN26" s="774">
        <f t="shared" si="8"/>
        <v>0</v>
      </c>
      <c r="AO26" s="775"/>
      <c r="AP26" s="775">
        <f t="shared" si="9"/>
        <v>137.01500000000001</v>
      </c>
      <c r="AQ26" s="2801"/>
      <c r="AR26" s="2840"/>
      <c r="AS26" s="775"/>
      <c r="AT26" s="775">
        <f t="shared" si="10"/>
        <v>137.01500000000001</v>
      </c>
      <c r="AU26" s="2801"/>
      <c r="AV26" s="2840"/>
      <c r="AW26" s="775"/>
      <c r="AX26" s="775">
        <f t="shared" si="11"/>
        <v>137.01500000000001</v>
      </c>
      <c r="AY26" s="2801"/>
      <c r="AZ26" s="5622"/>
      <c r="BA26" s="793"/>
      <c r="BB26" s="774">
        <f t="shared" si="12"/>
        <v>0</v>
      </c>
      <c r="BC26" s="517"/>
      <c r="BD26" s="657">
        <f t="shared" si="13"/>
        <v>0</v>
      </c>
      <c r="BE26" s="775"/>
      <c r="BF26" s="775">
        <f t="shared" si="14"/>
        <v>137.01500000000001</v>
      </c>
      <c r="BG26" s="1520"/>
      <c r="BH26" s="1520"/>
      <c r="BI26" s="26"/>
      <c r="BJ26" s="26"/>
      <c r="BK26" s="26"/>
      <c r="BL26" s="26"/>
      <c r="BM26" s="26"/>
      <c r="BN26" s="26"/>
    </row>
    <row r="27" spans="2:66" ht="15.6" x14ac:dyDescent="0.3">
      <c r="B27" s="2898" t="s">
        <v>854</v>
      </c>
      <c r="C27" s="2899" t="s">
        <v>1033</v>
      </c>
      <c r="D27" s="751" t="s">
        <v>50</v>
      </c>
      <c r="E27" s="270"/>
      <c r="F27" s="270">
        <v>2571.4500000000003</v>
      </c>
      <c r="G27" s="270"/>
      <c r="H27" s="270">
        <v>3124.4149999999986</v>
      </c>
      <c r="I27" s="368"/>
      <c r="J27" s="4506">
        <f t="shared" si="0"/>
        <v>5695.8649999999989</v>
      </c>
      <c r="K27" s="270"/>
      <c r="L27" s="270">
        <v>2251.5450000000001</v>
      </c>
      <c r="M27" s="774"/>
      <c r="N27" s="774">
        <f t="shared" si="1"/>
        <v>7947.4099999999989</v>
      </c>
      <c r="O27" s="270"/>
      <c r="P27" s="270">
        <v>5681.0200000000013</v>
      </c>
      <c r="Q27" s="775"/>
      <c r="R27" s="775">
        <f t="shared" si="2"/>
        <v>13628.43</v>
      </c>
      <c r="S27" s="270"/>
      <c r="T27" s="270"/>
      <c r="U27" s="775"/>
      <c r="V27" s="775">
        <f t="shared" si="3"/>
        <v>13628.43</v>
      </c>
      <c r="W27" s="270"/>
      <c r="X27" s="270">
        <v>2472.8049999999994</v>
      </c>
      <c r="Y27" s="793"/>
      <c r="Z27" s="774">
        <f t="shared" si="4"/>
        <v>8153.8250000000007</v>
      </c>
      <c r="AA27" s="517"/>
      <c r="AB27" s="657">
        <f t="shared" si="5"/>
        <v>16101.235000000001</v>
      </c>
      <c r="AC27" s="270"/>
      <c r="AD27" s="270"/>
      <c r="AE27" s="775"/>
      <c r="AF27" s="775">
        <f t="shared" si="6"/>
        <v>16101.235000000001</v>
      </c>
      <c r="AG27" s="270"/>
      <c r="AH27" s="270"/>
      <c r="AI27" s="775"/>
      <c r="AJ27" s="775">
        <f t="shared" si="7"/>
        <v>16101.235000000001</v>
      </c>
      <c r="AK27" s="270"/>
      <c r="AL27" s="270"/>
      <c r="AM27" s="793"/>
      <c r="AN27" s="774">
        <f t="shared" si="8"/>
        <v>0</v>
      </c>
      <c r="AO27" s="775"/>
      <c r="AP27" s="775">
        <f t="shared" si="9"/>
        <v>16101.235000000001</v>
      </c>
      <c r="AQ27" s="270"/>
      <c r="AR27" s="270">
        <v>3152.7549999999997</v>
      </c>
      <c r="AS27" s="775"/>
      <c r="AT27" s="775">
        <f t="shared" si="10"/>
        <v>19253.990000000002</v>
      </c>
      <c r="AU27" s="270"/>
      <c r="AV27" s="270">
        <v>3580.7950000000001</v>
      </c>
      <c r="AW27" s="775"/>
      <c r="AX27" s="775">
        <f t="shared" si="11"/>
        <v>22834.785000000003</v>
      </c>
      <c r="AY27" s="270"/>
      <c r="AZ27" s="5618">
        <v>979.68024810687177</v>
      </c>
      <c r="BA27" s="793"/>
      <c r="BB27" s="774">
        <f t="shared" si="12"/>
        <v>7713.2302481068709</v>
      </c>
      <c r="BC27" s="517"/>
      <c r="BD27" s="657">
        <f t="shared" si="13"/>
        <v>7713.2302481068709</v>
      </c>
      <c r="BE27" s="775"/>
      <c r="BF27" s="775">
        <f t="shared" si="14"/>
        <v>23814.465248106877</v>
      </c>
      <c r="BG27" s="1520"/>
      <c r="BH27" s="1520"/>
      <c r="BI27" s="26"/>
      <c r="BJ27" s="26"/>
      <c r="BK27" s="26"/>
      <c r="BL27" s="26"/>
      <c r="BM27" s="26"/>
      <c r="BN27" s="26"/>
    </row>
    <row r="28" spans="2:66" ht="15.6" x14ac:dyDescent="0.3">
      <c r="B28" s="879" t="s">
        <v>854</v>
      </c>
      <c r="C28" s="2901" t="s">
        <v>1034</v>
      </c>
      <c r="D28" s="2803" t="s">
        <v>50</v>
      </c>
      <c r="E28" s="2599"/>
      <c r="F28" s="2599">
        <v>9303.1850000000104</v>
      </c>
      <c r="G28" s="2599"/>
      <c r="H28" s="2599">
        <v>2761.84</v>
      </c>
      <c r="I28" s="2538"/>
      <c r="J28" s="4506">
        <f t="shared" si="0"/>
        <v>12065.025000000011</v>
      </c>
      <c r="K28" s="2599"/>
      <c r="L28" s="2599">
        <v>7930.2000000000016</v>
      </c>
      <c r="M28" s="774"/>
      <c r="N28" s="774">
        <f t="shared" si="1"/>
        <v>19995.225000000013</v>
      </c>
      <c r="O28" s="2599"/>
      <c r="P28" s="2599">
        <v>17149.980000000036</v>
      </c>
      <c r="Q28" s="775"/>
      <c r="R28" s="775">
        <f t="shared" si="2"/>
        <v>37145.205000000045</v>
      </c>
      <c r="S28" s="2599"/>
      <c r="T28" s="2599">
        <v>8461.9500000000007</v>
      </c>
      <c r="U28" s="775"/>
      <c r="V28" s="775">
        <f t="shared" si="3"/>
        <v>45607.155000000042</v>
      </c>
      <c r="W28" s="2599"/>
      <c r="X28" s="2599">
        <v>13465.740000000033</v>
      </c>
      <c r="Y28" s="793"/>
      <c r="Z28" s="774">
        <f t="shared" si="4"/>
        <v>39077.670000000071</v>
      </c>
      <c r="AA28" s="517"/>
      <c r="AB28" s="657">
        <f t="shared" si="5"/>
        <v>59072.895000000084</v>
      </c>
      <c r="AC28" s="2599"/>
      <c r="AD28" s="2599">
        <v>15609.635000000049</v>
      </c>
      <c r="AE28" s="775"/>
      <c r="AF28" s="775">
        <f t="shared" si="6"/>
        <v>74682.53000000013</v>
      </c>
      <c r="AG28" s="2599"/>
      <c r="AH28" s="2599">
        <v>8318.6600000000017</v>
      </c>
      <c r="AI28" s="775"/>
      <c r="AJ28" s="775">
        <f t="shared" si="7"/>
        <v>83001.190000000133</v>
      </c>
      <c r="AK28" s="2599"/>
      <c r="AL28" s="2599">
        <v>16020.605000000058</v>
      </c>
      <c r="AM28" s="793"/>
      <c r="AN28" s="774">
        <f t="shared" si="8"/>
        <v>39948.900000000111</v>
      </c>
      <c r="AO28" s="775"/>
      <c r="AP28" s="775">
        <f t="shared" si="9"/>
        <v>99021.795000000187</v>
      </c>
      <c r="AQ28" s="2599"/>
      <c r="AR28" s="2599">
        <v>10341.610000000013</v>
      </c>
      <c r="AS28" s="775"/>
      <c r="AT28" s="775">
        <f t="shared" si="10"/>
        <v>109363.4050000002</v>
      </c>
      <c r="AU28" s="2599"/>
      <c r="AV28" s="2599">
        <v>8854.8500000000058</v>
      </c>
      <c r="AW28" s="775"/>
      <c r="AX28" s="775">
        <f t="shared" si="11"/>
        <v>118218.25500000021</v>
      </c>
      <c r="AY28" s="2599"/>
      <c r="AZ28" s="2649">
        <v>17128.868930934874</v>
      </c>
      <c r="BA28" s="793"/>
      <c r="BB28" s="774">
        <f t="shared" si="12"/>
        <v>36325.328930934891</v>
      </c>
      <c r="BC28" s="517"/>
      <c r="BD28" s="657">
        <f t="shared" si="13"/>
        <v>76274.228930935002</v>
      </c>
      <c r="BE28" s="775"/>
      <c r="BF28" s="775">
        <f t="shared" si="14"/>
        <v>135347.12393093508</v>
      </c>
      <c r="BG28" s="1520"/>
      <c r="BH28" s="1520"/>
      <c r="BI28" s="26"/>
      <c r="BJ28" s="26"/>
      <c r="BK28" s="26"/>
      <c r="BL28" s="26"/>
      <c r="BM28" s="26"/>
      <c r="BN28" s="26"/>
    </row>
    <row r="29" spans="2:66" ht="15.6" x14ac:dyDescent="0.3">
      <c r="B29" s="879" t="s">
        <v>854</v>
      </c>
      <c r="C29" s="2901" t="s">
        <v>1137</v>
      </c>
      <c r="D29" s="2803" t="s">
        <v>50</v>
      </c>
      <c r="E29" s="2599"/>
      <c r="F29" s="2599">
        <v>14295.540000000015</v>
      </c>
      <c r="G29" s="2599"/>
      <c r="H29" s="2599">
        <v>8564.9000000000124</v>
      </c>
      <c r="I29" s="2538"/>
      <c r="J29" s="4506">
        <f t="shared" si="0"/>
        <v>22860.440000000028</v>
      </c>
      <c r="K29" s="2599"/>
      <c r="L29" s="2599">
        <v>7993.1250000000064</v>
      </c>
      <c r="M29" s="774"/>
      <c r="N29" s="774">
        <f t="shared" si="1"/>
        <v>30853.565000000035</v>
      </c>
      <c r="O29" s="2599"/>
      <c r="P29" s="2599">
        <v>7960.655000000007</v>
      </c>
      <c r="Q29" s="775"/>
      <c r="R29" s="775">
        <f t="shared" si="2"/>
        <v>38814.220000000045</v>
      </c>
      <c r="S29" s="2599"/>
      <c r="T29" s="2599">
        <v>7257.2500000000045</v>
      </c>
      <c r="U29" s="775"/>
      <c r="V29" s="775">
        <f t="shared" si="3"/>
        <v>46071.470000000052</v>
      </c>
      <c r="W29" s="2599"/>
      <c r="X29" s="2599">
        <v>13499.48500000001</v>
      </c>
      <c r="Y29" s="793"/>
      <c r="Z29" s="774">
        <f t="shared" si="4"/>
        <v>28717.390000000021</v>
      </c>
      <c r="AA29" s="517"/>
      <c r="AB29" s="657">
        <f t="shared" si="5"/>
        <v>59570.95500000006</v>
      </c>
      <c r="AC29" s="2599"/>
      <c r="AD29" s="2599">
        <v>2618.8650000000002</v>
      </c>
      <c r="AE29" s="775"/>
      <c r="AF29" s="775">
        <f t="shared" si="6"/>
        <v>62189.820000000058</v>
      </c>
      <c r="AG29" s="2599"/>
      <c r="AH29" s="2599">
        <v>9189.830000000009</v>
      </c>
      <c r="AI29" s="775"/>
      <c r="AJ29" s="775">
        <f t="shared" si="7"/>
        <v>71379.650000000067</v>
      </c>
      <c r="AK29" s="2599"/>
      <c r="AL29" s="2599">
        <v>10765.490000000025</v>
      </c>
      <c r="AM29" s="793"/>
      <c r="AN29" s="774">
        <f t="shared" si="8"/>
        <v>22574.185000000034</v>
      </c>
      <c r="AO29" s="775"/>
      <c r="AP29" s="775">
        <f t="shared" si="9"/>
        <v>82145.140000000087</v>
      </c>
      <c r="AQ29" s="2599"/>
      <c r="AR29" s="2599">
        <v>12092.485000000021</v>
      </c>
      <c r="AS29" s="775"/>
      <c r="AT29" s="775">
        <f t="shared" si="10"/>
        <v>94237.625000000102</v>
      </c>
      <c r="AU29" s="2599"/>
      <c r="AV29" s="2599">
        <v>13334.820000000036</v>
      </c>
      <c r="AW29" s="775"/>
      <c r="AX29" s="775">
        <f t="shared" si="11"/>
        <v>107572.44500000014</v>
      </c>
      <c r="AY29" s="2599"/>
      <c r="AZ29" s="2649">
        <v>8275.9339487280085</v>
      </c>
      <c r="BA29" s="793"/>
      <c r="BB29" s="774">
        <f t="shared" si="12"/>
        <v>33703.238948728067</v>
      </c>
      <c r="BC29" s="517"/>
      <c r="BD29" s="657">
        <f t="shared" si="13"/>
        <v>56277.423948728101</v>
      </c>
      <c r="BE29" s="775"/>
      <c r="BF29" s="775">
        <f t="shared" si="14"/>
        <v>115848.37894872815</v>
      </c>
      <c r="BG29" s="1520"/>
      <c r="BH29" s="1520"/>
      <c r="BI29" s="26"/>
      <c r="BJ29" s="26"/>
      <c r="BK29" s="26"/>
      <c r="BL29" s="26"/>
      <c r="BM29" s="26"/>
      <c r="BN29" s="26"/>
    </row>
    <row r="30" spans="2:66" ht="15.6" x14ac:dyDescent="0.3">
      <c r="B30" s="879" t="s">
        <v>854</v>
      </c>
      <c r="C30" s="2901" t="s">
        <v>1003</v>
      </c>
      <c r="D30" s="2803" t="s">
        <v>50</v>
      </c>
      <c r="E30" s="2599"/>
      <c r="F30" s="2599"/>
      <c r="G30" s="2599"/>
      <c r="H30" s="2599"/>
      <c r="I30" s="2538"/>
      <c r="J30" s="4506">
        <f t="shared" si="0"/>
        <v>0</v>
      </c>
      <c r="K30" s="2599"/>
      <c r="L30" s="2599"/>
      <c r="M30" s="774"/>
      <c r="N30" s="774">
        <f t="shared" si="1"/>
        <v>0</v>
      </c>
      <c r="O30" s="2599"/>
      <c r="P30" s="2599"/>
      <c r="Q30" s="775"/>
      <c r="R30" s="775">
        <f t="shared" si="2"/>
        <v>0</v>
      </c>
      <c r="S30" s="2599"/>
      <c r="T30" s="2599"/>
      <c r="U30" s="775"/>
      <c r="V30" s="775">
        <f t="shared" si="3"/>
        <v>0</v>
      </c>
      <c r="W30" s="2599"/>
      <c r="X30" s="2599"/>
      <c r="Y30" s="793"/>
      <c r="Z30" s="774">
        <f t="shared" si="4"/>
        <v>0</v>
      </c>
      <c r="AA30" s="517"/>
      <c r="AB30" s="657">
        <f t="shared" si="5"/>
        <v>0</v>
      </c>
      <c r="AC30" s="2599"/>
      <c r="AD30" s="2599"/>
      <c r="AE30" s="775"/>
      <c r="AF30" s="775">
        <f t="shared" si="6"/>
        <v>0</v>
      </c>
      <c r="AG30" s="2599"/>
      <c r="AH30" s="2599"/>
      <c r="AI30" s="775"/>
      <c r="AJ30" s="775">
        <f t="shared" si="7"/>
        <v>0</v>
      </c>
      <c r="AK30" s="2599"/>
      <c r="AL30" s="2599"/>
      <c r="AM30" s="793"/>
      <c r="AN30" s="774">
        <f t="shared" si="8"/>
        <v>0</v>
      </c>
      <c r="AO30" s="775"/>
      <c r="AP30" s="775">
        <f t="shared" si="9"/>
        <v>0</v>
      </c>
      <c r="AQ30" s="2599"/>
      <c r="AR30" s="2599"/>
      <c r="AS30" s="775"/>
      <c r="AT30" s="775">
        <f t="shared" si="10"/>
        <v>0</v>
      </c>
      <c r="AU30" s="2599"/>
      <c r="AV30" s="2599"/>
      <c r="AW30" s="775"/>
      <c r="AX30" s="775">
        <f t="shared" si="11"/>
        <v>0</v>
      </c>
      <c r="AY30" s="2599"/>
      <c r="AZ30" s="2649"/>
      <c r="BA30" s="793"/>
      <c r="BB30" s="774">
        <f t="shared" si="12"/>
        <v>0</v>
      </c>
      <c r="BC30" s="517"/>
      <c r="BD30" s="657">
        <f t="shared" si="13"/>
        <v>0</v>
      </c>
      <c r="BE30" s="775"/>
      <c r="BF30" s="775">
        <f t="shared" si="14"/>
        <v>0</v>
      </c>
      <c r="BG30" s="1520"/>
      <c r="BH30" s="1520"/>
      <c r="BI30" s="26"/>
      <c r="BJ30" s="26"/>
      <c r="BK30" s="26"/>
      <c r="BL30" s="26"/>
      <c r="BM30" s="26"/>
      <c r="BN30" s="26"/>
    </row>
    <row r="31" spans="2:66" ht="15.6" x14ac:dyDescent="0.3">
      <c r="B31" s="879" t="s">
        <v>854</v>
      </c>
      <c r="C31" s="2901" t="s">
        <v>1035</v>
      </c>
      <c r="D31" s="2803" t="s">
        <v>50</v>
      </c>
      <c r="E31" s="2599"/>
      <c r="F31" s="2599">
        <v>1294.6199999999992</v>
      </c>
      <c r="G31" s="2599"/>
      <c r="H31" s="2599"/>
      <c r="I31" s="2538"/>
      <c r="J31" s="4506">
        <f t="shared" si="0"/>
        <v>1294.6199999999992</v>
      </c>
      <c r="K31" s="2599"/>
      <c r="L31" s="2599"/>
      <c r="M31" s="774"/>
      <c r="N31" s="774">
        <f t="shared" si="1"/>
        <v>1294.6199999999992</v>
      </c>
      <c r="O31" s="2599"/>
      <c r="P31" s="2599"/>
      <c r="Q31" s="775"/>
      <c r="R31" s="775">
        <f t="shared" si="2"/>
        <v>1294.6199999999992</v>
      </c>
      <c r="S31" s="2599"/>
      <c r="T31" s="2599"/>
      <c r="U31" s="775"/>
      <c r="V31" s="775">
        <f t="shared" si="3"/>
        <v>1294.6199999999992</v>
      </c>
      <c r="W31" s="2599"/>
      <c r="X31" s="2599">
        <v>1566.47</v>
      </c>
      <c r="Y31" s="793"/>
      <c r="Z31" s="774">
        <f t="shared" si="4"/>
        <v>1566.47</v>
      </c>
      <c r="AA31" s="517"/>
      <c r="AB31" s="657">
        <f t="shared" si="5"/>
        <v>2861.0899999999992</v>
      </c>
      <c r="AC31" s="2599"/>
      <c r="AD31" s="2599"/>
      <c r="AE31" s="775"/>
      <c r="AF31" s="775">
        <f t="shared" si="6"/>
        <v>2861.0899999999992</v>
      </c>
      <c r="AG31" s="2599"/>
      <c r="AH31" s="2599"/>
      <c r="AI31" s="775"/>
      <c r="AJ31" s="775">
        <f t="shared" si="7"/>
        <v>2861.0899999999992</v>
      </c>
      <c r="AK31" s="2599"/>
      <c r="AL31" s="2599">
        <v>2044.5049999999999</v>
      </c>
      <c r="AM31" s="793"/>
      <c r="AN31" s="774">
        <f t="shared" si="8"/>
        <v>2044.5049999999999</v>
      </c>
      <c r="AO31" s="775"/>
      <c r="AP31" s="775">
        <f t="shared" si="9"/>
        <v>4905.5949999999993</v>
      </c>
      <c r="AQ31" s="2599"/>
      <c r="AR31" s="2599"/>
      <c r="AS31" s="775"/>
      <c r="AT31" s="775">
        <f t="shared" si="10"/>
        <v>4905.5949999999993</v>
      </c>
      <c r="AU31" s="2599"/>
      <c r="AV31" s="2599"/>
      <c r="AW31" s="775"/>
      <c r="AX31" s="775">
        <f t="shared" si="11"/>
        <v>4905.5949999999993</v>
      </c>
      <c r="AY31" s="2599"/>
      <c r="AZ31" s="2649"/>
      <c r="BA31" s="793"/>
      <c r="BB31" s="774">
        <f t="shared" si="12"/>
        <v>0</v>
      </c>
      <c r="BC31" s="517"/>
      <c r="BD31" s="657">
        <f t="shared" si="13"/>
        <v>2044.5049999999999</v>
      </c>
      <c r="BE31" s="775"/>
      <c r="BF31" s="775">
        <f t="shared" si="14"/>
        <v>4905.5949999999993</v>
      </c>
      <c r="BG31" s="1520"/>
      <c r="BH31" s="1520"/>
      <c r="BI31" s="26"/>
      <c r="BJ31" s="26"/>
      <c r="BK31" s="26"/>
      <c r="BL31" s="26"/>
      <c r="BM31" s="26"/>
      <c r="BN31" s="26"/>
    </row>
    <row r="32" spans="2:66" ht="16.2" thickBot="1" x14ac:dyDescent="0.35">
      <c r="B32" s="2903" t="s">
        <v>854</v>
      </c>
      <c r="C32" s="2904" t="s">
        <v>1115</v>
      </c>
      <c r="D32" s="742" t="s">
        <v>50</v>
      </c>
      <c r="E32" s="229"/>
      <c r="F32" s="229"/>
      <c r="G32" s="229"/>
      <c r="H32" s="229"/>
      <c r="I32" s="584"/>
      <c r="J32" s="4506">
        <f t="shared" si="0"/>
        <v>0</v>
      </c>
      <c r="K32" s="229"/>
      <c r="L32" s="229">
        <v>1015.7500000000002</v>
      </c>
      <c r="M32" s="774"/>
      <c r="N32" s="774">
        <f t="shared" si="1"/>
        <v>1015.7500000000002</v>
      </c>
      <c r="O32" s="229"/>
      <c r="P32" s="229"/>
      <c r="Q32" s="775"/>
      <c r="R32" s="775">
        <f t="shared" si="2"/>
        <v>1015.7500000000002</v>
      </c>
      <c r="S32" s="229"/>
      <c r="T32" s="229"/>
      <c r="U32" s="775"/>
      <c r="V32" s="775">
        <f t="shared" si="3"/>
        <v>1015.7500000000002</v>
      </c>
      <c r="W32" s="229"/>
      <c r="X32" s="229"/>
      <c r="Y32" s="793"/>
      <c r="Z32" s="774">
        <f t="shared" si="4"/>
        <v>0</v>
      </c>
      <c r="AA32" s="517"/>
      <c r="AB32" s="657">
        <f t="shared" si="5"/>
        <v>1015.7500000000002</v>
      </c>
      <c r="AC32" s="229"/>
      <c r="AD32" s="229"/>
      <c r="AE32" s="775"/>
      <c r="AF32" s="775">
        <f t="shared" si="6"/>
        <v>1015.7500000000002</v>
      </c>
      <c r="AG32" s="229"/>
      <c r="AH32" s="229"/>
      <c r="AI32" s="775"/>
      <c r="AJ32" s="775">
        <f t="shared" si="7"/>
        <v>1015.7500000000002</v>
      </c>
      <c r="AK32" s="229"/>
      <c r="AL32" s="229"/>
      <c r="AM32" s="793"/>
      <c r="AN32" s="774">
        <f t="shared" si="8"/>
        <v>0</v>
      </c>
      <c r="AO32" s="775"/>
      <c r="AP32" s="775">
        <f t="shared" si="9"/>
        <v>1015.7500000000002</v>
      </c>
      <c r="AQ32" s="229"/>
      <c r="AR32" s="229"/>
      <c r="AS32" s="775"/>
      <c r="AT32" s="775">
        <f t="shared" si="10"/>
        <v>1015.7500000000002</v>
      </c>
      <c r="AU32" s="229"/>
      <c r="AV32" s="229"/>
      <c r="AW32" s="775"/>
      <c r="AX32" s="775">
        <f t="shared" si="11"/>
        <v>1015.7500000000002</v>
      </c>
      <c r="AY32" s="229"/>
      <c r="AZ32" s="5619"/>
      <c r="BA32" s="793"/>
      <c r="BB32" s="774">
        <f t="shared" si="12"/>
        <v>0</v>
      </c>
      <c r="BC32" s="517"/>
      <c r="BD32" s="657">
        <f t="shared" si="13"/>
        <v>0</v>
      </c>
      <c r="BE32" s="775"/>
      <c r="BF32" s="775">
        <f t="shared" si="14"/>
        <v>1015.7500000000002</v>
      </c>
      <c r="BG32" s="1520"/>
      <c r="BH32" s="1520"/>
      <c r="BI32" s="26"/>
      <c r="BJ32" s="26"/>
      <c r="BK32" s="26"/>
      <c r="BL32" s="26"/>
      <c r="BM32" s="26"/>
      <c r="BN32" s="26"/>
    </row>
    <row r="33" spans="1:66" ht="15.6" x14ac:dyDescent="0.3">
      <c r="B33" s="2896" t="s">
        <v>855</v>
      </c>
      <c r="C33" s="2897" t="s">
        <v>1033</v>
      </c>
      <c r="D33" s="59" t="s">
        <v>50</v>
      </c>
      <c r="E33" s="1288"/>
      <c r="F33" s="1288"/>
      <c r="G33" s="1288"/>
      <c r="H33" s="1288">
        <v>5288.4400000000078</v>
      </c>
      <c r="I33" s="567"/>
      <c r="J33" s="4506">
        <f t="shared" si="0"/>
        <v>5288.4400000000078</v>
      </c>
      <c r="K33" s="1288"/>
      <c r="L33" s="1288">
        <v>2984.5349999999999</v>
      </c>
      <c r="M33" s="774"/>
      <c r="N33" s="774">
        <f t="shared" si="1"/>
        <v>8272.9750000000076</v>
      </c>
      <c r="O33" s="1288"/>
      <c r="P33" s="1288">
        <v>4280.3100000000004</v>
      </c>
      <c r="Q33" s="775"/>
      <c r="R33" s="775">
        <f t="shared" si="2"/>
        <v>12553.285000000007</v>
      </c>
      <c r="S33" s="1288"/>
      <c r="T33" s="1288">
        <v>2877.3150000000005</v>
      </c>
      <c r="U33" s="775"/>
      <c r="V33" s="775">
        <f t="shared" si="3"/>
        <v>15430.600000000008</v>
      </c>
      <c r="W33" s="1288"/>
      <c r="X33" s="1288"/>
      <c r="Y33" s="793"/>
      <c r="Z33" s="774">
        <f t="shared" si="4"/>
        <v>7157.6250000000009</v>
      </c>
      <c r="AA33" s="517"/>
      <c r="AB33" s="657">
        <f t="shared" si="5"/>
        <v>15430.600000000009</v>
      </c>
      <c r="AC33" s="1288"/>
      <c r="AD33" s="1288"/>
      <c r="AE33" s="775"/>
      <c r="AF33" s="775">
        <f t="shared" si="6"/>
        <v>15430.600000000009</v>
      </c>
      <c r="AG33" s="1288"/>
      <c r="AH33" s="1288"/>
      <c r="AI33" s="775"/>
      <c r="AJ33" s="775">
        <f t="shared" si="7"/>
        <v>15430.600000000009</v>
      </c>
      <c r="AK33" s="1288"/>
      <c r="AL33" s="1288"/>
      <c r="AM33" s="793"/>
      <c r="AN33" s="774">
        <f t="shared" si="8"/>
        <v>0</v>
      </c>
      <c r="AO33" s="775"/>
      <c r="AP33" s="775">
        <f t="shared" si="9"/>
        <v>15430.600000000009</v>
      </c>
      <c r="AQ33" s="1288"/>
      <c r="AR33" s="1288">
        <v>1772.0249999999999</v>
      </c>
      <c r="AS33" s="775"/>
      <c r="AT33" s="775">
        <f t="shared" si="10"/>
        <v>17202.625000000011</v>
      </c>
      <c r="AU33" s="1288"/>
      <c r="AV33" s="1288">
        <v>2842.55</v>
      </c>
      <c r="AW33" s="775"/>
      <c r="AX33" s="775">
        <f t="shared" si="11"/>
        <v>20045.17500000001</v>
      </c>
      <c r="AY33" s="1288"/>
      <c r="AZ33" s="5620"/>
      <c r="BA33" s="793"/>
      <c r="BB33" s="774">
        <f t="shared" si="12"/>
        <v>4614.5749999999998</v>
      </c>
      <c r="BC33" s="517"/>
      <c r="BD33" s="657">
        <f t="shared" si="13"/>
        <v>4614.5749999999998</v>
      </c>
      <c r="BE33" s="775"/>
      <c r="BF33" s="775">
        <f t="shared" si="14"/>
        <v>20045.17500000001</v>
      </c>
      <c r="BG33" s="1520"/>
      <c r="BH33" s="1520"/>
      <c r="BI33" s="26"/>
      <c r="BJ33" s="26"/>
      <c r="BK33" s="26"/>
      <c r="BL33" s="26"/>
      <c r="BM33" s="26"/>
      <c r="BN33" s="26"/>
    </row>
    <row r="34" spans="1:66" ht="15.6" x14ac:dyDescent="0.3">
      <c r="B34" s="879" t="s">
        <v>855</v>
      </c>
      <c r="C34" s="2901" t="s">
        <v>1034</v>
      </c>
      <c r="D34" s="2803" t="s">
        <v>50</v>
      </c>
      <c r="E34" s="2599"/>
      <c r="F34" s="2599">
        <v>2634.3349999999991</v>
      </c>
      <c r="G34" s="2599"/>
      <c r="H34" s="2599">
        <v>5431.1950000000006</v>
      </c>
      <c r="I34" s="2538"/>
      <c r="J34" s="4506">
        <f t="shared" si="0"/>
        <v>8065.53</v>
      </c>
      <c r="K34" s="2599"/>
      <c r="L34" s="2599">
        <v>9161.6000000000058</v>
      </c>
      <c r="M34" s="774"/>
      <c r="N34" s="774">
        <f t="shared" si="1"/>
        <v>17227.130000000005</v>
      </c>
      <c r="O34" s="2599"/>
      <c r="P34" s="2599">
        <v>11702.685000000034</v>
      </c>
      <c r="Q34" s="775"/>
      <c r="R34" s="775">
        <f t="shared" si="2"/>
        <v>28929.815000000039</v>
      </c>
      <c r="S34" s="2599"/>
      <c r="T34" s="2599">
        <v>9842.5850000000064</v>
      </c>
      <c r="U34" s="775"/>
      <c r="V34" s="775">
        <f t="shared" si="3"/>
        <v>38772.400000000045</v>
      </c>
      <c r="W34" s="2599"/>
      <c r="X34" s="2599">
        <v>6349.7249999999995</v>
      </c>
      <c r="Y34" s="793"/>
      <c r="Z34" s="774">
        <f t="shared" si="4"/>
        <v>27894.995000000039</v>
      </c>
      <c r="AA34" s="517"/>
      <c r="AB34" s="657">
        <f t="shared" si="5"/>
        <v>45122.125000000044</v>
      </c>
      <c r="AC34" s="2599"/>
      <c r="AD34" s="2599">
        <v>10627.865000000014</v>
      </c>
      <c r="AE34" s="775"/>
      <c r="AF34" s="775">
        <f t="shared" si="6"/>
        <v>55749.990000000056</v>
      </c>
      <c r="AG34" s="2599"/>
      <c r="AH34" s="2599">
        <v>11883.34000000002</v>
      </c>
      <c r="AI34" s="775"/>
      <c r="AJ34" s="775">
        <f t="shared" si="7"/>
        <v>67633.330000000075</v>
      </c>
      <c r="AK34" s="2599"/>
      <c r="AL34" s="2599">
        <v>12542.235000000026</v>
      </c>
      <c r="AM34" s="793"/>
      <c r="AN34" s="774">
        <f t="shared" si="8"/>
        <v>35053.440000000061</v>
      </c>
      <c r="AO34" s="775"/>
      <c r="AP34" s="775">
        <f t="shared" si="9"/>
        <v>80175.565000000104</v>
      </c>
      <c r="AQ34" s="2599"/>
      <c r="AR34" s="2599">
        <v>14504.685000000023</v>
      </c>
      <c r="AS34" s="775"/>
      <c r="AT34" s="775">
        <f t="shared" si="10"/>
        <v>94680.250000000131</v>
      </c>
      <c r="AU34" s="2599"/>
      <c r="AV34" s="2599"/>
      <c r="AW34" s="775"/>
      <c r="AX34" s="775">
        <f t="shared" si="11"/>
        <v>94680.250000000131</v>
      </c>
      <c r="AY34" s="2599"/>
      <c r="AZ34" s="2649">
        <v>13312.352539499832</v>
      </c>
      <c r="BA34" s="793"/>
      <c r="BB34" s="774">
        <f t="shared" si="12"/>
        <v>27817.037539499855</v>
      </c>
      <c r="BC34" s="517"/>
      <c r="BD34" s="657">
        <f t="shared" si="13"/>
        <v>62870.477539499916</v>
      </c>
      <c r="BE34" s="775"/>
      <c r="BF34" s="775">
        <f t="shared" si="14"/>
        <v>107992.60253949996</v>
      </c>
      <c r="BG34" s="1520"/>
      <c r="BH34" s="1520"/>
      <c r="BI34" s="26"/>
      <c r="BJ34" s="26"/>
      <c r="BK34" s="26"/>
      <c r="BL34" s="26"/>
      <c r="BM34" s="26"/>
      <c r="BN34" s="26"/>
    </row>
    <row r="35" spans="1:66" ht="15.6" x14ac:dyDescent="0.3">
      <c r="B35" s="879" t="s">
        <v>855</v>
      </c>
      <c r="C35" s="2901" t="s">
        <v>1137</v>
      </c>
      <c r="D35" s="2803" t="s">
        <v>50</v>
      </c>
      <c r="E35" s="2599"/>
      <c r="F35" s="2599">
        <v>3836.4199999999996</v>
      </c>
      <c r="G35" s="2599"/>
      <c r="H35" s="2599">
        <v>8096.2000000000035</v>
      </c>
      <c r="I35" s="2538"/>
      <c r="J35" s="4506">
        <f t="shared" si="0"/>
        <v>11932.620000000003</v>
      </c>
      <c r="K35" s="2599"/>
      <c r="L35" s="2599">
        <v>10118.940000000015</v>
      </c>
      <c r="M35" s="774"/>
      <c r="N35" s="774">
        <f t="shared" si="1"/>
        <v>22051.560000000019</v>
      </c>
      <c r="O35" s="2599"/>
      <c r="P35" s="2599">
        <v>7626.2800000000061</v>
      </c>
      <c r="Q35" s="775"/>
      <c r="R35" s="775">
        <f t="shared" si="2"/>
        <v>29677.840000000026</v>
      </c>
      <c r="S35" s="2599"/>
      <c r="T35" s="2599">
        <v>10797.600000000008</v>
      </c>
      <c r="U35" s="775"/>
      <c r="V35" s="775">
        <f t="shared" si="3"/>
        <v>40475.440000000031</v>
      </c>
      <c r="W35" s="2599"/>
      <c r="X35" s="2599">
        <v>4776.67</v>
      </c>
      <c r="Y35" s="793"/>
      <c r="Z35" s="774">
        <f t="shared" si="4"/>
        <v>23200.55000000001</v>
      </c>
      <c r="AA35" s="517"/>
      <c r="AB35" s="657">
        <f t="shared" si="5"/>
        <v>45252.11000000003</v>
      </c>
      <c r="AC35" s="2599"/>
      <c r="AD35" s="2599">
        <v>2417.0249999999987</v>
      </c>
      <c r="AE35" s="775"/>
      <c r="AF35" s="775">
        <f t="shared" si="6"/>
        <v>47669.135000000031</v>
      </c>
      <c r="AG35" s="2599"/>
      <c r="AH35" s="2599">
        <v>7494.3600000000051</v>
      </c>
      <c r="AI35" s="775"/>
      <c r="AJ35" s="775">
        <f t="shared" si="7"/>
        <v>55163.495000000039</v>
      </c>
      <c r="AK35" s="2599"/>
      <c r="AL35" s="2599">
        <v>11453.70000000001</v>
      </c>
      <c r="AM35" s="793"/>
      <c r="AN35" s="774">
        <f t="shared" si="8"/>
        <v>21365.085000000014</v>
      </c>
      <c r="AO35" s="775"/>
      <c r="AP35" s="775">
        <f t="shared" si="9"/>
        <v>66617.195000000051</v>
      </c>
      <c r="AQ35" s="2599"/>
      <c r="AR35" s="2599">
        <v>11605.375000000025</v>
      </c>
      <c r="AS35" s="775"/>
      <c r="AT35" s="775">
        <f t="shared" si="10"/>
        <v>78222.57000000008</v>
      </c>
      <c r="AU35" s="2599"/>
      <c r="AV35" s="2599">
        <v>11638.095000000027</v>
      </c>
      <c r="AW35" s="775"/>
      <c r="AX35" s="775">
        <f t="shared" si="11"/>
        <v>89860.66500000011</v>
      </c>
      <c r="AY35" s="2599"/>
      <c r="AZ35" s="2649">
        <v>4225.6220374120858</v>
      </c>
      <c r="BA35" s="793"/>
      <c r="BB35" s="774">
        <f t="shared" si="12"/>
        <v>27469.092037412138</v>
      </c>
      <c r="BC35" s="517"/>
      <c r="BD35" s="657">
        <f t="shared" si="13"/>
        <v>48834.177037412155</v>
      </c>
      <c r="BE35" s="775"/>
      <c r="BF35" s="775">
        <f t="shared" si="14"/>
        <v>94086.287037412199</v>
      </c>
      <c r="BG35" s="1520"/>
      <c r="BH35" s="1520"/>
      <c r="BI35" s="26"/>
      <c r="BJ35" s="26"/>
      <c r="BK35" s="26"/>
      <c r="BL35" s="26"/>
      <c r="BM35" s="26"/>
      <c r="BN35" s="26"/>
    </row>
    <row r="36" spans="1:66" ht="15.6" x14ac:dyDescent="0.3">
      <c r="B36" s="879" t="s">
        <v>855</v>
      </c>
      <c r="C36" s="2901" t="s">
        <v>1035</v>
      </c>
      <c r="D36" s="2803" t="s">
        <v>50</v>
      </c>
      <c r="E36" s="2599"/>
      <c r="F36" s="2599"/>
      <c r="G36" s="2599"/>
      <c r="H36" s="2599">
        <v>603.27499999999998</v>
      </c>
      <c r="I36" s="2538"/>
      <c r="J36" s="4506">
        <f t="shared" si="0"/>
        <v>603.27499999999998</v>
      </c>
      <c r="K36" s="2599"/>
      <c r="L36" s="2599"/>
      <c r="M36" s="774"/>
      <c r="N36" s="774">
        <f t="shared" si="1"/>
        <v>603.27499999999998</v>
      </c>
      <c r="O36" s="2599"/>
      <c r="P36" s="2599"/>
      <c r="Q36" s="775"/>
      <c r="R36" s="775">
        <f t="shared" si="2"/>
        <v>603.27499999999998</v>
      </c>
      <c r="S36" s="2599"/>
      <c r="T36" s="2599"/>
      <c r="U36" s="775"/>
      <c r="V36" s="775">
        <f t="shared" si="3"/>
        <v>603.27499999999998</v>
      </c>
      <c r="W36" s="2599"/>
      <c r="X36" s="2599">
        <v>1212.6849999999999</v>
      </c>
      <c r="Y36" s="793"/>
      <c r="Z36" s="774">
        <f t="shared" si="4"/>
        <v>1212.6849999999999</v>
      </c>
      <c r="AA36" s="517"/>
      <c r="AB36" s="657">
        <f t="shared" si="5"/>
        <v>1815.96</v>
      </c>
      <c r="AC36" s="2599"/>
      <c r="AD36" s="2599"/>
      <c r="AE36" s="775"/>
      <c r="AF36" s="775">
        <f t="shared" si="6"/>
        <v>1815.96</v>
      </c>
      <c r="AG36" s="2599"/>
      <c r="AH36" s="2599"/>
      <c r="AI36" s="775"/>
      <c r="AJ36" s="775">
        <f t="shared" si="7"/>
        <v>1815.96</v>
      </c>
      <c r="AK36" s="2599"/>
      <c r="AL36" s="2599"/>
      <c r="AM36" s="793"/>
      <c r="AN36" s="774">
        <f t="shared" si="8"/>
        <v>0</v>
      </c>
      <c r="AO36" s="775"/>
      <c r="AP36" s="775">
        <f t="shared" si="9"/>
        <v>1815.96</v>
      </c>
      <c r="AQ36" s="2599"/>
      <c r="AR36" s="2599">
        <v>1653.5350000000001</v>
      </c>
      <c r="AS36" s="775"/>
      <c r="AT36" s="775">
        <f t="shared" si="10"/>
        <v>3469.4949999999999</v>
      </c>
      <c r="AU36" s="2599"/>
      <c r="AV36" s="2599"/>
      <c r="AW36" s="775"/>
      <c r="AX36" s="775">
        <f t="shared" si="11"/>
        <v>3469.4949999999999</v>
      </c>
      <c r="AY36" s="2599"/>
      <c r="AZ36" s="2649"/>
      <c r="BA36" s="793"/>
      <c r="BB36" s="774">
        <f t="shared" si="12"/>
        <v>1653.5350000000001</v>
      </c>
      <c r="BC36" s="517"/>
      <c r="BD36" s="657">
        <f t="shared" si="13"/>
        <v>1653.5350000000001</v>
      </c>
      <c r="BE36" s="775"/>
      <c r="BF36" s="775">
        <f t="shared" si="14"/>
        <v>3469.4949999999999</v>
      </c>
      <c r="BG36" s="1520"/>
      <c r="BH36" s="1520"/>
      <c r="BI36" s="26"/>
      <c r="BJ36" s="26"/>
      <c r="BK36" s="26"/>
      <c r="BL36" s="26"/>
      <c r="BM36" s="26"/>
      <c r="BN36" s="26"/>
    </row>
    <row r="37" spans="1:66" ht="16.2" thickBot="1" x14ac:dyDescent="0.35">
      <c r="B37" s="2905" t="s">
        <v>855</v>
      </c>
      <c r="C37" s="2906" t="s">
        <v>1003</v>
      </c>
      <c r="D37" s="2907" t="s">
        <v>50</v>
      </c>
      <c r="E37" s="2840"/>
      <c r="F37" s="2840"/>
      <c r="G37" s="2840"/>
      <c r="H37" s="2840"/>
      <c r="I37" s="2802"/>
      <c r="J37" s="4506">
        <f t="shared" si="0"/>
        <v>0</v>
      </c>
      <c r="K37" s="2840"/>
      <c r="L37" s="2840"/>
      <c r="M37" s="774"/>
      <c r="N37" s="774">
        <f t="shared" si="1"/>
        <v>0</v>
      </c>
      <c r="O37" s="2840"/>
      <c r="P37" s="2840"/>
      <c r="Q37" s="775"/>
      <c r="R37" s="775">
        <f t="shared" si="2"/>
        <v>0</v>
      </c>
      <c r="S37" s="2840"/>
      <c r="T37" s="2840"/>
      <c r="U37" s="775"/>
      <c r="V37" s="775">
        <f t="shared" si="3"/>
        <v>0</v>
      </c>
      <c r="W37" s="2840"/>
      <c r="X37" s="2840"/>
      <c r="Y37" s="793"/>
      <c r="Z37" s="774">
        <f t="shared" si="4"/>
        <v>0</v>
      </c>
      <c r="AA37" s="517"/>
      <c r="AB37" s="657">
        <f t="shared" si="5"/>
        <v>0</v>
      </c>
      <c r="AC37" s="2840"/>
      <c r="AD37" s="2840"/>
      <c r="AE37" s="775"/>
      <c r="AF37" s="775">
        <f t="shared" si="6"/>
        <v>0</v>
      </c>
      <c r="AG37" s="2840"/>
      <c r="AH37" s="2840"/>
      <c r="AI37" s="775"/>
      <c r="AJ37" s="775">
        <f t="shared" si="7"/>
        <v>0</v>
      </c>
      <c r="AK37" s="2840"/>
      <c r="AL37" s="2840"/>
      <c r="AM37" s="793"/>
      <c r="AN37" s="774">
        <f t="shared" si="8"/>
        <v>0</v>
      </c>
      <c r="AO37" s="775"/>
      <c r="AP37" s="775">
        <f t="shared" si="9"/>
        <v>0</v>
      </c>
      <c r="AQ37" s="2840"/>
      <c r="AR37" s="2840"/>
      <c r="AS37" s="775"/>
      <c r="AT37" s="775">
        <f t="shared" si="10"/>
        <v>0</v>
      </c>
      <c r="AU37" s="2840"/>
      <c r="AV37" s="2840"/>
      <c r="AW37" s="775"/>
      <c r="AX37" s="775">
        <f t="shared" si="11"/>
        <v>0</v>
      </c>
      <c r="AY37" s="2840"/>
      <c r="AZ37" s="5622"/>
      <c r="BA37" s="793"/>
      <c r="BB37" s="774">
        <f t="shared" si="12"/>
        <v>0</v>
      </c>
      <c r="BC37" s="517"/>
      <c r="BD37" s="657">
        <f t="shared" si="13"/>
        <v>0</v>
      </c>
      <c r="BE37" s="775"/>
      <c r="BF37" s="775">
        <f t="shared" si="14"/>
        <v>0</v>
      </c>
      <c r="BG37" s="1520"/>
      <c r="BH37" s="1520"/>
      <c r="BI37" s="26"/>
      <c r="BJ37" s="26"/>
      <c r="BK37" s="26"/>
      <c r="BL37" s="26"/>
      <c r="BM37" s="26"/>
      <c r="BN37" s="26"/>
    </row>
    <row r="38" spans="1:66" ht="15.6" x14ac:dyDescent="0.3">
      <c r="B38" s="2898" t="s">
        <v>856</v>
      </c>
      <c r="C38" s="2899" t="s">
        <v>1033</v>
      </c>
      <c r="D38" s="751" t="s">
        <v>50</v>
      </c>
      <c r="E38" s="270"/>
      <c r="F38" s="270">
        <v>1484.6699999999998</v>
      </c>
      <c r="G38" s="270"/>
      <c r="H38" s="270">
        <v>1982.0050000000001</v>
      </c>
      <c r="I38" s="368"/>
      <c r="J38" s="4506">
        <f t="shared" si="0"/>
        <v>3466.6750000000002</v>
      </c>
      <c r="K38" s="270"/>
      <c r="L38" s="270">
        <v>1614.58</v>
      </c>
      <c r="M38" s="774"/>
      <c r="N38" s="774">
        <f t="shared" si="1"/>
        <v>5081.2550000000001</v>
      </c>
      <c r="O38" s="270"/>
      <c r="P38" s="270"/>
      <c r="Q38" s="775"/>
      <c r="R38" s="775">
        <f t="shared" si="2"/>
        <v>5081.2550000000001</v>
      </c>
      <c r="S38" s="270"/>
      <c r="T38" s="270"/>
      <c r="U38" s="775"/>
      <c r="V38" s="775">
        <f t="shared" si="3"/>
        <v>5081.2550000000001</v>
      </c>
      <c r="W38" s="270"/>
      <c r="X38" s="270">
        <v>1095.3749999999998</v>
      </c>
      <c r="Y38" s="793"/>
      <c r="Z38" s="774">
        <f t="shared" si="4"/>
        <v>1095.3749999999998</v>
      </c>
      <c r="AA38" s="517"/>
      <c r="AB38" s="657">
        <f t="shared" si="5"/>
        <v>6176.63</v>
      </c>
      <c r="AC38" s="270"/>
      <c r="AD38" s="270"/>
      <c r="AE38" s="775"/>
      <c r="AF38" s="775">
        <f t="shared" si="6"/>
        <v>6176.63</v>
      </c>
      <c r="AG38" s="270"/>
      <c r="AH38" s="270"/>
      <c r="AI38" s="775"/>
      <c r="AJ38" s="775">
        <f t="shared" si="7"/>
        <v>6176.63</v>
      </c>
      <c r="AK38" s="270"/>
      <c r="AL38" s="270"/>
      <c r="AM38" s="793"/>
      <c r="AN38" s="774">
        <f t="shared" si="8"/>
        <v>0</v>
      </c>
      <c r="AO38" s="775"/>
      <c r="AP38" s="775">
        <f t="shared" si="9"/>
        <v>6176.63</v>
      </c>
      <c r="AQ38" s="270"/>
      <c r="AR38" s="270"/>
      <c r="AS38" s="775"/>
      <c r="AT38" s="775">
        <f t="shared" si="10"/>
        <v>6176.63</v>
      </c>
      <c r="AU38" s="270"/>
      <c r="AV38" s="270"/>
      <c r="AW38" s="775"/>
      <c r="AX38" s="775">
        <f t="shared" si="11"/>
        <v>6176.63</v>
      </c>
      <c r="AY38" s="270"/>
      <c r="AZ38" s="5618"/>
      <c r="BA38" s="793"/>
      <c r="BB38" s="774">
        <f t="shared" si="12"/>
        <v>0</v>
      </c>
      <c r="BC38" s="517"/>
      <c r="BD38" s="657">
        <f t="shared" si="13"/>
        <v>0</v>
      </c>
      <c r="BE38" s="775"/>
      <c r="BF38" s="775">
        <f t="shared" si="14"/>
        <v>6176.63</v>
      </c>
      <c r="BG38" s="1520"/>
      <c r="BH38" s="1520"/>
      <c r="BI38" s="26"/>
      <c r="BJ38" s="26"/>
      <c r="BK38" s="26"/>
      <c r="BL38" s="26"/>
      <c r="BM38" s="26"/>
      <c r="BN38" s="26"/>
    </row>
    <row r="39" spans="1:66" ht="15" customHeight="1" x14ac:dyDescent="0.3">
      <c r="B39" s="879" t="s">
        <v>856</v>
      </c>
      <c r="C39" s="2901" t="s">
        <v>1034</v>
      </c>
      <c r="D39" s="2803" t="s">
        <v>50</v>
      </c>
      <c r="E39" s="2599"/>
      <c r="F39" s="2599">
        <v>1803.6899999999996</v>
      </c>
      <c r="G39" s="2599"/>
      <c r="H39" s="2599">
        <v>2044.0000000000002</v>
      </c>
      <c r="I39" s="2538"/>
      <c r="J39" s="4506">
        <f t="shared" si="0"/>
        <v>3847.6899999999996</v>
      </c>
      <c r="K39" s="2599"/>
      <c r="L39" s="2599"/>
      <c r="M39" s="774"/>
      <c r="N39" s="774">
        <f t="shared" si="1"/>
        <v>3847.6899999999996</v>
      </c>
      <c r="O39" s="2599"/>
      <c r="P39" s="2599"/>
      <c r="Q39" s="775"/>
      <c r="R39" s="775">
        <f t="shared" si="2"/>
        <v>3847.6899999999996</v>
      </c>
      <c r="S39" s="2599"/>
      <c r="T39" s="2599">
        <v>2517.2899999999991</v>
      </c>
      <c r="U39" s="775"/>
      <c r="V39" s="775">
        <f t="shared" si="3"/>
        <v>6364.9799999999987</v>
      </c>
      <c r="W39" s="2599"/>
      <c r="X39" s="2599">
        <v>3394.7</v>
      </c>
      <c r="Y39" s="793"/>
      <c r="Z39" s="774">
        <f t="shared" si="4"/>
        <v>5911.9899999999989</v>
      </c>
      <c r="AA39" s="517"/>
      <c r="AB39" s="657">
        <f t="shared" si="5"/>
        <v>9759.6799999999985</v>
      </c>
      <c r="AC39" s="2599"/>
      <c r="AD39" s="2599">
        <v>2511.1250000000005</v>
      </c>
      <c r="AE39" s="775"/>
      <c r="AF39" s="775">
        <f t="shared" si="6"/>
        <v>12270.804999999998</v>
      </c>
      <c r="AG39" s="2599"/>
      <c r="AH39" s="2599">
        <v>4149.3050000000003</v>
      </c>
      <c r="AI39" s="775"/>
      <c r="AJ39" s="775">
        <f t="shared" si="7"/>
        <v>16420.11</v>
      </c>
      <c r="AK39" s="2599"/>
      <c r="AL39" s="2599"/>
      <c r="AM39" s="793"/>
      <c r="AN39" s="774">
        <f t="shared" si="8"/>
        <v>6660.43</v>
      </c>
      <c r="AO39" s="775"/>
      <c r="AP39" s="775">
        <f t="shared" si="9"/>
        <v>16420.11</v>
      </c>
      <c r="AQ39" s="2599"/>
      <c r="AR39" s="2599"/>
      <c r="AS39" s="775"/>
      <c r="AT39" s="775">
        <f t="shared" si="10"/>
        <v>16420.11</v>
      </c>
      <c r="AU39" s="2599"/>
      <c r="AV39" s="2599">
        <v>2384.4699999999993</v>
      </c>
      <c r="AW39" s="775"/>
      <c r="AX39" s="775">
        <f t="shared" si="11"/>
        <v>18804.580000000002</v>
      </c>
      <c r="AY39" s="2599"/>
      <c r="AZ39" s="2649"/>
      <c r="BA39" s="793"/>
      <c r="BB39" s="774">
        <f t="shared" si="12"/>
        <v>2384.4699999999993</v>
      </c>
      <c r="BC39" s="517"/>
      <c r="BD39" s="657">
        <f t="shared" si="13"/>
        <v>9044.9</v>
      </c>
      <c r="BE39" s="775"/>
      <c r="BF39" s="775">
        <f t="shared" si="14"/>
        <v>18804.580000000002</v>
      </c>
      <c r="BG39" s="1520"/>
      <c r="BH39" s="1520"/>
      <c r="BI39" s="26"/>
      <c r="BJ39" s="26"/>
      <c r="BK39" s="26"/>
      <c r="BL39" s="26"/>
      <c r="BM39" s="26"/>
      <c r="BN39" s="26"/>
    </row>
    <row r="40" spans="1:66" ht="15" customHeight="1" x14ac:dyDescent="0.3">
      <c r="B40" s="879" t="s">
        <v>856</v>
      </c>
      <c r="C40" s="2901" t="s">
        <v>1137</v>
      </c>
      <c r="D40" s="2803" t="s">
        <v>50</v>
      </c>
      <c r="E40" s="2599"/>
      <c r="F40" s="2599">
        <v>8355.6899999999987</v>
      </c>
      <c r="G40" s="2599"/>
      <c r="H40" s="2599">
        <v>9685.2300000000105</v>
      </c>
      <c r="I40" s="2538"/>
      <c r="J40" s="4506">
        <f t="shared" si="0"/>
        <v>18040.920000000009</v>
      </c>
      <c r="K40" s="2599"/>
      <c r="L40" s="2599">
        <v>12248.71500000002</v>
      </c>
      <c r="M40" s="774"/>
      <c r="N40" s="774">
        <f t="shared" si="1"/>
        <v>30289.635000000031</v>
      </c>
      <c r="O40" s="2599"/>
      <c r="P40" s="2599"/>
      <c r="Q40" s="775"/>
      <c r="R40" s="775">
        <f t="shared" si="2"/>
        <v>30289.635000000031</v>
      </c>
      <c r="S40" s="2599"/>
      <c r="T40" s="2599">
        <v>10931.275000000014</v>
      </c>
      <c r="U40" s="775"/>
      <c r="V40" s="775">
        <f t="shared" si="3"/>
        <v>41220.910000000047</v>
      </c>
      <c r="W40" s="2599"/>
      <c r="X40" s="2599">
        <v>8653.0450000000092</v>
      </c>
      <c r="Y40" s="793"/>
      <c r="Z40" s="774">
        <f t="shared" si="4"/>
        <v>19584.320000000022</v>
      </c>
      <c r="AA40" s="517"/>
      <c r="AB40" s="657">
        <f t="shared" si="5"/>
        <v>49873.955000000053</v>
      </c>
      <c r="AC40" s="2599"/>
      <c r="AD40" s="2599">
        <v>5541.9500000000025</v>
      </c>
      <c r="AE40" s="775"/>
      <c r="AF40" s="775">
        <f t="shared" si="6"/>
        <v>55415.905000000057</v>
      </c>
      <c r="AG40" s="2599"/>
      <c r="AH40" s="2599">
        <v>7396.3050000000067</v>
      </c>
      <c r="AI40" s="775"/>
      <c r="AJ40" s="775">
        <f t="shared" si="7"/>
        <v>62812.210000000065</v>
      </c>
      <c r="AK40" s="2599"/>
      <c r="AL40" s="2599">
        <v>5922.3600000000051</v>
      </c>
      <c r="AM40" s="793"/>
      <c r="AN40" s="774">
        <f t="shared" si="8"/>
        <v>18860.615000000013</v>
      </c>
      <c r="AO40" s="775"/>
      <c r="AP40" s="775">
        <f t="shared" si="9"/>
        <v>68734.570000000065</v>
      </c>
      <c r="AQ40" s="2599"/>
      <c r="AR40" s="2599"/>
      <c r="AS40" s="775"/>
      <c r="AT40" s="775">
        <f t="shared" si="10"/>
        <v>68734.570000000065</v>
      </c>
      <c r="AU40" s="2599"/>
      <c r="AV40" s="2599">
        <v>12209.965000000022</v>
      </c>
      <c r="AW40" s="775"/>
      <c r="AX40" s="775">
        <f t="shared" si="11"/>
        <v>80944.535000000091</v>
      </c>
      <c r="AY40" s="2599"/>
      <c r="AZ40" s="2649">
        <v>5896.0024687895275</v>
      </c>
      <c r="BA40" s="793"/>
      <c r="BB40" s="774">
        <f t="shared" si="12"/>
        <v>18105.967468789549</v>
      </c>
      <c r="BC40" s="517"/>
      <c r="BD40" s="657">
        <f t="shared" si="13"/>
        <v>36966.582468789566</v>
      </c>
      <c r="BE40" s="775"/>
      <c r="BF40" s="775">
        <f t="shared" si="14"/>
        <v>86840.537468789611</v>
      </c>
      <c r="BG40" s="1520"/>
      <c r="BH40" s="1520"/>
      <c r="BI40" s="26"/>
      <c r="BJ40" s="26"/>
      <c r="BK40" s="26"/>
      <c r="BL40" s="26"/>
      <c r="BM40" s="26"/>
      <c r="BN40" s="26"/>
    </row>
    <row r="41" spans="1:66" ht="15" customHeight="1" thickBot="1" x14ac:dyDescent="0.35">
      <c r="B41" s="2903" t="s">
        <v>856</v>
      </c>
      <c r="C41" s="2904" t="s">
        <v>1035</v>
      </c>
      <c r="D41" s="742" t="s">
        <v>50</v>
      </c>
      <c r="E41" s="229"/>
      <c r="F41" s="229">
        <v>1637.7850000000005</v>
      </c>
      <c r="G41" s="229"/>
      <c r="H41" s="229"/>
      <c r="I41" s="584"/>
      <c r="J41" s="4506">
        <f t="shared" si="0"/>
        <v>1637.7850000000005</v>
      </c>
      <c r="K41" s="229"/>
      <c r="L41" s="229"/>
      <c r="M41" s="774"/>
      <c r="N41" s="774">
        <f t="shared" si="1"/>
        <v>1637.7850000000005</v>
      </c>
      <c r="O41" s="229"/>
      <c r="P41" s="229"/>
      <c r="Q41" s="775"/>
      <c r="R41" s="775">
        <f t="shared" si="2"/>
        <v>1637.7850000000005</v>
      </c>
      <c r="S41" s="229"/>
      <c r="T41" s="229">
        <v>1200.415</v>
      </c>
      <c r="U41" s="775"/>
      <c r="V41" s="775">
        <f t="shared" si="3"/>
        <v>2838.2000000000007</v>
      </c>
      <c r="W41" s="229"/>
      <c r="X41" s="229"/>
      <c r="Y41" s="793"/>
      <c r="Z41" s="774">
        <f t="shared" si="4"/>
        <v>1200.415</v>
      </c>
      <c r="AA41" s="517"/>
      <c r="AB41" s="657">
        <f t="shared" si="5"/>
        <v>2838.2000000000007</v>
      </c>
      <c r="AC41" s="229"/>
      <c r="AD41" s="229"/>
      <c r="AE41" s="775"/>
      <c r="AF41" s="775">
        <f t="shared" si="6"/>
        <v>2838.2000000000007</v>
      </c>
      <c r="AG41" s="229"/>
      <c r="AH41" s="229"/>
      <c r="AI41" s="775"/>
      <c r="AJ41" s="775">
        <f t="shared" si="7"/>
        <v>2838.2000000000007</v>
      </c>
      <c r="AK41" s="229"/>
      <c r="AL41" s="229"/>
      <c r="AM41" s="793"/>
      <c r="AN41" s="774">
        <f t="shared" si="8"/>
        <v>0</v>
      </c>
      <c r="AO41" s="775"/>
      <c r="AP41" s="775">
        <f t="shared" si="9"/>
        <v>2838.2000000000007</v>
      </c>
      <c r="AQ41" s="229"/>
      <c r="AR41" s="229"/>
      <c r="AS41" s="775"/>
      <c r="AT41" s="775">
        <f t="shared" si="10"/>
        <v>2838.2000000000007</v>
      </c>
      <c r="AU41" s="229"/>
      <c r="AV41" s="229"/>
      <c r="AW41" s="775"/>
      <c r="AX41" s="775">
        <f t="shared" si="11"/>
        <v>2838.2000000000007</v>
      </c>
      <c r="AY41" s="229"/>
      <c r="AZ41" s="5619"/>
      <c r="BA41" s="793"/>
      <c r="BB41" s="774">
        <f t="shared" si="12"/>
        <v>0</v>
      </c>
      <c r="BC41" s="517"/>
      <c r="BD41" s="657">
        <f t="shared" si="13"/>
        <v>0</v>
      </c>
      <c r="BE41" s="775"/>
      <c r="BF41" s="775">
        <f t="shared" si="14"/>
        <v>2838.2000000000007</v>
      </c>
      <c r="BG41" s="1520"/>
      <c r="BH41" s="1520"/>
      <c r="BI41" s="26"/>
      <c r="BJ41" s="26"/>
      <c r="BK41" s="26"/>
      <c r="BL41" s="26"/>
      <c r="BM41" s="26"/>
      <c r="BN41" s="26"/>
    </row>
    <row r="42" spans="1:66" ht="16.2" thickBot="1" x14ac:dyDescent="0.35">
      <c r="B42" s="2917" t="s">
        <v>857</v>
      </c>
      <c r="C42" s="2918" t="s">
        <v>1033</v>
      </c>
      <c r="D42" s="822" t="s">
        <v>50</v>
      </c>
      <c r="E42" s="2919"/>
      <c r="F42" s="2919"/>
      <c r="G42" s="2919"/>
      <c r="H42" s="2919"/>
      <c r="I42" s="2920"/>
      <c r="J42" s="4506">
        <f t="shared" si="0"/>
        <v>0</v>
      </c>
      <c r="K42" s="2919"/>
      <c r="L42" s="2919"/>
      <c r="M42" s="774"/>
      <c r="N42" s="774">
        <f t="shared" si="1"/>
        <v>0</v>
      </c>
      <c r="O42" s="2919"/>
      <c r="P42" s="2919"/>
      <c r="Q42" s="775"/>
      <c r="R42" s="775">
        <f t="shared" si="2"/>
        <v>0</v>
      </c>
      <c r="S42" s="2919"/>
      <c r="T42" s="2919"/>
      <c r="U42" s="775"/>
      <c r="V42" s="775">
        <f t="shared" si="3"/>
        <v>0</v>
      </c>
      <c r="W42" s="2919"/>
      <c r="X42" s="2919"/>
      <c r="Y42" s="793"/>
      <c r="Z42" s="774">
        <f t="shared" si="4"/>
        <v>0</v>
      </c>
      <c r="AA42" s="517"/>
      <c r="AB42" s="657">
        <f t="shared" si="5"/>
        <v>0</v>
      </c>
      <c r="AC42" s="2919"/>
      <c r="AD42" s="2919"/>
      <c r="AE42" s="775"/>
      <c r="AF42" s="775">
        <f t="shared" si="6"/>
        <v>0</v>
      </c>
      <c r="AG42" s="2919"/>
      <c r="AH42" s="2919"/>
      <c r="AI42" s="775"/>
      <c r="AJ42" s="775">
        <f t="shared" si="7"/>
        <v>0</v>
      </c>
      <c r="AK42" s="2919"/>
      <c r="AL42" s="2919"/>
      <c r="AM42" s="793"/>
      <c r="AN42" s="774">
        <f t="shared" si="8"/>
        <v>0</v>
      </c>
      <c r="AO42" s="775"/>
      <c r="AP42" s="775">
        <f t="shared" si="9"/>
        <v>0</v>
      </c>
      <c r="AQ42" s="2919"/>
      <c r="AR42" s="2919"/>
      <c r="AS42" s="775"/>
      <c r="AT42" s="775">
        <f t="shared" si="10"/>
        <v>0</v>
      </c>
      <c r="AU42" s="2919"/>
      <c r="AV42" s="2919"/>
      <c r="AW42" s="775"/>
      <c r="AX42" s="775">
        <f t="shared" si="11"/>
        <v>0</v>
      </c>
      <c r="AY42" s="2919"/>
      <c r="AZ42" s="5624"/>
      <c r="BA42" s="793"/>
      <c r="BB42" s="774">
        <f t="shared" si="12"/>
        <v>0</v>
      </c>
      <c r="BC42" s="517"/>
      <c r="BD42" s="657">
        <f t="shared" si="13"/>
        <v>0</v>
      </c>
      <c r="BE42" s="775"/>
      <c r="BF42" s="775">
        <f t="shared" si="14"/>
        <v>0</v>
      </c>
      <c r="BG42" s="1520"/>
      <c r="BH42" s="1520"/>
      <c r="BI42" s="26"/>
      <c r="BJ42" s="26"/>
      <c r="BK42" s="26"/>
      <c r="BL42" s="26"/>
      <c r="BM42" s="26"/>
      <c r="BN42" s="26"/>
    </row>
    <row r="43" spans="1:66" ht="15.6" x14ac:dyDescent="0.3">
      <c r="A43" s="146"/>
      <c r="B43" s="2914" t="s">
        <v>824</v>
      </c>
      <c r="C43" s="2915"/>
      <c r="D43" s="2916"/>
      <c r="E43" s="1288"/>
      <c r="F43" s="1288"/>
      <c r="G43" s="1288"/>
      <c r="H43" s="1288"/>
      <c r="I43" s="1288"/>
      <c r="J43" s="1288"/>
      <c r="K43" s="1288"/>
      <c r="L43" s="1288"/>
      <c r="M43" s="1118"/>
      <c r="N43" s="1118"/>
      <c r="O43" s="1288"/>
      <c r="P43" s="1288"/>
      <c r="Q43" s="1118"/>
      <c r="R43" s="775">
        <f t="shared" si="2"/>
        <v>0</v>
      </c>
      <c r="S43" s="1288"/>
      <c r="T43" s="1288"/>
      <c r="U43" s="1118"/>
      <c r="V43" s="1118"/>
      <c r="W43" s="1288"/>
      <c r="X43" s="1288"/>
      <c r="Y43" s="1121"/>
      <c r="Z43" s="1118"/>
      <c r="AA43" s="1121"/>
      <c r="AB43" s="591"/>
      <c r="AC43" s="1288"/>
      <c r="AD43" s="1288"/>
      <c r="AE43" s="1118"/>
      <c r="AF43" s="1118"/>
      <c r="AG43" s="1288"/>
      <c r="AH43" s="1288"/>
      <c r="AI43" s="1118"/>
      <c r="AJ43" s="1118"/>
      <c r="AK43" s="1288"/>
      <c r="AL43" s="1288"/>
      <c r="AM43" s="1121"/>
      <c r="AN43" s="1118"/>
      <c r="AO43" s="1118"/>
      <c r="AP43" s="1118"/>
      <c r="AQ43" s="1288"/>
      <c r="AR43" s="1288"/>
      <c r="AS43" s="1118"/>
      <c r="AT43" s="1118"/>
      <c r="AU43" s="1288"/>
      <c r="AV43" s="1288"/>
      <c r="AW43" s="1118"/>
      <c r="AX43" s="1118"/>
      <c r="AY43" s="1288"/>
      <c r="AZ43" s="5620"/>
      <c r="BA43" s="1121"/>
      <c r="BB43" s="1118"/>
      <c r="BC43" s="1121"/>
      <c r="BD43" s="591"/>
      <c r="BE43" s="1118"/>
      <c r="BF43" s="1118"/>
      <c r="BG43" s="1520"/>
      <c r="BH43" s="1520"/>
      <c r="BI43" s="26"/>
      <c r="BJ43" s="26"/>
      <c r="BK43" s="26"/>
      <c r="BL43" s="26"/>
      <c r="BM43" s="26"/>
      <c r="BN43" s="26"/>
    </row>
    <row r="44" spans="1:66" ht="15" customHeight="1" x14ac:dyDescent="0.3">
      <c r="B44" s="1612" t="s">
        <v>1024</v>
      </c>
      <c r="C44" s="1613"/>
      <c r="D44" s="1611" t="s">
        <v>50</v>
      </c>
      <c r="E44" s="197"/>
      <c r="F44" s="1118"/>
      <c r="G44" s="197"/>
      <c r="H44" s="1118"/>
      <c r="I44" s="775"/>
      <c r="J44" s="775">
        <f t="shared" ref="J44:J54" si="17">+F44+H44</f>
        <v>0</v>
      </c>
      <c r="K44" s="197"/>
      <c r="L44" s="1118"/>
      <c r="M44" s="774"/>
      <c r="N44" s="774">
        <f t="shared" ref="N44:N54" si="18">+F44+H44+L44</f>
        <v>0</v>
      </c>
      <c r="O44" s="197"/>
      <c r="P44" s="1118"/>
      <c r="Q44" s="775"/>
      <c r="R44" s="775">
        <f t="shared" si="2"/>
        <v>0</v>
      </c>
      <c r="S44" s="197"/>
      <c r="T44" s="1118"/>
      <c r="U44" s="775"/>
      <c r="V44" s="775">
        <f t="shared" ref="V44:V53" si="19">+R44+T44</f>
        <v>0</v>
      </c>
      <c r="W44" s="197"/>
      <c r="X44" s="1118"/>
      <c r="Y44" s="793"/>
      <c r="Z44" s="774">
        <f t="shared" ref="Z44:Z54" si="20">+P44+T44+X44</f>
        <v>0</v>
      </c>
      <c r="AA44" s="517"/>
      <c r="AB44" s="657">
        <f t="shared" ref="AB44:AB54" si="21">+N44+Z44</f>
        <v>0</v>
      </c>
      <c r="AC44" s="197"/>
      <c r="AD44" s="1118"/>
      <c r="AE44" s="775"/>
      <c r="AF44" s="775">
        <f t="shared" ref="AF44:AF54" si="22">+AB44+AD44</f>
        <v>0</v>
      </c>
      <c r="AG44" s="197"/>
      <c r="AH44" s="1118"/>
      <c r="AI44" s="775"/>
      <c r="AJ44" s="775">
        <f t="shared" ref="AJ44:AJ54" si="23">+AF44+AH44</f>
        <v>0</v>
      </c>
      <c r="AK44" s="197"/>
      <c r="AL44" s="1118"/>
      <c r="AM44" s="793"/>
      <c r="AN44" s="774">
        <f t="shared" ref="AN44:AN54" si="24">+AD44+AH44+AL44</f>
        <v>0</v>
      </c>
      <c r="AO44" s="775"/>
      <c r="AP44" s="775">
        <f t="shared" ref="AP44:AP54" si="25">AJ44+AL44</f>
        <v>0</v>
      </c>
      <c r="AQ44" s="197"/>
      <c r="AR44" s="1118"/>
      <c r="AS44" s="775"/>
      <c r="AT44" s="775">
        <f t="shared" ref="AT44:AT54" si="26">+AP44+AR44</f>
        <v>0</v>
      </c>
      <c r="AU44" s="197"/>
      <c r="AV44" s="1118"/>
      <c r="AW44" s="775"/>
      <c r="AX44" s="775">
        <f t="shared" ref="AX44:AX54" si="27">+AT44+AV44</f>
        <v>0</v>
      </c>
      <c r="AY44" s="197"/>
      <c r="AZ44" s="148"/>
      <c r="BA44" s="793"/>
      <c r="BB44" s="774">
        <f t="shared" ref="BB44:BB54" si="28">+AR44+AV44+AZ44</f>
        <v>0</v>
      </c>
      <c r="BC44" s="517"/>
      <c r="BD44" s="657">
        <f>+AN44+BB44</f>
        <v>0</v>
      </c>
      <c r="BE44" s="775"/>
      <c r="BF44" s="775">
        <f t="shared" ref="BF44:BF54" si="29">+AX44+AZ44</f>
        <v>0</v>
      </c>
      <c r="BG44" s="1520"/>
      <c r="BH44" s="1520"/>
      <c r="BI44" s="26"/>
      <c r="BJ44" s="26"/>
      <c r="BK44" s="26"/>
      <c r="BL44" s="26"/>
      <c r="BM44" s="26"/>
      <c r="BN44" s="26"/>
    </row>
    <row r="45" spans="1:66" ht="15" customHeight="1" x14ac:dyDescent="0.3">
      <c r="B45" s="1612" t="s">
        <v>1022</v>
      </c>
      <c r="C45" s="1613"/>
      <c r="D45" s="1611" t="s">
        <v>50</v>
      </c>
      <c r="E45" s="197"/>
      <c r="F45" s="1118">
        <v>12.71</v>
      </c>
      <c r="G45" s="197"/>
      <c r="H45" s="1118">
        <v>8.67</v>
      </c>
      <c r="I45" s="775"/>
      <c r="J45" s="775">
        <f t="shared" si="17"/>
        <v>21.380000000000003</v>
      </c>
      <c r="K45" s="197"/>
      <c r="L45" s="1118">
        <v>12.03</v>
      </c>
      <c r="M45" s="774"/>
      <c r="N45" s="774">
        <f t="shared" si="18"/>
        <v>33.410000000000004</v>
      </c>
      <c r="O45" s="197"/>
      <c r="P45" s="1118"/>
      <c r="Q45" s="775"/>
      <c r="R45" s="775">
        <f t="shared" si="2"/>
        <v>33.410000000000004</v>
      </c>
      <c r="S45" s="197"/>
      <c r="T45" s="1118">
        <v>5.49</v>
      </c>
      <c r="U45" s="775"/>
      <c r="V45" s="775">
        <f t="shared" si="19"/>
        <v>38.900000000000006</v>
      </c>
      <c r="W45" s="197"/>
      <c r="X45" s="1118">
        <v>10.32</v>
      </c>
      <c r="Y45" s="793"/>
      <c r="Z45" s="774">
        <f t="shared" si="20"/>
        <v>15.81</v>
      </c>
      <c r="AA45" s="517"/>
      <c r="AB45" s="657">
        <f t="shared" si="21"/>
        <v>49.220000000000006</v>
      </c>
      <c r="AC45" s="197"/>
      <c r="AD45" s="1118">
        <v>2.1800000000000002</v>
      </c>
      <c r="AE45" s="775"/>
      <c r="AF45" s="775">
        <f t="shared" si="22"/>
        <v>51.400000000000006</v>
      </c>
      <c r="AG45" s="197"/>
      <c r="AH45" s="1118">
        <v>12.73</v>
      </c>
      <c r="AI45" s="775"/>
      <c r="AJ45" s="775">
        <f t="shared" si="23"/>
        <v>64.13000000000001</v>
      </c>
      <c r="AK45" s="197"/>
      <c r="AL45" s="1118">
        <v>4.05</v>
      </c>
      <c r="AM45" s="793"/>
      <c r="AN45" s="774">
        <f t="shared" si="24"/>
        <v>18.96</v>
      </c>
      <c r="AO45" s="775"/>
      <c r="AP45" s="775">
        <f t="shared" si="25"/>
        <v>68.180000000000007</v>
      </c>
      <c r="AQ45" s="197"/>
      <c r="AR45" s="1118"/>
      <c r="AS45" s="775"/>
      <c r="AT45" s="775">
        <f t="shared" si="26"/>
        <v>68.180000000000007</v>
      </c>
      <c r="AU45" s="197"/>
      <c r="AV45" s="1118">
        <v>13</v>
      </c>
      <c r="AW45" s="775"/>
      <c r="AX45" s="775">
        <f t="shared" si="27"/>
        <v>81.180000000000007</v>
      </c>
      <c r="AY45" s="197"/>
      <c r="AZ45" s="148"/>
      <c r="BA45" s="793"/>
      <c r="BB45" s="774">
        <f t="shared" si="28"/>
        <v>13</v>
      </c>
      <c r="BC45" s="517"/>
      <c r="BD45" s="657">
        <f t="shared" ref="BD45:BD54" si="30">+AN45+BB45</f>
        <v>31.96</v>
      </c>
      <c r="BE45" s="775"/>
      <c r="BF45" s="775">
        <f t="shared" si="29"/>
        <v>81.180000000000007</v>
      </c>
      <c r="BG45" s="1520"/>
      <c r="BH45" s="1520"/>
      <c r="BI45" s="26"/>
      <c r="BJ45" s="26"/>
      <c r="BK45" s="26"/>
      <c r="BL45" s="26"/>
      <c r="BM45" s="26"/>
      <c r="BN45" s="26"/>
    </row>
    <row r="46" spans="1:66" ht="15.75" customHeight="1" x14ac:dyDescent="0.3">
      <c r="B46" s="1614" t="s">
        <v>1021</v>
      </c>
      <c r="C46" s="1615"/>
      <c r="D46" s="1616" t="s">
        <v>50</v>
      </c>
      <c r="E46" s="198"/>
      <c r="F46" s="1118">
        <v>5.7600000000000007</v>
      </c>
      <c r="G46" s="198"/>
      <c r="H46" s="1118">
        <v>12.48</v>
      </c>
      <c r="I46" s="271"/>
      <c r="J46" s="775">
        <f t="shared" si="17"/>
        <v>18.240000000000002</v>
      </c>
      <c r="K46" s="198"/>
      <c r="L46" s="1118">
        <v>7.02</v>
      </c>
      <c r="M46" s="1187"/>
      <c r="N46" s="774">
        <f t="shared" si="18"/>
        <v>25.26</v>
      </c>
      <c r="O46" s="198"/>
      <c r="P46" s="1118">
        <v>14.62</v>
      </c>
      <c r="Q46" s="271"/>
      <c r="R46" s="775">
        <f t="shared" si="2"/>
        <v>39.880000000000003</v>
      </c>
      <c r="S46" s="198"/>
      <c r="T46" s="1118"/>
      <c r="U46" s="271"/>
      <c r="V46" s="775">
        <f t="shared" si="19"/>
        <v>39.880000000000003</v>
      </c>
      <c r="W46" s="198"/>
      <c r="X46" s="1118">
        <v>8.6300000000000008</v>
      </c>
      <c r="Y46" s="880"/>
      <c r="Z46" s="774">
        <f t="shared" si="20"/>
        <v>23.25</v>
      </c>
      <c r="AA46" s="517"/>
      <c r="AB46" s="657">
        <f t="shared" si="21"/>
        <v>48.510000000000005</v>
      </c>
      <c r="AC46" s="198"/>
      <c r="AD46" s="1118">
        <v>2.21</v>
      </c>
      <c r="AE46" s="271"/>
      <c r="AF46" s="775">
        <f t="shared" si="22"/>
        <v>50.720000000000006</v>
      </c>
      <c r="AG46" s="198"/>
      <c r="AH46" s="1118">
        <v>25.26</v>
      </c>
      <c r="AI46" s="271"/>
      <c r="AJ46" s="775">
        <f t="shared" si="23"/>
        <v>75.98</v>
      </c>
      <c r="AK46" s="198"/>
      <c r="AL46" s="1118">
        <v>32.9</v>
      </c>
      <c r="AM46" s="880"/>
      <c r="AN46" s="774">
        <f t="shared" si="24"/>
        <v>60.370000000000005</v>
      </c>
      <c r="AO46" s="271"/>
      <c r="AP46" s="775">
        <f t="shared" si="25"/>
        <v>108.88</v>
      </c>
      <c r="AQ46" s="198"/>
      <c r="AR46" s="1120">
        <v>18.72</v>
      </c>
      <c r="AS46" s="271"/>
      <c r="AT46" s="775">
        <f t="shared" si="26"/>
        <v>127.6</v>
      </c>
      <c r="AU46" s="198"/>
      <c r="AV46" s="1120"/>
      <c r="AW46" s="271"/>
      <c r="AX46" s="775">
        <f t="shared" si="27"/>
        <v>127.6</v>
      </c>
      <c r="AY46" s="198"/>
      <c r="AZ46" s="5625">
        <v>8.89</v>
      </c>
      <c r="BA46" s="880"/>
      <c r="BB46" s="774">
        <f t="shared" si="28"/>
        <v>27.61</v>
      </c>
      <c r="BC46" s="517"/>
      <c r="BD46" s="657">
        <f t="shared" si="30"/>
        <v>87.98</v>
      </c>
      <c r="BE46" s="271"/>
      <c r="BF46" s="775">
        <f t="shared" si="29"/>
        <v>136.49</v>
      </c>
      <c r="BG46" s="1520"/>
      <c r="BH46" s="1520"/>
      <c r="BI46" s="26"/>
      <c r="BJ46" s="26"/>
      <c r="BK46" s="26"/>
      <c r="BL46" s="26"/>
      <c r="BM46" s="26"/>
      <c r="BN46" s="26"/>
    </row>
    <row r="47" spans="1:66" ht="15.6" x14ac:dyDescent="0.3">
      <c r="B47" s="1612" t="s">
        <v>1020</v>
      </c>
      <c r="C47" s="1613"/>
      <c r="D47" s="1611" t="s">
        <v>50</v>
      </c>
      <c r="E47" s="197"/>
      <c r="F47" s="1118">
        <v>46.59</v>
      </c>
      <c r="G47" s="197"/>
      <c r="H47" s="1118">
        <v>9.0399999999999991</v>
      </c>
      <c r="I47" s="775"/>
      <c r="J47" s="775">
        <f t="shared" si="17"/>
        <v>55.63</v>
      </c>
      <c r="K47" s="197"/>
      <c r="L47" s="1118">
        <v>11.93</v>
      </c>
      <c r="M47" s="774"/>
      <c r="N47" s="774">
        <f t="shared" si="18"/>
        <v>67.56</v>
      </c>
      <c r="O47" s="197"/>
      <c r="P47" s="1118">
        <v>24.45</v>
      </c>
      <c r="Q47" s="775"/>
      <c r="R47" s="775">
        <f t="shared" si="2"/>
        <v>92.01</v>
      </c>
      <c r="S47" s="197"/>
      <c r="T47" s="1118">
        <v>19.12</v>
      </c>
      <c r="U47" s="775"/>
      <c r="V47" s="775">
        <f t="shared" si="19"/>
        <v>111.13000000000001</v>
      </c>
      <c r="W47" s="197"/>
      <c r="X47" s="1118">
        <v>75.41</v>
      </c>
      <c r="Y47" s="793"/>
      <c r="Z47" s="774">
        <f t="shared" si="20"/>
        <v>118.97999999999999</v>
      </c>
      <c r="AA47" s="517"/>
      <c r="AB47" s="657">
        <f t="shared" si="21"/>
        <v>186.54</v>
      </c>
      <c r="AC47" s="197"/>
      <c r="AD47" s="1118">
        <v>33.369999999999997</v>
      </c>
      <c r="AE47" s="775"/>
      <c r="AF47" s="775">
        <f t="shared" si="22"/>
        <v>219.91</v>
      </c>
      <c r="AG47" s="197"/>
      <c r="AH47" s="1118">
        <v>25.34</v>
      </c>
      <c r="AI47" s="775"/>
      <c r="AJ47" s="775">
        <f t="shared" si="23"/>
        <v>245.25</v>
      </c>
      <c r="AK47" s="197"/>
      <c r="AL47" s="1118">
        <v>28.46</v>
      </c>
      <c r="AM47" s="793"/>
      <c r="AN47" s="774">
        <f t="shared" si="24"/>
        <v>87.169999999999987</v>
      </c>
      <c r="AO47" s="775"/>
      <c r="AP47" s="775">
        <f t="shared" si="25"/>
        <v>273.70999999999998</v>
      </c>
      <c r="AQ47" s="197"/>
      <c r="AR47" s="1120">
        <v>8.3699999999999992</v>
      </c>
      <c r="AS47" s="775"/>
      <c r="AT47" s="775">
        <f t="shared" si="26"/>
        <v>282.08</v>
      </c>
      <c r="AU47" s="197"/>
      <c r="AV47" s="1120">
        <v>2.78</v>
      </c>
      <c r="AW47" s="775"/>
      <c r="AX47" s="775">
        <f t="shared" si="27"/>
        <v>284.85999999999996</v>
      </c>
      <c r="AY47" s="197"/>
      <c r="AZ47" s="5625">
        <v>52.33</v>
      </c>
      <c r="BA47" s="793"/>
      <c r="BB47" s="774">
        <f t="shared" si="28"/>
        <v>63.48</v>
      </c>
      <c r="BC47" s="517"/>
      <c r="BD47" s="657">
        <f t="shared" si="30"/>
        <v>150.64999999999998</v>
      </c>
      <c r="BE47" s="775"/>
      <c r="BF47" s="775">
        <f t="shared" si="29"/>
        <v>337.18999999999994</v>
      </c>
      <c r="BG47" s="1520"/>
      <c r="BH47" s="1520"/>
      <c r="BI47" s="26"/>
      <c r="BJ47" s="26"/>
      <c r="BK47" s="26"/>
      <c r="BL47" s="26"/>
      <c r="BM47" s="26"/>
      <c r="BN47" s="26"/>
    </row>
    <row r="48" spans="1:66" ht="15.6" x14ac:dyDescent="0.3">
      <c r="B48" s="1612" t="s">
        <v>1313</v>
      </c>
      <c r="C48" s="1613"/>
      <c r="D48" s="1611" t="s">
        <v>50</v>
      </c>
      <c r="E48" s="197"/>
      <c r="F48" s="1118"/>
      <c r="G48" s="197"/>
      <c r="H48" s="1118"/>
      <c r="I48" s="775"/>
      <c r="J48" s="775">
        <f t="shared" si="17"/>
        <v>0</v>
      </c>
      <c r="K48" s="197"/>
      <c r="L48" s="1118"/>
      <c r="M48" s="774"/>
      <c r="N48" s="774">
        <f t="shared" si="18"/>
        <v>0</v>
      </c>
      <c r="O48" s="197"/>
      <c r="P48" s="1118"/>
      <c r="Q48" s="775"/>
      <c r="R48" s="775">
        <f t="shared" si="2"/>
        <v>0</v>
      </c>
      <c r="S48" s="197"/>
      <c r="T48" s="1118"/>
      <c r="U48" s="775"/>
      <c r="V48" s="775">
        <f t="shared" si="19"/>
        <v>0</v>
      </c>
      <c r="W48" s="197"/>
      <c r="X48" s="1118"/>
      <c r="Y48" s="793"/>
      <c r="Z48" s="774">
        <f t="shared" si="20"/>
        <v>0</v>
      </c>
      <c r="AA48" s="517"/>
      <c r="AB48" s="657">
        <f t="shared" si="21"/>
        <v>0</v>
      </c>
      <c r="AC48" s="197"/>
      <c r="AD48" s="1118"/>
      <c r="AE48" s="775"/>
      <c r="AF48" s="775">
        <f t="shared" si="22"/>
        <v>0</v>
      </c>
      <c r="AG48" s="197"/>
      <c r="AH48" s="1118"/>
      <c r="AI48" s="775"/>
      <c r="AJ48" s="775">
        <f t="shared" si="23"/>
        <v>0</v>
      </c>
      <c r="AK48" s="197"/>
      <c r="AL48" s="1118"/>
      <c r="AM48" s="793"/>
      <c r="AN48" s="774">
        <f t="shared" si="24"/>
        <v>0</v>
      </c>
      <c r="AO48" s="775"/>
      <c r="AP48" s="775">
        <f t="shared" si="25"/>
        <v>0</v>
      </c>
      <c r="AQ48" s="197"/>
      <c r="AR48" s="188"/>
      <c r="AS48" s="775"/>
      <c r="AT48" s="775">
        <f t="shared" si="26"/>
        <v>0</v>
      </c>
      <c r="AU48" s="197"/>
      <c r="AV48" s="188"/>
      <c r="AW48" s="775"/>
      <c r="AX48" s="775">
        <f t="shared" si="27"/>
        <v>0</v>
      </c>
      <c r="AY48" s="197"/>
      <c r="AZ48" s="5626"/>
      <c r="BA48" s="793"/>
      <c r="BB48" s="774">
        <f t="shared" si="28"/>
        <v>0</v>
      </c>
      <c r="BC48" s="517"/>
      <c r="BD48" s="657">
        <f t="shared" si="30"/>
        <v>0</v>
      </c>
      <c r="BE48" s="775"/>
      <c r="BF48" s="775">
        <f t="shared" si="29"/>
        <v>0</v>
      </c>
      <c r="BG48" s="1520"/>
      <c r="BH48" s="1520"/>
      <c r="BI48" s="26"/>
      <c r="BJ48" s="26"/>
      <c r="BK48" s="26"/>
      <c r="BL48" s="26"/>
      <c r="BM48" s="26"/>
      <c r="BN48" s="26"/>
    </row>
    <row r="49" spans="1:66" ht="15.6" x14ac:dyDescent="0.3">
      <c r="B49" s="1612" t="s">
        <v>1617</v>
      </c>
      <c r="C49" s="1613"/>
      <c r="D49" s="1611" t="s">
        <v>50</v>
      </c>
      <c r="E49" s="197"/>
      <c r="F49" s="1118"/>
      <c r="G49" s="197"/>
      <c r="H49" s="1118"/>
      <c r="I49" s="775"/>
      <c r="J49" s="775">
        <f t="shared" si="17"/>
        <v>0</v>
      </c>
      <c r="K49" s="197"/>
      <c r="L49" s="1118"/>
      <c r="M49" s="774"/>
      <c r="N49" s="774">
        <f t="shared" si="18"/>
        <v>0</v>
      </c>
      <c r="O49" s="197"/>
      <c r="P49" s="1118"/>
      <c r="Q49" s="775"/>
      <c r="R49" s="775">
        <f t="shared" si="2"/>
        <v>0</v>
      </c>
      <c r="S49" s="197"/>
      <c r="T49" s="1118"/>
      <c r="U49" s="775"/>
      <c r="V49" s="775">
        <f t="shared" si="19"/>
        <v>0</v>
      </c>
      <c r="W49" s="197"/>
      <c r="X49" s="1118"/>
      <c r="Y49" s="793"/>
      <c r="Z49" s="774">
        <f t="shared" si="20"/>
        <v>0</v>
      </c>
      <c r="AA49" s="517"/>
      <c r="AB49" s="657">
        <f t="shared" si="21"/>
        <v>0</v>
      </c>
      <c r="AC49" s="197"/>
      <c r="AD49" s="1118"/>
      <c r="AE49" s="775"/>
      <c r="AF49" s="775">
        <f t="shared" si="22"/>
        <v>0</v>
      </c>
      <c r="AG49" s="197"/>
      <c r="AH49" s="1118"/>
      <c r="AI49" s="775"/>
      <c r="AJ49" s="775">
        <f t="shared" si="23"/>
        <v>0</v>
      </c>
      <c r="AK49" s="197"/>
      <c r="AL49" s="1118"/>
      <c r="AM49" s="793"/>
      <c r="AN49" s="774">
        <f t="shared" si="24"/>
        <v>0</v>
      </c>
      <c r="AO49" s="775"/>
      <c r="AP49" s="775">
        <f t="shared" si="25"/>
        <v>0</v>
      </c>
      <c r="AQ49" s="197"/>
      <c r="AR49" s="188"/>
      <c r="AS49" s="775"/>
      <c r="AT49" s="775">
        <f t="shared" si="26"/>
        <v>0</v>
      </c>
      <c r="AU49" s="197"/>
      <c r="AV49" s="188"/>
      <c r="AW49" s="775"/>
      <c r="AX49" s="775">
        <f t="shared" si="27"/>
        <v>0</v>
      </c>
      <c r="AY49" s="197"/>
      <c r="AZ49" s="5626"/>
      <c r="BA49" s="793"/>
      <c r="BB49" s="774">
        <f t="shared" si="28"/>
        <v>0</v>
      </c>
      <c r="BC49" s="517"/>
      <c r="BD49" s="657">
        <f t="shared" si="30"/>
        <v>0</v>
      </c>
      <c r="BE49" s="775"/>
      <c r="BF49" s="775">
        <f t="shared" si="29"/>
        <v>0</v>
      </c>
      <c r="BG49" s="1520"/>
      <c r="BH49" s="1520"/>
      <c r="BI49" s="26"/>
      <c r="BJ49" s="26"/>
      <c r="BK49" s="26"/>
      <c r="BL49" s="26"/>
      <c r="BM49" s="26"/>
      <c r="BN49" s="26"/>
    </row>
    <row r="50" spans="1:66" ht="15.6" x14ac:dyDescent="0.3">
      <c r="B50" s="1612" t="s">
        <v>1260</v>
      </c>
      <c r="C50" s="1613"/>
      <c r="D50" s="1611" t="s">
        <v>50</v>
      </c>
      <c r="E50" s="197"/>
      <c r="F50" s="1118">
        <v>17.07</v>
      </c>
      <c r="G50" s="197"/>
      <c r="H50" s="1118"/>
      <c r="I50" s="775"/>
      <c r="J50" s="775">
        <f t="shared" si="17"/>
        <v>17.07</v>
      </c>
      <c r="K50" s="197"/>
      <c r="L50" s="1118"/>
      <c r="M50" s="774"/>
      <c r="N50" s="774">
        <f t="shared" si="18"/>
        <v>17.07</v>
      </c>
      <c r="O50" s="197"/>
      <c r="P50" s="1118">
        <v>3.77</v>
      </c>
      <c r="Q50" s="775"/>
      <c r="R50" s="775">
        <f t="shared" si="2"/>
        <v>20.84</v>
      </c>
      <c r="S50" s="197"/>
      <c r="T50" s="1118">
        <v>25.96</v>
      </c>
      <c r="U50" s="775"/>
      <c r="V50" s="775">
        <f t="shared" si="19"/>
        <v>46.8</v>
      </c>
      <c r="W50" s="197"/>
      <c r="X50" s="1118"/>
      <c r="Y50" s="793"/>
      <c r="Z50" s="774">
        <f t="shared" si="20"/>
        <v>29.73</v>
      </c>
      <c r="AA50" s="517"/>
      <c r="AB50" s="657">
        <f t="shared" si="21"/>
        <v>46.8</v>
      </c>
      <c r="AC50" s="197"/>
      <c r="AD50" s="1118"/>
      <c r="AE50" s="775"/>
      <c r="AF50" s="775">
        <f t="shared" si="22"/>
        <v>46.8</v>
      </c>
      <c r="AG50" s="197"/>
      <c r="AH50" s="1118"/>
      <c r="AI50" s="775"/>
      <c r="AJ50" s="775">
        <f t="shared" si="23"/>
        <v>46.8</v>
      </c>
      <c r="AK50" s="197"/>
      <c r="AL50" s="1118"/>
      <c r="AM50" s="793"/>
      <c r="AN50" s="774">
        <f t="shared" si="24"/>
        <v>0</v>
      </c>
      <c r="AO50" s="775"/>
      <c r="AP50" s="775">
        <f t="shared" si="25"/>
        <v>46.8</v>
      </c>
      <c r="AQ50" s="197"/>
      <c r="AR50" s="188"/>
      <c r="AS50" s="775"/>
      <c r="AT50" s="775">
        <f t="shared" si="26"/>
        <v>46.8</v>
      </c>
      <c r="AU50" s="197"/>
      <c r="AV50" s="188"/>
      <c r="AW50" s="775"/>
      <c r="AX50" s="775">
        <f t="shared" si="27"/>
        <v>46.8</v>
      </c>
      <c r="AY50" s="197"/>
      <c r="AZ50" s="5626"/>
      <c r="BA50" s="793"/>
      <c r="BB50" s="774">
        <f t="shared" si="28"/>
        <v>0</v>
      </c>
      <c r="BC50" s="517"/>
      <c r="BD50" s="657">
        <f t="shared" si="30"/>
        <v>0</v>
      </c>
      <c r="BE50" s="775"/>
      <c r="BF50" s="775">
        <f t="shared" si="29"/>
        <v>46.8</v>
      </c>
      <c r="BG50" s="1520"/>
      <c r="BH50" s="1520"/>
      <c r="BI50" s="26"/>
      <c r="BJ50" s="26"/>
      <c r="BK50" s="26"/>
      <c r="BL50" s="26"/>
      <c r="BM50" s="26"/>
      <c r="BN50" s="26"/>
    </row>
    <row r="51" spans="1:66" ht="15.6" x14ac:dyDescent="0.3">
      <c r="B51" s="1612" t="s">
        <v>1355</v>
      </c>
      <c r="C51" s="1613"/>
      <c r="D51" s="1611" t="s">
        <v>50</v>
      </c>
      <c r="E51" s="197"/>
      <c r="F51" s="1118"/>
      <c r="G51" s="197"/>
      <c r="H51" s="1118"/>
      <c r="I51" s="775"/>
      <c r="J51" s="775">
        <f t="shared" si="17"/>
        <v>0</v>
      </c>
      <c r="K51" s="197"/>
      <c r="L51" s="1118"/>
      <c r="M51" s="774"/>
      <c r="N51" s="774">
        <f t="shared" si="18"/>
        <v>0</v>
      </c>
      <c r="O51" s="197"/>
      <c r="P51" s="1118">
        <v>0.68</v>
      </c>
      <c r="Q51" s="775"/>
      <c r="R51" s="775">
        <f t="shared" si="2"/>
        <v>0.68</v>
      </c>
      <c r="S51" s="197"/>
      <c r="T51" s="1118"/>
      <c r="U51" s="775"/>
      <c r="V51" s="775">
        <f t="shared" si="19"/>
        <v>0.68</v>
      </c>
      <c r="W51" s="197"/>
      <c r="X51" s="1118">
        <v>1.66</v>
      </c>
      <c r="Y51" s="793"/>
      <c r="Z51" s="774">
        <f t="shared" si="20"/>
        <v>2.34</v>
      </c>
      <c r="AA51" s="517"/>
      <c r="AB51" s="657">
        <f t="shared" si="21"/>
        <v>2.34</v>
      </c>
      <c r="AC51" s="197"/>
      <c r="AD51" s="1118"/>
      <c r="AE51" s="775"/>
      <c r="AF51" s="775">
        <f t="shared" si="22"/>
        <v>2.34</v>
      </c>
      <c r="AG51" s="197"/>
      <c r="AH51" s="1118"/>
      <c r="AI51" s="775"/>
      <c r="AJ51" s="775">
        <f t="shared" si="23"/>
        <v>2.34</v>
      </c>
      <c r="AK51" s="197"/>
      <c r="AL51" s="1118"/>
      <c r="AM51" s="793"/>
      <c r="AN51" s="774">
        <f t="shared" si="24"/>
        <v>0</v>
      </c>
      <c r="AO51" s="775"/>
      <c r="AP51" s="775">
        <f t="shared" si="25"/>
        <v>2.34</v>
      </c>
      <c r="AQ51" s="197"/>
      <c r="AR51" s="188">
        <v>5.14</v>
      </c>
      <c r="AS51" s="775"/>
      <c r="AT51" s="775">
        <f t="shared" si="26"/>
        <v>7.4799999999999995</v>
      </c>
      <c r="AU51" s="197"/>
      <c r="AV51" s="188"/>
      <c r="AW51" s="775"/>
      <c r="AX51" s="775">
        <f t="shared" si="27"/>
        <v>7.4799999999999995</v>
      </c>
      <c r="AY51" s="197"/>
      <c r="AZ51" s="5626"/>
      <c r="BA51" s="793"/>
      <c r="BB51" s="774">
        <f t="shared" si="28"/>
        <v>5.14</v>
      </c>
      <c r="BC51" s="517"/>
      <c r="BD51" s="657">
        <f t="shared" si="30"/>
        <v>5.14</v>
      </c>
      <c r="BE51" s="775"/>
      <c r="BF51" s="775">
        <f t="shared" si="29"/>
        <v>7.4799999999999995</v>
      </c>
      <c r="BG51" s="1520"/>
      <c r="BH51" s="1520"/>
      <c r="BI51" s="26"/>
      <c r="BJ51" s="26"/>
      <c r="BK51" s="26"/>
      <c r="BL51" s="26"/>
      <c r="BM51" s="26"/>
      <c r="BN51" s="26"/>
    </row>
    <row r="52" spans="1:66" ht="15.6" x14ac:dyDescent="0.3">
      <c r="B52" s="1612" t="s">
        <v>1039</v>
      </c>
      <c r="C52" s="1613"/>
      <c r="D52" s="1611" t="s">
        <v>50</v>
      </c>
      <c r="E52" s="197"/>
      <c r="F52" s="1118">
        <v>2.2999999999999998</v>
      </c>
      <c r="G52" s="197"/>
      <c r="H52" s="1118">
        <v>1.1000000000000001</v>
      </c>
      <c r="I52" s="775"/>
      <c r="J52" s="775">
        <f t="shared" si="17"/>
        <v>3.4</v>
      </c>
      <c r="K52" s="197"/>
      <c r="L52" s="1118">
        <v>3.83</v>
      </c>
      <c r="M52" s="774"/>
      <c r="N52" s="774">
        <f t="shared" si="18"/>
        <v>7.23</v>
      </c>
      <c r="O52" s="197"/>
      <c r="P52" s="1118">
        <v>0.63</v>
      </c>
      <c r="Q52" s="775"/>
      <c r="R52" s="775">
        <f t="shared" si="2"/>
        <v>7.86</v>
      </c>
      <c r="S52" s="197"/>
      <c r="T52" s="1118"/>
      <c r="U52" s="775"/>
      <c r="V52" s="775">
        <f t="shared" si="19"/>
        <v>7.86</v>
      </c>
      <c r="W52" s="197"/>
      <c r="X52" s="1118">
        <v>2.5299999999999998</v>
      </c>
      <c r="Y52" s="793"/>
      <c r="Z52" s="774">
        <f t="shared" si="20"/>
        <v>3.1599999999999997</v>
      </c>
      <c r="AA52" s="517"/>
      <c r="AB52" s="657">
        <f t="shared" si="21"/>
        <v>10.39</v>
      </c>
      <c r="AC52" s="197"/>
      <c r="AD52" s="1118">
        <v>12.24</v>
      </c>
      <c r="AE52" s="775"/>
      <c r="AF52" s="775">
        <f t="shared" si="22"/>
        <v>22.630000000000003</v>
      </c>
      <c r="AG52" s="197"/>
      <c r="AH52" s="1118">
        <v>5.62</v>
      </c>
      <c r="AI52" s="775"/>
      <c r="AJ52" s="775">
        <f t="shared" si="23"/>
        <v>28.250000000000004</v>
      </c>
      <c r="AK52" s="197"/>
      <c r="AL52" s="1118">
        <v>23.84</v>
      </c>
      <c r="AM52" s="793"/>
      <c r="AN52" s="774">
        <f t="shared" si="24"/>
        <v>41.7</v>
      </c>
      <c r="AO52" s="775"/>
      <c r="AP52" s="775">
        <f t="shared" si="25"/>
        <v>52.09</v>
      </c>
      <c r="AQ52" s="197"/>
      <c r="AR52" s="1118"/>
      <c r="AS52" s="775"/>
      <c r="AT52" s="775">
        <f t="shared" si="26"/>
        <v>52.09</v>
      </c>
      <c r="AU52" s="197"/>
      <c r="AV52" s="1118"/>
      <c r="AW52" s="775"/>
      <c r="AX52" s="775">
        <f t="shared" si="27"/>
        <v>52.09</v>
      </c>
      <c r="AY52" s="197"/>
      <c r="AZ52" s="148">
        <v>14.76</v>
      </c>
      <c r="BA52" s="793"/>
      <c r="BB52" s="774">
        <f t="shared" si="28"/>
        <v>14.76</v>
      </c>
      <c r="BC52" s="517"/>
      <c r="BD52" s="657">
        <f t="shared" si="30"/>
        <v>56.46</v>
      </c>
      <c r="BE52" s="775"/>
      <c r="BF52" s="775">
        <f t="shared" si="29"/>
        <v>66.850000000000009</v>
      </c>
      <c r="BG52" s="1520"/>
      <c r="BH52" s="1520"/>
      <c r="BI52" s="26"/>
      <c r="BJ52" s="26"/>
      <c r="BK52" s="26"/>
      <c r="BL52" s="26"/>
      <c r="BM52" s="26"/>
      <c r="BN52" s="26"/>
    </row>
    <row r="53" spans="1:66" ht="15.6" x14ac:dyDescent="0.3">
      <c r="B53" s="4845" t="s">
        <v>2047</v>
      </c>
      <c r="C53" s="4846"/>
      <c r="D53" s="1611" t="s">
        <v>50</v>
      </c>
      <c r="E53" s="4847"/>
      <c r="F53" s="4848"/>
      <c r="G53" s="4847"/>
      <c r="H53" s="4848"/>
      <c r="I53" s="4843"/>
      <c r="J53" s="4843"/>
      <c r="K53" s="4847"/>
      <c r="L53" s="4848">
        <v>0.48</v>
      </c>
      <c r="M53" s="4849"/>
      <c r="N53" s="348">
        <f t="shared" si="18"/>
        <v>0.48</v>
      </c>
      <c r="O53" s="4847"/>
      <c r="P53" s="4848"/>
      <c r="Q53" s="4843"/>
      <c r="R53" s="775">
        <f t="shared" si="2"/>
        <v>0.48</v>
      </c>
      <c r="S53" s="4847"/>
      <c r="T53" s="4848"/>
      <c r="U53" s="4843"/>
      <c r="V53" s="775">
        <f t="shared" si="19"/>
        <v>0.48</v>
      </c>
      <c r="W53" s="4847"/>
      <c r="X53" s="4848"/>
      <c r="Y53" s="4850"/>
      <c r="Z53" s="774">
        <f t="shared" si="20"/>
        <v>0</v>
      </c>
      <c r="AA53" s="4818"/>
      <c r="AB53" s="800">
        <f t="shared" si="21"/>
        <v>0.48</v>
      </c>
      <c r="AC53" s="4847"/>
      <c r="AD53" s="4848"/>
      <c r="AE53" s="4843"/>
      <c r="AF53" s="261">
        <f t="shared" si="22"/>
        <v>0.48</v>
      </c>
      <c r="AG53" s="4847"/>
      <c r="AH53" s="4848"/>
      <c r="AI53" s="4843"/>
      <c r="AJ53" s="775">
        <f t="shared" si="23"/>
        <v>0.48</v>
      </c>
      <c r="AK53" s="4847"/>
      <c r="AL53" s="4848"/>
      <c r="AM53" s="4850"/>
      <c r="AN53" s="4849"/>
      <c r="AO53" s="4843"/>
      <c r="AP53" s="775">
        <f t="shared" si="25"/>
        <v>0.48</v>
      </c>
      <c r="AQ53" s="4847"/>
      <c r="AR53" s="4848"/>
      <c r="AS53" s="4843"/>
      <c r="AT53" s="261">
        <f t="shared" si="26"/>
        <v>0.48</v>
      </c>
      <c r="AU53" s="4847"/>
      <c r="AV53" s="4848"/>
      <c r="AW53" s="4843"/>
      <c r="AX53" s="261">
        <f t="shared" si="27"/>
        <v>0.48</v>
      </c>
      <c r="AY53" s="4847"/>
      <c r="AZ53" s="5627">
        <v>32.450000000000003</v>
      </c>
      <c r="BA53" s="4850"/>
      <c r="BB53" s="774">
        <f t="shared" si="28"/>
        <v>32.450000000000003</v>
      </c>
      <c r="BC53" s="4818"/>
      <c r="BD53" s="657">
        <f t="shared" si="30"/>
        <v>32.450000000000003</v>
      </c>
      <c r="BE53" s="4843"/>
      <c r="BF53" s="775">
        <f t="shared" si="29"/>
        <v>32.93</v>
      </c>
      <c r="BG53" s="1520"/>
      <c r="BH53" s="1520"/>
      <c r="BI53" s="26"/>
      <c r="BJ53" s="26"/>
      <c r="BK53" s="26"/>
      <c r="BL53" s="26"/>
      <c r="BM53" s="26"/>
      <c r="BN53" s="26"/>
    </row>
    <row r="54" spans="1:66" ht="16.2" thickBot="1" x14ac:dyDescent="0.35">
      <c r="B54" s="1612" t="s">
        <v>1038</v>
      </c>
      <c r="C54" s="1613"/>
      <c r="D54" s="1611" t="s">
        <v>50</v>
      </c>
      <c r="E54" s="1118"/>
      <c r="F54" s="1118"/>
      <c r="G54" s="1118"/>
      <c r="H54" s="1118"/>
      <c r="I54" s="775"/>
      <c r="J54" s="775">
        <f t="shared" si="17"/>
        <v>0</v>
      </c>
      <c r="K54" s="1118"/>
      <c r="L54" s="1118"/>
      <c r="M54" s="774"/>
      <c r="N54" s="774">
        <f t="shared" si="18"/>
        <v>0</v>
      </c>
      <c r="O54" s="1118"/>
      <c r="P54" s="1118"/>
      <c r="Q54" s="775"/>
      <c r="R54" s="775">
        <f t="shared" si="2"/>
        <v>0</v>
      </c>
      <c r="S54" s="1118"/>
      <c r="T54" s="1118"/>
      <c r="U54" s="775"/>
      <c r="V54" s="775">
        <f t="shared" ref="V54" si="31">+R54+T54</f>
        <v>0</v>
      </c>
      <c r="W54" s="1118"/>
      <c r="X54" s="1118"/>
      <c r="Y54" s="793"/>
      <c r="Z54" s="774">
        <f t="shared" si="20"/>
        <v>0</v>
      </c>
      <c r="AA54" s="517"/>
      <c r="AB54" s="657">
        <f t="shared" si="21"/>
        <v>0</v>
      </c>
      <c r="AC54" s="1118"/>
      <c r="AD54" s="1118"/>
      <c r="AE54" s="775"/>
      <c r="AF54" s="775">
        <f t="shared" si="22"/>
        <v>0</v>
      </c>
      <c r="AG54" s="1118"/>
      <c r="AH54" s="1118"/>
      <c r="AI54" s="775"/>
      <c r="AJ54" s="775">
        <f t="shared" si="23"/>
        <v>0</v>
      </c>
      <c r="AK54" s="1118"/>
      <c r="AL54" s="1118"/>
      <c r="AM54" s="793"/>
      <c r="AN54" s="774">
        <f t="shared" si="24"/>
        <v>0</v>
      </c>
      <c r="AO54" s="775"/>
      <c r="AP54" s="775">
        <f t="shared" si="25"/>
        <v>0</v>
      </c>
      <c r="AQ54" s="1118"/>
      <c r="AR54" s="1118"/>
      <c r="AS54" s="775"/>
      <c r="AT54" s="775">
        <f t="shared" si="26"/>
        <v>0</v>
      </c>
      <c r="AU54" s="1118"/>
      <c r="AV54" s="1118"/>
      <c r="AW54" s="775"/>
      <c r="AX54" s="775">
        <f t="shared" si="27"/>
        <v>0</v>
      </c>
      <c r="AY54" s="1118"/>
      <c r="AZ54" s="148"/>
      <c r="BA54" s="793"/>
      <c r="BB54" s="774">
        <f t="shared" si="28"/>
        <v>0</v>
      </c>
      <c r="BC54" s="517"/>
      <c r="BD54" s="657">
        <f t="shared" si="30"/>
        <v>0</v>
      </c>
      <c r="BE54" s="775"/>
      <c r="BF54" s="775">
        <f t="shared" si="29"/>
        <v>0</v>
      </c>
      <c r="BG54" s="1520"/>
      <c r="BH54" s="1520"/>
      <c r="BI54" s="26"/>
      <c r="BJ54" s="26"/>
      <c r="BK54" s="26"/>
      <c r="BL54" s="26"/>
      <c r="BM54" s="26"/>
      <c r="BN54" s="26"/>
    </row>
    <row r="55" spans="1:66" ht="16.2" thickBot="1" x14ac:dyDescent="0.35">
      <c r="A55" s="146"/>
      <c r="B55" s="2921" t="s">
        <v>300</v>
      </c>
      <c r="C55" s="2926"/>
      <c r="D55" s="2927" t="s">
        <v>50</v>
      </c>
      <c r="E55" s="2928">
        <f>+E56</f>
        <v>76000</v>
      </c>
      <c r="F55" s="2928">
        <f>SUM(F7:F54)</f>
        <v>66979.885000000038</v>
      </c>
      <c r="G55" s="2928">
        <f>+G56</f>
        <v>79000</v>
      </c>
      <c r="H55" s="2928">
        <f>SUM(H7:H54)</f>
        <v>76206.925000000061</v>
      </c>
      <c r="I55" s="2762">
        <f>+I56</f>
        <v>155000</v>
      </c>
      <c r="J55" s="2762">
        <f>SUM(J7:J54)</f>
        <v>143186.81000000008</v>
      </c>
      <c r="K55" s="2928">
        <f>+K56</f>
        <v>76000</v>
      </c>
      <c r="L55" s="2928">
        <f>SUM(L7:L54)</f>
        <v>73679.305000000051</v>
      </c>
      <c r="M55" s="793">
        <f>+M56</f>
        <v>231000</v>
      </c>
      <c r="N55" s="793">
        <f>SUM(N7:N54)</f>
        <v>216866.11500000019</v>
      </c>
      <c r="O55" s="2928">
        <f>+O56</f>
        <v>79000</v>
      </c>
      <c r="P55" s="2928">
        <f>SUM(P7:P54)</f>
        <v>88100.640000000101</v>
      </c>
      <c r="Q55" s="1121">
        <f>+Q56</f>
        <v>310000</v>
      </c>
      <c r="R55" s="1121">
        <f>SUM(R7:R54)</f>
        <v>304966.75500000018</v>
      </c>
      <c r="S55" s="2928">
        <f>+S56</f>
        <v>79000</v>
      </c>
      <c r="T55" s="2928">
        <f>SUM(T7:T54)</f>
        <v>75904.265000000043</v>
      </c>
      <c r="U55" s="1121">
        <f>+U56</f>
        <v>389000</v>
      </c>
      <c r="V55" s="1121">
        <f>SUM(V7:V54)</f>
        <v>380871.02000000031</v>
      </c>
      <c r="W55" s="2928">
        <f>+W56</f>
        <v>47500</v>
      </c>
      <c r="X55" s="2928">
        <f>SUM(X7:X54)</f>
        <v>76417.585000000079</v>
      </c>
      <c r="Y55" s="793">
        <f>+Y56</f>
        <v>205500</v>
      </c>
      <c r="Z55" s="793">
        <f>SUM(Z7:Z54)</f>
        <v>240422.49000000025</v>
      </c>
      <c r="AA55" s="517">
        <f>+AA56</f>
        <v>436500</v>
      </c>
      <c r="AB55" s="517">
        <f>SUM(AB7:AB54)</f>
        <v>457288.60500000051</v>
      </c>
      <c r="AC55" s="2928">
        <f>+AC56</f>
        <v>78000</v>
      </c>
      <c r="AD55" s="2928">
        <f>SUM(AD7:AD54)</f>
        <v>51000.275000000081</v>
      </c>
      <c r="AE55" s="1121">
        <f>+AE56</f>
        <v>514500</v>
      </c>
      <c r="AF55" s="1121">
        <f>SUM(AF7:AF54)</f>
        <v>508288.88000000047</v>
      </c>
      <c r="AG55" s="2928">
        <f>+AG56</f>
        <v>76000</v>
      </c>
      <c r="AH55" s="2928">
        <f>SUM(AH7:AH54)</f>
        <v>69789.71500000004</v>
      </c>
      <c r="AI55" s="1121">
        <f>+AI56</f>
        <v>590500</v>
      </c>
      <c r="AJ55" s="1121">
        <f>SUM(AJ7:AJ54)</f>
        <v>578078.59500000055</v>
      </c>
      <c r="AK55" s="2928">
        <f>+AK56</f>
        <v>79000</v>
      </c>
      <c r="AL55" s="2928">
        <f>SUM(AL7:AL54)</f>
        <v>81706.015000000145</v>
      </c>
      <c r="AM55" s="793">
        <f>+AM56</f>
        <v>233000</v>
      </c>
      <c r="AN55" s="793">
        <f>SUM(AN7:AN54)</f>
        <v>202496.0050000003</v>
      </c>
      <c r="AO55" s="1121">
        <f>+AO56</f>
        <v>669500</v>
      </c>
      <c r="AP55" s="1121">
        <f>SUM(AP7:AP54)</f>
        <v>659784.61000000045</v>
      </c>
      <c r="AQ55" s="2928">
        <f>+AQ56</f>
        <v>79000</v>
      </c>
      <c r="AR55" s="2928">
        <f>SUM(AR7:AR54)</f>
        <v>85836.830000000118</v>
      </c>
      <c r="AS55" s="1121">
        <f>+AS56</f>
        <v>748500</v>
      </c>
      <c r="AT55" s="1121">
        <f>SUM(AT7:AT54)</f>
        <v>745621.44000000064</v>
      </c>
      <c r="AU55" s="2928">
        <f>+AU56</f>
        <v>71500</v>
      </c>
      <c r="AV55" s="2928">
        <f>SUM(AV7:AV54)</f>
        <v>74074.100000000093</v>
      </c>
      <c r="AW55" s="1121">
        <f>+AW56</f>
        <v>820000</v>
      </c>
      <c r="AX55" s="1121">
        <f>SUM(AX7:AX54)</f>
        <v>819695.54000000074</v>
      </c>
      <c r="AY55" s="2928">
        <f>+AY56</f>
        <v>80000</v>
      </c>
      <c r="AZ55" s="2928">
        <f>SUM(AZ7:AZ54)</f>
        <v>81308.429999999993</v>
      </c>
      <c r="BA55" s="793">
        <f>+BA56</f>
        <v>230500</v>
      </c>
      <c r="BB55" s="793">
        <f>SUM(BB7:BB54)</f>
        <v>241219.36000000028</v>
      </c>
      <c r="BC55" s="517">
        <f>+BC56</f>
        <v>463500</v>
      </c>
      <c r="BD55" s="517">
        <f>SUM(BD7:BD54)</f>
        <v>443715.36500000063</v>
      </c>
      <c r="BE55" s="251">
        <f>AW55+AY55</f>
        <v>900000</v>
      </c>
      <c r="BF55" s="251">
        <f>SUM(BF7:BF54)</f>
        <v>901003.9700000009</v>
      </c>
      <c r="BG55" s="1520"/>
      <c r="BH55" s="1520"/>
      <c r="BI55" s="26"/>
      <c r="BJ55" s="26"/>
      <c r="BK55" s="26"/>
      <c r="BL55" s="26"/>
      <c r="BM55" s="26"/>
      <c r="BN55" s="26"/>
    </row>
    <row r="56" spans="1:66" ht="16.2" thickBot="1" x14ac:dyDescent="0.35">
      <c r="A56" s="146"/>
      <c r="B56" s="898" t="s">
        <v>819</v>
      </c>
      <c r="C56" s="898"/>
      <c r="D56" s="899" t="s">
        <v>50</v>
      </c>
      <c r="E56" s="2340">
        <f>+'Maj Production Summ'!E31</f>
        <v>76000</v>
      </c>
      <c r="F56" s="2340">
        <f>SUM(F7:F42)</f>
        <v>66895.455000000031</v>
      </c>
      <c r="G56" s="2340">
        <f>+'Maj Production Summ'!G31</f>
        <v>79000</v>
      </c>
      <c r="H56" s="2340">
        <f>SUM(H7:H42)</f>
        <v>76175.635000000068</v>
      </c>
      <c r="I56" s="1171">
        <f>+'Maj Production Summ'!I31</f>
        <v>155000</v>
      </c>
      <c r="J56" s="40">
        <f>SUM(J7:J42)</f>
        <v>143071.09000000008</v>
      </c>
      <c r="K56" s="2340">
        <f>+'Maj Production Summ'!K31</f>
        <v>76000</v>
      </c>
      <c r="L56" s="2340">
        <f>SUM(L7:L42)</f>
        <v>73644.015000000058</v>
      </c>
      <c r="M56" s="793">
        <f>+'Maj Production Summ'!M31</f>
        <v>231000</v>
      </c>
      <c r="N56" s="793">
        <f>SUM(N7:N42)</f>
        <v>216715.10500000016</v>
      </c>
      <c r="O56" s="2340">
        <f>+'Maj Production Summ'!O31</f>
        <v>79000</v>
      </c>
      <c r="P56" s="2340">
        <f>SUM(P7:P42)</f>
        <v>88056.490000000107</v>
      </c>
      <c r="Q56" s="1121">
        <f>+'Maj Production Summ'!Q31</f>
        <v>310000</v>
      </c>
      <c r="R56" s="1121">
        <f>SUM(R7:R42)</f>
        <v>304771.5950000002</v>
      </c>
      <c r="S56" s="2340">
        <f>+'Maj Production Summ'!S31</f>
        <v>79000</v>
      </c>
      <c r="T56" s="2340">
        <f>SUM(T7:T42)</f>
        <v>75853.695000000036</v>
      </c>
      <c r="U56" s="1121">
        <f>+'Maj Production Summ'!U31</f>
        <v>389000</v>
      </c>
      <c r="V56" s="1121">
        <f>SUM(V7:V42)</f>
        <v>380625.29000000033</v>
      </c>
      <c r="W56" s="2340">
        <f>+'Maj Production Summ'!W31</f>
        <v>47500</v>
      </c>
      <c r="X56" s="2340">
        <f>SUM(X7:X42)</f>
        <v>76319.035000000062</v>
      </c>
      <c r="Y56" s="793">
        <f>+'Maj Production Summ'!Y31</f>
        <v>205500</v>
      </c>
      <c r="Z56" s="793">
        <f>SUM(Z7:Z42)</f>
        <v>240229.22000000023</v>
      </c>
      <c r="AA56" s="517">
        <f>+'Maj Production Summ'!AA31</f>
        <v>436500</v>
      </c>
      <c r="AB56" s="517">
        <f>SUM(AB7:AB42)</f>
        <v>456944.32500000054</v>
      </c>
      <c r="AC56" s="2340">
        <f>+'Maj Production Summ'!AC31</f>
        <v>78000</v>
      </c>
      <c r="AD56" s="2340">
        <f>SUM(AD7:AD42)</f>
        <v>50950.275000000081</v>
      </c>
      <c r="AE56" s="1121">
        <f>+'Maj Production Summ'!AE31</f>
        <v>514500</v>
      </c>
      <c r="AF56" s="1121">
        <f>SUM(AF7:AF42)</f>
        <v>507894.6000000005</v>
      </c>
      <c r="AG56" s="2340">
        <f>+'Maj Production Summ'!AG31</f>
        <v>76000</v>
      </c>
      <c r="AH56" s="2340">
        <f>SUM(AH7:AH42)</f>
        <v>69720.765000000058</v>
      </c>
      <c r="AI56" s="1121">
        <f>+'Maj Production Summ'!AI31</f>
        <v>590500</v>
      </c>
      <c r="AJ56" s="1121">
        <f>SUM(AJ7:AJ42)</f>
        <v>577615.36500000057</v>
      </c>
      <c r="AK56" s="2340">
        <f>+'Maj Production Summ'!AK31</f>
        <v>79000</v>
      </c>
      <c r="AL56" s="2340">
        <f>SUM(AL7:AL42)</f>
        <v>81616.765000000145</v>
      </c>
      <c r="AM56" s="793">
        <f>+'Maj Production Summ'!AM31</f>
        <v>233000</v>
      </c>
      <c r="AN56" s="793">
        <f>SUM(AN7:AN42)</f>
        <v>202287.80500000028</v>
      </c>
      <c r="AO56" s="1121">
        <f>+'Maj Production Summ'!AO31</f>
        <v>669500</v>
      </c>
      <c r="AP56" s="1121">
        <f>SUM(AP7:AP42)</f>
        <v>659232.13000000047</v>
      </c>
      <c r="AQ56" s="2340">
        <f>+'Maj Production Summ'!AQ31</f>
        <v>79000</v>
      </c>
      <c r="AR56" s="2340">
        <f>SUM(AR7:AR42)</f>
        <v>85804.600000000122</v>
      </c>
      <c r="AS56" s="1121">
        <f>+'Maj Production Summ'!AS31</f>
        <v>748500</v>
      </c>
      <c r="AT56" s="1121">
        <f>SUM(AT7:AT42)</f>
        <v>745036.73000000068</v>
      </c>
      <c r="AU56" s="2340">
        <f>+'Maj Production Summ'!AU31</f>
        <v>71500</v>
      </c>
      <c r="AV56" s="2340">
        <f>SUM(AV7:AV42)</f>
        <v>74058.320000000094</v>
      </c>
      <c r="AW56" s="1121">
        <f>+'Maj Production Summ'!AW31</f>
        <v>820000</v>
      </c>
      <c r="AX56" s="1121">
        <f>SUM(AX7:AX42)</f>
        <v>819095.05000000075</v>
      </c>
      <c r="AY56" s="2340">
        <f>+'Maj Production Summ'!AY31</f>
        <v>80000</v>
      </c>
      <c r="AZ56" s="2340">
        <f>SUM(AZ7:AZ42)</f>
        <v>81200</v>
      </c>
      <c r="BA56" s="793">
        <f>+'Maj Production Summ'!BA31</f>
        <v>230500</v>
      </c>
      <c r="BB56" s="793">
        <f>SUM(BB7:BB42)</f>
        <v>241062.92000000025</v>
      </c>
      <c r="BC56" s="517">
        <f>+'Maj Production Summ'!BC31</f>
        <v>463500</v>
      </c>
      <c r="BD56" s="517">
        <f>SUM(BD7:BD42)</f>
        <v>443350.72500000056</v>
      </c>
      <c r="BE56" s="251">
        <f>AW56+AY56</f>
        <v>900000</v>
      </c>
      <c r="BF56" s="251">
        <f>SUM(BF7:BF42)</f>
        <v>900295.05000000086</v>
      </c>
      <c r="BG56" s="1520"/>
      <c r="BH56" s="26"/>
      <c r="BI56" s="26"/>
      <c r="BJ56" s="26"/>
      <c r="BK56" s="26"/>
      <c r="BL56" s="26"/>
      <c r="BM56" s="26"/>
      <c r="BN56" s="26"/>
    </row>
    <row r="57" spans="1:66" ht="16.2" thickBot="1" x14ac:dyDescent="0.35">
      <c r="A57" s="146"/>
      <c r="B57" s="2925" t="s">
        <v>818</v>
      </c>
      <c r="C57" s="2929"/>
      <c r="D57" s="2930" t="s">
        <v>50</v>
      </c>
      <c r="E57" s="2931"/>
      <c r="F57" s="2932">
        <f>+SUM(F44:F54)</f>
        <v>84.429999999999993</v>
      </c>
      <c r="G57" s="2931"/>
      <c r="H57" s="2932">
        <f>+SUM(H44:H54)</f>
        <v>31.29</v>
      </c>
      <c r="I57" s="2763"/>
      <c r="J57" s="2933">
        <f>+SUM(J44:J54)</f>
        <v>115.72</v>
      </c>
      <c r="K57" s="2931"/>
      <c r="L57" s="2932">
        <f>+SUM(L44:L54)</f>
        <v>35.289999999999992</v>
      </c>
      <c r="M57" s="793"/>
      <c r="N57" s="808">
        <f>+SUM(N44:N54)</f>
        <v>151.01</v>
      </c>
      <c r="O57" s="2931"/>
      <c r="P57" s="2932">
        <f>+SUM(P44:P54)</f>
        <v>44.150000000000006</v>
      </c>
      <c r="Q57" s="1121"/>
      <c r="R57" s="806">
        <f>+SUM(R44:R54)</f>
        <v>195.16000000000003</v>
      </c>
      <c r="S57" s="2931"/>
      <c r="T57" s="2932">
        <f>+SUM(T44:T54)</f>
        <v>50.57</v>
      </c>
      <c r="U57" s="1121"/>
      <c r="V57" s="806">
        <f>+SUM(V44:V54)</f>
        <v>245.73000000000005</v>
      </c>
      <c r="W57" s="2931"/>
      <c r="X57" s="2932">
        <f>+SUM(X44:X54)</f>
        <v>98.55</v>
      </c>
      <c r="Y57" s="793"/>
      <c r="Z57" s="808">
        <f>+SUM(Z44:Z54)</f>
        <v>193.26999999999998</v>
      </c>
      <c r="AA57" s="517"/>
      <c r="AB57" s="809">
        <f>+SUM(AB44:AB54)</f>
        <v>344.28</v>
      </c>
      <c r="AC57" s="2931"/>
      <c r="AD57" s="2932">
        <f>+SUM(AD44:AD54)</f>
        <v>50</v>
      </c>
      <c r="AE57" s="1121"/>
      <c r="AF57" s="806">
        <f>+SUM(AF44:AF54)</f>
        <v>394.28</v>
      </c>
      <c r="AG57" s="2931"/>
      <c r="AH57" s="2932">
        <f>+SUM(AH44:AH54)</f>
        <v>68.95</v>
      </c>
      <c r="AI57" s="1121"/>
      <c r="AJ57" s="806">
        <f>+SUM(AJ44:AJ54)</f>
        <v>463.23</v>
      </c>
      <c r="AK57" s="2931"/>
      <c r="AL57" s="2932">
        <f>+SUM(AL44:AL54)</f>
        <v>89.25</v>
      </c>
      <c r="AM57" s="793"/>
      <c r="AN57" s="808">
        <f>+SUM(AN44:AN54)</f>
        <v>208.2</v>
      </c>
      <c r="AO57" s="1121"/>
      <c r="AP57" s="806">
        <f>+SUM(AP44:AP54)</f>
        <v>552.48</v>
      </c>
      <c r="AQ57" s="2931"/>
      <c r="AR57" s="2932">
        <f>+SUM(AR44:AR54)</f>
        <v>32.229999999999997</v>
      </c>
      <c r="AS57" s="1121"/>
      <c r="AT57" s="806">
        <f>+SUM(AT44:AT54)</f>
        <v>584.71</v>
      </c>
      <c r="AU57" s="2931"/>
      <c r="AV57" s="2932">
        <f>+SUM(AV44:AV54)</f>
        <v>15.78</v>
      </c>
      <c r="AW57" s="1121"/>
      <c r="AX57" s="806">
        <f>+SUM(AX44:AX54)</f>
        <v>600.49</v>
      </c>
      <c r="AY57" s="2931"/>
      <c r="AZ57" s="2932">
        <f>+SUM(AZ44:AZ54)</f>
        <v>108.43</v>
      </c>
      <c r="BA57" s="793"/>
      <c r="BB57" s="808">
        <f>+SUM(BB44:BB54)</f>
        <v>156.44</v>
      </c>
      <c r="BC57" s="517"/>
      <c r="BD57" s="809">
        <f>+SUM(BD44:BD54)</f>
        <v>364.63999999999993</v>
      </c>
      <c r="BE57" s="251"/>
      <c r="BF57" s="807">
        <f>+SUM(BF44:BF54)</f>
        <v>708.91999999999985</v>
      </c>
      <c r="BG57" s="1520"/>
      <c r="BH57" s="26"/>
      <c r="BI57" s="26"/>
      <c r="BJ57" s="26"/>
      <c r="BK57" s="26"/>
      <c r="BL57" s="26"/>
      <c r="BM57" s="26"/>
      <c r="BN57" s="26"/>
    </row>
    <row r="58" spans="1:66" ht="16.2" thickBot="1" x14ac:dyDescent="0.35">
      <c r="A58" s="146"/>
      <c r="B58" s="4760" t="s">
        <v>315</v>
      </c>
      <c r="C58" s="2578"/>
      <c r="D58" s="4761" t="s">
        <v>49</v>
      </c>
      <c r="E58" s="4762">
        <f>+E56/E5*100</f>
        <v>96.5</v>
      </c>
      <c r="F58" s="4762">
        <f>+F56/F5*100</f>
        <v>96.340554248429044</v>
      </c>
      <c r="G58" s="4762">
        <f t="shared" ref="G58:H58" si="32">+G56/G5*100</f>
        <v>96.499999999999986</v>
      </c>
      <c r="H58" s="4762">
        <f t="shared" si="32"/>
        <v>96.517503903684087</v>
      </c>
      <c r="I58" s="2923">
        <f t="shared" ref="I58:N58" si="33">+I56/I5*100</f>
        <v>96.5</v>
      </c>
      <c r="J58" s="2924">
        <f t="shared" si="33"/>
        <v>96.434687077655013</v>
      </c>
      <c r="K58" s="4762">
        <f t="shared" si="33"/>
        <v>96.5</v>
      </c>
      <c r="L58" s="4762">
        <f t="shared" si="33"/>
        <v>96.419419676816304</v>
      </c>
      <c r="M58" s="808">
        <f t="shared" si="33"/>
        <v>96.5</v>
      </c>
      <c r="N58" s="808">
        <f t="shared" si="33"/>
        <v>96.429498375073877</v>
      </c>
      <c r="O58" s="4762">
        <f t="shared" ref="O58:P58" si="34">+O56/O5*100</f>
        <v>96.499999999999986</v>
      </c>
      <c r="P58" s="4762">
        <f t="shared" si="34"/>
        <v>96.454667703108399</v>
      </c>
      <c r="Q58" s="806">
        <f t="shared" ref="Q58:V58" si="35">+Q56/Q5*100</f>
        <v>96.5</v>
      </c>
      <c r="R58" s="806">
        <f t="shared" si="35"/>
        <v>96.436769103209457</v>
      </c>
      <c r="S58" s="4762">
        <f t="shared" si="35"/>
        <v>96.499999999999986</v>
      </c>
      <c r="T58" s="4762">
        <f t="shared" si="35"/>
        <v>96.329019569725332</v>
      </c>
      <c r="U58" s="806">
        <f t="shared" si="35"/>
        <v>96.500000000000014</v>
      </c>
      <c r="V58" s="806">
        <f t="shared" si="35"/>
        <v>96.415276787524633</v>
      </c>
      <c r="W58" s="4762">
        <f t="shared" ref="W58:X58" si="36">+W56/W5*100</f>
        <v>96.5</v>
      </c>
      <c r="X58" s="4762">
        <f t="shared" si="36"/>
        <v>96.394637106483472</v>
      </c>
      <c r="Y58" s="808">
        <f t="shared" ref="Y58:AL58" si="37">+Y56/Y5*100</f>
        <v>96.5</v>
      </c>
      <c r="Z58" s="2363">
        <f t="shared" si="37"/>
        <v>96.395894549603327</v>
      </c>
      <c r="AA58" s="809">
        <f t="shared" si="37"/>
        <v>96.5</v>
      </c>
      <c r="AB58" s="809">
        <f t="shared" si="37"/>
        <v>96.411828924430893</v>
      </c>
      <c r="AC58" s="4762">
        <f t="shared" si="37"/>
        <v>96.5</v>
      </c>
      <c r="AD58" s="4762">
        <f t="shared" si="37"/>
        <v>96.409969459870908</v>
      </c>
      <c r="AE58" s="806">
        <f t="shared" si="37"/>
        <v>96.500000000000014</v>
      </c>
      <c r="AF58" s="806">
        <f t="shared" si="37"/>
        <v>96.411642385974588</v>
      </c>
      <c r="AG58" s="5174">
        <f t="shared" ref="AG58:AH58" si="38">+AG56/AG5*100</f>
        <v>96.5</v>
      </c>
      <c r="AH58" s="5174">
        <f t="shared" si="38"/>
        <v>96.083717767346542</v>
      </c>
      <c r="AI58" s="806">
        <f t="shared" si="37"/>
        <v>96.500000000000014</v>
      </c>
      <c r="AJ58" s="806">
        <f t="shared" si="37"/>
        <v>96.371941679161182</v>
      </c>
      <c r="AK58" s="5174">
        <f t="shared" si="37"/>
        <v>96.499999999999986</v>
      </c>
      <c r="AL58" s="5174">
        <f t="shared" si="37"/>
        <v>95.865818289064322</v>
      </c>
      <c r="AM58" s="808">
        <f t="shared" ref="AM58:BF58" si="39">+AM56/AM5*100</f>
        <v>96.5</v>
      </c>
      <c r="AN58" s="2363">
        <f t="shared" si="39"/>
        <v>96.077497770373839</v>
      </c>
      <c r="AO58" s="806">
        <f t="shared" si="39"/>
        <v>96.5</v>
      </c>
      <c r="AP58" s="806">
        <f t="shared" si="39"/>
        <v>96.308990992984391</v>
      </c>
      <c r="AQ58" s="5174">
        <f t="shared" si="39"/>
        <v>96.499999999999986</v>
      </c>
      <c r="AR58" s="5174">
        <f t="shared" si="39"/>
        <v>95.990775355915758</v>
      </c>
      <c r="AS58" s="806">
        <f t="shared" si="39"/>
        <v>96.499999999999986</v>
      </c>
      <c r="AT58" s="806">
        <f t="shared" si="39"/>
        <v>96.272235186215454</v>
      </c>
      <c r="AU58" s="5174">
        <f t="shared" ref="AU58:AV58" si="40">+AU56/AU5*100</f>
        <v>96.5</v>
      </c>
      <c r="AV58" s="5174">
        <f t="shared" si="40"/>
        <v>95.9606442036267</v>
      </c>
      <c r="AW58" s="806">
        <f t="shared" si="39"/>
        <v>96.5</v>
      </c>
      <c r="AX58" s="806">
        <f t="shared" si="39"/>
        <v>96.24397956547142</v>
      </c>
      <c r="AY58" s="5174">
        <f t="shared" si="39"/>
        <v>96.5</v>
      </c>
      <c r="AZ58" s="5174">
        <f t="shared" si="39"/>
        <v>93.352457710962938</v>
      </c>
      <c r="BA58" s="808">
        <f t="shared" si="39"/>
        <v>96.5</v>
      </c>
      <c r="BB58" s="2363">
        <f t="shared" si="39"/>
        <v>95.076496488136257</v>
      </c>
      <c r="BC58" s="809">
        <f t="shared" si="39"/>
        <v>96.5</v>
      </c>
      <c r="BD58" s="809">
        <f t="shared" si="39"/>
        <v>95.530624031950111</v>
      </c>
      <c r="BE58" s="807">
        <f t="shared" si="39"/>
        <v>96.499999999999986</v>
      </c>
      <c r="BF58" s="807">
        <f t="shared" si="39"/>
        <v>95.97585667837896</v>
      </c>
      <c r="BG58" s="1520"/>
      <c r="BH58" s="26"/>
      <c r="BI58" s="26"/>
      <c r="BJ58" s="26"/>
      <c r="BK58" s="26"/>
      <c r="BL58" s="26"/>
      <c r="BM58" s="26"/>
      <c r="BN58" s="26"/>
    </row>
    <row r="59" spans="1:66" x14ac:dyDescent="0.3">
      <c r="A59" s="146"/>
      <c r="B59" s="882" t="s">
        <v>812</v>
      </c>
      <c r="C59" s="3248"/>
      <c r="D59" s="4730" t="s">
        <v>50</v>
      </c>
      <c r="E59" s="2222"/>
      <c r="F59" s="4767">
        <f>+SUM(F7:F42)</f>
        <v>66895.455000000031</v>
      </c>
      <c r="G59" s="2222"/>
      <c r="H59" s="4767">
        <f>+SUM(H7:H42)</f>
        <v>76175.635000000068</v>
      </c>
      <c r="I59" s="2922"/>
      <c r="J59" s="2922">
        <f>+SUM(J7:J42)</f>
        <v>143071.09000000008</v>
      </c>
      <c r="K59" s="2222"/>
      <c r="L59" s="4767">
        <f>+SUM(L7:L42)</f>
        <v>73644.015000000058</v>
      </c>
      <c r="M59" s="373"/>
      <c r="N59" s="373">
        <f>+SUM(N7:N42)</f>
        <v>216715.10500000016</v>
      </c>
      <c r="O59" s="2222"/>
      <c r="P59" s="4767">
        <f>+SUM(P7:P42)</f>
        <v>88056.490000000107</v>
      </c>
      <c r="Q59" s="452"/>
      <c r="R59" s="452">
        <f>+SUM(R7:R42)</f>
        <v>304771.5950000002</v>
      </c>
      <c r="S59" s="2222"/>
      <c r="T59" s="4767">
        <f>+SUM(T7:T42)</f>
        <v>75853.695000000036</v>
      </c>
      <c r="U59" s="452"/>
      <c r="V59" s="452">
        <f>+SUM(V7:V42)</f>
        <v>380625.29000000033</v>
      </c>
      <c r="W59" s="2222"/>
      <c r="X59" s="4767">
        <f>+SUM(X7:X42)</f>
        <v>76319.035000000062</v>
      </c>
      <c r="Y59" s="373"/>
      <c r="Z59" s="373">
        <f>+SUM(Z7:Z42)</f>
        <v>240229.22000000023</v>
      </c>
      <c r="AA59" s="539"/>
      <c r="AB59" s="539">
        <f>+SUM(AB7:AB42)</f>
        <v>456944.32500000054</v>
      </c>
      <c r="AC59" s="2222"/>
      <c r="AD59" s="4767">
        <f>+SUM(AD7:AD42)</f>
        <v>50950.275000000081</v>
      </c>
      <c r="AE59" s="452"/>
      <c r="AF59" s="452">
        <f>+SUM(AF7:AF42)</f>
        <v>507894.6000000005</v>
      </c>
      <c r="AG59" s="2222"/>
      <c r="AH59" s="4767">
        <f>+SUM(AH7:AH42)</f>
        <v>69720.765000000058</v>
      </c>
      <c r="AI59" s="452"/>
      <c r="AJ59" s="452">
        <f>+SUM(AJ7:AJ42)</f>
        <v>577615.36500000057</v>
      </c>
      <c r="AK59" s="2222"/>
      <c r="AL59" s="4767">
        <f>+SUM(AL7:AL42)</f>
        <v>81616.765000000145</v>
      </c>
      <c r="AM59" s="373"/>
      <c r="AN59" s="373">
        <f>+SUM(AN7:AN42)</f>
        <v>202287.80500000028</v>
      </c>
      <c r="AO59" s="452"/>
      <c r="AP59" s="452">
        <f>+SUM(AP7:AP42)</f>
        <v>659232.13000000047</v>
      </c>
      <c r="AQ59" s="2222"/>
      <c r="AR59" s="4767">
        <f>+SUM(AR7:AR42)</f>
        <v>85804.600000000122</v>
      </c>
      <c r="AS59" s="452"/>
      <c r="AT59" s="452">
        <f>+SUM(AT7:AT42)</f>
        <v>745036.73000000068</v>
      </c>
      <c r="AU59" s="2222"/>
      <c r="AV59" s="4767">
        <f>+SUM(AV7:AV42)</f>
        <v>74058.320000000094</v>
      </c>
      <c r="AW59" s="452"/>
      <c r="AX59" s="452">
        <f>+SUM(AX7:AX42)</f>
        <v>819095.05000000075</v>
      </c>
      <c r="AY59" s="2222"/>
      <c r="AZ59" s="4767">
        <f>+SUM(AZ7:AZ42)</f>
        <v>81200</v>
      </c>
      <c r="BA59" s="373"/>
      <c r="BB59" s="373">
        <f>+SUM(BB7:BB42)</f>
        <v>241062.92000000025</v>
      </c>
      <c r="BC59" s="539"/>
      <c r="BD59" s="539">
        <f>+SUM(BD7:BD42)</f>
        <v>443350.72500000056</v>
      </c>
      <c r="BE59" s="371"/>
      <c r="BF59" s="371">
        <f>+SUM(BF7:BF42)</f>
        <v>900295.05000000086</v>
      </c>
      <c r="BG59" s="1520"/>
      <c r="BH59" s="1520"/>
      <c r="BI59" s="26"/>
      <c r="BJ59" s="26"/>
      <c r="BK59" s="26"/>
      <c r="BL59" s="26"/>
      <c r="BM59" s="26"/>
      <c r="BN59" s="26"/>
    </row>
    <row r="60" spans="1:66" x14ac:dyDescent="0.3">
      <c r="A60" s="146"/>
      <c r="B60" s="4768" t="s">
        <v>811</v>
      </c>
      <c r="C60" s="4764"/>
      <c r="D60" s="4765" t="s">
        <v>49</v>
      </c>
      <c r="E60" s="4766"/>
      <c r="F60" s="4769">
        <f>+F59/F56</f>
        <v>1</v>
      </c>
      <c r="G60" s="4766"/>
      <c r="H60" s="4769">
        <f>+H59/H56</f>
        <v>1</v>
      </c>
      <c r="I60" s="1523"/>
      <c r="J60" s="1523">
        <f>+J59/J56</f>
        <v>1</v>
      </c>
      <c r="K60" s="4766"/>
      <c r="L60" s="4769">
        <f>+L59/L56</f>
        <v>1</v>
      </c>
      <c r="M60" s="1475"/>
      <c r="N60" s="1475">
        <f>+N59/N56</f>
        <v>1</v>
      </c>
      <c r="O60" s="4766"/>
      <c r="P60" s="4769">
        <f>+P59/P56</f>
        <v>1</v>
      </c>
      <c r="Q60" s="618"/>
      <c r="R60" s="618">
        <f>+R59/R56</f>
        <v>1</v>
      </c>
      <c r="S60" s="4766"/>
      <c r="T60" s="4769">
        <f>+T59/T56</f>
        <v>1</v>
      </c>
      <c r="U60" s="618"/>
      <c r="V60" s="618">
        <f>+V59/V56</f>
        <v>1</v>
      </c>
      <c r="W60" s="4766"/>
      <c r="X60" s="4769">
        <f>+X59/X56</f>
        <v>1</v>
      </c>
      <c r="Y60" s="1475"/>
      <c r="Z60" s="1475">
        <f>+Z59/Z56</f>
        <v>1</v>
      </c>
      <c r="AA60" s="1592"/>
      <c r="AB60" s="1592">
        <f>+AB59/AB56</f>
        <v>1</v>
      </c>
      <c r="AC60" s="4766"/>
      <c r="AD60" s="4769">
        <f>+AD59/AD56</f>
        <v>1</v>
      </c>
      <c r="AE60" s="618"/>
      <c r="AF60" s="618">
        <f>+AF59/AF56</f>
        <v>1</v>
      </c>
      <c r="AG60" s="4766"/>
      <c r="AH60" s="4769">
        <f>+AH59/AH56</f>
        <v>1</v>
      </c>
      <c r="AI60" s="618"/>
      <c r="AJ60" s="618">
        <f>+AJ59/AJ56</f>
        <v>1</v>
      </c>
      <c r="AK60" s="4766"/>
      <c r="AL60" s="4769">
        <f>+AL59/AL56</f>
        <v>1</v>
      </c>
      <c r="AM60" s="1475"/>
      <c r="AN60" s="1475">
        <f>+AN59/AN56</f>
        <v>1</v>
      </c>
      <c r="AO60" s="618"/>
      <c r="AP60" s="618">
        <f>+AP59/AP56</f>
        <v>1</v>
      </c>
      <c r="AQ60" s="4766"/>
      <c r="AR60" s="4769">
        <f>+AR59/AR56</f>
        <v>1</v>
      </c>
      <c r="AS60" s="618"/>
      <c r="AT60" s="618">
        <f>+AT59/AT56</f>
        <v>1</v>
      </c>
      <c r="AU60" s="4766"/>
      <c r="AV60" s="4769">
        <f>+AV59/AV56</f>
        <v>1</v>
      </c>
      <c r="AW60" s="618"/>
      <c r="AX60" s="618">
        <f>+AX59/AX56</f>
        <v>1</v>
      </c>
      <c r="AY60" s="4766"/>
      <c r="AZ60" s="4769">
        <f>+AZ59/AZ56</f>
        <v>1</v>
      </c>
      <c r="BA60" s="1475"/>
      <c r="BB60" s="1475">
        <f>+BB59/BB56</f>
        <v>1</v>
      </c>
      <c r="BC60" s="1592"/>
      <c r="BD60" s="1592">
        <f>+BD59/BD56</f>
        <v>1</v>
      </c>
      <c r="BE60" s="1523"/>
      <c r="BF60" s="1523">
        <f>+BF59/BF56</f>
        <v>1</v>
      </c>
      <c r="BG60" s="1520"/>
      <c r="BH60" s="1520"/>
      <c r="BI60" s="26"/>
      <c r="BJ60" s="26"/>
      <c r="BK60" s="26"/>
      <c r="BL60" s="26"/>
      <c r="BM60" s="26"/>
      <c r="BN60" s="26"/>
    </row>
    <row r="61" spans="1:66" ht="15" thickBot="1" x14ac:dyDescent="0.35">
      <c r="A61" s="146"/>
      <c r="B61" s="4768" t="s">
        <v>1450</v>
      </c>
      <c r="C61" s="4764"/>
      <c r="D61" s="4765" t="s">
        <v>49</v>
      </c>
      <c r="E61" s="4766"/>
      <c r="F61" s="4769">
        <f>F62/F64</f>
        <v>0.44306562699111018</v>
      </c>
      <c r="G61" s="4766"/>
      <c r="H61" s="4769">
        <f>H62/H64</f>
        <v>0.43944534986240613</v>
      </c>
      <c r="I61" s="1668"/>
      <c r="J61" s="1667">
        <f>J62/J64</f>
        <v>0.44114053531852021</v>
      </c>
      <c r="K61" s="4766"/>
      <c r="L61" s="4769">
        <f>L62/L64</f>
        <v>0.47821287634186055</v>
      </c>
      <c r="M61" s="1669"/>
      <c r="N61" s="1669">
        <f>N62/N64</f>
        <v>0.45373974208675266</v>
      </c>
      <c r="O61" s="4766"/>
      <c r="P61" s="4769">
        <f>P62/P64</f>
        <v>0.4398272198096646</v>
      </c>
      <c r="Q61" s="1667"/>
      <c r="R61" s="1667">
        <f>R62/R64</f>
        <v>0.44972217960604866</v>
      </c>
      <c r="S61" s="4766"/>
      <c r="T61" s="4769">
        <f>T62/T64</f>
        <v>0.38700353281233274</v>
      </c>
      <c r="U61" s="1667"/>
      <c r="V61" s="1667">
        <f>V62/V64</f>
        <v>0.43720932716079047</v>
      </c>
      <c r="W61" s="4766"/>
      <c r="X61" s="4769">
        <f>X62/X64</f>
        <v>0.40465091499960043</v>
      </c>
      <c r="Y61" s="1669"/>
      <c r="Z61" s="1669">
        <f>Z62/Z64</f>
        <v>0.41195631022783996</v>
      </c>
      <c r="AA61" s="1670"/>
      <c r="AB61" s="1671">
        <f>AB62/AB64</f>
        <v>0.43177269128466078</v>
      </c>
      <c r="AC61" s="4766"/>
      <c r="AD61" s="4769">
        <f>AD62/AD64</f>
        <v>0.3967671123528238</v>
      </c>
      <c r="AE61" s="1667"/>
      <c r="AF61" s="2003">
        <f>AF62/AF64</f>
        <v>0.42826270525098348</v>
      </c>
      <c r="AG61" s="4766"/>
      <c r="AH61" s="4769">
        <f>AH62/AH64</f>
        <v>0.42534160766832735</v>
      </c>
      <c r="AI61" s="1667"/>
      <c r="AJ61" s="2003">
        <f>AJ62/AJ64</f>
        <v>0.42790992258972554</v>
      </c>
      <c r="AK61" s="4766"/>
      <c r="AL61" s="4769">
        <f>AL62/AL64</f>
        <v>0.41278069934950029</v>
      </c>
      <c r="AM61" s="1669"/>
      <c r="AN61" s="1669">
        <f>AN62/AN64</f>
        <v>0.41308127556506968</v>
      </c>
      <c r="AO61" s="1667"/>
      <c r="AP61" s="2003">
        <f>AP62/AP64</f>
        <v>0.42603823965614529</v>
      </c>
      <c r="AQ61" s="4766"/>
      <c r="AR61" s="4769">
        <f>AR62/AR64</f>
        <v>0.50575831690926787</v>
      </c>
      <c r="AS61" s="1667"/>
      <c r="AT61" s="1667">
        <f>AT62/AT64</f>
        <v>0.43520014409064611</v>
      </c>
      <c r="AU61" s="4766"/>
      <c r="AV61" s="4769">
        <f>AV62/AV64</f>
        <v>0.54064906490649067</v>
      </c>
      <c r="AW61" s="1667"/>
      <c r="AX61" s="1667">
        <f>AX62/AX64</f>
        <v>0.44471891478564834</v>
      </c>
      <c r="AY61" s="4766"/>
      <c r="AZ61" s="4769">
        <f>AZ62/AZ64</f>
        <v>0.48753415300546449</v>
      </c>
      <c r="BA61" s="1475"/>
      <c r="BB61" s="1475">
        <f>BB62/BB64</f>
        <v>0.5101243041895116</v>
      </c>
      <c r="BC61" s="1592"/>
      <c r="BD61" s="1592">
        <f>BD62/BD64</f>
        <v>0.46602668907501621</v>
      </c>
      <c r="BE61" s="1523"/>
      <c r="BF61" s="1523">
        <f>BF62/BF64</f>
        <v>0.44867369104166854</v>
      </c>
      <c r="BG61" s="1520"/>
      <c r="BH61" s="1520"/>
      <c r="BI61" s="26"/>
      <c r="BJ61" s="26"/>
      <c r="BK61" s="26"/>
      <c r="BL61" s="26"/>
      <c r="BM61" s="26"/>
      <c r="BN61" s="26"/>
    </row>
    <row r="62" spans="1:66" ht="15.6" hidden="1" x14ac:dyDescent="0.3">
      <c r="A62" s="146"/>
      <c r="B62" s="4768" t="s">
        <v>1867</v>
      </c>
      <c r="C62" s="4764"/>
      <c r="D62" s="4765" t="s">
        <v>2326</v>
      </c>
      <c r="E62" s="4766"/>
      <c r="F62" s="4770">
        <v>14603</v>
      </c>
      <c r="G62" s="4766"/>
      <c r="H62" s="4770">
        <v>16448</v>
      </c>
      <c r="I62" s="1668"/>
      <c r="J62" s="775">
        <f t="shared" ref="J62:J64" si="41">+F62+H62</f>
        <v>31051</v>
      </c>
      <c r="K62" s="4766"/>
      <c r="L62" s="4770">
        <v>17329</v>
      </c>
      <c r="M62" s="1669"/>
      <c r="N62" s="774">
        <f t="shared" ref="N62:N64" si="42">+F62+H62+L62</f>
        <v>48380</v>
      </c>
      <c r="O62" s="4766"/>
      <c r="P62" s="4770">
        <v>19041</v>
      </c>
      <c r="Q62" s="1667"/>
      <c r="R62" s="775">
        <f t="shared" ref="R62:R64" si="43">+N62+P62</f>
        <v>67421</v>
      </c>
      <c r="S62" s="4766"/>
      <c r="T62" s="4770">
        <v>14460</v>
      </c>
      <c r="U62" s="1667"/>
      <c r="V62" s="775">
        <f t="shared" ref="V62:V64" si="44">+R62+T62</f>
        <v>81881</v>
      </c>
      <c r="W62" s="4766"/>
      <c r="X62" s="4770">
        <v>15191</v>
      </c>
      <c r="Y62" s="1669"/>
      <c r="Z62" s="774">
        <f t="shared" ref="Z62:Z64" si="45">+P62+T62+X62</f>
        <v>48692</v>
      </c>
      <c r="AA62" s="1670"/>
      <c r="AB62" s="657">
        <f t="shared" ref="AB62:AB64" si="46">+N62+Z62</f>
        <v>97072</v>
      </c>
      <c r="AC62" s="4766"/>
      <c r="AD62" s="4770">
        <v>9941</v>
      </c>
      <c r="AE62" s="1667"/>
      <c r="AF62" s="775">
        <f t="shared" ref="AF62:AF64" si="47">+AB62+AD62</f>
        <v>107013</v>
      </c>
      <c r="AG62" s="4766"/>
      <c r="AH62" s="4770">
        <v>14599</v>
      </c>
      <c r="AI62" s="1667"/>
      <c r="AJ62" s="775">
        <f t="shared" ref="AJ62:AJ64" si="48">+AF62+AH62</f>
        <v>121612</v>
      </c>
      <c r="AK62" s="4766"/>
      <c r="AL62" s="4770">
        <v>16562</v>
      </c>
      <c r="AM62" s="1669"/>
      <c r="AN62" s="774">
        <f t="shared" ref="AN62:AN64" si="49">+AD62+AH62+AL62</f>
        <v>41102</v>
      </c>
      <c r="AO62" s="1667"/>
      <c r="AP62" s="775">
        <f t="shared" ref="AP62:AP64" si="50">AJ62+AL62</f>
        <v>138174</v>
      </c>
      <c r="AQ62" s="4766"/>
      <c r="AR62" s="4770">
        <v>21299</v>
      </c>
      <c r="AS62" s="1667"/>
      <c r="AT62" s="775">
        <f t="shared" ref="AT62:AT64" si="51">+AP62+AR62</f>
        <v>159473</v>
      </c>
      <c r="AU62" s="4766"/>
      <c r="AV62" s="4770">
        <v>19658</v>
      </c>
      <c r="AW62" s="1667"/>
      <c r="AX62" s="775">
        <f t="shared" ref="AX62:AX64" si="52">+AT62+AV62</f>
        <v>179131</v>
      </c>
      <c r="AY62" s="4766"/>
      <c r="AZ62" s="4536">
        <v>19985</v>
      </c>
      <c r="BA62" s="1669"/>
      <c r="BB62" s="774">
        <f t="shared" ref="BB62:BB64" si="53">+AR62+AV62+AZ62</f>
        <v>60942</v>
      </c>
      <c r="BC62" s="1670"/>
      <c r="BD62" s="657">
        <f t="shared" ref="BD62:BD64" si="54">+AN62+BB62</f>
        <v>102044</v>
      </c>
      <c r="BE62" s="1668"/>
      <c r="BF62" s="775">
        <f t="shared" ref="BF62:BF64" si="55">+AX62+AZ62</f>
        <v>199116</v>
      </c>
      <c r="BG62" s="1520"/>
      <c r="BH62" s="1520"/>
      <c r="BI62" s="26"/>
      <c r="BJ62" s="26"/>
      <c r="BK62" s="26"/>
      <c r="BL62" s="26"/>
      <c r="BM62" s="26"/>
      <c r="BN62" s="26"/>
    </row>
    <row r="63" spans="1:66" ht="15.6" hidden="1" x14ac:dyDescent="0.3">
      <c r="A63" s="146"/>
      <c r="B63" s="4768" t="s">
        <v>1868</v>
      </c>
      <c r="C63" s="4764"/>
      <c r="D63" s="4765" t="s">
        <v>2326</v>
      </c>
      <c r="E63" s="4766"/>
      <c r="F63" s="4770">
        <v>18356</v>
      </c>
      <c r="G63" s="4766"/>
      <c r="H63" s="4770">
        <v>20981</v>
      </c>
      <c r="I63" s="1668"/>
      <c r="J63" s="775">
        <f t="shared" si="41"/>
        <v>39337</v>
      </c>
      <c r="K63" s="4766"/>
      <c r="L63" s="4770">
        <v>18908</v>
      </c>
      <c r="M63" s="1669"/>
      <c r="N63" s="774">
        <f t="shared" si="42"/>
        <v>58245</v>
      </c>
      <c r="O63" s="4766"/>
      <c r="P63" s="4770">
        <v>24251</v>
      </c>
      <c r="Q63" s="1667"/>
      <c r="R63" s="775">
        <f t="shared" si="43"/>
        <v>82496</v>
      </c>
      <c r="S63" s="4766"/>
      <c r="T63" s="4770">
        <v>22904</v>
      </c>
      <c r="U63" s="1667"/>
      <c r="V63" s="775">
        <f t="shared" si="44"/>
        <v>105400</v>
      </c>
      <c r="W63" s="4766"/>
      <c r="X63" s="4770">
        <v>22350</v>
      </c>
      <c r="Y63" s="1669"/>
      <c r="Z63" s="774">
        <f t="shared" si="45"/>
        <v>69505</v>
      </c>
      <c r="AA63" s="1670"/>
      <c r="AB63" s="657">
        <f t="shared" si="46"/>
        <v>127750</v>
      </c>
      <c r="AC63" s="4766"/>
      <c r="AD63" s="4770">
        <v>15114</v>
      </c>
      <c r="AE63" s="1667"/>
      <c r="AF63" s="775">
        <f t="shared" si="47"/>
        <v>142864</v>
      </c>
      <c r="AG63" s="4766"/>
      <c r="AH63" s="4770">
        <v>19724</v>
      </c>
      <c r="AI63" s="1667"/>
      <c r="AJ63" s="775">
        <f t="shared" si="48"/>
        <v>162588</v>
      </c>
      <c r="AK63" s="4766"/>
      <c r="AL63" s="4770">
        <v>23561</v>
      </c>
      <c r="AM63" s="1669"/>
      <c r="AN63" s="774">
        <f t="shared" si="49"/>
        <v>58399</v>
      </c>
      <c r="AO63" s="1667"/>
      <c r="AP63" s="775">
        <f t="shared" si="50"/>
        <v>186149</v>
      </c>
      <c r="AQ63" s="4766"/>
      <c r="AR63" s="4770">
        <v>20814</v>
      </c>
      <c r="AS63" s="1667"/>
      <c r="AT63" s="775">
        <f t="shared" si="51"/>
        <v>206963</v>
      </c>
      <c r="AU63" s="4766"/>
      <c r="AV63" s="4770">
        <v>16702</v>
      </c>
      <c r="AW63" s="1667"/>
      <c r="AX63" s="775">
        <f t="shared" si="52"/>
        <v>223665</v>
      </c>
      <c r="AY63" s="4766"/>
      <c r="AZ63" s="4536">
        <v>21007</v>
      </c>
      <c r="BA63" s="1669"/>
      <c r="BB63" s="774">
        <f t="shared" si="53"/>
        <v>58523</v>
      </c>
      <c r="BC63" s="1670"/>
      <c r="BD63" s="657">
        <f t="shared" si="54"/>
        <v>116922</v>
      </c>
      <c r="BE63" s="1668"/>
      <c r="BF63" s="775">
        <f t="shared" si="55"/>
        <v>244672</v>
      </c>
      <c r="BG63" s="1520"/>
      <c r="BH63" s="1520"/>
      <c r="BI63" s="26"/>
      <c r="BJ63" s="26"/>
      <c r="BK63" s="26"/>
      <c r="BL63" s="26"/>
      <c r="BM63" s="26"/>
      <c r="BN63" s="26"/>
    </row>
    <row r="64" spans="1:66" ht="16.2" hidden="1" thickBot="1" x14ac:dyDescent="0.35">
      <c r="A64" s="146"/>
      <c r="B64" s="4771" t="s">
        <v>1869</v>
      </c>
      <c r="C64" s="4772"/>
      <c r="D64" s="4773" t="s">
        <v>2326</v>
      </c>
      <c r="E64" s="4774"/>
      <c r="F64" s="4775">
        <f>F62+F63</f>
        <v>32959</v>
      </c>
      <c r="G64" s="4774"/>
      <c r="H64" s="4775">
        <f>H62+H63</f>
        <v>37429</v>
      </c>
      <c r="I64" s="1668"/>
      <c r="J64" s="775">
        <f t="shared" si="41"/>
        <v>70388</v>
      </c>
      <c r="K64" s="4774"/>
      <c r="L64" s="4775">
        <f>L62+L63</f>
        <v>36237</v>
      </c>
      <c r="M64" s="1669"/>
      <c r="N64" s="774">
        <f t="shared" si="42"/>
        <v>106625</v>
      </c>
      <c r="O64" s="4774"/>
      <c r="P64" s="4775">
        <f>P62+P63</f>
        <v>43292</v>
      </c>
      <c r="Q64" s="1667"/>
      <c r="R64" s="775">
        <f t="shared" si="43"/>
        <v>149917</v>
      </c>
      <c r="S64" s="4774"/>
      <c r="T64" s="4775">
        <f>T62+T63</f>
        <v>37364</v>
      </c>
      <c r="U64" s="1667"/>
      <c r="V64" s="775">
        <f t="shared" si="44"/>
        <v>187281</v>
      </c>
      <c r="W64" s="4774"/>
      <c r="X64" s="4775">
        <f>X62+X63</f>
        <v>37541</v>
      </c>
      <c r="Y64" s="1669"/>
      <c r="Z64" s="774">
        <f t="shared" si="45"/>
        <v>118197</v>
      </c>
      <c r="AA64" s="1670"/>
      <c r="AB64" s="657">
        <f t="shared" si="46"/>
        <v>224822</v>
      </c>
      <c r="AC64" s="4774"/>
      <c r="AD64" s="4775">
        <f>AD62+AD63</f>
        <v>25055</v>
      </c>
      <c r="AE64" s="1667"/>
      <c r="AF64" s="775">
        <f t="shared" si="47"/>
        <v>249877</v>
      </c>
      <c r="AG64" s="4774"/>
      <c r="AH64" s="4775">
        <f>AH62+AH63</f>
        <v>34323</v>
      </c>
      <c r="AI64" s="1667"/>
      <c r="AJ64" s="775">
        <f t="shared" si="48"/>
        <v>284200</v>
      </c>
      <c r="AK64" s="4774"/>
      <c r="AL64" s="4775">
        <f>AL62+AL63</f>
        <v>40123</v>
      </c>
      <c r="AM64" s="1669"/>
      <c r="AN64" s="774">
        <f t="shared" si="49"/>
        <v>99501</v>
      </c>
      <c r="AO64" s="1667"/>
      <c r="AP64" s="775">
        <f t="shared" si="50"/>
        <v>324323</v>
      </c>
      <c r="AQ64" s="4774"/>
      <c r="AR64" s="4775">
        <f>AR62+AR63</f>
        <v>42113</v>
      </c>
      <c r="AS64" s="1667"/>
      <c r="AT64" s="775">
        <f t="shared" si="51"/>
        <v>366436</v>
      </c>
      <c r="AU64" s="4774"/>
      <c r="AV64" s="4775">
        <f>AV62+AV63</f>
        <v>36360</v>
      </c>
      <c r="AW64" s="1667"/>
      <c r="AX64" s="775">
        <f t="shared" si="52"/>
        <v>402796</v>
      </c>
      <c r="AY64" s="4774"/>
      <c r="AZ64" s="5628">
        <f>AZ62+AZ63</f>
        <v>40992</v>
      </c>
      <c r="BA64" s="1669"/>
      <c r="BB64" s="774">
        <f t="shared" si="53"/>
        <v>119465</v>
      </c>
      <c r="BC64" s="1670"/>
      <c r="BD64" s="657">
        <f t="shared" si="54"/>
        <v>218966</v>
      </c>
      <c r="BE64" s="1668"/>
      <c r="BF64" s="775">
        <f t="shared" si="55"/>
        <v>443788</v>
      </c>
      <c r="BG64" s="1520"/>
      <c r="BH64" s="1520"/>
      <c r="BI64" s="26"/>
      <c r="BJ64" s="26"/>
      <c r="BK64" s="26"/>
      <c r="BL64" s="26"/>
      <c r="BM64" s="26"/>
      <c r="BN64" s="26"/>
    </row>
    <row r="65" spans="1:66" ht="17.399999999999999" x14ac:dyDescent="0.3">
      <c r="A65" s="146"/>
      <c r="B65" s="1666" t="s">
        <v>53</v>
      </c>
      <c r="C65" s="1673"/>
      <c r="D65" s="1673"/>
      <c r="E65" s="4763"/>
      <c r="F65" s="4763"/>
      <c r="G65" s="4763"/>
      <c r="H65" s="4763"/>
      <c r="I65" s="586"/>
      <c r="J65" s="586"/>
      <c r="K65" s="4763"/>
      <c r="L65" s="4763"/>
      <c r="M65" s="586"/>
      <c r="N65" s="586"/>
      <c r="O65" s="4763"/>
      <c r="P65" s="4763"/>
      <c r="Q65" s="586"/>
      <c r="R65" s="586"/>
      <c r="S65" s="4763"/>
      <c r="T65" s="4763"/>
      <c r="U65" s="586"/>
      <c r="V65" s="586"/>
      <c r="W65" s="4763"/>
      <c r="X65" s="4763"/>
      <c r="Y65" s="586"/>
      <c r="Z65" s="586"/>
      <c r="AA65" s="586"/>
      <c r="AB65" s="587"/>
      <c r="AC65" s="4763"/>
      <c r="AD65" s="4763"/>
      <c r="AE65" s="586"/>
      <c r="AF65" s="586"/>
      <c r="AG65" s="4763"/>
      <c r="AH65" s="4763"/>
      <c r="AI65" s="586"/>
      <c r="AJ65" s="586"/>
      <c r="AK65" s="4763"/>
      <c r="AL65" s="4763"/>
      <c r="AM65" s="586"/>
      <c r="AN65" s="586"/>
      <c r="AO65" s="586"/>
      <c r="AP65" s="586"/>
      <c r="AQ65" s="4763"/>
      <c r="AR65" s="4763"/>
      <c r="AS65" s="586"/>
      <c r="AT65" s="586"/>
      <c r="AU65" s="4763"/>
      <c r="AV65" s="4763"/>
      <c r="AW65" s="586"/>
      <c r="AX65" s="586"/>
      <c r="AY65" s="4763"/>
      <c r="AZ65" s="5629"/>
      <c r="BA65" s="586"/>
      <c r="BB65" s="586"/>
      <c r="BC65" s="586"/>
      <c r="BD65" s="587"/>
      <c r="BE65" s="586"/>
      <c r="BF65" s="586"/>
      <c r="BG65" s="1520"/>
      <c r="BH65" s="1520"/>
      <c r="BI65" s="26"/>
      <c r="BJ65" s="26"/>
      <c r="BK65" s="26"/>
      <c r="BL65" s="26"/>
      <c r="BM65" s="26"/>
      <c r="BN65" s="26"/>
    </row>
    <row r="66" spans="1:66" x14ac:dyDescent="0.3">
      <c r="B66" s="9" t="s">
        <v>93</v>
      </c>
      <c r="C66" s="769"/>
      <c r="D66" s="156" t="s">
        <v>221</v>
      </c>
      <c r="E66" s="156">
        <f>+E2*24</f>
        <v>720</v>
      </c>
      <c r="F66" s="156">
        <f>+F2*24</f>
        <v>720</v>
      </c>
      <c r="G66" s="156">
        <f>+G2*24</f>
        <v>744</v>
      </c>
      <c r="H66" s="156">
        <f>+H2*24</f>
        <v>744</v>
      </c>
      <c r="I66" s="585">
        <f>+E66+G66</f>
        <v>1464</v>
      </c>
      <c r="J66" s="585">
        <f>+F66+H66</f>
        <v>1464</v>
      </c>
      <c r="K66" s="156">
        <f>+K2*24</f>
        <v>720</v>
      </c>
      <c r="L66" s="156">
        <f>+L2*24</f>
        <v>720</v>
      </c>
      <c r="M66" s="938">
        <f>+E66+G66+K66</f>
        <v>2184</v>
      </c>
      <c r="N66" s="938">
        <f>+F66+H66+L66</f>
        <v>2184</v>
      </c>
      <c r="O66" s="156">
        <f>+O2*24</f>
        <v>744</v>
      </c>
      <c r="P66" s="156">
        <f>+P2*24</f>
        <v>744</v>
      </c>
      <c r="Q66" s="585">
        <f>+M66+O66</f>
        <v>2928</v>
      </c>
      <c r="R66" s="585">
        <f>+N66+P66</f>
        <v>2928</v>
      </c>
      <c r="S66" s="156">
        <f>+S2*24</f>
        <v>744</v>
      </c>
      <c r="T66" s="156">
        <f>+T2*24</f>
        <v>744</v>
      </c>
      <c r="U66" s="585">
        <f>+Q66+S66</f>
        <v>3672</v>
      </c>
      <c r="V66" s="585">
        <f>+R66+T66</f>
        <v>3672</v>
      </c>
      <c r="W66" s="156">
        <f>+W2*24</f>
        <v>720</v>
      </c>
      <c r="X66" s="156">
        <f>+X2*24</f>
        <v>720</v>
      </c>
      <c r="Y66" s="774">
        <f>+O66+S66+W66</f>
        <v>2208</v>
      </c>
      <c r="Z66" s="774">
        <f>+P66+T66+X66</f>
        <v>2208</v>
      </c>
      <c r="AA66" s="460">
        <f>+M66+Y66</f>
        <v>4392</v>
      </c>
      <c r="AB66" s="449">
        <f>+N66+Z66</f>
        <v>4392</v>
      </c>
      <c r="AC66" s="156">
        <f>+AC2*24</f>
        <v>744</v>
      </c>
      <c r="AD66" s="156">
        <f>+AD2*24</f>
        <v>744</v>
      </c>
      <c r="AE66" s="585">
        <f>+AA66+AC66</f>
        <v>5136</v>
      </c>
      <c r="AF66" s="585">
        <f>+AB66+AD66</f>
        <v>5136</v>
      </c>
      <c r="AG66" s="156">
        <f>+AG2*24</f>
        <v>720</v>
      </c>
      <c r="AH66" s="156">
        <f>+AH2*24</f>
        <v>720</v>
      </c>
      <c r="AI66" s="585">
        <f>+AE66+AG66</f>
        <v>5856</v>
      </c>
      <c r="AJ66" s="585">
        <f>+AF66+AH66</f>
        <v>5856</v>
      </c>
      <c r="AK66" s="156">
        <f>+AK2*24</f>
        <v>744</v>
      </c>
      <c r="AL66" s="156">
        <f>+AL2*24</f>
        <v>744</v>
      </c>
      <c r="AM66" s="774">
        <f>+AC66+AG66+AK66</f>
        <v>2208</v>
      </c>
      <c r="AN66" s="774">
        <f>+AD66+AH66+AL66</f>
        <v>2208</v>
      </c>
      <c r="AO66" s="775">
        <f t="shared" ref="AO66" si="56">AI66+AK66</f>
        <v>6600</v>
      </c>
      <c r="AP66" s="775">
        <f t="shared" ref="AP66" si="57">AJ66+AL66</f>
        <v>6600</v>
      </c>
      <c r="AQ66" s="156">
        <f>+AQ2*24</f>
        <v>744</v>
      </c>
      <c r="AR66" s="156">
        <f>+AR2*24</f>
        <v>744</v>
      </c>
      <c r="AS66" s="585">
        <f>+AO66+AQ66</f>
        <v>7344</v>
      </c>
      <c r="AT66" s="585">
        <f>+AP66+AR66</f>
        <v>7344</v>
      </c>
      <c r="AU66" s="156">
        <f>+AU2*24</f>
        <v>672</v>
      </c>
      <c r="AV66" s="156">
        <f>+AV2*24</f>
        <v>672</v>
      </c>
      <c r="AW66" s="585">
        <f>+AS66+AU66</f>
        <v>8016</v>
      </c>
      <c r="AX66" s="585">
        <f>+AT66+AV66</f>
        <v>8016</v>
      </c>
      <c r="AY66" s="156">
        <f>+AY2*24</f>
        <v>744</v>
      </c>
      <c r="AZ66" s="63">
        <f>+AZ2*24</f>
        <v>744</v>
      </c>
      <c r="BA66" s="774">
        <f>+AQ66+AU66+AY66</f>
        <v>2160</v>
      </c>
      <c r="BB66" s="774">
        <f>+AR66+AV66+AZ66</f>
        <v>2160</v>
      </c>
      <c r="BC66" s="460">
        <f t="shared" ref="BC66" si="58">+AM66+BA66</f>
        <v>4368</v>
      </c>
      <c r="BD66" s="449">
        <f t="shared" ref="BD66" si="59">+AN66+BB66</f>
        <v>4368</v>
      </c>
      <c r="BE66" s="585">
        <f>+AW66+AY66</f>
        <v>8760</v>
      </c>
      <c r="BF66" s="585">
        <f>+AX66+AZ66</f>
        <v>8760</v>
      </c>
      <c r="BG66" s="1520"/>
      <c r="BH66" s="1520"/>
      <c r="BI66" s="26"/>
      <c r="BJ66" s="26"/>
      <c r="BK66" s="26"/>
      <c r="BL66" s="26"/>
      <c r="BM66" s="26"/>
      <c r="BN66" s="26"/>
    </row>
    <row r="67" spans="1:66" x14ac:dyDescent="0.3">
      <c r="B67" s="9" t="s">
        <v>303</v>
      </c>
      <c r="C67" s="769"/>
      <c r="D67" s="156" t="s">
        <v>49</v>
      </c>
      <c r="E67" s="100">
        <f t="shared" ref="E67:AD67" si="60">+E68/E66*100</f>
        <v>90</v>
      </c>
      <c r="F67" s="100">
        <f t="shared" si="60"/>
        <v>81.256944444444457</v>
      </c>
      <c r="G67" s="100">
        <f t="shared" ref="G67:H67" si="61">+G68/G66*100</f>
        <v>90.322580645161281</v>
      </c>
      <c r="H67" s="100">
        <f t="shared" si="61"/>
        <v>89.128584229390682</v>
      </c>
      <c r="I67" s="261">
        <f t="shared" si="60"/>
        <v>90.163934426229503</v>
      </c>
      <c r="J67" s="261">
        <f t="shared" si="60"/>
        <v>85.257285974499098</v>
      </c>
      <c r="K67" s="100">
        <f t="shared" si="60"/>
        <v>90</v>
      </c>
      <c r="L67" s="100">
        <f t="shared" si="60"/>
        <v>87.942129629629633</v>
      </c>
      <c r="M67" s="348">
        <f t="shared" si="60"/>
        <v>90.109890109890117</v>
      </c>
      <c r="N67" s="348">
        <f t="shared" si="60"/>
        <v>86.14239926739927</v>
      </c>
      <c r="O67" s="100">
        <f t="shared" ref="O67:P67" si="62">+O68/O66*100</f>
        <v>90.322580645161281</v>
      </c>
      <c r="P67" s="100">
        <f t="shared" si="62"/>
        <v>91.711469534050181</v>
      </c>
      <c r="Q67" s="261">
        <f t="shared" si="60"/>
        <v>90.163934426229503</v>
      </c>
      <c r="R67" s="261">
        <f t="shared" si="60"/>
        <v>87.557490892531874</v>
      </c>
      <c r="S67" s="100">
        <f t="shared" si="60"/>
        <v>90.322580645161281</v>
      </c>
      <c r="T67" s="100">
        <f t="shared" si="60"/>
        <v>87.069892473118259</v>
      </c>
      <c r="U67" s="261">
        <f t="shared" ref="U67:X67" si="63">+U68/U66*100</f>
        <v>90.196078431372555</v>
      </c>
      <c r="V67" s="261">
        <f t="shared" si="63"/>
        <v>87.458696441539573</v>
      </c>
      <c r="W67" s="100">
        <f t="shared" si="63"/>
        <v>60</v>
      </c>
      <c r="X67" s="100">
        <f t="shared" si="63"/>
        <v>89.976851851819518</v>
      </c>
      <c r="Y67" s="348">
        <f t="shared" si="60"/>
        <v>80.434782608695656</v>
      </c>
      <c r="Z67" s="348">
        <f t="shared" si="60"/>
        <v>89.581823671487044</v>
      </c>
      <c r="AA67" s="461">
        <f t="shared" si="60"/>
        <v>85.245901639344254</v>
      </c>
      <c r="AB67" s="469">
        <f t="shared" si="60"/>
        <v>87.871508803880545</v>
      </c>
      <c r="AC67" s="100">
        <f t="shared" si="60"/>
        <v>90.322580645161281</v>
      </c>
      <c r="AD67" s="100">
        <f t="shared" si="60"/>
        <v>60.775089605734763</v>
      </c>
      <c r="AE67" s="261">
        <f t="shared" ref="AE67:AH67" si="64">+AE68/AE66*100</f>
        <v>85.981308411214954</v>
      </c>
      <c r="AF67" s="261">
        <f t="shared" si="64"/>
        <v>83.946326583588416</v>
      </c>
      <c r="AG67" s="100">
        <f t="shared" si="64"/>
        <v>90</v>
      </c>
      <c r="AH67" s="100">
        <f t="shared" si="64"/>
        <v>87.879629629629648</v>
      </c>
      <c r="AI67" s="261">
        <f t="shared" ref="AI67:AL67" si="65">+AI68/AI66*100</f>
        <v>86.47540983606558</v>
      </c>
      <c r="AJ67" s="261">
        <f t="shared" si="65"/>
        <v>84.429929417118075</v>
      </c>
      <c r="AK67" s="100">
        <f t="shared" si="65"/>
        <v>90.322580645161281</v>
      </c>
      <c r="AL67" s="100">
        <f t="shared" si="65"/>
        <v>90.687724014336922</v>
      </c>
      <c r="AM67" s="348">
        <f t="shared" ref="AM67:AT67" si="66">+AM68/AM66*100</f>
        <v>90.217391304347828</v>
      </c>
      <c r="AN67" s="348">
        <f t="shared" si="66"/>
        <v>79.692783816425134</v>
      </c>
      <c r="AO67" s="261">
        <f t="shared" si="66"/>
        <v>86.909090909090907</v>
      </c>
      <c r="AP67" s="261">
        <f t="shared" si="66"/>
        <v>85.135353535350021</v>
      </c>
      <c r="AQ67" s="100">
        <f t="shared" si="66"/>
        <v>90.322580645161281</v>
      </c>
      <c r="AR67" s="100">
        <f t="shared" si="66"/>
        <v>90.051523297491016</v>
      </c>
      <c r="AS67" s="261">
        <f t="shared" si="66"/>
        <v>87.254901960784309</v>
      </c>
      <c r="AT67" s="261">
        <f t="shared" si="66"/>
        <v>85.633396877266279</v>
      </c>
      <c r="AU67" s="100">
        <f t="shared" ref="AU67:AV67" si="67">+AU68/AU66*100</f>
        <v>89.999999999999986</v>
      </c>
      <c r="AV67" s="100">
        <f t="shared" si="67"/>
        <v>90.342261904761912</v>
      </c>
      <c r="AW67" s="261">
        <f t="shared" ref="AW67:AZ67" si="68">+AW68/AW66*100</f>
        <v>87.485029940119759</v>
      </c>
      <c r="AX67" s="261">
        <f t="shared" si="68"/>
        <v>86.028152029271894</v>
      </c>
      <c r="AY67" s="100">
        <f t="shared" si="68"/>
        <v>90.322580645161281</v>
      </c>
      <c r="AZ67" s="5865">
        <f t="shared" si="68"/>
        <v>89.975358422939067</v>
      </c>
      <c r="BA67" s="348">
        <f t="shared" ref="BA67:BD67" si="69">+BA68/BA66*100</f>
        <v>90.222222222222214</v>
      </c>
      <c r="BB67" s="348">
        <f t="shared" si="69"/>
        <v>90.115740740740748</v>
      </c>
      <c r="BC67" s="461">
        <f t="shared" si="69"/>
        <v>90.219780219780219</v>
      </c>
      <c r="BD67" s="469">
        <f t="shared" si="69"/>
        <v>84.846993284493294</v>
      </c>
      <c r="BE67" s="261">
        <f t="shared" ref="BE67:BF67" si="70">+BE68/BE66*100</f>
        <v>87.726027397260282</v>
      </c>
      <c r="BF67" s="261">
        <f t="shared" si="70"/>
        <v>86.363394216131312</v>
      </c>
      <c r="BG67" s="1520"/>
      <c r="BH67" s="1520"/>
      <c r="BI67" s="26"/>
      <c r="BJ67" s="26"/>
      <c r="BK67" s="26"/>
      <c r="BL67" s="26"/>
      <c r="BM67" s="26"/>
      <c r="BN67" s="26"/>
    </row>
    <row r="68" spans="1:66" x14ac:dyDescent="0.3">
      <c r="B68" s="9" t="s">
        <v>302</v>
      </c>
      <c r="C68" s="769"/>
      <c r="D68" s="156" t="s">
        <v>221</v>
      </c>
      <c r="E68" s="202">
        <v>648</v>
      </c>
      <c r="F68" s="1118">
        <v>585.05000000000007</v>
      </c>
      <c r="G68" s="202">
        <v>672</v>
      </c>
      <c r="H68" s="1118">
        <v>663.11666666666667</v>
      </c>
      <c r="I68" s="585">
        <f>+E68+G68</f>
        <v>1320</v>
      </c>
      <c r="J68" s="775">
        <f>+F68+H68</f>
        <v>1248.1666666666667</v>
      </c>
      <c r="K68" s="202">
        <v>648</v>
      </c>
      <c r="L68" s="1118">
        <v>633.18333333333339</v>
      </c>
      <c r="M68" s="938">
        <f>+E68+G68+K68</f>
        <v>1968</v>
      </c>
      <c r="N68" s="774">
        <f>+F68+H68+L68</f>
        <v>1881.3500000000001</v>
      </c>
      <c r="O68" s="202">
        <v>672</v>
      </c>
      <c r="P68" s="1118">
        <v>682.33333333333337</v>
      </c>
      <c r="Q68" s="585">
        <f>+M68+O68</f>
        <v>2640</v>
      </c>
      <c r="R68" s="775">
        <f>+N68+P68</f>
        <v>2563.6833333333334</v>
      </c>
      <c r="S68" s="202">
        <v>672</v>
      </c>
      <c r="T68" s="1118">
        <v>647.79999999999984</v>
      </c>
      <c r="U68" s="585">
        <f>+Q68+S68</f>
        <v>3312</v>
      </c>
      <c r="V68" s="775">
        <f>+R68+T68</f>
        <v>3211.4833333333331</v>
      </c>
      <c r="W68" s="202">
        <v>432</v>
      </c>
      <c r="X68" s="1118">
        <v>647.83333333310054</v>
      </c>
      <c r="Y68" s="774">
        <f>+O68+S68+W68</f>
        <v>1776</v>
      </c>
      <c r="Z68" s="774">
        <f>+P68+T68+X68</f>
        <v>1977.9666666664339</v>
      </c>
      <c r="AA68" s="460">
        <f>+M68+Y68</f>
        <v>3744</v>
      </c>
      <c r="AB68" s="449">
        <f>+N68+Z68</f>
        <v>3859.3166666664338</v>
      </c>
      <c r="AC68" s="202">
        <v>672</v>
      </c>
      <c r="AD68" s="1118">
        <v>452.16666666666669</v>
      </c>
      <c r="AE68" s="585">
        <f>+AA68+AC68</f>
        <v>4416</v>
      </c>
      <c r="AF68" s="775">
        <f>+AB68+AD68</f>
        <v>4311.4833333331007</v>
      </c>
      <c r="AG68" s="202">
        <v>648</v>
      </c>
      <c r="AH68" s="1118">
        <v>632.73333333333346</v>
      </c>
      <c r="AI68" s="585">
        <f>+AE68+AG68</f>
        <v>5064</v>
      </c>
      <c r="AJ68" s="775">
        <f>+AF68+AH68</f>
        <v>4944.2166666664343</v>
      </c>
      <c r="AK68" s="202">
        <v>672</v>
      </c>
      <c r="AL68" s="1118">
        <v>674.7166666666667</v>
      </c>
      <c r="AM68" s="774">
        <f>+AC68+AG68+AK68</f>
        <v>1992</v>
      </c>
      <c r="AN68" s="774">
        <f>+AD68+AH68+AL68</f>
        <v>1759.6166666666668</v>
      </c>
      <c r="AO68" s="775">
        <f t="shared" ref="AO68" si="71">AI68+AK68</f>
        <v>5736</v>
      </c>
      <c r="AP68" s="775">
        <f t="shared" ref="AP68" si="72">AJ68+AL68</f>
        <v>5618.9333333331015</v>
      </c>
      <c r="AQ68" s="202">
        <v>672</v>
      </c>
      <c r="AR68" s="1118">
        <v>669.98333333333323</v>
      </c>
      <c r="AS68" s="585">
        <f>+AO68+AQ68</f>
        <v>6408</v>
      </c>
      <c r="AT68" s="775">
        <f>+AP68+AR68</f>
        <v>6288.916666666435</v>
      </c>
      <c r="AU68" s="202">
        <v>604.79999999999995</v>
      </c>
      <c r="AV68" s="1118">
        <v>607.1</v>
      </c>
      <c r="AW68" s="585">
        <f>+AS68+AU68</f>
        <v>7012.8</v>
      </c>
      <c r="AX68" s="775">
        <f>+AT68+AV68</f>
        <v>6896.0166666664354</v>
      </c>
      <c r="AY68" s="202">
        <v>672</v>
      </c>
      <c r="AZ68" s="148">
        <v>669.41666666666663</v>
      </c>
      <c r="BA68" s="774">
        <f>+AQ68+AU68+AY68</f>
        <v>1948.8</v>
      </c>
      <c r="BB68" s="774">
        <f>+AR68+AV68+AZ68</f>
        <v>1946.5</v>
      </c>
      <c r="BC68" s="460">
        <f t="shared" ref="BC68" si="73">+AM68+BA68</f>
        <v>3940.8</v>
      </c>
      <c r="BD68" s="449">
        <f t="shared" ref="BD68" si="74">+AN68+BB68</f>
        <v>3706.1166666666668</v>
      </c>
      <c r="BE68" s="585">
        <f>+AW68+AY68</f>
        <v>7684.8</v>
      </c>
      <c r="BF68" s="775">
        <f>+AX68+AZ68</f>
        <v>7565.4333333331024</v>
      </c>
      <c r="BG68" s="1520"/>
      <c r="BH68" s="1520"/>
      <c r="BI68" s="26"/>
      <c r="BJ68" s="26"/>
      <c r="BK68" s="26"/>
      <c r="BL68" s="26"/>
      <c r="BM68" s="26"/>
      <c r="BN68" s="26"/>
    </row>
    <row r="69" spans="1:66" x14ac:dyDescent="0.3">
      <c r="B69" s="9" t="s">
        <v>304</v>
      </c>
      <c r="C69" s="769"/>
      <c r="D69" s="156" t="s">
        <v>49</v>
      </c>
      <c r="E69" s="188">
        <f t="shared" ref="E69:AD69" si="75">+E70/E68*100</f>
        <v>85.416666666666657</v>
      </c>
      <c r="F69" s="188">
        <f t="shared" si="75"/>
        <v>89.026578924878208</v>
      </c>
      <c r="G69" s="188">
        <f t="shared" ref="G69:H69" si="76">+G70/G68*100</f>
        <v>85.416666666666657</v>
      </c>
      <c r="H69" s="188">
        <f t="shared" si="76"/>
        <v>89.292985145901909</v>
      </c>
      <c r="I69" s="261">
        <f t="shared" si="75"/>
        <v>85.416666666666657</v>
      </c>
      <c r="J69" s="261">
        <f t="shared" si="75"/>
        <v>89.168113232741348</v>
      </c>
      <c r="K69" s="188">
        <f t="shared" si="75"/>
        <v>85.416666666666657</v>
      </c>
      <c r="L69" s="188">
        <f t="shared" si="75"/>
        <v>89.794951435866395</v>
      </c>
      <c r="M69" s="348">
        <f t="shared" si="75"/>
        <v>85.416666666666657</v>
      </c>
      <c r="N69" s="348">
        <f t="shared" si="75"/>
        <v>89.379080624728687</v>
      </c>
      <c r="O69" s="188">
        <f t="shared" ref="O69:P69" si="77">+O70/O68*100</f>
        <v>85.416666666666657</v>
      </c>
      <c r="P69" s="188">
        <f t="shared" si="77"/>
        <v>91.998045920859767</v>
      </c>
      <c r="Q69" s="261">
        <f t="shared" si="75"/>
        <v>85.416666666666657</v>
      </c>
      <c r="R69" s="261">
        <f t="shared" si="75"/>
        <v>90.076127446837546</v>
      </c>
      <c r="S69" s="188">
        <f t="shared" si="75"/>
        <v>85.416666666666657</v>
      </c>
      <c r="T69" s="188">
        <f t="shared" si="75"/>
        <v>88.592158073479467</v>
      </c>
      <c r="U69" s="261">
        <f t="shared" ref="U69:X69" si="78">+U70/U68*100</f>
        <v>85.416666666666657</v>
      </c>
      <c r="V69" s="261">
        <f t="shared" si="78"/>
        <v>89.776790579638671</v>
      </c>
      <c r="W69" s="188">
        <f t="shared" si="78"/>
        <v>85.416666666666657</v>
      </c>
      <c r="X69" s="188">
        <f t="shared" si="78"/>
        <v>88.752251093336241</v>
      </c>
      <c r="Y69" s="348">
        <f t="shared" si="75"/>
        <v>85.416666666666657</v>
      </c>
      <c r="Z69" s="348">
        <f t="shared" si="75"/>
        <v>89.819511619659863</v>
      </c>
      <c r="AA69" s="461">
        <f t="shared" si="75"/>
        <v>85.416666666666657</v>
      </c>
      <c r="AB69" s="469">
        <f t="shared" si="75"/>
        <v>89.60480914150601</v>
      </c>
      <c r="AC69" s="188">
        <f t="shared" si="75"/>
        <v>85.416666666666657</v>
      </c>
      <c r="AD69" s="188">
        <f t="shared" si="75"/>
        <v>87.445632141540742</v>
      </c>
      <c r="AE69" s="261">
        <f>+AE70/AE68*100</f>
        <v>85.416666666666657</v>
      </c>
      <c r="AF69" s="261">
        <f t="shared" ref="AF69:AH69" si="79">+AF70/AF68*100</f>
        <v>89.378365527710827</v>
      </c>
      <c r="AG69" s="188">
        <f t="shared" si="79"/>
        <v>85.416666666666657</v>
      </c>
      <c r="AH69" s="188">
        <f t="shared" si="79"/>
        <v>86.010299230850265</v>
      </c>
      <c r="AI69" s="261">
        <f t="shared" ref="AI69:AL69" si="80">+AI70/AI68*100</f>
        <v>85.416666666666657</v>
      </c>
      <c r="AJ69" s="261">
        <f t="shared" si="80"/>
        <v>88.9473391470775</v>
      </c>
      <c r="AK69" s="188">
        <f t="shared" si="80"/>
        <v>85.416666666666657</v>
      </c>
      <c r="AL69" s="188">
        <f t="shared" si="80"/>
        <v>89.435071511498649</v>
      </c>
      <c r="AM69" s="348">
        <f t="shared" ref="AM69:AT69" si="81">+AM70/AM68*100</f>
        <v>85.416666666666657</v>
      </c>
      <c r="AN69" s="348">
        <f t="shared" si="81"/>
        <v>87.692347765138237</v>
      </c>
      <c r="AO69" s="261">
        <f t="shared" si="81"/>
        <v>85.416666666666657</v>
      </c>
      <c r="AP69" s="261">
        <f t="shared" si="81"/>
        <v>89.005905628583065</v>
      </c>
      <c r="AQ69" s="188">
        <f t="shared" si="81"/>
        <v>85.416666666666657</v>
      </c>
      <c r="AR69" s="188">
        <f t="shared" si="81"/>
        <v>91.673922236871562</v>
      </c>
      <c r="AS69" s="261">
        <f t="shared" si="81"/>
        <v>85.416666666666657</v>
      </c>
      <c r="AT69" s="261">
        <f t="shared" si="81"/>
        <v>89.290140061213464</v>
      </c>
      <c r="AU69" s="188">
        <f t="shared" ref="AU69:AV69" si="82">+AU70/AU68*100</f>
        <v>85.416666666666671</v>
      </c>
      <c r="AV69" s="188">
        <f t="shared" si="82"/>
        <v>89.441607642892436</v>
      </c>
      <c r="AW69" s="261">
        <f t="shared" ref="AW69:AZ69" si="83">+AW70/AW68*100</f>
        <v>85.416666666666671</v>
      </c>
      <c r="AX69" s="261">
        <f t="shared" si="83"/>
        <v>89.303474711241464</v>
      </c>
      <c r="AY69" s="188">
        <f t="shared" si="83"/>
        <v>85.416666666666657</v>
      </c>
      <c r="AZ69" s="5626">
        <f t="shared" si="83"/>
        <v>89.341466450890067</v>
      </c>
      <c r="BA69" s="348">
        <f t="shared" ref="BA69:BD69" si="84">+BA70/BA68*100</f>
        <v>85.416666666666657</v>
      </c>
      <c r="BB69" s="348">
        <f t="shared" si="84"/>
        <v>90.175528726774544</v>
      </c>
      <c r="BC69" s="461">
        <f t="shared" si="84"/>
        <v>85.416666666666657</v>
      </c>
      <c r="BD69" s="469">
        <f t="shared" si="84"/>
        <v>88.99654625011803</v>
      </c>
      <c r="BE69" s="261">
        <f t="shared" ref="BE69:BF69" si="85">+BE70/BE68*100</f>
        <v>85.416666666666671</v>
      </c>
      <c r="BF69" s="261">
        <f t="shared" si="85"/>
        <v>89.306836356582295</v>
      </c>
      <c r="BG69" s="1520"/>
      <c r="BH69" s="1520"/>
      <c r="BI69" s="26"/>
      <c r="BJ69" s="26"/>
      <c r="BK69" s="26"/>
      <c r="BL69" s="26"/>
      <c r="BM69" s="26"/>
      <c r="BN69" s="26"/>
    </row>
    <row r="70" spans="1:66" x14ac:dyDescent="0.3">
      <c r="B70" s="9" t="s">
        <v>305</v>
      </c>
      <c r="C70" s="769"/>
      <c r="D70" s="156" t="s">
        <v>221</v>
      </c>
      <c r="E70" s="1118">
        <v>553.5</v>
      </c>
      <c r="F70" s="1118">
        <v>520.85</v>
      </c>
      <c r="G70" s="1118">
        <v>574</v>
      </c>
      <c r="H70" s="1118">
        <v>592.11666666666656</v>
      </c>
      <c r="I70" s="775">
        <f>+E70+G70</f>
        <v>1127.5</v>
      </c>
      <c r="J70" s="775">
        <f>+F70+H70</f>
        <v>1112.9666666666667</v>
      </c>
      <c r="K70" s="1118">
        <v>553.5</v>
      </c>
      <c r="L70" s="1118">
        <v>568.56666666666672</v>
      </c>
      <c r="M70" s="938">
        <f>+E70+G70+K70</f>
        <v>1681</v>
      </c>
      <c r="N70" s="774">
        <f>+F70+H70+L70</f>
        <v>1681.5333333333333</v>
      </c>
      <c r="O70" s="1118">
        <v>574</v>
      </c>
      <c r="P70" s="1118">
        <v>627.73333333333323</v>
      </c>
      <c r="Q70" s="585">
        <f>+M70+O70</f>
        <v>2255</v>
      </c>
      <c r="R70" s="775">
        <f>+N70+P70</f>
        <v>2309.2666666666664</v>
      </c>
      <c r="S70" s="1118">
        <v>574</v>
      </c>
      <c r="T70" s="1118">
        <v>573.89999999999986</v>
      </c>
      <c r="U70" s="585">
        <f>+Q70+S70</f>
        <v>2829</v>
      </c>
      <c r="V70" s="775">
        <f>+R70+T70</f>
        <v>2883.1666666666661</v>
      </c>
      <c r="W70" s="1118">
        <v>369</v>
      </c>
      <c r="X70" s="1118">
        <v>574.96666666612339</v>
      </c>
      <c r="Y70" s="774">
        <f>+O70+S70+W70</f>
        <v>1517</v>
      </c>
      <c r="Z70" s="774">
        <f>+P70+T70+X70</f>
        <v>1776.5999999994565</v>
      </c>
      <c r="AA70" s="460">
        <f>+M70+Y70</f>
        <v>3198</v>
      </c>
      <c r="AB70" s="449">
        <f>+N70+Z70</f>
        <v>3458.1333333327898</v>
      </c>
      <c r="AC70" s="1118">
        <v>574</v>
      </c>
      <c r="AD70" s="1118">
        <v>395.40000000000009</v>
      </c>
      <c r="AE70" s="585">
        <f>+AA70+AC70</f>
        <v>3772</v>
      </c>
      <c r="AF70" s="775">
        <f>+AB70+AD70</f>
        <v>3853.5333333327899</v>
      </c>
      <c r="AG70" s="1118">
        <v>553.5</v>
      </c>
      <c r="AH70" s="1118">
        <v>544.21583333333331</v>
      </c>
      <c r="AI70" s="775">
        <f>+AE70+AG70</f>
        <v>4325.5</v>
      </c>
      <c r="AJ70" s="775">
        <f>+AF70+AH70</f>
        <v>4397.7491666661235</v>
      </c>
      <c r="AK70" s="1118">
        <v>574</v>
      </c>
      <c r="AL70" s="1118">
        <v>603.43333333333328</v>
      </c>
      <c r="AM70" s="774">
        <f>+AC70+AG70+AK70</f>
        <v>1701.5</v>
      </c>
      <c r="AN70" s="774">
        <f>+AD70+AH70+AL70</f>
        <v>1543.0491666666667</v>
      </c>
      <c r="AO70" s="775">
        <f t="shared" ref="AO70:AP70" si="86">AI70+AK70</f>
        <v>4899.5</v>
      </c>
      <c r="AP70" s="775">
        <f t="shared" si="86"/>
        <v>5001.1824999994569</v>
      </c>
      <c r="AQ70" s="1118">
        <v>574</v>
      </c>
      <c r="AR70" s="1118">
        <v>614.19999999999993</v>
      </c>
      <c r="AS70" s="585">
        <f>+AO70+AQ70</f>
        <v>5473.5</v>
      </c>
      <c r="AT70" s="775">
        <f>+AP70+AR70</f>
        <v>5615.3824999994567</v>
      </c>
      <c r="AU70" s="1118">
        <v>516.6</v>
      </c>
      <c r="AV70" s="1118">
        <v>543</v>
      </c>
      <c r="AW70" s="585">
        <f>+AS70+AU70</f>
        <v>5990.1</v>
      </c>
      <c r="AX70" s="775">
        <f>+AT70+AV70</f>
        <v>6158.3824999994567</v>
      </c>
      <c r="AY70" s="1118">
        <v>574</v>
      </c>
      <c r="AZ70" s="148">
        <v>598.06666666666661</v>
      </c>
      <c r="BA70" s="774">
        <f>+AQ70+AU70+AY70</f>
        <v>1664.6</v>
      </c>
      <c r="BB70" s="774">
        <f>+AR70+AV70+AZ70</f>
        <v>1755.2666666666664</v>
      </c>
      <c r="BC70" s="460">
        <f t="shared" ref="BC70" si="87">+AM70+BA70</f>
        <v>3366.1</v>
      </c>
      <c r="BD70" s="449">
        <f t="shared" ref="BD70" si="88">+AN70+BB70</f>
        <v>3298.3158333333331</v>
      </c>
      <c r="BE70" s="585">
        <f>+AW70+AY70</f>
        <v>6564.1</v>
      </c>
      <c r="BF70" s="775">
        <f>+AX70+AZ70</f>
        <v>6756.4491666661233</v>
      </c>
      <c r="BG70" s="1520"/>
      <c r="BH70" s="1520"/>
      <c r="BI70" s="26"/>
      <c r="BJ70" s="26"/>
      <c r="BK70" s="26"/>
      <c r="BL70" s="26"/>
      <c r="BM70" s="26"/>
      <c r="BN70" s="26"/>
    </row>
    <row r="71" spans="1:66" x14ac:dyDescent="0.3">
      <c r="B71" s="9" t="s">
        <v>511</v>
      </c>
      <c r="C71" s="769"/>
      <c r="D71" s="156" t="s">
        <v>510</v>
      </c>
      <c r="E71" s="188">
        <f t="shared" ref="E71:AD71" si="89">+E70/(E68/24)</f>
        <v>20.5</v>
      </c>
      <c r="F71" s="188">
        <f t="shared" si="89"/>
        <v>21.366378941970773</v>
      </c>
      <c r="G71" s="188">
        <f t="shared" ref="G71:H71" si="90">+G70/(G68/24)</f>
        <v>20.5</v>
      </c>
      <c r="H71" s="188">
        <f t="shared" si="90"/>
        <v>21.430316435016458</v>
      </c>
      <c r="I71" s="261">
        <f t="shared" si="89"/>
        <v>20.5</v>
      </c>
      <c r="J71" s="261">
        <f t="shared" si="89"/>
        <v>21.400347175857924</v>
      </c>
      <c r="K71" s="188">
        <f t="shared" si="89"/>
        <v>20.5</v>
      </c>
      <c r="L71" s="188">
        <f t="shared" si="89"/>
        <v>21.550788344607934</v>
      </c>
      <c r="M71" s="348">
        <f t="shared" si="89"/>
        <v>20.5</v>
      </c>
      <c r="N71" s="348">
        <f t="shared" si="89"/>
        <v>21.450979349934887</v>
      </c>
      <c r="O71" s="188">
        <f t="shared" ref="O71:P71" si="91">+O70/(O68/24)</f>
        <v>20.5</v>
      </c>
      <c r="P71" s="188">
        <f t="shared" si="91"/>
        <v>22.079531021006346</v>
      </c>
      <c r="Q71" s="261">
        <f t="shared" si="89"/>
        <v>20.5</v>
      </c>
      <c r="R71" s="261">
        <f t="shared" si="89"/>
        <v>21.61827058724101</v>
      </c>
      <c r="S71" s="188">
        <f t="shared" si="89"/>
        <v>20.5</v>
      </c>
      <c r="T71" s="188">
        <f t="shared" si="89"/>
        <v>21.262117937635072</v>
      </c>
      <c r="U71" s="261">
        <f t="shared" ref="U71:X71" si="92">+U70/(U68/24)</f>
        <v>20.5</v>
      </c>
      <c r="V71" s="261">
        <f t="shared" si="92"/>
        <v>21.546429739113286</v>
      </c>
      <c r="W71" s="188">
        <f t="shared" si="92"/>
        <v>20.5</v>
      </c>
      <c r="X71" s="188">
        <f t="shared" si="92"/>
        <v>21.300540262400702</v>
      </c>
      <c r="Y71" s="348">
        <f t="shared" si="89"/>
        <v>20.5</v>
      </c>
      <c r="Z71" s="348">
        <f t="shared" si="89"/>
        <v>21.556682788718366</v>
      </c>
      <c r="AA71" s="461">
        <f t="shared" si="89"/>
        <v>20.5</v>
      </c>
      <c r="AB71" s="469">
        <f t="shared" si="89"/>
        <v>21.505154193961442</v>
      </c>
      <c r="AC71" s="188">
        <f t="shared" si="89"/>
        <v>20.5</v>
      </c>
      <c r="AD71" s="188">
        <f t="shared" si="89"/>
        <v>20.986951713969781</v>
      </c>
      <c r="AE71" s="261">
        <f t="shared" ref="AE71:AH71" si="93">+AE70/(AE68/24)</f>
        <v>20.5</v>
      </c>
      <c r="AF71" s="261">
        <f t="shared" si="93"/>
        <v>21.450807726650599</v>
      </c>
      <c r="AG71" s="188">
        <f t="shared" si="93"/>
        <v>20.5</v>
      </c>
      <c r="AH71" s="188">
        <f t="shared" si="93"/>
        <v>20.642471815404061</v>
      </c>
      <c r="AI71" s="261">
        <f t="shared" ref="AI71:AL71" si="94">+AI70/(AI68/24)</f>
        <v>20.5</v>
      </c>
      <c r="AJ71" s="261">
        <f t="shared" si="94"/>
        <v>21.347361395298599</v>
      </c>
      <c r="AK71" s="188">
        <f t="shared" si="94"/>
        <v>20.5</v>
      </c>
      <c r="AL71" s="188">
        <f t="shared" si="94"/>
        <v>21.464417162759673</v>
      </c>
      <c r="AM71" s="348">
        <f t="shared" ref="AM71:AT71" si="95">+AM70/(AM68/24)</f>
        <v>20.5</v>
      </c>
      <c r="AN71" s="348">
        <f t="shared" si="95"/>
        <v>21.046163463633178</v>
      </c>
      <c r="AO71" s="261">
        <f t="shared" si="95"/>
        <v>20.5</v>
      </c>
      <c r="AP71" s="261">
        <f t="shared" si="95"/>
        <v>21.361417350859934</v>
      </c>
      <c r="AQ71" s="188">
        <f t="shared" si="95"/>
        <v>20.5</v>
      </c>
      <c r="AR71" s="188">
        <f t="shared" si="95"/>
        <v>22.001741336849175</v>
      </c>
      <c r="AS71" s="261">
        <f t="shared" si="95"/>
        <v>20.5</v>
      </c>
      <c r="AT71" s="261">
        <f t="shared" si="95"/>
        <v>21.42963361469123</v>
      </c>
      <c r="AU71" s="188">
        <f t="shared" ref="AU71:AV71" si="96">+AU70/(AU68/24)</f>
        <v>20.5</v>
      </c>
      <c r="AV71" s="188">
        <f t="shared" si="96"/>
        <v>21.465985834294184</v>
      </c>
      <c r="AW71" s="261">
        <f t="shared" ref="AW71:AZ71" si="97">+AW70/(AW68/24)</f>
        <v>20.500000000000004</v>
      </c>
      <c r="AX71" s="261">
        <f t="shared" si="97"/>
        <v>21.432833930697953</v>
      </c>
      <c r="AY71" s="188">
        <f t="shared" si="97"/>
        <v>20.5</v>
      </c>
      <c r="AZ71" s="5626">
        <f t="shared" si="97"/>
        <v>21.441951948213617</v>
      </c>
      <c r="BA71" s="348">
        <f t="shared" ref="BA71:BD71" si="98">+BA70/(BA68/24)</f>
        <v>20.499999999999996</v>
      </c>
      <c r="BB71" s="348">
        <f t="shared" si="98"/>
        <v>21.642126894425889</v>
      </c>
      <c r="BC71" s="461">
        <f t="shared" si="98"/>
        <v>20.499999999999996</v>
      </c>
      <c r="BD71" s="469">
        <f t="shared" si="98"/>
        <v>21.35917110002833</v>
      </c>
      <c r="BE71" s="261">
        <f t="shared" ref="BE71:BF71" si="99">+BE70/(BE68/24)</f>
        <v>20.500000000000004</v>
      </c>
      <c r="BF71" s="261">
        <f t="shared" si="99"/>
        <v>21.43364072557975</v>
      </c>
      <c r="BG71" s="1520"/>
      <c r="BH71" s="1520"/>
      <c r="BI71" s="26"/>
      <c r="BJ71" s="26"/>
      <c r="BK71" s="26"/>
      <c r="BL71" s="26"/>
      <c r="BM71" s="26"/>
      <c r="BN71" s="26"/>
    </row>
    <row r="72" spans="1:66" ht="14.25" customHeight="1" x14ac:dyDescent="0.3">
      <c r="A72">
        <v>0.28799999999999998</v>
      </c>
      <c r="B72" s="9" t="s">
        <v>306</v>
      </c>
      <c r="C72" s="769"/>
      <c r="D72" s="156" t="s">
        <v>1085</v>
      </c>
      <c r="E72" s="259">
        <v>0.24600000000000005</v>
      </c>
      <c r="F72" s="259">
        <v>0.26800000000000002</v>
      </c>
      <c r="G72" s="259">
        <v>0.24600000000000002</v>
      </c>
      <c r="H72" s="259">
        <v>0.26600000000000001</v>
      </c>
      <c r="I72" s="376">
        <f>+((E72*E5)+(G72*G5))/I5</f>
        <v>0.24600000000000005</v>
      </c>
      <c r="J72" s="376">
        <f>+((F72*F5)+(H72*H5))/J5</f>
        <v>0.26693604958890371</v>
      </c>
      <c r="K72" s="259">
        <v>0.24600000000000005</v>
      </c>
      <c r="L72" s="259">
        <v>0.25700000000000001</v>
      </c>
      <c r="M72" s="377">
        <f>+((E72*E5)+(G72*G5)+(K72*K5))/M5</f>
        <v>0.24600000000000005</v>
      </c>
      <c r="N72" s="377">
        <f>+((F72*F5)+(H72*H5)+(L72*L5))/N5</f>
        <v>0.26355923341088833</v>
      </c>
      <c r="O72" s="259">
        <v>0.24599999999999997</v>
      </c>
      <c r="P72" s="259">
        <v>0.23100000000000001</v>
      </c>
      <c r="Q72" s="376">
        <f>+((M72*M5)+(O72*O5))/Q5</f>
        <v>0.24600000000000005</v>
      </c>
      <c r="R72" s="376">
        <f>+((N72*N5)+(P72*P5))/R5</f>
        <v>0.25415376441665116</v>
      </c>
      <c r="S72" s="259">
        <v>0.24599999999999997</v>
      </c>
      <c r="T72" s="259">
        <v>0.25700000000000001</v>
      </c>
      <c r="U72" s="376">
        <f>+((Q72*Q5)+(S72*S5))/U5</f>
        <v>0.24600000000000005</v>
      </c>
      <c r="V72" s="376">
        <f>+((R72*R5)+(T72*T5))/V5</f>
        <v>0.25472149024981955</v>
      </c>
      <c r="W72" s="259">
        <v>0.24600000000000002</v>
      </c>
      <c r="X72" s="259">
        <v>0.25940000000000002</v>
      </c>
      <c r="Y72" s="377">
        <f>+((O72*O5)+(S72*S5)+(W72*W5))/Y5</f>
        <v>0.24600000000000002</v>
      </c>
      <c r="Z72" s="377">
        <f>+((P72*P5)+(T72*T5)+(X72*X5))/Z5</f>
        <v>0.24823792844834899</v>
      </c>
      <c r="AA72" s="658">
        <f>+((M72*M5)+(Y72*Y5))/AA5</f>
        <v>0.24600000000000002</v>
      </c>
      <c r="AB72" s="658">
        <f>+((N72*N5)+(Z72*Z5))/AB5</f>
        <v>0.25550303629548604</v>
      </c>
      <c r="AC72" s="259">
        <v>0.246</v>
      </c>
      <c r="AD72" s="259">
        <v>0.28999999999999998</v>
      </c>
      <c r="AE72" s="376">
        <f>+((AA72*AA5)+(AC72*AC5))/AE5</f>
        <v>0.24600000000000005</v>
      </c>
      <c r="AF72" s="376">
        <f>+((AB72*AB5)+(AD72*AD5))/AF5</f>
        <v>0.25896371551155256</v>
      </c>
      <c r="AG72" s="259">
        <v>0.24600000000000005</v>
      </c>
      <c r="AH72" s="259">
        <v>0.28499999999999998</v>
      </c>
      <c r="AI72" s="376">
        <f>+((AE72*AE5)+(AG72*AG5))/AI5</f>
        <v>0.24600000000000008</v>
      </c>
      <c r="AJ72" s="376">
        <f>+((AF72*AF5)+(AH72*AH5))/AJ5</f>
        <v>0.26211583901271146</v>
      </c>
      <c r="AK72" s="259">
        <v>0.24600000000000002</v>
      </c>
      <c r="AL72" s="259">
        <v>0.27339999999999998</v>
      </c>
      <c r="AM72" s="377">
        <f>+((AC72*AC5)+(AG72*AG5)+(AK72*AK5))/AM5</f>
        <v>0.24600000000000002</v>
      </c>
      <c r="AN72" s="377">
        <f>+((AD72*AD5)+(AH72*AH5)+(AL72*AL5))/AN5</f>
        <v>0.28156443884679988</v>
      </c>
      <c r="AO72" s="376">
        <f>+((AK72*AK5)+(AI72*AI5))/AO5</f>
        <v>0.24600000000000005</v>
      </c>
      <c r="AP72" s="376">
        <f>+((AL72*AL5)+(AJ72*AJ5))/AP5</f>
        <v>0.26351934197459381</v>
      </c>
      <c r="AQ72" s="259">
        <v>0.24600000000000002</v>
      </c>
      <c r="AR72" s="259">
        <v>0.26600000000000001</v>
      </c>
      <c r="AS72" s="376">
        <f>+((AO72*AO5)+(AQ72*AQ5))/AS5</f>
        <v>0.24600000000000002</v>
      </c>
      <c r="AT72" s="376">
        <f>+((AP72*AP5)+(AR72*AR5))/AT5</f>
        <v>0.26380587279338569</v>
      </c>
      <c r="AU72" s="259">
        <v>0.24600000000000002</v>
      </c>
      <c r="AV72" s="259">
        <v>0.23799999999999999</v>
      </c>
      <c r="AW72" s="376">
        <f>+((AS72*AS5)+(AU72*AU5))/AW5</f>
        <v>0.24600000000000002</v>
      </c>
      <c r="AX72" s="376">
        <f>+((AT72*AT5)+(AV72*AV5))/AX5</f>
        <v>0.26146575066096489</v>
      </c>
      <c r="AY72" s="259">
        <v>0.24600000000000002</v>
      </c>
      <c r="AZ72" s="5630">
        <v>0.23100000000000001</v>
      </c>
      <c r="BA72" s="377">
        <f>+((AQ72*AQ5)+(AU72*AU5)+(AY72*AY5))/BA5</f>
        <v>0.246</v>
      </c>
      <c r="BB72" s="377">
        <f>+((AR72*AR5)+(AV72*AV5)+(AZ72*AZ5))/BB5</f>
        <v>0.2454700343818888</v>
      </c>
      <c r="BC72" s="658">
        <f>+((AM72*AM5)+(BA72*BA5))/BC5</f>
        <v>0.246</v>
      </c>
      <c r="BD72" s="658">
        <f>+((AN72*AN5)+(BB72*BB5))/BD5</f>
        <v>0.26184510156305474</v>
      </c>
      <c r="BE72" s="376">
        <f>+((AW72*AW5)+(AY72*AY5))/BE5</f>
        <v>0.24600000000000002</v>
      </c>
      <c r="BF72" s="376">
        <f>+((AX72*AX5)+(AZ72*AZ5))/BF5</f>
        <v>0.25864074520166985</v>
      </c>
      <c r="BG72" s="1520"/>
      <c r="BH72" s="1520"/>
      <c r="BI72" s="26"/>
      <c r="BJ72" s="26"/>
      <c r="BK72" s="26"/>
      <c r="BL72" s="26"/>
      <c r="BM72" s="26"/>
      <c r="BN72" s="26"/>
    </row>
    <row r="73" spans="1:66" x14ac:dyDescent="0.3">
      <c r="B73" s="9" t="s">
        <v>307</v>
      </c>
      <c r="C73" s="769"/>
      <c r="D73" s="156" t="s">
        <v>213</v>
      </c>
      <c r="E73" s="1118">
        <f>+'POWER DISTRIBUTION'!I27</f>
        <v>6233283.9851005385</v>
      </c>
      <c r="F73" s="1118">
        <f>+'POWER DISTRIBUTION'!J27</f>
        <v>5507826.6666666735</v>
      </c>
      <c r="G73" s="1118">
        <f>+'POWER DISTRIBUTION'!K27</f>
        <v>6479334.6687229276</v>
      </c>
      <c r="H73" s="1118">
        <f>+'POWER DISTRIBUTION'!L27</f>
        <v>6109584.9999999991</v>
      </c>
      <c r="I73" s="775">
        <f>+E73+G73</f>
        <v>12712618.653823465</v>
      </c>
      <c r="J73" s="775">
        <f>+F73+H73</f>
        <v>11617411.666666672</v>
      </c>
      <c r="K73" s="1118">
        <f>+'POWER DISTRIBUTION'!O27</f>
        <v>6233283.9851005385</v>
      </c>
      <c r="L73" s="1118">
        <f>+'POWER DISTRIBUTION'!P27</f>
        <v>6101723.3333333191</v>
      </c>
      <c r="M73" s="938">
        <f>+E73+G73+K73</f>
        <v>18945902.638924003</v>
      </c>
      <c r="N73" s="774">
        <f>+F73+H73+L73</f>
        <v>17719134.999999993</v>
      </c>
      <c r="O73" s="1118">
        <f>+'POWER DISTRIBUTION'!S27</f>
        <v>6479334.6687229276</v>
      </c>
      <c r="P73" s="1118">
        <f>+'POWER DISTRIBUTION'!T27</f>
        <v>6624798.3333333451</v>
      </c>
      <c r="Q73" s="775">
        <f>+M73+O73</f>
        <v>25425237.30764693</v>
      </c>
      <c r="R73" s="775">
        <f>+N73+P73</f>
        <v>24343933.333333336</v>
      </c>
      <c r="S73" s="1118">
        <f>+'POWER DISTRIBUTION'!W27</f>
        <v>6479334.6687229276</v>
      </c>
      <c r="T73" s="1118">
        <f>+'POWER DISTRIBUTION'!X27</f>
        <v>6379560.0000000093</v>
      </c>
      <c r="U73" s="775">
        <f>+Q73+S73</f>
        <v>31904571.976369858</v>
      </c>
      <c r="V73" s="775">
        <f>+R73+T73</f>
        <v>30723493.333333343</v>
      </c>
      <c r="W73" s="1118">
        <f>+'POWER DISTRIBUTION'!AA27</f>
        <v>4068602.4906878364</v>
      </c>
      <c r="X73" s="1118">
        <f>+'POWER DISTRIBUTION'!AB27</f>
        <v>6181474.9999999786</v>
      </c>
      <c r="Y73" s="774">
        <f>+O73+S73+W73</f>
        <v>17027271.828133691</v>
      </c>
      <c r="Z73" s="774">
        <f>+P73+T73+X73</f>
        <v>19185833.333333332</v>
      </c>
      <c r="AA73" s="460">
        <f>+M73+Y73</f>
        <v>35973174.46705769</v>
      </c>
      <c r="AB73" s="449">
        <f>+N73+Z73</f>
        <v>36904968.333333328</v>
      </c>
      <c r="AC73" s="1118">
        <f>+'POWER DISTRIBUTION'!AG27</f>
        <v>6397317.7741821306</v>
      </c>
      <c r="AD73" s="1118">
        <f>+'POWER DISTRIBUTION'!AH27</f>
        <v>4587853.3333333451</v>
      </c>
      <c r="AE73" s="775">
        <f>+AA73+AC73</f>
        <v>42370492.241239823</v>
      </c>
      <c r="AF73" s="775">
        <f>+AB73+AD73</f>
        <v>41492821.666666672</v>
      </c>
      <c r="AG73" s="1118">
        <f>+'POWER DISTRIBUTION'!AK27</f>
        <v>6233283.9851005385</v>
      </c>
      <c r="AH73" s="1118">
        <f>+'POWER DISTRIBUTION'!AL27</f>
        <v>5907461.6666666539</v>
      </c>
      <c r="AI73" s="775">
        <f>+AE73+AG73</f>
        <v>48603776.226340361</v>
      </c>
      <c r="AJ73" s="775">
        <f>+AF73+AH73</f>
        <v>47400283.333333328</v>
      </c>
      <c r="AK73" s="1118">
        <f>+'POWER DISTRIBUTION'!AO27</f>
        <v>6479334.6687229276</v>
      </c>
      <c r="AL73" s="1118">
        <f>+'POWER DISTRIBUTION'!AP27</f>
        <v>6448303.3333333479</v>
      </c>
      <c r="AM73" s="774">
        <f>+AC73+AG73+AK73</f>
        <v>19109936.428005598</v>
      </c>
      <c r="AN73" s="774">
        <f>+AD73+AH73+AL73</f>
        <v>16943618.333333347</v>
      </c>
      <c r="AO73" s="775">
        <f t="shared" ref="AO73:AP73" si="100">AI73+AK73</f>
        <v>55083110.895063289</v>
      </c>
      <c r="AP73" s="775">
        <f t="shared" si="100"/>
        <v>53848586.666666679</v>
      </c>
      <c r="AQ73" s="1118">
        <f>+'POWER DISTRIBUTION'!AU27</f>
        <v>6479334.6687229276</v>
      </c>
      <c r="AR73" s="1118">
        <f>+'POWER DISTRIBUTION'!AV27</f>
        <v>6498523.3333333377</v>
      </c>
      <c r="AS73" s="775">
        <f>+AO73+AQ73</f>
        <v>61562445.563786216</v>
      </c>
      <c r="AT73" s="775">
        <f>+AP73+AR73</f>
        <v>60347110.000000015</v>
      </c>
      <c r="AU73" s="1118">
        <f>+'POWER DISTRIBUTION'!AY27</f>
        <v>5864207.9596669534</v>
      </c>
      <c r="AV73" s="1118">
        <f>+'POWER DISTRIBUTION'!AZ27</f>
        <v>5990404.9999999991</v>
      </c>
      <c r="AW73" s="775">
        <f>+AS73+AU73</f>
        <v>67426653.523453176</v>
      </c>
      <c r="AX73" s="775">
        <f>+AT73+AV73</f>
        <v>66337515.000000015</v>
      </c>
      <c r="AY73" s="1118">
        <f>+'POWER DISTRIBUTION'!BC27</f>
        <v>6561351.5632637246</v>
      </c>
      <c r="AZ73" s="148">
        <f>+'POWER DISTRIBUTION'!BD27</f>
        <v>6297818.3333333377</v>
      </c>
      <c r="BA73" s="774">
        <f>+AQ73+AU73+AY73</f>
        <v>18904894.191653606</v>
      </c>
      <c r="BB73" s="774">
        <f>+AR73+AV73+AZ73</f>
        <v>18786746.666666672</v>
      </c>
      <c r="BC73" s="460">
        <f t="shared" ref="BC73" si="101">+AM73+BA73</f>
        <v>38014830.6196592</v>
      </c>
      <c r="BD73" s="449">
        <f t="shared" ref="BD73" si="102">+AN73+BB73</f>
        <v>35730365.000000015</v>
      </c>
      <c r="BE73" s="775">
        <f>+AW73+AY73</f>
        <v>73988005.086716905</v>
      </c>
      <c r="BF73" s="775">
        <f>+AX73+AZ73</f>
        <v>72635333.333333358</v>
      </c>
      <c r="BG73" s="1520"/>
      <c r="BH73" s="1520"/>
      <c r="BI73" s="26"/>
      <c r="BJ73" s="26"/>
      <c r="BK73" s="26"/>
      <c r="BL73" s="26"/>
      <c r="BM73" s="26"/>
      <c r="BN73" s="26"/>
    </row>
    <row r="74" spans="1:66" x14ac:dyDescent="0.3">
      <c r="B74" s="9" t="s">
        <v>308</v>
      </c>
      <c r="C74" s="769"/>
      <c r="D74" s="2803" t="s">
        <v>2015</v>
      </c>
      <c r="E74" s="188">
        <f>+E73/E56</f>
        <v>82.016894540796557</v>
      </c>
      <c r="F74" s="188">
        <f t="shared" ref="F74:BF74" si="103">+F73/F56</f>
        <v>82.334841233483957</v>
      </c>
      <c r="G74" s="188">
        <f t="shared" si="103"/>
        <v>82.016894540796557</v>
      </c>
      <c r="H74" s="188">
        <f t="shared" si="103"/>
        <v>80.20392609789198</v>
      </c>
      <c r="I74" s="261">
        <f t="shared" si="103"/>
        <v>82.016894540796542</v>
      </c>
      <c r="J74" s="261">
        <f t="shared" si="103"/>
        <v>81.200273700764171</v>
      </c>
      <c r="K74" s="188">
        <f t="shared" ref="K74:L74" si="104">+K73/K56</f>
        <v>82.016894540796557</v>
      </c>
      <c r="L74" s="188">
        <f t="shared" si="104"/>
        <v>82.854300289484684</v>
      </c>
      <c r="M74" s="188">
        <f t="shared" si="103"/>
        <v>82.016894540796542</v>
      </c>
      <c r="N74" s="188">
        <f t="shared" si="103"/>
        <v>81.762344161474019</v>
      </c>
      <c r="O74" s="188">
        <f t="shared" si="103"/>
        <v>82.016894540796557</v>
      </c>
      <c r="P74" s="188">
        <f t="shared" si="103"/>
        <v>75.233504462116727</v>
      </c>
      <c r="Q74" s="261">
        <f t="shared" si="103"/>
        <v>82.016894540796542</v>
      </c>
      <c r="R74" s="261">
        <f t="shared" si="103"/>
        <v>79.875991505485672</v>
      </c>
      <c r="S74" s="188">
        <f t="shared" ref="S74:T74" si="105">+S73/S56</f>
        <v>82.016894540796557</v>
      </c>
      <c r="T74" s="100">
        <f t="shared" si="105"/>
        <v>84.103483686589115</v>
      </c>
      <c r="U74" s="261">
        <f t="shared" si="103"/>
        <v>82.016894540796557</v>
      </c>
      <c r="V74" s="261">
        <f t="shared" si="103"/>
        <v>80.718475993366908</v>
      </c>
      <c r="W74" s="188">
        <f t="shared" si="103"/>
        <v>85.654789277638656</v>
      </c>
      <c r="X74" s="100">
        <f t="shared" si="103"/>
        <v>80.995193400964439</v>
      </c>
      <c r="Y74" s="348">
        <f t="shared" si="103"/>
        <v>82.857770453205305</v>
      </c>
      <c r="Z74" s="348">
        <f t="shared" si="103"/>
        <v>79.864694783312842</v>
      </c>
      <c r="AA74" s="461">
        <f t="shared" si="103"/>
        <v>82.412770829456335</v>
      </c>
      <c r="AB74" s="469">
        <f t="shared" si="103"/>
        <v>80.764693452168999</v>
      </c>
      <c r="AC74" s="188">
        <f t="shared" ref="AC74:AD74" si="106">+AC73/AC56</f>
        <v>82.016894540796542</v>
      </c>
      <c r="AD74" s="100">
        <f t="shared" si="106"/>
        <v>90.04570305721289</v>
      </c>
      <c r="AE74" s="188">
        <f t="shared" si="103"/>
        <v>82.35275459910558</v>
      </c>
      <c r="AF74" s="188">
        <f t="shared" si="103"/>
        <v>81.695733064826115</v>
      </c>
      <c r="AG74" s="188">
        <f t="shared" si="103"/>
        <v>82.016894540796557</v>
      </c>
      <c r="AH74" s="100">
        <f t="shared" si="103"/>
        <v>84.730304761668194</v>
      </c>
      <c r="AI74" s="188">
        <f t="shared" si="103"/>
        <v>82.309527902354546</v>
      </c>
      <c r="AJ74" s="188">
        <f t="shared" si="103"/>
        <v>82.062019477846263</v>
      </c>
      <c r="AK74" s="188">
        <f t="shared" ref="AK74:AL74" si="107">+AK73/AK56</f>
        <v>82.016894540796557</v>
      </c>
      <c r="AL74" s="100">
        <f t="shared" si="107"/>
        <v>79.007092885062733</v>
      </c>
      <c r="AM74" s="188">
        <f t="shared" si="103"/>
        <v>82.016894540796557</v>
      </c>
      <c r="AN74" s="188">
        <f t="shared" si="103"/>
        <v>83.759959397123936</v>
      </c>
      <c r="AO74" s="188">
        <f t="shared" si="103"/>
        <v>82.274997602783102</v>
      </c>
      <c r="AP74" s="188">
        <f t="shared" si="103"/>
        <v>81.683801829663011</v>
      </c>
      <c r="AQ74" s="188">
        <f t="shared" si="103"/>
        <v>82.016894540796557</v>
      </c>
      <c r="AR74" s="100">
        <f t="shared" si="103"/>
        <v>75.736304735798882</v>
      </c>
      <c r="AS74" s="188">
        <f t="shared" si="103"/>
        <v>82.247756264243435</v>
      </c>
      <c r="AT74" s="188">
        <f t="shared" si="103"/>
        <v>80.998838808926862</v>
      </c>
      <c r="AU74" s="188">
        <f t="shared" ref="AU74:AV74" si="108">+AU73/AU56</f>
        <v>82.016894540796557</v>
      </c>
      <c r="AV74" s="100">
        <f t="shared" si="108"/>
        <v>80.887670689802192</v>
      </c>
      <c r="AW74" s="188">
        <f t="shared" si="103"/>
        <v>82.227626248113623</v>
      </c>
      <c r="AX74" s="188">
        <f t="shared" si="103"/>
        <v>80.988787565008423</v>
      </c>
      <c r="AY74" s="188">
        <f t="shared" si="103"/>
        <v>82.016894540796557</v>
      </c>
      <c r="AZ74" s="1276">
        <f t="shared" si="103"/>
        <v>77.559339080459822</v>
      </c>
      <c r="BA74" s="188">
        <f t="shared" si="103"/>
        <v>82.016894540796557</v>
      </c>
      <c r="BB74" s="188">
        <f t="shared" si="103"/>
        <v>77.932959024418409</v>
      </c>
      <c r="BC74" s="188">
        <f t="shared" si="103"/>
        <v>82.016894540796542</v>
      </c>
      <c r="BD74" s="188">
        <f t="shared" si="103"/>
        <v>80.591646714911704</v>
      </c>
      <c r="BE74" s="188">
        <f t="shared" si="103"/>
        <v>82.208894540796564</v>
      </c>
      <c r="BF74" s="188">
        <f t="shared" si="103"/>
        <v>80.679476504211905</v>
      </c>
      <c r="BG74" s="1520"/>
      <c r="BH74" s="1520"/>
      <c r="BI74" s="26"/>
      <c r="BJ74" s="26"/>
      <c r="BK74" s="26"/>
      <c r="BL74" s="26"/>
      <c r="BM74" s="26"/>
      <c r="BN74" s="26"/>
    </row>
    <row r="75" spans="1:66" ht="15" customHeight="1" x14ac:dyDescent="0.3">
      <c r="B75" s="9" t="s">
        <v>309</v>
      </c>
      <c r="C75" s="769"/>
      <c r="D75" s="156" t="s">
        <v>301</v>
      </c>
      <c r="E75" s="1120">
        <f>+EMD!D37/(EMD!D3*24)</f>
        <v>1.9385416864260954</v>
      </c>
      <c r="F75" s="1324">
        <f>+EMD!E37/(EMD!E3*24)</f>
        <v>2.2591295740298878</v>
      </c>
      <c r="G75" s="1120">
        <f>+EMD!F37/(EMD!F3*24)</f>
        <v>2.9281689541658613</v>
      </c>
      <c r="H75" s="1324">
        <f>+EMD!G37/(EMD!G3*24)</f>
        <v>2.0312948524864605</v>
      </c>
      <c r="I75" s="370">
        <f t="shared" ref="I75:J78" si="109">+((E75*E$2)+(G75*G$2))/I$2</f>
        <v>2.4414670192118781</v>
      </c>
      <c r="J75" s="370">
        <f t="shared" si="109"/>
        <v>2.1433447155406049</v>
      </c>
      <c r="K75" s="1120">
        <f>+EMD!J37/(EMD!J3*24)</f>
        <v>2.938102243489551</v>
      </c>
      <c r="L75" s="1324">
        <f>+EMD!K37/(EMD!K3*24)</f>
        <v>1.900419937576324</v>
      </c>
      <c r="M75" s="372">
        <f t="shared" ref="M75:N78" si="110">+((E75*E$2)+(G75*G$2)+(K75*K$2))/M$2</f>
        <v>2.6051929173253967</v>
      </c>
      <c r="N75" s="372">
        <f t="shared" si="110"/>
        <v>2.0632596239040288</v>
      </c>
      <c r="O75" s="1120">
        <f>+EMD!N37/(EMD!N3*24)</f>
        <v>2.930417395269731</v>
      </c>
      <c r="P75" s="1324">
        <f>+EMD!O37/(EMD!O3*24)</f>
        <v>1.7820872997481387</v>
      </c>
      <c r="Q75" s="370">
        <f t="shared" ref="Q75:R78" si="111">+((M75*M$2)+(O75*O$2))/Q$2</f>
        <v>2.6878319240161703</v>
      </c>
      <c r="R75" s="370">
        <f t="shared" si="111"/>
        <v>1.9918141972742534</v>
      </c>
      <c r="S75" s="1120">
        <f>+EMD!R37/(EMD!R3*24)</f>
        <v>2.930417395269731</v>
      </c>
      <c r="T75" s="1324">
        <f>+EMD!S37/(EMD!S3*24)</f>
        <v>2.0287058667729823</v>
      </c>
      <c r="U75" s="370">
        <f t="shared" ref="U75:V78" si="112">+((Q75*Q$2)+(S75*S$2))/U$2</f>
        <v>2.7369832286492453</v>
      </c>
      <c r="V75" s="370">
        <f t="shared" si="112"/>
        <v>1.9992889799831461</v>
      </c>
      <c r="W75" s="1120">
        <f>+EMD!V37/(EMD!V3*24)</f>
        <v>2.3487837211019547</v>
      </c>
      <c r="X75" s="1324">
        <f>+EMD!W37/(EMD!W3*24)</f>
        <v>1.6394861111111112</v>
      </c>
      <c r="Y75" s="372">
        <f t="shared" ref="Y75:Z78" si="113">+((O75*O$2)+(S75*S$2)+(W75*W$2))/Y$2</f>
        <v>2.740754240649804</v>
      </c>
      <c r="Z75" s="372">
        <f t="shared" si="113"/>
        <v>1.8186866466900879</v>
      </c>
      <c r="AA75" s="488">
        <f t="shared" ref="AA75:AB78" si="114">+((M75*M$2)+(Y75*Y$2))/AA$2</f>
        <v>2.673343965116902</v>
      </c>
      <c r="AB75" s="488">
        <f t="shared" si="114"/>
        <v>1.9403049031188782</v>
      </c>
      <c r="AC75" s="1120">
        <f>+EMD!AB37/(EMD!AB3*24)</f>
        <v>2.8773525279899888</v>
      </c>
      <c r="AD75" s="1324">
        <f>+EMD!AC37/(EMD!AC3*24)</f>
        <v>1.1190860215053764</v>
      </c>
      <c r="AE75" s="370">
        <f t="shared" ref="AE75:AF78" si="115">+((AA75*AA$2)+(AC75*AC$2))/AE$2</f>
        <v>2.7028966074022551</v>
      </c>
      <c r="AF75" s="370">
        <f t="shared" si="115"/>
        <v>1.8213432894272028</v>
      </c>
      <c r="AG75" s="1120">
        <f>+EMD!AF37/(EMD!AF3*24)</f>
        <v>2.8692178121623453</v>
      </c>
      <c r="AH75" s="1324">
        <f>+EMD!AG37/(EMD!AG3*24)</f>
        <v>1.6074444444444442</v>
      </c>
      <c r="AI75" s="370">
        <f t="shared" ref="AI75:AJ78" si="116">+((AE75*AE$2)+(AG75*AG$2))/AI$2</f>
        <v>2.7233459358563645</v>
      </c>
      <c r="AJ75" s="370">
        <f t="shared" si="116"/>
        <v>1.7950442511096503</v>
      </c>
      <c r="AK75" s="1120">
        <f>+EMD!AJ37/(EMD!AJ3*24)</f>
        <v>2.8860947205812617</v>
      </c>
      <c r="AL75" s="1324">
        <f>+EMD!AK37/(EMD!AK3*24)</f>
        <v>1.4066867709679864</v>
      </c>
      <c r="AM75" s="372">
        <f t="shared" ref="AM75:AN78" si="117">+((AC75*AC$2)+(AG75*AG$2)+(AK75*AK$2))/AM$2</f>
        <v>2.8776456420715122</v>
      </c>
      <c r="AN75" s="372">
        <f t="shared" si="117"/>
        <v>1.3752422815218213</v>
      </c>
      <c r="AO75" s="370">
        <f t="shared" ref="AO75:AP78" si="118">+((AK75*AK$2)+(AI75*AI$2))/AO$2</f>
        <v>2.7416921624980803</v>
      </c>
      <c r="AP75" s="370">
        <f t="shared" si="118"/>
        <v>1.7512657715300446</v>
      </c>
      <c r="AQ75" s="1120">
        <f>+EMD!AP37/(EMD!AP3*24)</f>
        <v>2.8797129026138291</v>
      </c>
      <c r="AR75" s="1324">
        <f>+EMD!AQ37/(EMD!AQ3*24)</f>
        <v>1.176491935483871</v>
      </c>
      <c r="AS75" s="370">
        <f t="shared" ref="AS75:AT78" si="119">+((AO75*AO$2)+(AQ75*AQ$2))/AS$2</f>
        <v>2.7556746557777805</v>
      </c>
      <c r="AT75" s="370">
        <f t="shared" si="119"/>
        <v>1.6930370495776546</v>
      </c>
      <c r="AU75" s="1120">
        <f>+EMD!AT37/(EMD!AT3*24)</f>
        <v>2.8253254386833797</v>
      </c>
      <c r="AV75" s="1324">
        <f>+EMD!AU37/(EMD!AU3*24)</f>
        <v>1.4981547619047619</v>
      </c>
      <c r="AW75" s="370">
        <f t="shared" ref="AW75:AW78" si="120">+((AS75*AS$2)+(AU75*AU$2))/AW$2</f>
        <v>2.7615136435662739</v>
      </c>
      <c r="AX75" s="370">
        <f t="shared" ref="AX75:AX78" si="121">+((AT75*AT$2)+(AV75*AV$2))/AX$2</f>
        <v>1.6766996122877116</v>
      </c>
      <c r="AY75" s="1120">
        <f>+EMD!AX37/(EMD!AX3*24)</f>
        <v>2.9030648144444897</v>
      </c>
      <c r="AZ75" s="5631">
        <f>+EMD!AY37/(EMD!AY3*24)</f>
        <v>1.9706048387096775</v>
      </c>
      <c r="BA75" s="372">
        <f>+((AQ75*AQ$2)+(AU75*AU$2)+(AY75*AY$2))/BA$2</f>
        <v>2.8708357945771392</v>
      </c>
      <c r="BB75" s="372">
        <f t="shared" ref="BB75:BB78" si="122">+((AR75*AR$2)+(AV75*AV$2)+(AZ75*AZ$2))/BB$2</f>
        <v>1.5500925925925926</v>
      </c>
      <c r="BC75" s="488">
        <f t="shared" ref="BC75:BD78" si="123">+((AM75*AM$2)+(BA75*BA$2))/BC$2</f>
        <v>2.8742781350688005</v>
      </c>
      <c r="BD75" s="488">
        <f t="shared" si="123"/>
        <v>1.4617067210623125</v>
      </c>
      <c r="BE75" s="370">
        <f t="shared" ref="BE75:BE78" si="124">+((AW75*AW$2)+(AY75*AY$2))/BE$2</f>
        <v>2.7735357978052457</v>
      </c>
      <c r="BF75" s="370">
        <f t="shared" ref="BF75:BF78" si="125">+((AX75*AX$2)+(AZ75*AZ$2))/BF$2</f>
        <v>1.7016614260386183</v>
      </c>
      <c r="BG75" s="1520"/>
      <c r="BH75" s="1520"/>
      <c r="BI75" s="26"/>
      <c r="BJ75" s="26"/>
      <c r="BK75" s="26"/>
      <c r="BL75" s="26"/>
      <c r="BM75" s="26"/>
      <c r="BN75" s="26"/>
    </row>
    <row r="76" spans="1:66" x14ac:dyDescent="0.3">
      <c r="B76" s="9" t="s">
        <v>310</v>
      </c>
      <c r="C76" s="769"/>
      <c r="D76" s="156" t="s">
        <v>301</v>
      </c>
      <c r="E76" s="1120">
        <f>+EMD!D67/(EMD!D3*24)</f>
        <v>3.854923454411836</v>
      </c>
      <c r="F76" s="1324">
        <f>+EMD!E67/(EMD!E3*24)</f>
        <v>3.910312555159221</v>
      </c>
      <c r="G76" s="1120">
        <f>+EMD!F67/(EMD!F3*24)</f>
        <v>5.3404562095916654</v>
      </c>
      <c r="H76" s="1324">
        <f>+EMD!G67/(EMD!G3*24)</f>
        <v>3.8820114523643721</v>
      </c>
      <c r="I76" s="370">
        <f t="shared" si="109"/>
        <v>4.609866329995028</v>
      </c>
      <c r="J76" s="370">
        <f t="shared" si="109"/>
        <v>3.89593002750938</v>
      </c>
      <c r="K76" s="1120">
        <f>+EMD!J67/(EMD!J3*24)</f>
        <v>5.2871972480334684</v>
      </c>
      <c r="L76" s="1324">
        <f>+EMD!K67/(EMD!K3*24)</f>
        <v>3.7998522613771097</v>
      </c>
      <c r="M76" s="372">
        <f t="shared" si="110"/>
        <v>4.8331622370406677</v>
      </c>
      <c r="N76" s="372">
        <f t="shared" si="110"/>
        <v>3.8642560386745655</v>
      </c>
      <c r="O76" s="1120">
        <f>+EMD!N67/(EMD!N3*24)</f>
        <v>5.3386634372285346</v>
      </c>
      <c r="P76" s="1324">
        <f>+EMD!O67/(EMD!O3*24)</f>
        <v>4.3762835552303434</v>
      </c>
      <c r="Q76" s="370">
        <f t="shared" si="111"/>
        <v>4.9616092633179125</v>
      </c>
      <c r="R76" s="370">
        <f t="shared" si="111"/>
        <v>3.9943613912420171</v>
      </c>
      <c r="S76" s="1120">
        <f>+EMD!R67/(EMD!R3*24)</f>
        <v>5.3386634372285346</v>
      </c>
      <c r="T76" s="1324">
        <f>+EMD!S67/(EMD!S3*24)</f>
        <v>3.8371216163423538</v>
      </c>
      <c r="U76" s="370">
        <f t="shared" si="112"/>
        <v>5.0380058606462086</v>
      </c>
      <c r="V76" s="370">
        <f t="shared" si="112"/>
        <v>3.9625023518832618</v>
      </c>
      <c r="W76" s="1120">
        <f>+EMD!V67/(EMD!V3*24)</f>
        <v>3.523347867373225</v>
      </c>
      <c r="X76" s="1324">
        <f>+EMD!W67/(EMD!W3*24)</f>
        <v>3.8756666666666666</v>
      </c>
      <c r="Y76" s="372">
        <f t="shared" si="113"/>
        <v>4.7467127079278901</v>
      </c>
      <c r="Z76" s="372">
        <f t="shared" si="113"/>
        <v>4.031364786073409</v>
      </c>
      <c r="AA76" s="488">
        <f t="shared" si="114"/>
        <v>4.7897012715850638</v>
      </c>
      <c r="AB76" s="488">
        <f t="shared" si="114"/>
        <v>3.9482669936510333</v>
      </c>
      <c r="AC76" s="1120">
        <f>+EMD!AB67/(EMD!AB3*24)</f>
        <v>5.2838197195673668</v>
      </c>
      <c r="AD76" s="1324">
        <f>+EMD!AC67/(EMD!AC3*24)</f>
        <v>3.1366666666666663</v>
      </c>
      <c r="AE76" s="370">
        <f t="shared" si="115"/>
        <v>4.8612791776011921</v>
      </c>
      <c r="AF76" s="370">
        <f t="shared" si="115"/>
        <v>3.8306987219850734</v>
      </c>
      <c r="AG76" s="1120">
        <f>+EMD!AF67/(EMD!AF3*24)</f>
        <v>6.1086145139970123</v>
      </c>
      <c r="AH76" s="1324">
        <f>+EMD!AG67/(EMD!AG3*24)</f>
        <v>2.5615555555555556</v>
      </c>
      <c r="AI76" s="370">
        <f t="shared" si="116"/>
        <v>5.014640079617072</v>
      </c>
      <c r="AJ76" s="370">
        <f t="shared" si="116"/>
        <v>3.6746565293912807</v>
      </c>
      <c r="AK76" s="1120">
        <f>+EMD!AJ67/(EMD!AJ3*24)</f>
        <v>6.1450051852178138</v>
      </c>
      <c r="AL76" s="1324">
        <f>+EMD!AK67/(EMD!AK3*24)</f>
        <v>2.973973241480067</v>
      </c>
      <c r="AM76" s="372">
        <f t="shared" si="117"/>
        <v>5.8429566029157716</v>
      </c>
      <c r="AN76" s="372">
        <f t="shared" si="117"/>
        <v>2.8943098241219065</v>
      </c>
      <c r="AO76" s="370">
        <f t="shared" si="118"/>
        <v>5.1420630551575188</v>
      </c>
      <c r="AP76" s="370">
        <f t="shared" si="118"/>
        <v>3.5956704132994712</v>
      </c>
      <c r="AQ76" s="1120">
        <f>+EMD!AP67/(EMD!AP3*24)</f>
        <v>6.1483888035924004</v>
      </c>
      <c r="AR76" s="1324">
        <f>+EMD!AQ67/(EMD!AQ3*24)</f>
        <v>3.9895295698924733</v>
      </c>
      <c r="AS76" s="370">
        <f t="shared" si="119"/>
        <v>5.244011088495693</v>
      </c>
      <c r="AT76" s="370">
        <f t="shared" si="119"/>
        <v>3.635571177529481</v>
      </c>
      <c r="AU76" s="1120">
        <f>+EMD!AT67/(EMD!AT3*24)</f>
        <v>6.1928389643764445</v>
      </c>
      <c r="AV76" s="1324">
        <f>+EMD!AU67/(EMD!AU3*24)</f>
        <v>3.2294494047619047</v>
      </c>
      <c r="AW76" s="370">
        <f t="shared" si="120"/>
        <v>5.3235535451563551</v>
      </c>
      <c r="AX76" s="370">
        <f t="shared" si="121"/>
        <v>3.6015250408902832</v>
      </c>
      <c r="AY76" s="1120">
        <f>+EMD!AX67/(EMD!AX3*24)</f>
        <v>5.4576272148850853</v>
      </c>
      <c r="AZ76" s="5631">
        <f>+EMD!AY67/(EMD!AY3*24)</f>
        <v>3.069045698924731</v>
      </c>
      <c r="BA76" s="372">
        <f>+((AQ76*AQ$2)+(AU76*AU$2)+(AY76*AY$2))/BA$2</f>
        <v>5.9242887508371398</v>
      </c>
      <c r="BB76" s="372">
        <f t="shared" si="122"/>
        <v>3.4360046296296298</v>
      </c>
      <c r="BC76" s="488">
        <f t="shared" si="123"/>
        <v>5.8831757969428207</v>
      </c>
      <c r="BD76" s="488">
        <f t="shared" si="123"/>
        <v>3.1621808817905612</v>
      </c>
      <c r="BE76" s="370">
        <f t="shared" si="124"/>
        <v>5.3349406239552337</v>
      </c>
      <c r="BF76" s="370">
        <f t="shared" si="125"/>
        <v>3.5563007680110168</v>
      </c>
      <c r="BG76" s="1520"/>
      <c r="BH76" s="1520"/>
      <c r="BI76" s="26"/>
      <c r="BJ76" s="26"/>
      <c r="BK76" s="26"/>
      <c r="BL76" s="26"/>
      <c r="BM76" s="26"/>
      <c r="BN76" s="26"/>
    </row>
    <row r="77" spans="1:66" x14ac:dyDescent="0.3">
      <c r="B77" s="9" t="s">
        <v>1890</v>
      </c>
      <c r="C77" s="769"/>
      <c r="D77" s="156" t="s">
        <v>301</v>
      </c>
      <c r="E77" s="1120">
        <f>+EMD!D89/(EMD!D3*24)</f>
        <v>3.1804199542928133</v>
      </c>
      <c r="F77" s="1324">
        <f>+EMD!E89/(EMD!E3*24)</f>
        <v>2.6662570313164009</v>
      </c>
      <c r="G77" s="1120">
        <f>+EMD!F89/(EMD!F3*24)</f>
        <v>0.90561926417500849</v>
      </c>
      <c r="H77" s="1324">
        <f>+EMD!G89/(EMD!G3*24)</f>
        <v>3.8243487432435179</v>
      </c>
      <c r="I77" s="370">
        <f t="shared" ref="I77" si="126">+((E77*E$2)+(G77*G$2))/I$2</f>
        <v>2.0243737019378631</v>
      </c>
      <c r="J77" s="370">
        <f t="shared" ref="J77" si="127">+((F77*F$2)+(H77*H$2))/J$2</f>
        <v>3.2547954422957557</v>
      </c>
      <c r="K77" s="1120">
        <f>+EMD!J89/(EMD!J3*24)</f>
        <v>0.90869141551223265</v>
      </c>
      <c r="L77" s="1324">
        <f>+EMD!K89/(EMD!K3*24)</f>
        <v>3.4352418209536273</v>
      </c>
      <c r="M77" s="372">
        <f t="shared" ref="M77" si="128">+((E77*E$2)+(G77*G$2)+(K77*K$2))/M$2</f>
        <v>1.6565663547645784</v>
      </c>
      <c r="N77" s="372">
        <f t="shared" ref="N77" si="129">+((F77*F$2)+(H77*H$2)+(L77*L$2))/N$2</f>
        <v>3.3142832594357134</v>
      </c>
      <c r="O77" s="1120">
        <f>+EMD!N89/(EMD!N3*24)</f>
        <v>0.90631465833084468</v>
      </c>
      <c r="P77" s="1324">
        <f>+EMD!O89/(EMD!O3*24)</f>
        <v>3.3405924576568791</v>
      </c>
      <c r="Q77" s="370">
        <f t="shared" ref="Q77" si="130">+((M77*M$2)+(O77*O$2))/Q$2</f>
        <v>1.4659286286215802</v>
      </c>
      <c r="R77" s="370">
        <f t="shared" ref="R77" si="131">+((N77*N$2)+(P77*P$2))/R$2</f>
        <v>3.3209683835738786</v>
      </c>
      <c r="S77" s="1120">
        <f>+EMD!R89/(EMD!R3*24)</f>
        <v>0.90631465833084468</v>
      </c>
      <c r="T77" s="1324">
        <f>+EMD!S89/(EMD!S3*24)</f>
        <v>3.2347257116139616</v>
      </c>
      <c r="U77" s="370">
        <f t="shared" ref="U77" si="132">+((Q77*Q$2)+(S77*S$2))/U$2</f>
        <v>1.3525427915038497</v>
      </c>
      <c r="V77" s="370">
        <f t="shared" ref="V77" si="133">+((R77*R$2)+(T77*T$2))/V$2</f>
        <v>3.3034943781440913</v>
      </c>
      <c r="W77" s="1120">
        <f>+EMD!V89/(EMD!V3*24)</f>
        <v>0</v>
      </c>
      <c r="X77" s="1324">
        <f>+EMD!W89/(EMD!W3*24)</f>
        <v>4.1248611111111115</v>
      </c>
      <c r="Y77" s="372">
        <f t="shared" ref="Y77" si="134">+((O77*O$2)+(S77*S$2)+(W77*W$2))/Y$2</f>
        <v>0.6107772697446997</v>
      </c>
      <c r="Z77" s="372">
        <f t="shared" ref="Z77" si="135">+((P77*P$2)+(T77*T$2)+(X77*X$2))/Z$2</f>
        <v>3.5606597454427109</v>
      </c>
      <c r="AA77" s="488">
        <f t="shared" ref="AA77" si="136">+((M77*M$2)+(Y77*Y$2))/AA$2</f>
        <v>1.1308144650278087</v>
      </c>
      <c r="AB77" s="488">
        <f t="shared" ref="AB77" si="137">+((N77*N$2)+(Z77*Z$2))/AB$2</f>
        <v>3.4381446622370455</v>
      </c>
      <c r="AC77" s="1120">
        <f>+EMD!AB89/(EMD!AB3*24)</f>
        <v>0.88990284370824413</v>
      </c>
      <c r="AD77" s="1324">
        <f>+EMD!AC89/(EMD!AC3*24)</f>
        <v>2.6266129032258063</v>
      </c>
      <c r="AE77" s="370">
        <f t="shared" ref="AE77" si="138">+((AA77*AA$2)+(AC77*AC$2))/AE$2</f>
        <v>1.0959160525936662</v>
      </c>
      <c r="AF77" s="370">
        <f t="shared" ref="AF77" si="139">+((AB77*AB$2)+(AD77*AD$2))/AF$2</f>
        <v>3.3205863233148563</v>
      </c>
      <c r="AG77" s="1120">
        <f>+EMD!AF89/(EMD!AF3*24)</f>
        <v>0</v>
      </c>
      <c r="AH77" s="1324">
        <f>+EMD!AG89/(EMD!AG3*24)</f>
        <v>5.1883333333333335</v>
      </c>
      <c r="AI77" s="370">
        <f t="shared" ref="AI77" si="140">+((AE77*AE$2)+(AG77*AG$2))/AI$2</f>
        <v>0.96117227563542862</v>
      </c>
      <c r="AJ77" s="370">
        <f t="shared" ref="AJ77" si="141">+((AF77*AF$2)+(AH77*AH$2))/AJ$2</f>
        <v>3.5502273491368004</v>
      </c>
      <c r="AK77" s="1120">
        <f>+EMD!AJ89/(EMD!AJ3*24)</f>
        <v>0</v>
      </c>
      <c r="AL77" s="1324">
        <f>+EMD!AK89/(EMD!AK3*24)</f>
        <v>5.3995968286699441</v>
      </c>
      <c r="AM77" s="372">
        <f t="shared" ref="AM77" si="142">+((AC77*AC$2)+(AG77*AG$2)+(AK77*AK$2))/AM$2</f>
        <v>0.29985856690169094</v>
      </c>
      <c r="AN77" s="372">
        <f t="shared" ref="AN77" si="143">+((AD77*AD$2)+(AH77*AH$2)+(AL77*AL$2))/AN$2</f>
        <v>4.3963315400953071</v>
      </c>
      <c r="AO77" s="370">
        <f t="shared" ref="AO77" si="144">+((AK77*AK$2)+(AI77*AI$2))/AO$2</f>
        <v>0.85282194638198028</v>
      </c>
      <c r="AP77" s="370">
        <f t="shared" ref="AP77" si="145">+((AL77*AL$2)+(AJ77*AJ$2))/AP$2</f>
        <v>3.758701726829627</v>
      </c>
      <c r="AQ77" s="1120">
        <f>+EMD!AP89/(EMD!AP3*24)</f>
        <v>0</v>
      </c>
      <c r="AR77" s="1324">
        <f>+EMD!AQ89/(EMD!AQ3*24)</f>
        <v>5.3150537634408606</v>
      </c>
      <c r="AS77" s="370">
        <f t="shared" ref="AS77" si="146">+((AO77*AO$2)+(AQ77*AQ$2))/AS$2</f>
        <v>0.76642495181387116</v>
      </c>
      <c r="AT77" s="370">
        <f t="shared" ref="AT77" si="147">+((AP77*AP$2)+(AR77*AR$2))/AT$2</f>
        <v>3.9163713775974318</v>
      </c>
      <c r="AU77" s="1120">
        <f>+EMD!AT89/(EMD!AT3*24)</f>
        <v>0</v>
      </c>
      <c r="AV77" s="1324">
        <f>+EMD!AU89/(EMD!AU3*24)</f>
        <v>4.5860119047619055</v>
      </c>
      <c r="AW77" s="370">
        <f t="shared" si="120"/>
        <v>0.70217375824863648</v>
      </c>
      <c r="AX77" s="370">
        <f t="shared" si="121"/>
        <v>3.9725089068208006</v>
      </c>
      <c r="AY77" s="1120">
        <f>+EMD!AX89/(EMD!AX3*24)</f>
        <v>0.89785509725087309</v>
      </c>
      <c r="AZ77" s="5631">
        <f>+EMD!AY89/(EMD!AY3*24)</f>
        <v>4.3385752688172046</v>
      </c>
      <c r="BA77" s="372">
        <f>+EMD!AZ89/(EMD!AZ3*24)</f>
        <v>0.30926120016418962</v>
      </c>
      <c r="BB77" s="372">
        <f>+EMD!BA89/(EMD!BA3*24)</f>
        <v>4.7518981481481486</v>
      </c>
      <c r="BC77" s="488">
        <f>+EMD!BB89/(EMD!BB3*24)</f>
        <v>0.30450822071281669</v>
      </c>
      <c r="BD77" s="488">
        <f>+EMD!BC89/(EMD!BC3*24)</f>
        <v>4.5721611814401184</v>
      </c>
      <c r="BE77" s="370">
        <f>+EMD!BD89/(EMD!BD3*24)</f>
        <v>0.71879326923238807</v>
      </c>
      <c r="BF77" s="370">
        <f>+EMD!BE89/(EMD!BE3*24)</f>
        <v>4.0035994745520016</v>
      </c>
      <c r="BG77" s="1520"/>
      <c r="BH77" s="1520"/>
      <c r="BI77" s="26"/>
      <c r="BJ77" s="26"/>
      <c r="BK77" s="26"/>
      <c r="BL77" s="26"/>
      <c r="BM77" s="26"/>
      <c r="BN77" s="26"/>
    </row>
    <row r="78" spans="1:66" x14ac:dyDescent="0.3">
      <c r="B78" s="9" t="s">
        <v>311</v>
      </c>
      <c r="C78" s="769"/>
      <c r="D78" s="156" t="s">
        <v>301</v>
      </c>
      <c r="E78" s="1120">
        <f>+EMD!D106/(EMD!D3*24)</f>
        <v>1.1802518358172152</v>
      </c>
      <c r="F78" s="1324">
        <f>+EMD!E106/(EMD!E3*24)</f>
        <v>1.0011636689987986</v>
      </c>
      <c r="G78" s="1120">
        <f>+EMD!F106/(EMD!F3*24)</f>
        <v>1.0402311774777622</v>
      </c>
      <c r="H78" s="1324">
        <f>+EMD!G106/(EMD!G3*24)</f>
        <v>1.1569572507081309</v>
      </c>
      <c r="I78" s="370">
        <f t="shared" si="109"/>
        <v>1.1090937963332308</v>
      </c>
      <c r="J78" s="370">
        <f t="shared" si="109"/>
        <v>1.0803374564248527</v>
      </c>
      <c r="K78" s="1120">
        <f>+EMD!J106/(EMD!J3*24)</f>
        <v>1.0201460239127076</v>
      </c>
      <c r="L78" s="1324">
        <f>+EMD!K106/(EMD!K3*24)</f>
        <v>1.2030890547647561</v>
      </c>
      <c r="M78" s="372">
        <f t="shared" si="110"/>
        <v>1.0797703548759154</v>
      </c>
      <c r="N78" s="372">
        <f t="shared" si="110"/>
        <v>1.1208050163171286</v>
      </c>
      <c r="O78" s="1120">
        <f>+EMD!N106/(EMD!N3*24)</f>
        <v>1.0390801145811881</v>
      </c>
      <c r="P78" s="1324">
        <f>+EMD!O106/(EMD!O3*24)</f>
        <v>1.353272680953324</v>
      </c>
      <c r="Q78" s="370">
        <f t="shared" si="111"/>
        <v>1.0694310315223372</v>
      </c>
      <c r="R78" s="370">
        <f t="shared" si="111"/>
        <v>1.1798746688066535</v>
      </c>
      <c r="S78" s="1120">
        <f>+EMD!R106/(EMD!R3*24)</f>
        <v>1.0390801145811881</v>
      </c>
      <c r="T78" s="1324">
        <f>+EMD!S106/(EMD!S3*24)</f>
        <v>1.1708114928373015</v>
      </c>
      <c r="U78" s="370">
        <f t="shared" si="112"/>
        <v>1.0632814993316468</v>
      </c>
      <c r="V78" s="370">
        <f t="shared" si="112"/>
        <v>1.1780383390350855</v>
      </c>
      <c r="W78" s="1120">
        <f>+EMD!V106/(EMD!V3*24)</f>
        <v>0.47420399336729552</v>
      </c>
      <c r="X78" s="1324">
        <f>+EMD!W106/(EMD!W3*24)</f>
        <v>1.3226972222222222</v>
      </c>
      <c r="Y78" s="372">
        <f t="shared" si="113"/>
        <v>0.85488137940274489</v>
      </c>
      <c r="Z78" s="372">
        <f t="shared" si="113"/>
        <v>1.2818209353714787</v>
      </c>
      <c r="AA78" s="488">
        <f t="shared" si="114"/>
        <v>0.96671141638667135</v>
      </c>
      <c r="AB78" s="488">
        <f t="shared" si="114"/>
        <v>1.2017529100493702</v>
      </c>
      <c r="AC78" s="1120">
        <f>+EMD!AB106/(EMD!AB3*24)</f>
        <v>1.0341033545825422</v>
      </c>
      <c r="AD78" s="1324">
        <f>+EMD!AC106/(EMD!AC3*24)</f>
        <v>1.0375685483870969</v>
      </c>
      <c r="AE78" s="370">
        <f t="shared" si="115"/>
        <v>0.97647379995710126</v>
      </c>
      <c r="AF78" s="370">
        <f t="shared" si="115"/>
        <v>1.1779691941076391</v>
      </c>
      <c r="AG78" s="1120">
        <f>+EMD!AF106/(EMD!AF3*24)</f>
        <v>1.1763046047886021</v>
      </c>
      <c r="AH78" s="1324">
        <f>+EMD!AG106/(EMD!AG3*24)</f>
        <v>1.2722597222222223</v>
      </c>
      <c r="AI78" s="370">
        <f t="shared" si="116"/>
        <v>1.001043161206876</v>
      </c>
      <c r="AJ78" s="370">
        <f t="shared" si="116"/>
        <v>1.1895622918266453</v>
      </c>
      <c r="AK78" s="1120">
        <f>+EMD!AJ106/(EMD!AJ3*24)</f>
        <v>1.1833756996112235</v>
      </c>
      <c r="AL78" s="1324">
        <f>+EMD!AK106/(EMD!AK3*24)</f>
        <v>1.5853452459054242</v>
      </c>
      <c r="AM78" s="372">
        <f t="shared" si="117"/>
        <v>1.1307716176485303</v>
      </c>
      <c r="AN78" s="372">
        <f t="shared" si="117"/>
        <v>1.2986752096710306</v>
      </c>
      <c r="AO78" s="370">
        <f t="shared" si="118"/>
        <v>1.0215970109906387</v>
      </c>
      <c r="AP78" s="370">
        <f t="shared" si="118"/>
        <v>1.2341778248318893</v>
      </c>
      <c r="AQ78" s="1120">
        <f>+EMD!AP106/(EMD!AP3*24)</f>
        <v>1.1833756996112235</v>
      </c>
      <c r="AR78" s="1324">
        <f>+EMD!AQ106/(EMD!AQ3*24)</f>
        <v>1.7018884408602148</v>
      </c>
      <c r="AS78" s="370">
        <f t="shared" si="119"/>
        <v>1.0379863552626587</v>
      </c>
      <c r="AT78" s="370">
        <f t="shared" si="119"/>
        <v>1.2815602728609026</v>
      </c>
      <c r="AU78" s="1120">
        <f>+EMD!AT106/(EMD!AT3*24)</f>
        <v>1.2170911029943905</v>
      </c>
      <c r="AV78" s="1324">
        <f>+EMD!AU106/(EMD!AU3*24)</f>
        <v>1.2154702380952382</v>
      </c>
      <c r="AW78" s="370">
        <f t="shared" si="120"/>
        <v>1.0530011245335824</v>
      </c>
      <c r="AX78" s="370">
        <f t="shared" si="121"/>
        <v>1.2760197909044997</v>
      </c>
      <c r="AY78" s="1120">
        <f>+EMD!AX106/(EMD!AX3*24)</f>
        <v>1.0852256383920056</v>
      </c>
      <c r="AZ78" s="5631">
        <f>+EMD!AY106/(EMD!AY3*24)</f>
        <v>1.0052688172043009</v>
      </c>
      <c r="BA78" s="372">
        <f>+((AQ78*AQ$2)+(AU78*AU$2)+(AY78*AY$2))/BA$2</f>
        <v>1.1600576929104784</v>
      </c>
      <c r="BB78" s="372">
        <f t="shared" si="122"/>
        <v>1.310611574074074</v>
      </c>
      <c r="BC78" s="488">
        <f t="shared" si="123"/>
        <v>1.1452537427780651</v>
      </c>
      <c r="BD78" s="488">
        <f t="shared" si="123"/>
        <v>1.3045778074527554</v>
      </c>
      <c r="BE78" s="370">
        <f t="shared" si="124"/>
        <v>1.0557380010530648</v>
      </c>
      <c r="BF78" s="370">
        <f t="shared" si="125"/>
        <v>1.2530245027272224</v>
      </c>
      <c r="BG78" s="1520"/>
      <c r="BH78" s="1520"/>
      <c r="BI78" s="26"/>
      <c r="BJ78" s="26"/>
      <c r="BK78" s="26"/>
      <c r="BL78" s="26"/>
      <c r="BM78" s="26"/>
      <c r="BN78" s="26"/>
    </row>
    <row r="79" spans="1:66" ht="15" thickBot="1" x14ac:dyDescent="0.35">
      <c r="B79" s="12" t="s">
        <v>312</v>
      </c>
      <c r="C79" s="884"/>
      <c r="D79" s="885" t="s">
        <v>551</v>
      </c>
      <c r="E79" s="188">
        <f>+E56/E70</f>
        <v>137.30803974706413</v>
      </c>
      <c r="F79" s="100">
        <f t="shared" ref="F79:AB79" si="148">+F56/F70</f>
        <v>128.43516367476246</v>
      </c>
      <c r="G79" s="188">
        <f>+G56/G70</f>
        <v>137.63066202090593</v>
      </c>
      <c r="H79" s="100">
        <f t="shared" ref="H79" si="149">+H56/H70</f>
        <v>128.64970585751695</v>
      </c>
      <c r="I79" s="261">
        <f t="shared" si="148"/>
        <v>137.47228381374723</v>
      </c>
      <c r="J79" s="261">
        <f t="shared" si="148"/>
        <v>128.54930366288306</v>
      </c>
      <c r="K79" s="188">
        <f>+K56/K70</f>
        <v>137.30803974706413</v>
      </c>
      <c r="L79" s="100">
        <f t="shared" ref="L79" si="150">+L56/L70</f>
        <v>129.52573430263243</v>
      </c>
      <c r="M79" s="348">
        <f t="shared" ref="M79:N79" si="151">+M56/M70</f>
        <v>137.41820345032718</v>
      </c>
      <c r="N79" s="348">
        <f t="shared" si="151"/>
        <v>128.87945823256561</v>
      </c>
      <c r="O79" s="188">
        <f>+O56/O70</f>
        <v>137.63066202090593</v>
      </c>
      <c r="P79" s="100">
        <f t="shared" ref="P79" si="152">+P56/P70</f>
        <v>140.27690632965184</v>
      </c>
      <c r="Q79" s="261">
        <f t="shared" si="148"/>
        <v>137.47228381374723</v>
      </c>
      <c r="R79" s="261">
        <f t="shared" si="148"/>
        <v>131.97765307889961</v>
      </c>
      <c r="S79" s="188">
        <f>+S56/S70</f>
        <v>137.63066202090593</v>
      </c>
      <c r="T79" s="100">
        <f t="shared" ref="T79" si="153">+T56/T70</f>
        <v>132.17232096184014</v>
      </c>
      <c r="U79" s="261">
        <f t="shared" ref="U79:V79" si="154">+U56/U70</f>
        <v>137.50441852244609</v>
      </c>
      <c r="V79" s="261">
        <f t="shared" si="154"/>
        <v>132.01640210416801</v>
      </c>
      <c r="W79" s="188">
        <f>+W56/W70</f>
        <v>128.72628726287263</v>
      </c>
      <c r="X79" s="100">
        <f t="shared" ref="X79" si="155">+X56/X70</f>
        <v>132.73645138861181</v>
      </c>
      <c r="Y79" s="372">
        <f t="shared" si="148"/>
        <v>135.46473302570863</v>
      </c>
      <c r="Z79" s="372">
        <f t="shared" si="148"/>
        <v>135.21851851856002</v>
      </c>
      <c r="AA79" s="488">
        <f t="shared" si="148"/>
        <v>136.49155722326455</v>
      </c>
      <c r="AB79" s="461">
        <f t="shared" si="148"/>
        <v>132.13612112509804</v>
      </c>
      <c r="AC79" s="188">
        <f>+AC56/AC70</f>
        <v>135.88850174216029</v>
      </c>
      <c r="AD79" s="100">
        <f t="shared" ref="AD79" si="156">+AD56/AD70</f>
        <v>128.85754931714737</v>
      </c>
      <c r="AE79" s="261">
        <f t="shared" ref="AE79:AF79" si="157">+AE56/AE70</f>
        <v>136.39978791092258</v>
      </c>
      <c r="AF79" s="261">
        <f t="shared" si="157"/>
        <v>131.79971627772056</v>
      </c>
      <c r="AG79" s="188">
        <f>+AG56/AG70</f>
        <v>137.30803974706413</v>
      </c>
      <c r="AH79" s="100">
        <f t="shared" ref="AH79" si="158">+AH56/AH70</f>
        <v>128.11234207016528</v>
      </c>
      <c r="AI79" s="261">
        <f t="shared" ref="AI79:AJ79" si="159">+AI56/AI70</f>
        <v>136.51600970986013</v>
      </c>
      <c r="AJ79" s="261">
        <f t="shared" si="159"/>
        <v>131.34340843679433</v>
      </c>
      <c r="AK79" s="188">
        <f>+AK56/AK70</f>
        <v>137.63066202090593</v>
      </c>
      <c r="AL79" s="100">
        <f t="shared" ref="AL79" si="160">+AL56/AL70</f>
        <v>135.25398828923409</v>
      </c>
      <c r="AM79" s="372">
        <f t="shared" ref="AM79:AP79" si="161">+AM56/AM70</f>
        <v>136.93799588598296</v>
      </c>
      <c r="AN79" s="372">
        <f t="shared" si="161"/>
        <v>131.09614999306046</v>
      </c>
      <c r="AO79" s="261">
        <f t="shared" si="161"/>
        <v>136.64659659148893</v>
      </c>
      <c r="AP79" s="261">
        <f t="shared" si="161"/>
        <v>131.81525169298902</v>
      </c>
      <c r="AQ79" s="188">
        <f>+AQ56/AQ70</f>
        <v>137.63066202090593</v>
      </c>
      <c r="AR79" s="100">
        <f t="shared" ref="AR79" si="162">+AR56/AR70</f>
        <v>139.70140019537632</v>
      </c>
      <c r="AS79" s="261">
        <f t="shared" ref="AS79:AT79" si="163">+AS56/AS70</f>
        <v>136.74979446423677</v>
      </c>
      <c r="AT79" s="261">
        <f t="shared" si="163"/>
        <v>132.67782381700138</v>
      </c>
      <c r="AU79" s="188">
        <f>+AU56/AU70</f>
        <v>138.4049554781262</v>
      </c>
      <c r="AV79" s="100">
        <f t="shared" ref="AV79" si="164">+AV56/AV70</f>
        <v>136.38732965009225</v>
      </c>
      <c r="AW79" s="261">
        <f t="shared" ref="AW79:AX79" si="165">+AW56/AW70</f>
        <v>136.89253935660506</v>
      </c>
      <c r="AX79" s="261">
        <f t="shared" si="165"/>
        <v>133.00490023152557</v>
      </c>
      <c r="AY79" s="188">
        <f>+AY56/AY70</f>
        <v>139.37282229965157</v>
      </c>
      <c r="AZ79" s="1276">
        <f t="shared" ref="AZ79" si="166">+AZ56/AZ70</f>
        <v>135.77081707724892</v>
      </c>
      <c r="BA79" s="372">
        <f t="shared" ref="BA79:BF79" si="167">+BA56/BA70</f>
        <v>138.47170491409349</v>
      </c>
      <c r="BB79" s="372">
        <f t="shared" si="167"/>
        <v>137.33692126552486</v>
      </c>
      <c r="BC79" s="488">
        <f t="shared" si="167"/>
        <v>137.69644395591337</v>
      </c>
      <c r="BD79" s="488">
        <f t="shared" si="167"/>
        <v>134.41730489221916</v>
      </c>
      <c r="BE79" s="261">
        <f t="shared" si="167"/>
        <v>137.10942855837052</v>
      </c>
      <c r="BF79" s="261">
        <f t="shared" si="167"/>
        <v>133.24973337203971</v>
      </c>
      <c r="BG79" s="1520"/>
      <c r="BH79" s="1520"/>
      <c r="BI79" s="26"/>
      <c r="BJ79" s="26"/>
      <c r="BK79" s="26"/>
      <c r="BL79" s="26"/>
      <c r="BM79" s="26"/>
      <c r="BN79" s="26"/>
    </row>
    <row r="80" spans="1:66" x14ac:dyDescent="0.3">
      <c r="B80" s="151"/>
      <c r="C80" s="151"/>
      <c r="D80" s="151"/>
      <c r="E80" s="574"/>
      <c r="F80" s="574"/>
      <c r="G80" s="574"/>
      <c r="H80" s="574"/>
      <c r="I80" s="574"/>
      <c r="J80" s="574"/>
      <c r="K80" s="574"/>
      <c r="L80" s="574"/>
      <c r="M80" s="574"/>
      <c r="N80" s="574"/>
      <c r="O80" s="574"/>
      <c r="P80" s="574"/>
      <c r="Q80" s="574"/>
      <c r="R80" s="574"/>
      <c r="S80" s="574"/>
      <c r="T80" s="574"/>
      <c r="U80" s="574"/>
      <c r="V80" s="574"/>
      <c r="W80" s="574"/>
      <c r="X80" s="574"/>
      <c r="Y80" s="574"/>
      <c r="Z80" s="574"/>
      <c r="AA80" s="574"/>
      <c r="AB80" s="574"/>
      <c r="AC80" s="574"/>
      <c r="AD80" s="574"/>
      <c r="AE80" s="574"/>
      <c r="AF80" s="574"/>
      <c r="AG80" s="574"/>
      <c r="AH80" s="574"/>
      <c r="AI80" s="574"/>
      <c r="AJ80" s="574"/>
      <c r="AK80" s="574"/>
      <c r="AL80" s="574"/>
      <c r="AM80" s="574"/>
      <c r="AN80" s="574"/>
      <c r="AO80" s="574"/>
      <c r="AP80" s="574"/>
      <c r="AQ80" s="574"/>
      <c r="AR80" s="574"/>
      <c r="AS80" s="574"/>
      <c r="AT80" s="574"/>
      <c r="AU80" s="574"/>
      <c r="AV80" s="574"/>
      <c r="AW80" s="574"/>
      <c r="AX80" s="574"/>
      <c r="AY80" s="574"/>
      <c r="AZ80" s="147"/>
      <c r="BA80" s="574"/>
      <c r="BB80" s="574"/>
      <c r="BC80" s="574"/>
      <c r="BD80" s="574"/>
      <c r="BE80" s="574"/>
      <c r="BF80" s="574"/>
      <c r="BG80" s="1520"/>
      <c r="BH80" s="1520"/>
      <c r="BI80" s="26"/>
      <c r="BJ80" s="26"/>
      <c r="BK80" s="26"/>
      <c r="BL80" s="26"/>
      <c r="BM80" s="26"/>
      <c r="BN80" s="26"/>
    </row>
    <row r="81" spans="2:66" x14ac:dyDescent="0.3">
      <c r="B81" s="266" t="s">
        <v>801</v>
      </c>
      <c r="C81" s="886"/>
      <c r="D81" s="13" t="s">
        <v>50</v>
      </c>
      <c r="E81" s="891"/>
      <c r="F81" s="361">
        <v>189.255</v>
      </c>
      <c r="G81" s="891"/>
      <c r="H81" s="361">
        <v>140.41500000000002</v>
      </c>
      <c r="I81" s="641"/>
      <c r="J81" s="38">
        <f>+F81+H81</f>
        <v>329.67</v>
      </c>
      <c r="K81" s="891"/>
      <c r="L81" s="361">
        <v>205.53499999999997</v>
      </c>
      <c r="M81" s="640"/>
      <c r="N81" s="774">
        <f>+F81+H81+L81</f>
        <v>535.20499999999993</v>
      </c>
      <c r="O81" s="891"/>
      <c r="P81" s="361">
        <v>211.64</v>
      </c>
      <c r="Q81" s="641"/>
      <c r="R81" s="775">
        <f>+N81+P81</f>
        <v>746.84499999999991</v>
      </c>
      <c r="S81" s="891"/>
      <c r="T81" s="361">
        <v>268.61999999999995</v>
      </c>
      <c r="U81" s="641"/>
      <c r="V81" s="775">
        <f>+R81+T81</f>
        <v>1015.4649999999999</v>
      </c>
      <c r="W81" s="891"/>
      <c r="X81" s="361">
        <v>170.94</v>
      </c>
      <c r="Y81" s="774"/>
      <c r="Z81" s="774">
        <f>+P81+T81+X81</f>
        <v>651.19999999999993</v>
      </c>
      <c r="AA81" s="460"/>
      <c r="AB81" s="449">
        <f>+N81+Z81</f>
        <v>1186.4049999999997</v>
      </c>
      <c r="AC81" s="891"/>
      <c r="AD81" s="361">
        <v>128.20499999999998</v>
      </c>
      <c r="AE81" s="641"/>
      <c r="AF81" s="775">
        <f>+AB81+AD81</f>
        <v>1314.6099999999997</v>
      </c>
      <c r="AG81" s="891"/>
      <c r="AH81" s="361">
        <v>209.60499999999999</v>
      </c>
      <c r="AI81" s="641"/>
      <c r="AJ81" s="775">
        <f>+AF81+AH81</f>
        <v>1524.2149999999997</v>
      </c>
      <c r="AK81" s="891"/>
      <c r="AL81" s="361">
        <v>203.49999999999989</v>
      </c>
      <c r="AM81" s="774"/>
      <c r="AN81" s="774">
        <f>+AD81+AH81+AL81</f>
        <v>541.30999999999983</v>
      </c>
      <c r="AO81" s="641"/>
      <c r="AP81" s="775">
        <f t="shared" ref="AP81:AP82" si="168">AJ81+AL81</f>
        <v>1727.7149999999997</v>
      </c>
      <c r="AQ81" s="891"/>
      <c r="AR81" s="361">
        <v>155.24999999999997</v>
      </c>
      <c r="AS81" s="641"/>
      <c r="AT81" s="775">
        <f>+AP81+AR81</f>
        <v>1882.9649999999997</v>
      </c>
      <c r="AU81" s="891"/>
      <c r="AV81" s="361">
        <v>167.67</v>
      </c>
      <c r="AW81" s="641"/>
      <c r="AX81" s="775">
        <f>+AT81+AV81</f>
        <v>2050.6349999999998</v>
      </c>
      <c r="AY81" s="891"/>
      <c r="AZ81" s="346">
        <v>169.73999999999998</v>
      </c>
      <c r="BA81" s="774"/>
      <c r="BB81" s="774">
        <f>+AR81+AV81+AZ81</f>
        <v>492.65999999999997</v>
      </c>
      <c r="BC81" s="460"/>
      <c r="BD81" s="449">
        <f t="shared" ref="BD81:BD82" si="169">+AN81+BB81</f>
        <v>1033.9699999999998</v>
      </c>
      <c r="BE81" s="641"/>
      <c r="BF81" s="775">
        <f>+AX81+AZ81</f>
        <v>2220.3749999999995</v>
      </c>
      <c r="BG81" s="1520"/>
      <c r="BH81" s="1520"/>
      <c r="BI81" s="26"/>
      <c r="BJ81" s="26"/>
      <c r="BK81" s="26"/>
      <c r="BL81" s="26"/>
      <c r="BM81" s="26"/>
      <c r="BN81" s="26"/>
    </row>
    <row r="82" spans="2:66" x14ac:dyDescent="0.3">
      <c r="B82" s="266" t="s">
        <v>799</v>
      </c>
      <c r="C82" s="886"/>
      <c r="D82" s="13" t="s">
        <v>50</v>
      </c>
      <c r="E82" s="891"/>
      <c r="F82" s="361">
        <v>1082.7799999999988</v>
      </c>
      <c r="G82" s="891"/>
      <c r="H82" s="361">
        <v>1231.5809999999985</v>
      </c>
      <c r="I82" s="641"/>
      <c r="J82" s="38">
        <f>+F82+H82</f>
        <v>2314.3609999999971</v>
      </c>
      <c r="K82" s="891"/>
      <c r="L82" s="361">
        <v>1191.5699999999988</v>
      </c>
      <c r="M82" s="640"/>
      <c r="N82" s="774">
        <f>+F82+H82+L82</f>
        <v>3505.9309999999959</v>
      </c>
      <c r="O82" s="891"/>
      <c r="P82" s="361">
        <v>1424.8509999999985</v>
      </c>
      <c r="Q82" s="641"/>
      <c r="R82" s="775">
        <f>+N82+P82</f>
        <v>4930.7819999999947</v>
      </c>
      <c r="S82" s="891"/>
      <c r="T82" s="361">
        <v>1228.706999999999</v>
      </c>
      <c r="U82" s="641"/>
      <c r="V82" s="775">
        <f>+R82+T82</f>
        <v>6159.4889999999941</v>
      </c>
      <c r="W82" s="891"/>
      <c r="X82" s="361">
        <v>1236.1709999999982</v>
      </c>
      <c r="Y82" s="640"/>
      <c r="Z82" s="774">
        <f>+P82+T82+X82</f>
        <v>3889.7289999999957</v>
      </c>
      <c r="AA82" s="460"/>
      <c r="AB82" s="449">
        <f>+N82+Z82</f>
        <v>7395.6599999999917</v>
      </c>
      <c r="AC82" s="891"/>
      <c r="AD82" s="361">
        <v>819.2999999999995</v>
      </c>
      <c r="AE82" s="641"/>
      <c r="AF82" s="775">
        <f>+AB82+AD82</f>
        <v>8214.9599999999919</v>
      </c>
      <c r="AG82" s="891"/>
      <c r="AH82" s="361">
        <v>1329.670000000001</v>
      </c>
      <c r="AI82" s="641"/>
      <c r="AJ82" s="775">
        <f>+AF82+AH82</f>
        <v>9544.6299999999937</v>
      </c>
      <c r="AK82" s="891"/>
      <c r="AL82" s="361">
        <v>1781.9890000000025</v>
      </c>
      <c r="AM82" s="640"/>
      <c r="AN82" s="774">
        <f>+AD82+AH82+AL82</f>
        <v>3930.9590000000026</v>
      </c>
      <c r="AO82" s="641"/>
      <c r="AP82" s="775">
        <f t="shared" si="168"/>
        <v>11326.618999999997</v>
      </c>
      <c r="AQ82" s="891"/>
      <c r="AR82" s="361">
        <v>1880.4570000000028</v>
      </c>
      <c r="AS82" s="641"/>
      <c r="AT82" s="775">
        <f>+AP82+AR82</f>
        <v>13207.075999999999</v>
      </c>
      <c r="AU82" s="891"/>
      <c r="AV82" s="361">
        <v>1625.222000000002</v>
      </c>
      <c r="AW82" s="641"/>
      <c r="AX82" s="775">
        <f t="shared" ref="AX82:AX83" si="170">+AT82+AV82</f>
        <v>14832.298000000001</v>
      </c>
      <c r="AY82" s="891"/>
      <c r="AZ82" s="346">
        <v>1835.6710000000032</v>
      </c>
      <c r="BA82" s="640"/>
      <c r="BB82" s="774">
        <f>+AR82+AV82+AZ82</f>
        <v>5341.3500000000076</v>
      </c>
      <c r="BC82" s="460"/>
      <c r="BD82" s="449">
        <f t="shared" si="169"/>
        <v>9272.3090000000102</v>
      </c>
      <c r="BE82" s="641"/>
      <c r="BF82" s="775">
        <f>+AX82+AZ82</f>
        <v>16667.969000000005</v>
      </c>
      <c r="BG82" s="1520"/>
      <c r="BH82" s="1520"/>
      <c r="BI82" s="26"/>
      <c r="BJ82" s="26"/>
      <c r="BK82" s="26"/>
      <c r="BL82" s="26"/>
      <c r="BM82" s="26"/>
      <c r="BN82" s="26"/>
    </row>
    <row r="83" spans="2:66" x14ac:dyDescent="0.3">
      <c r="B83" s="637" t="s">
        <v>821</v>
      </c>
      <c r="C83" s="637"/>
      <c r="D83" s="202" t="s">
        <v>50</v>
      </c>
      <c r="E83" s="891"/>
      <c r="F83" s="361">
        <f>SUM(F81:F82)</f>
        <v>1272.0349999999989</v>
      </c>
      <c r="G83" s="891"/>
      <c r="H83" s="361">
        <f>SUM(H81:H82)</f>
        <v>1371.9959999999985</v>
      </c>
      <c r="I83" s="641"/>
      <c r="J83" s="362">
        <f>SUM(J81:J82)</f>
        <v>2644.0309999999972</v>
      </c>
      <c r="K83" s="891"/>
      <c r="L83" s="361">
        <f>SUM(L81:L82)</f>
        <v>1397.1049999999987</v>
      </c>
      <c r="M83" s="640"/>
      <c r="N83" s="441">
        <f>SUM(N81:N82)</f>
        <v>4041.1359999999959</v>
      </c>
      <c r="O83" s="891"/>
      <c r="P83" s="361">
        <f>SUM(P81:P82)</f>
        <v>1636.4909999999986</v>
      </c>
      <c r="Q83" s="641"/>
      <c r="R83" s="362">
        <f>SUM(R81:R82)</f>
        <v>5677.626999999995</v>
      </c>
      <c r="S83" s="891"/>
      <c r="T83" s="361">
        <f>SUM(T81:T82)</f>
        <v>1497.3269999999989</v>
      </c>
      <c r="U83" s="641"/>
      <c r="V83" s="362">
        <f>SUM(V81:V82)</f>
        <v>7174.9539999999943</v>
      </c>
      <c r="W83" s="891"/>
      <c r="X83" s="361">
        <f>SUM(X81:X82)</f>
        <v>1407.1109999999983</v>
      </c>
      <c r="Y83" s="640"/>
      <c r="Z83" s="441">
        <f>SUM(Z81:Z82)</f>
        <v>4540.9289999999955</v>
      </c>
      <c r="AA83" s="832"/>
      <c r="AB83" s="465">
        <f>SUM(AB81:AB82)</f>
        <v>8582.0649999999914</v>
      </c>
      <c r="AC83" s="891"/>
      <c r="AD83" s="361">
        <f>SUM(AD81:AD82)</f>
        <v>947.50499999999943</v>
      </c>
      <c r="AE83" s="641"/>
      <c r="AF83" s="362">
        <f>SUM(AF81:AF82)</f>
        <v>9529.5699999999924</v>
      </c>
      <c r="AG83" s="891"/>
      <c r="AH83" s="361">
        <f>SUM(AH81:AH82)</f>
        <v>1539.275000000001</v>
      </c>
      <c r="AI83" s="641"/>
      <c r="AJ83" s="362">
        <f>SUM(AJ81:AJ82)</f>
        <v>11068.844999999994</v>
      </c>
      <c r="AK83" s="891"/>
      <c r="AL83" s="361">
        <f>SUM(AL81:AL82)</f>
        <v>1985.4890000000023</v>
      </c>
      <c r="AM83" s="640"/>
      <c r="AN83" s="441">
        <f>SUM(AN81:AN82)</f>
        <v>4472.2690000000021</v>
      </c>
      <c r="AO83" s="641"/>
      <c r="AP83" s="362">
        <f>SUM(AP81:AP82)</f>
        <v>13054.333999999997</v>
      </c>
      <c r="AQ83" s="891"/>
      <c r="AR83" s="361">
        <f>SUM(AR81:AR82)</f>
        <v>2035.7070000000028</v>
      </c>
      <c r="AS83" s="641"/>
      <c r="AT83" s="362">
        <f>SUM(AT81:AT82)</f>
        <v>15090.040999999999</v>
      </c>
      <c r="AU83" s="891"/>
      <c r="AV83" s="361">
        <f>SUM(AV81:AV82)</f>
        <v>1792.8920000000021</v>
      </c>
      <c r="AW83" s="641"/>
      <c r="AX83" s="775">
        <f t="shared" si="170"/>
        <v>16882.933000000001</v>
      </c>
      <c r="AY83" s="891"/>
      <c r="AZ83" s="361">
        <f>SUM(AZ81:AZ82)</f>
        <v>2005.4110000000032</v>
      </c>
      <c r="BA83" s="640"/>
      <c r="BB83" s="441">
        <f>SUM(BB81:BB82)</f>
        <v>5834.0100000000075</v>
      </c>
      <c r="BC83" s="832"/>
      <c r="BD83" s="465">
        <f>SUM(BD81:BD82)</f>
        <v>10306.27900000001</v>
      </c>
      <c r="BE83" s="641"/>
      <c r="BF83" s="362">
        <f>SUM(BF81:BF82)</f>
        <v>18888.344000000005</v>
      </c>
      <c r="BG83" s="1520"/>
      <c r="BH83" s="1520"/>
      <c r="BI83" s="26"/>
      <c r="BJ83" s="26"/>
      <c r="BK83" s="26"/>
      <c r="BL83" s="26"/>
      <c r="BM83" s="26"/>
      <c r="BN83" s="26"/>
    </row>
    <row r="84" spans="2:66" x14ac:dyDescent="0.3">
      <c r="B84" s="637" t="s">
        <v>817</v>
      </c>
      <c r="C84" s="637"/>
      <c r="D84" s="202" t="s">
        <v>49</v>
      </c>
      <c r="E84" s="891"/>
      <c r="F84" s="433">
        <f>+F83/F5</f>
        <v>1.8319414513796234E-2</v>
      </c>
      <c r="G84" s="891"/>
      <c r="H84" s="433">
        <f>+H83/H5</f>
        <v>1.7383725030429835E-2</v>
      </c>
      <c r="I84" s="641"/>
      <c r="J84" s="434">
        <f>+J83/J5</f>
        <v>1.7821650908553144E-2</v>
      </c>
      <c r="K84" s="891"/>
      <c r="L84" s="433">
        <f>+L83/L5</f>
        <v>1.829178560234368E-2</v>
      </c>
      <c r="M84" s="640"/>
      <c r="N84" s="440">
        <f>+N83/N5</f>
        <v>1.7981428537039532E-2</v>
      </c>
      <c r="O84" s="891"/>
      <c r="P84" s="433">
        <f>+P83/P5</f>
        <v>1.7925674257982263E-2</v>
      </c>
      <c r="Q84" s="641"/>
      <c r="R84" s="439">
        <f>+R83/R5</f>
        <v>1.7965322655910471E-2</v>
      </c>
      <c r="S84" s="891"/>
      <c r="T84" s="433">
        <f>+T83/T5</f>
        <v>1.9015031750961892E-2</v>
      </c>
      <c r="U84" s="641"/>
      <c r="V84" s="439">
        <f>+V83/V5</f>
        <v>1.8174703416258965E-2</v>
      </c>
      <c r="W84" s="891"/>
      <c r="X84" s="433">
        <f>+X83/X5</f>
        <v>1.7772493351565673E-2</v>
      </c>
      <c r="Y84" s="640"/>
      <c r="Z84" s="435">
        <f>+Z83/Z5</f>
        <v>1.8221218594525464E-2</v>
      </c>
      <c r="AA84" s="832"/>
      <c r="AB84" s="659">
        <f>+AB83/AB5</f>
        <v>1.8107514139678704E-2</v>
      </c>
      <c r="AC84" s="891"/>
      <c r="AD84" s="433">
        <f>+AD83/AD5</f>
        <v>1.7929035341433346E-2</v>
      </c>
      <c r="AE84" s="641"/>
      <c r="AF84" s="1593">
        <f>+AF83/AF5</f>
        <v>1.8089609437314556E-2</v>
      </c>
      <c r="AG84" s="891"/>
      <c r="AH84" s="433">
        <f>+AH83/AH5</f>
        <v>2.1213086899768287E-2</v>
      </c>
      <c r="AI84" s="641"/>
      <c r="AJ84" s="1593">
        <f>+AJ83/AJ5</f>
        <v>1.8467758121283238E-2</v>
      </c>
      <c r="AK84" s="891"/>
      <c r="AL84" s="433">
        <f>+AL83/AL5</f>
        <v>2.3321253628336765E-2</v>
      </c>
      <c r="AM84" s="640"/>
      <c r="AN84" s="435">
        <f>+AN83/AN5</f>
        <v>2.1241241649540447E-2</v>
      </c>
      <c r="AO84" s="641"/>
      <c r="AP84" s="1593">
        <f>+AP83/AP5</f>
        <v>1.9071426867883528E-2</v>
      </c>
      <c r="AQ84" s="891"/>
      <c r="AR84" s="433">
        <f>+AR83/AR5</f>
        <v>2.2773731632973665E-2</v>
      </c>
      <c r="AS84" s="641"/>
      <c r="AT84" s="434">
        <f>+AT83/AT5</f>
        <v>1.949906518194925E-2</v>
      </c>
      <c r="AU84" s="891"/>
      <c r="AV84" s="433">
        <f>+AV83/AV5</f>
        <v>2.323129545843447E-2</v>
      </c>
      <c r="AW84" s="641"/>
      <c r="AX84" s="434">
        <f>+AX83/AX5</f>
        <v>1.9837510416614308E-2</v>
      </c>
      <c r="AY84" s="891"/>
      <c r="AZ84" s="433">
        <f>+AZ83/AZ5</f>
        <v>2.3055424331354706E-2</v>
      </c>
      <c r="BA84" s="640"/>
      <c r="BB84" s="435">
        <f>+BB83/BB5</f>
        <v>2.300964541858001E-2</v>
      </c>
      <c r="BC84" s="832"/>
      <c r="BD84" s="659">
        <f>+BD83/BD5</f>
        <v>2.2207367864739196E-2</v>
      </c>
      <c r="BE84" s="641"/>
      <c r="BF84" s="1593">
        <f>+BF83/BF5</f>
        <v>2.0135898743816463E-2</v>
      </c>
      <c r="BG84" s="1520"/>
      <c r="BH84" s="1520"/>
      <c r="BI84" s="26"/>
      <c r="BJ84" s="26"/>
      <c r="BK84" s="26"/>
      <c r="BL84" s="26"/>
      <c r="BM84" s="26"/>
      <c r="BN84" s="26"/>
    </row>
    <row r="85" spans="2:66" x14ac:dyDescent="0.3">
      <c r="B85" s="637" t="s">
        <v>820</v>
      </c>
      <c r="C85" s="637"/>
      <c r="D85" s="202" t="s">
        <v>50</v>
      </c>
      <c r="E85" s="891"/>
      <c r="F85" s="361">
        <f>+F57</f>
        <v>84.429999999999993</v>
      </c>
      <c r="G85" s="891"/>
      <c r="H85" s="361">
        <f>+H57</f>
        <v>31.29</v>
      </c>
      <c r="I85" s="641"/>
      <c r="J85" s="362">
        <f>+J57</f>
        <v>115.72</v>
      </c>
      <c r="K85" s="891"/>
      <c r="L85" s="361">
        <f>+L57</f>
        <v>35.289999999999992</v>
      </c>
      <c r="M85" s="640"/>
      <c r="N85" s="441">
        <f>+N57</f>
        <v>151.01</v>
      </c>
      <c r="O85" s="891"/>
      <c r="P85" s="361">
        <f>+P57</f>
        <v>44.150000000000006</v>
      </c>
      <c r="Q85" s="641"/>
      <c r="R85" s="362">
        <f>+R57</f>
        <v>195.16000000000003</v>
      </c>
      <c r="S85" s="891"/>
      <c r="T85" s="361">
        <f>+T57</f>
        <v>50.57</v>
      </c>
      <c r="U85" s="641"/>
      <c r="V85" s="362">
        <f>+V57</f>
        <v>245.73000000000005</v>
      </c>
      <c r="W85" s="891"/>
      <c r="X85" s="361">
        <f>+X57</f>
        <v>98.55</v>
      </c>
      <c r="Y85" s="640"/>
      <c r="Z85" s="441">
        <f>+Z57</f>
        <v>193.26999999999998</v>
      </c>
      <c r="AA85" s="832"/>
      <c r="AB85" s="465">
        <f>+AB57</f>
        <v>344.28</v>
      </c>
      <c r="AC85" s="891"/>
      <c r="AD85" s="361">
        <f>+AD57</f>
        <v>50</v>
      </c>
      <c r="AE85" s="641"/>
      <c r="AF85" s="362">
        <f>+AF57</f>
        <v>394.28</v>
      </c>
      <c r="AG85" s="891"/>
      <c r="AH85" s="361">
        <f>+AH57</f>
        <v>68.95</v>
      </c>
      <c r="AI85" s="641"/>
      <c r="AJ85" s="362">
        <f>+AJ57</f>
        <v>463.23</v>
      </c>
      <c r="AK85" s="891"/>
      <c r="AL85" s="361">
        <f>+AL57</f>
        <v>89.25</v>
      </c>
      <c r="AM85" s="640"/>
      <c r="AN85" s="441">
        <f>+AN57</f>
        <v>208.2</v>
      </c>
      <c r="AO85" s="641"/>
      <c r="AP85" s="362">
        <f>+AP57</f>
        <v>552.48</v>
      </c>
      <c r="AQ85" s="891"/>
      <c r="AR85" s="361">
        <f>+AR57</f>
        <v>32.229999999999997</v>
      </c>
      <c r="AS85" s="641"/>
      <c r="AT85" s="362">
        <f>+AT57</f>
        <v>584.71</v>
      </c>
      <c r="AU85" s="891"/>
      <c r="AV85" s="361">
        <f>+AV57</f>
        <v>15.78</v>
      </c>
      <c r="AW85" s="641"/>
      <c r="AX85" s="362">
        <f>+AX57</f>
        <v>600.49</v>
      </c>
      <c r="AY85" s="891"/>
      <c r="AZ85" s="361">
        <f>+AZ57</f>
        <v>108.43</v>
      </c>
      <c r="BA85" s="640"/>
      <c r="BB85" s="441">
        <f>+BB57</f>
        <v>156.44</v>
      </c>
      <c r="BC85" s="832"/>
      <c r="BD85" s="465">
        <f>+BD57</f>
        <v>364.63999999999993</v>
      </c>
      <c r="BE85" s="641"/>
      <c r="BF85" s="362">
        <f>+BF57</f>
        <v>708.91999999999985</v>
      </c>
      <c r="BG85" s="1520"/>
      <c r="BH85" s="1520"/>
      <c r="BI85" s="26"/>
      <c r="BJ85" s="26"/>
      <c r="BK85" s="26"/>
      <c r="BL85" s="26"/>
      <c r="BM85" s="26"/>
      <c r="BN85" s="26"/>
    </row>
    <row r="86" spans="2:66" x14ac:dyDescent="0.3">
      <c r="B86" s="266" t="s">
        <v>802</v>
      </c>
      <c r="C86" s="886"/>
      <c r="D86" s="13" t="s">
        <v>50</v>
      </c>
      <c r="E86" s="891"/>
      <c r="F86" s="361">
        <v>1184.5240000000003</v>
      </c>
      <c r="G86" s="891"/>
      <c r="H86" s="361">
        <v>1345.2450000000008</v>
      </c>
      <c r="I86" s="641"/>
      <c r="J86" s="38">
        <f>+F86+H86</f>
        <v>2529.7690000000011</v>
      </c>
      <c r="K86" s="891"/>
      <c r="L86" s="361">
        <v>1302.4100000000014</v>
      </c>
      <c r="M86" s="640"/>
      <c r="N86" s="774">
        <f>+F86+H86+L86</f>
        <v>3832.1790000000028</v>
      </c>
      <c r="O86" s="891"/>
      <c r="P86" s="361">
        <v>1556.0040000000015</v>
      </c>
      <c r="Q86" s="641"/>
      <c r="R86" s="775">
        <f>+N86+P86</f>
        <v>5388.1830000000045</v>
      </c>
      <c r="S86" s="891"/>
      <c r="T86" s="361">
        <v>1342.794000000001</v>
      </c>
      <c r="U86" s="641"/>
      <c r="V86" s="775">
        <f>+R86+T86</f>
        <v>6730.9770000000053</v>
      </c>
      <c r="W86" s="891"/>
      <c r="X86" s="361">
        <v>1348.8320000000012</v>
      </c>
      <c r="Y86" s="640"/>
      <c r="Z86" s="774">
        <f>+P86+T86+X86</f>
        <v>4247.6300000000037</v>
      </c>
      <c r="AA86" s="460"/>
      <c r="AB86" s="449">
        <f>+N86+Z86</f>
        <v>8079.8090000000066</v>
      </c>
      <c r="AC86" s="891"/>
      <c r="AD86" s="361">
        <v>899.73700000000099</v>
      </c>
      <c r="AE86" s="641"/>
      <c r="AF86" s="775">
        <f>+AB86+AD86</f>
        <v>8979.5460000000076</v>
      </c>
      <c r="AG86" s="891"/>
      <c r="AH86" s="361">
        <v>1233.5280000000007</v>
      </c>
      <c r="AI86" s="641"/>
      <c r="AJ86" s="775">
        <f>+AF86+AH86</f>
        <v>10213.074000000008</v>
      </c>
      <c r="AK86" s="891"/>
      <c r="AL86" s="361">
        <v>1444.9570000000015</v>
      </c>
      <c r="AM86" s="640"/>
      <c r="AN86" s="774">
        <f>+AD86+AH86+AL86</f>
        <v>3578.2220000000034</v>
      </c>
      <c r="AO86" s="641"/>
      <c r="AP86" s="775">
        <f t="shared" ref="AP86" si="171">AJ86+AL86</f>
        <v>11658.03100000001</v>
      </c>
      <c r="AQ86" s="891"/>
      <c r="AR86" s="361">
        <v>1515.8440000000021</v>
      </c>
      <c r="AS86" s="641"/>
      <c r="AT86" s="775">
        <f>+AP86+AR86</f>
        <v>13173.875000000013</v>
      </c>
      <c r="AU86" s="891"/>
      <c r="AV86" s="361">
        <v>1308.7300000000009</v>
      </c>
      <c r="AW86" s="641"/>
      <c r="AX86" s="775">
        <f>+AT86+AV86</f>
        <v>14482.605000000014</v>
      </c>
      <c r="AY86" s="891"/>
      <c r="AZ86" s="346">
        <v>1475.2410000000009</v>
      </c>
      <c r="BA86" s="640"/>
      <c r="BB86" s="774">
        <f>+AR86+AV86+AZ86</f>
        <v>4299.8150000000041</v>
      </c>
      <c r="BC86" s="460"/>
      <c r="BD86" s="449">
        <f t="shared" ref="BD86" si="172">+AN86+BB86</f>
        <v>7878.0370000000075</v>
      </c>
      <c r="BE86" s="641"/>
      <c r="BF86" s="775">
        <f>+AX86+AZ86</f>
        <v>15957.846000000016</v>
      </c>
      <c r="BG86" s="1520"/>
      <c r="BH86" s="1520"/>
      <c r="BI86" s="26"/>
      <c r="BJ86" s="26"/>
      <c r="BK86" s="26"/>
      <c r="BL86" s="26"/>
      <c r="BM86" s="26"/>
      <c r="BN86" s="26"/>
    </row>
    <row r="87" spans="2:66" x14ac:dyDescent="0.3">
      <c r="B87" s="151"/>
      <c r="C87" s="151"/>
      <c r="D87" s="151"/>
      <c r="E87" s="574"/>
      <c r="F87" s="574"/>
      <c r="G87" s="574"/>
      <c r="H87" s="574"/>
      <c r="I87" s="574"/>
      <c r="J87" s="574"/>
      <c r="K87" s="574"/>
      <c r="L87" s="574"/>
      <c r="M87" s="574"/>
      <c r="N87" s="574"/>
      <c r="O87" s="574"/>
      <c r="P87" s="574"/>
      <c r="Q87" s="574"/>
      <c r="R87" s="574"/>
      <c r="S87" s="574"/>
      <c r="T87" s="574"/>
      <c r="U87" s="574"/>
      <c r="V87" s="574"/>
      <c r="W87" s="574"/>
      <c r="X87" s="574"/>
      <c r="Y87" s="574"/>
      <c r="Z87" s="574"/>
      <c r="AA87" s="574"/>
      <c r="AB87" s="574"/>
      <c r="AC87" s="574"/>
      <c r="AD87" s="574"/>
      <c r="AE87" s="574"/>
      <c r="AF87" s="574"/>
      <c r="AG87" s="574"/>
      <c r="AH87" s="574"/>
      <c r="AI87" s="574"/>
      <c r="AJ87" s="574"/>
      <c r="AK87" s="574"/>
      <c r="AL87" s="574"/>
      <c r="AM87" s="574"/>
      <c r="AN87" s="574"/>
      <c r="AO87" s="574"/>
      <c r="AP87" s="574"/>
      <c r="AQ87" s="574"/>
      <c r="AR87" s="574"/>
      <c r="AS87" s="574"/>
      <c r="AT87" s="574"/>
      <c r="AU87" s="574"/>
      <c r="AV87" s="574"/>
      <c r="AW87" s="574"/>
      <c r="AX87" s="574"/>
      <c r="AY87" s="574"/>
      <c r="AZ87" s="147"/>
      <c r="BA87" s="574"/>
      <c r="BB87" s="574"/>
      <c r="BC87" s="574"/>
      <c r="BD87" s="574"/>
      <c r="BE87" s="574"/>
      <c r="BF87" s="574"/>
      <c r="BG87" s="1520"/>
      <c r="BH87" s="1520"/>
      <c r="BI87" s="26"/>
      <c r="BJ87" s="26"/>
      <c r="BK87" s="26"/>
      <c r="BL87" s="26"/>
      <c r="BM87" s="26"/>
      <c r="BN87" s="26"/>
    </row>
    <row r="88" spans="2:66" ht="18" x14ac:dyDescent="0.35">
      <c r="B88" s="875" t="s">
        <v>822</v>
      </c>
      <c r="C88" s="875"/>
      <c r="D88" s="151"/>
      <c r="E88" s="574"/>
      <c r="F88" s="574"/>
      <c r="G88" s="574"/>
      <c r="H88" s="574"/>
      <c r="I88" s="574"/>
      <c r="J88" s="574"/>
      <c r="K88" s="574"/>
      <c r="L88" s="574"/>
      <c r="M88" s="574"/>
      <c r="N88" s="574"/>
      <c r="O88" s="574"/>
      <c r="P88" s="574"/>
      <c r="Q88" s="574"/>
      <c r="R88" s="574"/>
      <c r="S88" s="574"/>
      <c r="T88" s="574"/>
      <c r="U88" s="574"/>
      <c r="V88" s="574"/>
      <c r="W88" s="574"/>
      <c r="X88" s="574"/>
      <c r="Y88" s="574"/>
      <c r="Z88" s="574"/>
      <c r="AA88" s="574"/>
      <c r="AB88" s="574"/>
      <c r="AC88" s="574"/>
      <c r="AD88" s="574"/>
      <c r="AE88" s="574"/>
      <c r="AF88" s="574"/>
      <c r="AG88" s="574"/>
      <c r="AH88" s="574"/>
      <c r="AI88" s="574"/>
      <c r="AJ88" s="574"/>
      <c r="AK88" s="574"/>
      <c r="AL88" s="574"/>
      <c r="AM88" s="574"/>
      <c r="AN88" s="574"/>
      <c r="AO88" s="574"/>
      <c r="AP88" s="574"/>
      <c r="AQ88" s="574"/>
      <c r="AR88" s="574"/>
      <c r="AS88" s="574"/>
      <c r="AT88" s="574"/>
      <c r="AU88" s="574"/>
      <c r="AV88" s="574"/>
      <c r="AW88" s="574"/>
      <c r="AX88" s="574"/>
      <c r="AY88" s="574"/>
      <c r="AZ88" s="147"/>
      <c r="BA88" s="574"/>
      <c r="BB88" s="574"/>
      <c r="BC88" s="574"/>
      <c r="BD88" s="574"/>
      <c r="BE88" s="574"/>
      <c r="BF88" s="574"/>
      <c r="BG88" s="1520"/>
      <c r="BH88" s="1520"/>
      <c r="BI88" s="26"/>
      <c r="BJ88" s="26"/>
      <c r="BK88" s="26"/>
      <c r="BL88" s="26"/>
      <c r="BM88" s="26"/>
      <c r="BN88" s="26"/>
    </row>
    <row r="89" spans="2:66" x14ac:dyDescent="0.3">
      <c r="B89" s="266" t="s">
        <v>823</v>
      </c>
      <c r="C89" s="266"/>
      <c r="D89" s="156" t="s">
        <v>50</v>
      </c>
      <c r="E89" s="791"/>
      <c r="F89" s="361">
        <f>+F5</f>
        <v>69436.443999999974</v>
      </c>
      <c r="G89" s="791"/>
      <c r="H89" s="361">
        <f>+H5</f>
        <v>78924.165999999954</v>
      </c>
      <c r="I89" s="887"/>
      <c r="J89" s="362">
        <f>+J5</f>
        <v>148360.60999999993</v>
      </c>
      <c r="K89" s="791"/>
      <c r="L89" s="361">
        <f>+L5</f>
        <v>76378.819999999949</v>
      </c>
      <c r="M89" s="888"/>
      <c r="N89" s="441">
        <f>+N5</f>
        <v>224739.42999999988</v>
      </c>
      <c r="O89" s="791"/>
      <c r="P89" s="361">
        <f>+P5</f>
        <v>91293.134999999951</v>
      </c>
      <c r="Q89" s="887"/>
      <c r="R89" s="362">
        <f>+R5</f>
        <v>316032.56499999983</v>
      </c>
      <c r="S89" s="791"/>
      <c r="T89" s="361">
        <f>+T5</f>
        <v>78744.385999999984</v>
      </c>
      <c r="U89" s="887"/>
      <c r="V89" s="362">
        <f>+V5</f>
        <v>394776.95099999983</v>
      </c>
      <c r="W89" s="791"/>
      <c r="X89" s="361">
        <f>+X5</f>
        <v>79173.527999999977</v>
      </c>
      <c r="Y89" s="888"/>
      <c r="Z89" s="441">
        <f>+Z5</f>
        <v>249211.04899999994</v>
      </c>
      <c r="AA89" s="889"/>
      <c r="AB89" s="465">
        <f>+AB5</f>
        <v>473950.47899999982</v>
      </c>
      <c r="AC89" s="791"/>
      <c r="AD89" s="361">
        <f>+AD5</f>
        <v>52847.516999999993</v>
      </c>
      <c r="AE89" s="887"/>
      <c r="AF89" s="362">
        <f>+AF5</f>
        <v>526797.99599999981</v>
      </c>
      <c r="AG89" s="791"/>
      <c r="AH89" s="361">
        <f>+AH5</f>
        <v>72562.518000000025</v>
      </c>
      <c r="AI89" s="887"/>
      <c r="AJ89" s="362">
        <f>+AJ5</f>
        <v>599360.51399999985</v>
      </c>
      <c r="AK89" s="791"/>
      <c r="AL89" s="361">
        <f>+AL5</f>
        <v>85136.461000000039</v>
      </c>
      <c r="AM89" s="888"/>
      <c r="AN89" s="441">
        <f>+AN5</f>
        <v>210546.49600000004</v>
      </c>
      <c r="AO89" s="887"/>
      <c r="AP89" s="362">
        <f>+AP5</f>
        <v>684496.97499999986</v>
      </c>
      <c r="AQ89" s="791"/>
      <c r="AR89" s="361">
        <f>+AR5</f>
        <v>89388.381000000038</v>
      </c>
      <c r="AS89" s="887"/>
      <c r="AT89" s="362">
        <f>+AT5</f>
        <v>773885.35599999991</v>
      </c>
      <c r="AU89" s="791"/>
      <c r="AV89" s="361">
        <f>+AV5</f>
        <v>77175.722000000038</v>
      </c>
      <c r="AW89" s="887"/>
      <c r="AX89" s="362">
        <f>+AX5</f>
        <v>851061.07799999998</v>
      </c>
      <c r="AY89" s="791"/>
      <c r="AZ89" s="361">
        <f>+AZ5</f>
        <v>86982.177000000069</v>
      </c>
      <c r="BA89" s="888"/>
      <c r="BB89" s="441">
        <f>+BB5</f>
        <v>253546.28000000014</v>
      </c>
      <c r="BC89" s="889"/>
      <c r="BD89" s="465">
        <f>+BD5</f>
        <v>464092.77600000019</v>
      </c>
      <c r="BE89" s="887"/>
      <c r="BF89" s="362">
        <f>+BF5</f>
        <v>938043.255</v>
      </c>
      <c r="BG89" s="1520"/>
      <c r="BH89" s="1520"/>
      <c r="BI89" s="26"/>
      <c r="BJ89" s="26"/>
      <c r="BK89" s="26"/>
      <c r="BL89" s="26"/>
      <c r="BM89" s="26"/>
      <c r="BN89" s="26"/>
    </row>
    <row r="90" spans="2:66" ht="28.8" x14ac:dyDescent="0.3">
      <c r="B90" s="890" t="s">
        <v>828</v>
      </c>
      <c r="C90" s="890"/>
      <c r="D90" s="156" t="s">
        <v>50</v>
      </c>
      <c r="E90" s="791"/>
      <c r="F90" s="361">
        <f>+F83</f>
        <v>1272.0349999999989</v>
      </c>
      <c r="G90" s="791"/>
      <c r="H90" s="361">
        <f>+H83</f>
        <v>1371.9959999999985</v>
      </c>
      <c r="I90" s="887"/>
      <c r="J90" s="362">
        <f>+J83</f>
        <v>2644.0309999999972</v>
      </c>
      <c r="K90" s="791"/>
      <c r="L90" s="361">
        <f>+L83</f>
        <v>1397.1049999999987</v>
      </c>
      <c r="M90" s="888"/>
      <c r="N90" s="441">
        <f>+N83</f>
        <v>4041.1359999999959</v>
      </c>
      <c r="O90" s="791"/>
      <c r="P90" s="361">
        <f>+P83</f>
        <v>1636.4909999999986</v>
      </c>
      <c r="Q90" s="887"/>
      <c r="R90" s="362">
        <f>+R83</f>
        <v>5677.626999999995</v>
      </c>
      <c r="S90" s="791"/>
      <c r="T90" s="361">
        <f>+T83</f>
        <v>1497.3269999999989</v>
      </c>
      <c r="U90" s="887"/>
      <c r="V90" s="362">
        <f>+V83</f>
        <v>7174.9539999999943</v>
      </c>
      <c r="W90" s="791"/>
      <c r="X90" s="361">
        <f>+X83</f>
        <v>1407.1109999999983</v>
      </c>
      <c r="Y90" s="888"/>
      <c r="Z90" s="441">
        <f>+Z83</f>
        <v>4540.9289999999955</v>
      </c>
      <c r="AA90" s="889"/>
      <c r="AB90" s="465">
        <f>+AB83</f>
        <v>8582.0649999999914</v>
      </c>
      <c r="AC90" s="791"/>
      <c r="AD90" s="361">
        <f>+AD83</f>
        <v>947.50499999999943</v>
      </c>
      <c r="AE90" s="887"/>
      <c r="AF90" s="362">
        <f>+AF83</f>
        <v>9529.5699999999924</v>
      </c>
      <c r="AG90" s="791"/>
      <c r="AH90" s="361">
        <f>+AH83</f>
        <v>1539.275000000001</v>
      </c>
      <c r="AI90" s="887"/>
      <c r="AJ90" s="362">
        <f>+AJ83</f>
        <v>11068.844999999994</v>
      </c>
      <c r="AK90" s="791"/>
      <c r="AL90" s="361">
        <f>+AL83</f>
        <v>1985.4890000000023</v>
      </c>
      <c r="AM90" s="888"/>
      <c r="AN90" s="441">
        <f>+AN83</f>
        <v>4472.2690000000021</v>
      </c>
      <c r="AO90" s="887"/>
      <c r="AP90" s="362">
        <f>+AP83</f>
        <v>13054.333999999997</v>
      </c>
      <c r="AQ90" s="791"/>
      <c r="AR90" s="361">
        <f>+AR83</f>
        <v>2035.7070000000028</v>
      </c>
      <c r="AS90" s="887"/>
      <c r="AT90" s="362">
        <f>+AT83</f>
        <v>15090.040999999999</v>
      </c>
      <c r="AU90" s="791"/>
      <c r="AV90" s="361">
        <f>+AV83</f>
        <v>1792.8920000000021</v>
      </c>
      <c r="AW90" s="887"/>
      <c r="AX90" s="362">
        <f>+AX83</f>
        <v>16882.933000000001</v>
      </c>
      <c r="AY90" s="791"/>
      <c r="AZ90" s="361">
        <f>+AZ83</f>
        <v>2005.4110000000032</v>
      </c>
      <c r="BA90" s="888"/>
      <c r="BB90" s="441">
        <f>+BB83</f>
        <v>5834.0100000000075</v>
      </c>
      <c r="BC90" s="889"/>
      <c r="BD90" s="465">
        <f>+BD83</f>
        <v>10306.27900000001</v>
      </c>
      <c r="BE90" s="887"/>
      <c r="BF90" s="362">
        <f>+BF83</f>
        <v>18888.344000000005</v>
      </c>
      <c r="BG90" s="1520"/>
      <c r="BH90" s="1520"/>
      <c r="BI90" s="26"/>
      <c r="BJ90" s="26"/>
      <c r="BK90" s="26"/>
      <c r="BL90" s="26"/>
      <c r="BM90" s="26"/>
      <c r="BN90" s="26"/>
    </row>
    <row r="91" spans="2:66" x14ac:dyDescent="0.3">
      <c r="B91" s="266" t="s">
        <v>800</v>
      </c>
      <c r="C91" s="266"/>
      <c r="D91" s="156" t="s">
        <v>50</v>
      </c>
      <c r="E91" s="791"/>
      <c r="F91" s="361">
        <f>+F86</f>
        <v>1184.5240000000003</v>
      </c>
      <c r="G91" s="791"/>
      <c r="H91" s="361">
        <f>+H86</f>
        <v>1345.2450000000008</v>
      </c>
      <c r="I91" s="887"/>
      <c r="J91" s="362">
        <f>+J86</f>
        <v>2529.7690000000011</v>
      </c>
      <c r="K91" s="791"/>
      <c r="L91" s="361">
        <f>+L86</f>
        <v>1302.4100000000014</v>
      </c>
      <c r="M91" s="888"/>
      <c r="N91" s="441">
        <f>+N86</f>
        <v>3832.1790000000028</v>
      </c>
      <c r="O91" s="791"/>
      <c r="P91" s="361">
        <f>+P86</f>
        <v>1556.0040000000015</v>
      </c>
      <c r="Q91" s="887"/>
      <c r="R91" s="362">
        <f>+R86</f>
        <v>5388.1830000000045</v>
      </c>
      <c r="S91" s="791"/>
      <c r="T91" s="361">
        <f>+T86</f>
        <v>1342.794000000001</v>
      </c>
      <c r="U91" s="887"/>
      <c r="V91" s="362">
        <f>+V86</f>
        <v>6730.9770000000053</v>
      </c>
      <c r="W91" s="791"/>
      <c r="X91" s="361">
        <f>+X86</f>
        <v>1348.8320000000012</v>
      </c>
      <c r="Y91" s="888"/>
      <c r="Z91" s="441">
        <f>+Z86</f>
        <v>4247.6300000000037</v>
      </c>
      <c r="AA91" s="889"/>
      <c r="AB91" s="465">
        <f>+AB86</f>
        <v>8079.8090000000066</v>
      </c>
      <c r="AC91" s="791"/>
      <c r="AD91" s="361">
        <f>+AD86</f>
        <v>899.73700000000099</v>
      </c>
      <c r="AE91" s="887"/>
      <c r="AF91" s="362">
        <f>+AF86</f>
        <v>8979.5460000000076</v>
      </c>
      <c r="AG91" s="791"/>
      <c r="AH91" s="361">
        <f>+AH86</f>
        <v>1233.5280000000007</v>
      </c>
      <c r="AI91" s="887"/>
      <c r="AJ91" s="362">
        <f>+AJ86</f>
        <v>10213.074000000008</v>
      </c>
      <c r="AK91" s="791"/>
      <c r="AL91" s="361">
        <f>+AL86</f>
        <v>1444.9570000000015</v>
      </c>
      <c r="AM91" s="888"/>
      <c r="AN91" s="441">
        <f>+AN86</f>
        <v>3578.2220000000034</v>
      </c>
      <c r="AO91" s="887"/>
      <c r="AP91" s="362">
        <f>+AP86</f>
        <v>11658.03100000001</v>
      </c>
      <c r="AQ91" s="791"/>
      <c r="AR91" s="361">
        <f>+AR86</f>
        <v>1515.8440000000021</v>
      </c>
      <c r="AS91" s="887"/>
      <c r="AT91" s="362">
        <f>+AT86</f>
        <v>13173.875000000013</v>
      </c>
      <c r="AU91" s="791"/>
      <c r="AV91" s="361">
        <f>+AV86</f>
        <v>1308.7300000000009</v>
      </c>
      <c r="AW91" s="887"/>
      <c r="AX91" s="362">
        <f>+AX86</f>
        <v>14482.605000000014</v>
      </c>
      <c r="AY91" s="791"/>
      <c r="AZ91" s="361">
        <f>+AZ86</f>
        <v>1475.2410000000009</v>
      </c>
      <c r="BA91" s="888"/>
      <c r="BB91" s="441">
        <f>+BB86</f>
        <v>4299.8150000000041</v>
      </c>
      <c r="BC91" s="889"/>
      <c r="BD91" s="465">
        <f>+BD86</f>
        <v>7878.0370000000075</v>
      </c>
      <c r="BE91" s="887"/>
      <c r="BF91" s="362">
        <f>+BF86</f>
        <v>15957.846000000016</v>
      </c>
      <c r="BG91" s="1520"/>
      <c r="BH91" s="1520"/>
      <c r="BI91" s="26"/>
      <c r="BJ91" s="26"/>
      <c r="BK91" s="26"/>
      <c r="BL91" s="26"/>
      <c r="BM91" s="26"/>
      <c r="BN91" s="26"/>
    </row>
    <row r="92" spans="2:66" x14ac:dyDescent="0.3">
      <c r="B92" s="266" t="s">
        <v>826</v>
      </c>
      <c r="C92" s="266"/>
      <c r="D92" s="156" t="s">
        <v>50</v>
      </c>
      <c r="E92" s="791"/>
      <c r="F92" s="361">
        <f>+F55</f>
        <v>66979.885000000038</v>
      </c>
      <c r="G92" s="791"/>
      <c r="H92" s="361">
        <f>+H55</f>
        <v>76206.925000000061</v>
      </c>
      <c r="I92" s="887"/>
      <c r="J92" s="362">
        <f>+J55</f>
        <v>143186.81000000008</v>
      </c>
      <c r="K92" s="791"/>
      <c r="L92" s="361">
        <f>+L55</f>
        <v>73679.305000000051</v>
      </c>
      <c r="M92" s="888"/>
      <c r="N92" s="441">
        <f>+N55</f>
        <v>216866.11500000019</v>
      </c>
      <c r="O92" s="791"/>
      <c r="P92" s="361">
        <f>+P55</f>
        <v>88100.640000000101</v>
      </c>
      <c r="Q92" s="887"/>
      <c r="R92" s="362">
        <f>+R55</f>
        <v>304966.75500000018</v>
      </c>
      <c r="S92" s="791"/>
      <c r="T92" s="361">
        <f>+T55</f>
        <v>75904.265000000043</v>
      </c>
      <c r="U92" s="887"/>
      <c r="V92" s="362">
        <f>+V55</f>
        <v>380871.02000000031</v>
      </c>
      <c r="W92" s="791"/>
      <c r="X92" s="361">
        <f>+X55</f>
        <v>76417.585000000079</v>
      </c>
      <c r="Y92" s="888"/>
      <c r="Z92" s="441">
        <f>+Z55</f>
        <v>240422.49000000025</v>
      </c>
      <c r="AA92" s="889"/>
      <c r="AB92" s="465">
        <f>+AB55</f>
        <v>457288.60500000051</v>
      </c>
      <c r="AC92" s="791"/>
      <c r="AD92" s="361">
        <f>+AD55</f>
        <v>51000.275000000081</v>
      </c>
      <c r="AE92" s="887"/>
      <c r="AF92" s="362">
        <f>+AF55</f>
        <v>508288.88000000047</v>
      </c>
      <c r="AG92" s="791"/>
      <c r="AH92" s="361">
        <f>+AH55</f>
        <v>69789.71500000004</v>
      </c>
      <c r="AI92" s="887"/>
      <c r="AJ92" s="362">
        <f>+AJ55</f>
        <v>578078.59500000055</v>
      </c>
      <c r="AK92" s="791"/>
      <c r="AL92" s="361">
        <f>+AL55</f>
        <v>81706.015000000145</v>
      </c>
      <c r="AM92" s="888"/>
      <c r="AN92" s="441">
        <f>+AN55</f>
        <v>202496.0050000003</v>
      </c>
      <c r="AO92" s="887"/>
      <c r="AP92" s="362">
        <f>+AP55</f>
        <v>659784.61000000045</v>
      </c>
      <c r="AQ92" s="791"/>
      <c r="AR92" s="361">
        <f>+AR55</f>
        <v>85836.830000000118</v>
      </c>
      <c r="AS92" s="887"/>
      <c r="AT92" s="362">
        <f>+AT55</f>
        <v>745621.44000000064</v>
      </c>
      <c r="AU92" s="791"/>
      <c r="AV92" s="361">
        <f>+AV55</f>
        <v>74074.100000000093</v>
      </c>
      <c r="AW92" s="887"/>
      <c r="AX92" s="362">
        <f>+AX55</f>
        <v>819695.54000000074</v>
      </c>
      <c r="AY92" s="791"/>
      <c r="AZ92" s="361">
        <f>+AZ55</f>
        <v>81308.429999999993</v>
      </c>
      <c r="BA92" s="888"/>
      <c r="BB92" s="441">
        <f>+BB55</f>
        <v>241219.36000000028</v>
      </c>
      <c r="BC92" s="889"/>
      <c r="BD92" s="465">
        <f>+BD55</f>
        <v>443715.36500000063</v>
      </c>
      <c r="BE92" s="887"/>
      <c r="BF92" s="362">
        <f>+BF55</f>
        <v>901003.9700000009</v>
      </c>
      <c r="BG92" s="1520"/>
      <c r="BH92" s="1520"/>
      <c r="BI92" s="26"/>
      <c r="BJ92" s="26"/>
      <c r="BK92" s="26"/>
      <c r="BL92" s="26"/>
      <c r="BM92" s="26"/>
      <c r="BN92" s="26"/>
    </row>
    <row r="93" spans="2:66" x14ac:dyDescent="0.3">
      <c r="B93" s="266" t="s">
        <v>824</v>
      </c>
      <c r="C93" s="266"/>
      <c r="D93" s="156" t="s">
        <v>50</v>
      </c>
      <c r="E93" s="791"/>
      <c r="F93" s="361">
        <f>+F57</f>
        <v>84.429999999999993</v>
      </c>
      <c r="G93" s="791"/>
      <c r="H93" s="361">
        <f>+H57</f>
        <v>31.29</v>
      </c>
      <c r="I93" s="887"/>
      <c r="J93" s="362">
        <f>+J57</f>
        <v>115.72</v>
      </c>
      <c r="K93" s="791"/>
      <c r="L93" s="361">
        <f>+L57</f>
        <v>35.289999999999992</v>
      </c>
      <c r="M93" s="888"/>
      <c r="N93" s="441">
        <f>+N57</f>
        <v>151.01</v>
      </c>
      <c r="O93" s="791"/>
      <c r="P93" s="361">
        <f>+P57</f>
        <v>44.150000000000006</v>
      </c>
      <c r="Q93" s="887"/>
      <c r="R93" s="362">
        <f>+R57</f>
        <v>195.16000000000003</v>
      </c>
      <c r="S93" s="791"/>
      <c r="T93" s="361">
        <f>+T57</f>
        <v>50.57</v>
      </c>
      <c r="U93" s="887"/>
      <c r="V93" s="362">
        <f>+V57</f>
        <v>245.73000000000005</v>
      </c>
      <c r="W93" s="791"/>
      <c r="X93" s="361">
        <f>+X57</f>
        <v>98.55</v>
      </c>
      <c r="Y93" s="888"/>
      <c r="Z93" s="441">
        <f>+Z57</f>
        <v>193.26999999999998</v>
      </c>
      <c r="AA93" s="889"/>
      <c r="AB93" s="465">
        <f>+AB57</f>
        <v>344.28</v>
      </c>
      <c r="AC93" s="791"/>
      <c r="AD93" s="361">
        <f>+AD57</f>
        <v>50</v>
      </c>
      <c r="AE93" s="887"/>
      <c r="AF93" s="362">
        <f>+AF57</f>
        <v>394.28</v>
      </c>
      <c r="AG93" s="791"/>
      <c r="AH93" s="361">
        <f>+AH57</f>
        <v>68.95</v>
      </c>
      <c r="AI93" s="887"/>
      <c r="AJ93" s="362">
        <f>+AJ57</f>
        <v>463.23</v>
      </c>
      <c r="AK93" s="791"/>
      <c r="AL93" s="361">
        <f>+AL57</f>
        <v>89.25</v>
      </c>
      <c r="AM93" s="888"/>
      <c r="AN93" s="441">
        <f>+AN57</f>
        <v>208.2</v>
      </c>
      <c r="AO93" s="887"/>
      <c r="AP93" s="362">
        <f>+AP57</f>
        <v>552.48</v>
      </c>
      <c r="AQ93" s="791"/>
      <c r="AR93" s="361">
        <f>+AR57</f>
        <v>32.229999999999997</v>
      </c>
      <c r="AS93" s="887"/>
      <c r="AT93" s="362">
        <f>+AT57</f>
        <v>584.71</v>
      </c>
      <c r="AU93" s="791"/>
      <c r="AV93" s="361">
        <f>+AV57</f>
        <v>15.78</v>
      </c>
      <c r="AW93" s="887"/>
      <c r="AX93" s="362">
        <f>+AX57</f>
        <v>600.49</v>
      </c>
      <c r="AY93" s="791"/>
      <c r="AZ93" s="361">
        <f>+AZ57</f>
        <v>108.43</v>
      </c>
      <c r="BA93" s="888"/>
      <c r="BB93" s="441">
        <f>+BB57</f>
        <v>156.44</v>
      </c>
      <c r="BC93" s="889"/>
      <c r="BD93" s="465">
        <f>+BD57</f>
        <v>364.63999999999993</v>
      </c>
      <c r="BE93" s="887"/>
      <c r="BF93" s="362">
        <f>+BF57</f>
        <v>708.91999999999985</v>
      </c>
      <c r="BG93" s="1520"/>
      <c r="BH93" s="1520"/>
      <c r="BI93" s="26"/>
      <c r="BJ93" s="26"/>
      <c r="BK93" s="26"/>
      <c r="BL93" s="26"/>
      <c r="BM93" s="26"/>
      <c r="BN93" s="26"/>
    </row>
    <row r="94" spans="2:66" x14ac:dyDescent="0.3">
      <c r="B94" s="266" t="s">
        <v>825</v>
      </c>
      <c r="C94" s="266"/>
      <c r="D94" s="156" t="s">
        <v>50</v>
      </c>
      <c r="E94" s="791"/>
      <c r="F94" s="361">
        <f>+F92-F93</f>
        <v>66895.455000000045</v>
      </c>
      <c r="G94" s="791"/>
      <c r="H94" s="361">
        <f>+H92-H93</f>
        <v>76175.635000000068</v>
      </c>
      <c r="I94" s="887"/>
      <c r="J94" s="362">
        <f>+J92-J93</f>
        <v>143071.09000000008</v>
      </c>
      <c r="K94" s="791"/>
      <c r="L94" s="361">
        <f>+L92-L93</f>
        <v>73644.015000000058</v>
      </c>
      <c r="M94" s="888"/>
      <c r="N94" s="441">
        <f>+N92-N93</f>
        <v>216715.10500000019</v>
      </c>
      <c r="O94" s="791"/>
      <c r="P94" s="361">
        <f>+P92-P93</f>
        <v>88056.490000000107</v>
      </c>
      <c r="Q94" s="887"/>
      <c r="R94" s="362">
        <f>+R92-R93</f>
        <v>304771.5950000002</v>
      </c>
      <c r="S94" s="791"/>
      <c r="T94" s="361">
        <f>+T92-T93</f>
        <v>75853.695000000036</v>
      </c>
      <c r="U94" s="887"/>
      <c r="V94" s="362">
        <f>+V92-V93</f>
        <v>380625.29000000033</v>
      </c>
      <c r="W94" s="791"/>
      <c r="X94" s="361">
        <f>+X92-X93</f>
        <v>76319.035000000076</v>
      </c>
      <c r="Y94" s="888"/>
      <c r="Z94" s="441">
        <f>+Z92-Z93</f>
        <v>240229.22000000026</v>
      </c>
      <c r="AA94" s="889"/>
      <c r="AB94" s="465">
        <f>+AB92-AB93</f>
        <v>456944.32500000048</v>
      </c>
      <c r="AC94" s="791"/>
      <c r="AD94" s="361">
        <f>+AD92-AD93</f>
        <v>50950.275000000081</v>
      </c>
      <c r="AE94" s="887"/>
      <c r="AF94" s="362">
        <f>+AF92-AF93</f>
        <v>507894.60000000044</v>
      </c>
      <c r="AG94" s="791"/>
      <c r="AH94" s="361">
        <f>+AH92-AH93</f>
        <v>69720.765000000043</v>
      </c>
      <c r="AI94" s="887"/>
      <c r="AJ94" s="362">
        <f>+AJ92-AJ93</f>
        <v>577615.36500000057</v>
      </c>
      <c r="AK94" s="791"/>
      <c r="AL94" s="361">
        <f>+AL92-AL93</f>
        <v>81616.765000000145</v>
      </c>
      <c r="AM94" s="888"/>
      <c r="AN94" s="441">
        <f>+AN92-AN93</f>
        <v>202287.80500000028</v>
      </c>
      <c r="AO94" s="887"/>
      <c r="AP94" s="362">
        <f>+AP92-AP93</f>
        <v>659232.13000000047</v>
      </c>
      <c r="AQ94" s="791"/>
      <c r="AR94" s="361">
        <f>+AR92-AR93</f>
        <v>85804.600000000122</v>
      </c>
      <c r="AS94" s="887"/>
      <c r="AT94" s="362">
        <f>+AT92-AT93</f>
        <v>745036.73000000068</v>
      </c>
      <c r="AU94" s="791"/>
      <c r="AV94" s="361">
        <f>+AV92-AV93</f>
        <v>74058.320000000094</v>
      </c>
      <c r="AW94" s="887"/>
      <c r="AX94" s="362">
        <f>+AX92-AX93</f>
        <v>819095.05000000075</v>
      </c>
      <c r="AY94" s="791"/>
      <c r="AZ94" s="361">
        <f>+AZ92-AZ93</f>
        <v>81200</v>
      </c>
      <c r="BA94" s="888"/>
      <c r="BB94" s="441">
        <f>+BB92-BB93</f>
        <v>241062.92000000027</v>
      </c>
      <c r="BC94" s="889"/>
      <c r="BD94" s="465">
        <f>+BD92-BD93</f>
        <v>443350.72500000062</v>
      </c>
      <c r="BE94" s="887"/>
      <c r="BF94" s="362">
        <f>+BF92-BF93</f>
        <v>900295.05000000086</v>
      </c>
      <c r="BG94" s="1520"/>
      <c r="BH94" s="1520"/>
      <c r="BI94" s="26"/>
      <c r="BJ94" s="26"/>
      <c r="BK94" s="26"/>
      <c r="BL94" s="26"/>
      <c r="BM94" s="26"/>
      <c r="BN94" s="26"/>
    </row>
    <row r="95" spans="2:66" x14ac:dyDescent="0.3">
      <c r="B95" s="151"/>
      <c r="C95" s="151"/>
      <c r="D95" s="151"/>
      <c r="E95" s="574"/>
      <c r="F95" s="574"/>
      <c r="G95" s="574"/>
      <c r="H95" s="574"/>
      <c r="I95" s="574"/>
      <c r="J95" s="574"/>
      <c r="K95" s="574"/>
      <c r="L95" s="574"/>
      <c r="M95" s="574"/>
      <c r="N95" s="574"/>
      <c r="O95" s="574"/>
      <c r="P95" s="574"/>
      <c r="Q95" s="574"/>
      <c r="R95" s="574"/>
      <c r="S95" s="574"/>
      <c r="T95" s="574"/>
      <c r="U95" s="574"/>
      <c r="V95" s="574"/>
      <c r="W95" s="574"/>
      <c r="X95" s="574"/>
      <c r="Y95" s="574"/>
      <c r="Z95" s="574"/>
      <c r="AA95" s="574"/>
      <c r="AB95" s="574"/>
      <c r="AC95" s="574"/>
      <c r="AD95" s="574"/>
      <c r="AE95" s="574"/>
      <c r="AF95" s="574"/>
      <c r="AG95" s="574"/>
      <c r="AH95" s="574"/>
      <c r="AI95" s="574"/>
      <c r="AJ95" s="574"/>
      <c r="AK95" s="574"/>
      <c r="AL95" s="574"/>
      <c r="AM95" s="574"/>
      <c r="AN95" s="574"/>
      <c r="AO95" s="574"/>
      <c r="AP95" s="574"/>
      <c r="AQ95" s="574"/>
      <c r="AR95" s="574"/>
      <c r="AS95" s="574"/>
      <c r="AT95" s="574"/>
      <c r="AU95" s="574"/>
      <c r="AV95" s="574"/>
      <c r="AW95" s="574"/>
      <c r="AX95" s="574"/>
      <c r="AY95" s="574"/>
      <c r="AZ95" s="574"/>
      <c r="BA95" s="574"/>
      <c r="BB95" s="574"/>
      <c r="BC95" s="574"/>
      <c r="BD95" s="574"/>
      <c r="BE95" s="574"/>
      <c r="BF95" s="574"/>
      <c r="BG95" s="1520"/>
      <c r="BH95" s="1520"/>
      <c r="BI95" s="26"/>
      <c r="BJ95" s="26"/>
      <c r="BK95" s="26"/>
      <c r="BL95" s="26"/>
      <c r="BM95" s="26"/>
      <c r="BN95" s="26"/>
    </row>
    <row r="96" spans="2:66" ht="15.6" x14ac:dyDescent="0.3">
      <c r="AZ96" s="5839"/>
      <c r="BG96" s="1520"/>
      <c r="BH96" s="1520"/>
      <c r="BI96" s="26"/>
      <c r="BJ96" s="26"/>
      <c r="BK96" s="26"/>
      <c r="BL96" s="26"/>
      <c r="BM96" s="26"/>
      <c r="BN96" s="26"/>
    </row>
    <row r="97" spans="5:66" ht="15" customHeight="1" x14ac:dyDescent="0.3">
      <c r="E97" s="26">
        <f>E56-'Maj Production Summ'!E31</f>
        <v>0</v>
      </c>
      <c r="F97" s="26">
        <f>F56-'Maj Production Summ'!F31</f>
        <v>0</v>
      </c>
      <c r="G97" s="26">
        <f>G56-'Maj Production Summ'!G31</f>
        <v>0</v>
      </c>
      <c r="H97" s="26">
        <f>H56-'Maj Production Summ'!H31</f>
        <v>0</v>
      </c>
      <c r="I97" s="26">
        <f>I56-'Maj Production Summ'!I31</f>
        <v>0</v>
      </c>
      <c r="J97" s="26">
        <f>J56-'Maj Production Summ'!J31</f>
        <v>0</v>
      </c>
      <c r="K97" s="26">
        <f>K56-'Maj Production Summ'!K31</f>
        <v>0</v>
      </c>
      <c r="L97" s="26">
        <f>L56-'Maj Production Summ'!L31</f>
        <v>0</v>
      </c>
      <c r="M97" s="26">
        <f>M56-'Maj Production Summ'!M31</f>
        <v>0</v>
      </c>
      <c r="N97" s="26">
        <f>N56-'Maj Production Summ'!N31</f>
        <v>0</v>
      </c>
      <c r="O97" s="26">
        <f>O56-'Maj Production Summ'!O31</f>
        <v>0</v>
      </c>
      <c r="P97" s="26">
        <f>P56-'Maj Production Summ'!P31</f>
        <v>0</v>
      </c>
      <c r="Q97" s="26">
        <f>Q56-'Maj Production Summ'!Q31</f>
        <v>0</v>
      </c>
      <c r="R97" s="26">
        <f>R56-'Maj Production Summ'!R31</f>
        <v>0</v>
      </c>
      <c r="S97" s="26">
        <f>S56-'Maj Production Summ'!S31</f>
        <v>0</v>
      </c>
      <c r="T97" s="26">
        <f>T56-'Maj Production Summ'!T31</f>
        <v>0</v>
      </c>
      <c r="U97" s="26">
        <f>U56-'Maj Production Summ'!U31</f>
        <v>0</v>
      </c>
      <c r="V97" s="26">
        <f>V56-'Maj Production Summ'!V31</f>
        <v>0</v>
      </c>
      <c r="W97" s="26">
        <f>W56-'Maj Production Summ'!W31</f>
        <v>0</v>
      </c>
      <c r="X97" s="26">
        <f>X56-'Maj Production Summ'!X31</f>
        <v>0</v>
      </c>
      <c r="Y97" s="26">
        <f>Y56-'Maj Production Summ'!Y31</f>
        <v>0</v>
      </c>
      <c r="Z97" s="26">
        <f>Z56-'Maj Production Summ'!Z31</f>
        <v>0</v>
      </c>
      <c r="AA97" s="26">
        <f>AA56-'Maj Production Summ'!AA31</f>
        <v>0</v>
      </c>
      <c r="AB97" s="26">
        <f>AB56-'Maj Production Summ'!AB31</f>
        <v>0</v>
      </c>
      <c r="AC97" s="26">
        <f>AC56-'Maj Production Summ'!AC31</f>
        <v>0</v>
      </c>
      <c r="AD97" s="26">
        <f>AD56-'Maj Production Summ'!AD31</f>
        <v>0</v>
      </c>
      <c r="AE97" s="26">
        <f>AE56-'Maj Production Summ'!AE31</f>
        <v>0</v>
      </c>
      <c r="AF97" s="26">
        <f>AF56-'Maj Production Summ'!AF31</f>
        <v>0</v>
      </c>
      <c r="AG97" s="26">
        <f>AG56-'Maj Production Summ'!AG31</f>
        <v>0</v>
      </c>
      <c r="AH97" s="26">
        <f>AH56-'Maj Production Summ'!AH31</f>
        <v>0</v>
      </c>
      <c r="AI97" s="26">
        <f>AI56-'Maj Production Summ'!AI31</f>
        <v>0</v>
      </c>
      <c r="AJ97" s="26">
        <f>AJ56-'Maj Production Summ'!AJ31</f>
        <v>0</v>
      </c>
      <c r="AK97" s="26">
        <f>AK56-'Maj Production Summ'!AK31</f>
        <v>0</v>
      </c>
      <c r="AL97" s="26">
        <f>AL56-'Maj Production Summ'!AL31</f>
        <v>0</v>
      </c>
      <c r="AM97" s="26">
        <f>AM56-'Maj Production Summ'!AM31</f>
        <v>0</v>
      </c>
      <c r="AN97" s="26">
        <f>AN56-'Maj Production Summ'!AN31</f>
        <v>0</v>
      </c>
      <c r="AO97" s="26">
        <f>AO56-'Maj Production Summ'!AO31</f>
        <v>0</v>
      </c>
      <c r="AP97" s="26">
        <f>AP56-'Maj Production Summ'!AP31</f>
        <v>0</v>
      </c>
      <c r="AQ97" s="26">
        <f>AQ56-'Maj Production Summ'!AQ31</f>
        <v>0</v>
      </c>
      <c r="AR97" s="26">
        <f>AR56-'Maj Production Summ'!AR31</f>
        <v>0</v>
      </c>
      <c r="AS97" s="26">
        <f>AS56-'Maj Production Summ'!AS31</f>
        <v>0</v>
      </c>
      <c r="AT97" s="26">
        <f>AT56-'Maj Production Summ'!AT31</f>
        <v>0</v>
      </c>
      <c r="AU97" s="26">
        <f>AU56-'Maj Production Summ'!AU31</f>
        <v>0</v>
      </c>
      <c r="AV97" s="26">
        <f>AV56-'Maj Production Summ'!AV31</f>
        <v>0</v>
      </c>
      <c r="AW97" s="26">
        <f>AW56-'Maj Production Summ'!AW31</f>
        <v>0</v>
      </c>
      <c r="AX97" s="26">
        <f>AX56-'Maj Production Summ'!AX31</f>
        <v>0</v>
      </c>
      <c r="AY97" s="26">
        <f>AY56-'Maj Production Summ'!AY31</f>
        <v>0</v>
      </c>
      <c r="AZ97" s="5840">
        <f>AZ56-'Maj Production Summ'!AZ31</f>
        <v>0</v>
      </c>
      <c r="BA97" s="26">
        <f>BA56-'Maj Production Summ'!BA31</f>
        <v>0</v>
      </c>
      <c r="BB97" s="26">
        <f>BB56-'Maj Production Summ'!BB31</f>
        <v>0</v>
      </c>
      <c r="BC97" s="26">
        <f>BC56-'Maj Production Summ'!BC31</f>
        <v>0</v>
      </c>
      <c r="BD97" s="26">
        <f>BD56-'Maj Production Summ'!BD31</f>
        <v>0</v>
      </c>
      <c r="BE97" s="26">
        <f>BE56-'Maj Production Summ'!BE31</f>
        <v>0</v>
      </c>
      <c r="BF97" s="26">
        <f>BF56-'Maj Production Summ'!BF31</f>
        <v>0</v>
      </c>
      <c r="BG97" s="1520"/>
      <c r="BH97" s="1520"/>
      <c r="BI97" s="26"/>
      <c r="BJ97" s="26"/>
      <c r="BK97" s="26"/>
      <c r="BL97" s="26"/>
      <c r="BM97" s="26"/>
      <c r="BN97" s="26"/>
    </row>
    <row r="99" spans="5:66" x14ac:dyDescent="0.3">
      <c r="AQ99" s="26"/>
      <c r="AR99" s="26"/>
      <c r="AS99" s="26"/>
      <c r="AT99" s="26"/>
      <c r="AU99" s="26"/>
      <c r="AV99" s="26"/>
    </row>
    <row r="100" spans="5:66" x14ac:dyDescent="0.3">
      <c r="AZ100" s="26"/>
    </row>
  </sheetData>
  <mergeCells count="30"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  <mergeCell ref="W3:X3"/>
    <mergeCell ref="Y3:Z3"/>
    <mergeCell ref="AA3:AB3"/>
    <mergeCell ref="AG3:AH3"/>
    <mergeCell ref="AI3:AJ3"/>
    <mergeCell ref="AC3:AD3"/>
    <mergeCell ref="AE3:AF3"/>
    <mergeCell ref="AQ3:AR3"/>
    <mergeCell ref="AS3:AT3"/>
    <mergeCell ref="AK3:AL3"/>
    <mergeCell ref="AM3:AN3"/>
    <mergeCell ref="AO3:AP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3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92D050"/>
    <pageSetUpPr fitToPage="1"/>
  </sheetPr>
  <dimension ref="A1:BT178"/>
  <sheetViews>
    <sheetView topLeftCell="A121" zoomScaleNormal="100" workbookViewId="0">
      <pane xSplit="5" topLeftCell="F1" activePane="topRight" state="frozen"/>
      <selection pane="topRight" activeCell="B149" sqref="B149"/>
    </sheetView>
  </sheetViews>
  <sheetFormatPr defaultColWidth="9.109375" defaultRowHeight="14.4" x14ac:dyDescent="0.3"/>
  <cols>
    <col min="1" max="1" width="3.5546875" customWidth="1"/>
    <col min="2" max="2" width="51.109375" bestFit="1" customWidth="1"/>
    <col min="3" max="3" width="13.33203125" bestFit="1" customWidth="1"/>
    <col min="4" max="4" width="12" customWidth="1"/>
    <col min="5" max="5" width="12.88671875" customWidth="1"/>
    <col min="6" max="6" width="8.5546875" customWidth="1"/>
    <col min="7" max="7" width="11.88671875" customWidth="1"/>
    <col min="8" max="8" width="8.6640625" customWidth="1"/>
    <col min="9" max="9" width="8.5546875" customWidth="1"/>
    <col min="10" max="10" width="10.33203125" hidden="1" customWidth="1"/>
    <col min="11" max="11" width="9.44140625" hidden="1" customWidth="1"/>
    <col min="12" max="13" width="8.5546875" customWidth="1"/>
    <col min="14" max="15" width="10.33203125" customWidth="1"/>
    <col min="16" max="17" width="8.5546875" customWidth="1"/>
    <col min="18" max="18" width="12.109375" hidden="1" customWidth="1"/>
    <col min="19" max="19" width="9.44140625" hidden="1" customWidth="1"/>
    <col min="20" max="21" width="8.5546875" customWidth="1"/>
    <col min="22" max="22" width="9.6640625" hidden="1" customWidth="1"/>
    <col min="23" max="23" width="12.88671875" hidden="1" customWidth="1"/>
    <col min="24" max="25" width="9.109375" customWidth="1"/>
    <col min="26" max="26" width="11.33203125" customWidth="1"/>
    <col min="27" max="27" width="10.33203125" customWidth="1"/>
    <col min="28" max="29" width="9.6640625" customWidth="1"/>
    <col min="30" max="31" width="9.109375" customWidth="1"/>
    <col min="32" max="33" width="9.109375" hidden="1" customWidth="1"/>
    <col min="34" max="34" width="9.109375" customWidth="1"/>
    <col min="35" max="35" width="9.5546875" customWidth="1"/>
    <col min="36" max="37" width="9.109375" hidden="1" customWidth="1"/>
    <col min="38" max="41" width="9.109375" customWidth="1"/>
    <col min="42" max="43" width="9.109375" hidden="1" customWidth="1"/>
    <col min="44" max="44" width="9.109375" customWidth="1"/>
    <col min="45" max="45" width="8" bestFit="1" customWidth="1"/>
    <col min="46" max="47" width="9.109375" hidden="1" customWidth="1"/>
    <col min="48" max="49" width="9.109375" customWidth="1"/>
    <col min="50" max="51" width="9.109375" hidden="1" customWidth="1"/>
    <col min="52" max="59" width="9.109375" customWidth="1"/>
    <col min="60" max="60" width="12.44140625" hidden="1" customWidth="1"/>
    <col min="61" max="61" width="9.5546875" hidden="1" customWidth="1"/>
    <col min="62" max="65" width="9.109375" hidden="1" customWidth="1"/>
    <col min="66" max="66" width="9.5546875" hidden="1" customWidth="1"/>
    <col min="67" max="67" width="0" hidden="1" customWidth="1"/>
    <col min="68" max="68" width="9.5546875" hidden="1" customWidth="1"/>
    <col min="69" max="69" width="9.33203125" bestFit="1" customWidth="1"/>
    <col min="70" max="70" width="9.5546875" bestFit="1" customWidth="1"/>
  </cols>
  <sheetData>
    <row r="1" spans="1:72" ht="22.8" x14ac:dyDescent="0.4">
      <c r="A1" s="146"/>
      <c r="B1" s="785" t="s">
        <v>115</v>
      </c>
      <c r="C1" s="785"/>
      <c r="D1" s="785"/>
      <c r="E1" s="522"/>
      <c r="F1" s="522"/>
      <c r="G1" s="522"/>
      <c r="H1" s="522"/>
      <c r="I1" s="522"/>
      <c r="J1" s="522"/>
      <c r="K1" s="522"/>
      <c r="L1" s="151"/>
      <c r="M1" s="151"/>
      <c r="N1" s="151"/>
      <c r="O1" s="151"/>
      <c r="P1" s="151"/>
      <c r="Q1" s="151"/>
      <c r="R1" s="151"/>
      <c r="S1" s="151"/>
      <c r="T1" s="151"/>
      <c r="U1" s="92"/>
      <c r="V1" s="151"/>
      <c r="W1" s="151"/>
      <c r="X1" s="151"/>
      <c r="Y1" s="151"/>
      <c r="Z1" s="151"/>
      <c r="AA1" s="151"/>
      <c r="AB1" s="151"/>
      <c r="AC1" s="151"/>
      <c r="AD1" s="151"/>
      <c r="AE1" s="151"/>
    </row>
    <row r="2" spans="1:72" ht="15" thickBot="1" x14ac:dyDescent="0.35">
      <c r="A2" s="146"/>
      <c r="B2" s="522"/>
      <c r="C2" s="522"/>
      <c r="D2" s="522"/>
      <c r="E2" s="522"/>
      <c r="F2" s="394">
        <v>30</v>
      </c>
      <c r="G2" s="394">
        <v>30</v>
      </c>
      <c r="H2" s="394">
        <v>31</v>
      </c>
      <c r="I2" s="394">
        <v>31</v>
      </c>
      <c r="J2" s="394">
        <f>+F2+H2</f>
        <v>61</v>
      </c>
      <c r="K2" s="394">
        <f>+G2+I2</f>
        <v>61</v>
      </c>
      <c r="L2" s="394">
        <v>30</v>
      </c>
      <c r="M2" s="394">
        <v>30</v>
      </c>
      <c r="N2" s="394">
        <f>+J2+L2</f>
        <v>91</v>
      </c>
      <c r="O2" s="394">
        <f>+K2+M2</f>
        <v>91</v>
      </c>
      <c r="P2" s="394">
        <v>31</v>
      </c>
      <c r="Q2" s="394">
        <v>31</v>
      </c>
      <c r="R2" s="394">
        <f>+N2+P2</f>
        <v>122</v>
      </c>
      <c r="S2" s="394">
        <f>+O2+Q2</f>
        <v>122</v>
      </c>
      <c r="T2" s="394">
        <v>31</v>
      </c>
      <c r="U2" s="95">
        <v>31</v>
      </c>
      <c r="V2" s="394">
        <f>+R2+T2</f>
        <v>153</v>
      </c>
      <c r="W2" s="394">
        <f>+S2+U2</f>
        <v>153</v>
      </c>
      <c r="X2" s="394">
        <v>30</v>
      </c>
      <c r="Y2" s="394">
        <v>30</v>
      </c>
      <c r="Z2" s="394">
        <f>+P2+T2+X2</f>
        <v>92</v>
      </c>
      <c r="AA2" s="394">
        <f>+Q2+U2+Y2</f>
        <v>92</v>
      </c>
      <c r="AB2" s="394">
        <f>+Z2+N2</f>
        <v>183</v>
      </c>
      <c r="AC2" s="394">
        <f>+AA2+O2</f>
        <v>183</v>
      </c>
      <c r="AD2" s="394">
        <v>31</v>
      </c>
      <c r="AE2" s="394">
        <v>31</v>
      </c>
      <c r="AF2" s="394">
        <f>+AB2+AD2</f>
        <v>214</v>
      </c>
      <c r="AG2" s="394">
        <f>+AC2+AE2</f>
        <v>214</v>
      </c>
      <c r="AH2" s="394">
        <v>30</v>
      </c>
      <c r="AI2" s="95">
        <v>30</v>
      </c>
      <c r="AJ2" s="394">
        <f>+AF2+AH2</f>
        <v>244</v>
      </c>
      <c r="AK2" s="394">
        <f>+AG2+AI2</f>
        <v>244</v>
      </c>
      <c r="AL2" s="394">
        <v>31</v>
      </c>
      <c r="AM2" s="95">
        <v>31</v>
      </c>
      <c r="AN2" s="394">
        <f>+AD2+AH2+AL2</f>
        <v>92</v>
      </c>
      <c r="AO2" s="394">
        <f>+AE2+AI2+AM2</f>
        <v>92</v>
      </c>
      <c r="AP2" s="394">
        <f>AJ2+AL2</f>
        <v>275</v>
      </c>
      <c r="AQ2" s="394">
        <f>AK2+AM2</f>
        <v>275</v>
      </c>
      <c r="AR2" s="394">
        <v>31</v>
      </c>
      <c r="AS2" s="95">
        <v>31</v>
      </c>
      <c r="AT2" s="394">
        <f>+AP2+AR2</f>
        <v>306</v>
      </c>
      <c r="AU2" s="394">
        <f>+AQ2+AS2</f>
        <v>306</v>
      </c>
      <c r="AV2" s="394">
        <v>28</v>
      </c>
      <c r="AW2" s="95">
        <v>28</v>
      </c>
      <c r="AX2" s="394">
        <f>+AT2+AV2</f>
        <v>334</v>
      </c>
      <c r="AY2" s="394">
        <f>+AU2+AW2</f>
        <v>334</v>
      </c>
      <c r="AZ2" s="394">
        <v>31</v>
      </c>
      <c r="BA2" s="95">
        <v>31</v>
      </c>
      <c r="BB2" s="394">
        <f>+AR2+AV2+AZ2</f>
        <v>90</v>
      </c>
      <c r="BC2" s="394">
        <f>+AS2+AW2+BA2</f>
        <v>90</v>
      </c>
      <c r="BD2" s="394">
        <f>+AN2+BB2</f>
        <v>182</v>
      </c>
      <c r="BE2" s="394">
        <f>+AO2+BC2</f>
        <v>182</v>
      </c>
      <c r="BF2" s="394">
        <f>+AX2+AZ2</f>
        <v>365</v>
      </c>
      <c r="BG2" s="394">
        <f>+AY2+BA2</f>
        <v>365</v>
      </c>
    </row>
    <row r="3" spans="1:72" ht="15" thickBot="1" x14ac:dyDescent="0.35">
      <c r="B3" s="6310" t="s">
        <v>171</v>
      </c>
      <c r="C3" s="6306" t="s">
        <v>844</v>
      </c>
      <c r="D3" s="6308" t="s">
        <v>845</v>
      </c>
      <c r="E3" s="6312" t="s">
        <v>172</v>
      </c>
      <c r="F3" s="5957" t="s">
        <v>1962</v>
      </c>
      <c r="G3" s="5954"/>
      <c r="H3" s="5957" t="s">
        <v>2013</v>
      </c>
      <c r="I3" s="5954"/>
      <c r="J3" s="6001" t="s">
        <v>14</v>
      </c>
      <c r="K3" s="6314"/>
      <c r="L3" s="5957" t="s">
        <v>2043</v>
      </c>
      <c r="M3" s="5954"/>
      <c r="N3" s="5869" t="s">
        <v>637</v>
      </c>
      <c r="O3" s="5870"/>
      <c r="P3" s="5957" t="s">
        <v>2065</v>
      </c>
      <c r="Q3" s="5954"/>
      <c r="R3" s="5867" t="s">
        <v>17</v>
      </c>
      <c r="S3" s="5868"/>
      <c r="T3" s="5957" t="s">
        <v>2068</v>
      </c>
      <c r="U3" s="5954"/>
      <c r="V3" s="5867" t="s">
        <v>18</v>
      </c>
      <c r="W3" s="5868"/>
      <c r="X3" s="5866" t="s">
        <v>2110</v>
      </c>
      <c r="Y3" s="5866"/>
      <c r="Z3" s="5958" t="s">
        <v>660</v>
      </c>
      <c r="AA3" s="5870"/>
      <c r="AB3" s="5871" t="s">
        <v>657</v>
      </c>
      <c r="AC3" s="5872"/>
      <c r="AD3" s="5866" t="s">
        <v>2135</v>
      </c>
      <c r="AE3" s="5866"/>
      <c r="AF3" s="5867" t="s">
        <v>24</v>
      </c>
      <c r="AG3" s="5868"/>
      <c r="AH3" s="5957" t="s">
        <v>2238</v>
      </c>
      <c r="AI3" s="5954"/>
      <c r="AJ3" s="5867" t="s">
        <v>27</v>
      </c>
      <c r="AK3" s="5868"/>
      <c r="AL3" s="5957" t="s">
        <v>2262</v>
      </c>
      <c r="AM3" s="5954"/>
      <c r="AN3" s="5958" t="s">
        <v>662</v>
      </c>
      <c r="AO3" s="5870"/>
      <c r="AP3" s="5867" t="s">
        <v>1613</v>
      </c>
      <c r="AQ3" s="5868"/>
      <c r="AR3" s="5957" t="s">
        <v>2274</v>
      </c>
      <c r="AS3" s="5954"/>
      <c r="AT3" s="5867" t="s">
        <v>28</v>
      </c>
      <c r="AU3" s="5868"/>
      <c r="AV3" s="5957" t="s">
        <v>2311</v>
      </c>
      <c r="AW3" s="5954"/>
      <c r="AX3" s="5867" t="s">
        <v>30</v>
      </c>
      <c r="AY3" s="5868"/>
      <c r="AZ3" s="5957" t="s">
        <v>2329</v>
      </c>
      <c r="BA3" s="5954"/>
      <c r="BB3" s="5958" t="s">
        <v>663</v>
      </c>
      <c r="BC3" s="5870"/>
      <c r="BD3" s="6304" t="s">
        <v>670</v>
      </c>
      <c r="BE3" s="6305"/>
      <c r="BF3" s="5867" t="s">
        <v>2041</v>
      </c>
      <c r="BG3" s="5868"/>
    </row>
    <row r="4" spans="1:72" x14ac:dyDescent="0.3">
      <c r="B4" s="6311"/>
      <c r="C4" s="6307"/>
      <c r="D4" s="6309"/>
      <c r="E4" s="6313"/>
      <c r="F4" s="3765" t="s">
        <v>173</v>
      </c>
      <c r="G4" s="3766" t="s">
        <v>174</v>
      </c>
      <c r="H4" s="3765" t="s">
        <v>173</v>
      </c>
      <c r="I4" s="3766" t="s">
        <v>174</v>
      </c>
      <c r="J4" s="4978" t="s">
        <v>173</v>
      </c>
      <c r="K4" s="4974" t="s">
        <v>174</v>
      </c>
      <c r="L4" s="3765" t="s">
        <v>173</v>
      </c>
      <c r="M4" s="3766" t="s">
        <v>174</v>
      </c>
      <c r="N4" s="4979" t="s">
        <v>173</v>
      </c>
      <c r="O4" s="4975" t="s">
        <v>174</v>
      </c>
      <c r="P4" s="4980" t="s">
        <v>173</v>
      </c>
      <c r="Q4" s="4976" t="s">
        <v>174</v>
      </c>
      <c r="R4" s="3768" t="s">
        <v>173</v>
      </c>
      <c r="S4" s="3769" t="s">
        <v>174</v>
      </c>
      <c r="T4" s="4980" t="s">
        <v>173</v>
      </c>
      <c r="U4" s="3766" t="s">
        <v>174</v>
      </c>
      <c r="V4" s="3768" t="s">
        <v>173</v>
      </c>
      <c r="W4" s="3769" t="s">
        <v>174</v>
      </c>
      <c r="X4" s="4981" t="s">
        <v>173</v>
      </c>
      <c r="Y4" s="4976" t="s">
        <v>174</v>
      </c>
      <c r="Z4" s="3770" t="s">
        <v>173</v>
      </c>
      <c r="AA4" s="4975" t="s">
        <v>174</v>
      </c>
      <c r="AB4" s="4982" t="s">
        <v>173</v>
      </c>
      <c r="AC4" s="4977" t="s">
        <v>174</v>
      </c>
      <c r="AD4" s="4981" t="s">
        <v>173</v>
      </c>
      <c r="AE4" s="4976" t="s">
        <v>174</v>
      </c>
      <c r="AF4" s="3768" t="s">
        <v>173</v>
      </c>
      <c r="AG4" s="3769" t="s">
        <v>174</v>
      </c>
      <c r="AH4" s="4980" t="s">
        <v>173</v>
      </c>
      <c r="AI4" s="3766" t="s">
        <v>174</v>
      </c>
      <c r="AJ4" s="3768" t="s">
        <v>173</v>
      </c>
      <c r="AK4" s="3769" t="s">
        <v>174</v>
      </c>
      <c r="AL4" s="4980" t="s">
        <v>173</v>
      </c>
      <c r="AM4" s="3766" t="s">
        <v>174</v>
      </c>
      <c r="AN4" s="3770" t="s">
        <v>173</v>
      </c>
      <c r="AO4" s="4975" t="s">
        <v>174</v>
      </c>
      <c r="AP4" s="3768" t="s">
        <v>173</v>
      </c>
      <c r="AQ4" s="3769" t="s">
        <v>174</v>
      </c>
      <c r="AR4" s="4980" t="s">
        <v>173</v>
      </c>
      <c r="AS4" s="3766" t="s">
        <v>174</v>
      </c>
      <c r="AT4" s="3768" t="s">
        <v>173</v>
      </c>
      <c r="AU4" s="3769" t="s">
        <v>174</v>
      </c>
      <c r="AV4" s="4980" t="s">
        <v>173</v>
      </c>
      <c r="AW4" s="3766" t="s">
        <v>174</v>
      </c>
      <c r="AX4" s="3768" t="s">
        <v>173</v>
      </c>
      <c r="AY4" s="3769" t="s">
        <v>174</v>
      </c>
      <c r="AZ4" s="4980" t="s">
        <v>173</v>
      </c>
      <c r="BA4" s="3766" t="s">
        <v>174</v>
      </c>
      <c r="BB4" s="3770" t="s">
        <v>173</v>
      </c>
      <c r="BC4" s="4975" t="s">
        <v>174</v>
      </c>
      <c r="BD4" s="4983" t="s">
        <v>173</v>
      </c>
      <c r="BE4" s="4984" t="s">
        <v>174</v>
      </c>
      <c r="BF4" s="3768" t="s">
        <v>173</v>
      </c>
      <c r="BG4" s="3769" t="s">
        <v>174</v>
      </c>
    </row>
    <row r="5" spans="1:72" hidden="1" x14ac:dyDescent="0.3">
      <c r="B5" s="4986"/>
      <c r="C5" s="4987" t="s">
        <v>2125</v>
      </c>
      <c r="D5" s="4988"/>
      <c r="E5" s="4987"/>
      <c r="F5" s="4987"/>
      <c r="G5" s="4989">
        <f>G7-G6</f>
        <v>52840.79</v>
      </c>
      <c r="H5" s="4987"/>
      <c r="I5" s="4989">
        <f>I7-I6</f>
        <v>60969.777000000002</v>
      </c>
      <c r="J5" s="4990"/>
      <c r="K5" s="4990"/>
      <c r="L5" s="4987"/>
      <c r="M5" s="4989">
        <f>M7-M6</f>
        <v>60087.909999999974</v>
      </c>
      <c r="N5" s="4991"/>
      <c r="O5" s="4992">
        <f t="shared" ref="O5:O6" si="0">+G5+I5+M5</f>
        <v>173898.47699999998</v>
      </c>
      <c r="P5" s="4993"/>
      <c r="Q5" s="4989">
        <f>Q7-Q6</f>
        <v>60960.812000000013</v>
      </c>
      <c r="R5" s="4990"/>
      <c r="S5" s="4990"/>
      <c r="T5" s="4993"/>
      <c r="U5" s="4989">
        <f>U7-U6</f>
        <v>46984.822000000007</v>
      </c>
      <c r="V5" s="4990"/>
      <c r="W5" s="4994">
        <f t="shared" ref="W5:W6" si="1">+S5+U5</f>
        <v>46984.822000000007</v>
      </c>
      <c r="X5" s="4993"/>
      <c r="Y5" s="4989">
        <f>Y7-Y6</f>
        <v>53203.589000000007</v>
      </c>
      <c r="Z5" s="4991"/>
      <c r="AA5" s="4992">
        <f>+Q5+U5+Y5</f>
        <v>161149.22300000003</v>
      </c>
      <c r="AB5" s="4995"/>
      <c r="AC5" s="4995">
        <f t="shared" ref="AC5:AC6" si="2">+AA5+O5</f>
        <v>335047.7</v>
      </c>
      <c r="AD5" s="4993"/>
      <c r="AE5" s="4993"/>
      <c r="AF5" s="4990"/>
      <c r="AG5" s="4990"/>
      <c r="AH5" s="4993"/>
      <c r="AI5" s="4987"/>
      <c r="AJ5" s="4990"/>
      <c r="AK5" s="4990"/>
      <c r="AL5" s="4993"/>
      <c r="AM5" s="4987"/>
      <c r="AN5" s="4991"/>
      <c r="AO5" s="4991"/>
      <c r="AP5" s="4990"/>
      <c r="AQ5" s="4990"/>
      <c r="AR5" s="4993"/>
      <c r="AS5" s="4987"/>
      <c r="AT5" s="4990"/>
      <c r="AU5" s="4990"/>
      <c r="AV5" s="4993"/>
      <c r="AW5" s="4987"/>
      <c r="AX5" s="4990"/>
      <c r="AY5" s="4990"/>
      <c r="AZ5" s="4993"/>
      <c r="BA5" s="4987"/>
      <c r="BB5" s="4991"/>
      <c r="BC5" s="4991"/>
      <c r="BD5" s="4996"/>
      <c r="BE5" s="4996"/>
      <c r="BF5" s="4990"/>
      <c r="BG5" s="4990"/>
      <c r="BH5" s="4997"/>
    </row>
    <row r="6" spans="1:72" hidden="1" x14ac:dyDescent="0.3">
      <c r="B6" s="4986"/>
      <c r="C6" s="4987" t="s">
        <v>2126</v>
      </c>
      <c r="D6" s="4988"/>
      <c r="E6" s="4987"/>
      <c r="F6" s="4987"/>
      <c r="G6" s="4987"/>
      <c r="H6" s="4987"/>
      <c r="I6" s="4987"/>
      <c r="J6" s="4990"/>
      <c r="K6" s="4990"/>
      <c r="L6" s="4987"/>
      <c r="M6" s="4989">
        <v>2132.9</v>
      </c>
      <c r="N6" s="4991"/>
      <c r="O6" s="4992">
        <f t="shared" si="0"/>
        <v>2132.9</v>
      </c>
      <c r="P6" s="4993"/>
      <c r="Q6" s="4993"/>
      <c r="R6" s="4990"/>
      <c r="S6" s="4990"/>
      <c r="T6" s="4993"/>
      <c r="U6" s="4989">
        <v>535.9</v>
      </c>
      <c r="V6" s="4990"/>
      <c r="W6" s="4994">
        <f t="shared" si="1"/>
        <v>535.9</v>
      </c>
      <c r="X6" s="4993"/>
      <c r="Y6" s="4993"/>
      <c r="Z6" s="4991"/>
      <c r="AA6" s="4992">
        <f>+Q6+U6+Y6</f>
        <v>535.9</v>
      </c>
      <c r="AB6" s="4995"/>
      <c r="AC6" s="4998">
        <f t="shared" si="2"/>
        <v>2668.8</v>
      </c>
      <c r="AD6" s="4993"/>
      <c r="AE6" s="4993"/>
      <c r="AF6" s="4990"/>
      <c r="AG6" s="4990"/>
      <c r="AH6" s="4993"/>
      <c r="AI6" s="4987"/>
      <c r="AJ6" s="4990"/>
      <c r="AK6" s="4990"/>
      <c r="AL6" s="4993"/>
      <c r="AM6" s="4987"/>
      <c r="AN6" s="4991"/>
      <c r="AO6" s="4991"/>
      <c r="AP6" s="4990"/>
      <c r="AQ6" s="4990"/>
      <c r="AR6" s="4993"/>
      <c r="AS6" s="4987"/>
      <c r="AT6" s="4990"/>
      <c r="AU6" s="4990"/>
      <c r="AV6" s="4993"/>
      <c r="AW6" s="4987"/>
      <c r="AX6" s="4990"/>
      <c r="AY6" s="4990"/>
      <c r="AZ6" s="4993"/>
      <c r="BA6" s="4987"/>
      <c r="BB6" s="4991"/>
      <c r="BC6" s="4991"/>
      <c r="BD6" s="4996"/>
      <c r="BE6" s="4996"/>
      <c r="BF6" s="4990"/>
      <c r="BG6" s="4990"/>
      <c r="BH6" s="4997"/>
    </row>
    <row r="7" spans="1:72" ht="17.100000000000001" customHeight="1" thickBot="1" x14ac:dyDescent="0.35">
      <c r="B7" s="4985" t="s">
        <v>841</v>
      </c>
      <c r="C7" s="2939"/>
      <c r="D7" s="2940"/>
      <c r="E7" s="2941" t="s">
        <v>50</v>
      </c>
      <c r="F7" s="2942">
        <v>65435.356200527705</v>
      </c>
      <c r="G7" s="572">
        <v>52840.79</v>
      </c>
      <c r="H7" s="2942">
        <v>68601.583113456465</v>
      </c>
      <c r="I7" s="572">
        <v>60969.777000000002</v>
      </c>
      <c r="J7" s="878">
        <f>+H7+F7</f>
        <v>134036.93931398418</v>
      </c>
      <c r="K7" s="2943">
        <f>+G7+I7</f>
        <v>113810.56700000001</v>
      </c>
      <c r="L7" s="2942">
        <v>65963.06068601583</v>
      </c>
      <c r="M7" s="572">
        <v>62220.809999999976</v>
      </c>
      <c r="N7" s="1973">
        <f>+F7+H7+L7</f>
        <v>200000</v>
      </c>
      <c r="O7" s="1974">
        <f>+G7+I7+M7</f>
        <v>176031.37699999998</v>
      </c>
      <c r="P7" s="2942">
        <v>68601.583113456465</v>
      </c>
      <c r="Q7" s="572">
        <v>60960.812000000013</v>
      </c>
      <c r="R7" s="1982">
        <f>+N7+P7</f>
        <v>268601.58311345649</v>
      </c>
      <c r="S7" s="97">
        <f>+O7+Q7</f>
        <v>236992.18899999998</v>
      </c>
      <c r="T7" s="2942">
        <v>68601.583113456465</v>
      </c>
      <c r="U7" s="572">
        <v>47520.722000000009</v>
      </c>
      <c r="V7" s="1982">
        <f>+R7+T7</f>
        <v>337203.16622691299</v>
      </c>
      <c r="W7" s="97">
        <f>+S7+U7</f>
        <v>284512.91099999996</v>
      </c>
      <c r="X7" s="2942">
        <v>35356.200527704488</v>
      </c>
      <c r="Y7" s="572">
        <v>53203.589000000007</v>
      </c>
      <c r="Z7" s="892">
        <f>+P7+T7+X7</f>
        <v>172559.36675461743</v>
      </c>
      <c r="AA7" s="90">
        <f>+Q7+U7+Y7</f>
        <v>161685.12300000002</v>
      </c>
      <c r="AB7" s="2248">
        <f>+N7+Z7</f>
        <v>372559.36675461743</v>
      </c>
      <c r="AC7" s="463">
        <f>+AA7+O7</f>
        <v>337716.5</v>
      </c>
      <c r="AD7" s="2942">
        <v>70712.401055408976</v>
      </c>
      <c r="AE7" s="572">
        <v>31835.587</v>
      </c>
      <c r="AF7" s="1982">
        <f>+AB7+AD7</f>
        <v>443271.76781002642</v>
      </c>
      <c r="AG7" s="97">
        <f>+AC7+AE7</f>
        <v>369552.087</v>
      </c>
      <c r="AH7" s="2942">
        <v>68601.583113456465</v>
      </c>
      <c r="AI7" s="572">
        <v>52559.118000000009</v>
      </c>
      <c r="AJ7" s="1982">
        <f>+AF7+AH7</f>
        <v>511873.35092348291</v>
      </c>
      <c r="AK7" s="97">
        <f>+AG7+AI7</f>
        <v>422111.20500000002</v>
      </c>
      <c r="AL7" s="2942">
        <v>71240.105540897101</v>
      </c>
      <c r="AM7" s="572">
        <v>56760.718000000001</v>
      </c>
      <c r="AN7" s="892">
        <f>+AD7+AH7+AL7</f>
        <v>210554.08970976254</v>
      </c>
      <c r="AO7" s="90">
        <f>+AE7+AI7+AM7</f>
        <v>141155.42300000001</v>
      </c>
      <c r="AP7" s="1982">
        <f>+AL7+AJ7</f>
        <v>583113.45646438003</v>
      </c>
      <c r="AQ7" s="1982">
        <f>+AM7+AK7</f>
        <v>478871.92300000001</v>
      </c>
      <c r="AR7" s="2942">
        <v>71767.810026385225</v>
      </c>
      <c r="AS7" s="572">
        <v>60241.546999999999</v>
      </c>
      <c r="AT7" s="1982">
        <f>+AP7+AR7</f>
        <v>654881.26649076527</v>
      </c>
      <c r="AU7" s="97">
        <f>+AQ7+AS7</f>
        <v>539113.47</v>
      </c>
      <c r="AV7" s="2942">
        <v>64379.94722955145</v>
      </c>
      <c r="AW7" s="572">
        <v>57535.981999999996</v>
      </c>
      <c r="AX7" s="1982">
        <f>+AT7+AV7</f>
        <v>719261.21372031677</v>
      </c>
      <c r="AY7" s="97">
        <f>+AU7+AW7</f>
        <v>596649.45199999993</v>
      </c>
      <c r="AZ7" s="2942">
        <v>72295.514511873349</v>
      </c>
      <c r="BA7" s="572">
        <v>67044.626999999993</v>
      </c>
      <c r="BB7" s="892">
        <f>+AR7+AV7+AZ7</f>
        <v>208443.27176781005</v>
      </c>
      <c r="BC7" s="90">
        <f>+AS7+AW7+BA7</f>
        <v>184822.15599999999</v>
      </c>
      <c r="BD7" s="893">
        <f>+AN7+BB7</f>
        <v>418997.36147757259</v>
      </c>
      <c r="BE7" s="893">
        <f>+AO7+BC7</f>
        <v>325977.57900000003</v>
      </c>
      <c r="BF7" s="1982">
        <f>+AX7+AZ7</f>
        <v>791556.72823219013</v>
      </c>
      <c r="BG7" s="97">
        <f>+AY7+BA7</f>
        <v>663694.07899999991</v>
      </c>
      <c r="BH7" s="1520">
        <f>F7+H7+L7+P7+T7+X7+AD7+AH7+AL7+AR7+AV7+AZ7-BF7</f>
        <v>0</v>
      </c>
      <c r="BI7" s="1520">
        <f>G7+I7+M7+Q7+U7+Y7+AE7+AI7+AM7+AS7+AW7+BA7-BG7</f>
        <v>0</v>
      </c>
      <c r="BJ7" s="26"/>
      <c r="BK7" s="26">
        <f>AZ7+AV7+AR7+AL7+AH7+AD7-BD7</f>
        <v>0</v>
      </c>
      <c r="BL7" s="26">
        <f>BA7+AW7+AS7+AM7+AI7+AE7-BE7</f>
        <v>0</v>
      </c>
      <c r="BM7" s="26"/>
      <c r="BN7" s="544"/>
    </row>
    <row r="8" spans="1:72" x14ac:dyDescent="0.3">
      <c r="B8" s="2948" t="s">
        <v>846</v>
      </c>
      <c r="C8" s="2949" t="s">
        <v>938</v>
      </c>
      <c r="D8" s="2950">
        <v>42.24</v>
      </c>
      <c r="E8" s="1309" t="s">
        <v>50</v>
      </c>
      <c r="F8" s="2951"/>
      <c r="G8" s="87">
        <v>495.54500000000007</v>
      </c>
      <c r="H8" s="2951"/>
      <c r="I8" s="87">
        <v>459.78500000000008</v>
      </c>
      <c r="J8" s="2952"/>
      <c r="K8" s="4506">
        <f>+G8+I8</f>
        <v>955.33000000000015</v>
      </c>
      <c r="L8" s="2951"/>
      <c r="M8" s="87"/>
      <c r="N8" s="1975"/>
      <c r="O8" s="68">
        <f>+G8+I8+M8</f>
        <v>955.33000000000015</v>
      </c>
      <c r="P8" s="2951"/>
      <c r="Q8" s="87">
        <v>825.04300000000001</v>
      </c>
      <c r="R8" s="1983"/>
      <c r="S8" s="38">
        <f>+O8+Q8</f>
        <v>1780.373</v>
      </c>
      <c r="T8" s="2951"/>
      <c r="U8" s="87">
        <v>407.125</v>
      </c>
      <c r="V8" s="1983"/>
      <c r="W8" s="38">
        <f>+S8+U8</f>
        <v>2187.498</v>
      </c>
      <c r="X8" s="2951"/>
      <c r="Y8" s="87">
        <v>296.09300000000002</v>
      </c>
      <c r="Z8" s="894"/>
      <c r="AA8" s="774">
        <f>+Q8+U8+Y8</f>
        <v>1528.2610000000002</v>
      </c>
      <c r="AB8" s="3965"/>
      <c r="AC8" s="460">
        <f>+AA8+O8</f>
        <v>2483.5910000000003</v>
      </c>
      <c r="AD8" s="2951"/>
      <c r="AE8" s="87">
        <v>357.71000000000004</v>
      </c>
      <c r="AF8" s="1983"/>
      <c r="AG8" s="38">
        <f>+AC8+AE8</f>
        <v>2841.3010000000004</v>
      </c>
      <c r="AH8" s="2951"/>
      <c r="AI8" s="87">
        <v>499.65499999999997</v>
      </c>
      <c r="AJ8" s="1983"/>
      <c r="AK8" s="38">
        <f>+AG8+AI8</f>
        <v>3340.9560000000001</v>
      </c>
      <c r="AL8" s="2951"/>
      <c r="AM8" s="87">
        <v>269.346</v>
      </c>
      <c r="AN8" s="894"/>
      <c r="AO8" s="774">
        <f>+AE8+AI8+AM8</f>
        <v>1126.711</v>
      </c>
      <c r="AP8" s="1983"/>
      <c r="AQ8" s="38">
        <f>AK8+AM8</f>
        <v>3610.3020000000001</v>
      </c>
      <c r="AR8" s="2951"/>
      <c r="AS8" s="87">
        <v>246.18600000000001</v>
      </c>
      <c r="AT8" s="1983"/>
      <c r="AU8" s="38">
        <f>+AQ8+AS8</f>
        <v>3856.4880000000003</v>
      </c>
      <c r="AV8" s="2951"/>
      <c r="AW8" s="87"/>
      <c r="AX8" s="1983"/>
      <c r="AY8" s="38">
        <f>+AU8+AW8</f>
        <v>3856.4880000000003</v>
      </c>
      <c r="AZ8" s="2951"/>
      <c r="BA8" s="87">
        <v>252.863</v>
      </c>
      <c r="BB8" s="894"/>
      <c r="BC8" s="774">
        <f>+AS8+AW8+BA8</f>
        <v>499.04899999999998</v>
      </c>
      <c r="BD8" s="895"/>
      <c r="BE8" s="695">
        <f>+AO8+BC8</f>
        <v>1625.76</v>
      </c>
      <c r="BF8" s="1983"/>
      <c r="BG8" s="38">
        <f>+AY8+BA8</f>
        <v>4109.3510000000006</v>
      </c>
      <c r="BH8" s="1520">
        <f t="shared" ref="BH8:BH71" si="3">F8+H8+L8+P8+T8+X8+AD8+AH8+AL8+AR8+AV8+AZ8-BF8</f>
        <v>0</v>
      </c>
      <c r="BI8" s="1520">
        <f t="shared" ref="BI8:BI71" si="4">G8+I8+M8+Q8+U8+Y8+AE8+AI8+AM8+AS8+AW8+BA8-BG8</f>
        <v>0</v>
      </c>
      <c r="BJ8" s="26"/>
      <c r="BK8" s="26">
        <f t="shared" ref="BK8:BK71" si="5">AZ8+AV8+AR8+AL8+AH8+AD8-BD8</f>
        <v>0</v>
      </c>
      <c r="BL8" s="26">
        <f t="shared" ref="BL8:BL71" si="6">BA8+AW8+AS8+AM8+AI8+AE8-BE8</f>
        <v>0</v>
      </c>
      <c r="BM8" s="26"/>
      <c r="BN8" s="1202"/>
    </row>
    <row r="9" spans="1:72" x14ac:dyDescent="0.3">
      <c r="B9" s="1074" t="s">
        <v>846</v>
      </c>
      <c r="C9" s="2755" t="s">
        <v>1004</v>
      </c>
      <c r="D9" s="2756">
        <v>42.24</v>
      </c>
      <c r="E9" s="1372" t="s">
        <v>50</v>
      </c>
      <c r="F9" s="1961"/>
      <c r="G9" s="18">
        <v>2825.8679999999999</v>
      </c>
      <c r="H9" s="1961"/>
      <c r="I9" s="18">
        <v>6491.6309999999985</v>
      </c>
      <c r="J9" s="1966"/>
      <c r="K9" s="4506">
        <f t="shared" ref="K9:K96" si="7">+G9+I9</f>
        <v>9317.498999999998</v>
      </c>
      <c r="L9" s="1961"/>
      <c r="M9" s="18">
        <v>3305.3959999999988</v>
      </c>
      <c r="N9" s="1975"/>
      <c r="O9" s="68">
        <f t="shared" ref="O9:O96" si="8">+G9+I9+M9</f>
        <v>12622.894999999997</v>
      </c>
      <c r="P9" s="1961"/>
      <c r="Q9" s="18">
        <v>3240.4470000000001</v>
      </c>
      <c r="R9" s="1983"/>
      <c r="S9" s="38">
        <f t="shared" ref="S9:S88" si="9">+O9+Q9</f>
        <v>15863.341999999997</v>
      </c>
      <c r="T9" s="1961"/>
      <c r="U9" s="18">
        <v>2545.2549999999997</v>
      </c>
      <c r="V9" s="1983"/>
      <c r="W9" s="38">
        <f t="shared" ref="W9:W96" si="10">+S9+U9</f>
        <v>18408.596999999998</v>
      </c>
      <c r="X9" s="1961"/>
      <c r="Y9" s="18">
        <v>2017.1290000000004</v>
      </c>
      <c r="Z9" s="894"/>
      <c r="AA9" s="774">
        <f t="shared" ref="AA9:AA74" si="11">+Q9+U9+Y9</f>
        <v>7802.8310000000001</v>
      </c>
      <c r="AB9" s="3965"/>
      <c r="AC9" s="460">
        <f t="shared" ref="AC9:AC74" si="12">+AA9+O9</f>
        <v>20425.725999999995</v>
      </c>
      <c r="AD9" s="1961"/>
      <c r="AE9" s="18">
        <v>1647.3190000000004</v>
      </c>
      <c r="AF9" s="1983"/>
      <c r="AG9" s="38">
        <f t="shared" ref="AG9:AG74" si="13">+AC9+AE9</f>
        <v>22073.044999999995</v>
      </c>
      <c r="AH9" s="1961"/>
      <c r="AI9" s="18">
        <v>3532.0330000000004</v>
      </c>
      <c r="AJ9" s="1983"/>
      <c r="AK9" s="38">
        <f t="shared" ref="AK9:AK72" si="14">+AG9+AI9</f>
        <v>25605.077999999994</v>
      </c>
      <c r="AL9" s="1961"/>
      <c r="AM9" s="18">
        <v>5569.344000000001</v>
      </c>
      <c r="AN9" s="894"/>
      <c r="AO9" s="774">
        <f t="shared" ref="AO9:AO72" si="15">+AE9+AI9+AM9</f>
        <v>10748.696000000002</v>
      </c>
      <c r="AP9" s="1983"/>
      <c r="AQ9" s="38">
        <f t="shared" ref="AQ9:AQ72" si="16">AK9+AM9</f>
        <v>31174.421999999995</v>
      </c>
      <c r="AR9" s="1961"/>
      <c r="AS9" s="18">
        <v>3662.1030000000001</v>
      </c>
      <c r="AT9" s="1983"/>
      <c r="AU9" s="38">
        <f t="shared" ref="AU9:AU72" si="17">+AQ9+AS9</f>
        <v>34836.524999999994</v>
      </c>
      <c r="AV9" s="1961"/>
      <c r="AW9" s="18">
        <v>5469.7240000000002</v>
      </c>
      <c r="AX9" s="1983"/>
      <c r="AY9" s="38">
        <f t="shared" ref="AY9:AY72" si="18">+AU9+AW9</f>
        <v>40306.248999999996</v>
      </c>
      <c r="AZ9" s="1961"/>
      <c r="BA9" s="18">
        <v>6512.043999999999</v>
      </c>
      <c r="BB9" s="894"/>
      <c r="BC9" s="774">
        <f t="shared" ref="BC9:BC98" si="19">+AS9+AW9+BA9</f>
        <v>15643.870999999999</v>
      </c>
      <c r="BD9" s="895"/>
      <c r="BE9" s="695">
        <f t="shared" ref="BE9:BE98" si="20">+AO9+BC9</f>
        <v>26392.567000000003</v>
      </c>
      <c r="BF9" s="1983"/>
      <c r="BG9" s="38">
        <f t="shared" ref="BG9:BG72" si="21">+AY9+BA9</f>
        <v>46818.292999999998</v>
      </c>
      <c r="BH9" s="1520">
        <f t="shared" si="3"/>
        <v>0</v>
      </c>
      <c r="BI9" s="1520">
        <f t="shared" si="4"/>
        <v>0</v>
      </c>
      <c r="BJ9" s="26"/>
      <c r="BK9" s="26">
        <f t="shared" si="5"/>
        <v>0</v>
      </c>
      <c r="BL9" s="26">
        <f t="shared" si="6"/>
        <v>0</v>
      </c>
      <c r="BM9" s="26"/>
      <c r="BN9" s="1202"/>
    </row>
    <row r="10" spans="1:72" x14ac:dyDescent="0.3">
      <c r="B10" s="1074" t="s">
        <v>901</v>
      </c>
      <c r="C10" s="2755" t="s">
        <v>938</v>
      </c>
      <c r="D10" s="2756">
        <v>49.32</v>
      </c>
      <c r="E10" s="1372" t="s">
        <v>50</v>
      </c>
      <c r="F10" s="1961"/>
      <c r="G10" s="18"/>
      <c r="H10" s="1961"/>
      <c r="I10" s="18">
        <v>632.70000000000005</v>
      </c>
      <c r="J10" s="1966"/>
      <c r="K10" s="4506">
        <f t="shared" si="7"/>
        <v>632.70000000000005</v>
      </c>
      <c r="L10" s="1961"/>
      <c r="M10" s="18"/>
      <c r="N10" s="1975"/>
      <c r="O10" s="68">
        <f t="shared" si="8"/>
        <v>632.70000000000005</v>
      </c>
      <c r="P10" s="1961"/>
      <c r="Q10" s="18">
        <v>152.68199999999999</v>
      </c>
      <c r="R10" s="1983"/>
      <c r="S10" s="38">
        <f t="shared" si="9"/>
        <v>785.38200000000006</v>
      </c>
      <c r="T10" s="1961"/>
      <c r="U10" s="18">
        <v>94.540999999999997</v>
      </c>
      <c r="V10" s="1983"/>
      <c r="W10" s="38">
        <f t="shared" si="10"/>
        <v>879.923</v>
      </c>
      <c r="X10" s="1961"/>
      <c r="Y10" s="18"/>
      <c r="Z10" s="894"/>
      <c r="AA10" s="774">
        <f t="shared" si="11"/>
        <v>247.22299999999998</v>
      </c>
      <c r="AB10" s="3965"/>
      <c r="AC10" s="460">
        <f t="shared" si="12"/>
        <v>879.923</v>
      </c>
      <c r="AD10" s="1961"/>
      <c r="AE10" s="18"/>
      <c r="AF10" s="1983"/>
      <c r="AG10" s="38">
        <f t="shared" si="13"/>
        <v>879.923</v>
      </c>
      <c r="AH10" s="1961"/>
      <c r="AI10" s="18"/>
      <c r="AJ10" s="1983"/>
      <c r="AK10" s="38">
        <f t="shared" si="14"/>
        <v>879.923</v>
      </c>
      <c r="AL10" s="1961"/>
      <c r="AM10" s="18">
        <v>360.70300000000003</v>
      </c>
      <c r="AN10" s="894"/>
      <c r="AO10" s="774">
        <f t="shared" si="15"/>
        <v>360.70300000000003</v>
      </c>
      <c r="AP10" s="1983"/>
      <c r="AQ10" s="38">
        <f t="shared" si="16"/>
        <v>1240.626</v>
      </c>
      <c r="AR10" s="1961"/>
      <c r="AS10" s="18">
        <v>268.53100000000001</v>
      </c>
      <c r="AT10" s="1983"/>
      <c r="AU10" s="38">
        <f t="shared" si="17"/>
        <v>1509.1569999999999</v>
      </c>
      <c r="AV10" s="1961"/>
      <c r="AW10" s="18"/>
      <c r="AX10" s="1983"/>
      <c r="AY10" s="38">
        <f t="shared" si="18"/>
        <v>1509.1569999999999</v>
      </c>
      <c r="AZ10" s="1961"/>
      <c r="BA10" s="18"/>
      <c r="BB10" s="894"/>
      <c r="BC10" s="774">
        <f t="shared" si="19"/>
        <v>268.53100000000001</v>
      </c>
      <c r="BD10" s="895"/>
      <c r="BE10" s="695">
        <f t="shared" si="20"/>
        <v>629.23400000000004</v>
      </c>
      <c r="BF10" s="1983"/>
      <c r="BG10" s="38">
        <f t="shared" si="21"/>
        <v>1509.1569999999999</v>
      </c>
      <c r="BH10" s="1520">
        <f t="shared" si="3"/>
        <v>0</v>
      </c>
      <c r="BI10" s="1520">
        <f t="shared" si="4"/>
        <v>0</v>
      </c>
      <c r="BJ10" s="26"/>
      <c r="BK10" s="26">
        <f t="shared" si="5"/>
        <v>0</v>
      </c>
      <c r="BL10" s="26">
        <f t="shared" si="6"/>
        <v>0</v>
      </c>
      <c r="BM10" s="26"/>
      <c r="BN10" s="1202"/>
    </row>
    <row r="11" spans="1:72" x14ac:dyDescent="0.3">
      <c r="B11" s="1074" t="s">
        <v>901</v>
      </c>
      <c r="C11" s="2755" t="s">
        <v>1004</v>
      </c>
      <c r="D11" s="2756">
        <v>49.32</v>
      </c>
      <c r="E11" s="1372" t="s">
        <v>50</v>
      </c>
      <c r="F11" s="1961"/>
      <c r="G11" s="18">
        <v>632.702</v>
      </c>
      <c r="H11" s="1961"/>
      <c r="I11" s="18">
        <v>960.57</v>
      </c>
      <c r="J11" s="1966"/>
      <c r="K11" s="4506">
        <f t="shared" si="7"/>
        <v>1593.2719999999999</v>
      </c>
      <c r="L11" s="1961"/>
      <c r="M11" s="18">
        <v>559.976</v>
      </c>
      <c r="N11" s="1975"/>
      <c r="O11" s="68">
        <f t="shared" si="8"/>
        <v>2153.248</v>
      </c>
      <c r="P11" s="1961"/>
      <c r="Q11" s="18">
        <v>443.53799999999995</v>
      </c>
      <c r="R11" s="1983"/>
      <c r="S11" s="38">
        <f t="shared" si="9"/>
        <v>2596.7860000000001</v>
      </c>
      <c r="T11" s="1961"/>
      <c r="U11" s="18">
        <v>737.06700000000001</v>
      </c>
      <c r="V11" s="1983"/>
      <c r="W11" s="38">
        <f t="shared" si="10"/>
        <v>3333.8530000000001</v>
      </c>
      <c r="X11" s="1961"/>
      <c r="Y11" s="18">
        <v>509.07</v>
      </c>
      <c r="Z11" s="894"/>
      <c r="AA11" s="774">
        <f t="shared" si="11"/>
        <v>1689.675</v>
      </c>
      <c r="AB11" s="3965"/>
      <c r="AC11" s="460">
        <f t="shared" si="12"/>
        <v>3842.9229999999998</v>
      </c>
      <c r="AD11" s="1961"/>
      <c r="AE11" s="18">
        <v>254.535</v>
      </c>
      <c r="AF11" s="1983"/>
      <c r="AG11" s="38">
        <f t="shared" si="13"/>
        <v>4097.4579999999996</v>
      </c>
      <c r="AH11" s="1961"/>
      <c r="AI11" s="18">
        <v>909.05399999999997</v>
      </c>
      <c r="AJ11" s="1983"/>
      <c r="AK11" s="38">
        <f t="shared" si="14"/>
        <v>5006.5119999999997</v>
      </c>
      <c r="AL11" s="1961"/>
      <c r="AM11" s="18">
        <v>1751.8299999999995</v>
      </c>
      <c r="AN11" s="894"/>
      <c r="AO11" s="774">
        <f t="shared" si="15"/>
        <v>2915.4189999999994</v>
      </c>
      <c r="AP11" s="1983"/>
      <c r="AQ11" s="38">
        <f t="shared" si="16"/>
        <v>6758.3419999999987</v>
      </c>
      <c r="AR11" s="1961"/>
      <c r="AS11" s="18">
        <v>1156.1099999999999</v>
      </c>
      <c r="AT11" s="1983"/>
      <c r="AU11" s="38">
        <f t="shared" si="17"/>
        <v>7914.4519999999984</v>
      </c>
      <c r="AV11" s="1961"/>
      <c r="AW11" s="18">
        <v>836.245</v>
      </c>
      <c r="AX11" s="1983"/>
      <c r="AY11" s="38">
        <f t="shared" si="18"/>
        <v>8750.6969999999983</v>
      </c>
      <c r="AZ11" s="1961"/>
      <c r="BA11" s="18">
        <v>632.71699999999998</v>
      </c>
      <c r="BB11" s="894"/>
      <c r="BC11" s="774">
        <f t="shared" si="19"/>
        <v>2625.0720000000001</v>
      </c>
      <c r="BD11" s="895"/>
      <c r="BE11" s="695">
        <f t="shared" si="20"/>
        <v>5540.491</v>
      </c>
      <c r="BF11" s="1983"/>
      <c r="BG11" s="38">
        <f t="shared" si="21"/>
        <v>9383.4139999999989</v>
      </c>
      <c r="BH11" s="1520">
        <f t="shared" si="3"/>
        <v>0</v>
      </c>
      <c r="BI11" s="1520">
        <f t="shared" si="4"/>
        <v>0</v>
      </c>
      <c r="BJ11" s="26"/>
      <c r="BK11" s="26">
        <f t="shared" si="5"/>
        <v>0</v>
      </c>
      <c r="BL11" s="26">
        <f t="shared" si="6"/>
        <v>0</v>
      </c>
      <c r="BM11" s="26"/>
      <c r="BN11" s="1202"/>
    </row>
    <row r="12" spans="1:72" x14ac:dyDescent="0.3">
      <c r="B12" s="1074" t="s">
        <v>901</v>
      </c>
      <c r="C12" s="2755" t="s">
        <v>938</v>
      </c>
      <c r="D12" s="2756">
        <v>36.53</v>
      </c>
      <c r="E12" s="1372" t="s">
        <v>50</v>
      </c>
      <c r="F12" s="1961"/>
      <c r="G12" s="18"/>
      <c r="H12" s="1961"/>
      <c r="I12" s="18">
        <v>149.02000000000001</v>
      </c>
      <c r="J12" s="1966"/>
      <c r="K12" s="4506">
        <f t="shared" si="7"/>
        <v>149.02000000000001</v>
      </c>
      <c r="L12" s="1961"/>
      <c r="M12" s="18"/>
      <c r="N12" s="1975"/>
      <c r="O12" s="68">
        <f t="shared" si="8"/>
        <v>149.02000000000001</v>
      </c>
      <c r="P12" s="1961"/>
      <c r="Q12" s="18"/>
      <c r="R12" s="1983"/>
      <c r="S12" s="38">
        <f t="shared" si="9"/>
        <v>149.02000000000001</v>
      </c>
      <c r="T12" s="1961"/>
      <c r="U12" s="18">
        <v>217.69</v>
      </c>
      <c r="V12" s="1983"/>
      <c r="W12" s="38">
        <f t="shared" si="10"/>
        <v>366.71000000000004</v>
      </c>
      <c r="X12" s="1961"/>
      <c r="Y12" s="18">
        <v>579.52300000000002</v>
      </c>
      <c r="Z12" s="2757"/>
      <c r="AA12" s="774">
        <f t="shared" si="11"/>
        <v>797.21299999999997</v>
      </c>
      <c r="AB12" s="3966"/>
      <c r="AC12" s="460">
        <f t="shared" si="12"/>
        <v>946.23299999999995</v>
      </c>
      <c r="AD12" s="1961"/>
      <c r="AE12" s="18">
        <v>270.423</v>
      </c>
      <c r="AF12" s="1983"/>
      <c r="AG12" s="38">
        <f t="shared" si="13"/>
        <v>1216.6559999999999</v>
      </c>
      <c r="AH12" s="1961"/>
      <c r="AI12" s="18"/>
      <c r="AJ12" s="1983"/>
      <c r="AK12" s="38">
        <f t="shared" si="14"/>
        <v>1216.6559999999999</v>
      </c>
      <c r="AL12" s="1961"/>
      <c r="AM12" s="18"/>
      <c r="AN12" s="2757"/>
      <c r="AO12" s="774">
        <f t="shared" si="15"/>
        <v>270.423</v>
      </c>
      <c r="AP12" s="1983"/>
      <c r="AQ12" s="38">
        <f t="shared" si="16"/>
        <v>1216.6559999999999</v>
      </c>
      <c r="AR12" s="1961"/>
      <c r="AS12" s="18"/>
      <c r="AT12" s="1983"/>
      <c r="AU12" s="38">
        <f t="shared" si="17"/>
        <v>1216.6559999999999</v>
      </c>
      <c r="AV12" s="1961"/>
      <c r="AW12" s="18"/>
      <c r="AX12" s="1983"/>
      <c r="AY12" s="38">
        <f t="shared" si="18"/>
        <v>1216.6559999999999</v>
      </c>
      <c r="AZ12" s="1961"/>
      <c r="BA12" s="18"/>
      <c r="BB12" s="2757"/>
      <c r="BC12" s="774">
        <f t="shared" si="19"/>
        <v>0</v>
      </c>
      <c r="BD12" s="2758"/>
      <c r="BE12" s="695">
        <f t="shared" si="20"/>
        <v>270.423</v>
      </c>
      <c r="BF12" s="1983"/>
      <c r="BG12" s="38">
        <f t="shared" si="21"/>
        <v>1216.6559999999999</v>
      </c>
      <c r="BH12" s="1520">
        <f t="shared" si="3"/>
        <v>0</v>
      </c>
      <c r="BI12" s="1520">
        <f t="shared" si="4"/>
        <v>0</v>
      </c>
      <c r="BJ12" s="26"/>
      <c r="BK12" s="26">
        <f t="shared" si="5"/>
        <v>0</v>
      </c>
      <c r="BL12" s="26">
        <f t="shared" si="6"/>
        <v>0</v>
      </c>
      <c r="BM12" s="26"/>
      <c r="BN12" s="1202"/>
    </row>
    <row r="13" spans="1:72" x14ac:dyDescent="0.3">
      <c r="B13" s="1074" t="s">
        <v>846</v>
      </c>
      <c r="C13" s="2755" t="s">
        <v>938</v>
      </c>
      <c r="D13" s="2756">
        <v>36.520000000000003</v>
      </c>
      <c r="E13" s="1372" t="s">
        <v>50</v>
      </c>
      <c r="F13" s="1961"/>
      <c r="G13" s="18"/>
      <c r="H13" s="1961"/>
      <c r="I13" s="18"/>
      <c r="J13" s="1966"/>
      <c r="K13" s="4506">
        <f t="shared" si="7"/>
        <v>0</v>
      </c>
      <c r="L13" s="1961"/>
      <c r="M13" s="18"/>
      <c r="N13" s="1975"/>
      <c r="O13" s="68">
        <f t="shared" si="8"/>
        <v>0</v>
      </c>
      <c r="P13" s="1961"/>
      <c r="Q13" s="18"/>
      <c r="R13" s="1983"/>
      <c r="S13" s="38">
        <f t="shared" si="9"/>
        <v>0</v>
      </c>
      <c r="T13" s="1961"/>
      <c r="U13" s="18"/>
      <c r="V13" s="1983"/>
      <c r="W13" s="38">
        <f t="shared" si="10"/>
        <v>0</v>
      </c>
      <c r="X13" s="1961"/>
      <c r="Y13" s="18"/>
      <c r="Z13" s="894"/>
      <c r="AA13" s="774">
        <f t="shared" si="11"/>
        <v>0</v>
      </c>
      <c r="AB13" s="3965"/>
      <c r="AC13" s="460">
        <f t="shared" si="12"/>
        <v>0</v>
      </c>
      <c r="AD13" s="1961"/>
      <c r="AE13" s="18"/>
      <c r="AF13" s="1983"/>
      <c r="AG13" s="38">
        <f t="shared" si="13"/>
        <v>0</v>
      </c>
      <c r="AH13" s="1961"/>
      <c r="AI13" s="18"/>
      <c r="AJ13" s="1983"/>
      <c r="AK13" s="38">
        <f t="shared" si="14"/>
        <v>0</v>
      </c>
      <c r="AL13" s="1961"/>
      <c r="AM13" s="18"/>
      <c r="AN13" s="894"/>
      <c r="AO13" s="774">
        <f t="shared" si="15"/>
        <v>0</v>
      </c>
      <c r="AP13" s="1983"/>
      <c r="AQ13" s="38">
        <f t="shared" si="16"/>
        <v>0</v>
      </c>
      <c r="AR13" s="1961"/>
      <c r="AS13" s="18"/>
      <c r="AT13" s="1983"/>
      <c r="AU13" s="38">
        <f t="shared" si="17"/>
        <v>0</v>
      </c>
      <c r="AV13" s="1961"/>
      <c r="AW13" s="18"/>
      <c r="AX13" s="1983"/>
      <c r="AY13" s="38">
        <f t="shared" si="18"/>
        <v>0</v>
      </c>
      <c r="AZ13" s="1961"/>
      <c r="BA13" s="18"/>
      <c r="BB13" s="894"/>
      <c r="BC13" s="774">
        <f t="shared" si="19"/>
        <v>0</v>
      </c>
      <c r="BD13" s="895"/>
      <c r="BE13" s="695">
        <f t="shared" si="20"/>
        <v>0</v>
      </c>
      <c r="BF13" s="1983"/>
      <c r="BG13" s="38">
        <f t="shared" si="21"/>
        <v>0</v>
      </c>
      <c r="BH13" s="1520">
        <f t="shared" si="3"/>
        <v>0</v>
      </c>
      <c r="BI13" s="1520">
        <f t="shared" si="4"/>
        <v>0</v>
      </c>
      <c r="BJ13" s="26"/>
      <c r="BK13" s="26">
        <f t="shared" si="5"/>
        <v>0</v>
      </c>
      <c r="BL13" s="26">
        <f t="shared" si="6"/>
        <v>0</v>
      </c>
      <c r="BM13" s="26"/>
      <c r="BN13" s="1202"/>
    </row>
    <row r="14" spans="1:72" ht="15" thickBot="1" x14ac:dyDescent="0.35">
      <c r="B14" s="2953" t="s">
        <v>846</v>
      </c>
      <c r="C14" s="2954" t="s">
        <v>1004</v>
      </c>
      <c r="D14" s="2955">
        <v>36.53</v>
      </c>
      <c r="E14" s="1392" t="s">
        <v>50</v>
      </c>
      <c r="F14" s="2956"/>
      <c r="G14" s="37"/>
      <c r="H14" s="2956"/>
      <c r="I14" s="37">
        <v>391.86699999999996</v>
      </c>
      <c r="J14" s="2957"/>
      <c r="K14" s="4506">
        <f t="shared" si="7"/>
        <v>391.86699999999996</v>
      </c>
      <c r="L14" s="2956"/>
      <c r="M14" s="37"/>
      <c r="N14" s="1975"/>
      <c r="O14" s="68">
        <f t="shared" si="8"/>
        <v>391.86699999999996</v>
      </c>
      <c r="P14" s="2956"/>
      <c r="Q14" s="37">
        <v>894.154</v>
      </c>
      <c r="R14" s="1983"/>
      <c r="S14" s="38">
        <f t="shared" si="9"/>
        <v>1286.021</v>
      </c>
      <c r="T14" s="2956"/>
      <c r="U14" s="37">
        <v>441.10100000000006</v>
      </c>
      <c r="V14" s="1983"/>
      <c r="W14" s="38">
        <f t="shared" si="10"/>
        <v>1727.1220000000001</v>
      </c>
      <c r="X14" s="2956"/>
      <c r="Y14" s="37">
        <v>1500.3639999999998</v>
      </c>
      <c r="Z14" s="894"/>
      <c r="AA14" s="774">
        <f t="shared" si="11"/>
        <v>2835.6189999999997</v>
      </c>
      <c r="AB14" s="3965"/>
      <c r="AC14" s="460">
        <f t="shared" si="12"/>
        <v>3227.4859999999999</v>
      </c>
      <c r="AD14" s="2956"/>
      <c r="AE14" s="37">
        <v>1491.1679999999999</v>
      </c>
      <c r="AF14" s="1983"/>
      <c r="AG14" s="38">
        <f t="shared" si="13"/>
        <v>4718.6539999999995</v>
      </c>
      <c r="AH14" s="2956"/>
      <c r="AI14" s="37"/>
      <c r="AJ14" s="1983"/>
      <c r="AK14" s="38">
        <f t="shared" si="14"/>
        <v>4718.6539999999995</v>
      </c>
      <c r="AL14" s="2956"/>
      <c r="AM14" s="37"/>
      <c r="AN14" s="894"/>
      <c r="AO14" s="774">
        <f t="shared" si="15"/>
        <v>1491.1679999999999</v>
      </c>
      <c r="AP14" s="1983"/>
      <c r="AQ14" s="38">
        <f t="shared" si="16"/>
        <v>4718.6539999999995</v>
      </c>
      <c r="AR14" s="2956"/>
      <c r="AS14" s="37">
        <v>331.12</v>
      </c>
      <c r="AT14" s="1983"/>
      <c r="AU14" s="38">
        <f t="shared" si="17"/>
        <v>5049.7739999999994</v>
      </c>
      <c r="AV14" s="2956"/>
      <c r="AW14" s="37"/>
      <c r="AX14" s="1983"/>
      <c r="AY14" s="38">
        <f t="shared" si="18"/>
        <v>5049.7739999999994</v>
      </c>
      <c r="AZ14" s="2956"/>
      <c r="BA14" s="37"/>
      <c r="BB14" s="894"/>
      <c r="BC14" s="774">
        <f t="shared" si="19"/>
        <v>331.12</v>
      </c>
      <c r="BD14" s="895"/>
      <c r="BE14" s="695">
        <f t="shared" si="20"/>
        <v>1822.288</v>
      </c>
      <c r="BF14" s="1983"/>
      <c r="BG14" s="38">
        <f t="shared" si="21"/>
        <v>5049.7739999999994</v>
      </c>
      <c r="BH14" s="1520">
        <f t="shared" si="3"/>
        <v>0</v>
      </c>
      <c r="BI14" s="1520">
        <f t="shared" si="4"/>
        <v>0</v>
      </c>
      <c r="BJ14" s="26"/>
      <c r="BK14" s="26">
        <f t="shared" si="5"/>
        <v>0</v>
      </c>
      <c r="BL14" s="26">
        <f t="shared" si="6"/>
        <v>0</v>
      </c>
      <c r="BM14" s="26"/>
      <c r="BN14" s="1202"/>
      <c r="BP14" s="26"/>
      <c r="BQ14" s="26"/>
      <c r="BR14" s="26"/>
      <c r="BS14" s="274"/>
      <c r="BT14" s="26"/>
    </row>
    <row r="15" spans="1:72" x14ac:dyDescent="0.3">
      <c r="B15" s="3843" t="s">
        <v>1809</v>
      </c>
      <c r="C15" s="3844" t="s">
        <v>1004</v>
      </c>
      <c r="D15" s="3845">
        <v>57.1</v>
      </c>
      <c r="E15" s="3846" t="s">
        <v>50</v>
      </c>
      <c r="F15" s="3847"/>
      <c r="G15" s="3764"/>
      <c r="H15" s="3847"/>
      <c r="I15" s="3764">
        <v>319.988</v>
      </c>
      <c r="J15" s="3848"/>
      <c r="K15" s="4506">
        <f t="shared" si="7"/>
        <v>319.988</v>
      </c>
      <c r="L15" s="3847"/>
      <c r="M15" s="3764">
        <v>652.11799999999994</v>
      </c>
      <c r="N15" s="1975"/>
      <c r="O15" s="68">
        <f t="shared" si="8"/>
        <v>972.10599999999999</v>
      </c>
      <c r="P15" s="3847"/>
      <c r="Q15" s="3764"/>
      <c r="R15" s="1983"/>
      <c r="S15" s="38">
        <f t="shared" si="9"/>
        <v>972.10599999999999</v>
      </c>
      <c r="T15" s="3847"/>
      <c r="U15" s="3764">
        <v>666.96699999999998</v>
      </c>
      <c r="V15" s="1983"/>
      <c r="W15" s="38">
        <f t="shared" si="10"/>
        <v>1639.0729999999999</v>
      </c>
      <c r="X15" s="3847"/>
      <c r="Y15" s="3764">
        <v>305.96699999999998</v>
      </c>
      <c r="Z15" s="2757"/>
      <c r="AA15" s="774">
        <f t="shared" si="11"/>
        <v>972.93399999999997</v>
      </c>
      <c r="AB15" s="3966"/>
      <c r="AC15" s="460">
        <f t="shared" si="12"/>
        <v>1945.04</v>
      </c>
      <c r="AD15" s="3847"/>
      <c r="AE15" s="3764"/>
      <c r="AF15" s="1983"/>
      <c r="AG15" s="38">
        <f t="shared" si="13"/>
        <v>1945.04</v>
      </c>
      <c r="AH15" s="3847"/>
      <c r="AI15" s="3764">
        <v>1531.9640000000002</v>
      </c>
      <c r="AJ15" s="1983"/>
      <c r="AK15" s="38">
        <f t="shared" si="14"/>
        <v>3477.0039999999999</v>
      </c>
      <c r="AL15" s="3847"/>
      <c r="AM15" s="3764">
        <v>966.20300000000009</v>
      </c>
      <c r="AN15" s="2757"/>
      <c r="AO15" s="774">
        <f t="shared" si="15"/>
        <v>2498.1670000000004</v>
      </c>
      <c r="AP15" s="1983"/>
      <c r="AQ15" s="38">
        <f t="shared" si="16"/>
        <v>4443.2070000000003</v>
      </c>
      <c r="AR15" s="3847"/>
      <c r="AS15" s="3764">
        <v>1004.9849999999999</v>
      </c>
      <c r="AT15" s="1983"/>
      <c r="AU15" s="38">
        <f t="shared" si="17"/>
        <v>5448.192</v>
      </c>
      <c r="AV15" s="3847"/>
      <c r="AW15" s="3764">
        <v>502.74000000000007</v>
      </c>
      <c r="AX15" s="1983"/>
      <c r="AY15" s="38">
        <f t="shared" si="18"/>
        <v>5950.9319999999998</v>
      </c>
      <c r="AZ15" s="3847"/>
      <c r="BA15" s="3764">
        <v>746.58600000000001</v>
      </c>
      <c r="BB15" s="2757"/>
      <c r="BC15" s="774">
        <f t="shared" si="19"/>
        <v>2254.3109999999997</v>
      </c>
      <c r="BD15" s="2758"/>
      <c r="BE15" s="695">
        <f t="shared" si="20"/>
        <v>4752.4780000000001</v>
      </c>
      <c r="BF15" s="1983"/>
      <c r="BG15" s="38">
        <f t="shared" si="21"/>
        <v>6697.518</v>
      </c>
      <c r="BH15" s="1520">
        <f t="shared" si="3"/>
        <v>0</v>
      </c>
      <c r="BI15" s="1520">
        <f t="shared" si="4"/>
        <v>0</v>
      </c>
      <c r="BJ15" s="26"/>
      <c r="BK15" s="26">
        <f t="shared" si="5"/>
        <v>0</v>
      </c>
      <c r="BL15" s="26">
        <f t="shared" si="6"/>
        <v>0</v>
      </c>
      <c r="BM15" s="26"/>
      <c r="BN15" s="1202"/>
      <c r="BP15" s="26"/>
      <c r="BQ15" s="26"/>
      <c r="BR15" s="26"/>
      <c r="BT15" s="26"/>
    </row>
    <row r="16" spans="1:72" x14ac:dyDescent="0.3">
      <c r="B16" s="3843" t="s">
        <v>1809</v>
      </c>
      <c r="C16" s="3844" t="s">
        <v>938</v>
      </c>
      <c r="D16" s="3845">
        <v>57.1</v>
      </c>
      <c r="E16" s="3846" t="s">
        <v>50</v>
      </c>
      <c r="F16" s="3847"/>
      <c r="G16" s="3764"/>
      <c r="H16" s="3847"/>
      <c r="I16" s="3764">
        <v>268.17200000000003</v>
      </c>
      <c r="J16" s="3848"/>
      <c r="K16" s="4506">
        <f t="shared" si="7"/>
        <v>268.17200000000003</v>
      </c>
      <c r="L16" s="3847"/>
      <c r="M16" s="3764">
        <v>141.42400000000001</v>
      </c>
      <c r="N16" s="1975"/>
      <c r="O16" s="68">
        <f t="shared" si="8"/>
        <v>409.596</v>
      </c>
      <c r="P16" s="3847"/>
      <c r="Q16" s="3764"/>
      <c r="R16" s="1983"/>
      <c r="S16" s="38">
        <f t="shared" si="9"/>
        <v>409.596</v>
      </c>
      <c r="T16" s="3847"/>
      <c r="U16" s="3764"/>
      <c r="V16" s="1983"/>
      <c r="W16" s="38">
        <f t="shared" si="10"/>
        <v>409.596</v>
      </c>
      <c r="X16" s="3847"/>
      <c r="Y16" s="3764">
        <v>195.041</v>
      </c>
      <c r="Z16" s="4053"/>
      <c r="AA16" s="774">
        <f t="shared" si="11"/>
        <v>195.041</v>
      </c>
      <c r="AB16" s="4054"/>
      <c r="AC16" s="460">
        <f t="shared" si="12"/>
        <v>604.63699999999994</v>
      </c>
      <c r="AD16" s="3847"/>
      <c r="AE16" s="3764"/>
      <c r="AF16" s="1983"/>
      <c r="AG16" s="38">
        <f t="shared" si="13"/>
        <v>604.63699999999994</v>
      </c>
      <c r="AH16" s="3847"/>
      <c r="AI16" s="3764"/>
      <c r="AJ16" s="1983"/>
      <c r="AK16" s="38">
        <f t="shared" si="14"/>
        <v>604.63699999999994</v>
      </c>
      <c r="AL16" s="3847"/>
      <c r="AM16" s="3764"/>
      <c r="AN16" s="4053"/>
      <c r="AO16" s="774">
        <f t="shared" si="15"/>
        <v>0</v>
      </c>
      <c r="AP16" s="1983"/>
      <c r="AQ16" s="38">
        <f t="shared" si="16"/>
        <v>604.63699999999994</v>
      </c>
      <c r="AR16" s="3847"/>
      <c r="AS16" s="3764"/>
      <c r="AT16" s="1983"/>
      <c r="AU16" s="38">
        <f t="shared" si="17"/>
        <v>604.63699999999994</v>
      </c>
      <c r="AV16" s="3847"/>
      <c r="AW16" s="3764"/>
      <c r="AX16" s="1983"/>
      <c r="AY16" s="38">
        <f t="shared" si="18"/>
        <v>604.63699999999994</v>
      </c>
      <c r="AZ16" s="3847"/>
      <c r="BA16" s="3764"/>
      <c r="BB16" s="4053"/>
      <c r="BC16" s="774">
        <f t="shared" si="19"/>
        <v>0</v>
      </c>
      <c r="BD16" s="4055"/>
      <c r="BE16" s="695">
        <f t="shared" si="20"/>
        <v>0</v>
      </c>
      <c r="BF16" s="1983"/>
      <c r="BG16" s="38">
        <f t="shared" si="21"/>
        <v>604.63699999999994</v>
      </c>
      <c r="BH16" s="1520">
        <f t="shared" si="3"/>
        <v>0</v>
      </c>
      <c r="BI16" s="1520">
        <f t="shared" si="4"/>
        <v>0</v>
      </c>
      <c r="BJ16" s="26"/>
      <c r="BK16" s="26">
        <f t="shared" si="5"/>
        <v>0</v>
      </c>
      <c r="BL16" s="26">
        <f t="shared" si="6"/>
        <v>0</v>
      </c>
      <c r="BM16" s="26"/>
      <c r="BN16" s="1202"/>
      <c r="BP16" s="26"/>
      <c r="BQ16" s="26"/>
      <c r="BR16" s="26"/>
      <c r="BS16" s="274"/>
      <c r="BT16" s="26"/>
    </row>
    <row r="17" spans="2:72" x14ac:dyDescent="0.3">
      <c r="B17" s="3843" t="s">
        <v>1809</v>
      </c>
      <c r="C17" s="3844" t="s">
        <v>1004</v>
      </c>
      <c r="D17" s="3845">
        <v>50.22</v>
      </c>
      <c r="E17" s="3846" t="s">
        <v>50</v>
      </c>
      <c r="F17" s="3847"/>
      <c r="G17" s="3764"/>
      <c r="H17" s="3847"/>
      <c r="I17" s="3764">
        <v>3471.6990000000005</v>
      </c>
      <c r="J17" s="3848"/>
      <c r="K17" s="4506">
        <f t="shared" si="7"/>
        <v>3471.6990000000005</v>
      </c>
      <c r="L17" s="3847"/>
      <c r="M17" s="3764">
        <v>2275.6989999999996</v>
      </c>
      <c r="N17" s="1975"/>
      <c r="O17" s="68">
        <f t="shared" si="8"/>
        <v>5747.3980000000001</v>
      </c>
      <c r="P17" s="3847"/>
      <c r="Q17" s="3764"/>
      <c r="R17" s="1983"/>
      <c r="S17" s="38">
        <f t="shared" si="9"/>
        <v>5747.3980000000001</v>
      </c>
      <c r="T17" s="3847"/>
      <c r="U17" s="3764">
        <v>2892.7500000000005</v>
      </c>
      <c r="V17" s="1983"/>
      <c r="W17" s="38">
        <f t="shared" si="10"/>
        <v>8640.148000000001</v>
      </c>
      <c r="X17" s="3847"/>
      <c r="Y17" s="3764">
        <v>2383.12</v>
      </c>
      <c r="Z17" s="2757"/>
      <c r="AA17" s="774">
        <f t="shared" si="11"/>
        <v>5275.8700000000008</v>
      </c>
      <c r="AB17" s="3966"/>
      <c r="AC17" s="460">
        <f t="shared" si="12"/>
        <v>11023.268</v>
      </c>
      <c r="AD17" s="3847"/>
      <c r="AE17" s="3764"/>
      <c r="AF17" s="1983"/>
      <c r="AG17" s="38">
        <f t="shared" si="13"/>
        <v>11023.268</v>
      </c>
      <c r="AH17" s="3847"/>
      <c r="AI17" s="3764">
        <v>2322.2310000000007</v>
      </c>
      <c r="AJ17" s="1983"/>
      <c r="AK17" s="38">
        <f t="shared" si="14"/>
        <v>13345.499</v>
      </c>
      <c r="AL17" s="3847"/>
      <c r="AM17" s="3764">
        <v>2023.252</v>
      </c>
      <c r="AN17" s="2757"/>
      <c r="AO17" s="774">
        <f t="shared" si="15"/>
        <v>4345.4830000000002</v>
      </c>
      <c r="AP17" s="1983"/>
      <c r="AQ17" s="38">
        <f t="shared" si="16"/>
        <v>15368.751</v>
      </c>
      <c r="AR17" s="3847"/>
      <c r="AS17" s="3764">
        <v>2650.8590000000004</v>
      </c>
      <c r="AT17" s="1983"/>
      <c r="AU17" s="38">
        <f t="shared" si="17"/>
        <v>18019.61</v>
      </c>
      <c r="AV17" s="3847"/>
      <c r="AW17" s="3764">
        <v>3039.0330000000008</v>
      </c>
      <c r="AX17" s="1983"/>
      <c r="AY17" s="38">
        <f t="shared" si="18"/>
        <v>21058.643</v>
      </c>
      <c r="AZ17" s="3847"/>
      <c r="BA17" s="3764">
        <v>3313.8380000000006</v>
      </c>
      <c r="BB17" s="2757"/>
      <c r="BC17" s="774">
        <f t="shared" si="19"/>
        <v>9003.7300000000032</v>
      </c>
      <c r="BD17" s="2758"/>
      <c r="BE17" s="695">
        <f t="shared" si="20"/>
        <v>13349.213000000003</v>
      </c>
      <c r="BF17" s="1983"/>
      <c r="BG17" s="38">
        <f t="shared" si="21"/>
        <v>24372.481</v>
      </c>
      <c r="BH17" s="1520">
        <f t="shared" si="3"/>
        <v>0</v>
      </c>
      <c r="BI17" s="1520">
        <f t="shared" si="4"/>
        <v>0</v>
      </c>
      <c r="BJ17" s="26"/>
      <c r="BK17" s="26">
        <f t="shared" si="5"/>
        <v>0</v>
      </c>
      <c r="BL17" s="26">
        <f t="shared" si="6"/>
        <v>0</v>
      </c>
      <c r="BM17" s="26"/>
      <c r="BN17" s="1202"/>
      <c r="BP17" s="26"/>
      <c r="BQ17" s="26"/>
      <c r="BR17" s="26"/>
      <c r="BT17" s="26"/>
    </row>
    <row r="18" spans="2:72" ht="15" thickBot="1" x14ac:dyDescent="0.35">
      <c r="B18" s="3843" t="s">
        <v>1809</v>
      </c>
      <c r="C18" s="3844" t="s">
        <v>938</v>
      </c>
      <c r="D18" s="3845">
        <v>50.22</v>
      </c>
      <c r="E18" s="3846" t="s">
        <v>50</v>
      </c>
      <c r="F18" s="3847"/>
      <c r="G18" s="3764"/>
      <c r="H18" s="3847"/>
      <c r="I18" s="3764">
        <v>321.09100000000001</v>
      </c>
      <c r="J18" s="3848"/>
      <c r="K18" s="4506">
        <f t="shared" si="7"/>
        <v>321.09100000000001</v>
      </c>
      <c r="L18" s="3847"/>
      <c r="M18" s="3764"/>
      <c r="N18" s="1975"/>
      <c r="O18" s="68">
        <f t="shared" si="8"/>
        <v>321.09100000000001</v>
      </c>
      <c r="P18" s="3847"/>
      <c r="Q18" s="3764"/>
      <c r="R18" s="1983"/>
      <c r="S18" s="38">
        <f t="shared" si="9"/>
        <v>321.09100000000001</v>
      </c>
      <c r="T18" s="3847"/>
      <c r="U18" s="3764"/>
      <c r="V18" s="1983"/>
      <c r="W18" s="38">
        <f t="shared" si="10"/>
        <v>321.09100000000001</v>
      </c>
      <c r="X18" s="3847"/>
      <c r="Y18" s="3764">
        <v>455.50200000000007</v>
      </c>
      <c r="Z18" s="2757"/>
      <c r="AA18" s="774">
        <f t="shared" si="11"/>
        <v>455.50200000000007</v>
      </c>
      <c r="AB18" s="3966"/>
      <c r="AC18" s="460">
        <f t="shared" si="12"/>
        <v>776.59300000000007</v>
      </c>
      <c r="AD18" s="3847"/>
      <c r="AE18" s="3764"/>
      <c r="AF18" s="1983"/>
      <c r="AG18" s="38">
        <f t="shared" si="13"/>
        <v>776.59300000000007</v>
      </c>
      <c r="AH18" s="3847"/>
      <c r="AI18" s="3764">
        <v>507.77100000000002</v>
      </c>
      <c r="AJ18" s="1983"/>
      <c r="AK18" s="38">
        <f t="shared" si="14"/>
        <v>1284.364</v>
      </c>
      <c r="AL18" s="3847"/>
      <c r="AM18" s="3764"/>
      <c r="AN18" s="2757"/>
      <c r="AO18" s="774">
        <f t="shared" si="15"/>
        <v>507.77100000000002</v>
      </c>
      <c r="AP18" s="1983"/>
      <c r="AQ18" s="38">
        <f t="shared" si="16"/>
        <v>1284.364</v>
      </c>
      <c r="AR18" s="3847"/>
      <c r="AS18" s="3764"/>
      <c r="AT18" s="1983"/>
      <c r="AU18" s="38">
        <f t="shared" si="17"/>
        <v>1284.364</v>
      </c>
      <c r="AV18" s="3847"/>
      <c r="AW18" s="3764">
        <v>403.154</v>
      </c>
      <c r="AX18" s="1983"/>
      <c r="AY18" s="38">
        <f t="shared" si="18"/>
        <v>1687.518</v>
      </c>
      <c r="AZ18" s="3847"/>
      <c r="BA18" s="3764">
        <v>194.16</v>
      </c>
      <c r="BB18" s="2757"/>
      <c r="BC18" s="774">
        <f t="shared" si="19"/>
        <v>597.31399999999996</v>
      </c>
      <c r="BD18" s="2758"/>
      <c r="BE18" s="695">
        <f t="shared" si="20"/>
        <v>1105.085</v>
      </c>
      <c r="BF18" s="1983"/>
      <c r="BG18" s="38">
        <f t="shared" si="21"/>
        <v>1881.6780000000001</v>
      </c>
      <c r="BH18" s="1520">
        <f t="shared" si="3"/>
        <v>0</v>
      </c>
      <c r="BI18" s="1520">
        <f t="shared" si="4"/>
        <v>0</v>
      </c>
      <c r="BJ18" s="26"/>
      <c r="BK18" s="26">
        <f t="shared" si="5"/>
        <v>0</v>
      </c>
      <c r="BL18" s="26">
        <f t="shared" si="6"/>
        <v>0</v>
      </c>
      <c r="BM18" s="26"/>
      <c r="BN18" s="1202"/>
    </row>
    <row r="19" spans="2:72" x14ac:dyDescent="0.3">
      <c r="B19" s="2948" t="s">
        <v>847</v>
      </c>
      <c r="C19" s="2949" t="s">
        <v>1004</v>
      </c>
      <c r="D19" s="2950">
        <v>66.3</v>
      </c>
      <c r="E19" s="1309" t="s">
        <v>50</v>
      </c>
      <c r="F19" s="2951"/>
      <c r="G19" s="87"/>
      <c r="H19" s="2951"/>
      <c r="I19" s="87"/>
      <c r="J19" s="2952"/>
      <c r="K19" s="4506">
        <f t="shared" si="7"/>
        <v>0</v>
      </c>
      <c r="L19" s="2951"/>
      <c r="M19" s="87"/>
      <c r="N19" s="1975"/>
      <c r="O19" s="68">
        <f t="shared" si="8"/>
        <v>0</v>
      </c>
      <c r="P19" s="2951"/>
      <c r="Q19" s="87"/>
      <c r="R19" s="1983"/>
      <c r="S19" s="38">
        <f t="shared" si="9"/>
        <v>0</v>
      </c>
      <c r="T19" s="2951"/>
      <c r="U19" s="87"/>
      <c r="V19" s="1983"/>
      <c r="W19" s="38">
        <f t="shared" si="10"/>
        <v>0</v>
      </c>
      <c r="X19" s="2951"/>
      <c r="Y19" s="87"/>
      <c r="Z19" s="894"/>
      <c r="AA19" s="774">
        <f t="shared" si="11"/>
        <v>0</v>
      </c>
      <c r="AB19" s="3965"/>
      <c r="AC19" s="460">
        <f t="shared" si="12"/>
        <v>0</v>
      </c>
      <c r="AD19" s="2951"/>
      <c r="AE19" s="87"/>
      <c r="AF19" s="1983"/>
      <c r="AG19" s="38">
        <f t="shared" si="13"/>
        <v>0</v>
      </c>
      <c r="AH19" s="2951"/>
      <c r="AI19" s="87"/>
      <c r="AJ19" s="1983"/>
      <c r="AK19" s="38">
        <f t="shared" si="14"/>
        <v>0</v>
      </c>
      <c r="AL19" s="2951"/>
      <c r="AM19" s="87"/>
      <c r="AN19" s="894"/>
      <c r="AO19" s="774">
        <f t="shared" si="15"/>
        <v>0</v>
      </c>
      <c r="AP19" s="1983"/>
      <c r="AQ19" s="38">
        <f t="shared" si="16"/>
        <v>0</v>
      </c>
      <c r="AR19" s="2951"/>
      <c r="AS19" s="87"/>
      <c r="AT19" s="1983"/>
      <c r="AU19" s="38">
        <f t="shared" si="17"/>
        <v>0</v>
      </c>
      <c r="AV19" s="2951"/>
      <c r="AW19" s="87"/>
      <c r="AX19" s="1983"/>
      <c r="AY19" s="38">
        <f t="shared" si="18"/>
        <v>0</v>
      </c>
      <c r="AZ19" s="2951"/>
      <c r="BA19" s="87"/>
      <c r="BB19" s="894"/>
      <c r="BC19" s="774">
        <f t="shared" si="19"/>
        <v>0</v>
      </c>
      <c r="BD19" s="895"/>
      <c r="BE19" s="695">
        <f t="shared" si="20"/>
        <v>0</v>
      </c>
      <c r="BF19" s="1983"/>
      <c r="BG19" s="38">
        <f t="shared" si="21"/>
        <v>0</v>
      </c>
      <c r="BH19" s="1520">
        <f t="shared" si="3"/>
        <v>0</v>
      </c>
      <c r="BI19" s="1520">
        <f t="shared" si="4"/>
        <v>0</v>
      </c>
      <c r="BJ19" s="26"/>
      <c r="BK19" s="26">
        <f t="shared" si="5"/>
        <v>0</v>
      </c>
      <c r="BL19" s="26">
        <f t="shared" si="6"/>
        <v>0</v>
      </c>
      <c r="BM19" s="26"/>
      <c r="BN19" s="1202"/>
    </row>
    <row r="20" spans="2:72" x14ac:dyDescent="0.3">
      <c r="B20" s="1074" t="s">
        <v>847</v>
      </c>
      <c r="C20" s="2755" t="s">
        <v>938</v>
      </c>
      <c r="D20" s="2756">
        <v>66.3</v>
      </c>
      <c r="E20" s="1372" t="s">
        <v>50</v>
      </c>
      <c r="F20" s="1961"/>
      <c r="G20" s="18"/>
      <c r="H20" s="1961"/>
      <c r="I20" s="18"/>
      <c r="J20" s="1966"/>
      <c r="K20" s="4506">
        <f t="shared" si="7"/>
        <v>0</v>
      </c>
      <c r="L20" s="1961"/>
      <c r="M20" s="18"/>
      <c r="N20" s="1975"/>
      <c r="O20" s="68">
        <f t="shared" si="8"/>
        <v>0</v>
      </c>
      <c r="P20" s="1961"/>
      <c r="Q20" s="18"/>
      <c r="R20" s="1983"/>
      <c r="S20" s="38">
        <f t="shared" si="9"/>
        <v>0</v>
      </c>
      <c r="T20" s="1961"/>
      <c r="U20" s="18"/>
      <c r="V20" s="1983"/>
      <c r="W20" s="38">
        <f t="shared" si="10"/>
        <v>0</v>
      </c>
      <c r="X20" s="1961"/>
      <c r="Y20" s="18"/>
      <c r="Z20" s="894"/>
      <c r="AA20" s="774">
        <f t="shared" si="11"/>
        <v>0</v>
      </c>
      <c r="AB20" s="3965"/>
      <c r="AC20" s="460">
        <f t="shared" si="12"/>
        <v>0</v>
      </c>
      <c r="AD20" s="1961"/>
      <c r="AE20" s="18"/>
      <c r="AF20" s="1983"/>
      <c r="AG20" s="38">
        <f t="shared" si="13"/>
        <v>0</v>
      </c>
      <c r="AH20" s="1961"/>
      <c r="AI20" s="18"/>
      <c r="AJ20" s="1983"/>
      <c r="AK20" s="38">
        <f t="shared" si="14"/>
        <v>0</v>
      </c>
      <c r="AL20" s="1961"/>
      <c r="AM20" s="18"/>
      <c r="AN20" s="894"/>
      <c r="AO20" s="774">
        <f t="shared" si="15"/>
        <v>0</v>
      </c>
      <c r="AP20" s="1983"/>
      <c r="AQ20" s="38">
        <f t="shared" si="16"/>
        <v>0</v>
      </c>
      <c r="AR20" s="1961"/>
      <c r="AS20" s="18"/>
      <c r="AT20" s="1983"/>
      <c r="AU20" s="38">
        <f t="shared" si="17"/>
        <v>0</v>
      </c>
      <c r="AV20" s="1961"/>
      <c r="AW20" s="18"/>
      <c r="AX20" s="1983"/>
      <c r="AY20" s="38">
        <f t="shared" si="18"/>
        <v>0</v>
      </c>
      <c r="AZ20" s="1961"/>
      <c r="BA20" s="18"/>
      <c r="BB20" s="894"/>
      <c r="BC20" s="774">
        <f t="shared" si="19"/>
        <v>0</v>
      </c>
      <c r="BD20" s="895"/>
      <c r="BE20" s="695">
        <f t="shared" si="20"/>
        <v>0</v>
      </c>
      <c r="BF20" s="1983"/>
      <c r="BG20" s="38">
        <f t="shared" si="21"/>
        <v>0</v>
      </c>
      <c r="BH20" s="1520">
        <f t="shared" si="3"/>
        <v>0</v>
      </c>
      <c r="BI20" s="1520">
        <f t="shared" si="4"/>
        <v>0</v>
      </c>
      <c r="BJ20" s="26"/>
      <c r="BK20" s="26">
        <f t="shared" si="5"/>
        <v>0</v>
      </c>
      <c r="BL20" s="26">
        <f t="shared" si="6"/>
        <v>0</v>
      </c>
      <c r="BM20" s="26"/>
      <c r="BN20" s="1202"/>
    </row>
    <row r="21" spans="2:72" x14ac:dyDescent="0.3">
      <c r="B21" s="4858" t="s">
        <v>847</v>
      </c>
      <c r="C21" s="2755" t="s">
        <v>1004</v>
      </c>
      <c r="D21" s="5009">
        <v>75.66</v>
      </c>
      <c r="E21" s="4861" t="s">
        <v>50</v>
      </c>
      <c r="F21" s="4862"/>
      <c r="G21" s="4863"/>
      <c r="H21" s="4862"/>
      <c r="I21" s="4863"/>
      <c r="J21" s="5010"/>
      <c r="K21" s="4936"/>
      <c r="L21" s="4862"/>
      <c r="M21" s="4863"/>
      <c r="N21" s="4851"/>
      <c r="O21" s="4865"/>
      <c r="P21" s="4862"/>
      <c r="Q21" s="4863"/>
      <c r="R21" s="4852"/>
      <c r="S21" s="4446"/>
      <c r="T21" s="4862"/>
      <c r="U21" s="4863"/>
      <c r="V21" s="4852"/>
      <c r="W21" s="4446"/>
      <c r="X21" s="4862"/>
      <c r="Y21" s="4863"/>
      <c r="Z21" s="4959"/>
      <c r="AA21" s="774">
        <f t="shared" si="11"/>
        <v>0</v>
      </c>
      <c r="AB21" s="5011"/>
      <c r="AC21" s="460">
        <f t="shared" si="12"/>
        <v>0</v>
      </c>
      <c r="AD21" s="4862"/>
      <c r="AE21" s="4863">
        <v>321.09199999999998</v>
      </c>
      <c r="AF21" s="4852"/>
      <c r="AG21" s="38">
        <f t="shared" ref="AG21" si="22">+AC21+AE21</f>
        <v>321.09199999999998</v>
      </c>
      <c r="AH21" s="4862"/>
      <c r="AI21" s="4863"/>
      <c r="AJ21" s="1983"/>
      <c r="AK21" s="38">
        <f t="shared" si="14"/>
        <v>321.09199999999998</v>
      </c>
      <c r="AL21" s="4862"/>
      <c r="AM21" s="4863"/>
      <c r="AN21" s="894"/>
      <c r="AO21" s="774">
        <f t="shared" si="15"/>
        <v>321.09199999999998</v>
      </c>
      <c r="AP21" s="1983"/>
      <c r="AQ21" s="38">
        <f t="shared" si="16"/>
        <v>321.09199999999998</v>
      </c>
      <c r="AR21" s="4862"/>
      <c r="AS21" s="4863"/>
      <c r="AT21" s="1983"/>
      <c r="AU21" s="38">
        <f t="shared" si="17"/>
        <v>321.09199999999998</v>
      </c>
      <c r="AV21" s="4862"/>
      <c r="AW21" s="4863"/>
      <c r="AX21" s="1983"/>
      <c r="AY21" s="38">
        <f t="shared" si="18"/>
        <v>321.09199999999998</v>
      </c>
      <c r="AZ21" s="4862"/>
      <c r="BA21" s="4863"/>
      <c r="BB21" s="894"/>
      <c r="BC21" s="774">
        <f t="shared" ref="BC21" si="23">+AS21+AW21+BA21</f>
        <v>0</v>
      </c>
      <c r="BD21" s="895"/>
      <c r="BE21" s="695">
        <f t="shared" ref="BE21" si="24">+AO21+BC21</f>
        <v>321.09199999999998</v>
      </c>
      <c r="BF21" s="1983"/>
      <c r="BG21" s="38">
        <f t="shared" si="21"/>
        <v>321.09199999999998</v>
      </c>
      <c r="BH21" s="1520">
        <f t="shared" si="3"/>
        <v>0</v>
      </c>
      <c r="BI21" s="1520">
        <f t="shared" si="4"/>
        <v>0</v>
      </c>
      <c r="BJ21" s="26"/>
      <c r="BK21" s="26">
        <f t="shared" si="5"/>
        <v>0</v>
      </c>
      <c r="BL21" s="26">
        <f t="shared" si="6"/>
        <v>0</v>
      </c>
      <c r="BM21" s="26"/>
      <c r="BN21" s="1202"/>
    </row>
    <row r="22" spans="2:72" x14ac:dyDescent="0.3">
      <c r="B22" s="1074" t="s">
        <v>847</v>
      </c>
      <c r="C22" s="2755" t="s">
        <v>1004</v>
      </c>
      <c r="D22" s="2756">
        <v>66.31</v>
      </c>
      <c r="E22" s="1372" t="s">
        <v>50</v>
      </c>
      <c r="F22" s="1961"/>
      <c r="G22" s="18">
        <v>3919.8780000000015</v>
      </c>
      <c r="H22" s="1961"/>
      <c r="I22" s="18">
        <v>5290.4709999999977</v>
      </c>
      <c r="J22" s="1966"/>
      <c r="K22" s="4506">
        <f t="shared" si="7"/>
        <v>9210.3489999999983</v>
      </c>
      <c r="L22" s="1961"/>
      <c r="M22" s="18">
        <v>5534.0719999999992</v>
      </c>
      <c r="N22" s="1975"/>
      <c r="O22" s="68">
        <f t="shared" si="8"/>
        <v>14744.420999999998</v>
      </c>
      <c r="P22" s="1961"/>
      <c r="Q22" s="18">
        <v>5783.0740000000042</v>
      </c>
      <c r="R22" s="1983"/>
      <c r="S22" s="38">
        <f t="shared" si="9"/>
        <v>20527.495000000003</v>
      </c>
      <c r="T22" s="1961"/>
      <c r="U22" s="18">
        <v>4264.5920000000006</v>
      </c>
      <c r="V22" s="1983"/>
      <c r="W22" s="38">
        <f t="shared" si="10"/>
        <v>24792.087000000003</v>
      </c>
      <c r="X22" s="1961"/>
      <c r="Y22" s="18">
        <v>3508.817</v>
      </c>
      <c r="Z22" s="894"/>
      <c r="AA22" s="774">
        <f t="shared" si="11"/>
        <v>13556.483000000004</v>
      </c>
      <c r="AB22" s="3965"/>
      <c r="AC22" s="460">
        <f t="shared" si="12"/>
        <v>28300.904000000002</v>
      </c>
      <c r="AD22" s="1961"/>
      <c r="AE22" s="18">
        <v>5936.3510000000042</v>
      </c>
      <c r="AF22" s="1983"/>
      <c r="AG22" s="38">
        <f t="shared" si="13"/>
        <v>34237.255000000005</v>
      </c>
      <c r="AH22" s="1961"/>
      <c r="AI22" s="18">
        <v>4493.277</v>
      </c>
      <c r="AJ22" s="1983"/>
      <c r="AK22" s="38">
        <f t="shared" si="14"/>
        <v>38730.532000000007</v>
      </c>
      <c r="AL22" s="1961"/>
      <c r="AM22" s="18">
        <v>5152.2199999999984</v>
      </c>
      <c r="AN22" s="894"/>
      <c r="AO22" s="774">
        <f t="shared" si="15"/>
        <v>15581.848000000002</v>
      </c>
      <c r="AP22" s="1983"/>
      <c r="AQ22" s="38">
        <f t="shared" si="16"/>
        <v>43882.752000000008</v>
      </c>
      <c r="AR22" s="1961"/>
      <c r="AS22" s="18">
        <v>4074.8280000000013</v>
      </c>
      <c r="AT22" s="1983"/>
      <c r="AU22" s="38">
        <f t="shared" si="17"/>
        <v>47957.580000000009</v>
      </c>
      <c r="AV22" s="1961"/>
      <c r="AW22" s="18">
        <v>5929.5550000000048</v>
      </c>
      <c r="AX22" s="1983"/>
      <c r="AY22" s="38">
        <f t="shared" si="18"/>
        <v>53887.135000000017</v>
      </c>
      <c r="AZ22" s="1961"/>
      <c r="BA22" s="18">
        <v>7728.3740000000053</v>
      </c>
      <c r="BB22" s="894"/>
      <c r="BC22" s="774">
        <f t="shared" si="19"/>
        <v>17732.757000000012</v>
      </c>
      <c r="BD22" s="895"/>
      <c r="BE22" s="695">
        <f t="shared" si="20"/>
        <v>33314.60500000001</v>
      </c>
      <c r="BF22" s="1983"/>
      <c r="BG22" s="38">
        <f t="shared" si="21"/>
        <v>61615.50900000002</v>
      </c>
      <c r="BH22" s="1520">
        <f t="shared" si="3"/>
        <v>0</v>
      </c>
      <c r="BI22" s="1520">
        <f t="shared" si="4"/>
        <v>0</v>
      </c>
      <c r="BJ22" s="26"/>
      <c r="BK22" s="26">
        <f t="shared" si="5"/>
        <v>0</v>
      </c>
      <c r="BL22" s="26">
        <f t="shared" si="6"/>
        <v>0</v>
      </c>
      <c r="BM22" s="26"/>
      <c r="BN22" s="1202"/>
    </row>
    <row r="23" spans="2:72" x14ac:dyDescent="0.3">
      <c r="B23" s="1074" t="s">
        <v>847</v>
      </c>
      <c r="C23" s="2755" t="s">
        <v>1583</v>
      </c>
      <c r="D23" s="4409">
        <v>66.31</v>
      </c>
      <c r="E23" s="1372" t="s">
        <v>50</v>
      </c>
      <c r="F23" s="4410"/>
      <c r="G23" s="4411">
        <v>212.09199999999998</v>
      </c>
      <c r="H23" s="4410"/>
      <c r="I23" s="4411"/>
      <c r="J23" s="4412"/>
      <c r="K23" s="4506">
        <f t="shared" si="7"/>
        <v>212.09199999999998</v>
      </c>
      <c r="L23" s="4410"/>
      <c r="M23" s="4411">
        <v>251.41899999999998</v>
      </c>
      <c r="N23" s="4413"/>
      <c r="O23" s="68">
        <f t="shared" si="8"/>
        <v>463.51099999999997</v>
      </c>
      <c r="P23" s="4410"/>
      <c r="Q23" s="4411">
        <v>1317.7949999999998</v>
      </c>
      <c r="R23" s="4414"/>
      <c r="S23" s="38">
        <f t="shared" si="9"/>
        <v>1781.3059999999998</v>
      </c>
      <c r="T23" s="4410"/>
      <c r="U23" s="4411"/>
      <c r="V23" s="4414"/>
      <c r="W23" s="38">
        <f t="shared" si="10"/>
        <v>1781.3059999999998</v>
      </c>
      <c r="X23" s="4410"/>
      <c r="Y23" s="4411"/>
      <c r="Z23" s="4415"/>
      <c r="AA23" s="774">
        <f t="shared" si="11"/>
        <v>1317.7949999999998</v>
      </c>
      <c r="AB23" s="4416"/>
      <c r="AC23" s="460">
        <f t="shared" si="12"/>
        <v>1781.3059999999998</v>
      </c>
      <c r="AD23" s="4410"/>
      <c r="AE23" s="4411">
        <v>369.25</v>
      </c>
      <c r="AF23" s="4414"/>
      <c r="AG23" s="38">
        <f t="shared" si="13"/>
        <v>2150.5559999999996</v>
      </c>
      <c r="AH23" s="4410"/>
      <c r="AI23" s="4411"/>
      <c r="AJ23" s="4414"/>
      <c r="AK23" s="38">
        <f t="shared" si="14"/>
        <v>2150.5559999999996</v>
      </c>
      <c r="AL23" s="4410"/>
      <c r="AM23" s="4411"/>
      <c r="AN23" s="4415"/>
      <c r="AO23" s="774">
        <f t="shared" si="15"/>
        <v>369.25</v>
      </c>
      <c r="AP23" s="4414"/>
      <c r="AQ23" s="38">
        <f t="shared" si="16"/>
        <v>2150.5559999999996</v>
      </c>
      <c r="AR23" s="4410"/>
      <c r="AS23" s="4411"/>
      <c r="AT23" s="4414"/>
      <c r="AU23" s="4404">
        <f t="shared" si="17"/>
        <v>2150.5559999999996</v>
      </c>
      <c r="AV23" s="4410"/>
      <c r="AW23" s="4411"/>
      <c r="AX23" s="4414"/>
      <c r="AY23" s="38">
        <f t="shared" si="18"/>
        <v>2150.5559999999996</v>
      </c>
      <c r="AZ23" s="4410"/>
      <c r="BA23" s="4411"/>
      <c r="BB23" s="4415"/>
      <c r="BC23" s="774">
        <f t="shared" si="19"/>
        <v>0</v>
      </c>
      <c r="BD23" s="4417"/>
      <c r="BE23" s="695">
        <f t="shared" si="20"/>
        <v>369.25</v>
      </c>
      <c r="BF23" s="4414"/>
      <c r="BG23" s="38">
        <f t="shared" si="21"/>
        <v>2150.5559999999996</v>
      </c>
      <c r="BH23" s="1520">
        <f t="shared" si="3"/>
        <v>0</v>
      </c>
      <c r="BI23" s="1520">
        <f t="shared" si="4"/>
        <v>0</v>
      </c>
      <c r="BJ23" s="26"/>
      <c r="BK23" s="26">
        <f t="shared" si="5"/>
        <v>0</v>
      </c>
      <c r="BL23" s="26">
        <f t="shared" si="6"/>
        <v>0</v>
      </c>
      <c r="BM23" s="26"/>
      <c r="BN23" s="1202"/>
    </row>
    <row r="24" spans="2:72" ht="15" customHeight="1" x14ac:dyDescent="0.3">
      <c r="B24" s="1074" t="s">
        <v>847</v>
      </c>
      <c r="C24" s="2755" t="s">
        <v>938</v>
      </c>
      <c r="D24" s="2756">
        <v>66.31</v>
      </c>
      <c r="E24" s="1372" t="s">
        <v>50</v>
      </c>
      <c r="F24" s="1961"/>
      <c r="G24" s="18">
        <v>408.476</v>
      </c>
      <c r="H24" s="1961"/>
      <c r="I24" s="18">
        <v>1554.7009999999998</v>
      </c>
      <c r="J24" s="1966"/>
      <c r="K24" s="4506">
        <f t="shared" si="7"/>
        <v>1963.1769999999997</v>
      </c>
      <c r="L24" s="1961"/>
      <c r="M24" s="18">
        <v>1074.116</v>
      </c>
      <c r="N24" s="1975"/>
      <c r="O24" s="68">
        <f t="shared" si="8"/>
        <v>3037.2929999999997</v>
      </c>
      <c r="P24" s="1961"/>
      <c r="Q24" s="18"/>
      <c r="R24" s="1983"/>
      <c r="S24" s="38">
        <f t="shared" si="9"/>
        <v>3037.2929999999997</v>
      </c>
      <c r="T24" s="1961"/>
      <c r="U24" s="18">
        <v>314.27499999999998</v>
      </c>
      <c r="V24" s="1983"/>
      <c r="W24" s="38">
        <f t="shared" si="10"/>
        <v>3351.5679999999998</v>
      </c>
      <c r="X24" s="1961"/>
      <c r="Y24" s="18">
        <v>1084.9309999999998</v>
      </c>
      <c r="Z24" s="2757"/>
      <c r="AA24" s="774">
        <f t="shared" si="11"/>
        <v>1399.2059999999997</v>
      </c>
      <c r="AB24" s="3966"/>
      <c r="AC24" s="460">
        <f t="shared" si="12"/>
        <v>4436.4989999999998</v>
      </c>
      <c r="AD24" s="1961"/>
      <c r="AE24" s="18">
        <v>1216.867</v>
      </c>
      <c r="AF24" s="1983"/>
      <c r="AG24" s="38">
        <f t="shared" si="13"/>
        <v>5653.366</v>
      </c>
      <c r="AH24" s="1961"/>
      <c r="AI24" s="18">
        <v>722.73699999999997</v>
      </c>
      <c r="AJ24" s="1983"/>
      <c r="AK24" s="38">
        <f t="shared" si="14"/>
        <v>6376.1030000000001</v>
      </c>
      <c r="AL24" s="1961"/>
      <c r="AM24" s="18">
        <v>33.246000000000002</v>
      </c>
      <c r="AN24" s="2757"/>
      <c r="AO24" s="774">
        <f t="shared" si="15"/>
        <v>1972.85</v>
      </c>
      <c r="AP24" s="1983"/>
      <c r="AQ24" s="38">
        <f t="shared" si="16"/>
        <v>6409.3490000000002</v>
      </c>
      <c r="AR24" s="1961"/>
      <c r="AS24" s="18">
        <v>306.387</v>
      </c>
      <c r="AT24" s="1983"/>
      <c r="AU24" s="38">
        <f t="shared" si="17"/>
        <v>6715.7359999999999</v>
      </c>
      <c r="AV24" s="1961"/>
      <c r="AW24" s="18">
        <v>109.94499999999999</v>
      </c>
      <c r="AX24" s="1983"/>
      <c r="AY24" s="38">
        <f t="shared" si="18"/>
        <v>6825.6809999999996</v>
      </c>
      <c r="AZ24" s="1961"/>
      <c r="BA24" s="18"/>
      <c r="BB24" s="2757"/>
      <c r="BC24" s="774">
        <f t="shared" si="19"/>
        <v>416.33199999999999</v>
      </c>
      <c r="BD24" s="2758"/>
      <c r="BE24" s="695">
        <f t="shared" si="20"/>
        <v>2389.1819999999998</v>
      </c>
      <c r="BF24" s="1983"/>
      <c r="BG24" s="38">
        <f t="shared" si="21"/>
        <v>6825.6809999999996</v>
      </c>
      <c r="BH24" s="1520">
        <f t="shared" si="3"/>
        <v>0</v>
      </c>
      <c r="BI24" s="1520">
        <f t="shared" si="4"/>
        <v>0</v>
      </c>
      <c r="BJ24" s="26"/>
      <c r="BK24" s="26">
        <f t="shared" si="5"/>
        <v>0</v>
      </c>
      <c r="BL24" s="26">
        <f t="shared" si="6"/>
        <v>0</v>
      </c>
      <c r="BM24" s="26"/>
      <c r="BN24" s="1202"/>
    </row>
    <row r="25" spans="2:72" ht="15" customHeight="1" x14ac:dyDescent="0.3">
      <c r="B25" s="1074" t="s">
        <v>848</v>
      </c>
      <c r="C25" s="2755" t="s">
        <v>1004</v>
      </c>
      <c r="D25" s="2756">
        <v>57.38</v>
      </c>
      <c r="E25" s="1372" t="s">
        <v>50</v>
      </c>
      <c r="F25" s="1110"/>
      <c r="G25" s="18">
        <v>1072.3130000000001</v>
      </c>
      <c r="H25" s="1110"/>
      <c r="I25" s="18">
        <v>4743.454999999999</v>
      </c>
      <c r="J25" s="432"/>
      <c r="K25" s="4506">
        <f t="shared" si="7"/>
        <v>5815.7679999999991</v>
      </c>
      <c r="L25" s="1110"/>
      <c r="M25" s="18">
        <v>2113.4860000000003</v>
      </c>
      <c r="N25" s="71"/>
      <c r="O25" s="68">
        <f t="shared" si="8"/>
        <v>7929.253999999999</v>
      </c>
      <c r="P25" s="1110"/>
      <c r="Q25" s="18">
        <v>2842.0549999999998</v>
      </c>
      <c r="R25" s="60"/>
      <c r="S25" s="38">
        <f t="shared" si="9"/>
        <v>10771.308999999999</v>
      </c>
      <c r="T25" s="1110"/>
      <c r="U25" s="18">
        <v>1577.72</v>
      </c>
      <c r="V25" s="60"/>
      <c r="W25" s="38">
        <f t="shared" si="10"/>
        <v>12349.028999999999</v>
      </c>
      <c r="X25" s="1110"/>
      <c r="Y25" s="18">
        <v>1052.1249999999998</v>
      </c>
      <c r="Z25" s="774"/>
      <c r="AA25" s="774">
        <f t="shared" si="11"/>
        <v>5471.9</v>
      </c>
      <c r="AB25" s="460"/>
      <c r="AC25" s="460">
        <f t="shared" si="12"/>
        <v>13401.153999999999</v>
      </c>
      <c r="AD25" s="1110"/>
      <c r="AE25" s="18">
        <v>3354.6460000000002</v>
      </c>
      <c r="AF25" s="1983"/>
      <c r="AG25" s="38">
        <f t="shared" si="13"/>
        <v>16755.8</v>
      </c>
      <c r="AH25" s="1110"/>
      <c r="AI25" s="18">
        <v>2600.0659999999993</v>
      </c>
      <c r="AJ25" s="1983"/>
      <c r="AK25" s="38">
        <f t="shared" si="14"/>
        <v>19355.865999999998</v>
      </c>
      <c r="AL25" s="1110"/>
      <c r="AM25" s="18">
        <v>1917.9859999999999</v>
      </c>
      <c r="AN25" s="774"/>
      <c r="AO25" s="774">
        <f t="shared" si="15"/>
        <v>7872.6979999999994</v>
      </c>
      <c r="AP25" s="1983"/>
      <c r="AQ25" s="38">
        <f t="shared" si="16"/>
        <v>21273.851999999999</v>
      </c>
      <c r="AR25" s="1110"/>
      <c r="AS25" s="18">
        <f>3690.556-277.49</f>
        <v>3413.0659999999998</v>
      </c>
      <c r="AT25" s="1983"/>
      <c r="AU25" s="38">
        <f t="shared" si="17"/>
        <v>24686.917999999998</v>
      </c>
      <c r="AV25" s="1110"/>
      <c r="AW25" s="18">
        <v>4302.5500000000011</v>
      </c>
      <c r="AX25" s="1983"/>
      <c r="AY25" s="38">
        <f t="shared" si="18"/>
        <v>28989.468000000001</v>
      </c>
      <c r="AZ25" s="1110"/>
      <c r="BA25" s="18">
        <v>3338.411000000001</v>
      </c>
      <c r="BB25" s="774"/>
      <c r="BC25" s="774">
        <f t="shared" si="19"/>
        <v>11054.027000000002</v>
      </c>
      <c r="BD25" s="695"/>
      <c r="BE25" s="695">
        <f t="shared" si="20"/>
        <v>18926.725000000002</v>
      </c>
      <c r="BF25" s="1983"/>
      <c r="BG25" s="38">
        <f t="shared" si="21"/>
        <v>32327.879000000001</v>
      </c>
      <c r="BH25" s="1520">
        <f t="shared" si="3"/>
        <v>0</v>
      </c>
      <c r="BI25" s="1520">
        <f t="shared" si="4"/>
        <v>0</v>
      </c>
      <c r="BJ25" s="26"/>
      <c r="BK25" s="26">
        <f t="shared" si="5"/>
        <v>0</v>
      </c>
      <c r="BL25" s="26">
        <f t="shared" si="6"/>
        <v>0</v>
      </c>
      <c r="BM25" s="26"/>
      <c r="BN25" s="1202"/>
    </row>
    <row r="26" spans="2:72" ht="15" customHeight="1" thickBot="1" x14ac:dyDescent="0.35">
      <c r="B26" s="2953" t="s">
        <v>848</v>
      </c>
      <c r="C26" s="2954" t="s">
        <v>938</v>
      </c>
      <c r="D26" s="2955">
        <v>57.38</v>
      </c>
      <c r="E26" s="1392" t="s">
        <v>50</v>
      </c>
      <c r="F26" s="2956"/>
      <c r="G26" s="37">
        <v>974.24799999999993</v>
      </c>
      <c r="H26" s="2956"/>
      <c r="I26" s="37">
        <v>1834.2080000000017</v>
      </c>
      <c r="J26" s="2957"/>
      <c r="K26" s="4506">
        <f t="shared" si="7"/>
        <v>2808.4560000000015</v>
      </c>
      <c r="L26" s="2956"/>
      <c r="M26" s="37">
        <v>3896.5000000000009</v>
      </c>
      <c r="N26" s="1975"/>
      <c r="O26" s="68">
        <f t="shared" si="8"/>
        <v>6704.9560000000019</v>
      </c>
      <c r="P26" s="2956"/>
      <c r="Q26" s="37">
        <v>1135.345</v>
      </c>
      <c r="R26" s="1983"/>
      <c r="S26" s="38">
        <f t="shared" si="9"/>
        <v>7840.3010000000022</v>
      </c>
      <c r="T26" s="2956"/>
      <c r="U26" s="37">
        <v>528.68100000000004</v>
      </c>
      <c r="V26" s="1983"/>
      <c r="W26" s="38">
        <f t="shared" si="10"/>
        <v>8368.9820000000018</v>
      </c>
      <c r="X26" s="2956"/>
      <c r="Y26" s="37"/>
      <c r="Z26" s="894"/>
      <c r="AA26" s="774">
        <f t="shared" si="11"/>
        <v>1664.0260000000001</v>
      </c>
      <c r="AB26" s="3965"/>
      <c r="AC26" s="460">
        <f t="shared" si="12"/>
        <v>8368.9820000000018</v>
      </c>
      <c r="AD26" s="2956"/>
      <c r="AE26" s="37">
        <v>2083.7330000000006</v>
      </c>
      <c r="AF26" s="1983"/>
      <c r="AG26" s="38">
        <f t="shared" si="13"/>
        <v>10452.715000000002</v>
      </c>
      <c r="AH26" s="2956"/>
      <c r="AI26" s="37">
        <v>904.07100000000003</v>
      </c>
      <c r="AJ26" s="1983"/>
      <c r="AK26" s="38">
        <f t="shared" si="14"/>
        <v>11356.786000000002</v>
      </c>
      <c r="AL26" s="2956"/>
      <c r="AM26" s="37">
        <v>746.70900000000006</v>
      </c>
      <c r="AN26" s="894"/>
      <c r="AO26" s="774">
        <f t="shared" si="15"/>
        <v>3734.5130000000008</v>
      </c>
      <c r="AP26" s="1983"/>
      <c r="AQ26" s="38">
        <f t="shared" si="16"/>
        <v>12103.495000000003</v>
      </c>
      <c r="AR26" s="2956"/>
      <c r="AS26" s="37">
        <v>1722.385</v>
      </c>
      <c r="AT26" s="1983"/>
      <c r="AU26" s="38">
        <f t="shared" si="17"/>
        <v>13825.880000000003</v>
      </c>
      <c r="AV26" s="2956"/>
      <c r="AW26" s="37">
        <v>589.14800000000002</v>
      </c>
      <c r="AX26" s="1983"/>
      <c r="AY26" s="38">
        <f t="shared" si="18"/>
        <v>14415.028000000002</v>
      </c>
      <c r="AZ26" s="2956"/>
      <c r="BA26" s="37">
        <v>1138.018</v>
      </c>
      <c r="BB26" s="894"/>
      <c r="BC26" s="774">
        <f t="shared" si="19"/>
        <v>3449.5509999999999</v>
      </c>
      <c r="BD26" s="895"/>
      <c r="BE26" s="695">
        <f t="shared" si="20"/>
        <v>7184.0640000000003</v>
      </c>
      <c r="BF26" s="1983"/>
      <c r="BG26" s="38">
        <f t="shared" si="21"/>
        <v>15553.046000000002</v>
      </c>
      <c r="BH26" s="1520">
        <f t="shared" si="3"/>
        <v>0</v>
      </c>
      <c r="BI26" s="1520">
        <f t="shared" si="4"/>
        <v>0</v>
      </c>
      <c r="BJ26" s="26"/>
      <c r="BK26" s="26">
        <f t="shared" si="5"/>
        <v>0</v>
      </c>
      <c r="BL26" s="26">
        <f t="shared" si="6"/>
        <v>0</v>
      </c>
      <c r="BM26" s="26"/>
      <c r="BN26" s="1202"/>
    </row>
    <row r="27" spans="2:72" ht="15" customHeight="1" x14ac:dyDescent="0.3">
      <c r="B27" s="2948" t="s">
        <v>910</v>
      </c>
      <c r="C27" s="2949" t="s">
        <v>938</v>
      </c>
      <c r="D27" s="2950">
        <v>77.58</v>
      </c>
      <c r="E27" s="1309" t="s">
        <v>50</v>
      </c>
      <c r="F27" s="2951"/>
      <c r="G27" s="87">
        <v>513.57799999999997</v>
      </c>
      <c r="H27" s="2951"/>
      <c r="I27" s="87">
        <v>459.72199999999998</v>
      </c>
      <c r="J27" s="2952"/>
      <c r="K27" s="4506">
        <f t="shared" si="7"/>
        <v>973.3</v>
      </c>
      <c r="L27" s="2951"/>
      <c r="M27" s="87">
        <v>452.06</v>
      </c>
      <c r="N27" s="1975"/>
      <c r="O27" s="68">
        <f t="shared" si="8"/>
        <v>1425.36</v>
      </c>
      <c r="P27" s="2951"/>
      <c r="Q27" s="87">
        <v>396.56700000000001</v>
      </c>
      <c r="R27" s="1983"/>
      <c r="S27" s="38">
        <f t="shared" si="9"/>
        <v>1821.9269999999999</v>
      </c>
      <c r="T27" s="2951"/>
      <c r="U27" s="87">
        <v>479.91899999999998</v>
      </c>
      <c r="V27" s="1983"/>
      <c r="W27" s="38">
        <f t="shared" si="10"/>
        <v>2301.846</v>
      </c>
      <c r="X27" s="2951"/>
      <c r="Y27" s="87">
        <v>594.05300000000011</v>
      </c>
      <c r="Z27" s="894"/>
      <c r="AA27" s="774">
        <f t="shared" si="11"/>
        <v>1470.5390000000002</v>
      </c>
      <c r="AB27" s="3965"/>
      <c r="AC27" s="460">
        <f t="shared" si="12"/>
        <v>2895.8990000000003</v>
      </c>
      <c r="AD27" s="2951"/>
      <c r="AE27" s="87">
        <v>397.14600000000002</v>
      </c>
      <c r="AF27" s="1983"/>
      <c r="AG27" s="38">
        <f t="shared" si="13"/>
        <v>3293.0450000000005</v>
      </c>
      <c r="AH27" s="2951"/>
      <c r="AI27" s="87">
        <v>206.87700000000001</v>
      </c>
      <c r="AJ27" s="1983"/>
      <c r="AK27" s="38">
        <f t="shared" si="14"/>
        <v>3499.9220000000005</v>
      </c>
      <c r="AL27" s="2951"/>
      <c r="AM27" s="87">
        <v>367.70699999999999</v>
      </c>
      <c r="AN27" s="894"/>
      <c r="AO27" s="774">
        <f t="shared" si="15"/>
        <v>971.73</v>
      </c>
      <c r="AP27" s="1983"/>
      <c r="AQ27" s="38">
        <f t="shared" si="16"/>
        <v>3867.6290000000004</v>
      </c>
      <c r="AR27" s="2951"/>
      <c r="AS27" s="87">
        <v>503.95699999999999</v>
      </c>
      <c r="AT27" s="1983"/>
      <c r="AU27" s="38">
        <f t="shared" si="17"/>
        <v>4371.5860000000002</v>
      </c>
      <c r="AV27" s="2951"/>
      <c r="AW27" s="87">
        <v>97.072000000000003</v>
      </c>
      <c r="AX27" s="1983"/>
      <c r="AY27" s="38">
        <f t="shared" si="18"/>
        <v>4468.6580000000004</v>
      </c>
      <c r="AZ27" s="2951"/>
      <c r="BA27" s="87"/>
      <c r="BB27" s="894"/>
      <c r="BC27" s="774">
        <f t="shared" si="19"/>
        <v>601.029</v>
      </c>
      <c r="BD27" s="895"/>
      <c r="BE27" s="695">
        <f t="shared" si="20"/>
        <v>1572.759</v>
      </c>
      <c r="BF27" s="1983"/>
      <c r="BG27" s="38">
        <f t="shared" si="21"/>
        <v>4468.6580000000004</v>
      </c>
      <c r="BH27" s="1520">
        <f t="shared" si="3"/>
        <v>0</v>
      </c>
      <c r="BI27" s="1520">
        <f t="shared" si="4"/>
        <v>0</v>
      </c>
      <c r="BJ27" s="26"/>
      <c r="BK27" s="26">
        <f t="shared" si="5"/>
        <v>0</v>
      </c>
      <c r="BL27" s="26">
        <f t="shared" si="6"/>
        <v>0</v>
      </c>
      <c r="BM27" s="26"/>
      <c r="BN27" s="1202"/>
    </row>
    <row r="28" spans="2:72" ht="15" customHeight="1" x14ac:dyDescent="0.3">
      <c r="B28" s="2944" t="s">
        <v>910</v>
      </c>
      <c r="C28" s="3844" t="s">
        <v>1583</v>
      </c>
      <c r="D28" s="2945">
        <v>77.58</v>
      </c>
      <c r="E28" s="1387" t="s">
        <v>50</v>
      </c>
      <c r="F28" s="2946"/>
      <c r="G28" s="28"/>
      <c r="H28" s="2946"/>
      <c r="I28" s="28"/>
      <c r="J28" s="2947"/>
      <c r="K28" s="4506">
        <f t="shared" si="7"/>
        <v>0</v>
      </c>
      <c r="L28" s="2946"/>
      <c r="M28" s="28">
        <v>275.834</v>
      </c>
      <c r="N28" s="4851"/>
      <c r="O28" s="68">
        <f t="shared" si="8"/>
        <v>275.834</v>
      </c>
      <c r="P28" s="2946"/>
      <c r="Q28" s="28"/>
      <c r="R28" s="4852"/>
      <c r="S28" s="38">
        <f t="shared" si="9"/>
        <v>275.834</v>
      </c>
      <c r="T28" s="2946"/>
      <c r="U28" s="28"/>
      <c r="V28" s="4852"/>
      <c r="W28" s="38">
        <f t="shared" si="10"/>
        <v>275.834</v>
      </c>
      <c r="X28" s="2946"/>
      <c r="Y28" s="28"/>
      <c r="Z28" s="4841"/>
      <c r="AA28" s="774">
        <f t="shared" si="11"/>
        <v>0</v>
      </c>
      <c r="AB28" s="3965"/>
      <c r="AC28" s="460">
        <f t="shared" si="12"/>
        <v>275.834</v>
      </c>
      <c r="AD28" s="2946"/>
      <c r="AE28" s="28">
        <v>145.55099999999999</v>
      </c>
      <c r="AF28" s="4852"/>
      <c r="AG28" s="38">
        <f t="shared" si="13"/>
        <v>421.38499999999999</v>
      </c>
      <c r="AH28" s="2946"/>
      <c r="AI28" s="28">
        <v>214.53800000000001</v>
      </c>
      <c r="AJ28" s="4852"/>
      <c r="AK28" s="38">
        <f t="shared" si="14"/>
        <v>635.923</v>
      </c>
      <c r="AL28" s="2946"/>
      <c r="AM28" s="28"/>
      <c r="AN28" s="4841"/>
      <c r="AO28" s="774">
        <f t="shared" si="15"/>
        <v>360.089</v>
      </c>
      <c r="AP28" s="4852"/>
      <c r="AQ28" s="38">
        <f t="shared" si="16"/>
        <v>635.923</v>
      </c>
      <c r="AR28" s="2946"/>
      <c r="AS28" s="28">
        <v>344.72500000000002</v>
      </c>
      <c r="AT28" s="4852"/>
      <c r="AU28" s="4446">
        <f t="shared" si="17"/>
        <v>980.64800000000002</v>
      </c>
      <c r="AV28" s="2946"/>
      <c r="AW28" s="28"/>
      <c r="AX28" s="4852"/>
      <c r="AY28" s="38">
        <f t="shared" si="18"/>
        <v>980.64800000000002</v>
      </c>
      <c r="AZ28" s="2946"/>
      <c r="BA28" s="28"/>
      <c r="BB28" s="4841"/>
      <c r="BC28" s="774">
        <f t="shared" si="19"/>
        <v>344.72500000000002</v>
      </c>
      <c r="BD28" s="4855"/>
      <c r="BE28" s="695">
        <f t="shared" si="20"/>
        <v>704.81400000000008</v>
      </c>
      <c r="BF28" s="4852"/>
      <c r="BG28" s="38">
        <f t="shared" si="21"/>
        <v>980.64800000000002</v>
      </c>
      <c r="BH28" s="1520">
        <f t="shared" si="3"/>
        <v>0</v>
      </c>
      <c r="BI28" s="1520">
        <f t="shared" si="4"/>
        <v>0</v>
      </c>
      <c r="BJ28" s="26"/>
      <c r="BK28" s="26">
        <f t="shared" si="5"/>
        <v>0</v>
      </c>
      <c r="BL28" s="26">
        <f t="shared" si="6"/>
        <v>0</v>
      </c>
      <c r="BM28" s="26"/>
      <c r="BN28" s="1202"/>
    </row>
    <row r="29" spans="2:72" ht="15" customHeight="1" x14ac:dyDescent="0.3">
      <c r="B29" s="2944" t="s">
        <v>910</v>
      </c>
      <c r="C29" s="3844" t="s">
        <v>2048</v>
      </c>
      <c r="D29" s="2945">
        <v>77.58</v>
      </c>
      <c r="E29" s="1387" t="s">
        <v>50</v>
      </c>
      <c r="F29" s="2946"/>
      <c r="G29" s="28"/>
      <c r="H29" s="2946"/>
      <c r="I29" s="28"/>
      <c r="J29" s="2947"/>
      <c r="K29" s="4506">
        <f t="shared" si="7"/>
        <v>0</v>
      </c>
      <c r="L29" s="2946"/>
      <c r="M29" s="28">
        <v>229.86200000000002</v>
      </c>
      <c r="N29" s="4851"/>
      <c r="O29" s="68">
        <f t="shared" si="8"/>
        <v>229.86200000000002</v>
      </c>
      <c r="P29" s="2946"/>
      <c r="Q29" s="28"/>
      <c r="R29" s="4852"/>
      <c r="S29" s="38">
        <f t="shared" si="9"/>
        <v>229.86200000000002</v>
      </c>
      <c r="T29" s="2946"/>
      <c r="U29" s="28"/>
      <c r="V29" s="4852"/>
      <c r="W29" s="38">
        <f t="shared" si="10"/>
        <v>229.86200000000002</v>
      </c>
      <c r="X29" s="2946"/>
      <c r="Y29" s="28"/>
      <c r="Z29" s="4841"/>
      <c r="AA29" s="774">
        <f t="shared" si="11"/>
        <v>0</v>
      </c>
      <c r="AB29" s="3965"/>
      <c r="AC29" s="460">
        <f t="shared" si="12"/>
        <v>229.86200000000002</v>
      </c>
      <c r="AD29" s="2946"/>
      <c r="AE29" s="28"/>
      <c r="AF29" s="4852"/>
      <c r="AG29" s="38">
        <f t="shared" si="13"/>
        <v>229.86200000000002</v>
      </c>
      <c r="AH29" s="2946"/>
      <c r="AI29" s="28"/>
      <c r="AJ29" s="4852"/>
      <c r="AK29" s="38">
        <f t="shared" si="14"/>
        <v>229.86200000000002</v>
      </c>
      <c r="AL29" s="2946"/>
      <c r="AM29" s="28"/>
      <c r="AN29" s="4841"/>
      <c r="AO29" s="774">
        <f t="shared" si="15"/>
        <v>0</v>
      </c>
      <c r="AP29" s="4852"/>
      <c r="AQ29" s="38">
        <f t="shared" si="16"/>
        <v>229.86200000000002</v>
      </c>
      <c r="AR29" s="2946"/>
      <c r="AS29" s="28"/>
      <c r="AT29" s="4852"/>
      <c r="AU29" s="4446">
        <f t="shared" si="17"/>
        <v>229.86200000000002</v>
      </c>
      <c r="AV29" s="2946"/>
      <c r="AW29" s="28"/>
      <c r="AX29" s="4852"/>
      <c r="AY29" s="38">
        <f t="shared" si="18"/>
        <v>229.86200000000002</v>
      </c>
      <c r="AZ29" s="2946"/>
      <c r="BA29" s="28"/>
      <c r="BB29" s="4841"/>
      <c r="BC29" s="774">
        <f t="shared" si="19"/>
        <v>0</v>
      </c>
      <c r="BD29" s="4855"/>
      <c r="BE29" s="695">
        <f t="shared" si="20"/>
        <v>0</v>
      </c>
      <c r="BF29" s="4852"/>
      <c r="BG29" s="38">
        <f t="shared" si="21"/>
        <v>229.86200000000002</v>
      </c>
      <c r="BH29" s="1520">
        <f t="shared" si="3"/>
        <v>0</v>
      </c>
      <c r="BI29" s="1520">
        <f t="shared" si="4"/>
        <v>0</v>
      </c>
      <c r="BJ29" s="26"/>
      <c r="BK29" s="26">
        <f t="shared" si="5"/>
        <v>0</v>
      </c>
      <c r="BL29" s="26">
        <f t="shared" si="6"/>
        <v>0</v>
      </c>
      <c r="BM29" s="26"/>
      <c r="BN29" s="1202"/>
    </row>
    <row r="30" spans="2:72" ht="15" customHeight="1" x14ac:dyDescent="0.3">
      <c r="B30" s="2944" t="s">
        <v>910</v>
      </c>
      <c r="C30" s="3844" t="s">
        <v>1584</v>
      </c>
      <c r="D30" s="2945">
        <v>77.58</v>
      </c>
      <c r="E30" s="1387" t="s">
        <v>50</v>
      </c>
      <c r="F30" s="2946"/>
      <c r="G30" s="28"/>
      <c r="H30" s="2946"/>
      <c r="I30" s="28"/>
      <c r="J30" s="2947"/>
      <c r="K30" s="4936"/>
      <c r="L30" s="2946"/>
      <c r="M30" s="28"/>
      <c r="N30" s="4851"/>
      <c r="O30" s="4865"/>
      <c r="P30" s="2946"/>
      <c r="Q30" s="28"/>
      <c r="R30" s="4852"/>
      <c r="S30" s="4446"/>
      <c r="T30" s="2946"/>
      <c r="U30" s="28"/>
      <c r="V30" s="4852"/>
      <c r="W30" s="4446"/>
      <c r="X30" s="2946"/>
      <c r="Y30" s="28"/>
      <c r="Z30" s="4959"/>
      <c r="AA30" s="4937"/>
      <c r="AB30" s="5011"/>
      <c r="AC30" s="460">
        <f t="shared" si="12"/>
        <v>0</v>
      </c>
      <c r="AD30" s="2946"/>
      <c r="AE30" s="28"/>
      <c r="AF30" s="4852"/>
      <c r="AG30" s="38">
        <f t="shared" si="13"/>
        <v>0</v>
      </c>
      <c r="AH30" s="2946"/>
      <c r="AI30" s="28">
        <v>330.005</v>
      </c>
      <c r="AJ30" s="4852"/>
      <c r="AK30" s="38">
        <f t="shared" si="14"/>
        <v>330.005</v>
      </c>
      <c r="AL30" s="2946"/>
      <c r="AM30" s="28"/>
      <c r="AN30" s="4959"/>
      <c r="AO30" s="774">
        <f t="shared" si="15"/>
        <v>330.005</v>
      </c>
      <c r="AP30" s="4852"/>
      <c r="AQ30" s="38">
        <f t="shared" si="16"/>
        <v>330.005</v>
      </c>
      <c r="AR30" s="2946"/>
      <c r="AS30" s="28">
        <v>659.03700000000003</v>
      </c>
      <c r="AT30" s="4852"/>
      <c r="AU30" s="4446">
        <f t="shared" si="17"/>
        <v>989.04200000000003</v>
      </c>
      <c r="AV30" s="2946"/>
      <c r="AW30" s="28"/>
      <c r="AX30" s="4852"/>
      <c r="AY30" s="38">
        <f t="shared" si="18"/>
        <v>989.04200000000003</v>
      </c>
      <c r="AZ30" s="2946"/>
      <c r="BA30" s="28"/>
      <c r="BB30" s="4959"/>
      <c r="BC30" s="774">
        <f t="shared" si="19"/>
        <v>659.03700000000003</v>
      </c>
      <c r="BD30" s="4960"/>
      <c r="BE30" s="695">
        <f t="shared" si="20"/>
        <v>989.04200000000003</v>
      </c>
      <c r="BF30" s="4852"/>
      <c r="BG30" s="38">
        <f t="shared" si="21"/>
        <v>989.04200000000003</v>
      </c>
      <c r="BH30" s="1520">
        <f t="shared" si="3"/>
        <v>0</v>
      </c>
      <c r="BI30" s="1520">
        <f t="shared" si="4"/>
        <v>0</v>
      </c>
      <c r="BJ30" s="26"/>
      <c r="BK30" s="26">
        <f t="shared" si="5"/>
        <v>0</v>
      </c>
      <c r="BL30" s="26">
        <f t="shared" si="6"/>
        <v>0</v>
      </c>
      <c r="BM30" s="26"/>
      <c r="BN30" s="1202"/>
    </row>
    <row r="31" spans="2:72" ht="15" customHeight="1" x14ac:dyDescent="0.3">
      <c r="B31" s="1074" t="s">
        <v>910</v>
      </c>
      <c r="C31" s="2755" t="s">
        <v>1004</v>
      </c>
      <c r="D31" s="2756">
        <v>77.58</v>
      </c>
      <c r="E31" s="1372" t="s">
        <v>50</v>
      </c>
      <c r="F31" s="1961"/>
      <c r="G31" s="18">
        <v>2950.0410000000002</v>
      </c>
      <c r="H31" s="1961"/>
      <c r="I31" s="18">
        <v>2511.3139999999994</v>
      </c>
      <c r="J31" s="1966"/>
      <c r="K31" s="4506">
        <f t="shared" si="7"/>
        <v>5461.3549999999996</v>
      </c>
      <c r="L31" s="1961"/>
      <c r="M31" s="18">
        <v>2941.9840000000008</v>
      </c>
      <c r="N31" s="1975"/>
      <c r="O31" s="68">
        <f t="shared" si="8"/>
        <v>8403.3389999999999</v>
      </c>
      <c r="P31" s="1961"/>
      <c r="Q31" s="18">
        <v>3050.1450000000004</v>
      </c>
      <c r="R31" s="1983"/>
      <c r="S31" s="38">
        <f t="shared" si="9"/>
        <v>11453.484</v>
      </c>
      <c r="T31" s="1961"/>
      <c r="U31" s="18">
        <v>2511.2669999999998</v>
      </c>
      <c r="V31" s="1983"/>
      <c r="W31" s="38">
        <f t="shared" si="10"/>
        <v>13964.751</v>
      </c>
      <c r="X31" s="1961"/>
      <c r="Y31" s="18">
        <v>2726.049</v>
      </c>
      <c r="Z31" s="894"/>
      <c r="AA31" s="774">
        <f t="shared" si="11"/>
        <v>8287.4609999999993</v>
      </c>
      <c r="AB31" s="3965"/>
      <c r="AC31" s="460">
        <f t="shared" si="12"/>
        <v>16690.8</v>
      </c>
      <c r="AD31" s="1961"/>
      <c r="AE31" s="18">
        <v>3225.1189999999988</v>
      </c>
      <c r="AF31" s="1983"/>
      <c r="AG31" s="38">
        <f t="shared" si="13"/>
        <v>19915.918999999998</v>
      </c>
      <c r="AH31" s="1961"/>
      <c r="AI31" s="18">
        <v>2834.6929999999998</v>
      </c>
      <c r="AJ31" s="1983"/>
      <c r="AK31" s="38">
        <f t="shared" si="14"/>
        <v>22750.611999999997</v>
      </c>
      <c r="AL31" s="1961"/>
      <c r="AM31" s="18">
        <v>1624.4269999999999</v>
      </c>
      <c r="AN31" s="894"/>
      <c r="AO31" s="774">
        <f t="shared" si="15"/>
        <v>7684.2389999999978</v>
      </c>
      <c r="AP31" s="1983"/>
      <c r="AQ31" s="38">
        <f t="shared" si="16"/>
        <v>24375.038999999997</v>
      </c>
      <c r="AR31" s="1961"/>
      <c r="AS31" s="18">
        <v>4819.0960000000005</v>
      </c>
      <c r="AT31" s="1983"/>
      <c r="AU31" s="38">
        <f t="shared" si="17"/>
        <v>29194.134999999998</v>
      </c>
      <c r="AV31" s="1961"/>
      <c r="AW31" s="18">
        <v>4111.9789999999975</v>
      </c>
      <c r="AX31" s="1983"/>
      <c r="AY31" s="38">
        <f t="shared" si="18"/>
        <v>33306.113999999994</v>
      </c>
      <c r="AZ31" s="1961"/>
      <c r="BA31" s="18">
        <v>3432.5459999999998</v>
      </c>
      <c r="BB31" s="894"/>
      <c r="BC31" s="774">
        <f t="shared" si="19"/>
        <v>12363.620999999997</v>
      </c>
      <c r="BD31" s="895"/>
      <c r="BE31" s="695">
        <f t="shared" si="20"/>
        <v>20047.859999999993</v>
      </c>
      <c r="BF31" s="1983"/>
      <c r="BG31" s="38">
        <f t="shared" si="21"/>
        <v>36738.659999999996</v>
      </c>
      <c r="BH31" s="1520">
        <f t="shared" si="3"/>
        <v>0</v>
      </c>
      <c r="BI31" s="1520">
        <f t="shared" si="4"/>
        <v>0</v>
      </c>
      <c r="BJ31" s="26"/>
      <c r="BK31" s="26">
        <f t="shared" si="5"/>
        <v>0</v>
      </c>
      <c r="BL31" s="26">
        <f t="shared" si="6"/>
        <v>0</v>
      </c>
      <c r="BM31" s="26"/>
      <c r="BN31" s="1202"/>
    </row>
    <row r="32" spans="2:72" ht="15" customHeight="1" x14ac:dyDescent="0.3">
      <c r="B32" s="1074" t="s">
        <v>1065</v>
      </c>
      <c r="C32" s="2755" t="s">
        <v>938</v>
      </c>
      <c r="D32" s="2756">
        <v>67.16</v>
      </c>
      <c r="E32" s="1372" t="s">
        <v>50</v>
      </c>
      <c r="F32" s="1961"/>
      <c r="G32" s="18">
        <v>808.44500000000005</v>
      </c>
      <c r="H32" s="1961"/>
      <c r="I32" s="18">
        <v>423.45800000000003</v>
      </c>
      <c r="J32" s="1966"/>
      <c r="K32" s="4506">
        <f t="shared" si="7"/>
        <v>1231.903</v>
      </c>
      <c r="L32" s="1961"/>
      <c r="M32" s="18">
        <v>776.39</v>
      </c>
      <c r="N32" s="1975"/>
      <c r="O32" s="68">
        <f t="shared" si="8"/>
        <v>2008.2930000000001</v>
      </c>
      <c r="P32" s="1961"/>
      <c r="Q32" s="18">
        <v>1354.7659999999998</v>
      </c>
      <c r="R32" s="1983"/>
      <c r="S32" s="38">
        <f t="shared" si="9"/>
        <v>3363.0590000000002</v>
      </c>
      <c r="T32" s="1961"/>
      <c r="U32" s="18"/>
      <c r="V32" s="1983"/>
      <c r="W32" s="38">
        <f t="shared" si="10"/>
        <v>3363.0590000000002</v>
      </c>
      <c r="X32" s="1961"/>
      <c r="Y32" s="18">
        <v>627.25300000000004</v>
      </c>
      <c r="Z32" s="894"/>
      <c r="AA32" s="774">
        <f t="shared" si="11"/>
        <v>1982.0189999999998</v>
      </c>
      <c r="AB32" s="3965"/>
      <c r="AC32" s="460">
        <f t="shared" si="12"/>
        <v>3990.3119999999999</v>
      </c>
      <c r="AD32" s="1961"/>
      <c r="AE32" s="18">
        <v>143.601</v>
      </c>
      <c r="AF32" s="1983"/>
      <c r="AG32" s="38">
        <f t="shared" si="13"/>
        <v>4133.9129999999996</v>
      </c>
      <c r="AH32" s="1961"/>
      <c r="AI32" s="18"/>
      <c r="AJ32" s="1983"/>
      <c r="AK32" s="38">
        <f t="shared" si="14"/>
        <v>4133.9129999999996</v>
      </c>
      <c r="AL32" s="1961"/>
      <c r="AM32" s="18"/>
      <c r="AN32" s="894"/>
      <c r="AO32" s="774">
        <f t="shared" si="15"/>
        <v>143.601</v>
      </c>
      <c r="AP32" s="1983"/>
      <c r="AQ32" s="38">
        <f t="shared" si="16"/>
        <v>4133.9129999999996</v>
      </c>
      <c r="AR32" s="1961"/>
      <c r="AS32" s="18">
        <v>362.75599999999997</v>
      </c>
      <c r="AT32" s="1983"/>
      <c r="AU32" s="38">
        <f t="shared" si="17"/>
        <v>4496.6689999999999</v>
      </c>
      <c r="AV32" s="1961"/>
      <c r="AW32" s="18">
        <v>507.67700000000002</v>
      </c>
      <c r="AX32" s="1983"/>
      <c r="AY32" s="38">
        <f t="shared" si="18"/>
        <v>5004.3459999999995</v>
      </c>
      <c r="AZ32" s="1961"/>
      <c r="BA32" s="18">
        <v>715.45100000000014</v>
      </c>
      <c r="BB32" s="894"/>
      <c r="BC32" s="774">
        <f t="shared" si="19"/>
        <v>1585.884</v>
      </c>
      <c r="BD32" s="895"/>
      <c r="BE32" s="695">
        <f t="shared" si="20"/>
        <v>1729.4850000000001</v>
      </c>
      <c r="BF32" s="1983"/>
      <c r="BG32" s="38">
        <f t="shared" si="21"/>
        <v>5719.7969999999996</v>
      </c>
      <c r="BH32" s="1520">
        <f t="shared" si="3"/>
        <v>0</v>
      </c>
      <c r="BI32" s="1520">
        <f t="shared" si="4"/>
        <v>0</v>
      </c>
      <c r="BJ32" s="26"/>
      <c r="BK32" s="26">
        <f t="shared" si="5"/>
        <v>0</v>
      </c>
      <c r="BL32" s="26">
        <f t="shared" si="6"/>
        <v>0</v>
      </c>
      <c r="BM32" s="26"/>
      <c r="BN32" s="1202"/>
    </row>
    <row r="33" spans="1:71" ht="15" customHeight="1" x14ac:dyDescent="0.3">
      <c r="B33" s="1074" t="s">
        <v>1065</v>
      </c>
      <c r="C33" s="2755" t="s">
        <v>1004</v>
      </c>
      <c r="D33" s="2756">
        <v>67.16</v>
      </c>
      <c r="E33" s="1372" t="s">
        <v>50</v>
      </c>
      <c r="F33" s="1961"/>
      <c r="G33" s="18">
        <v>2264.8240000000005</v>
      </c>
      <c r="H33" s="1961"/>
      <c r="I33" s="18">
        <v>1004.057</v>
      </c>
      <c r="J33" s="1966"/>
      <c r="K33" s="4506">
        <f t="shared" si="7"/>
        <v>3268.8810000000003</v>
      </c>
      <c r="L33" s="1961"/>
      <c r="M33" s="18">
        <v>1621.7879999999998</v>
      </c>
      <c r="N33" s="1975"/>
      <c r="O33" s="68">
        <f t="shared" si="8"/>
        <v>4890.6689999999999</v>
      </c>
      <c r="P33" s="1961"/>
      <c r="Q33" s="18">
        <v>2443.4170000000004</v>
      </c>
      <c r="R33" s="1983"/>
      <c r="S33" s="38">
        <f t="shared" si="9"/>
        <v>7334.0860000000002</v>
      </c>
      <c r="T33" s="1961"/>
      <c r="U33" s="18">
        <v>610.00199999999995</v>
      </c>
      <c r="V33" s="1983"/>
      <c r="W33" s="38">
        <f t="shared" si="10"/>
        <v>7944.0879999999997</v>
      </c>
      <c r="X33" s="1961"/>
      <c r="Y33" s="18">
        <v>943.14499999999987</v>
      </c>
      <c r="Z33" s="894"/>
      <c r="AA33" s="774">
        <f t="shared" si="11"/>
        <v>3996.5640000000003</v>
      </c>
      <c r="AB33" s="3965"/>
      <c r="AC33" s="460">
        <f t="shared" si="12"/>
        <v>8887.2330000000002</v>
      </c>
      <c r="AD33" s="1961"/>
      <c r="AE33" s="18">
        <v>415.09499999999991</v>
      </c>
      <c r="AF33" s="1983"/>
      <c r="AG33" s="38">
        <f t="shared" si="13"/>
        <v>9302.3279999999995</v>
      </c>
      <c r="AH33" s="1961"/>
      <c r="AI33" s="18">
        <v>72.914000000000001</v>
      </c>
      <c r="AJ33" s="1983"/>
      <c r="AK33" s="38">
        <f t="shared" si="14"/>
        <v>9375.2420000000002</v>
      </c>
      <c r="AL33" s="1961"/>
      <c r="AM33" s="18">
        <v>1893.1450000000002</v>
      </c>
      <c r="AN33" s="894"/>
      <c r="AO33" s="774">
        <f t="shared" si="15"/>
        <v>2381.154</v>
      </c>
      <c r="AP33" s="1983"/>
      <c r="AQ33" s="38">
        <f t="shared" si="16"/>
        <v>11268.387000000001</v>
      </c>
      <c r="AR33" s="1961"/>
      <c r="AS33" s="18">
        <v>1454.3810000000001</v>
      </c>
      <c r="AT33" s="1983"/>
      <c r="AU33" s="38">
        <f t="shared" si="17"/>
        <v>12722.768</v>
      </c>
      <c r="AV33" s="1961"/>
      <c r="AW33" s="18">
        <v>1471.5919999999999</v>
      </c>
      <c r="AX33" s="1983"/>
      <c r="AY33" s="38">
        <f t="shared" si="18"/>
        <v>14194.36</v>
      </c>
      <c r="AZ33" s="1961"/>
      <c r="BA33" s="18">
        <v>1130.5889999999999</v>
      </c>
      <c r="BB33" s="894"/>
      <c r="BC33" s="774">
        <f t="shared" si="19"/>
        <v>4056.5619999999999</v>
      </c>
      <c r="BD33" s="895"/>
      <c r="BE33" s="695">
        <f t="shared" si="20"/>
        <v>6437.7160000000003</v>
      </c>
      <c r="BF33" s="1983"/>
      <c r="BG33" s="38">
        <f t="shared" si="21"/>
        <v>15324.949000000001</v>
      </c>
      <c r="BH33" s="1520">
        <f t="shared" si="3"/>
        <v>0</v>
      </c>
      <c r="BI33" s="1520">
        <f t="shared" si="4"/>
        <v>0</v>
      </c>
      <c r="BJ33" s="26"/>
      <c r="BK33" s="26">
        <f t="shared" si="5"/>
        <v>0</v>
      </c>
      <c r="BL33" s="26">
        <f t="shared" si="6"/>
        <v>0</v>
      </c>
      <c r="BM33" s="26"/>
      <c r="BN33" s="1202"/>
    </row>
    <row r="34" spans="1:71" ht="15" customHeight="1" x14ac:dyDescent="0.3">
      <c r="B34" s="1074" t="s">
        <v>910</v>
      </c>
      <c r="C34" s="2755" t="s">
        <v>1004</v>
      </c>
      <c r="D34" s="2756">
        <v>92.37</v>
      </c>
      <c r="E34" s="1372" t="s">
        <v>50</v>
      </c>
      <c r="F34" s="1961"/>
      <c r="G34" s="18">
        <v>443.37999999999994</v>
      </c>
      <c r="H34" s="1961"/>
      <c r="I34" s="18">
        <v>203.166</v>
      </c>
      <c r="J34" s="1966"/>
      <c r="K34" s="4506">
        <f t="shared" si="7"/>
        <v>646.54599999999994</v>
      </c>
      <c r="L34" s="1961"/>
      <c r="M34" s="18"/>
      <c r="N34" s="1975"/>
      <c r="O34" s="68">
        <f t="shared" si="8"/>
        <v>646.54599999999994</v>
      </c>
      <c r="P34" s="1961"/>
      <c r="Q34" s="18"/>
      <c r="R34" s="1983"/>
      <c r="S34" s="38">
        <f t="shared" si="9"/>
        <v>646.54599999999994</v>
      </c>
      <c r="T34" s="1961"/>
      <c r="U34" s="18"/>
      <c r="V34" s="1983"/>
      <c r="W34" s="38">
        <f t="shared" si="10"/>
        <v>646.54599999999994</v>
      </c>
      <c r="X34" s="1961"/>
      <c r="Y34" s="18">
        <v>524.90899999999999</v>
      </c>
      <c r="Z34" s="894"/>
      <c r="AA34" s="774">
        <f t="shared" si="11"/>
        <v>524.90899999999999</v>
      </c>
      <c r="AB34" s="3965"/>
      <c r="AC34" s="460">
        <f t="shared" si="12"/>
        <v>1171.4549999999999</v>
      </c>
      <c r="AD34" s="1961"/>
      <c r="AE34" s="18"/>
      <c r="AF34" s="1983"/>
      <c r="AG34" s="38">
        <f t="shared" si="13"/>
        <v>1171.4549999999999</v>
      </c>
      <c r="AH34" s="1961"/>
      <c r="AI34" s="18"/>
      <c r="AJ34" s="1983"/>
      <c r="AK34" s="38">
        <f t="shared" si="14"/>
        <v>1171.4549999999999</v>
      </c>
      <c r="AL34" s="1961"/>
      <c r="AM34" s="18">
        <v>510.59299999999996</v>
      </c>
      <c r="AN34" s="894"/>
      <c r="AO34" s="774">
        <f t="shared" si="15"/>
        <v>510.59299999999996</v>
      </c>
      <c r="AP34" s="1983"/>
      <c r="AQ34" s="38">
        <f t="shared" si="16"/>
        <v>1682.0479999999998</v>
      </c>
      <c r="AR34" s="1961"/>
      <c r="AS34" s="18"/>
      <c r="AT34" s="1983"/>
      <c r="AU34" s="38">
        <f t="shared" si="17"/>
        <v>1682.0479999999998</v>
      </c>
      <c r="AV34" s="1961"/>
      <c r="AW34" s="18"/>
      <c r="AX34" s="1983"/>
      <c r="AY34" s="38">
        <f t="shared" si="18"/>
        <v>1682.0479999999998</v>
      </c>
      <c r="AZ34" s="1961"/>
      <c r="BA34" s="18"/>
      <c r="BB34" s="894"/>
      <c r="BC34" s="774">
        <f t="shared" si="19"/>
        <v>0</v>
      </c>
      <c r="BD34" s="895"/>
      <c r="BE34" s="695">
        <f t="shared" si="20"/>
        <v>510.59299999999996</v>
      </c>
      <c r="BF34" s="1983"/>
      <c r="BG34" s="38">
        <f t="shared" si="21"/>
        <v>1682.0479999999998</v>
      </c>
      <c r="BH34" s="1520">
        <f t="shared" si="3"/>
        <v>0</v>
      </c>
      <c r="BI34" s="1520">
        <f t="shared" si="4"/>
        <v>0</v>
      </c>
      <c r="BJ34" s="26"/>
      <c r="BK34" s="26">
        <f t="shared" si="5"/>
        <v>0</v>
      </c>
      <c r="BL34" s="26">
        <f t="shared" si="6"/>
        <v>0</v>
      </c>
      <c r="BM34" s="26"/>
      <c r="BN34" s="1202"/>
      <c r="BS34" s="1621"/>
    </row>
    <row r="35" spans="1:71" ht="15" customHeight="1" thickBot="1" x14ac:dyDescent="0.35">
      <c r="B35" s="2953" t="s">
        <v>910</v>
      </c>
      <c r="C35" s="2954" t="s">
        <v>938</v>
      </c>
      <c r="D35" s="2955">
        <v>92.37</v>
      </c>
      <c r="E35" s="1392" t="s">
        <v>50</v>
      </c>
      <c r="F35" s="2956"/>
      <c r="G35" s="37"/>
      <c r="H35" s="2956"/>
      <c r="I35" s="37"/>
      <c r="J35" s="2957"/>
      <c r="K35" s="4506">
        <f t="shared" si="7"/>
        <v>0</v>
      </c>
      <c r="L35" s="2956"/>
      <c r="M35" s="37"/>
      <c r="N35" s="1975"/>
      <c r="O35" s="68">
        <f t="shared" si="8"/>
        <v>0</v>
      </c>
      <c r="P35" s="2956"/>
      <c r="Q35" s="37"/>
      <c r="R35" s="1983"/>
      <c r="S35" s="38">
        <f t="shared" si="9"/>
        <v>0</v>
      </c>
      <c r="T35" s="2956"/>
      <c r="U35" s="37"/>
      <c r="V35" s="1983"/>
      <c r="W35" s="38">
        <f t="shared" si="10"/>
        <v>0</v>
      </c>
      <c r="X35" s="2956"/>
      <c r="Y35" s="37"/>
      <c r="Z35" s="2757"/>
      <c r="AA35" s="774">
        <f t="shared" si="11"/>
        <v>0</v>
      </c>
      <c r="AB35" s="3966"/>
      <c r="AC35" s="460">
        <f t="shared" si="12"/>
        <v>0</v>
      </c>
      <c r="AD35" s="2956"/>
      <c r="AE35" s="37"/>
      <c r="AF35" s="1983"/>
      <c r="AG35" s="38">
        <f t="shared" si="13"/>
        <v>0</v>
      </c>
      <c r="AH35" s="2956"/>
      <c r="AI35" s="37"/>
      <c r="AJ35" s="1983"/>
      <c r="AK35" s="38">
        <f t="shared" si="14"/>
        <v>0</v>
      </c>
      <c r="AL35" s="2956"/>
      <c r="AM35" s="37"/>
      <c r="AN35" s="2757"/>
      <c r="AO35" s="774">
        <f t="shared" si="15"/>
        <v>0</v>
      </c>
      <c r="AP35" s="1983"/>
      <c r="AQ35" s="38">
        <f t="shared" si="16"/>
        <v>0</v>
      </c>
      <c r="AR35" s="2956"/>
      <c r="AS35" s="37"/>
      <c r="AT35" s="1983"/>
      <c r="AU35" s="38">
        <f t="shared" si="17"/>
        <v>0</v>
      </c>
      <c r="AV35" s="2956"/>
      <c r="AW35" s="37"/>
      <c r="AX35" s="1983"/>
      <c r="AY35" s="38">
        <f t="shared" si="18"/>
        <v>0</v>
      </c>
      <c r="AZ35" s="2956"/>
      <c r="BA35" s="37"/>
      <c r="BB35" s="2757"/>
      <c r="BC35" s="774">
        <f t="shared" si="19"/>
        <v>0</v>
      </c>
      <c r="BD35" s="2758"/>
      <c r="BE35" s="695">
        <f t="shared" si="20"/>
        <v>0</v>
      </c>
      <c r="BF35" s="1983"/>
      <c r="BG35" s="38">
        <f t="shared" si="21"/>
        <v>0</v>
      </c>
      <c r="BH35" s="1520">
        <f t="shared" si="3"/>
        <v>0</v>
      </c>
      <c r="BI35" s="1520">
        <f t="shared" si="4"/>
        <v>0</v>
      </c>
      <c r="BJ35" s="26"/>
      <c r="BK35" s="26">
        <f t="shared" si="5"/>
        <v>0</v>
      </c>
      <c r="BL35" s="26">
        <f t="shared" si="6"/>
        <v>0</v>
      </c>
      <c r="BM35" s="26"/>
      <c r="BN35" s="1202"/>
    </row>
    <row r="36" spans="1:71" ht="15" customHeight="1" x14ac:dyDescent="0.3">
      <c r="B36" s="2948" t="s">
        <v>1273</v>
      </c>
      <c r="C36" s="2949" t="s">
        <v>1004</v>
      </c>
      <c r="D36" s="2950">
        <v>79.36</v>
      </c>
      <c r="E36" s="1309" t="s">
        <v>50</v>
      </c>
      <c r="F36" s="2951"/>
      <c r="G36" s="87">
        <v>1044.961</v>
      </c>
      <c r="H36" s="2951"/>
      <c r="I36" s="87">
        <v>423.31900000000007</v>
      </c>
      <c r="J36" s="2952"/>
      <c r="K36" s="4506">
        <f t="shared" si="7"/>
        <v>1468.2800000000002</v>
      </c>
      <c r="L36" s="2951"/>
      <c r="M36" s="87">
        <v>432.125</v>
      </c>
      <c r="N36" s="1975"/>
      <c r="O36" s="68">
        <f t="shared" si="8"/>
        <v>1900.4050000000002</v>
      </c>
      <c r="P36" s="2951"/>
      <c r="Q36" s="87">
        <v>840.68100000000004</v>
      </c>
      <c r="R36" s="1983"/>
      <c r="S36" s="38">
        <f t="shared" si="9"/>
        <v>2741.0860000000002</v>
      </c>
      <c r="T36" s="2951"/>
      <c r="U36" s="87">
        <v>963.54099999999994</v>
      </c>
      <c r="V36" s="1983"/>
      <c r="W36" s="38">
        <f t="shared" si="10"/>
        <v>3704.6270000000004</v>
      </c>
      <c r="X36" s="2951"/>
      <c r="Y36" s="87">
        <v>1767.8939999999998</v>
      </c>
      <c r="Z36" s="894"/>
      <c r="AA36" s="774">
        <f t="shared" si="11"/>
        <v>3572.116</v>
      </c>
      <c r="AB36" s="3965"/>
      <c r="AC36" s="460">
        <f t="shared" si="12"/>
        <v>5472.5210000000006</v>
      </c>
      <c r="AD36" s="2951"/>
      <c r="AE36" s="87"/>
      <c r="AF36" s="1983"/>
      <c r="AG36" s="38">
        <f t="shared" si="13"/>
        <v>5472.5210000000006</v>
      </c>
      <c r="AH36" s="2951"/>
      <c r="AI36" s="87">
        <v>903.40800000000002</v>
      </c>
      <c r="AJ36" s="1983"/>
      <c r="AK36" s="38">
        <f t="shared" si="14"/>
        <v>6375.929000000001</v>
      </c>
      <c r="AL36" s="2951"/>
      <c r="AM36" s="87">
        <v>471.31899999999996</v>
      </c>
      <c r="AN36" s="894"/>
      <c r="AO36" s="774">
        <f t="shared" si="15"/>
        <v>1374.7269999999999</v>
      </c>
      <c r="AP36" s="1983"/>
      <c r="AQ36" s="38">
        <f t="shared" si="16"/>
        <v>6847.2480000000014</v>
      </c>
      <c r="AR36" s="2951"/>
      <c r="AS36" s="87">
        <v>628.50900000000001</v>
      </c>
      <c r="AT36" s="1983"/>
      <c r="AU36" s="38">
        <f t="shared" si="17"/>
        <v>7475.7570000000014</v>
      </c>
      <c r="AV36" s="2951"/>
      <c r="AW36" s="87">
        <v>1137.2190000000003</v>
      </c>
      <c r="AX36" s="1983"/>
      <c r="AY36" s="38">
        <f t="shared" si="18"/>
        <v>8612.9760000000024</v>
      </c>
      <c r="AZ36" s="2951"/>
      <c r="BA36" s="87">
        <v>972.07199999999978</v>
      </c>
      <c r="BB36" s="894"/>
      <c r="BC36" s="774">
        <f t="shared" si="19"/>
        <v>2737.8</v>
      </c>
      <c r="BD36" s="895"/>
      <c r="BE36" s="695">
        <f t="shared" si="20"/>
        <v>4112.527</v>
      </c>
      <c r="BF36" s="1983"/>
      <c r="BG36" s="38">
        <f t="shared" si="21"/>
        <v>9585.0480000000025</v>
      </c>
      <c r="BH36" s="1520">
        <f t="shared" si="3"/>
        <v>0</v>
      </c>
      <c r="BI36" s="1520">
        <f t="shared" si="4"/>
        <v>0</v>
      </c>
      <c r="BJ36" s="26"/>
      <c r="BK36" s="26">
        <f t="shared" si="5"/>
        <v>0</v>
      </c>
      <c r="BL36" s="26">
        <f t="shared" si="6"/>
        <v>0</v>
      </c>
      <c r="BM36" s="26"/>
      <c r="BN36" s="1202"/>
    </row>
    <row r="37" spans="1:71" ht="15" customHeight="1" x14ac:dyDescent="0.3">
      <c r="B37" s="1074" t="s">
        <v>1273</v>
      </c>
      <c r="C37" s="2755" t="s">
        <v>1569</v>
      </c>
      <c r="D37" s="2756">
        <v>79.36</v>
      </c>
      <c r="E37" s="1372" t="s">
        <v>50</v>
      </c>
      <c r="F37" s="1961"/>
      <c r="G37" s="18"/>
      <c r="H37" s="1961"/>
      <c r="I37" s="18"/>
      <c r="J37" s="1966"/>
      <c r="K37" s="4506">
        <f t="shared" si="7"/>
        <v>0</v>
      </c>
      <c r="L37" s="1961"/>
      <c r="M37" s="18"/>
      <c r="N37" s="1975"/>
      <c r="O37" s="68">
        <f t="shared" si="8"/>
        <v>0</v>
      </c>
      <c r="P37" s="1961"/>
      <c r="Q37" s="18"/>
      <c r="R37" s="1983"/>
      <c r="S37" s="38">
        <f t="shared" si="9"/>
        <v>0</v>
      </c>
      <c r="T37" s="1961"/>
      <c r="U37" s="18"/>
      <c r="V37" s="1983"/>
      <c r="W37" s="38">
        <f t="shared" si="10"/>
        <v>0</v>
      </c>
      <c r="X37" s="1961"/>
      <c r="Y37" s="18"/>
      <c r="Z37" s="2419"/>
      <c r="AA37" s="774">
        <f t="shared" si="11"/>
        <v>0</v>
      </c>
      <c r="AB37" s="3967"/>
      <c r="AC37" s="460">
        <f t="shared" si="12"/>
        <v>0</v>
      </c>
      <c r="AD37" s="1961"/>
      <c r="AE37" s="18"/>
      <c r="AF37" s="1983"/>
      <c r="AG37" s="38">
        <f t="shared" si="13"/>
        <v>0</v>
      </c>
      <c r="AH37" s="1961"/>
      <c r="AI37" s="18"/>
      <c r="AJ37" s="1983"/>
      <c r="AK37" s="38">
        <f t="shared" si="14"/>
        <v>0</v>
      </c>
      <c r="AL37" s="1961"/>
      <c r="AM37" s="18"/>
      <c r="AN37" s="2419"/>
      <c r="AO37" s="774">
        <f t="shared" si="15"/>
        <v>0</v>
      </c>
      <c r="AP37" s="1983"/>
      <c r="AQ37" s="38">
        <f t="shared" si="16"/>
        <v>0</v>
      </c>
      <c r="AR37" s="1961"/>
      <c r="AS37" s="18"/>
      <c r="AT37" s="1983"/>
      <c r="AU37" s="38">
        <f t="shared" si="17"/>
        <v>0</v>
      </c>
      <c r="AV37" s="1961"/>
      <c r="AW37" s="18"/>
      <c r="AX37" s="1983"/>
      <c r="AY37" s="38">
        <f t="shared" si="18"/>
        <v>0</v>
      </c>
      <c r="AZ37" s="1961"/>
      <c r="BA37" s="18"/>
      <c r="BB37" s="2419"/>
      <c r="BC37" s="774">
        <f t="shared" si="19"/>
        <v>0</v>
      </c>
      <c r="BD37" s="2423"/>
      <c r="BE37" s="695">
        <f t="shared" si="20"/>
        <v>0</v>
      </c>
      <c r="BF37" s="1983"/>
      <c r="BG37" s="38">
        <f t="shared" si="21"/>
        <v>0</v>
      </c>
      <c r="BH37" s="1520">
        <f t="shared" si="3"/>
        <v>0</v>
      </c>
      <c r="BI37" s="1520">
        <f t="shared" si="4"/>
        <v>0</v>
      </c>
      <c r="BJ37" s="26"/>
      <c r="BK37" s="26">
        <f t="shared" si="5"/>
        <v>0</v>
      </c>
      <c r="BL37" s="26">
        <f t="shared" si="6"/>
        <v>0</v>
      </c>
      <c r="BM37" s="26"/>
      <c r="BN37" s="1202"/>
    </row>
    <row r="38" spans="1:71" ht="15" customHeight="1" x14ac:dyDescent="0.3">
      <c r="B38" s="1074" t="s">
        <v>1273</v>
      </c>
      <c r="C38" s="2755" t="s">
        <v>938</v>
      </c>
      <c r="D38" s="2756">
        <v>79.36</v>
      </c>
      <c r="E38" s="1372" t="s">
        <v>50</v>
      </c>
      <c r="F38" s="1961"/>
      <c r="G38" s="18">
        <v>1060.674</v>
      </c>
      <c r="H38" s="1961"/>
      <c r="I38" s="18">
        <v>305.46600000000001</v>
      </c>
      <c r="J38" s="1966"/>
      <c r="K38" s="4506">
        <f t="shared" si="7"/>
        <v>1366.1399999999999</v>
      </c>
      <c r="L38" s="1961"/>
      <c r="M38" s="18">
        <v>157.137</v>
      </c>
      <c r="N38" s="1975"/>
      <c r="O38" s="68">
        <f t="shared" si="8"/>
        <v>1523.2769999999998</v>
      </c>
      <c r="P38" s="1961"/>
      <c r="Q38" s="18">
        <v>78.567999999999998</v>
      </c>
      <c r="R38" s="1983"/>
      <c r="S38" s="38">
        <f t="shared" si="9"/>
        <v>1601.8449999999998</v>
      </c>
      <c r="T38" s="1961"/>
      <c r="U38" s="18">
        <v>204.27799999999999</v>
      </c>
      <c r="V38" s="1983"/>
      <c r="W38" s="38">
        <f t="shared" si="10"/>
        <v>1806.1229999999998</v>
      </c>
      <c r="X38" s="1961"/>
      <c r="Y38" s="18">
        <v>801.346</v>
      </c>
      <c r="Z38" s="894"/>
      <c r="AA38" s="774">
        <f t="shared" si="11"/>
        <v>1084.192</v>
      </c>
      <c r="AB38" s="3965"/>
      <c r="AC38" s="460">
        <f t="shared" si="12"/>
        <v>2607.4690000000001</v>
      </c>
      <c r="AD38" s="1961"/>
      <c r="AE38" s="18"/>
      <c r="AF38" s="1983"/>
      <c r="AG38" s="38">
        <f t="shared" si="13"/>
        <v>2607.4690000000001</v>
      </c>
      <c r="AH38" s="1961"/>
      <c r="AI38" s="18"/>
      <c r="AJ38" s="1983"/>
      <c r="AK38" s="38">
        <f t="shared" si="14"/>
        <v>2607.4690000000001</v>
      </c>
      <c r="AL38" s="1961"/>
      <c r="AM38" s="18"/>
      <c r="AN38" s="894"/>
      <c r="AO38" s="774">
        <f t="shared" si="15"/>
        <v>0</v>
      </c>
      <c r="AP38" s="1983"/>
      <c r="AQ38" s="38">
        <f t="shared" si="16"/>
        <v>2607.4690000000001</v>
      </c>
      <c r="AR38" s="1961"/>
      <c r="AS38" s="18"/>
      <c r="AT38" s="1983"/>
      <c r="AU38" s="38">
        <f t="shared" si="17"/>
        <v>2607.4690000000001</v>
      </c>
      <c r="AV38" s="1961"/>
      <c r="AW38" s="18"/>
      <c r="AX38" s="1983"/>
      <c r="AY38" s="38">
        <f t="shared" si="18"/>
        <v>2607.4690000000001</v>
      </c>
      <c r="AZ38" s="1961"/>
      <c r="BA38" s="18"/>
      <c r="BB38" s="894"/>
      <c r="BC38" s="774">
        <f t="shared" si="19"/>
        <v>0</v>
      </c>
      <c r="BD38" s="895"/>
      <c r="BE38" s="695">
        <f t="shared" si="20"/>
        <v>0</v>
      </c>
      <c r="BF38" s="1983"/>
      <c r="BG38" s="38">
        <f t="shared" si="21"/>
        <v>2607.4690000000001</v>
      </c>
      <c r="BH38" s="1520">
        <f t="shared" si="3"/>
        <v>0</v>
      </c>
      <c r="BI38" s="1520">
        <f t="shared" si="4"/>
        <v>0</v>
      </c>
      <c r="BJ38" s="26"/>
      <c r="BK38" s="26">
        <f t="shared" si="5"/>
        <v>0</v>
      </c>
      <c r="BL38" s="26">
        <f t="shared" si="6"/>
        <v>0</v>
      </c>
      <c r="BM38" s="26"/>
      <c r="BN38" s="1202"/>
    </row>
    <row r="39" spans="1:71" ht="15" customHeight="1" x14ac:dyDescent="0.3">
      <c r="B39" s="1074" t="s">
        <v>1273</v>
      </c>
      <c r="C39" s="2755" t="s">
        <v>1583</v>
      </c>
      <c r="D39" s="2756">
        <v>90.69</v>
      </c>
      <c r="E39" s="1372" t="s">
        <v>50</v>
      </c>
      <c r="F39" s="1961"/>
      <c r="G39" s="18"/>
      <c r="H39" s="1961"/>
      <c r="I39" s="18"/>
      <c r="J39" s="1966"/>
      <c r="K39" s="4506">
        <f t="shared" si="7"/>
        <v>0</v>
      </c>
      <c r="L39" s="1961"/>
      <c r="M39" s="18">
        <v>336.87</v>
      </c>
      <c r="N39" s="1975"/>
      <c r="O39" s="68">
        <f t="shared" si="8"/>
        <v>336.87</v>
      </c>
      <c r="P39" s="1961"/>
      <c r="Q39" s="18"/>
      <c r="R39" s="1983"/>
      <c r="S39" s="38">
        <f t="shared" si="9"/>
        <v>336.87</v>
      </c>
      <c r="T39" s="1961"/>
      <c r="U39" s="18"/>
      <c r="V39" s="1983"/>
      <c r="W39" s="38">
        <f t="shared" si="10"/>
        <v>336.87</v>
      </c>
      <c r="X39" s="1961"/>
      <c r="Y39" s="18"/>
      <c r="Z39" s="894"/>
      <c r="AA39" s="774">
        <f t="shared" si="11"/>
        <v>0</v>
      </c>
      <c r="AB39" s="3965"/>
      <c r="AC39" s="460">
        <f t="shared" si="12"/>
        <v>336.87</v>
      </c>
      <c r="AD39" s="1961"/>
      <c r="AE39" s="18"/>
      <c r="AF39" s="1983"/>
      <c r="AG39" s="38">
        <f t="shared" si="13"/>
        <v>336.87</v>
      </c>
      <c r="AH39" s="1961"/>
      <c r="AI39" s="18">
        <v>285.714</v>
      </c>
      <c r="AJ39" s="1983"/>
      <c r="AK39" s="38">
        <f t="shared" si="14"/>
        <v>622.58400000000006</v>
      </c>
      <c r="AL39" s="1961"/>
      <c r="AM39" s="18"/>
      <c r="AN39" s="894"/>
      <c r="AO39" s="774">
        <f t="shared" si="15"/>
        <v>285.714</v>
      </c>
      <c r="AP39" s="1983"/>
      <c r="AQ39" s="38">
        <f t="shared" si="16"/>
        <v>622.58400000000006</v>
      </c>
      <c r="AR39" s="1961"/>
      <c r="AS39" s="18"/>
      <c r="AT39" s="1983"/>
      <c r="AU39" s="38">
        <f t="shared" si="17"/>
        <v>622.58400000000006</v>
      </c>
      <c r="AV39" s="1961"/>
      <c r="AW39" s="18"/>
      <c r="AX39" s="1983"/>
      <c r="AY39" s="38">
        <f t="shared" si="18"/>
        <v>622.58400000000006</v>
      </c>
      <c r="AZ39" s="1961"/>
      <c r="BA39" s="18"/>
      <c r="BB39" s="894"/>
      <c r="BC39" s="774">
        <f t="shared" si="19"/>
        <v>0</v>
      </c>
      <c r="BD39" s="895"/>
      <c r="BE39" s="695">
        <f t="shared" si="20"/>
        <v>285.714</v>
      </c>
      <c r="BF39" s="1983"/>
      <c r="BG39" s="38">
        <f t="shared" si="21"/>
        <v>622.58400000000006</v>
      </c>
      <c r="BH39" s="1520">
        <f t="shared" si="3"/>
        <v>0</v>
      </c>
      <c r="BI39" s="1520">
        <f t="shared" si="4"/>
        <v>0</v>
      </c>
      <c r="BJ39" s="26"/>
      <c r="BK39" s="26">
        <f t="shared" si="5"/>
        <v>0</v>
      </c>
      <c r="BL39" s="26">
        <f t="shared" si="6"/>
        <v>0</v>
      </c>
      <c r="BM39" s="26"/>
      <c r="BN39" s="1202"/>
    </row>
    <row r="40" spans="1:71" ht="15" customHeight="1" x14ac:dyDescent="0.3">
      <c r="B40" s="1074" t="s">
        <v>1273</v>
      </c>
      <c r="C40" s="2755" t="s">
        <v>1004</v>
      </c>
      <c r="D40" s="2756">
        <v>90.68</v>
      </c>
      <c r="E40" s="1372" t="s">
        <v>50</v>
      </c>
      <c r="F40" s="1961"/>
      <c r="G40" s="18"/>
      <c r="H40" s="1961"/>
      <c r="I40" s="18"/>
      <c r="J40" s="1966"/>
      <c r="K40" s="4506">
        <f t="shared" si="7"/>
        <v>0</v>
      </c>
      <c r="L40" s="1961"/>
      <c r="M40" s="18"/>
      <c r="N40" s="1975"/>
      <c r="O40" s="68">
        <f t="shared" si="8"/>
        <v>0</v>
      </c>
      <c r="P40" s="1961"/>
      <c r="Q40" s="18"/>
      <c r="R40" s="1983"/>
      <c r="S40" s="38">
        <f t="shared" si="9"/>
        <v>0</v>
      </c>
      <c r="T40" s="1961"/>
      <c r="U40" s="18"/>
      <c r="V40" s="1983"/>
      <c r="W40" s="38">
        <f t="shared" si="10"/>
        <v>0</v>
      </c>
      <c r="X40" s="1961"/>
      <c r="Y40" s="18"/>
      <c r="Z40" s="2757"/>
      <c r="AA40" s="774">
        <f t="shared" si="11"/>
        <v>0</v>
      </c>
      <c r="AB40" s="3966"/>
      <c r="AC40" s="460">
        <f t="shared" si="12"/>
        <v>0</v>
      </c>
      <c r="AD40" s="1961"/>
      <c r="AE40" s="18"/>
      <c r="AF40" s="1983"/>
      <c r="AG40" s="38">
        <f t="shared" si="13"/>
        <v>0</v>
      </c>
      <c r="AH40" s="1961"/>
      <c r="AI40" s="18"/>
      <c r="AJ40" s="1983"/>
      <c r="AK40" s="38">
        <f t="shared" si="14"/>
        <v>0</v>
      </c>
      <c r="AL40" s="1961"/>
      <c r="AM40" s="18"/>
      <c r="AN40" s="2757"/>
      <c r="AO40" s="774">
        <f t="shared" si="15"/>
        <v>0</v>
      </c>
      <c r="AP40" s="1983"/>
      <c r="AQ40" s="38">
        <f t="shared" si="16"/>
        <v>0</v>
      </c>
      <c r="AR40" s="1961"/>
      <c r="AS40" s="18"/>
      <c r="AT40" s="1983"/>
      <c r="AU40" s="38">
        <f t="shared" si="17"/>
        <v>0</v>
      </c>
      <c r="AV40" s="1961"/>
      <c r="AW40" s="18"/>
      <c r="AX40" s="1983"/>
      <c r="AY40" s="38">
        <f t="shared" si="18"/>
        <v>0</v>
      </c>
      <c r="AZ40" s="1961"/>
      <c r="BA40" s="18"/>
      <c r="BB40" s="2757"/>
      <c r="BC40" s="774">
        <f t="shared" si="19"/>
        <v>0</v>
      </c>
      <c r="BD40" s="2758"/>
      <c r="BE40" s="695">
        <f t="shared" si="20"/>
        <v>0</v>
      </c>
      <c r="BF40" s="1983"/>
      <c r="BG40" s="38">
        <f t="shared" si="21"/>
        <v>0</v>
      </c>
      <c r="BH40" s="1520">
        <f t="shared" si="3"/>
        <v>0</v>
      </c>
      <c r="BI40" s="1520">
        <f t="shared" si="4"/>
        <v>0</v>
      </c>
      <c r="BJ40" s="26"/>
      <c r="BK40" s="26">
        <f t="shared" si="5"/>
        <v>0</v>
      </c>
      <c r="BL40" s="26">
        <f t="shared" si="6"/>
        <v>0</v>
      </c>
      <c r="BM40" s="26"/>
      <c r="BN40" s="1202"/>
    </row>
    <row r="41" spans="1:71" x14ac:dyDescent="0.3">
      <c r="B41" s="1074" t="s">
        <v>1273</v>
      </c>
      <c r="C41" s="2755" t="s">
        <v>938</v>
      </c>
      <c r="D41" s="2756">
        <v>90.68</v>
      </c>
      <c r="E41" s="1372" t="s">
        <v>50</v>
      </c>
      <c r="F41" s="1961"/>
      <c r="G41" s="18"/>
      <c r="H41" s="1961"/>
      <c r="I41" s="18"/>
      <c r="J41" s="1966"/>
      <c r="K41" s="4506">
        <f t="shared" si="7"/>
        <v>0</v>
      </c>
      <c r="L41" s="1961"/>
      <c r="M41" s="18"/>
      <c r="N41" s="1975"/>
      <c r="O41" s="68">
        <f t="shared" si="8"/>
        <v>0</v>
      </c>
      <c r="P41" s="1961"/>
      <c r="Q41" s="18"/>
      <c r="R41" s="1983"/>
      <c r="S41" s="38">
        <f t="shared" si="9"/>
        <v>0</v>
      </c>
      <c r="T41" s="1961"/>
      <c r="U41" s="18"/>
      <c r="V41" s="1983"/>
      <c r="W41" s="38">
        <f t="shared" si="10"/>
        <v>0</v>
      </c>
      <c r="X41" s="1961"/>
      <c r="Y41" s="18"/>
      <c r="Z41" s="2757"/>
      <c r="AA41" s="774">
        <f t="shared" si="11"/>
        <v>0</v>
      </c>
      <c r="AB41" s="3966"/>
      <c r="AC41" s="460">
        <f t="shared" si="12"/>
        <v>0</v>
      </c>
      <c r="AD41" s="1961"/>
      <c r="AE41" s="18"/>
      <c r="AF41" s="1983"/>
      <c r="AG41" s="38">
        <f t="shared" si="13"/>
        <v>0</v>
      </c>
      <c r="AH41" s="1961"/>
      <c r="AI41" s="18"/>
      <c r="AJ41" s="1983"/>
      <c r="AK41" s="38">
        <f t="shared" si="14"/>
        <v>0</v>
      </c>
      <c r="AL41" s="1961"/>
      <c r="AM41" s="18"/>
      <c r="AN41" s="2757"/>
      <c r="AO41" s="774">
        <f t="shared" si="15"/>
        <v>0</v>
      </c>
      <c r="AP41" s="1983"/>
      <c r="AQ41" s="38">
        <f t="shared" si="16"/>
        <v>0</v>
      </c>
      <c r="AR41" s="1961"/>
      <c r="AS41" s="18"/>
      <c r="AT41" s="1983"/>
      <c r="AU41" s="38">
        <f t="shared" si="17"/>
        <v>0</v>
      </c>
      <c r="AV41" s="1961"/>
      <c r="AW41" s="18"/>
      <c r="AX41" s="1983"/>
      <c r="AY41" s="38">
        <f t="shared" si="18"/>
        <v>0</v>
      </c>
      <c r="AZ41" s="1961"/>
      <c r="BA41" s="18"/>
      <c r="BB41" s="2757"/>
      <c r="BC41" s="774">
        <f t="shared" si="19"/>
        <v>0</v>
      </c>
      <c r="BD41" s="2758"/>
      <c r="BE41" s="695">
        <f t="shared" si="20"/>
        <v>0</v>
      </c>
      <c r="BF41" s="1983"/>
      <c r="BG41" s="38">
        <f t="shared" si="21"/>
        <v>0</v>
      </c>
      <c r="BH41" s="1520">
        <f t="shared" si="3"/>
        <v>0</v>
      </c>
      <c r="BI41" s="1520">
        <f t="shared" si="4"/>
        <v>0</v>
      </c>
      <c r="BJ41" s="26"/>
      <c r="BK41" s="26">
        <f t="shared" si="5"/>
        <v>0</v>
      </c>
      <c r="BL41" s="26">
        <f t="shared" si="6"/>
        <v>0</v>
      </c>
      <c r="BM41" s="26"/>
      <c r="BN41" s="1202"/>
    </row>
    <row r="42" spans="1:71" ht="15" customHeight="1" x14ac:dyDescent="0.3">
      <c r="A42" s="146"/>
      <c r="B42" s="1074" t="s">
        <v>849</v>
      </c>
      <c r="C42" s="2755" t="s">
        <v>1004</v>
      </c>
      <c r="D42" s="2756">
        <v>90.69</v>
      </c>
      <c r="E42" s="1372" t="s">
        <v>50</v>
      </c>
      <c r="F42" s="1961"/>
      <c r="G42" s="18">
        <v>4953.5990000000038</v>
      </c>
      <c r="H42" s="1961"/>
      <c r="I42" s="18">
        <v>4786.7889999999989</v>
      </c>
      <c r="J42" s="1966"/>
      <c r="K42" s="4506">
        <f t="shared" si="7"/>
        <v>9740.3880000000026</v>
      </c>
      <c r="L42" s="1961"/>
      <c r="M42" s="18">
        <v>3362.2630000000004</v>
      </c>
      <c r="N42" s="1975"/>
      <c r="O42" s="68">
        <f t="shared" si="8"/>
        <v>13102.651000000003</v>
      </c>
      <c r="P42" s="1961"/>
      <c r="Q42" s="18">
        <v>3594.0209999999993</v>
      </c>
      <c r="R42" s="1983"/>
      <c r="S42" s="38">
        <f t="shared" si="9"/>
        <v>16696.672000000002</v>
      </c>
      <c r="T42" s="1961"/>
      <c r="U42" s="18">
        <v>4017.3620000000005</v>
      </c>
      <c r="V42" s="1983"/>
      <c r="W42" s="38">
        <f t="shared" si="10"/>
        <v>20714.034000000003</v>
      </c>
      <c r="X42" s="1961"/>
      <c r="Y42" s="18">
        <v>5758.3259999999973</v>
      </c>
      <c r="Z42" s="894"/>
      <c r="AA42" s="774">
        <f t="shared" si="11"/>
        <v>13369.708999999997</v>
      </c>
      <c r="AB42" s="3965"/>
      <c r="AC42" s="460">
        <f t="shared" si="12"/>
        <v>26472.36</v>
      </c>
      <c r="AD42" s="1961"/>
      <c r="AE42" s="18"/>
      <c r="AF42" s="1983"/>
      <c r="AG42" s="38">
        <f t="shared" si="13"/>
        <v>26472.36</v>
      </c>
      <c r="AH42" s="1961"/>
      <c r="AI42" s="18">
        <v>4019.1859999999992</v>
      </c>
      <c r="AJ42" s="1983"/>
      <c r="AK42" s="38">
        <f t="shared" si="14"/>
        <v>30491.545999999998</v>
      </c>
      <c r="AL42" s="1961"/>
      <c r="AM42" s="18">
        <v>4454.3940000000002</v>
      </c>
      <c r="AN42" s="894"/>
      <c r="AO42" s="774">
        <f t="shared" si="15"/>
        <v>8473.58</v>
      </c>
      <c r="AP42" s="1983"/>
      <c r="AQ42" s="38">
        <f t="shared" si="16"/>
        <v>34945.94</v>
      </c>
      <c r="AR42" s="1961"/>
      <c r="AS42" s="18">
        <v>4566.1349999999975</v>
      </c>
      <c r="AT42" s="1983"/>
      <c r="AU42" s="38">
        <f t="shared" si="17"/>
        <v>39512.074999999997</v>
      </c>
      <c r="AV42" s="1961"/>
      <c r="AW42" s="18">
        <v>5790.3700000000008</v>
      </c>
      <c r="AX42" s="1983"/>
      <c r="AY42" s="38">
        <f t="shared" si="18"/>
        <v>45302.445</v>
      </c>
      <c r="AZ42" s="1961"/>
      <c r="BA42" s="18">
        <v>5759.1549999999952</v>
      </c>
      <c r="BB42" s="894"/>
      <c r="BC42" s="774">
        <f t="shared" si="19"/>
        <v>16115.659999999993</v>
      </c>
      <c r="BD42" s="895"/>
      <c r="BE42" s="695">
        <f t="shared" si="20"/>
        <v>24589.239999999991</v>
      </c>
      <c r="BF42" s="1983"/>
      <c r="BG42" s="38">
        <f t="shared" si="21"/>
        <v>51061.599999999991</v>
      </c>
      <c r="BH42" s="1520">
        <f t="shared" si="3"/>
        <v>0</v>
      </c>
      <c r="BI42" s="1520">
        <f t="shared" si="4"/>
        <v>0</v>
      </c>
      <c r="BJ42" s="26"/>
      <c r="BK42" s="26">
        <f t="shared" si="5"/>
        <v>0</v>
      </c>
      <c r="BL42" s="26">
        <f t="shared" si="6"/>
        <v>0</v>
      </c>
      <c r="BM42" s="26"/>
      <c r="BN42" s="1202"/>
    </row>
    <row r="43" spans="1:71" x14ac:dyDescent="0.3">
      <c r="B43" s="1074" t="s">
        <v>849</v>
      </c>
      <c r="C43" s="2755" t="s">
        <v>938</v>
      </c>
      <c r="D43" s="2756">
        <v>90.69</v>
      </c>
      <c r="E43" s="1372" t="s">
        <v>50</v>
      </c>
      <c r="F43" s="1961"/>
      <c r="G43" s="18">
        <v>521.01800000000003</v>
      </c>
      <c r="H43" s="1961"/>
      <c r="I43" s="18">
        <v>1056.4089999999999</v>
      </c>
      <c r="J43" s="1966"/>
      <c r="K43" s="4506">
        <f t="shared" si="7"/>
        <v>1577.4269999999999</v>
      </c>
      <c r="L43" s="1961"/>
      <c r="M43" s="18">
        <v>980.73599999999988</v>
      </c>
      <c r="N43" s="1975"/>
      <c r="O43" s="68">
        <f t="shared" si="8"/>
        <v>2558.1629999999996</v>
      </c>
      <c r="P43" s="1961"/>
      <c r="Q43" s="18">
        <v>429.07400000000001</v>
      </c>
      <c r="R43" s="1983"/>
      <c r="S43" s="38">
        <f t="shared" si="9"/>
        <v>2987.2369999999996</v>
      </c>
      <c r="T43" s="1961"/>
      <c r="U43" s="18">
        <v>330.83199999999999</v>
      </c>
      <c r="V43" s="1983"/>
      <c r="W43" s="38">
        <f t="shared" si="10"/>
        <v>3318.0689999999995</v>
      </c>
      <c r="X43" s="1961"/>
      <c r="Y43" s="18">
        <v>508.70600000000002</v>
      </c>
      <c r="Z43" s="894"/>
      <c r="AA43" s="774">
        <f t="shared" si="11"/>
        <v>1268.6120000000001</v>
      </c>
      <c r="AB43" s="3965"/>
      <c r="AC43" s="460">
        <f t="shared" si="12"/>
        <v>3826.7749999999996</v>
      </c>
      <c r="AD43" s="1961"/>
      <c r="AE43" s="18"/>
      <c r="AF43" s="1983"/>
      <c r="AG43" s="38">
        <f t="shared" si="13"/>
        <v>3826.7749999999996</v>
      </c>
      <c r="AH43" s="1961"/>
      <c r="AI43" s="18">
        <v>337.12900000000002</v>
      </c>
      <c r="AJ43" s="1983"/>
      <c r="AK43" s="38">
        <f t="shared" si="14"/>
        <v>4163.9039999999995</v>
      </c>
      <c r="AL43" s="1961"/>
      <c r="AM43" s="18">
        <v>112.729</v>
      </c>
      <c r="AN43" s="894"/>
      <c r="AO43" s="774">
        <f t="shared" si="15"/>
        <v>449.858</v>
      </c>
      <c r="AP43" s="1983"/>
      <c r="AQ43" s="38">
        <f t="shared" si="16"/>
        <v>4276.6329999999998</v>
      </c>
      <c r="AR43" s="1961"/>
      <c r="AS43" s="18">
        <v>382.01400000000001</v>
      </c>
      <c r="AT43" s="1983"/>
      <c r="AU43" s="38">
        <f t="shared" si="17"/>
        <v>4658.6469999999999</v>
      </c>
      <c r="AV43" s="1961"/>
      <c r="AW43" s="18">
        <v>467.29400000000004</v>
      </c>
      <c r="AX43" s="1983"/>
      <c r="AY43" s="38">
        <f t="shared" si="18"/>
        <v>5125.9409999999998</v>
      </c>
      <c r="AZ43" s="1961"/>
      <c r="BA43" s="18"/>
      <c r="BB43" s="894"/>
      <c r="BC43" s="774">
        <f t="shared" si="19"/>
        <v>849.30799999999999</v>
      </c>
      <c r="BD43" s="895"/>
      <c r="BE43" s="695">
        <f t="shared" si="20"/>
        <v>1299.1659999999999</v>
      </c>
      <c r="BF43" s="1983"/>
      <c r="BG43" s="38">
        <f t="shared" si="21"/>
        <v>5125.9409999999998</v>
      </c>
      <c r="BH43" s="1520">
        <f t="shared" si="3"/>
        <v>0</v>
      </c>
      <c r="BI43" s="1520">
        <f t="shared" si="4"/>
        <v>0</v>
      </c>
      <c r="BJ43" s="26"/>
      <c r="BK43" s="26">
        <f t="shared" si="5"/>
        <v>0</v>
      </c>
      <c r="BL43" s="26">
        <f t="shared" si="6"/>
        <v>0</v>
      </c>
      <c r="BM43" s="26"/>
      <c r="BN43" s="1202"/>
    </row>
    <row r="44" spans="1:71" x14ac:dyDescent="0.3">
      <c r="B44" s="1074" t="s">
        <v>849</v>
      </c>
      <c r="C44" s="2755" t="s">
        <v>938</v>
      </c>
      <c r="D44" s="2756">
        <v>107.32</v>
      </c>
      <c r="E44" s="1372" t="s">
        <v>50</v>
      </c>
      <c r="F44" s="1961"/>
      <c r="G44" s="18"/>
      <c r="H44" s="1961"/>
      <c r="I44" s="18"/>
      <c r="J44" s="1966"/>
      <c r="K44" s="4506">
        <f t="shared" si="7"/>
        <v>0</v>
      </c>
      <c r="L44" s="1961"/>
      <c r="M44" s="18">
        <v>432.12599999999998</v>
      </c>
      <c r="N44" s="1975"/>
      <c r="O44" s="68">
        <f t="shared" si="8"/>
        <v>432.12599999999998</v>
      </c>
      <c r="P44" s="1961"/>
      <c r="Q44" s="18">
        <v>157.137</v>
      </c>
      <c r="R44" s="1983"/>
      <c r="S44" s="38">
        <f t="shared" si="9"/>
        <v>589.26299999999992</v>
      </c>
      <c r="T44" s="1961"/>
      <c r="U44" s="18"/>
      <c r="V44" s="1983"/>
      <c r="W44" s="38">
        <f t="shared" si="10"/>
        <v>589.26299999999992</v>
      </c>
      <c r="X44" s="1961"/>
      <c r="Y44" s="18"/>
      <c r="Z44" s="894"/>
      <c r="AA44" s="774">
        <f t="shared" si="11"/>
        <v>157.137</v>
      </c>
      <c r="AB44" s="3965"/>
      <c r="AC44" s="460">
        <f t="shared" si="12"/>
        <v>589.26299999999992</v>
      </c>
      <c r="AD44" s="1961"/>
      <c r="AE44" s="18"/>
      <c r="AF44" s="1983"/>
      <c r="AG44" s="38">
        <f t="shared" si="13"/>
        <v>589.26299999999992</v>
      </c>
      <c r="AH44" s="1961"/>
      <c r="AI44" s="18"/>
      <c r="AJ44" s="1983"/>
      <c r="AK44" s="38">
        <f t="shared" si="14"/>
        <v>589.26299999999992</v>
      </c>
      <c r="AL44" s="1961"/>
      <c r="AM44" s="18"/>
      <c r="AN44" s="894"/>
      <c r="AO44" s="774">
        <f t="shared" si="15"/>
        <v>0</v>
      </c>
      <c r="AP44" s="1983"/>
      <c r="AQ44" s="38">
        <f t="shared" si="16"/>
        <v>589.26299999999992</v>
      </c>
      <c r="AR44" s="1961"/>
      <c r="AS44" s="18"/>
      <c r="AT44" s="1983"/>
      <c r="AU44" s="38">
        <f t="shared" si="17"/>
        <v>589.26299999999992</v>
      </c>
      <c r="AV44" s="1961"/>
      <c r="AW44" s="18"/>
      <c r="AX44" s="1983"/>
      <c r="AY44" s="38">
        <f t="shared" si="18"/>
        <v>589.26299999999992</v>
      </c>
      <c r="AZ44" s="1961"/>
      <c r="BA44" s="18"/>
      <c r="BB44" s="894"/>
      <c r="BC44" s="774">
        <f t="shared" si="19"/>
        <v>0</v>
      </c>
      <c r="BD44" s="895"/>
      <c r="BE44" s="695">
        <f t="shared" si="20"/>
        <v>0</v>
      </c>
      <c r="BF44" s="1983"/>
      <c r="BG44" s="38">
        <f t="shared" si="21"/>
        <v>589.26299999999992</v>
      </c>
      <c r="BH44" s="1520">
        <f t="shared" si="3"/>
        <v>0</v>
      </c>
      <c r="BI44" s="1520">
        <f t="shared" si="4"/>
        <v>0</v>
      </c>
      <c r="BJ44" s="26"/>
      <c r="BK44" s="26">
        <f t="shared" si="5"/>
        <v>0</v>
      </c>
      <c r="BL44" s="26">
        <f t="shared" si="6"/>
        <v>0</v>
      </c>
      <c r="BM44" s="26"/>
      <c r="BN44" s="1202"/>
    </row>
    <row r="45" spans="1:71" ht="15" customHeight="1" x14ac:dyDescent="0.3">
      <c r="A45" s="146"/>
      <c r="B45" s="1074" t="s">
        <v>849</v>
      </c>
      <c r="C45" s="2755" t="s">
        <v>1004</v>
      </c>
      <c r="D45" s="2756">
        <v>107.31</v>
      </c>
      <c r="E45" s="1372" t="s">
        <v>50</v>
      </c>
      <c r="F45" s="1961"/>
      <c r="G45" s="18"/>
      <c r="H45" s="1961"/>
      <c r="I45" s="18"/>
      <c r="J45" s="1966"/>
      <c r="K45" s="4506">
        <f t="shared" si="7"/>
        <v>0</v>
      </c>
      <c r="L45" s="1961"/>
      <c r="M45" s="18"/>
      <c r="N45" s="1975"/>
      <c r="O45" s="68">
        <f t="shared" si="8"/>
        <v>0</v>
      </c>
      <c r="P45" s="1961"/>
      <c r="Q45" s="18"/>
      <c r="R45" s="1983"/>
      <c r="S45" s="38">
        <f t="shared" si="9"/>
        <v>0</v>
      </c>
      <c r="T45" s="1961"/>
      <c r="U45" s="18"/>
      <c r="V45" s="1983"/>
      <c r="W45" s="38">
        <f t="shared" si="10"/>
        <v>0</v>
      </c>
      <c r="X45" s="1961"/>
      <c r="Y45" s="18"/>
      <c r="Z45" s="894"/>
      <c r="AA45" s="774">
        <f t="shared" si="11"/>
        <v>0</v>
      </c>
      <c r="AB45" s="3965"/>
      <c r="AC45" s="460">
        <f t="shared" si="12"/>
        <v>0</v>
      </c>
      <c r="AD45" s="1961"/>
      <c r="AE45" s="18"/>
      <c r="AF45" s="1983"/>
      <c r="AG45" s="38">
        <f t="shared" si="13"/>
        <v>0</v>
      </c>
      <c r="AH45" s="1961"/>
      <c r="AI45" s="18"/>
      <c r="AJ45" s="1983"/>
      <c r="AK45" s="38">
        <f t="shared" si="14"/>
        <v>0</v>
      </c>
      <c r="AL45" s="1961"/>
      <c r="AM45" s="18"/>
      <c r="AN45" s="894"/>
      <c r="AO45" s="774">
        <f t="shared" si="15"/>
        <v>0</v>
      </c>
      <c r="AP45" s="1983"/>
      <c r="AQ45" s="38">
        <f t="shared" si="16"/>
        <v>0</v>
      </c>
      <c r="AR45" s="1961"/>
      <c r="AS45" s="18"/>
      <c r="AT45" s="1983"/>
      <c r="AU45" s="38">
        <f t="shared" si="17"/>
        <v>0</v>
      </c>
      <c r="AV45" s="1961"/>
      <c r="AW45" s="18"/>
      <c r="AX45" s="1983"/>
      <c r="AY45" s="38">
        <f t="shared" si="18"/>
        <v>0</v>
      </c>
      <c r="AZ45" s="1961"/>
      <c r="BA45" s="18"/>
      <c r="BB45" s="894"/>
      <c r="BC45" s="774">
        <f t="shared" si="19"/>
        <v>0</v>
      </c>
      <c r="BD45" s="895"/>
      <c r="BE45" s="695">
        <f t="shared" si="20"/>
        <v>0</v>
      </c>
      <c r="BF45" s="1983"/>
      <c r="BG45" s="38">
        <f t="shared" si="21"/>
        <v>0</v>
      </c>
      <c r="BH45" s="1520">
        <f t="shared" si="3"/>
        <v>0</v>
      </c>
      <c r="BI45" s="1520">
        <f t="shared" si="4"/>
        <v>0</v>
      </c>
      <c r="BJ45" s="26"/>
      <c r="BK45" s="26">
        <f t="shared" si="5"/>
        <v>0</v>
      </c>
      <c r="BL45" s="26">
        <f t="shared" si="6"/>
        <v>0</v>
      </c>
      <c r="BM45" s="26"/>
      <c r="BN45" s="1202"/>
    </row>
    <row r="46" spans="1:71" ht="15" customHeight="1" thickBot="1" x14ac:dyDescent="0.35">
      <c r="B46" s="1074" t="s">
        <v>849</v>
      </c>
      <c r="C46" s="2755" t="s">
        <v>1004</v>
      </c>
      <c r="D46" s="2756">
        <v>107.32</v>
      </c>
      <c r="E46" s="1372" t="s">
        <v>50</v>
      </c>
      <c r="F46" s="1961"/>
      <c r="G46" s="18"/>
      <c r="H46" s="1961"/>
      <c r="I46" s="18">
        <v>298.03999999999996</v>
      </c>
      <c r="J46" s="1966"/>
      <c r="K46" s="4506">
        <f t="shared" si="7"/>
        <v>298.03999999999996</v>
      </c>
      <c r="L46" s="1961"/>
      <c r="M46" s="18">
        <v>265.75700000000001</v>
      </c>
      <c r="N46" s="1975"/>
      <c r="O46" s="68">
        <f t="shared" si="8"/>
        <v>563.79700000000003</v>
      </c>
      <c r="P46" s="1961"/>
      <c r="Q46" s="18">
        <v>487.12199999999996</v>
      </c>
      <c r="R46" s="1983"/>
      <c r="S46" s="38">
        <f t="shared" si="9"/>
        <v>1050.9189999999999</v>
      </c>
      <c r="T46" s="1961"/>
      <c r="U46" s="18">
        <v>172.876</v>
      </c>
      <c r="V46" s="1983"/>
      <c r="W46" s="38">
        <f t="shared" si="10"/>
        <v>1223.7949999999998</v>
      </c>
      <c r="X46" s="1961"/>
      <c r="Y46" s="18">
        <v>290.64499999999998</v>
      </c>
      <c r="Z46" s="2757"/>
      <c r="AA46" s="774">
        <f t="shared" si="11"/>
        <v>950.64299999999992</v>
      </c>
      <c r="AB46" s="3966"/>
      <c r="AC46" s="460">
        <f t="shared" si="12"/>
        <v>1514.44</v>
      </c>
      <c r="AD46" s="1961"/>
      <c r="AE46" s="18"/>
      <c r="AF46" s="1983"/>
      <c r="AG46" s="38">
        <f t="shared" si="13"/>
        <v>1514.44</v>
      </c>
      <c r="AH46" s="1961"/>
      <c r="AI46" s="18">
        <v>219.947</v>
      </c>
      <c r="AJ46" s="1983"/>
      <c r="AK46" s="38">
        <f t="shared" si="14"/>
        <v>1734.3870000000002</v>
      </c>
      <c r="AL46" s="1961"/>
      <c r="AM46" s="18">
        <v>285.90800000000002</v>
      </c>
      <c r="AN46" s="2757"/>
      <c r="AO46" s="774">
        <f t="shared" si="15"/>
        <v>505.85500000000002</v>
      </c>
      <c r="AP46" s="1983"/>
      <c r="AQ46" s="38">
        <f t="shared" si="16"/>
        <v>2020.2950000000001</v>
      </c>
      <c r="AR46" s="1961"/>
      <c r="AS46" s="18"/>
      <c r="AT46" s="1983"/>
      <c r="AU46" s="38">
        <f t="shared" si="17"/>
        <v>2020.2950000000001</v>
      </c>
      <c r="AV46" s="1961"/>
      <c r="AW46" s="18"/>
      <c r="AX46" s="1983"/>
      <c r="AY46" s="38">
        <f t="shared" si="18"/>
        <v>2020.2950000000001</v>
      </c>
      <c r="AZ46" s="1961"/>
      <c r="BA46" s="18"/>
      <c r="BB46" s="2757"/>
      <c r="BC46" s="774">
        <f t="shared" si="19"/>
        <v>0</v>
      </c>
      <c r="BD46" s="2758"/>
      <c r="BE46" s="695">
        <f t="shared" si="20"/>
        <v>505.85500000000002</v>
      </c>
      <c r="BF46" s="1983"/>
      <c r="BG46" s="38">
        <f t="shared" si="21"/>
        <v>2020.2950000000001</v>
      </c>
      <c r="BH46" s="1520">
        <f t="shared" si="3"/>
        <v>0</v>
      </c>
      <c r="BI46" s="1520">
        <f t="shared" si="4"/>
        <v>0</v>
      </c>
      <c r="BJ46" s="26"/>
      <c r="BK46" s="26">
        <f t="shared" si="5"/>
        <v>0</v>
      </c>
      <c r="BL46" s="26">
        <f t="shared" si="6"/>
        <v>0</v>
      </c>
      <c r="BM46" s="26"/>
      <c r="BN46" s="1202"/>
    </row>
    <row r="47" spans="1:71" ht="15" customHeight="1" x14ac:dyDescent="0.3">
      <c r="B47" s="2948" t="s">
        <v>850</v>
      </c>
      <c r="C47" s="2949" t="s">
        <v>1004</v>
      </c>
      <c r="D47" s="2959">
        <v>107.57</v>
      </c>
      <c r="E47" s="1309" t="s">
        <v>50</v>
      </c>
      <c r="F47" s="2951"/>
      <c r="G47" s="87"/>
      <c r="H47" s="2951"/>
      <c r="I47" s="87">
        <v>593.46699999999998</v>
      </c>
      <c r="J47" s="2952"/>
      <c r="K47" s="4506">
        <f t="shared" si="7"/>
        <v>593.46699999999998</v>
      </c>
      <c r="L47" s="2951"/>
      <c r="M47" s="87">
        <v>1189.4670000000001</v>
      </c>
      <c r="N47" s="1975"/>
      <c r="O47" s="68">
        <f t="shared" si="8"/>
        <v>1782.9340000000002</v>
      </c>
      <c r="P47" s="2951"/>
      <c r="Q47" s="87">
        <v>1186.8310000000001</v>
      </c>
      <c r="R47" s="1983"/>
      <c r="S47" s="38">
        <f t="shared" si="9"/>
        <v>2969.7650000000003</v>
      </c>
      <c r="T47" s="2951"/>
      <c r="U47" s="87"/>
      <c r="V47" s="1983"/>
      <c r="W47" s="38">
        <f t="shared" si="10"/>
        <v>2969.7650000000003</v>
      </c>
      <c r="X47" s="2951"/>
      <c r="Y47" s="87"/>
      <c r="Z47" s="2419"/>
      <c r="AA47" s="774">
        <f t="shared" si="11"/>
        <v>1186.8310000000001</v>
      </c>
      <c r="AB47" s="3967"/>
      <c r="AC47" s="460">
        <f t="shared" si="12"/>
        <v>2969.7650000000003</v>
      </c>
      <c r="AD47" s="2951"/>
      <c r="AE47" s="87">
        <v>285.798</v>
      </c>
      <c r="AF47" s="1983"/>
      <c r="AG47" s="38">
        <f t="shared" si="13"/>
        <v>3255.5630000000001</v>
      </c>
      <c r="AH47" s="2951"/>
      <c r="AI47" s="87">
        <v>746.78899999999999</v>
      </c>
      <c r="AJ47" s="1983"/>
      <c r="AK47" s="38">
        <f t="shared" si="14"/>
        <v>4002.3519999999999</v>
      </c>
      <c r="AL47" s="2951"/>
      <c r="AM47" s="87"/>
      <c r="AN47" s="2419"/>
      <c r="AO47" s="774">
        <f t="shared" si="15"/>
        <v>1032.587</v>
      </c>
      <c r="AP47" s="1983"/>
      <c r="AQ47" s="38">
        <f t="shared" si="16"/>
        <v>4002.3519999999999</v>
      </c>
      <c r="AR47" s="2951"/>
      <c r="AS47" s="87"/>
      <c r="AT47" s="1983"/>
      <c r="AU47" s="38">
        <f t="shared" si="17"/>
        <v>4002.3519999999999</v>
      </c>
      <c r="AV47" s="2951"/>
      <c r="AW47" s="87">
        <v>932.22500000000002</v>
      </c>
      <c r="AX47" s="1983"/>
      <c r="AY47" s="38">
        <f t="shared" si="18"/>
        <v>4934.5770000000002</v>
      </c>
      <c r="AZ47" s="2951"/>
      <c r="BA47" s="87">
        <v>202.82400000000001</v>
      </c>
      <c r="BB47" s="2419"/>
      <c r="BC47" s="774">
        <f t="shared" si="19"/>
        <v>1135.049</v>
      </c>
      <c r="BD47" s="2423"/>
      <c r="BE47" s="695">
        <f t="shared" si="20"/>
        <v>2167.636</v>
      </c>
      <c r="BF47" s="1983"/>
      <c r="BG47" s="38">
        <f t="shared" si="21"/>
        <v>5137.4009999999998</v>
      </c>
      <c r="BH47" s="1520">
        <f t="shared" si="3"/>
        <v>0</v>
      </c>
      <c r="BI47" s="1520">
        <f t="shared" si="4"/>
        <v>0</v>
      </c>
      <c r="BJ47" s="26"/>
      <c r="BK47" s="26">
        <f t="shared" si="5"/>
        <v>0</v>
      </c>
      <c r="BL47" s="26">
        <f t="shared" si="6"/>
        <v>0</v>
      </c>
      <c r="BM47" s="26"/>
      <c r="BN47" s="1202"/>
    </row>
    <row r="48" spans="1:71" ht="15" customHeight="1" x14ac:dyDescent="0.3">
      <c r="B48" s="1074" t="s">
        <v>850</v>
      </c>
      <c r="C48" s="2755" t="s">
        <v>938</v>
      </c>
      <c r="D48" s="2958">
        <v>107.57</v>
      </c>
      <c r="E48" s="1372" t="s">
        <v>50</v>
      </c>
      <c r="F48" s="1961"/>
      <c r="G48" s="18"/>
      <c r="H48" s="1961"/>
      <c r="I48" s="18">
        <v>234.578</v>
      </c>
      <c r="J48" s="1966"/>
      <c r="K48" s="4506">
        <f t="shared" si="7"/>
        <v>234.578</v>
      </c>
      <c r="L48" s="1961"/>
      <c r="M48" s="18">
        <v>562.46300000000008</v>
      </c>
      <c r="N48" s="1975"/>
      <c r="O48" s="68">
        <f t="shared" si="8"/>
        <v>797.04100000000005</v>
      </c>
      <c r="P48" s="1961"/>
      <c r="Q48" s="18">
        <v>359.55200000000002</v>
      </c>
      <c r="R48" s="1983"/>
      <c r="S48" s="38">
        <f t="shared" si="9"/>
        <v>1156.5930000000001</v>
      </c>
      <c r="T48" s="1961"/>
      <c r="U48" s="18"/>
      <c r="V48" s="1983"/>
      <c r="W48" s="38">
        <f t="shared" si="10"/>
        <v>1156.5930000000001</v>
      </c>
      <c r="X48" s="1961"/>
      <c r="Y48" s="18"/>
      <c r="Z48" s="894"/>
      <c r="AA48" s="774">
        <f t="shared" si="11"/>
        <v>359.55200000000002</v>
      </c>
      <c r="AB48" s="3965"/>
      <c r="AC48" s="460">
        <f t="shared" si="12"/>
        <v>1156.5930000000001</v>
      </c>
      <c r="AD48" s="1961"/>
      <c r="AE48" s="18">
        <v>221.26299999999998</v>
      </c>
      <c r="AF48" s="1983"/>
      <c r="AG48" s="38">
        <f t="shared" si="13"/>
        <v>1377.856</v>
      </c>
      <c r="AH48" s="1961"/>
      <c r="AI48" s="18"/>
      <c r="AJ48" s="1983"/>
      <c r="AK48" s="38">
        <f t="shared" si="14"/>
        <v>1377.856</v>
      </c>
      <c r="AL48" s="1961"/>
      <c r="AM48" s="18"/>
      <c r="AN48" s="894"/>
      <c r="AO48" s="774">
        <f t="shared" si="15"/>
        <v>221.26299999999998</v>
      </c>
      <c r="AP48" s="1983"/>
      <c r="AQ48" s="38">
        <f t="shared" si="16"/>
        <v>1377.856</v>
      </c>
      <c r="AR48" s="1961"/>
      <c r="AS48" s="18"/>
      <c r="AT48" s="1983"/>
      <c r="AU48" s="38">
        <f t="shared" si="17"/>
        <v>1377.856</v>
      </c>
      <c r="AV48" s="1961"/>
      <c r="AW48" s="18"/>
      <c r="AX48" s="1983"/>
      <c r="AY48" s="38">
        <f t="shared" si="18"/>
        <v>1377.856</v>
      </c>
      <c r="AZ48" s="1961"/>
      <c r="BA48" s="18"/>
      <c r="BB48" s="894"/>
      <c r="BC48" s="774">
        <f t="shared" si="19"/>
        <v>0</v>
      </c>
      <c r="BD48" s="895"/>
      <c r="BE48" s="695">
        <f t="shared" si="20"/>
        <v>221.26299999999998</v>
      </c>
      <c r="BF48" s="1983"/>
      <c r="BG48" s="38">
        <f t="shared" si="21"/>
        <v>1377.856</v>
      </c>
      <c r="BH48" s="1520">
        <f t="shared" si="3"/>
        <v>0</v>
      </c>
      <c r="BI48" s="1520">
        <f t="shared" si="4"/>
        <v>0</v>
      </c>
      <c r="BJ48" s="26"/>
      <c r="BK48" s="26">
        <f t="shared" si="5"/>
        <v>0</v>
      </c>
      <c r="BL48" s="26">
        <f t="shared" si="6"/>
        <v>0</v>
      </c>
      <c r="BM48" s="26"/>
      <c r="BN48" s="1202"/>
    </row>
    <row r="49" spans="2:66" ht="15" customHeight="1" x14ac:dyDescent="0.3">
      <c r="B49" s="4858" t="s">
        <v>850</v>
      </c>
      <c r="C49" s="4859" t="s">
        <v>1583</v>
      </c>
      <c r="D49" s="4860">
        <v>107.57</v>
      </c>
      <c r="E49" s="4861" t="s">
        <v>50</v>
      </c>
      <c r="F49" s="4862"/>
      <c r="G49" s="4863"/>
      <c r="H49" s="4862"/>
      <c r="I49" s="4863"/>
      <c r="J49" s="4864"/>
      <c r="K49" s="4506">
        <f t="shared" si="7"/>
        <v>0</v>
      </c>
      <c r="L49" s="4862"/>
      <c r="M49" s="4863">
        <v>414.93200000000002</v>
      </c>
      <c r="N49" s="4851"/>
      <c r="O49" s="68">
        <f t="shared" si="8"/>
        <v>414.93200000000002</v>
      </c>
      <c r="P49" s="4862"/>
      <c r="Q49" s="4863">
        <v>560.03899999999999</v>
      </c>
      <c r="R49" s="4852"/>
      <c r="S49" s="38">
        <f t="shared" si="9"/>
        <v>974.971</v>
      </c>
      <c r="T49" s="4862"/>
      <c r="U49" s="4863"/>
      <c r="V49" s="4852"/>
      <c r="W49" s="38">
        <f t="shared" si="10"/>
        <v>974.971</v>
      </c>
      <c r="X49" s="4862"/>
      <c r="Y49" s="4863"/>
      <c r="Z49" s="4841"/>
      <c r="AA49" s="774">
        <f t="shared" si="11"/>
        <v>560.03899999999999</v>
      </c>
      <c r="AB49" s="4853"/>
      <c r="AC49" s="460">
        <f t="shared" si="12"/>
        <v>974.971</v>
      </c>
      <c r="AD49" s="4862"/>
      <c r="AE49" s="4863">
        <v>1244.6099999999999</v>
      </c>
      <c r="AF49" s="4852"/>
      <c r="AG49" s="38">
        <f t="shared" si="13"/>
        <v>2219.5810000000001</v>
      </c>
      <c r="AH49" s="4862"/>
      <c r="AI49" s="4863"/>
      <c r="AJ49" s="4852"/>
      <c r="AK49" s="38">
        <f t="shared" si="14"/>
        <v>2219.5810000000001</v>
      </c>
      <c r="AL49" s="4862"/>
      <c r="AM49" s="4863"/>
      <c r="AN49" s="4841"/>
      <c r="AO49" s="774">
        <f t="shared" si="15"/>
        <v>1244.6099999999999</v>
      </c>
      <c r="AP49" s="4852"/>
      <c r="AQ49" s="38">
        <f t="shared" si="16"/>
        <v>2219.5810000000001</v>
      </c>
      <c r="AR49" s="4862"/>
      <c r="AS49" s="4863"/>
      <c r="AT49" s="4852"/>
      <c r="AU49" s="4446">
        <f t="shared" si="17"/>
        <v>2219.5810000000001</v>
      </c>
      <c r="AV49" s="4862"/>
      <c r="AW49" s="4863"/>
      <c r="AX49" s="4852"/>
      <c r="AY49" s="38">
        <f t="shared" si="18"/>
        <v>2219.5810000000001</v>
      </c>
      <c r="AZ49" s="4862"/>
      <c r="BA49" s="4863">
        <v>156.90700000000001</v>
      </c>
      <c r="BB49" s="4841"/>
      <c r="BC49" s="774">
        <f t="shared" si="19"/>
        <v>156.90700000000001</v>
      </c>
      <c r="BD49" s="4855"/>
      <c r="BE49" s="695">
        <f t="shared" si="20"/>
        <v>1401.5169999999998</v>
      </c>
      <c r="BF49" s="4852"/>
      <c r="BG49" s="38">
        <f t="shared" si="21"/>
        <v>2376.4880000000003</v>
      </c>
      <c r="BH49" s="1520">
        <f t="shared" si="3"/>
        <v>0</v>
      </c>
      <c r="BI49" s="1520">
        <f t="shared" si="4"/>
        <v>0</v>
      </c>
      <c r="BJ49" s="26"/>
      <c r="BK49" s="26">
        <f t="shared" si="5"/>
        <v>0</v>
      </c>
      <c r="BL49" s="26">
        <f t="shared" si="6"/>
        <v>0</v>
      </c>
      <c r="BM49" s="26"/>
      <c r="BN49" s="1202"/>
    </row>
    <row r="50" spans="2:66" x14ac:dyDescent="0.3">
      <c r="B50" s="1074" t="s">
        <v>850</v>
      </c>
      <c r="C50" s="2755" t="s">
        <v>1004</v>
      </c>
      <c r="D50" s="2958">
        <v>122.45</v>
      </c>
      <c r="E50" s="1372" t="s">
        <v>50</v>
      </c>
      <c r="F50" s="1961"/>
      <c r="G50" s="18">
        <v>7545.1760000000013</v>
      </c>
      <c r="H50" s="1961"/>
      <c r="I50" s="18">
        <v>3357.1560000000004</v>
      </c>
      <c r="J50" s="1966"/>
      <c r="K50" s="4506">
        <f t="shared" si="7"/>
        <v>10902.332000000002</v>
      </c>
      <c r="L50" s="1961"/>
      <c r="M50" s="18">
        <v>5188.1899999999996</v>
      </c>
      <c r="N50" s="1975"/>
      <c r="O50" s="68">
        <f t="shared" si="8"/>
        <v>16090.522000000001</v>
      </c>
      <c r="P50" s="1961"/>
      <c r="Q50" s="18">
        <v>3564.9350000000004</v>
      </c>
      <c r="R50" s="1983"/>
      <c r="S50" s="38">
        <f t="shared" si="9"/>
        <v>19655.457000000002</v>
      </c>
      <c r="T50" s="1961"/>
      <c r="U50" s="18">
        <v>4417.7129999999988</v>
      </c>
      <c r="V50" s="1983"/>
      <c r="W50" s="38">
        <f t="shared" si="10"/>
        <v>24073.170000000002</v>
      </c>
      <c r="X50" s="1961"/>
      <c r="Y50" s="18">
        <v>3831.5859999999998</v>
      </c>
      <c r="Z50" s="894"/>
      <c r="AA50" s="774">
        <f t="shared" si="11"/>
        <v>11814.233999999999</v>
      </c>
      <c r="AB50" s="3965"/>
      <c r="AC50" s="460">
        <f t="shared" si="12"/>
        <v>27904.756000000001</v>
      </c>
      <c r="AD50" s="1961"/>
      <c r="AE50" s="18">
        <v>1555.4109999999996</v>
      </c>
      <c r="AF50" s="1983"/>
      <c r="AG50" s="38">
        <f t="shared" si="13"/>
        <v>29460.167000000001</v>
      </c>
      <c r="AH50" s="1961"/>
      <c r="AI50" s="18">
        <v>4980.9279999999999</v>
      </c>
      <c r="AJ50" s="1983"/>
      <c r="AK50" s="38">
        <f t="shared" si="14"/>
        <v>34441.095000000001</v>
      </c>
      <c r="AL50" s="1961"/>
      <c r="AM50" s="18">
        <v>5542.5880000000006</v>
      </c>
      <c r="AN50" s="894"/>
      <c r="AO50" s="774">
        <f t="shared" si="15"/>
        <v>12078.927</v>
      </c>
      <c r="AP50" s="1983"/>
      <c r="AQ50" s="38">
        <f t="shared" si="16"/>
        <v>39983.683000000005</v>
      </c>
      <c r="AR50" s="1961"/>
      <c r="AS50" s="18">
        <v>1855.961</v>
      </c>
      <c r="AT50" s="1983"/>
      <c r="AU50" s="38">
        <f t="shared" si="17"/>
        <v>41839.644000000008</v>
      </c>
      <c r="AV50" s="1961"/>
      <c r="AW50" s="18">
        <v>5896.8679999999977</v>
      </c>
      <c r="AX50" s="1983"/>
      <c r="AY50" s="38">
        <f t="shared" si="18"/>
        <v>47736.512000000002</v>
      </c>
      <c r="AZ50" s="1961"/>
      <c r="BA50" s="18">
        <v>11954.937999999993</v>
      </c>
      <c r="BB50" s="894"/>
      <c r="BC50" s="774">
        <f t="shared" si="19"/>
        <v>19707.766999999993</v>
      </c>
      <c r="BD50" s="895"/>
      <c r="BE50" s="695">
        <f t="shared" si="20"/>
        <v>31786.693999999992</v>
      </c>
      <c r="BF50" s="1983"/>
      <c r="BG50" s="38">
        <f t="shared" si="21"/>
        <v>59691.45</v>
      </c>
      <c r="BH50" s="1520">
        <f t="shared" si="3"/>
        <v>0</v>
      </c>
      <c r="BI50" s="1520">
        <f t="shared" si="4"/>
        <v>0</v>
      </c>
      <c r="BJ50" s="26"/>
      <c r="BK50" s="26">
        <f t="shared" si="5"/>
        <v>0</v>
      </c>
      <c r="BL50" s="26">
        <f t="shared" si="6"/>
        <v>0</v>
      </c>
      <c r="BM50" s="26"/>
      <c r="BN50" s="1202"/>
    </row>
    <row r="51" spans="2:66" ht="15" customHeight="1" x14ac:dyDescent="0.3">
      <c r="B51" s="1074" t="s">
        <v>1594</v>
      </c>
      <c r="C51" s="2755" t="s">
        <v>1336</v>
      </c>
      <c r="D51" s="2756">
        <v>122.45</v>
      </c>
      <c r="E51" s="1372" t="s">
        <v>50</v>
      </c>
      <c r="F51" s="1961"/>
      <c r="G51" s="18"/>
      <c r="H51" s="1961"/>
      <c r="I51" s="18"/>
      <c r="J51" s="1966"/>
      <c r="K51" s="4506">
        <f t="shared" si="7"/>
        <v>0</v>
      </c>
      <c r="L51" s="1961"/>
      <c r="M51" s="18">
        <v>146.47999999999999</v>
      </c>
      <c r="N51" s="1975"/>
      <c r="O51" s="68">
        <f t="shared" si="8"/>
        <v>146.47999999999999</v>
      </c>
      <c r="P51" s="1961"/>
      <c r="Q51" s="18">
        <v>281.392</v>
      </c>
      <c r="R51" s="1983"/>
      <c r="S51" s="38">
        <f t="shared" si="9"/>
        <v>427.87199999999996</v>
      </c>
      <c r="T51" s="1961"/>
      <c r="U51" s="18"/>
      <c r="V51" s="1983"/>
      <c r="W51" s="38">
        <f t="shared" si="10"/>
        <v>427.87199999999996</v>
      </c>
      <c r="X51" s="1961"/>
      <c r="Y51" s="18"/>
      <c r="Z51" s="894"/>
      <c r="AA51" s="774">
        <f t="shared" si="11"/>
        <v>281.392</v>
      </c>
      <c r="AB51" s="3965"/>
      <c r="AC51" s="460">
        <f t="shared" si="12"/>
        <v>427.87199999999996</v>
      </c>
      <c r="AD51" s="1961"/>
      <c r="AE51" s="18">
        <v>215.73599999999999</v>
      </c>
      <c r="AF51" s="1983"/>
      <c r="AG51" s="38">
        <f t="shared" si="13"/>
        <v>643.60799999999995</v>
      </c>
      <c r="AH51" s="1961"/>
      <c r="AI51" s="18"/>
      <c r="AJ51" s="1983"/>
      <c r="AK51" s="38">
        <f t="shared" si="14"/>
        <v>643.60799999999995</v>
      </c>
      <c r="AL51" s="1961"/>
      <c r="AM51" s="18"/>
      <c r="AN51" s="894"/>
      <c r="AO51" s="774">
        <f t="shared" si="15"/>
        <v>215.73599999999999</v>
      </c>
      <c r="AP51" s="1983"/>
      <c r="AQ51" s="38">
        <f t="shared" si="16"/>
        <v>643.60799999999995</v>
      </c>
      <c r="AR51" s="1961"/>
      <c r="AS51" s="18">
        <v>909.96100000000001</v>
      </c>
      <c r="AT51" s="1983"/>
      <c r="AU51" s="38">
        <f t="shared" si="17"/>
        <v>1553.569</v>
      </c>
      <c r="AV51" s="1961"/>
      <c r="AW51" s="18"/>
      <c r="AX51" s="1983"/>
      <c r="AY51" s="38">
        <f t="shared" si="18"/>
        <v>1553.569</v>
      </c>
      <c r="AZ51" s="1961"/>
      <c r="BA51" s="18"/>
      <c r="BB51" s="894"/>
      <c r="BC51" s="774">
        <f t="shared" si="19"/>
        <v>909.96100000000001</v>
      </c>
      <c r="BD51" s="895"/>
      <c r="BE51" s="695">
        <f t="shared" si="20"/>
        <v>1125.6970000000001</v>
      </c>
      <c r="BF51" s="1983"/>
      <c r="BG51" s="38">
        <f t="shared" si="21"/>
        <v>1553.569</v>
      </c>
      <c r="BH51" s="1520">
        <f t="shared" si="3"/>
        <v>0</v>
      </c>
      <c r="BI51" s="1520">
        <f t="shared" si="4"/>
        <v>0</v>
      </c>
      <c r="BJ51" s="26"/>
      <c r="BK51" s="26">
        <f t="shared" si="5"/>
        <v>0</v>
      </c>
      <c r="BL51" s="26">
        <f t="shared" si="6"/>
        <v>0</v>
      </c>
      <c r="BM51" s="26"/>
      <c r="BN51" s="1202"/>
    </row>
    <row r="52" spans="2:66" ht="15" customHeight="1" x14ac:dyDescent="0.3">
      <c r="B52" s="1074" t="s">
        <v>850</v>
      </c>
      <c r="C52" s="2755" t="s">
        <v>938</v>
      </c>
      <c r="D52" s="2756">
        <v>122.45</v>
      </c>
      <c r="E52" s="1372" t="s">
        <v>50</v>
      </c>
      <c r="F52" s="1961"/>
      <c r="G52" s="18">
        <v>2709.0750000000012</v>
      </c>
      <c r="H52" s="1961"/>
      <c r="I52" s="18">
        <v>2447.335</v>
      </c>
      <c r="J52" s="1966"/>
      <c r="K52" s="4506">
        <f t="shared" si="7"/>
        <v>5156.4100000000017</v>
      </c>
      <c r="L52" s="1961"/>
      <c r="M52" s="18">
        <v>1387.52</v>
      </c>
      <c r="N52" s="1975"/>
      <c r="O52" s="68">
        <f t="shared" si="8"/>
        <v>6543.9300000000021</v>
      </c>
      <c r="P52" s="1961"/>
      <c r="Q52" s="18">
        <v>1353.086</v>
      </c>
      <c r="R52" s="1983"/>
      <c r="S52" s="38">
        <f t="shared" si="9"/>
        <v>7897.0160000000024</v>
      </c>
      <c r="T52" s="1961"/>
      <c r="U52" s="18">
        <v>431.04700000000003</v>
      </c>
      <c r="V52" s="1983"/>
      <c r="W52" s="38">
        <f t="shared" si="10"/>
        <v>8328.0630000000019</v>
      </c>
      <c r="X52" s="1961"/>
      <c r="Y52" s="18"/>
      <c r="Z52" s="894"/>
      <c r="AA52" s="774">
        <f t="shared" si="11"/>
        <v>1784.133</v>
      </c>
      <c r="AB52" s="3965"/>
      <c r="AC52" s="460">
        <f t="shared" si="12"/>
        <v>8328.0630000000019</v>
      </c>
      <c r="AD52" s="1961"/>
      <c r="AE52" s="18">
        <v>278.83000000000004</v>
      </c>
      <c r="AF52" s="1983"/>
      <c r="AG52" s="38">
        <f t="shared" si="13"/>
        <v>8606.8930000000018</v>
      </c>
      <c r="AH52" s="1961"/>
      <c r="AI52" s="18"/>
      <c r="AJ52" s="1983"/>
      <c r="AK52" s="38">
        <f t="shared" si="14"/>
        <v>8606.8930000000018</v>
      </c>
      <c r="AL52" s="1961"/>
      <c r="AM52" s="18"/>
      <c r="AN52" s="894"/>
      <c r="AO52" s="774">
        <f t="shared" si="15"/>
        <v>278.83000000000004</v>
      </c>
      <c r="AP52" s="1983"/>
      <c r="AQ52" s="38">
        <f t="shared" si="16"/>
        <v>8606.8930000000018</v>
      </c>
      <c r="AR52" s="1961"/>
      <c r="AS52" s="18"/>
      <c r="AT52" s="1983"/>
      <c r="AU52" s="38">
        <f t="shared" si="17"/>
        <v>8606.8930000000018</v>
      </c>
      <c r="AV52" s="1961"/>
      <c r="AW52" s="18">
        <v>1089.6470000000002</v>
      </c>
      <c r="AX52" s="1983"/>
      <c r="AY52" s="38">
        <f t="shared" si="18"/>
        <v>9696.5400000000027</v>
      </c>
      <c r="AZ52" s="1961"/>
      <c r="BA52" s="18">
        <v>601.59099999999989</v>
      </c>
      <c r="BB52" s="894"/>
      <c r="BC52" s="774">
        <f t="shared" si="19"/>
        <v>1691.2380000000001</v>
      </c>
      <c r="BD52" s="895"/>
      <c r="BE52" s="695">
        <f t="shared" si="20"/>
        <v>1970.0680000000002</v>
      </c>
      <c r="BF52" s="1983"/>
      <c r="BG52" s="38">
        <f t="shared" si="21"/>
        <v>10298.131000000003</v>
      </c>
      <c r="BH52" s="1520">
        <f t="shared" si="3"/>
        <v>0</v>
      </c>
      <c r="BI52" s="1520">
        <f t="shared" si="4"/>
        <v>0</v>
      </c>
      <c r="BJ52" s="26"/>
      <c r="BK52" s="26">
        <f t="shared" si="5"/>
        <v>0</v>
      </c>
      <c r="BL52" s="26">
        <f t="shared" si="6"/>
        <v>0</v>
      </c>
      <c r="BM52" s="26"/>
      <c r="BN52" s="1202"/>
    </row>
    <row r="53" spans="2:66" x14ac:dyDescent="0.3">
      <c r="B53" s="1074" t="s">
        <v>850</v>
      </c>
      <c r="C53" s="2755" t="s">
        <v>1583</v>
      </c>
      <c r="D53" s="2756">
        <v>122.45</v>
      </c>
      <c r="E53" s="1372" t="s">
        <v>50</v>
      </c>
      <c r="F53" s="1961"/>
      <c r="G53" s="18"/>
      <c r="H53" s="1961"/>
      <c r="I53" s="18"/>
      <c r="J53" s="1966"/>
      <c r="K53" s="4506">
        <f t="shared" si="7"/>
        <v>0</v>
      </c>
      <c r="L53" s="1961"/>
      <c r="M53" s="18"/>
      <c r="N53" s="1975"/>
      <c r="O53" s="68">
        <f t="shared" si="8"/>
        <v>0</v>
      </c>
      <c r="P53" s="1961"/>
      <c r="Q53" s="18">
        <v>269.37200000000001</v>
      </c>
      <c r="R53" s="1983"/>
      <c r="S53" s="38">
        <f t="shared" si="9"/>
        <v>269.37200000000001</v>
      </c>
      <c r="T53" s="1961"/>
      <c r="U53" s="18"/>
      <c r="V53" s="1983"/>
      <c r="W53" s="38">
        <f t="shared" si="10"/>
        <v>269.37200000000001</v>
      </c>
      <c r="X53" s="1961"/>
      <c r="Y53" s="18"/>
      <c r="Z53" s="894"/>
      <c r="AA53" s="774">
        <f t="shared" si="11"/>
        <v>269.37200000000001</v>
      </c>
      <c r="AB53" s="3965"/>
      <c r="AC53" s="460">
        <f t="shared" si="12"/>
        <v>269.37200000000001</v>
      </c>
      <c r="AD53" s="1961"/>
      <c r="AE53" s="18">
        <v>287.36099999999999</v>
      </c>
      <c r="AF53" s="1983"/>
      <c r="AG53" s="38">
        <f t="shared" si="13"/>
        <v>556.73299999999995</v>
      </c>
      <c r="AH53" s="1961"/>
      <c r="AI53" s="18"/>
      <c r="AJ53" s="1983"/>
      <c r="AK53" s="38">
        <f t="shared" si="14"/>
        <v>556.73299999999995</v>
      </c>
      <c r="AL53" s="1961"/>
      <c r="AM53" s="18">
        <v>134.703</v>
      </c>
      <c r="AN53" s="894"/>
      <c r="AO53" s="774">
        <f t="shared" si="15"/>
        <v>422.06399999999996</v>
      </c>
      <c r="AP53" s="1983"/>
      <c r="AQ53" s="38">
        <f t="shared" si="16"/>
        <v>691.43599999999992</v>
      </c>
      <c r="AR53" s="1961"/>
      <c r="AS53" s="18"/>
      <c r="AT53" s="1983"/>
      <c r="AU53" s="38">
        <f t="shared" si="17"/>
        <v>691.43599999999992</v>
      </c>
      <c r="AV53" s="1961"/>
      <c r="AW53" s="18"/>
      <c r="AX53" s="1983"/>
      <c r="AY53" s="38">
        <f t="shared" si="18"/>
        <v>691.43599999999992</v>
      </c>
      <c r="AZ53" s="1961"/>
      <c r="BA53" s="18"/>
      <c r="BB53" s="894"/>
      <c r="BC53" s="774">
        <f t="shared" si="19"/>
        <v>0</v>
      </c>
      <c r="BD53" s="895"/>
      <c r="BE53" s="695">
        <f t="shared" si="20"/>
        <v>422.06399999999996</v>
      </c>
      <c r="BF53" s="1983"/>
      <c r="BG53" s="38">
        <f t="shared" si="21"/>
        <v>691.43599999999992</v>
      </c>
      <c r="BH53" s="1520">
        <f t="shared" si="3"/>
        <v>0</v>
      </c>
      <c r="BI53" s="1520">
        <f t="shared" si="4"/>
        <v>0</v>
      </c>
      <c r="BJ53" s="26"/>
      <c r="BK53" s="26">
        <f t="shared" si="5"/>
        <v>0</v>
      </c>
      <c r="BL53" s="26">
        <f t="shared" si="6"/>
        <v>0</v>
      </c>
      <c r="BM53" s="26"/>
      <c r="BN53" s="1202"/>
    </row>
    <row r="54" spans="2:66" ht="15" customHeight="1" x14ac:dyDescent="0.3">
      <c r="B54" s="2944" t="s">
        <v>1594</v>
      </c>
      <c r="C54" s="2755" t="s">
        <v>1584</v>
      </c>
      <c r="D54" s="2945">
        <v>122.45</v>
      </c>
      <c r="E54" s="1387" t="s">
        <v>50</v>
      </c>
      <c r="F54" s="2946"/>
      <c r="G54" s="28"/>
      <c r="H54" s="2946"/>
      <c r="I54" s="28"/>
      <c r="J54" s="2947"/>
      <c r="K54" s="4506">
        <f t="shared" si="7"/>
        <v>0</v>
      </c>
      <c r="L54" s="2946"/>
      <c r="M54" s="28"/>
      <c r="N54" s="1975"/>
      <c r="O54" s="68">
        <f t="shared" si="8"/>
        <v>0</v>
      </c>
      <c r="P54" s="2946"/>
      <c r="Q54" s="28">
        <v>300.69599999999997</v>
      </c>
      <c r="R54" s="1983"/>
      <c r="S54" s="38">
        <f t="shared" si="9"/>
        <v>300.69599999999997</v>
      </c>
      <c r="T54" s="2946"/>
      <c r="U54" s="28">
        <v>792.84600000000012</v>
      </c>
      <c r="V54" s="1983"/>
      <c r="W54" s="38">
        <f t="shared" si="10"/>
        <v>1093.5420000000001</v>
      </c>
      <c r="X54" s="2946"/>
      <c r="Y54" s="28"/>
      <c r="Z54" s="894"/>
      <c r="AA54" s="774">
        <f t="shared" si="11"/>
        <v>1093.5420000000001</v>
      </c>
      <c r="AB54" s="3965"/>
      <c r="AC54" s="460">
        <f t="shared" si="12"/>
        <v>1093.5420000000001</v>
      </c>
      <c r="AD54" s="2946"/>
      <c r="AE54" s="28"/>
      <c r="AF54" s="1983"/>
      <c r="AG54" s="38">
        <f t="shared" si="13"/>
        <v>1093.5420000000001</v>
      </c>
      <c r="AH54" s="2946"/>
      <c r="AI54" s="28"/>
      <c r="AJ54" s="1983"/>
      <c r="AK54" s="38">
        <f t="shared" si="14"/>
        <v>1093.5420000000001</v>
      </c>
      <c r="AL54" s="2946"/>
      <c r="AM54" s="28">
        <f>805.246-1.22</f>
        <v>804.02599999999995</v>
      </c>
      <c r="AN54" s="894"/>
      <c r="AO54" s="774">
        <f t="shared" si="15"/>
        <v>804.02599999999995</v>
      </c>
      <c r="AP54" s="1983"/>
      <c r="AQ54" s="38">
        <f t="shared" si="16"/>
        <v>1897.5680000000002</v>
      </c>
      <c r="AR54" s="2946"/>
      <c r="AS54" s="28"/>
      <c r="AT54" s="1983"/>
      <c r="AU54" s="38">
        <f t="shared" si="17"/>
        <v>1897.5680000000002</v>
      </c>
      <c r="AV54" s="2946"/>
      <c r="AW54" s="28"/>
      <c r="AX54" s="1983"/>
      <c r="AY54" s="38">
        <f t="shared" si="18"/>
        <v>1897.5680000000002</v>
      </c>
      <c r="AZ54" s="2946"/>
      <c r="BA54" s="28"/>
      <c r="BB54" s="894"/>
      <c r="BC54" s="774">
        <f t="shared" si="19"/>
        <v>0</v>
      </c>
      <c r="BD54" s="895"/>
      <c r="BE54" s="695">
        <f t="shared" si="20"/>
        <v>804.02599999999995</v>
      </c>
      <c r="BF54" s="1983"/>
      <c r="BG54" s="38">
        <f t="shared" si="21"/>
        <v>1897.5680000000002</v>
      </c>
      <c r="BH54" s="1520">
        <f t="shared" si="3"/>
        <v>0</v>
      </c>
      <c r="BI54" s="1520">
        <f t="shared" si="4"/>
        <v>0</v>
      </c>
      <c r="BJ54" s="26"/>
      <c r="BK54" s="26">
        <f t="shared" si="5"/>
        <v>0</v>
      </c>
      <c r="BL54" s="26">
        <f t="shared" si="6"/>
        <v>0</v>
      </c>
      <c r="BM54" s="26"/>
      <c r="BN54" s="1202"/>
    </row>
    <row r="55" spans="2:66" ht="15" customHeight="1" x14ac:dyDescent="0.3">
      <c r="B55" s="1074" t="s">
        <v>850</v>
      </c>
      <c r="C55" s="2755" t="s">
        <v>1004</v>
      </c>
      <c r="D55" s="2958">
        <v>154.47</v>
      </c>
      <c r="E55" s="1372" t="s">
        <v>50</v>
      </c>
      <c r="F55" s="1961"/>
      <c r="G55" s="18">
        <v>562.86300000000006</v>
      </c>
      <c r="H55" s="1961"/>
      <c r="I55" s="18"/>
      <c r="J55" s="1966"/>
      <c r="K55" s="4506">
        <f t="shared" si="7"/>
        <v>562.86300000000006</v>
      </c>
      <c r="L55" s="1961"/>
      <c r="M55" s="18">
        <v>484.11500000000007</v>
      </c>
      <c r="N55" s="1975"/>
      <c r="O55" s="68">
        <f t="shared" si="8"/>
        <v>1046.9780000000001</v>
      </c>
      <c r="P55" s="1961"/>
      <c r="Q55" s="18">
        <v>1501.0829999999999</v>
      </c>
      <c r="R55" s="1983"/>
      <c r="S55" s="38">
        <f t="shared" si="9"/>
        <v>2548.0609999999997</v>
      </c>
      <c r="T55" s="1961"/>
      <c r="U55" s="18">
        <v>333.37399999999997</v>
      </c>
      <c r="V55" s="1983"/>
      <c r="W55" s="38">
        <f t="shared" si="10"/>
        <v>2881.4349999999995</v>
      </c>
      <c r="X55" s="1961"/>
      <c r="Y55" s="18"/>
      <c r="Z55" s="894"/>
      <c r="AA55" s="774">
        <f t="shared" si="11"/>
        <v>1834.4569999999999</v>
      </c>
      <c r="AB55" s="3965"/>
      <c r="AC55" s="460">
        <f t="shared" si="12"/>
        <v>2881.4349999999999</v>
      </c>
      <c r="AD55" s="1961"/>
      <c r="AE55" s="18">
        <v>628.44400000000007</v>
      </c>
      <c r="AF55" s="1983"/>
      <c r="AG55" s="38">
        <f t="shared" si="13"/>
        <v>3509.8789999999999</v>
      </c>
      <c r="AH55" s="1961"/>
      <c r="AI55" s="18"/>
      <c r="AJ55" s="1983"/>
      <c r="AK55" s="38">
        <f t="shared" si="14"/>
        <v>3509.8789999999999</v>
      </c>
      <c r="AL55" s="1961"/>
      <c r="AM55" s="18"/>
      <c r="AN55" s="894"/>
      <c r="AO55" s="774">
        <f t="shared" si="15"/>
        <v>628.44400000000007</v>
      </c>
      <c r="AP55" s="1983"/>
      <c r="AQ55" s="38">
        <f t="shared" si="16"/>
        <v>3509.8789999999999</v>
      </c>
      <c r="AR55" s="1961"/>
      <c r="AS55" s="18">
        <v>506.57500000000005</v>
      </c>
      <c r="AT55" s="1983"/>
      <c r="AU55" s="38">
        <f t="shared" si="17"/>
        <v>4016.4539999999997</v>
      </c>
      <c r="AV55" s="1961"/>
      <c r="AW55" s="18">
        <v>497.19400000000007</v>
      </c>
      <c r="AX55" s="1983"/>
      <c r="AY55" s="38">
        <f t="shared" si="18"/>
        <v>4513.6480000000001</v>
      </c>
      <c r="AZ55" s="1961"/>
      <c r="BA55" s="18">
        <v>1030.8150000000001</v>
      </c>
      <c r="BB55" s="894"/>
      <c r="BC55" s="774">
        <f t="shared" si="19"/>
        <v>2034.5840000000003</v>
      </c>
      <c r="BD55" s="895"/>
      <c r="BE55" s="695">
        <f t="shared" si="20"/>
        <v>2663.0280000000002</v>
      </c>
      <c r="BF55" s="1983"/>
      <c r="BG55" s="38">
        <f t="shared" si="21"/>
        <v>5544.4629999999997</v>
      </c>
      <c r="BH55" s="1520">
        <f t="shared" si="3"/>
        <v>0</v>
      </c>
      <c r="BI55" s="1520">
        <f t="shared" si="4"/>
        <v>0</v>
      </c>
      <c r="BJ55" s="26"/>
      <c r="BK55" s="26">
        <f t="shared" si="5"/>
        <v>0</v>
      </c>
      <c r="BL55" s="26">
        <f t="shared" si="6"/>
        <v>0</v>
      </c>
      <c r="BM55" s="26"/>
      <c r="BN55" s="1202"/>
    </row>
    <row r="56" spans="2:66" ht="15" customHeight="1" thickBot="1" x14ac:dyDescent="0.35">
      <c r="B56" s="2953" t="s">
        <v>850</v>
      </c>
      <c r="C56" s="2954" t="s">
        <v>938</v>
      </c>
      <c r="D56" s="2955">
        <v>154.47</v>
      </c>
      <c r="E56" s="1392" t="s">
        <v>50</v>
      </c>
      <c r="F56" s="2956"/>
      <c r="G56" s="37">
        <v>422.14700000000005</v>
      </c>
      <c r="H56" s="2956"/>
      <c r="I56" s="37"/>
      <c r="J56" s="2957"/>
      <c r="K56" s="4506">
        <f t="shared" si="7"/>
        <v>422.14700000000005</v>
      </c>
      <c r="L56" s="2956"/>
      <c r="M56" s="37">
        <v>234.52600000000001</v>
      </c>
      <c r="N56" s="1975"/>
      <c r="O56" s="68">
        <f t="shared" si="8"/>
        <v>656.673</v>
      </c>
      <c r="P56" s="2956"/>
      <c r="Q56" s="37">
        <v>663.11099999999999</v>
      </c>
      <c r="R56" s="1983"/>
      <c r="S56" s="38">
        <f t="shared" si="9"/>
        <v>1319.7840000000001</v>
      </c>
      <c r="T56" s="2956"/>
      <c r="U56" s="37">
        <v>108.857</v>
      </c>
      <c r="V56" s="1983"/>
      <c r="W56" s="38">
        <f t="shared" si="10"/>
        <v>1428.6410000000001</v>
      </c>
      <c r="X56" s="2956"/>
      <c r="Y56" s="37"/>
      <c r="Z56" s="894"/>
      <c r="AA56" s="774">
        <f t="shared" si="11"/>
        <v>771.96799999999996</v>
      </c>
      <c r="AB56" s="3965"/>
      <c r="AC56" s="460">
        <f t="shared" si="12"/>
        <v>1428.6410000000001</v>
      </c>
      <c r="AD56" s="2956"/>
      <c r="AE56" s="37"/>
      <c r="AF56" s="1983"/>
      <c r="AG56" s="38">
        <f t="shared" si="13"/>
        <v>1428.6410000000001</v>
      </c>
      <c r="AH56" s="2956"/>
      <c r="AI56" s="37"/>
      <c r="AJ56" s="1983"/>
      <c r="AK56" s="38">
        <f t="shared" si="14"/>
        <v>1428.6410000000001</v>
      </c>
      <c r="AL56" s="2956"/>
      <c r="AM56" s="37"/>
      <c r="AN56" s="894"/>
      <c r="AO56" s="774">
        <f t="shared" si="15"/>
        <v>0</v>
      </c>
      <c r="AP56" s="1983"/>
      <c r="AQ56" s="38">
        <f t="shared" si="16"/>
        <v>1428.6410000000001</v>
      </c>
      <c r="AR56" s="2956"/>
      <c r="AS56" s="37"/>
      <c r="AT56" s="1983"/>
      <c r="AU56" s="38">
        <f t="shared" si="17"/>
        <v>1428.6410000000001</v>
      </c>
      <c r="AV56" s="2956"/>
      <c r="AW56" s="37">
        <v>178.24</v>
      </c>
      <c r="AX56" s="1983"/>
      <c r="AY56" s="38">
        <f t="shared" si="18"/>
        <v>1606.8810000000001</v>
      </c>
      <c r="AZ56" s="2956"/>
      <c r="BA56" s="37">
        <v>234.494</v>
      </c>
      <c r="BB56" s="894"/>
      <c r="BC56" s="774">
        <f t="shared" si="19"/>
        <v>412.73400000000004</v>
      </c>
      <c r="BD56" s="895"/>
      <c r="BE56" s="695">
        <f t="shared" si="20"/>
        <v>412.73400000000004</v>
      </c>
      <c r="BF56" s="1983"/>
      <c r="BG56" s="38">
        <f t="shared" si="21"/>
        <v>1841.375</v>
      </c>
      <c r="BH56" s="1520">
        <f t="shared" si="3"/>
        <v>0</v>
      </c>
      <c r="BI56" s="1520">
        <f t="shared" si="4"/>
        <v>0</v>
      </c>
      <c r="BJ56" s="26"/>
      <c r="BK56" s="26">
        <f t="shared" si="5"/>
        <v>0</v>
      </c>
      <c r="BL56" s="26">
        <f t="shared" si="6"/>
        <v>0</v>
      </c>
      <c r="BM56" s="26"/>
      <c r="BN56" s="1202"/>
    </row>
    <row r="57" spans="2:66" ht="15" customHeight="1" x14ac:dyDescent="0.3">
      <c r="B57" s="2948" t="s">
        <v>1585</v>
      </c>
      <c r="C57" s="2949" t="s">
        <v>938</v>
      </c>
      <c r="D57" s="2959">
        <v>202.48</v>
      </c>
      <c r="E57" s="1309" t="s">
        <v>50</v>
      </c>
      <c r="F57" s="2951"/>
      <c r="G57" s="87"/>
      <c r="H57" s="2951"/>
      <c r="I57" s="87"/>
      <c r="J57" s="2952"/>
      <c r="K57" s="4506">
        <f t="shared" si="7"/>
        <v>0</v>
      </c>
      <c r="L57" s="2951"/>
      <c r="M57" s="87"/>
      <c r="N57" s="1975"/>
      <c r="O57" s="68">
        <f t="shared" si="8"/>
        <v>0</v>
      </c>
      <c r="P57" s="2951"/>
      <c r="Q57" s="87"/>
      <c r="R57" s="1983"/>
      <c r="S57" s="38">
        <f t="shared" si="9"/>
        <v>0</v>
      </c>
      <c r="T57" s="2951"/>
      <c r="U57" s="87"/>
      <c r="V57" s="1983"/>
      <c r="W57" s="38">
        <f t="shared" si="10"/>
        <v>0</v>
      </c>
      <c r="X57" s="2951"/>
      <c r="Y57" s="87"/>
      <c r="Z57" s="894"/>
      <c r="AA57" s="774">
        <f t="shared" si="11"/>
        <v>0</v>
      </c>
      <c r="AB57" s="3965"/>
      <c r="AC57" s="460">
        <f t="shared" si="12"/>
        <v>0</v>
      </c>
      <c r="AD57" s="2951"/>
      <c r="AE57" s="87"/>
      <c r="AF57" s="1983"/>
      <c r="AG57" s="38">
        <f t="shared" si="13"/>
        <v>0</v>
      </c>
      <c r="AH57" s="2951"/>
      <c r="AI57" s="87"/>
      <c r="AJ57" s="1983"/>
      <c r="AK57" s="38">
        <f t="shared" si="14"/>
        <v>0</v>
      </c>
      <c r="AL57" s="2951"/>
      <c r="AM57" s="87"/>
      <c r="AN57" s="894"/>
      <c r="AO57" s="774">
        <f t="shared" si="15"/>
        <v>0</v>
      </c>
      <c r="AP57" s="1983"/>
      <c r="AQ57" s="38">
        <f t="shared" si="16"/>
        <v>0</v>
      </c>
      <c r="AR57" s="2951"/>
      <c r="AS57" s="87"/>
      <c r="AT57" s="1983"/>
      <c r="AU57" s="38">
        <f t="shared" si="17"/>
        <v>0</v>
      </c>
      <c r="AV57" s="2951"/>
      <c r="AW57" s="87"/>
      <c r="AX57" s="1983"/>
      <c r="AY57" s="38">
        <f t="shared" si="18"/>
        <v>0</v>
      </c>
      <c r="AZ57" s="2951"/>
      <c r="BA57" s="87"/>
      <c r="BB57" s="894"/>
      <c r="BC57" s="774">
        <f t="shared" si="19"/>
        <v>0</v>
      </c>
      <c r="BD57" s="895"/>
      <c r="BE57" s="695">
        <f t="shared" si="20"/>
        <v>0</v>
      </c>
      <c r="BF57" s="1983"/>
      <c r="BG57" s="38">
        <f t="shared" si="21"/>
        <v>0</v>
      </c>
      <c r="BH57" s="1520">
        <f t="shared" si="3"/>
        <v>0</v>
      </c>
      <c r="BI57" s="1520">
        <f t="shared" si="4"/>
        <v>0</v>
      </c>
      <c r="BJ57" s="26"/>
      <c r="BK57" s="26">
        <f t="shared" si="5"/>
        <v>0</v>
      </c>
      <c r="BL57" s="26">
        <f t="shared" si="6"/>
        <v>0</v>
      </c>
      <c r="BM57" s="26"/>
      <c r="BN57" s="1202"/>
    </row>
    <row r="58" spans="2:66" ht="15" customHeight="1" x14ac:dyDescent="0.3">
      <c r="B58" s="1074" t="s">
        <v>1585</v>
      </c>
      <c r="C58" s="2755" t="s">
        <v>938</v>
      </c>
      <c r="D58" s="2958">
        <v>174.54</v>
      </c>
      <c r="E58" s="1372" t="s">
        <v>50</v>
      </c>
      <c r="F58" s="1961"/>
      <c r="G58" s="18"/>
      <c r="H58" s="1961"/>
      <c r="I58" s="18"/>
      <c r="J58" s="1966"/>
      <c r="K58" s="4506">
        <f t="shared" si="7"/>
        <v>0</v>
      </c>
      <c r="L58" s="1961"/>
      <c r="M58" s="18"/>
      <c r="N58" s="1975"/>
      <c r="O58" s="68">
        <f t="shared" si="8"/>
        <v>0</v>
      </c>
      <c r="P58" s="1961"/>
      <c r="Q58" s="18"/>
      <c r="R58" s="1983"/>
      <c r="S58" s="38">
        <f t="shared" si="9"/>
        <v>0</v>
      </c>
      <c r="T58" s="1961"/>
      <c r="U58" s="18"/>
      <c r="V58" s="1983"/>
      <c r="W58" s="38">
        <f t="shared" si="10"/>
        <v>0</v>
      </c>
      <c r="X58" s="1961"/>
      <c r="Y58" s="18"/>
      <c r="Z58" s="894"/>
      <c r="AA58" s="774">
        <f t="shared" si="11"/>
        <v>0</v>
      </c>
      <c r="AB58" s="3965"/>
      <c r="AC58" s="460">
        <f t="shared" si="12"/>
        <v>0</v>
      </c>
      <c r="AD58" s="1961"/>
      <c r="AE58" s="18"/>
      <c r="AF58" s="1983"/>
      <c r="AG58" s="38">
        <f t="shared" si="13"/>
        <v>0</v>
      </c>
      <c r="AH58" s="1961"/>
      <c r="AI58" s="18"/>
      <c r="AJ58" s="1983"/>
      <c r="AK58" s="38">
        <f t="shared" si="14"/>
        <v>0</v>
      </c>
      <c r="AL58" s="1961"/>
      <c r="AM58" s="18"/>
      <c r="AN58" s="894"/>
      <c r="AO58" s="774">
        <f t="shared" si="15"/>
        <v>0</v>
      </c>
      <c r="AP58" s="1983"/>
      <c r="AQ58" s="38">
        <f t="shared" si="16"/>
        <v>0</v>
      </c>
      <c r="AR58" s="1961"/>
      <c r="AS58" s="18"/>
      <c r="AT58" s="1983"/>
      <c r="AU58" s="38">
        <f t="shared" si="17"/>
        <v>0</v>
      </c>
      <c r="AV58" s="1961"/>
      <c r="AW58" s="18"/>
      <c r="AX58" s="1983"/>
      <c r="AY58" s="38">
        <f t="shared" si="18"/>
        <v>0</v>
      </c>
      <c r="AZ58" s="1961"/>
      <c r="BA58" s="18"/>
      <c r="BB58" s="894"/>
      <c r="BC58" s="774">
        <f t="shared" si="19"/>
        <v>0</v>
      </c>
      <c r="BD58" s="895"/>
      <c r="BE58" s="695">
        <f t="shared" si="20"/>
        <v>0</v>
      </c>
      <c r="BF58" s="1983"/>
      <c r="BG58" s="38">
        <f t="shared" si="21"/>
        <v>0</v>
      </c>
      <c r="BH58" s="1520">
        <f t="shared" si="3"/>
        <v>0</v>
      </c>
      <c r="BI58" s="1520">
        <f t="shared" si="4"/>
        <v>0</v>
      </c>
      <c r="BJ58" s="26"/>
      <c r="BK58" s="26">
        <f t="shared" si="5"/>
        <v>0</v>
      </c>
      <c r="BL58" s="26">
        <f t="shared" si="6"/>
        <v>0</v>
      </c>
      <c r="BM58" s="26"/>
      <c r="BN58" s="1202"/>
    </row>
    <row r="59" spans="2:66" ht="15" customHeight="1" thickBot="1" x14ac:dyDescent="0.35">
      <c r="B59" s="2953" t="s">
        <v>1585</v>
      </c>
      <c r="C59" s="2954" t="s">
        <v>938</v>
      </c>
      <c r="D59" s="2955">
        <v>145.29</v>
      </c>
      <c r="E59" s="1392" t="s">
        <v>50</v>
      </c>
      <c r="F59" s="2956"/>
      <c r="G59" s="37"/>
      <c r="H59" s="2956"/>
      <c r="I59" s="37"/>
      <c r="J59" s="2957"/>
      <c r="K59" s="4506">
        <f t="shared" si="7"/>
        <v>0</v>
      </c>
      <c r="L59" s="2956"/>
      <c r="M59" s="37"/>
      <c r="N59" s="1975"/>
      <c r="O59" s="68">
        <f t="shared" si="8"/>
        <v>0</v>
      </c>
      <c r="P59" s="2956"/>
      <c r="Q59" s="37"/>
      <c r="R59" s="1983"/>
      <c r="S59" s="38">
        <f t="shared" si="9"/>
        <v>0</v>
      </c>
      <c r="T59" s="2956"/>
      <c r="U59" s="37"/>
      <c r="V59" s="1983"/>
      <c r="W59" s="38">
        <f t="shared" si="10"/>
        <v>0</v>
      </c>
      <c r="X59" s="2956"/>
      <c r="Y59" s="37"/>
      <c r="Z59" s="894"/>
      <c r="AA59" s="774">
        <f t="shared" si="11"/>
        <v>0</v>
      </c>
      <c r="AB59" s="3965"/>
      <c r="AC59" s="460">
        <f t="shared" si="12"/>
        <v>0</v>
      </c>
      <c r="AD59" s="2956"/>
      <c r="AE59" s="37"/>
      <c r="AF59" s="1983"/>
      <c r="AG59" s="38">
        <f t="shared" si="13"/>
        <v>0</v>
      </c>
      <c r="AH59" s="2956"/>
      <c r="AI59" s="37"/>
      <c r="AJ59" s="1983"/>
      <c r="AK59" s="38">
        <f t="shared" si="14"/>
        <v>0</v>
      </c>
      <c r="AL59" s="2956"/>
      <c r="AM59" s="37"/>
      <c r="AN59" s="894"/>
      <c r="AO59" s="774">
        <f t="shared" si="15"/>
        <v>0</v>
      </c>
      <c r="AP59" s="1983"/>
      <c r="AQ59" s="38">
        <f t="shared" si="16"/>
        <v>0</v>
      </c>
      <c r="AR59" s="2956"/>
      <c r="AS59" s="37"/>
      <c r="AT59" s="1983"/>
      <c r="AU59" s="38">
        <f t="shared" si="17"/>
        <v>0</v>
      </c>
      <c r="AV59" s="2956"/>
      <c r="AW59" s="37"/>
      <c r="AX59" s="1983"/>
      <c r="AY59" s="38">
        <f t="shared" si="18"/>
        <v>0</v>
      </c>
      <c r="AZ59" s="2956"/>
      <c r="BA59" s="37"/>
      <c r="BB59" s="894"/>
      <c r="BC59" s="774">
        <f t="shared" si="19"/>
        <v>0</v>
      </c>
      <c r="BD59" s="895"/>
      <c r="BE59" s="695">
        <f t="shared" si="20"/>
        <v>0</v>
      </c>
      <c r="BF59" s="1983"/>
      <c r="BG59" s="38">
        <f t="shared" si="21"/>
        <v>0</v>
      </c>
      <c r="BH59" s="1520">
        <f t="shared" si="3"/>
        <v>0</v>
      </c>
      <c r="BI59" s="1520">
        <f t="shared" si="4"/>
        <v>0</v>
      </c>
      <c r="BJ59" s="26"/>
      <c r="BK59" s="26">
        <f t="shared" si="5"/>
        <v>0</v>
      </c>
      <c r="BL59" s="26">
        <f t="shared" si="6"/>
        <v>0</v>
      </c>
      <c r="BM59" s="26"/>
      <c r="BN59" s="1202"/>
    </row>
    <row r="60" spans="2:66" ht="15" customHeight="1" thickBot="1" x14ac:dyDescent="0.35">
      <c r="B60" s="2948" t="s">
        <v>1096</v>
      </c>
      <c r="C60" s="2949" t="s">
        <v>1004</v>
      </c>
      <c r="D60" s="2959">
        <v>37.340000000000003</v>
      </c>
      <c r="E60" s="1309" t="s">
        <v>50</v>
      </c>
      <c r="F60" s="2951"/>
      <c r="G60" s="87"/>
      <c r="H60" s="2951"/>
      <c r="I60" s="87">
        <v>197.33</v>
      </c>
      <c r="J60" s="2952"/>
      <c r="K60" s="4506">
        <f t="shared" si="7"/>
        <v>197.33</v>
      </c>
      <c r="L60" s="2951"/>
      <c r="M60" s="87"/>
      <c r="N60" s="1975"/>
      <c r="O60" s="68">
        <f t="shared" si="8"/>
        <v>197.33</v>
      </c>
      <c r="P60" s="2951"/>
      <c r="Q60" s="87"/>
      <c r="R60" s="1983"/>
      <c r="S60" s="38">
        <f t="shared" si="9"/>
        <v>197.33</v>
      </c>
      <c r="T60" s="2951"/>
      <c r="U60" s="87"/>
      <c r="V60" s="1983"/>
      <c r="W60" s="38">
        <f t="shared" si="10"/>
        <v>197.33</v>
      </c>
      <c r="X60" s="2951"/>
      <c r="Y60" s="87"/>
      <c r="Z60" s="894"/>
      <c r="AA60" s="774">
        <f t="shared" si="11"/>
        <v>0</v>
      </c>
      <c r="AB60" s="3965"/>
      <c r="AC60" s="460">
        <f t="shared" si="12"/>
        <v>197.33</v>
      </c>
      <c r="AD60" s="2951"/>
      <c r="AE60" s="87"/>
      <c r="AF60" s="1983"/>
      <c r="AG60" s="38">
        <f t="shared" si="13"/>
        <v>197.33</v>
      </c>
      <c r="AH60" s="2951"/>
      <c r="AI60" s="87">
        <v>520.62200000000007</v>
      </c>
      <c r="AJ60" s="1983"/>
      <c r="AK60" s="38">
        <f t="shared" si="14"/>
        <v>717.95200000000011</v>
      </c>
      <c r="AL60" s="2951"/>
      <c r="AM60" s="87"/>
      <c r="AN60" s="894"/>
      <c r="AO60" s="774">
        <f t="shared" si="15"/>
        <v>520.62200000000007</v>
      </c>
      <c r="AP60" s="1983"/>
      <c r="AQ60" s="38">
        <f t="shared" si="16"/>
        <v>717.95200000000011</v>
      </c>
      <c r="AR60" s="2951"/>
      <c r="AS60" s="87">
        <v>338.33799999999997</v>
      </c>
      <c r="AT60" s="1983"/>
      <c r="AU60" s="38">
        <f t="shared" si="17"/>
        <v>1056.29</v>
      </c>
      <c r="AV60" s="2951"/>
      <c r="AW60" s="87"/>
      <c r="AX60" s="1983"/>
      <c r="AY60" s="38">
        <f t="shared" si="18"/>
        <v>1056.29</v>
      </c>
      <c r="AZ60" s="2951"/>
      <c r="BA60" s="87"/>
      <c r="BB60" s="894"/>
      <c r="BC60" s="774">
        <f t="shared" si="19"/>
        <v>338.33799999999997</v>
      </c>
      <c r="BD60" s="895"/>
      <c r="BE60" s="695">
        <f t="shared" si="20"/>
        <v>858.96</v>
      </c>
      <c r="BF60" s="1983"/>
      <c r="BG60" s="38">
        <f t="shared" si="21"/>
        <v>1056.29</v>
      </c>
      <c r="BH60" s="1520">
        <f t="shared" si="3"/>
        <v>0</v>
      </c>
      <c r="BI60" s="1520">
        <f t="shared" si="4"/>
        <v>0</v>
      </c>
      <c r="BJ60" s="26"/>
      <c r="BK60" s="26">
        <f t="shared" si="5"/>
        <v>0</v>
      </c>
      <c r="BL60" s="26">
        <f t="shared" si="6"/>
        <v>0</v>
      </c>
      <c r="BM60" s="26"/>
      <c r="BN60" s="1202"/>
    </row>
    <row r="61" spans="2:66" ht="15" customHeight="1" x14ac:dyDescent="0.3">
      <c r="B61" s="1074" t="s">
        <v>1096</v>
      </c>
      <c r="C61" s="2755" t="s">
        <v>1336</v>
      </c>
      <c r="D61" s="2958">
        <v>37.340000000000003</v>
      </c>
      <c r="E61" s="1372" t="s">
        <v>50</v>
      </c>
      <c r="F61" s="1961"/>
      <c r="G61" s="18">
        <v>2807.8309999999992</v>
      </c>
      <c r="H61" s="1961"/>
      <c r="I61" s="18">
        <v>2915.0279999999993</v>
      </c>
      <c r="J61" s="1966"/>
      <c r="K61" s="4506">
        <f t="shared" si="7"/>
        <v>5722.8589999999986</v>
      </c>
      <c r="L61" s="1961"/>
      <c r="M61" s="18">
        <v>2371.7069999999999</v>
      </c>
      <c r="N61" s="1975"/>
      <c r="O61" s="68">
        <f t="shared" si="8"/>
        <v>8094.5659999999989</v>
      </c>
      <c r="P61" s="1961"/>
      <c r="Q61" s="18">
        <v>2574.5839999999994</v>
      </c>
      <c r="R61" s="1983"/>
      <c r="S61" s="38">
        <f t="shared" si="9"/>
        <v>10669.149999999998</v>
      </c>
      <c r="T61" s="1961"/>
      <c r="U61" s="18">
        <v>1438.2529999999997</v>
      </c>
      <c r="V61" s="1983"/>
      <c r="W61" s="38">
        <f t="shared" si="10"/>
        <v>12107.402999999998</v>
      </c>
      <c r="X61" s="1961"/>
      <c r="Y61" s="18"/>
      <c r="Z61" s="894"/>
      <c r="AA61" s="774">
        <f t="shared" si="11"/>
        <v>4012.8369999999991</v>
      </c>
      <c r="AB61" s="3965"/>
      <c r="AC61" s="460">
        <f t="shared" si="12"/>
        <v>12107.402999999998</v>
      </c>
      <c r="AD61" s="1961"/>
      <c r="AE61" s="18"/>
      <c r="AF61" s="1983"/>
      <c r="AG61" s="38">
        <f t="shared" si="13"/>
        <v>12107.402999999998</v>
      </c>
      <c r="AH61" s="1961"/>
      <c r="AI61" s="18">
        <v>2468.989</v>
      </c>
      <c r="AJ61" s="1983"/>
      <c r="AK61" s="38">
        <f t="shared" si="14"/>
        <v>14576.391999999998</v>
      </c>
      <c r="AL61" s="1961"/>
      <c r="AM61" s="18"/>
      <c r="AN61" s="894"/>
      <c r="AO61" s="774">
        <f t="shared" si="15"/>
        <v>2468.989</v>
      </c>
      <c r="AP61" s="1983"/>
      <c r="AQ61" s="38">
        <f t="shared" si="16"/>
        <v>14576.391999999998</v>
      </c>
      <c r="AR61" s="1961"/>
      <c r="AS61" s="87">
        <v>2885.9890000000009</v>
      </c>
      <c r="AT61" s="1983"/>
      <c r="AU61" s="38">
        <f t="shared" si="17"/>
        <v>17462.380999999998</v>
      </c>
      <c r="AV61" s="1961"/>
      <c r="AW61" s="87"/>
      <c r="AX61" s="1983"/>
      <c r="AY61" s="38">
        <f t="shared" si="18"/>
        <v>17462.380999999998</v>
      </c>
      <c r="AZ61" s="1961"/>
      <c r="BA61" s="87">
        <v>1738.6020000000001</v>
      </c>
      <c r="BB61" s="894"/>
      <c r="BC61" s="774">
        <f t="shared" si="19"/>
        <v>4624.5910000000013</v>
      </c>
      <c r="BD61" s="895"/>
      <c r="BE61" s="695">
        <f t="shared" si="20"/>
        <v>7093.5800000000017</v>
      </c>
      <c r="BF61" s="1983"/>
      <c r="BG61" s="38">
        <f t="shared" si="21"/>
        <v>19200.982999999997</v>
      </c>
      <c r="BH61" s="1520">
        <f t="shared" si="3"/>
        <v>0</v>
      </c>
      <c r="BI61" s="1520">
        <f t="shared" si="4"/>
        <v>0</v>
      </c>
      <c r="BJ61" s="26"/>
      <c r="BK61" s="26">
        <f t="shared" si="5"/>
        <v>0</v>
      </c>
      <c r="BL61" s="26">
        <f t="shared" si="6"/>
        <v>0</v>
      </c>
      <c r="BM61" s="26"/>
      <c r="BN61" s="1202"/>
    </row>
    <row r="62" spans="2:66" ht="15" customHeight="1" x14ac:dyDescent="0.3">
      <c r="B62" s="4858" t="s">
        <v>1650</v>
      </c>
      <c r="C62" s="4859" t="s">
        <v>1004</v>
      </c>
      <c r="D62" s="4860">
        <v>42.26</v>
      </c>
      <c r="E62" s="4861" t="s">
        <v>50</v>
      </c>
      <c r="F62" s="4862"/>
      <c r="G62" s="4863"/>
      <c r="H62" s="4862"/>
      <c r="I62" s="4863"/>
      <c r="J62" s="4864"/>
      <c r="K62" s="4843"/>
      <c r="L62" s="4862"/>
      <c r="M62" s="4863">
        <v>308.62299999999999</v>
      </c>
      <c r="N62" s="4851"/>
      <c r="O62" s="68">
        <f t="shared" si="8"/>
        <v>308.62299999999999</v>
      </c>
      <c r="P62" s="4862"/>
      <c r="Q62" s="4863">
        <v>393.77</v>
      </c>
      <c r="R62" s="4852"/>
      <c r="S62" s="38">
        <f t="shared" si="9"/>
        <v>702.39300000000003</v>
      </c>
      <c r="T62" s="4862"/>
      <c r="U62" s="4863"/>
      <c r="V62" s="4852"/>
      <c r="W62" s="38">
        <f t="shared" si="10"/>
        <v>702.39300000000003</v>
      </c>
      <c r="X62" s="4862"/>
      <c r="Y62" s="4863">
        <v>618.15800000000002</v>
      </c>
      <c r="Z62" s="4841"/>
      <c r="AA62" s="774">
        <f t="shared" si="11"/>
        <v>1011.928</v>
      </c>
      <c r="AB62" s="3965"/>
      <c r="AC62" s="460">
        <f t="shared" si="12"/>
        <v>1320.5509999999999</v>
      </c>
      <c r="AD62" s="4862"/>
      <c r="AE62" s="4863"/>
      <c r="AF62" s="4852"/>
      <c r="AG62" s="38">
        <f t="shared" si="13"/>
        <v>1320.5509999999999</v>
      </c>
      <c r="AH62" s="4862"/>
      <c r="AI62" s="4863"/>
      <c r="AJ62" s="4852"/>
      <c r="AK62" s="38">
        <f t="shared" si="14"/>
        <v>1320.5509999999999</v>
      </c>
      <c r="AL62" s="4862"/>
      <c r="AM62" s="4863">
        <v>121.828</v>
      </c>
      <c r="AN62" s="4841"/>
      <c r="AO62" s="774">
        <f t="shared" si="15"/>
        <v>121.828</v>
      </c>
      <c r="AP62" s="4852"/>
      <c r="AQ62" s="38">
        <f t="shared" si="16"/>
        <v>1442.3789999999999</v>
      </c>
      <c r="AR62" s="4862"/>
      <c r="AS62" s="4863"/>
      <c r="AT62" s="4852"/>
      <c r="AU62" s="4446">
        <f t="shared" si="17"/>
        <v>1442.3789999999999</v>
      </c>
      <c r="AV62" s="4862"/>
      <c r="AW62" s="4863"/>
      <c r="AX62" s="4852"/>
      <c r="AY62" s="38">
        <f t="shared" si="18"/>
        <v>1442.3789999999999</v>
      </c>
      <c r="AZ62" s="4862"/>
      <c r="BA62" s="4863"/>
      <c r="BB62" s="4841"/>
      <c r="BC62" s="774">
        <f t="shared" si="19"/>
        <v>0</v>
      </c>
      <c r="BD62" s="4855"/>
      <c r="BE62" s="695">
        <f t="shared" si="20"/>
        <v>121.828</v>
      </c>
      <c r="BF62" s="4852"/>
      <c r="BG62" s="38">
        <f t="shared" si="21"/>
        <v>1442.3789999999999</v>
      </c>
      <c r="BH62" s="1520">
        <f t="shared" si="3"/>
        <v>0</v>
      </c>
      <c r="BI62" s="1520">
        <f t="shared" si="4"/>
        <v>0</v>
      </c>
      <c r="BJ62" s="26"/>
      <c r="BK62" s="26">
        <f t="shared" si="5"/>
        <v>0</v>
      </c>
      <c r="BL62" s="26">
        <f t="shared" si="6"/>
        <v>0</v>
      </c>
      <c r="BM62" s="26"/>
      <c r="BN62" s="1202"/>
    </row>
    <row r="63" spans="2:66" ht="15" customHeight="1" x14ac:dyDescent="0.3">
      <c r="B63" s="1074" t="s">
        <v>1650</v>
      </c>
      <c r="C63" s="2755" t="s">
        <v>938</v>
      </c>
      <c r="D63" s="2958">
        <v>42.26</v>
      </c>
      <c r="E63" s="1372" t="s">
        <v>50</v>
      </c>
      <c r="F63" s="1961"/>
      <c r="G63" s="18"/>
      <c r="H63" s="1961"/>
      <c r="I63" s="18"/>
      <c r="J63" s="1966"/>
      <c r="K63" s="4506">
        <f t="shared" si="7"/>
        <v>0</v>
      </c>
      <c r="L63" s="1961"/>
      <c r="M63" s="18">
        <v>1171.0029999999999</v>
      </c>
      <c r="N63" s="1975"/>
      <c r="O63" s="68">
        <f t="shared" si="8"/>
        <v>1171.0029999999999</v>
      </c>
      <c r="P63" s="1961"/>
      <c r="Q63" s="18">
        <v>801.71400000000017</v>
      </c>
      <c r="R63" s="1983"/>
      <c r="S63" s="38">
        <f t="shared" si="9"/>
        <v>1972.7170000000001</v>
      </c>
      <c r="T63" s="1961"/>
      <c r="U63" s="18"/>
      <c r="V63" s="1983"/>
      <c r="W63" s="38">
        <f t="shared" si="10"/>
        <v>1972.7170000000001</v>
      </c>
      <c r="X63" s="1961"/>
      <c r="Y63" s="18">
        <v>683.31399999999985</v>
      </c>
      <c r="Z63" s="2419"/>
      <c r="AA63" s="774">
        <f t="shared" si="11"/>
        <v>1485.028</v>
      </c>
      <c r="AB63" s="3965"/>
      <c r="AC63" s="460">
        <f t="shared" si="12"/>
        <v>2656.0309999999999</v>
      </c>
      <c r="AD63" s="1961"/>
      <c r="AE63" s="18"/>
      <c r="AF63" s="1983"/>
      <c r="AG63" s="38">
        <f t="shared" si="13"/>
        <v>2656.0309999999999</v>
      </c>
      <c r="AH63" s="1961"/>
      <c r="AI63" s="18"/>
      <c r="AJ63" s="1983"/>
      <c r="AK63" s="38">
        <f t="shared" si="14"/>
        <v>2656.0309999999999</v>
      </c>
      <c r="AL63" s="1961"/>
      <c r="AM63" s="18">
        <v>595.44600000000003</v>
      </c>
      <c r="AN63" s="2419"/>
      <c r="AO63" s="774">
        <f t="shared" si="15"/>
        <v>595.44600000000003</v>
      </c>
      <c r="AP63" s="1983"/>
      <c r="AQ63" s="38">
        <f t="shared" si="16"/>
        <v>3251.4769999999999</v>
      </c>
      <c r="AR63" s="1961"/>
      <c r="AS63" s="18"/>
      <c r="AT63" s="1983"/>
      <c r="AU63" s="38">
        <f t="shared" si="17"/>
        <v>3251.4769999999999</v>
      </c>
      <c r="AV63" s="1961"/>
      <c r="AW63" s="18"/>
      <c r="AX63" s="1983"/>
      <c r="AY63" s="38">
        <f t="shared" si="18"/>
        <v>3251.4769999999999</v>
      </c>
      <c r="AZ63" s="1961"/>
      <c r="BA63" s="18"/>
      <c r="BB63" s="2419"/>
      <c r="BC63" s="774">
        <f t="shared" si="19"/>
        <v>0</v>
      </c>
      <c r="BD63" s="2423"/>
      <c r="BE63" s="695">
        <f t="shared" si="20"/>
        <v>595.44600000000003</v>
      </c>
      <c r="BF63" s="1983"/>
      <c r="BG63" s="38">
        <f t="shared" si="21"/>
        <v>3251.4769999999999</v>
      </c>
      <c r="BH63" s="1520">
        <f t="shared" si="3"/>
        <v>0</v>
      </c>
      <c r="BI63" s="1520">
        <f t="shared" si="4"/>
        <v>0</v>
      </c>
      <c r="BJ63" s="26"/>
      <c r="BK63" s="26">
        <f t="shared" si="5"/>
        <v>0</v>
      </c>
      <c r="BL63" s="26">
        <f t="shared" si="6"/>
        <v>0</v>
      </c>
      <c r="BM63" s="26"/>
      <c r="BN63" s="1202"/>
    </row>
    <row r="64" spans="2:66" ht="15" customHeight="1" x14ac:dyDescent="0.3">
      <c r="B64" s="1074" t="s">
        <v>1097</v>
      </c>
      <c r="C64" s="2755" t="s">
        <v>938</v>
      </c>
      <c r="D64" s="2958">
        <v>61.3</v>
      </c>
      <c r="E64" s="1372" t="s">
        <v>50</v>
      </c>
      <c r="F64" s="1961"/>
      <c r="G64" s="18"/>
      <c r="H64" s="1961"/>
      <c r="I64" s="18"/>
      <c r="J64" s="1966"/>
      <c r="K64" s="4506">
        <f t="shared" si="7"/>
        <v>0</v>
      </c>
      <c r="L64" s="1961"/>
      <c r="M64" s="18">
        <v>522.70600000000002</v>
      </c>
      <c r="N64" s="1975"/>
      <c r="O64" s="68">
        <f t="shared" si="8"/>
        <v>522.70600000000002</v>
      </c>
      <c r="P64" s="1961"/>
      <c r="Q64" s="18"/>
      <c r="R64" s="1983"/>
      <c r="S64" s="38">
        <f t="shared" si="9"/>
        <v>522.70600000000002</v>
      </c>
      <c r="T64" s="1961"/>
      <c r="U64" s="18"/>
      <c r="V64" s="1983"/>
      <c r="W64" s="38">
        <f t="shared" si="10"/>
        <v>522.70600000000002</v>
      </c>
      <c r="X64" s="1961"/>
      <c r="Y64" s="18">
        <v>485.31799999999998</v>
      </c>
      <c r="Z64" s="894"/>
      <c r="AA64" s="774">
        <f t="shared" si="11"/>
        <v>485.31799999999998</v>
      </c>
      <c r="AB64" s="3965"/>
      <c r="AC64" s="460">
        <f t="shared" si="12"/>
        <v>1008.024</v>
      </c>
      <c r="AD64" s="1961"/>
      <c r="AE64" s="18"/>
      <c r="AF64" s="1983"/>
      <c r="AG64" s="38">
        <f t="shared" si="13"/>
        <v>1008.024</v>
      </c>
      <c r="AH64" s="1961"/>
      <c r="AI64" s="18"/>
      <c r="AJ64" s="1983"/>
      <c r="AK64" s="38">
        <f t="shared" si="14"/>
        <v>1008.024</v>
      </c>
      <c r="AL64" s="1961"/>
      <c r="AM64" s="18">
        <v>1037.3899999999996</v>
      </c>
      <c r="AN64" s="894"/>
      <c r="AO64" s="774">
        <f t="shared" si="15"/>
        <v>1037.3899999999996</v>
      </c>
      <c r="AP64" s="1983"/>
      <c r="AQ64" s="38">
        <f t="shared" si="16"/>
        <v>2045.4139999999998</v>
      </c>
      <c r="AR64" s="1961"/>
      <c r="AS64" s="18"/>
      <c r="AT64" s="1983"/>
      <c r="AU64" s="38">
        <f t="shared" si="17"/>
        <v>2045.4139999999998</v>
      </c>
      <c r="AV64" s="1961"/>
      <c r="AW64" s="18"/>
      <c r="AX64" s="1983"/>
      <c r="AY64" s="38">
        <f t="shared" si="18"/>
        <v>2045.4139999999998</v>
      </c>
      <c r="AZ64" s="1961"/>
      <c r="BA64" s="18"/>
      <c r="BB64" s="894"/>
      <c r="BC64" s="774">
        <f t="shared" si="19"/>
        <v>0</v>
      </c>
      <c r="BD64" s="895"/>
      <c r="BE64" s="695">
        <f t="shared" si="20"/>
        <v>1037.3899999999996</v>
      </c>
      <c r="BF64" s="1983"/>
      <c r="BG64" s="38">
        <f t="shared" si="21"/>
        <v>2045.4139999999998</v>
      </c>
      <c r="BH64" s="1520">
        <f t="shared" si="3"/>
        <v>0</v>
      </c>
      <c r="BI64" s="1520">
        <f t="shared" si="4"/>
        <v>0</v>
      </c>
      <c r="BJ64" s="26"/>
      <c r="BK64" s="26">
        <f t="shared" si="5"/>
        <v>0</v>
      </c>
      <c r="BL64" s="26">
        <f t="shared" si="6"/>
        <v>0</v>
      </c>
      <c r="BM64" s="26"/>
      <c r="BN64" s="1202"/>
    </row>
    <row r="65" spans="2:66" ht="15" customHeight="1" thickBot="1" x14ac:dyDescent="0.35">
      <c r="B65" s="2953" t="s">
        <v>1097</v>
      </c>
      <c r="C65" s="2954" t="s">
        <v>1004</v>
      </c>
      <c r="D65" s="2955">
        <v>61.3</v>
      </c>
      <c r="E65" s="1392" t="s">
        <v>50</v>
      </c>
      <c r="F65" s="2956"/>
      <c r="G65" s="37"/>
      <c r="H65" s="2956"/>
      <c r="I65" s="37"/>
      <c r="J65" s="2957"/>
      <c r="K65" s="4506">
        <f t="shared" si="7"/>
        <v>0</v>
      </c>
      <c r="L65" s="2956"/>
      <c r="M65" s="37">
        <v>261.35300000000001</v>
      </c>
      <c r="N65" s="1975"/>
      <c r="O65" s="68">
        <f t="shared" si="8"/>
        <v>261.35300000000001</v>
      </c>
      <c r="P65" s="2956"/>
      <c r="Q65" s="37">
        <v>157.666</v>
      </c>
      <c r="R65" s="1983"/>
      <c r="S65" s="38">
        <f t="shared" si="9"/>
        <v>419.01900000000001</v>
      </c>
      <c r="T65" s="2956"/>
      <c r="U65" s="37"/>
      <c r="V65" s="1983"/>
      <c r="W65" s="38">
        <f t="shared" si="10"/>
        <v>419.01900000000001</v>
      </c>
      <c r="X65" s="2956"/>
      <c r="Y65" s="37">
        <v>326.85000000000002</v>
      </c>
      <c r="Z65" s="894"/>
      <c r="AA65" s="774">
        <f t="shared" si="11"/>
        <v>484.51600000000002</v>
      </c>
      <c r="AB65" s="3965"/>
      <c r="AC65" s="460">
        <f t="shared" si="12"/>
        <v>745.86900000000003</v>
      </c>
      <c r="AD65" s="2956"/>
      <c r="AE65" s="37"/>
      <c r="AF65" s="1983"/>
      <c r="AG65" s="38">
        <f t="shared" si="13"/>
        <v>745.86900000000003</v>
      </c>
      <c r="AH65" s="2956"/>
      <c r="AI65" s="37"/>
      <c r="AJ65" s="1983"/>
      <c r="AK65" s="38">
        <f t="shared" si="14"/>
        <v>745.86900000000003</v>
      </c>
      <c r="AL65" s="2956"/>
      <c r="AM65" s="37">
        <v>306.09900000000005</v>
      </c>
      <c r="AN65" s="894"/>
      <c r="AO65" s="774">
        <f t="shared" si="15"/>
        <v>306.09900000000005</v>
      </c>
      <c r="AP65" s="1983"/>
      <c r="AQ65" s="38">
        <f t="shared" si="16"/>
        <v>1051.9680000000001</v>
      </c>
      <c r="AR65" s="2956"/>
      <c r="AS65" s="37"/>
      <c r="AT65" s="1983"/>
      <c r="AU65" s="38">
        <f t="shared" si="17"/>
        <v>1051.9680000000001</v>
      </c>
      <c r="AV65" s="2956"/>
      <c r="AW65" s="37"/>
      <c r="AX65" s="1983"/>
      <c r="AY65" s="38">
        <f t="shared" si="18"/>
        <v>1051.9680000000001</v>
      </c>
      <c r="AZ65" s="2956"/>
      <c r="BA65" s="37"/>
      <c r="BB65" s="894"/>
      <c r="BC65" s="774">
        <f t="shared" si="19"/>
        <v>0</v>
      </c>
      <c r="BD65" s="895"/>
      <c r="BE65" s="695">
        <f t="shared" si="20"/>
        <v>306.09900000000005</v>
      </c>
      <c r="BF65" s="1983"/>
      <c r="BG65" s="38">
        <f t="shared" si="21"/>
        <v>1051.9680000000001</v>
      </c>
      <c r="BH65" s="1520">
        <f t="shared" si="3"/>
        <v>0</v>
      </c>
      <c r="BI65" s="1520">
        <f t="shared" si="4"/>
        <v>0</v>
      </c>
      <c r="BJ65" s="26"/>
      <c r="BK65" s="26">
        <f t="shared" si="5"/>
        <v>0</v>
      </c>
      <c r="BL65" s="26">
        <f t="shared" si="6"/>
        <v>0</v>
      </c>
      <c r="BM65" s="26"/>
      <c r="BN65" s="1202"/>
    </row>
    <row r="66" spans="2:66" ht="15" customHeight="1" thickBot="1" x14ac:dyDescent="0.35">
      <c r="B66" s="2948" t="s">
        <v>1251</v>
      </c>
      <c r="C66" s="2949" t="s">
        <v>938</v>
      </c>
      <c r="D66" s="2959">
        <v>83.2</v>
      </c>
      <c r="E66" s="1309" t="s">
        <v>50</v>
      </c>
      <c r="F66" s="2951"/>
      <c r="G66" s="87">
        <v>2223.0400000000004</v>
      </c>
      <c r="H66" s="2951"/>
      <c r="I66" s="87"/>
      <c r="J66" s="2952"/>
      <c r="K66" s="4506">
        <f t="shared" si="7"/>
        <v>2223.0400000000004</v>
      </c>
      <c r="L66" s="2951"/>
      <c r="M66" s="87">
        <v>536.84500000000003</v>
      </c>
      <c r="N66" s="1975"/>
      <c r="O66" s="68">
        <f t="shared" si="8"/>
        <v>2759.8850000000002</v>
      </c>
      <c r="P66" s="2951"/>
      <c r="Q66" s="87"/>
      <c r="R66" s="1983"/>
      <c r="S66" s="38">
        <f t="shared" si="9"/>
        <v>2759.8850000000002</v>
      </c>
      <c r="T66" s="2951"/>
      <c r="U66" s="87"/>
      <c r="V66" s="1983"/>
      <c r="W66" s="38">
        <f t="shared" si="10"/>
        <v>2759.8850000000002</v>
      </c>
      <c r="X66" s="2951"/>
      <c r="Y66" s="87">
        <v>1363.2589999999998</v>
      </c>
      <c r="Z66" s="894"/>
      <c r="AA66" s="774">
        <f t="shared" si="11"/>
        <v>1363.2589999999998</v>
      </c>
      <c r="AB66" s="3965"/>
      <c r="AC66" s="460">
        <f t="shared" si="12"/>
        <v>4123.1440000000002</v>
      </c>
      <c r="AD66" s="2951"/>
      <c r="AE66" s="87"/>
      <c r="AF66" s="1983"/>
      <c r="AG66" s="38">
        <f t="shared" si="13"/>
        <v>4123.1440000000002</v>
      </c>
      <c r="AH66" s="2951"/>
      <c r="AI66" s="87"/>
      <c r="AJ66" s="1983"/>
      <c r="AK66" s="38">
        <f t="shared" si="14"/>
        <v>4123.1440000000002</v>
      </c>
      <c r="AL66" s="2951"/>
      <c r="AM66" s="87">
        <v>783.12400000000002</v>
      </c>
      <c r="AN66" s="894"/>
      <c r="AO66" s="774">
        <f t="shared" si="15"/>
        <v>783.12400000000002</v>
      </c>
      <c r="AP66" s="1983"/>
      <c r="AQ66" s="38">
        <f t="shared" si="16"/>
        <v>4906.268</v>
      </c>
      <c r="AR66" s="2951"/>
      <c r="AS66" s="87"/>
      <c r="AT66" s="1983"/>
      <c r="AU66" s="38">
        <f t="shared" si="17"/>
        <v>4906.268</v>
      </c>
      <c r="AV66" s="2951"/>
      <c r="AW66" s="87"/>
      <c r="AX66" s="1983"/>
      <c r="AY66" s="38">
        <f t="shared" si="18"/>
        <v>4906.268</v>
      </c>
      <c r="AZ66" s="2951"/>
      <c r="BA66" s="87"/>
      <c r="BB66" s="894"/>
      <c r="BC66" s="774">
        <f t="shared" si="19"/>
        <v>0</v>
      </c>
      <c r="BD66" s="895"/>
      <c r="BE66" s="695">
        <f t="shared" si="20"/>
        <v>783.12400000000002</v>
      </c>
      <c r="BF66" s="1983"/>
      <c r="BG66" s="38">
        <f t="shared" si="21"/>
        <v>4906.268</v>
      </c>
      <c r="BH66" s="1520">
        <f t="shared" si="3"/>
        <v>0</v>
      </c>
      <c r="BI66" s="1520">
        <f t="shared" si="4"/>
        <v>0</v>
      </c>
      <c r="BJ66" s="26"/>
      <c r="BK66" s="26">
        <f t="shared" si="5"/>
        <v>0</v>
      </c>
      <c r="BL66" s="26">
        <f t="shared" si="6"/>
        <v>0</v>
      </c>
      <c r="BM66" s="26"/>
      <c r="BN66" s="1202"/>
    </row>
    <row r="67" spans="2:66" ht="15" customHeight="1" x14ac:dyDescent="0.3">
      <c r="B67" s="2948" t="s">
        <v>1251</v>
      </c>
      <c r="C67" s="2949" t="s">
        <v>938</v>
      </c>
      <c r="D67" s="3845">
        <v>47.4</v>
      </c>
      <c r="E67" s="1309" t="s">
        <v>50</v>
      </c>
      <c r="F67" s="3847"/>
      <c r="G67" s="3764"/>
      <c r="H67" s="3847"/>
      <c r="I67" s="3764"/>
      <c r="J67" s="3848"/>
      <c r="K67" s="4506">
        <f t="shared" si="7"/>
        <v>0</v>
      </c>
      <c r="L67" s="3847"/>
      <c r="M67" s="3764"/>
      <c r="N67" s="1975"/>
      <c r="O67" s="68">
        <f t="shared" si="8"/>
        <v>0</v>
      </c>
      <c r="P67" s="3847"/>
      <c r="Q67" s="3764"/>
      <c r="R67" s="1983"/>
      <c r="S67" s="38">
        <f t="shared" si="9"/>
        <v>0</v>
      </c>
      <c r="T67" s="3847"/>
      <c r="U67" s="3764"/>
      <c r="V67" s="1983"/>
      <c r="W67" s="38">
        <f t="shared" si="10"/>
        <v>0</v>
      </c>
      <c r="X67" s="3847"/>
      <c r="Y67" s="3764"/>
      <c r="Z67" s="4354"/>
      <c r="AA67" s="774">
        <f t="shared" si="11"/>
        <v>0</v>
      </c>
      <c r="AB67" s="3965"/>
      <c r="AC67" s="460">
        <f t="shared" si="12"/>
        <v>0</v>
      </c>
      <c r="AD67" s="3847"/>
      <c r="AE67" s="3764"/>
      <c r="AF67" s="1983"/>
      <c r="AG67" s="38">
        <f t="shared" si="13"/>
        <v>0</v>
      </c>
      <c r="AH67" s="3847"/>
      <c r="AI67" s="3764"/>
      <c r="AJ67" s="1983"/>
      <c r="AK67" s="38">
        <f t="shared" si="14"/>
        <v>0</v>
      </c>
      <c r="AL67" s="3847"/>
      <c r="AM67" s="3764">
        <v>9.5749999999999993</v>
      </c>
      <c r="AN67" s="4354"/>
      <c r="AO67" s="774">
        <f t="shared" si="15"/>
        <v>9.5749999999999993</v>
      </c>
      <c r="AP67" s="1983"/>
      <c r="AQ67" s="38">
        <f t="shared" si="16"/>
        <v>9.5749999999999993</v>
      </c>
      <c r="AR67" s="3847"/>
      <c r="AS67" s="3764"/>
      <c r="AT67" s="1983"/>
      <c r="AU67" s="38">
        <f t="shared" si="17"/>
        <v>9.5749999999999993</v>
      </c>
      <c r="AV67" s="3847"/>
      <c r="AW67" s="3764"/>
      <c r="AX67" s="1983"/>
      <c r="AY67" s="38">
        <f t="shared" si="18"/>
        <v>9.5749999999999993</v>
      </c>
      <c r="AZ67" s="3847"/>
      <c r="BA67" s="3764"/>
      <c r="BB67" s="4354"/>
      <c r="BC67" s="774">
        <f t="shared" si="19"/>
        <v>0</v>
      </c>
      <c r="BD67" s="4357"/>
      <c r="BE67" s="695">
        <f t="shared" si="20"/>
        <v>9.5749999999999993</v>
      </c>
      <c r="BF67" s="1983"/>
      <c r="BG67" s="38">
        <f t="shared" si="21"/>
        <v>9.5749999999999993</v>
      </c>
      <c r="BH67" s="1520">
        <f t="shared" si="3"/>
        <v>0</v>
      </c>
      <c r="BI67" s="1520">
        <f t="shared" si="4"/>
        <v>0</v>
      </c>
      <c r="BJ67" s="26"/>
      <c r="BK67" s="26">
        <f t="shared" si="5"/>
        <v>0</v>
      </c>
      <c r="BL67" s="26">
        <f t="shared" si="6"/>
        <v>0</v>
      </c>
      <c r="BM67" s="26"/>
      <c r="BN67" s="1202"/>
    </row>
    <row r="68" spans="2:66" ht="15" customHeight="1" thickBot="1" x14ac:dyDescent="0.35">
      <c r="B68" s="2953" t="s">
        <v>1251</v>
      </c>
      <c r="C68" s="2954" t="s">
        <v>938</v>
      </c>
      <c r="D68" s="2955">
        <v>60.32</v>
      </c>
      <c r="E68" s="1392" t="s">
        <v>50</v>
      </c>
      <c r="F68" s="2956"/>
      <c r="G68" s="37">
        <v>390.20100000000002</v>
      </c>
      <c r="H68" s="2956"/>
      <c r="I68" s="37"/>
      <c r="J68" s="2957"/>
      <c r="K68" s="4506">
        <f t="shared" si="7"/>
        <v>390.20100000000002</v>
      </c>
      <c r="L68" s="2956"/>
      <c r="M68" s="37">
        <v>791.52800000000002</v>
      </c>
      <c r="N68" s="1975"/>
      <c r="O68" s="68">
        <f t="shared" si="8"/>
        <v>1181.729</v>
      </c>
      <c r="P68" s="2956"/>
      <c r="Q68" s="37"/>
      <c r="R68" s="1983"/>
      <c r="S68" s="38">
        <f t="shared" si="9"/>
        <v>1181.729</v>
      </c>
      <c r="T68" s="2956"/>
      <c r="U68" s="37"/>
      <c r="V68" s="1983"/>
      <c r="W68" s="38">
        <f t="shared" si="10"/>
        <v>1181.729</v>
      </c>
      <c r="X68" s="2956"/>
      <c r="Y68" s="37">
        <v>336.02599999999995</v>
      </c>
      <c r="Z68" s="894"/>
      <c r="AA68" s="774">
        <f t="shared" si="11"/>
        <v>336.02599999999995</v>
      </c>
      <c r="AB68" s="3965"/>
      <c r="AC68" s="460">
        <f t="shared" si="12"/>
        <v>1517.7550000000001</v>
      </c>
      <c r="AD68" s="2956"/>
      <c r="AE68" s="37"/>
      <c r="AF68" s="1983"/>
      <c r="AG68" s="38">
        <f t="shared" si="13"/>
        <v>1517.7550000000001</v>
      </c>
      <c r="AH68" s="2956"/>
      <c r="AI68" s="37"/>
      <c r="AJ68" s="1983"/>
      <c r="AK68" s="38">
        <f t="shared" si="14"/>
        <v>1517.7550000000001</v>
      </c>
      <c r="AL68" s="2956"/>
      <c r="AM68" s="37">
        <v>1219.3609999999999</v>
      </c>
      <c r="AN68" s="894"/>
      <c r="AO68" s="774">
        <f t="shared" si="15"/>
        <v>1219.3609999999999</v>
      </c>
      <c r="AP68" s="1983"/>
      <c r="AQ68" s="38">
        <f t="shared" si="16"/>
        <v>2737.116</v>
      </c>
      <c r="AR68" s="2956"/>
      <c r="AS68" s="37"/>
      <c r="AT68" s="1983"/>
      <c r="AU68" s="38">
        <f t="shared" si="17"/>
        <v>2737.116</v>
      </c>
      <c r="AV68" s="2956"/>
      <c r="AW68" s="37"/>
      <c r="AX68" s="1983"/>
      <c r="AY68" s="38">
        <f t="shared" si="18"/>
        <v>2737.116</v>
      </c>
      <c r="AZ68" s="2956"/>
      <c r="BA68" s="37"/>
      <c r="BB68" s="894"/>
      <c r="BC68" s="774">
        <f t="shared" si="19"/>
        <v>0</v>
      </c>
      <c r="BD68" s="895"/>
      <c r="BE68" s="695">
        <f t="shared" si="20"/>
        <v>1219.3609999999999</v>
      </c>
      <c r="BF68" s="1983"/>
      <c r="BG68" s="38">
        <f t="shared" si="21"/>
        <v>2737.116</v>
      </c>
      <c r="BH68" s="1520">
        <f t="shared" si="3"/>
        <v>0</v>
      </c>
      <c r="BI68" s="1520">
        <f t="shared" si="4"/>
        <v>0</v>
      </c>
      <c r="BJ68" s="26"/>
      <c r="BK68" s="26">
        <f t="shared" si="5"/>
        <v>0</v>
      </c>
      <c r="BL68" s="26">
        <f t="shared" si="6"/>
        <v>0</v>
      </c>
      <c r="BM68" s="26"/>
      <c r="BN68" s="1202"/>
    </row>
    <row r="69" spans="2:66" ht="15" customHeight="1" x14ac:dyDescent="0.3">
      <c r="B69" s="2948" t="s">
        <v>1192</v>
      </c>
      <c r="C69" s="2949" t="s">
        <v>938</v>
      </c>
      <c r="D69" s="2959">
        <v>100.85</v>
      </c>
      <c r="E69" s="1309" t="s">
        <v>50</v>
      </c>
      <c r="F69" s="2951"/>
      <c r="G69" s="87">
        <v>1159.954</v>
      </c>
      <c r="H69" s="2951"/>
      <c r="I69" s="87">
        <v>933.98900000000026</v>
      </c>
      <c r="J69" s="2952"/>
      <c r="K69" s="4506">
        <f t="shared" si="7"/>
        <v>2093.9430000000002</v>
      </c>
      <c r="L69" s="2951"/>
      <c r="M69" s="87"/>
      <c r="N69" s="1975"/>
      <c r="O69" s="68">
        <f t="shared" si="8"/>
        <v>2093.9430000000002</v>
      </c>
      <c r="P69" s="2951"/>
      <c r="Q69" s="87">
        <v>754.33100000000002</v>
      </c>
      <c r="R69" s="1983"/>
      <c r="S69" s="38">
        <f t="shared" si="9"/>
        <v>2848.2740000000003</v>
      </c>
      <c r="T69" s="2951"/>
      <c r="U69" s="87"/>
      <c r="V69" s="1983"/>
      <c r="W69" s="38">
        <f t="shared" si="10"/>
        <v>2848.2740000000003</v>
      </c>
      <c r="X69" s="2951"/>
      <c r="Y69" s="87">
        <v>440.56799999999998</v>
      </c>
      <c r="Z69" s="894"/>
      <c r="AA69" s="774">
        <f t="shared" si="11"/>
        <v>1194.8989999999999</v>
      </c>
      <c r="AB69" s="3965"/>
      <c r="AC69" s="460">
        <f t="shared" si="12"/>
        <v>3288.8420000000001</v>
      </c>
      <c r="AD69" s="2951"/>
      <c r="AE69" s="87"/>
      <c r="AF69" s="1983"/>
      <c r="AG69" s="38">
        <f t="shared" si="13"/>
        <v>3288.8420000000001</v>
      </c>
      <c r="AH69" s="2951"/>
      <c r="AI69" s="87">
        <v>1510.2550000000001</v>
      </c>
      <c r="AJ69" s="1983"/>
      <c r="AK69" s="38">
        <f t="shared" si="14"/>
        <v>4799.0969999999998</v>
      </c>
      <c r="AL69" s="2951"/>
      <c r="AM69" s="87"/>
      <c r="AN69" s="894"/>
      <c r="AO69" s="774">
        <f t="shared" si="15"/>
        <v>1510.2550000000001</v>
      </c>
      <c r="AP69" s="1983"/>
      <c r="AQ69" s="38">
        <f t="shared" si="16"/>
        <v>4799.0969999999998</v>
      </c>
      <c r="AR69" s="2951"/>
      <c r="AS69" s="87">
        <v>895.97500000000002</v>
      </c>
      <c r="AT69" s="1983"/>
      <c r="AU69" s="38">
        <f t="shared" si="17"/>
        <v>5695.0720000000001</v>
      </c>
      <c r="AV69" s="2951"/>
      <c r="AW69" s="87">
        <v>843.72800000000007</v>
      </c>
      <c r="AX69" s="1983"/>
      <c r="AY69" s="38">
        <f t="shared" si="18"/>
        <v>6538.8</v>
      </c>
      <c r="AZ69" s="2951"/>
      <c r="BA69" s="87">
        <v>1022.9659999999999</v>
      </c>
      <c r="BB69" s="894"/>
      <c r="BC69" s="774">
        <f t="shared" si="19"/>
        <v>2762.6689999999999</v>
      </c>
      <c r="BD69" s="895"/>
      <c r="BE69" s="695">
        <f t="shared" si="20"/>
        <v>4272.924</v>
      </c>
      <c r="BF69" s="1983"/>
      <c r="BG69" s="38">
        <f t="shared" si="21"/>
        <v>7561.7659999999996</v>
      </c>
      <c r="BH69" s="1520">
        <f t="shared" si="3"/>
        <v>0</v>
      </c>
      <c r="BI69" s="1520">
        <f t="shared" si="4"/>
        <v>0</v>
      </c>
      <c r="BJ69" s="26"/>
      <c r="BK69" s="26">
        <f t="shared" si="5"/>
        <v>0</v>
      </c>
      <c r="BL69" s="26">
        <f t="shared" si="6"/>
        <v>0</v>
      </c>
      <c r="BM69" s="26"/>
      <c r="BN69" s="1202"/>
    </row>
    <row r="70" spans="2:66" ht="15" customHeight="1" x14ac:dyDescent="0.3">
      <c r="B70" s="2944" t="s">
        <v>1192</v>
      </c>
      <c r="C70" s="3844" t="s">
        <v>1583</v>
      </c>
      <c r="D70" s="3845">
        <v>100.85</v>
      </c>
      <c r="E70" s="1387" t="s">
        <v>50</v>
      </c>
      <c r="F70" s="2946"/>
      <c r="G70" s="28"/>
      <c r="H70" s="2946"/>
      <c r="I70" s="28"/>
      <c r="J70" s="2947"/>
      <c r="K70" s="4843"/>
      <c r="L70" s="2946"/>
      <c r="M70" s="28"/>
      <c r="N70" s="4851"/>
      <c r="O70" s="68">
        <f t="shared" si="8"/>
        <v>0</v>
      </c>
      <c r="P70" s="2946"/>
      <c r="Q70" s="28">
        <v>813.78700000000003</v>
      </c>
      <c r="R70" s="4852"/>
      <c r="S70" s="38">
        <f t="shared" si="9"/>
        <v>813.78700000000003</v>
      </c>
      <c r="T70" s="2946"/>
      <c r="U70" s="28"/>
      <c r="V70" s="4852"/>
      <c r="W70" s="38">
        <f t="shared" si="10"/>
        <v>813.78700000000003</v>
      </c>
      <c r="X70" s="2946"/>
      <c r="Y70" s="28">
        <v>485.36</v>
      </c>
      <c r="Z70" s="4841"/>
      <c r="AA70" s="774">
        <f t="shared" si="11"/>
        <v>1299.1469999999999</v>
      </c>
      <c r="AB70" s="3965"/>
      <c r="AC70" s="460">
        <f t="shared" si="12"/>
        <v>1299.1469999999999</v>
      </c>
      <c r="AD70" s="2946"/>
      <c r="AE70" s="28"/>
      <c r="AF70" s="4852"/>
      <c r="AG70" s="38">
        <f t="shared" si="13"/>
        <v>1299.1469999999999</v>
      </c>
      <c r="AH70" s="2946"/>
      <c r="AI70" s="28">
        <v>211.917</v>
      </c>
      <c r="AJ70" s="4852"/>
      <c r="AK70" s="38">
        <f t="shared" si="14"/>
        <v>1511.0639999999999</v>
      </c>
      <c r="AL70" s="2946"/>
      <c r="AM70" s="28"/>
      <c r="AN70" s="4841"/>
      <c r="AO70" s="774">
        <f t="shared" si="15"/>
        <v>211.917</v>
      </c>
      <c r="AP70" s="4852"/>
      <c r="AQ70" s="38">
        <f t="shared" si="16"/>
        <v>1511.0639999999999</v>
      </c>
      <c r="AR70" s="2946"/>
      <c r="AS70" s="28"/>
      <c r="AT70" s="4852"/>
      <c r="AU70" s="4446">
        <f t="shared" si="17"/>
        <v>1511.0639999999999</v>
      </c>
      <c r="AV70" s="2946"/>
      <c r="AW70" s="28"/>
      <c r="AX70" s="4852"/>
      <c r="AY70" s="38">
        <f t="shared" si="18"/>
        <v>1511.0639999999999</v>
      </c>
      <c r="AZ70" s="2946"/>
      <c r="BA70" s="28"/>
      <c r="BB70" s="4841"/>
      <c r="BC70" s="774">
        <f t="shared" si="19"/>
        <v>0</v>
      </c>
      <c r="BD70" s="4855"/>
      <c r="BE70" s="695">
        <f t="shared" si="20"/>
        <v>211.917</v>
      </c>
      <c r="BF70" s="4852"/>
      <c r="BG70" s="38">
        <f t="shared" si="21"/>
        <v>1511.0639999999999</v>
      </c>
      <c r="BH70" s="1520">
        <f t="shared" si="3"/>
        <v>0</v>
      </c>
      <c r="BI70" s="1520">
        <f t="shared" si="4"/>
        <v>0</v>
      </c>
      <c r="BJ70" s="26"/>
      <c r="BK70" s="26">
        <f t="shared" si="5"/>
        <v>0</v>
      </c>
      <c r="BL70" s="26">
        <f t="shared" si="6"/>
        <v>0</v>
      </c>
      <c r="BM70" s="26"/>
      <c r="BN70" s="1202"/>
    </row>
    <row r="71" spans="2:66" ht="15" customHeight="1" x14ac:dyDescent="0.3">
      <c r="B71" s="2944" t="s">
        <v>1192</v>
      </c>
      <c r="C71" s="3844" t="s">
        <v>1583</v>
      </c>
      <c r="D71" s="3845">
        <v>117.03</v>
      </c>
      <c r="E71" s="1387" t="s">
        <v>50</v>
      </c>
      <c r="F71" s="2946"/>
      <c r="G71" s="28"/>
      <c r="H71" s="2946"/>
      <c r="I71" s="28"/>
      <c r="J71" s="2947"/>
      <c r="K71" s="4843"/>
      <c r="L71" s="2946"/>
      <c r="M71" s="28"/>
      <c r="N71" s="4851"/>
      <c r="O71" s="68">
        <f t="shared" si="8"/>
        <v>0</v>
      </c>
      <c r="P71" s="2946"/>
      <c r="Q71" s="28">
        <v>814.37</v>
      </c>
      <c r="R71" s="4852"/>
      <c r="S71" s="38">
        <f t="shared" si="9"/>
        <v>814.37</v>
      </c>
      <c r="T71" s="2946"/>
      <c r="U71" s="28"/>
      <c r="V71" s="4852"/>
      <c r="W71" s="38">
        <f t="shared" si="10"/>
        <v>814.37</v>
      </c>
      <c r="X71" s="2946"/>
      <c r="Y71" s="28">
        <v>807.49199999999996</v>
      </c>
      <c r="Z71" s="4841"/>
      <c r="AA71" s="774">
        <f t="shared" si="11"/>
        <v>1621.8620000000001</v>
      </c>
      <c r="AB71" s="3965"/>
      <c r="AC71" s="460">
        <f t="shared" si="12"/>
        <v>1621.8620000000001</v>
      </c>
      <c r="AD71" s="2946"/>
      <c r="AE71" s="28"/>
      <c r="AF71" s="4852"/>
      <c r="AG71" s="38">
        <f t="shared" si="13"/>
        <v>1621.8620000000001</v>
      </c>
      <c r="AH71" s="2946"/>
      <c r="AI71" s="28">
        <v>1458.7530000000002</v>
      </c>
      <c r="AJ71" s="4852"/>
      <c r="AK71" s="38">
        <f t="shared" si="14"/>
        <v>3080.6150000000002</v>
      </c>
      <c r="AL71" s="2946"/>
      <c r="AM71" s="28"/>
      <c r="AN71" s="4841"/>
      <c r="AO71" s="774">
        <f t="shared" si="15"/>
        <v>1458.7530000000002</v>
      </c>
      <c r="AP71" s="4852"/>
      <c r="AQ71" s="38">
        <f t="shared" si="16"/>
        <v>3080.6150000000002</v>
      </c>
      <c r="AR71" s="2946"/>
      <c r="AS71" s="28"/>
      <c r="AT71" s="4852"/>
      <c r="AU71" s="4446">
        <f t="shared" si="17"/>
        <v>3080.6150000000002</v>
      </c>
      <c r="AV71" s="2946"/>
      <c r="AW71" s="28"/>
      <c r="AX71" s="4852"/>
      <c r="AY71" s="38">
        <f t="shared" si="18"/>
        <v>3080.6150000000002</v>
      </c>
      <c r="AZ71" s="2946"/>
      <c r="BA71" s="28"/>
      <c r="BB71" s="4841"/>
      <c r="BC71" s="774">
        <f t="shared" si="19"/>
        <v>0</v>
      </c>
      <c r="BD71" s="4855"/>
      <c r="BE71" s="695">
        <f t="shared" si="20"/>
        <v>1458.7530000000002</v>
      </c>
      <c r="BF71" s="4852"/>
      <c r="BG71" s="38">
        <f t="shared" si="21"/>
        <v>3080.6150000000002</v>
      </c>
      <c r="BH71" s="1520">
        <f t="shared" si="3"/>
        <v>0</v>
      </c>
      <c r="BI71" s="1520">
        <f t="shared" si="4"/>
        <v>0</v>
      </c>
      <c r="BJ71" s="26"/>
      <c r="BK71" s="26">
        <f t="shared" si="5"/>
        <v>0</v>
      </c>
      <c r="BL71" s="26">
        <f t="shared" si="6"/>
        <v>0</v>
      </c>
      <c r="BM71" s="26"/>
      <c r="BN71" s="1202"/>
    </row>
    <row r="72" spans="2:66" ht="15" customHeight="1" x14ac:dyDescent="0.3">
      <c r="B72" s="1074" t="s">
        <v>1192</v>
      </c>
      <c r="C72" s="2755" t="s">
        <v>938</v>
      </c>
      <c r="D72" s="2958">
        <v>117.03</v>
      </c>
      <c r="E72" s="1372" t="s">
        <v>50</v>
      </c>
      <c r="F72" s="1961"/>
      <c r="G72" s="18">
        <v>1527.2120000000002</v>
      </c>
      <c r="H72" s="1961"/>
      <c r="I72" s="18">
        <v>1112.682</v>
      </c>
      <c r="J72" s="1966"/>
      <c r="K72" s="4506">
        <f t="shared" si="7"/>
        <v>2639.8940000000002</v>
      </c>
      <c r="L72" s="1961"/>
      <c r="M72" s="18"/>
      <c r="N72" s="1975"/>
      <c r="O72" s="68">
        <f t="shared" si="8"/>
        <v>2639.8940000000002</v>
      </c>
      <c r="P72" s="1961"/>
      <c r="Q72" s="18">
        <v>538.16100000000006</v>
      </c>
      <c r="R72" s="1983"/>
      <c r="S72" s="38">
        <f t="shared" si="9"/>
        <v>3178.0550000000003</v>
      </c>
      <c r="T72" s="1961"/>
      <c r="U72" s="18"/>
      <c r="V72" s="1983"/>
      <c r="W72" s="38">
        <f t="shared" si="10"/>
        <v>3178.0550000000003</v>
      </c>
      <c r="X72" s="1961"/>
      <c r="Y72" s="18">
        <v>174.53800000000001</v>
      </c>
      <c r="Z72" s="894"/>
      <c r="AA72" s="774">
        <f t="shared" si="11"/>
        <v>712.69900000000007</v>
      </c>
      <c r="AB72" s="3965"/>
      <c r="AC72" s="460">
        <f t="shared" si="12"/>
        <v>3352.5930000000003</v>
      </c>
      <c r="AD72" s="1961"/>
      <c r="AE72" s="18"/>
      <c r="AF72" s="1983"/>
      <c r="AG72" s="38">
        <f t="shared" si="13"/>
        <v>3352.5930000000003</v>
      </c>
      <c r="AH72" s="1961"/>
      <c r="AI72" s="18"/>
      <c r="AJ72" s="1983"/>
      <c r="AK72" s="38">
        <f t="shared" si="14"/>
        <v>3352.5930000000003</v>
      </c>
      <c r="AL72" s="1961"/>
      <c r="AM72" s="18"/>
      <c r="AN72" s="894"/>
      <c r="AO72" s="774">
        <f t="shared" si="15"/>
        <v>0</v>
      </c>
      <c r="AP72" s="1983"/>
      <c r="AQ72" s="38">
        <f t="shared" si="16"/>
        <v>3352.5930000000003</v>
      </c>
      <c r="AR72" s="1961"/>
      <c r="AS72" s="18">
        <v>1476.0909999999999</v>
      </c>
      <c r="AT72" s="1983"/>
      <c r="AU72" s="38">
        <f t="shared" si="17"/>
        <v>4828.6840000000002</v>
      </c>
      <c r="AV72" s="1961"/>
      <c r="AW72" s="18">
        <v>2230.1320000000001</v>
      </c>
      <c r="AX72" s="1983"/>
      <c r="AY72" s="38">
        <f t="shared" si="18"/>
        <v>7058.8160000000007</v>
      </c>
      <c r="AZ72" s="1961"/>
      <c r="BA72" s="18">
        <v>2014.3009999999997</v>
      </c>
      <c r="BB72" s="894"/>
      <c r="BC72" s="774">
        <f t="shared" si="19"/>
        <v>5720.5239999999994</v>
      </c>
      <c r="BD72" s="895"/>
      <c r="BE72" s="695">
        <f t="shared" si="20"/>
        <v>5720.5239999999994</v>
      </c>
      <c r="BF72" s="1983"/>
      <c r="BG72" s="38">
        <f t="shared" si="21"/>
        <v>9073.1170000000002</v>
      </c>
      <c r="BH72" s="1520">
        <f t="shared" ref="BH72:BH135" si="25">F72+H72+L72+P72+T72+X72+AD72+AH72+AL72+AR72+AV72+AZ72-BF72</f>
        <v>0</v>
      </c>
      <c r="BI72" s="1520">
        <f t="shared" ref="BI72:BI135" si="26">G72+I72+M72+Q72+U72+Y72+AE72+AI72+AM72+AS72+AW72+BA72-BG72</f>
        <v>0</v>
      </c>
      <c r="BJ72" s="26"/>
      <c r="BK72" s="26">
        <f t="shared" ref="BK72:BK135" si="27">AZ72+AV72+AR72+AL72+AH72+AD72-BD72</f>
        <v>0</v>
      </c>
      <c r="BL72" s="26">
        <f t="shared" ref="BL72:BL135" si="28">BA72+AW72+AS72+AM72+AI72+AE72-BE72</f>
        <v>0</v>
      </c>
      <c r="BM72" s="26"/>
      <c r="BN72" s="1202"/>
    </row>
    <row r="73" spans="2:66" ht="15" customHeight="1" thickBot="1" x14ac:dyDescent="0.35">
      <c r="B73" s="2953" t="s">
        <v>1192</v>
      </c>
      <c r="C73" s="2954" t="s">
        <v>938</v>
      </c>
      <c r="D73" s="2955">
        <v>237.92</v>
      </c>
      <c r="E73" s="1392" t="s">
        <v>50</v>
      </c>
      <c r="F73" s="2956"/>
      <c r="G73" s="37"/>
      <c r="H73" s="2956"/>
      <c r="I73" s="37"/>
      <c r="J73" s="2957"/>
      <c r="K73" s="4506">
        <f t="shared" si="7"/>
        <v>0</v>
      </c>
      <c r="L73" s="2956"/>
      <c r="M73" s="37"/>
      <c r="N73" s="1975"/>
      <c r="O73" s="68">
        <f t="shared" si="8"/>
        <v>0</v>
      </c>
      <c r="P73" s="2956"/>
      <c r="Q73" s="37"/>
      <c r="R73" s="1983"/>
      <c r="S73" s="38">
        <f t="shared" si="9"/>
        <v>0</v>
      </c>
      <c r="T73" s="2956"/>
      <c r="U73" s="37"/>
      <c r="V73" s="1983"/>
      <c r="W73" s="38">
        <f t="shared" si="10"/>
        <v>0</v>
      </c>
      <c r="X73" s="2956"/>
      <c r="Y73" s="37"/>
      <c r="Z73" s="894"/>
      <c r="AA73" s="774">
        <f t="shared" si="11"/>
        <v>0</v>
      </c>
      <c r="AB73" s="3965"/>
      <c r="AC73" s="460">
        <f t="shared" si="12"/>
        <v>0</v>
      </c>
      <c r="AD73" s="2956"/>
      <c r="AE73" s="37"/>
      <c r="AF73" s="1983"/>
      <c r="AG73" s="38">
        <f t="shared" si="13"/>
        <v>0</v>
      </c>
      <c r="AH73" s="2956"/>
      <c r="AI73" s="37"/>
      <c r="AJ73" s="1983"/>
      <c r="AK73" s="38">
        <f t="shared" ref="AK73:AK119" si="29">+AG73+AI73</f>
        <v>0</v>
      </c>
      <c r="AL73" s="2956"/>
      <c r="AM73" s="37"/>
      <c r="AN73" s="894"/>
      <c r="AO73" s="774">
        <f t="shared" ref="AO73:AO116" si="30">+AE73+AI73+AM73</f>
        <v>0</v>
      </c>
      <c r="AP73" s="1983"/>
      <c r="AQ73" s="38">
        <f t="shared" ref="AQ73:AQ117" si="31">AK73+AM73</f>
        <v>0</v>
      </c>
      <c r="AR73" s="2956"/>
      <c r="AS73" s="37"/>
      <c r="AT73" s="1983"/>
      <c r="AU73" s="38">
        <f t="shared" ref="AU73:AU119" si="32">+AQ73+AS73</f>
        <v>0</v>
      </c>
      <c r="AV73" s="2956"/>
      <c r="AW73" s="37"/>
      <c r="AX73" s="1983"/>
      <c r="AY73" s="38">
        <f t="shared" ref="AY73:AY102" si="33">+AU73+AW73</f>
        <v>0</v>
      </c>
      <c r="AZ73" s="2956"/>
      <c r="BA73" s="37"/>
      <c r="BB73" s="894"/>
      <c r="BC73" s="774">
        <f t="shared" si="19"/>
        <v>0</v>
      </c>
      <c r="BD73" s="895"/>
      <c r="BE73" s="695">
        <f t="shared" si="20"/>
        <v>0</v>
      </c>
      <c r="BF73" s="1983"/>
      <c r="BG73" s="38">
        <f t="shared" ref="BG73:BG119" si="34">+AY73+BA73</f>
        <v>0</v>
      </c>
      <c r="BH73" s="1520">
        <f t="shared" si="25"/>
        <v>0</v>
      </c>
      <c r="BI73" s="1520">
        <f t="shared" si="26"/>
        <v>0</v>
      </c>
      <c r="BJ73" s="26"/>
      <c r="BK73" s="26">
        <f t="shared" si="27"/>
        <v>0</v>
      </c>
      <c r="BL73" s="26">
        <f t="shared" si="28"/>
        <v>0</v>
      </c>
      <c r="BM73" s="26"/>
      <c r="BN73" s="1202"/>
    </row>
    <row r="74" spans="2:66" ht="15" customHeight="1" thickBot="1" x14ac:dyDescent="0.35">
      <c r="B74" s="4866" t="s">
        <v>2049</v>
      </c>
      <c r="C74" s="4867" t="s">
        <v>1004</v>
      </c>
      <c r="D74" s="4868">
        <v>46.1</v>
      </c>
      <c r="E74" s="1392" t="s">
        <v>50</v>
      </c>
      <c r="F74" s="4870"/>
      <c r="G74" s="4871"/>
      <c r="H74" s="4870"/>
      <c r="I74" s="4871"/>
      <c r="J74" s="4872"/>
      <c r="K74" s="4843"/>
      <c r="L74" s="4870"/>
      <c r="M74" s="4871"/>
      <c r="N74" s="4851"/>
      <c r="O74" s="4865"/>
      <c r="P74" s="4870"/>
      <c r="Q74" s="4871"/>
      <c r="R74" s="4852"/>
      <c r="S74" s="38">
        <f t="shared" si="9"/>
        <v>0</v>
      </c>
      <c r="T74" s="4870"/>
      <c r="U74" s="4871">
        <v>132.46199999999999</v>
      </c>
      <c r="V74" s="4852"/>
      <c r="W74" s="38">
        <f t="shared" si="10"/>
        <v>132.46199999999999</v>
      </c>
      <c r="X74" s="4870"/>
      <c r="Y74" s="4871">
        <v>186.41899999999998</v>
      </c>
      <c r="Z74" s="4841"/>
      <c r="AA74" s="774">
        <f t="shared" si="11"/>
        <v>318.88099999999997</v>
      </c>
      <c r="AB74" s="3965"/>
      <c r="AC74" s="460">
        <f t="shared" si="12"/>
        <v>318.88099999999997</v>
      </c>
      <c r="AD74" s="4870"/>
      <c r="AE74" s="4871"/>
      <c r="AF74" s="4852"/>
      <c r="AG74" s="38">
        <f t="shared" si="13"/>
        <v>318.88099999999997</v>
      </c>
      <c r="AH74" s="4870"/>
      <c r="AI74" s="4871"/>
      <c r="AJ74" s="4852"/>
      <c r="AK74" s="38">
        <f t="shared" si="29"/>
        <v>318.88099999999997</v>
      </c>
      <c r="AL74" s="4870"/>
      <c r="AM74" s="4871"/>
      <c r="AN74" s="4841"/>
      <c r="AO74" s="774">
        <f t="shared" si="30"/>
        <v>0</v>
      </c>
      <c r="AP74" s="4852"/>
      <c r="AQ74" s="38">
        <f t="shared" si="31"/>
        <v>318.88099999999997</v>
      </c>
      <c r="AR74" s="4870"/>
      <c r="AS74" s="4871"/>
      <c r="AT74" s="4852"/>
      <c r="AU74" s="4446">
        <f t="shared" si="32"/>
        <v>318.88099999999997</v>
      </c>
      <c r="AV74" s="4870"/>
      <c r="AW74" s="4871"/>
      <c r="AX74" s="4852"/>
      <c r="AY74" s="38">
        <f t="shared" si="33"/>
        <v>318.88099999999997</v>
      </c>
      <c r="AZ74" s="4870"/>
      <c r="BA74" s="4871"/>
      <c r="BB74" s="4841"/>
      <c r="BC74" s="774">
        <f t="shared" si="19"/>
        <v>0</v>
      </c>
      <c r="BD74" s="4855"/>
      <c r="BE74" s="695">
        <f t="shared" si="20"/>
        <v>0</v>
      </c>
      <c r="BF74" s="4852"/>
      <c r="BG74" s="38">
        <f t="shared" si="34"/>
        <v>318.88099999999997</v>
      </c>
      <c r="BH74" s="1520">
        <f t="shared" si="25"/>
        <v>0</v>
      </c>
      <c r="BI74" s="1520">
        <f t="shared" si="26"/>
        <v>0</v>
      </c>
      <c r="BJ74" s="26"/>
      <c r="BK74" s="26">
        <f t="shared" si="27"/>
        <v>0</v>
      </c>
      <c r="BL74" s="26">
        <f t="shared" si="28"/>
        <v>0</v>
      </c>
      <c r="BM74" s="26"/>
      <c r="BN74" s="1202"/>
    </row>
    <row r="75" spans="2:66" ht="15" customHeight="1" thickBot="1" x14ac:dyDescent="0.35">
      <c r="B75" s="4866" t="s">
        <v>2049</v>
      </c>
      <c r="C75" s="4867" t="s">
        <v>938</v>
      </c>
      <c r="D75" s="4868">
        <v>46.1</v>
      </c>
      <c r="E75" s="4869" t="s">
        <v>50</v>
      </c>
      <c r="F75" s="4870"/>
      <c r="G75" s="4871"/>
      <c r="H75" s="4870"/>
      <c r="I75" s="4871"/>
      <c r="J75" s="4872"/>
      <c r="K75" s="4506">
        <f t="shared" si="7"/>
        <v>0</v>
      </c>
      <c r="L75" s="4870"/>
      <c r="M75" s="4871">
        <v>1589.9769999999999</v>
      </c>
      <c r="N75" s="4851"/>
      <c r="O75" s="68">
        <f t="shared" si="8"/>
        <v>1589.9769999999999</v>
      </c>
      <c r="P75" s="4870"/>
      <c r="Q75" s="4871">
        <v>1547.614</v>
      </c>
      <c r="R75" s="4852"/>
      <c r="S75" s="38">
        <f t="shared" si="9"/>
        <v>3137.5909999999999</v>
      </c>
      <c r="T75" s="4870"/>
      <c r="U75" s="4871">
        <v>1639.5419999999999</v>
      </c>
      <c r="V75" s="4852"/>
      <c r="W75" s="38">
        <f t="shared" si="10"/>
        <v>4777.1329999999998</v>
      </c>
      <c r="X75" s="4870"/>
      <c r="Y75" s="4871">
        <v>858.66999999999985</v>
      </c>
      <c r="Z75" s="4841"/>
      <c r="AA75" s="774">
        <f t="shared" ref="AA75:AA119" si="35">+Q75+U75+Y75</f>
        <v>4045.826</v>
      </c>
      <c r="AB75" s="3965"/>
      <c r="AC75" s="460">
        <f t="shared" ref="AC75:AC119" si="36">+AA75+O75</f>
        <v>5635.8029999999999</v>
      </c>
      <c r="AD75" s="4870"/>
      <c r="AE75" s="4871"/>
      <c r="AF75" s="4852"/>
      <c r="AG75" s="38">
        <f t="shared" ref="AG75:AG117" si="37">+AC75+AE75</f>
        <v>5635.8029999999999</v>
      </c>
      <c r="AH75" s="4870"/>
      <c r="AI75" s="4871">
        <v>725.79800000000012</v>
      </c>
      <c r="AJ75" s="4852"/>
      <c r="AK75" s="38">
        <f t="shared" si="29"/>
        <v>6361.6009999999997</v>
      </c>
      <c r="AL75" s="4870"/>
      <c r="AM75" s="4871"/>
      <c r="AN75" s="4841"/>
      <c r="AO75" s="774">
        <f t="shared" si="30"/>
        <v>725.79800000000012</v>
      </c>
      <c r="AP75" s="4852"/>
      <c r="AQ75" s="38">
        <f t="shared" si="31"/>
        <v>6361.6009999999997</v>
      </c>
      <c r="AR75" s="4870"/>
      <c r="AS75" s="4871">
        <v>1445.3230000000001</v>
      </c>
      <c r="AT75" s="4852"/>
      <c r="AU75" s="4446">
        <f t="shared" si="32"/>
        <v>7806.924</v>
      </c>
      <c r="AV75" s="4870"/>
      <c r="AW75" s="4871"/>
      <c r="AX75" s="4852"/>
      <c r="AY75" s="38">
        <f t="shared" si="33"/>
        <v>7806.924</v>
      </c>
      <c r="AZ75" s="4870"/>
      <c r="BA75" s="4871">
        <v>1563.941</v>
      </c>
      <c r="BB75" s="4841"/>
      <c r="BC75" s="774">
        <f t="shared" si="19"/>
        <v>3009.2640000000001</v>
      </c>
      <c r="BD75" s="4855"/>
      <c r="BE75" s="695">
        <f t="shared" si="20"/>
        <v>3735.0620000000004</v>
      </c>
      <c r="BF75" s="4852"/>
      <c r="BG75" s="38">
        <f t="shared" si="34"/>
        <v>9370.8649999999998</v>
      </c>
      <c r="BH75" s="1520">
        <f t="shared" si="25"/>
        <v>0</v>
      </c>
      <c r="BI75" s="1520">
        <f t="shared" si="26"/>
        <v>0</v>
      </c>
      <c r="BJ75" s="26"/>
      <c r="BK75" s="26">
        <f t="shared" si="27"/>
        <v>0</v>
      </c>
      <c r="BL75" s="26">
        <f t="shared" si="28"/>
        <v>0</v>
      </c>
      <c r="BM75" s="26"/>
      <c r="BN75" s="1202"/>
    </row>
    <row r="76" spans="2:66" ht="15" customHeight="1" thickBot="1" x14ac:dyDescent="0.35">
      <c r="B76" s="4866" t="s">
        <v>2049</v>
      </c>
      <c r="C76" s="4867" t="s">
        <v>938</v>
      </c>
      <c r="D76" s="4868">
        <v>52</v>
      </c>
      <c r="E76" s="4869" t="s">
        <v>50</v>
      </c>
      <c r="F76" s="4870"/>
      <c r="G76" s="4871"/>
      <c r="H76" s="4870"/>
      <c r="I76" s="4871"/>
      <c r="J76" s="4872"/>
      <c r="K76" s="4506">
        <f t="shared" si="7"/>
        <v>0</v>
      </c>
      <c r="L76" s="4870"/>
      <c r="M76" s="4871">
        <v>566.86</v>
      </c>
      <c r="N76" s="4851"/>
      <c r="O76" s="68">
        <f t="shared" si="8"/>
        <v>566.86</v>
      </c>
      <c r="P76" s="4870"/>
      <c r="Q76" s="4871">
        <v>444.13799999999998</v>
      </c>
      <c r="R76" s="4852"/>
      <c r="S76" s="38">
        <f t="shared" si="9"/>
        <v>1010.998</v>
      </c>
      <c r="T76" s="4870"/>
      <c r="U76" s="4871">
        <v>550.67099999999994</v>
      </c>
      <c r="V76" s="4852"/>
      <c r="W76" s="38">
        <f t="shared" si="10"/>
        <v>1561.6689999999999</v>
      </c>
      <c r="X76" s="4870"/>
      <c r="Y76" s="4871">
        <v>325.86299999999994</v>
      </c>
      <c r="Z76" s="4841"/>
      <c r="AA76" s="774">
        <f t="shared" si="35"/>
        <v>1320.672</v>
      </c>
      <c r="AB76" s="3965"/>
      <c r="AC76" s="460">
        <f t="shared" si="36"/>
        <v>1887.5320000000002</v>
      </c>
      <c r="AD76" s="4870"/>
      <c r="AE76" s="4871"/>
      <c r="AF76" s="4852"/>
      <c r="AG76" s="38">
        <f t="shared" si="37"/>
        <v>1887.5320000000002</v>
      </c>
      <c r="AH76" s="4870"/>
      <c r="AI76" s="4871">
        <v>616.17699999999991</v>
      </c>
      <c r="AJ76" s="4852"/>
      <c r="AK76" s="38">
        <f t="shared" si="29"/>
        <v>2503.7089999999998</v>
      </c>
      <c r="AL76" s="4870"/>
      <c r="AM76" s="4871"/>
      <c r="AN76" s="4841"/>
      <c r="AO76" s="774">
        <f t="shared" si="30"/>
        <v>616.17699999999991</v>
      </c>
      <c r="AP76" s="4852"/>
      <c r="AQ76" s="38">
        <f t="shared" si="31"/>
        <v>2503.7089999999998</v>
      </c>
      <c r="AR76" s="4870"/>
      <c r="AS76" s="4871">
        <v>733.93499999999995</v>
      </c>
      <c r="AT76" s="4852"/>
      <c r="AU76" s="4446">
        <f t="shared" si="32"/>
        <v>3237.6439999999998</v>
      </c>
      <c r="AV76" s="4870"/>
      <c r="AW76" s="4871"/>
      <c r="AX76" s="4852"/>
      <c r="AY76" s="38">
        <f t="shared" si="33"/>
        <v>3237.6439999999998</v>
      </c>
      <c r="AZ76" s="4870"/>
      <c r="BA76" s="4871"/>
      <c r="BB76" s="4841"/>
      <c r="BC76" s="774">
        <f t="shared" si="19"/>
        <v>733.93499999999995</v>
      </c>
      <c r="BD76" s="4855"/>
      <c r="BE76" s="695">
        <f t="shared" si="20"/>
        <v>1350.1119999999999</v>
      </c>
      <c r="BF76" s="4852"/>
      <c r="BG76" s="38">
        <f t="shared" si="34"/>
        <v>3237.6439999999998</v>
      </c>
      <c r="BH76" s="1520">
        <f t="shared" si="25"/>
        <v>0</v>
      </c>
      <c r="BI76" s="1520">
        <f t="shared" si="26"/>
        <v>0</v>
      </c>
      <c r="BJ76" s="26"/>
      <c r="BK76" s="26">
        <f t="shared" si="27"/>
        <v>0</v>
      </c>
      <c r="BL76" s="26">
        <f t="shared" si="28"/>
        <v>0</v>
      </c>
      <c r="BM76" s="26"/>
      <c r="BN76" s="1202"/>
    </row>
    <row r="77" spans="2:66" ht="15" customHeight="1" thickBot="1" x14ac:dyDescent="0.35">
      <c r="B77" s="4866" t="s">
        <v>2049</v>
      </c>
      <c r="C77" s="4867" t="s">
        <v>938</v>
      </c>
      <c r="D77" s="4868">
        <v>60</v>
      </c>
      <c r="E77" s="4869" t="s">
        <v>50</v>
      </c>
      <c r="F77" s="4870"/>
      <c r="G77" s="4871"/>
      <c r="H77" s="4870"/>
      <c r="I77" s="4871"/>
      <c r="J77" s="4872"/>
      <c r="K77" s="4506">
        <f t="shared" si="7"/>
        <v>0</v>
      </c>
      <c r="L77" s="4870"/>
      <c r="M77" s="4871">
        <v>492.83800000000002</v>
      </c>
      <c r="N77" s="4851"/>
      <c r="O77" s="68">
        <f t="shared" si="8"/>
        <v>492.83800000000002</v>
      </c>
      <c r="P77" s="4870"/>
      <c r="Q77" s="4871">
        <v>839.24199999999985</v>
      </c>
      <c r="R77" s="4852"/>
      <c r="S77" s="38">
        <f t="shared" si="9"/>
        <v>1332.08</v>
      </c>
      <c r="T77" s="4870"/>
      <c r="U77" s="4871">
        <v>289.98299999999995</v>
      </c>
      <c r="V77" s="4852"/>
      <c r="W77" s="38">
        <f t="shared" si="10"/>
        <v>1622.0629999999999</v>
      </c>
      <c r="X77" s="4870"/>
      <c r="Y77" s="4871">
        <v>172.85</v>
      </c>
      <c r="Z77" s="4841"/>
      <c r="AA77" s="774">
        <f t="shared" si="35"/>
        <v>1302.0749999999998</v>
      </c>
      <c r="AB77" s="3965"/>
      <c r="AC77" s="460">
        <f t="shared" si="36"/>
        <v>1794.9129999999998</v>
      </c>
      <c r="AD77" s="4870"/>
      <c r="AE77" s="4871"/>
      <c r="AF77" s="4852"/>
      <c r="AG77" s="38">
        <f t="shared" si="37"/>
        <v>1794.9129999999998</v>
      </c>
      <c r="AH77" s="4870"/>
      <c r="AI77" s="4871"/>
      <c r="AJ77" s="4852"/>
      <c r="AK77" s="38">
        <f t="shared" si="29"/>
        <v>1794.9129999999998</v>
      </c>
      <c r="AL77" s="4870"/>
      <c r="AM77" s="4871"/>
      <c r="AN77" s="4841"/>
      <c r="AO77" s="774">
        <f t="shared" si="30"/>
        <v>0</v>
      </c>
      <c r="AP77" s="4852"/>
      <c r="AQ77" s="38">
        <f t="shared" si="31"/>
        <v>1794.9129999999998</v>
      </c>
      <c r="AR77" s="4870"/>
      <c r="AS77" s="4871">
        <v>2119.3679999999999</v>
      </c>
      <c r="AT77" s="4852"/>
      <c r="AU77" s="4446">
        <f t="shared" si="32"/>
        <v>3914.2809999999999</v>
      </c>
      <c r="AV77" s="4870"/>
      <c r="AW77" s="4871"/>
      <c r="AX77" s="4852"/>
      <c r="AY77" s="38">
        <f t="shared" si="33"/>
        <v>3914.2809999999999</v>
      </c>
      <c r="AZ77" s="4870"/>
      <c r="BA77" s="4871">
        <v>667.8119999999999</v>
      </c>
      <c r="BB77" s="4841"/>
      <c r="BC77" s="774">
        <f t="shared" si="19"/>
        <v>2787.18</v>
      </c>
      <c r="BD77" s="4855"/>
      <c r="BE77" s="695">
        <f t="shared" si="20"/>
        <v>2787.18</v>
      </c>
      <c r="BF77" s="4852"/>
      <c r="BG77" s="38">
        <f t="shared" si="34"/>
        <v>4582.0929999999998</v>
      </c>
      <c r="BH77" s="1520">
        <f t="shared" si="25"/>
        <v>0</v>
      </c>
      <c r="BI77" s="1520">
        <f t="shared" si="26"/>
        <v>0</v>
      </c>
      <c r="BJ77" s="26"/>
      <c r="BK77" s="26">
        <f t="shared" si="27"/>
        <v>0</v>
      </c>
      <c r="BL77" s="26">
        <f t="shared" si="28"/>
        <v>0</v>
      </c>
      <c r="BM77" s="26"/>
      <c r="BN77" s="1202"/>
    </row>
    <row r="78" spans="2:66" ht="15" customHeight="1" thickBot="1" x14ac:dyDescent="0.35">
      <c r="B78" s="4866" t="s">
        <v>2067</v>
      </c>
      <c r="C78" s="4867" t="s">
        <v>1004</v>
      </c>
      <c r="D78" s="4868">
        <v>67.16</v>
      </c>
      <c r="E78" s="4869" t="s">
        <v>50</v>
      </c>
      <c r="F78" s="4870"/>
      <c r="G78" s="4871"/>
      <c r="H78" s="4870"/>
      <c r="I78" s="4871"/>
      <c r="J78" s="4872"/>
      <c r="K78" s="4843"/>
      <c r="L78" s="4870"/>
      <c r="M78" s="4871"/>
      <c r="N78" s="4851"/>
      <c r="O78" s="68">
        <f t="shared" si="8"/>
        <v>0</v>
      </c>
      <c r="P78" s="4870"/>
      <c r="Q78" s="4871">
        <v>15.712999999999999</v>
      </c>
      <c r="R78" s="4852"/>
      <c r="S78" s="38">
        <f t="shared" si="9"/>
        <v>15.712999999999999</v>
      </c>
      <c r="T78" s="4870"/>
      <c r="U78" s="4871"/>
      <c r="V78" s="4852"/>
      <c r="W78" s="38">
        <f t="shared" si="10"/>
        <v>15.712999999999999</v>
      </c>
      <c r="X78" s="4870"/>
      <c r="Y78" s="4871"/>
      <c r="Z78" s="4841"/>
      <c r="AA78" s="774">
        <f t="shared" si="35"/>
        <v>15.712999999999999</v>
      </c>
      <c r="AB78" s="3965"/>
      <c r="AC78" s="460">
        <f t="shared" si="36"/>
        <v>15.712999999999999</v>
      </c>
      <c r="AD78" s="4870"/>
      <c r="AE78" s="4871"/>
      <c r="AF78" s="4852"/>
      <c r="AG78" s="38">
        <f t="shared" si="37"/>
        <v>15.712999999999999</v>
      </c>
      <c r="AH78" s="4870"/>
      <c r="AI78" s="4871"/>
      <c r="AJ78" s="4852"/>
      <c r="AK78" s="38">
        <f t="shared" si="29"/>
        <v>15.712999999999999</v>
      </c>
      <c r="AL78" s="4870"/>
      <c r="AM78" s="4871"/>
      <c r="AN78" s="4841"/>
      <c r="AO78" s="774">
        <f t="shared" si="30"/>
        <v>0</v>
      </c>
      <c r="AP78" s="4852"/>
      <c r="AQ78" s="38">
        <f t="shared" si="31"/>
        <v>15.712999999999999</v>
      </c>
      <c r="AR78" s="4870"/>
      <c r="AS78" s="4871"/>
      <c r="AT78" s="4852"/>
      <c r="AU78" s="4446">
        <f t="shared" si="32"/>
        <v>15.712999999999999</v>
      </c>
      <c r="AV78" s="4870"/>
      <c r="AW78" s="4871"/>
      <c r="AX78" s="4852"/>
      <c r="AY78" s="38">
        <f t="shared" si="33"/>
        <v>15.712999999999999</v>
      </c>
      <c r="AZ78" s="4870"/>
      <c r="BA78" s="4871"/>
      <c r="BB78" s="4841"/>
      <c r="BC78" s="774">
        <f t="shared" si="19"/>
        <v>0</v>
      </c>
      <c r="BD78" s="4855"/>
      <c r="BE78" s="695">
        <f t="shared" si="20"/>
        <v>0</v>
      </c>
      <c r="BF78" s="4852"/>
      <c r="BG78" s="38">
        <f t="shared" si="34"/>
        <v>15.712999999999999</v>
      </c>
      <c r="BH78" s="1520">
        <f t="shared" si="25"/>
        <v>0</v>
      </c>
      <c r="BI78" s="1520">
        <f t="shared" si="26"/>
        <v>0</v>
      </c>
      <c r="BJ78" s="26"/>
      <c r="BK78" s="26">
        <f t="shared" si="27"/>
        <v>0</v>
      </c>
      <c r="BL78" s="26">
        <f t="shared" si="28"/>
        <v>0</v>
      </c>
      <c r="BM78" s="26"/>
      <c r="BN78" s="1202"/>
    </row>
    <row r="79" spans="2:66" ht="15" customHeight="1" thickBot="1" x14ac:dyDescent="0.35">
      <c r="B79" s="4866" t="s">
        <v>2242</v>
      </c>
      <c r="C79" s="4867" t="s">
        <v>1004</v>
      </c>
      <c r="D79" s="4868"/>
      <c r="E79" s="4869" t="s">
        <v>50</v>
      </c>
      <c r="F79" s="4870"/>
      <c r="G79" s="4871"/>
      <c r="H79" s="4870"/>
      <c r="I79" s="4871"/>
      <c r="J79" s="4872"/>
      <c r="K79" s="4936"/>
      <c r="L79" s="4870"/>
      <c r="M79" s="4871"/>
      <c r="N79" s="4851"/>
      <c r="O79" s="4865"/>
      <c r="P79" s="4870"/>
      <c r="Q79" s="4871"/>
      <c r="R79" s="4852"/>
      <c r="S79" s="4446"/>
      <c r="T79" s="4870"/>
      <c r="U79" s="4871"/>
      <c r="V79" s="4852"/>
      <c r="W79" s="4446"/>
      <c r="X79" s="4870"/>
      <c r="Y79" s="4871"/>
      <c r="Z79" s="4959"/>
      <c r="AA79" s="4937"/>
      <c r="AB79" s="5011"/>
      <c r="AC79" s="5113"/>
      <c r="AD79" s="4870"/>
      <c r="AE79" s="4871"/>
      <c r="AF79" s="4852"/>
      <c r="AG79" s="38">
        <f t="shared" si="37"/>
        <v>0</v>
      </c>
      <c r="AH79" s="4870"/>
      <c r="AI79" s="4871">
        <v>891.81900000000007</v>
      </c>
      <c r="AJ79" s="4852"/>
      <c r="AK79" s="38">
        <f t="shared" si="29"/>
        <v>891.81900000000007</v>
      </c>
      <c r="AL79" s="4870"/>
      <c r="AM79" s="4871"/>
      <c r="AN79" s="4959"/>
      <c r="AO79" s="774">
        <f t="shared" si="30"/>
        <v>891.81900000000007</v>
      </c>
      <c r="AP79" s="4852"/>
      <c r="AQ79" s="38">
        <f t="shared" si="31"/>
        <v>891.81900000000007</v>
      </c>
      <c r="AR79" s="4870"/>
      <c r="AS79" s="4871"/>
      <c r="AT79" s="4852"/>
      <c r="AU79" s="4446">
        <f t="shared" si="32"/>
        <v>891.81900000000007</v>
      </c>
      <c r="AV79" s="4870"/>
      <c r="AW79" s="4871"/>
      <c r="AX79" s="4852"/>
      <c r="AY79" s="38">
        <f t="shared" si="33"/>
        <v>891.81900000000007</v>
      </c>
      <c r="AZ79" s="4870"/>
      <c r="BA79" s="4871"/>
      <c r="BB79" s="4959"/>
      <c r="BC79" s="774">
        <f t="shared" si="19"/>
        <v>0</v>
      </c>
      <c r="BD79" s="4960"/>
      <c r="BE79" s="695">
        <f t="shared" si="20"/>
        <v>891.81900000000007</v>
      </c>
      <c r="BF79" s="4852"/>
      <c r="BG79" s="38">
        <f t="shared" si="34"/>
        <v>891.81900000000007</v>
      </c>
      <c r="BH79" s="1520">
        <f t="shared" si="25"/>
        <v>0</v>
      </c>
      <c r="BI79" s="1520">
        <f t="shared" si="26"/>
        <v>0</v>
      </c>
      <c r="BJ79" s="26"/>
      <c r="BK79" s="26">
        <f t="shared" si="27"/>
        <v>0</v>
      </c>
      <c r="BL79" s="26">
        <f t="shared" si="28"/>
        <v>0</v>
      </c>
      <c r="BM79" s="26"/>
      <c r="BN79" s="1202"/>
    </row>
    <row r="80" spans="2:66" ht="15" customHeight="1" thickBot="1" x14ac:dyDescent="0.35">
      <c r="B80" s="4866" t="s">
        <v>2243</v>
      </c>
      <c r="C80" s="4867" t="s">
        <v>1004</v>
      </c>
      <c r="D80" s="4868"/>
      <c r="E80" s="4869" t="s">
        <v>50</v>
      </c>
      <c r="F80" s="4870"/>
      <c r="G80" s="4871"/>
      <c r="H80" s="4870"/>
      <c r="I80" s="4871"/>
      <c r="J80" s="4872"/>
      <c r="K80" s="4936"/>
      <c r="L80" s="4870"/>
      <c r="M80" s="4871"/>
      <c r="N80" s="4851"/>
      <c r="O80" s="4865"/>
      <c r="P80" s="4870"/>
      <c r="Q80" s="4871"/>
      <c r="R80" s="4852"/>
      <c r="S80" s="4446"/>
      <c r="T80" s="4870"/>
      <c r="U80" s="4871"/>
      <c r="V80" s="4852"/>
      <c r="W80" s="4446"/>
      <c r="X80" s="4870"/>
      <c r="Y80" s="4871"/>
      <c r="Z80" s="4959"/>
      <c r="AA80" s="4937"/>
      <c r="AB80" s="5011"/>
      <c r="AC80" s="5113"/>
      <c r="AD80" s="4870"/>
      <c r="AE80" s="4871"/>
      <c r="AF80" s="4852"/>
      <c r="AG80" s="38">
        <f t="shared" si="37"/>
        <v>0</v>
      </c>
      <c r="AH80" s="4870"/>
      <c r="AI80" s="4871">
        <v>491.40199999999993</v>
      </c>
      <c r="AJ80" s="4852"/>
      <c r="AK80" s="38">
        <f t="shared" si="29"/>
        <v>491.40199999999993</v>
      </c>
      <c r="AL80" s="4870"/>
      <c r="AM80" s="4871"/>
      <c r="AN80" s="4959"/>
      <c r="AO80" s="774">
        <f t="shared" si="30"/>
        <v>491.40199999999993</v>
      </c>
      <c r="AP80" s="4852"/>
      <c r="AQ80" s="38">
        <f t="shared" si="31"/>
        <v>491.40199999999993</v>
      </c>
      <c r="AR80" s="4870"/>
      <c r="AS80" s="4871"/>
      <c r="AT80" s="4852"/>
      <c r="AU80" s="4446">
        <f t="shared" si="32"/>
        <v>491.40199999999993</v>
      </c>
      <c r="AV80" s="4870"/>
      <c r="AW80" s="4871"/>
      <c r="AX80" s="4852"/>
      <c r="AY80" s="38">
        <f t="shared" si="33"/>
        <v>491.40199999999993</v>
      </c>
      <c r="AZ80" s="4870"/>
      <c r="BA80" s="4871"/>
      <c r="BB80" s="4959"/>
      <c r="BC80" s="774">
        <f t="shared" si="19"/>
        <v>0</v>
      </c>
      <c r="BD80" s="4960"/>
      <c r="BE80" s="695">
        <f t="shared" si="20"/>
        <v>491.40199999999993</v>
      </c>
      <c r="BF80" s="4852"/>
      <c r="BG80" s="38">
        <f t="shared" si="34"/>
        <v>491.40199999999993</v>
      </c>
      <c r="BH80" s="1520">
        <f t="shared" si="25"/>
        <v>0</v>
      </c>
      <c r="BI80" s="1520">
        <f t="shared" si="26"/>
        <v>0</v>
      </c>
      <c r="BJ80" s="26"/>
      <c r="BK80" s="26">
        <f t="shared" si="27"/>
        <v>0</v>
      </c>
      <c r="BL80" s="26">
        <f t="shared" si="28"/>
        <v>0</v>
      </c>
      <c r="BM80" s="26"/>
      <c r="BN80" s="1202"/>
    </row>
    <row r="81" spans="2:66" ht="15" customHeight="1" thickBot="1" x14ac:dyDescent="0.35">
      <c r="B81" s="4866" t="s">
        <v>2268</v>
      </c>
      <c r="C81" s="4867" t="s">
        <v>938</v>
      </c>
      <c r="D81" s="4868"/>
      <c r="E81" s="4869"/>
      <c r="F81" s="4870"/>
      <c r="G81" s="4871"/>
      <c r="H81" s="4870"/>
      <c r="I81" s="4871"/>
      <c r="J81" s="4872"/>
      <c r="K81" s="4403"/>
      <c r="L81" s="4870"/>
      <c r="M81" s="4871"/>
      <c r="N81" s="4413"/>
      <c r="O81" s="5295"/>
      <c r="P81" s="4870"/>
      <c r="Q81" s="4871"/>
      <c r="R81" s="4414"/>
      <c r="S81" s="4404"/>
      <c r="T81" s="4870"/>
      <c r="U81" s="4871"/>
      <c r="V81" s="4414"/>
      <c r="W81" s="4404"/>
      <c r="X81" s="4870"/>
      <c r="Y81" s="4871"/>
      <c r="Z81" s="4415"/>
      <c r="AA81" s="4405"/>
      <c r="AB81" s="4416"/>
      <c r="AC81" s="5225"/>
      <c r="AD81" s="4870"/>
      <c r="AE81" s="4871"/>
      <c r="AF81" s="4414"/>
      <c r="AG81" s="38">
        <f t="shared" si="37"/>
        <v>0</v>
      </c>
      <c r="AH81" s="4870"/>
      <c r="AI81" s="4871"/>
      <c r="AJ81" s="4414"/>
      <c r="AK81" s="4404"/>
      <c r="AL81" s="4870"/>
      <c r="AM81" s="4871">
        <v>701.79300000000001</v>
      </c>
      <c r="AN81" s="4415"/>
      <c r="AO81" s="774">
        <f t="shared" si="30"/>
        <v>701.79300000000001</v>
      </c>
      <c r="AP81" s="4852"/>
      <c r="AQ81" s="38">
        <f t="shared" si="31"/>
        <v>701.79300000000001</v>
      </c>
      <c r="AR81" s="4870"/>
      <c r="AS81" s="4871"/>
      <c r="AT81" s="4852"/>
      <c r="AU81" s="4446">
        <f t="shared" si="32"/>
        <v>701.79300000000001</v>
      </c>
      <c r="AV81" s="4870"/>
      <c r="AW81" s="4871"/>
      <c r="AX81" s="4852"/>
      <c r="AY81" s="38">
        <f t="shared" si="33"/>
        <v>701.79300000000001</v>
      </c>
      <c r="AZ81" s="4870"/>
      <c r="BA81" s="4871"/>
      <c r="BB81" s="4959"/>
      <c r="BC81" s="774">
        <f t="shared" si="19"/>
        <v>0</v>
      </c>
      <c r="BD81" s="4960"/>
      <c r="BE81" s="695">
        <f t="shared" si="20"/>
        <v>701.79300000000001</v>
      </c>
      <c r="BF81" s="4852"/>
      <c r="BG81" s="38">
        <f t="shared" si="34"/>
        <v>701.79300000000001</v>
      </c>
      <c r="BH81" s="1520">
        <f t="shared" si="25"/>
        <v>0</v>
      </c>
      <c r="BI81" s="1520">
        <f t="shared" si="26"/>
        <v>0</v>
      </c>
      <c r="BJ81" s="26"/>
      <c r="BK81" s="26">
        <f t="shared" si="27"/>
        <v>0</v>
      </c>
      <c r="BL81" s="26">
        <f t="shared" si="28"/>
        <v>0</v>
      </c>
      <c r="BM81" s="26"/>
      <c r="BN81" s="1202"/>
    </row>
    <row r="82" spans="2:66" ht="15" customHeight="1" thickBot="1" x14ac:dyDescent="0.35">
      <c r="B82" s="4866" t="s">
        <v>2116</v>
      </c>
      <c r="C82" s="4867" t="s">
        <v>938</v>
      </c>
      <c r="D82" s="4868"/>
      <c r="E82" s="4869" t="s">
        <v>50</v>
      </c>
      <c r="F82" s="4870"/>
      <c r="G82" s="4871"/>
      <c r="H82" s="4870"/>
      <c r="I82" s="4871"/>
      <c r="J82" s="4872"/>
      <c r="K82" s="4936"/>
      <c r="L82" s="4870"/>
      <c r="M82" s="4871"/>
      <c r="N82" s="4851"/>
      <c r="O82" s="4865"/>
      <c r="P82" s="4870"/>
      <c r="Q82" s="4871"/>
      <c r="R82" s="4852"/>
      <c r="S82" s="4446"/>
      <c r="T82" s="4870"/>
      <c r="U82" s="4871"/>
      <c r="V82" s="4852"/>
      <c r="W82" s="4446"/>
      <c r="X82" s="4870"/>
      <c r="Y82" s="4871">
        <f>395.763-11.63</f>
        <v>384.13299999999998</v>
      </c>
      <c r="Z82" s="4959"/>
      <c r="AA82" s="774">
        <f t="shared" si="35"/>
        <v>384.13299999999998</v>
      </c>
      <c r="AB82" s="3965"/>
      <c r="AC82" s="460">
        <f t="shared" si="36"/>
        <v>384.13299999999998</v>
      </c>
      <c r="AD82" s="4870"/>
      <c r="AE82" s="4871"/>
      <c r="AF82" s="4852"/>
      <c r="AG82" s="38">
        <f t="shared" si="37"/>
        <v>384.13299999999998</v>
      </c>
      <c r="AH82" s="4870"/>
      <c r="AI82" s="4871"/>
      <c r="AJ82" s="4852"/>
      <c r="AK82" s="38">
        <f t="shared" si="29"/>
        <v>384.13299999999998</v>
      </c>
      <c r="AL82" s="4870"/>
      <c r="AM82" s="4871">
        <v>328.62299999999999</v>
      </c>
      <c r="AN82" s="4959"/>
      <c r="AO82" s="774">
        <f t="shared" si="30"/>
        <v>328.62299999999999</v>
      </c>
      <c r="AP82" s="4852"/>
      <c r="AQ82" s="38">
        <f t="shared" si="31"/>
        <v>712.75599999999997</v>
      </c>
      <c r="AR82" s="4870"/>
      <c r="AS82" s="4871">
        <v>664.21900000000005</v>
      </c>
      <c r="AT82" s="4852"/>
      <c r="AU82" s="4446">
        <f t="shared" si="32"/>
        <v>1376.9749999999999</v>
      </c>
      <c r="AV82" s="4870"/>
      <c r="AW82" s="4871"/>
      <c r="AX82" s="4852"/>
      <c r="AY82" s="38">
        <f t="shared" si="33"/>
        <v>1376.9749999999999</v>
      </c>
      <c r="AZ82" s="4870"/>
      <c r="BA82" s="4871"/>
      <c r="BB82" s="4959"/>
      <c r="BC82" s="774">
        <f t="shared" si="19"/>
        <v>664.21900000000005</v>
      </c>
      <c r="BD82" s="4960"/>
      <c r="BE82" s="695">
        <f t="shared" si="20"/>
        <v>992.8420000000001</v>
      </c>
      <c r="BF82" s="4852"/>
      <c r="BG82" s="38">
        <f t="shared" si="34"/>
        <v>1376.9749999999999</v>
      </c>
      <c r="BH82" s="1520">
        <f t="shared" si="25"/>
        <v>0</v>
      </c>
      <c r="BI82" s="1520">
        <f t="shared" si="26"/>
        <v>0</v>
      </c>
      <c r="BJ82" s="26"/>
      <c r="BK82" s="26">
        <f t="shared" si="27"/>
        <v>0</v>
      </c>
      <c r="BL82" s="26">
        <f t="shared" si="28"/>
        <v>0</v>
      </c>
      <c r="BM82" s="26"/>
      <c r="BN82" s="1202"/>
    </row>
    <row r="83" spans="2:66" ht="15" customHeight="1" thickBot="1" x14ac:dyDescent="0.35">
      <c r="B83" s="4866" t="s">
        <v>2117</v>
      </c>
      <c r="C83" s="4867" t="s">
        <v>1004</v>
      </c>
      <c r="D83" s="4868"/>
      <c r="E83" s="4869" t="s">
        <v>50</v>
      </c>
      <c r="F83" s="4870"/>
      <c r="G83" s="4871"/>
      <c r="H83" s="4870"/>
      <c r="I83" s="4871"/>
      <c r="J83" s="4872"/>
      <c r="K83" s="4936"/>
      <c r="L83" s="4870"/>
      <c r="M83" s="4871"/>
      <c r="N83" s="4851"/>
      <c r="O83" s="4865"/>
      <c r="P83" s="4870"/>
      <c r="Q83" s="4871"/>
      <c r="R83" s="4852"/>
      <c r="S83" s="4446"/>
      <c r="T83" s="4870"/>
      <c r="U83" s="4871"/>
      <c r="V83" s="4852"/>
      <c r="W83" s="4446"/>
      <c r="X83" s="4870"/>
      <c r="Y83" s="4871">
        <v>196.38299999999998</v>
      </c>
      <c r="Z83" s="4959"/>
      <c r="AA83" s="774">
        <f t="shared" si="35"/>
        <v>196.38299999999998</v>
      </c>
      <c r="AB83" s="3965"/>
      <c r="AC83" s="460">
        <f t="shared" si="36"/>
        <v>196.38299999999998</v>
      </c>
      <c r="AD83" s="4870"/>
      <c r="AE83" s="4871"/>
      <c r="AF83" s="4852"/>
      <c r="AG83" s="38">
        <f t="shared" si="37"/>
        <v>196.38299999999998</v>
      </c>
      <c r="AH83" s="4870"/>
      <c r="AI83" s="4871"/>
      <c r="AJ83" s="4852"/>
      <c r="AK83" s="38">
        <f t="shared" si="29"/>
        <v>196.38299999999998</v>
      </c>
      <c r="AL83" s="4870"/>
      <c r="AM83" s="4871"/>
      <c r="AN83" s="4959"/>
      <c r="AO83" s="774">
        <f t="shared" si="30"/>
        <v>0</v>
      </c>
      <c r="AP83" s="4852"/>
      <c r="AQ83" s="38">
        <f t="shared" si="31"/>
        <v>196.38299999999998</v>
      </c>
      <c r="AR83" s="4870"/>
      <c r="AS83" s="4871"/>
      <c r="AT83" s="4852"/>
      <c r="AU83" s="4446">
        <f t="shared" si="32"/>
        <v>196.38299999999998</v>
      </c>
      <c r="AV83" s="4870"/>
      <c r="AW83" s="4871"/>
      <c r="AX83" s="4852"/>
      <c r="AY83" s="38">
        <f t="shared" si="33"/>
        <v>196.38299999999998</v>
      </c>
      <c r="AZ83" s="4870"/>
      <c r="BA83" s="4871"/>
      <c r="BB83" s="4959"/>
      <c r="BC83" s="774">
        <f t="shared" si="19"/>
        <v>0</v>
      </c>
      <c r="BD83" s="4960"/>
      <c r="BE83" s="695">
        <f t="shared" si="20"/>
        <v>0</v>
      </c>
      <c r="BF83" s="4852"/>
      <c r="BG83" s="38">
        <f t="shared" si="34"/>
        <v>196.38299999999998</v>
      </c>
      <c r="BH83" s="1520">
        <f t="shared" si="25"/>
        <v>0</v>
      </c>
      <c r="BI83" s="1520">
        <f t="shared" si="26"/>
        <v>0</v>
      </c>
      <c r="BJ83" s="26"/>
      <c r="BK83" s="26">
        <f t="shared" si="27"/>
        <v>0</v>
      </c>
      <c r="BL83" s="26">
        <f t="shared" si="28"/>
        <v>0</v>
      </c>
      <c r="BM83" s="26"/>
      <c r="BN83" s="1202"/>
    </row>
    <row r="84" spans="2:66" ht="15" customHeight="1" thickBot="1" x14ac:dyDescent="0.35">
      <c r="B84" s="4866" t="s">
        <v>2117</v>
      </c>
      <c r="C84" s="4867" t="s">
        <v>938</v>
      </c>
      <c r="D84" s="4868"/>
      <c r="E84" s="4869" t="s">
        <v>50</v>
      </c>
      <c r="F84" s="4870"/>
      <c r="G84" s="4871"/>
      <c r="H84" s="4870"/>
      <c r="I84" s="4871"/>
      <c r="J84" s="4872"/>
      <c r="K84" s="4936"/>
      <c r="L84" s="4870"/>
      <c r="M84" s="4871"/>
      <c r="N84" s="4851"/>
      <c r="O84" s="4865"/>
      <c r="P84" s="4870"/>
      <c r="Q84" s="4871"/>
      <c r="R84" s="4852"/>
      <c r="S84" s="4446"/>
      <c r="T84" s="4870"/>
      <c r="U84" s="4871"/>
      <c r="V84" s="4852"/>
      <c r="W84" s="4446"/>
      <c r="X84" s="4870"/>
      <c r="Y84" s="4871">
        <f>620.571-2.04</f>
        <v>618.53100000000006</v>
      </c>
      <c r="Z84" s="4959"/>
      <c r="AA84" s="774">
        <f t="shared" si="35"/>
        <v>618.53100000000006</v>
      </c>
      <c r="AB84" s="3965"/>
      <c r="AC84" s="460">
        <f t="shared" si="36"/>
        <v>618.53100000000006</v>
      </c>
      <c r="AD84" s="4870"/>
      <c r="AE84" s="4871"/>
      <c r="AF84" s="4852"/>
      <c r="AG84" s="38">
        <f t="shared" si="37"/>
        <v>618.53100000000006</v>
      </c>
      <c r="AH84" s="4870"/>
      <c r="AI84" s="4871"/>
      <c r="AJ84" s="4852"/>
      <c r="AK84" s="38">
        <f t="shared" si="29"/>
        <v>618.53100000000006</v>
      </c>
      <c r="AL84" s="4870"/>
      <c r="AM84" s="4871">
        <v>612.71299999999997</v>
      </c>
      <c r="AN84" s="4959"/>
      <c r="AO84" s="774">
        <f t="shared" si="30"/>
        <v>612.71299999999997</v>
      </c>
      <c r="AP84" s="4852"/>
      <c r="AQ84" s="38">
        <f t="shared" si="31"/>
        <v>1231.2440000000001</v>
      </c>
      <c r="AR84" s="4870"/>
      <c r="AS84" s="4871">
        <v>314.30399999999997</v>
      </c>
      <c r="AT84" s="4852"/>
      <c r="AU84" s="4446">
        <f t="shared" si="32"/>
        <v>1545.5480000000002</v>
      </c>
      <c r="AV84" s="4870"/>
      <c r="AW84" s="4871"/>
      <c r="AX84" s="4852"/>
      <c r="AY84" s="38">
        <f t="shared" si="33"/>
        <v>1545.5480000000002</v>
      </c>
      <c r="AZ84" s="4870"/>
      <c r="BA84" s="4871"/>
      <c r="BB84" s="4959"/>
      <c r="BC84" s="774">
        <f t="shared" si="19"/>
        <v>314.30399999999997</v>
      </c>
      <c r="BD84" s="4960"/>
      <c r="BE84" s="695">
        <f t="shared" si="20"/>
        <v>927.01699999999994</v>
      </c>
      <c r="BF84" s="4852"/>
      <c r="BG84" s="38">
        <f t="shared" si="34"/>
        <v>1545.5480000000002</v>
      </c>
      <c r="BH84" s="1520">
        <f t="shared" si="25"/>
        <v>0</v>
      </c>
      <c r="BI84" s="1520">
        <f t="shared" si="26"/>
        <v>0</v>
      </c>
      <c r="BJ84" s="26"/>
      <c r="BK84" s="26">
        <f t="shared" si="27"/>
        <v>0</v>
      </c>
      <c r="BL84" s="26">
        <f t="shared" si="28"/>
        <v>0</v>
      </c>
      <c r="BM84" s="26"/>
      <c r="BN84" s="1202"/>
    </row>
    <row r="85" spans="2:66" ht="15" customHeight="1" thickBot="1" x14ac:dyDescent="0.35">
      <c r="B85" s="4866" t="s">
        <v>2137</v>
      </c>
      <c r="C85" s="4867" t="s">
        <v>938</v>
      </c>
      <c r="D85" s="4868"/>
      <c r="E85" s="4869" t="s">
        <v>50</v>
      </c>
      <c r="F85" s="4870"/>
      <c r="G85" s="4871"/>
      <c r="H85" s="4870"/>
      <c r="I85" s="4871"/>
      <c r="J85" s="4872"/>
      <c r="K85" s="4936"/>
      <c r="L85" s="4870"/>
      <c r="M85" s="4871"/>
      <c r="N85" s="4851"/>
      <c r="O85" s="4865"/>
      <c r="P85" s="4870"/>
      <c r="Q85" s="4871"/>
      <c r="R85" s="4852"/>
      <c r="S85" s="4446"/>
      <c r="T85" s="4870"/>
      <c r="U85" s="4871"/>
      <c r="V85" s="4852"/>
      <c r="W85" s="4446"/>
      <c r="X85" s="4870"/>
      <c r="Y85" s="4871"/>
      <c r="Z85" s="4959"/>
      <c r="AA85" s="774">
        <f t="shared" si="35"/>
        <v>0</v>
      </c>
      <c r="AB85" s="5011"/>
      <c r="AC85" s="460">
        <f t="shared" si="36"/>
        <v>0</v>
      </c>
      <c r="AD85" s="4870"/>
      <c r="AE85" s="4871">
        <v>507.67699999999991</v>
      </c>
      <c r="AF85" s="4852"/>
      <c r="AG85" s="38">
        <f t="shared" si="37"/>
        <v>507.67699999999991</v>
      </c>
      <c r="AH85" s="4870"/>
      <c r="AI85" s="4871"/>
      <c r="AJ85" s="4852"/>
      <c r="AK85" s="38">
        <f t="shared" si="29"/>
        <v>507.67699999999991</v>
      </c>
      <c r="AL85" s="4870"/>
      <c r="AM85" s="4871">
        <v>664.58400000000006</v>
      </c>
      <c r="AN85" s="4959"/>
      <c r="AO85" s="774">
        <f t="shared" si="30"/>
        <v>1172.261</v>
      </c>
      <c r="AP85" s="4852"/>
      <c r="AQ85" s="38">
        <f t="shared" si="31"/>
        <v>1172.261</v>
      </c>
      <c r="AR85" s="4870"/>
      <c r="AS85" s="4871">
        <v>495.43400000000003</v>
      </c>
      <c r="AT85" s="4852"/>
      <c r="AU85" s="4446">
        <f t="shared" si="32"/>
        <v>1667.6949999999999</v>
      </c>
      <c r="AV85" s="4870"/>
      <c r="AW85" s="4871"/>
      <c r="AX85" s="4852"/>
      <c r="AY85" s="38">
        <f t="shared" si="33"/>
        <v>1667.6949999999999</v>
      </c>
      <c r="AZ85" s="4870"/>
      <c r="BA85" s="4871">
        <v>1015.355</v>
      </c>
      <c r="BB85" s="4959"/>
      <c r="BC85" s="774">
        <f t="shared" si="19"/>
        <v>1510.789</v>
      </c>
      <c r="BD85" s="4960"/>
      <c r="BE85" s="695">
        <f t="shared" si="20"/>
        <v>2683.05</v>
      </c>
      <c r="BF85" s="4852"/>
      <c r="BG85" s="38">
        <f t="shared" si="34"/>
        <v>2683.05</v>
      </c>
      <c r="BH85" s="1520">
        <f t="shared" si="25"/>
        <v>0</v>
      </c>
      <c r="BI85" s="1520">
        <f t="shared" si="26"/>
        <v>0</v>
      </c>
      <c r="BJ85" s="26"/>
      <c r="BK85" s="26">
        <f t="shared" si="27"/>
        <v>0</v>
      </c>
      <c r="BL85" s="26">
        <f t="shared" si="28"/>
        <v>0</v>
      </c>
      <c r="BM85" s="26"/>
      <c r="BN85" s="1202"/>
    </row>
    <row r="86" spans="2:66" ht="15" customHeight="1" thickBot="1" x14ac:dyDescent="0.35">
      <c r="B86" s="4866" t="s">
        <v>2269</v>
      </c>
      <c r="C86" s="4867" t="s">
        <v>938</v>
      </c>
      <c r="D86" s="4868"/>
      <c r="E86" s="4869"/>
      <c r="F86" s="4870"/>
      <c r="G86" s="4871"/>
      <c r="H86" s="4870"/>
      <c r="I86" s="4871"/>
      <c r="J86" s="4872"/>
      <c r="K86" s="4403"/>
      <c r="L86" s="4870"/>
      <c r="M86" s="4871"/>
      <c r="N86" s="4413"/>
      <c r="O86" s="5295"/>
      <c r="P86" s="4870"/>
      <c r="Q86" s="4871"/>
      <c r="R86" s="4414"/>
      <c r="S86" s="4404"/>
      <c r="T86" s="4870"/>
      <c r="U86" s="4871"/>
      <c r="V86" s="4414"/>
      <c r="W86" s="4404"/>
      <c r="X86" s="4870"/>
      <c r="Y86" s="4871"/>
      <c r="Z86" s="4415"/>
      <c r="AA86" s="4405"/>
      <c r="AB86" s="4416"/>
      <c r="AC86" s="5225"/>
      <c r="AD86" s="4870"/>
      <c r="AE86" s="4871"/>
      <c r="AF86" s="4414"/>
      <c r="AG86" s="4404"/>
      <c r="AH86" s="4870"/>
      <c r="AI86" s="4871"/>
      <c r="AJ86" s="4414"/>
      <c r="AK86" s="4404"/>
      <c r="AL86" s="4870"/>
      <c r="AM86" s="4871">
        <v>791.52200000000005</v>
      </c>
      <c r="AN86" s="4415"/>
      <c r="AO86" s="774">
        <f t="shared" si="30"/>
        <v>791.52200000000005</v>
      </c>
      <c r="AP86" s="4852"/>
      <c r="AQ86" s="38">
        <f t="shared" si="31"/>
        <v>791.52200000000005</v>
      </c>
      <c r="AR86" s="4870"/>
      <c r="AS86" s="4871">
        <v>447.64699999999999</v>
      </c>
      <c r="AT86" s="4852"/>
      <c r="AU86" s="4446">
        <f t="shared" si="32"/>
        <v>1239.1690000000001</v>
      </c>
      <c r="AV86" s="4870"/>
      <c r="AW86" s="4871"/>
      <c r="AX86" s="4852"/>
      <c r="AY86" s="38">
        <f t="shared" si="33"/>
        <v>1239.1690000000001</v>
      </c>
      <c r="AZ86" s="4870"/>
      <c r="BA86" s="4871">
        <v>510.62900000000002</v>
      </c>
      <c r="BB86" s="4959"/>
      <c r="BC86" s="774">
        <f t="shared" si="19"/>
        <v>958.27600000000007</v>
      </c>
      <c r="BD86" s="4960"/>
      <c r="BE86" s="695">
        <f t="shared" si="20"/>
        <v>1749.7980000000002</v>
      </c>
      <c r="BF86" s="4852"/>
      <c r="BG86" s="38">
        <f t="shared" si="34"/>
        <v>1749.7980000000002</v>
      </c>
      <c r="BH86" s="1520">
        <f t="shared" si="25"/>
        <v>0</v>
      </c>
      <c r="BI86" s="1520">
        <f t="shared" si="26"/>
        <v>0</v>
      </c>
      <c r="BJ86" s="26"/>
      <c r="BK86" s="26">
        <f t="shared" si="27"/>
        <v>0</v>
      </c>
      <c r="BL86" s="26">
        <f t="shared" si="28"/>
        <v>0</v>
      </c>
      <c r="BM86" s="26"/>
      <c r="BN86" s="1202"/>
    </row>
    <row r="87" spans="2:66" ht="15" customHeight="1" thickBot="1" x14ac:dyDescent="0.35">
      <c r="B87" s="4866" t="s">
        <v>2138</v>
      </c>
      <c r="C87" s="4867" t="s">
        <v>938</v>
      </c>
      <c r="D87" s="4868"/>
      <c r="E87" s="4869" t="s">
        <v>50</v>
      </c>
      <c r="F87" s="4870"/>
      <c r="G87" s="4871"/>
      <c r="H87" s="4870"/>
      <c r="I87" s="4871"/>
      <c r="J87" s="4872"/>
      <c r="K87" s="4936"/>
      <c r="L87" s="4870"/>
      <c r="M87" s="4871"/>
      <c r="N87" s="4851"/>
      <c r="O87" s="4865"/>
      <c r="P87" s="4870"/>
      <c r="Q87" s="4871"/>
      <c r="R87" s="4852"/>
      <c r="S87" s="4446"/>
      <c r="T87" s="4870"/>
      <c r="U87" s="4871"/>
      <c r="V87" s="4852"/>
      <c r="W87" s="4446"/>
      <c r="X87" s="4870"/>
      <c r="Y87" s="4871"/>
      <c r="Z87" s="4959"/>
      <c r="AA87" s="774">
        <f t="shared" si="35"/>
        <v>0</v>
      </c>
      <c r="AB87" s="5011"/>
      <c r="AC87" s="460">
        <f t="shared" si="36"/>
        <v>0</v>
      </c>
      <c r="AD87" s="4870"/>
      <c r="AE87" s="4871">
        <v>484.55900000000003</v>
      </c>
      <c r="AF87" s="4852"/>
      <c r="AG87" s="38">
        <f t="shared" si="37"/>
        <v>484.55900000000003</v>
      </c>
      <c r="AH87" s="4870"/>
      <c r="AI87" s="4871"/>
      <c r="AJ87" s="4852"/>
      <c r="AK87" s="38">
        <f t="shared" si="29"/>
        <v>484.55900000000003</v>
      </c>
      <c r="AL87" s="4870"/>
      <c r="AM87" s="4871">
        <v>658.78499999999997</v>
      </c>
      <c r="AN87" s="4959"/>
      <c r="AO87" s="774">
        <f t="shared" si="30"/>
        <v>1143.3440000000001</v>
      </c>
      <c r="AP87" s="4852"/>
      <c r="AQ87" s="38">
        <f t="shared" si="31"/>
        <v>1143.3440000000001</v>
      </c>
      <c r="AR87" s="4870"/>
      <c r="AS87" s="4871">
        <v>700.7360000000001</v>
      </c>
      <c r="AT87" s="4852"/>
      <c r="AU87" s="4446">
        <f t="shared" si="32"/>
        <v>1844.0800000000002</v>
      </c>
      <c r="AV87" s="4870"/>
      <c r="AW87" s="4871"/>
      <c r="AX87" s="4852"/>
      <c r="AY87" s="38">
        <f t="shared" si="33"/>
        <v>1844.0800000000002</v>
      </c>
      <c r="AZ87" s="4870"/>
      <c r="BA87" s="4871">
        <v>224.017</v>
      </c>
      <c r="BB87" s="4959"/>
      <c r="BC87" s="774">
        <f t="shared" si="19"/>
        <v>924.75300000000016</v>
      </c>
      <c r="BD87" s="4960"/>
      <c r="BE87" s="695">
        <f t="shared" si="20"/>
        <v>2068.0970000000002</v>
      </c>
      <c r="BF87" s="4852"/>
      <c r="BG87" s="38">
        <f t="shared" si="34"/>
        <v>2068.0970000000002</v>
      </c>
      <c r="BH87" s="1520">
        <f t="shared" si="25"/>
        <v>0</v>
      </c>
      <c r="BI87" s="1520">
        <f t="shared" si="26"/>
        <v>0</v>
      </c>
      <c r="BJ87" s="26"/>
      <c r="BK87" s="26">
        <f t="shared" si="27"/>
        <v>0</v>
      </c>
      <c r="BL87" s="26">
        <f t="shared" si="28"/>
        <v>0</v>
      </c>
      <c r="BM87" s="26"/>
      <c r="BN87" s="1202"/>
    </row>
    <row r="88" spans="2:66" ht="15" customHeight="1" thickBot="1" x14ac:dyDescent="0.35">
      <c r="B88" s="2960" t="s">
        <v>1287</v>
      </c>
      <c r="C88" s="2961" t="s">
        <v>1004</v>
      </c>
      <c r="D88" s="2962">
        <v>27.3</v>
      </c>
      <c r="E88" s="2963" t="s">
        <v>50</v>
      </c>
      <c r="F88" s="2964"/>
      <c r="G88" s="1935"/>
      <c r="H88" s="2964"/>
      <c r="I88" s="1935"/>
      <c r="J88" s="2965"/>
      <c r="K88" s="4506">
        <f t="shared" si="7"/>
        <v>0</v>
      </c>
      <c r="L88" s="2964"/>
      <c r="M88" s="1935"/>
      <c r="N88" s="1975"/>
      <c r="O88" s="68">
        <f t="shared" si="8"/>
        <v>0</v>
      </c>
      <c r="P88" s="2964"/>
      <c r="Q88" s="1935"/>
      <c r="R88" s="1983"/>
      <c r="S88" s="38">
        <f t="shared" si="9"/>
        <v>0</v>
      </c>
      <c r="T88" s="2964"/>
      <c r="U88" s="1935">
        <v>468.21000000000004</v>
      </c>
      <c r="V88" s="1983"/>
      <c r="W88" s="38">
        <f t="shared" si="10"/>
        <v>468.21000000000004</v>
      </c>
      <c r="X88" s="2964"/>
      <c r="Y88" s="1935"/>
      <c r="Z88" s="894"/>
      <c r="AA88" s="774">
        <f t="shared" si="35"/>
        <v>468.21000000000004</v>
      </c>
      <c r="AB88" s="3965"/>
      <c r="AC88" s="460">
        <f t="shared" si="36"/>
        <v>468.21000000000004</v>
      </c>
      <c r="AD88" s="2964"/>
      <c r="AE88" s="1935"/>
      <c r="AF88" s="1983"/>
      <c r="AG88" s="38">
        <f t="shared" si="37"/>
        <v>468.21000000000004</v>
      </c>
      <c r="AH88" s="2964"/>
      <c r="AI88" s="1935"/>
      <c r="AJ88" s="1983"/>
      <c r="AK88" s="38">
        <f t="shared" si="29"/>
        <v>468.21000000000004</v>
      </c>
      <c r="AL88" s="2964"/>
      <c r="AM88" s="1935"/>
      <c r="AN88" s="894"/>
      <c r="AO88" s="774">
        <f t="shared" si="30"/>
        <v>0</v>
      </c>
      <c r="AP88" s="1983"/>
      <c r="AQ88" s="38">
        <f t="shared" si="31"/>
        <v>468.21000000000004</v>
      </c>
      <c r="AR88" s="2964"/>
      <c r="AS88" s="1935"/>
      <c r="AT88" s="1983"/>
      <c r="AU88" s="38">
        <f t="shared" si="32"/>
        <v>468.21000000000004</v>
      </c>
      <c r="AV88" s="2964"/>
      <c r="AW88" s="1935"/>
      <c r="AX88" s="1983"/>
      <c r="AY88" s="38">
        <f t="shared" si="33"/>
        <v>468.21000000000004</v>
      </c>
      <c r="AZ88" s="2964"/>
      <c r="BA88" s="1935"/>
      <c r="BB88" s="894"/>
      <c r="BC88" s="774">
        <f t="shared" si="19"/>
        <v>0</v>
      </c>
      <c r="BD88" s="895"/>
      <c r="BE88" s="695">
        <f t="shared" si="20"/>
        <v>0</v>
      </c>
      <c r="BF88" s="1983"/>
      <c r="BG88" s="38">
        <f t="shared" si="34"/>
        <v>468.21000000000004</v>
      </c>
      <c r="BH88" s="1520">
        <f t="shared" si="25"/>
        <v>0</v>
      </c>
      <c r="BI88" s="1520">
        <f t="shared" si="26"/>
        <v>0</v>
      </c>
      <c r="BJ88" s="26"/>
      <c r="BK88" s="26">
        <f t="shared" si="27"/>
        <v>0</v>
      </c>
      <c r="BL88" s="26">
        <f t="shared" si="28"/>
        <v>0</v>
      </c>
      <c r="BM88" s="26"/>
      <c r="BN88" s="1202"/>
    </row>
    <row r="89" spans="2:66" ht="15" customHeight="1" thickBot="1" x14ac:dyDescent="0.35">
      <c r="B89" s="4598" t="s">
        <v>1846</v>
      </c>
      <c r="C89" s="2949" t="s">
        <v>1004</v>
      </c>
      <c r="D89" s="2959"/>
      <c r="E89" s="4056" t="s">
        <v>50</v>
      </c>
      <c r="F89" s="4057"/>
      <c r="G89" s="4058"/>
      <c r="H89" s="4057"/>
      <c r="I89" s="4058"/>
      <c r="J89" s="4059"/>
      <c r="K89" s="4599">
        <f t="shared" si="7"/>
        <v>0</v>
      </c>
      <c r="L89" s="4057"/>
      <c r="M89" s="4058">
        <v>1992.848</v>
      </c>
      <c r="N89" s="4600"/>
      <c r="O89" s="4601">
        <f t="shared" si="8"/>
        <v>1992.848</v>
      </c>
      <c r="P89" s="4057"/>
      <c r="Q89" s="4058"/>
      <c r="R89" s="4602"/>
      <c r="S89" s="38">
        <f t="shared" ref="S89" si="38">+O89+Q89</f>
        <v>1992.848</v>
      </c>
      <c r="T89" s="4057"/>
      <c r="U89" s="4058"/>
      <c r="V89" s="4602"/>
      <c r="W89" s="4603">
        <f t="shared" si="10"/>
        <v>1992.848</v>
      </c>
      <c r="X89" s="4057"/>
      <c r="Y89" s="4058"/>
      <c r="Z89" s="4604"/>
      <c r="AA89" s="774">
        <f t="shared" si="35"/>
        <v>0</v>
      </c>
      <c r="AB89" s="3965"/>
      <c r="AC89" s="460">
        <f t="shared" si="36"/>
        <v>1992.848</v>
      </c>
      <c r="AD89" s="4057"/>
      <c r="AE89" s="4058"/>
      <c r="AF89" s="4602"/>
      <c r="AG89" s="38">
        <f t="shared" si="37"/>
        <v>1992.848</v>
      </c>
      <c r="AH89" s="4057"/>
      <c r="AI89" s="4058"/>
      <c r="AJ89" s="4602"/>
      <c r="AK89" s="38">
        <f t="shared" si="29"/>
        <v>1992.848</v>
      </c>
      <c r="AL89" s="4057"/>
      <c r="AM89" s="4058"/>
      <c r="AN89" s="4604"/>
      <c r="AO89" s="774">
        <f t="shared" si="30"/>
        <v>0</v>
      </c>
      <c r="AP89" s="4602"/>
      <c r="AQ89" s="38">
        <f t="shared" si="31"/>
        <v>1992.848</v>
      </c>
      <c r="AR89" s="4057"/>
      <c r="AS89" s="4058"/>
      <c r="AT89" s="4602"/>
      <c r="AU89" s="4603">
        <f t="shared" si="32"/>
        <v>1992.848</v>
      </c>
      <c r="AV89" s="4057"/>
      <c r="AW89" s="4058"/>
      <c r="AX89" s="4602"/>
      <c r="AY89" s="38">
        <f t="shared" si="33"/>
        <v>1992.848</v>
      </c>
      <c r="AZ89" s="4057"/>
      <c r="BA89" s="4058"/>
      <c r="BB89" s="4604"/>
      <c r="BC89" s="4605">
        <f t="shared" si="19"/>
        <v>0</v>
      </c>
      <c r="BD89" s="4606"/>
      <c r="BE89" s="4607">
        <f t="shared" si="20"/>
        <v>0</v>
      </c>
      <c r="BF89" s="4602"/>
      <c r="BG89" s="38">
        <f t="shared" si="34"/>
        <v>1992.848</v>
      </c>
      <c r="BH89" s="1520">
        <f t="shared" si="25"/>
        <v>0</v>
      </c>
      <c r="BI89" s="1520">
        <f t="shared" si="26"/>
        <v>0</v>
      </c>
      <c r="BJ89" s="26"/>
      <c r="BK89" s="26">
        <f t="shared" si="27"/>
        <v>0</v>
      </c>
      <c r="BL89" s="26">
        <f t="shared" si="28"/>
        <v>0</v>
      </c>
      <c r="BM89" s="26"/>
      <c r="BN89" s="1202"/>
    </row>
    <row r="90" spans="2:66" ht="15" customHeight="1" x14ac:dyDescent="0.3">
      <c r="B90" s="3877" t="s">
        <v>1064</v>
      </c>
      <c r="C90" s="2899" t="s">
        <v>1004</v>
      </c>
      <c r="D90" s="3878">
        <v>34.200000000000003</v>
      </c>
      <c r="E90" s="811" t="s">
        <v>50</v>
      </c>
      <c r="F90" s="3427"/>
      <c r="G90" s="155">
        <v>5094.6359999999995</v>
      </c>
      <c r="H90" s="3427"/>
      <c r="I90" s="155">
        <v>3931.677999999999</v>
      </c>
      <c r="J90" s="2788"/>
      <c r="K90" s="368">
        <f t="shared" si="7"/>
        <v>9026.3139999999985</v>
      </c>
      <c r="L90" s="3427"/>
      <c r="M90" s="155">
        <v>2598.3209999999985</v>
      </c>
      <c r="N90" s="3428"/>
      <c r="O90" s="613">
        <f t="shared" si="8"/>
        <v>11624.634999999997</v>
      </c>
      <c r="P90" s="3427"/>
      <c r="Q90" s="155">
        <v>7076.3909999999969</v>
      </c>
      <c r="R90" s="2788"/>
      <c r="S90" s="38">
        <f t="shared" ref="S90:S116" si="39">+O90+Q90</f>
        <v>18701.025999999994</v>
      </c>
      <c r="T90" s="3427"/>
      <c r="U90" s="155">
        <v>4634.2519999999986</v>
      </c>
      <c r="V90" s="2788"/>
      <c r="W90" s="368">
        <f t="shared" si="10"/>
        <v>23335.277999999991</v>
      </c>
      <c r="X90" s="3427"/>
      <c r="Y90" s="155">
        <v>5204.7959999999994</v>
      </c>
      <c r="Z90" s="3428"/>
      <c r="AA90" s="774">
        <f t="shared" si="35"/>
        <v>16915.438999999995</v>
      </c>
      <c r="AB90" s="3965"/>
      <c r="AC90" s="460">
        <f t="shared" si="36"/>
        <v>28540.073999999993</v>
      </c>
      <c r="AD90" s="3427"/>
      <c r="AE90" s="155"/>
      <c r="AF90" s="2788"/>
      <c r="AG90" s="38">
        <f t="shared" si="37"/>
        <v>28540.073999999993</v>
      </c>
      <c r="AH90" s="3427"/>
      <c r="AI90" s="155">
        <v>3990.779</v>
      </c>
      <c r="AJ90" s="2788"/>
      <c r="AK90" s="38">
        <f t="shared" si="29"/>
        <v>32530.852999999992</v>
      </c>
      <c r="AL90" s="3427"/>
      <c r="AM90" s="155">
        <v>3233.3550000000009</v>
      </c>
      <c r="AN90" s="3428"/>
      <c r="AO90" s="774">
        <f t="shared" si="30"/>
        <v>7224.1340000000009</v>
      </c>
      <c r="AP90" s="2788"/>
      <c r="AQ90" s="38">
        <f t="shared" si="31"/>
        <v>35764.207999999991</v>
      </c>
      <c r="AR90" s="3427"/>
      <c r="AS90" s="155">
        <v>4912.0760000000028</v>
      </c>
      <c r="AT90" s="2788"/>
      <c r="AU90" s="368">
        <f t="shared" si="32"/>
        <v>40676.283999999992</v>
      </c>
      <c r="AV90" s="3427"/>
      <c r="AW90" s="155">
        <v>4893.665</v>
      </c>
      <c r="AX90" s="2788"/>
      <c r="AY90" s="38">
        <f t="shared" si="33"/>
        <v>45569.948999999993</v>
      </c>
      <c r="AZ90" s="3427"/>
      <c r="BA90" s="155">
        <v>3953.2599999999993</v>
      </c>
      <c r="BB90" s="3428"/>
      <c r="BC90" s="613">
        <f t="shared" si="19"/>
        <v>13759.001</v>
      </c>
      <c r="BD90" s="4622"/>
      <c r="BE90" s="4623">
        <f t="shared" si="20"/>
        <v>20983.135000000002</v>
      </c>
      <c r="BF90" s="2788"/>
      <c r="BG90" s="38">
        <f t="shared" si="34"/>
        <v>49523.208999999995</v>
      </c>
      <c r="BH90" s="1520">
        <f t="shared" si="25"/>
        <v>0</v>
      </c>
      <c r="BI90" s="1520">
        <f t="shared" si="26"/>
        <v>0</v>
      </c>
      <c r="BJ90" s="26"/>
      <c r="BK90" s="26">
        <f t="shared" si="27"/>
        <v>0</v>
      </c>
      <c r="BL90" s="26">
        <f t="shared" si="28"/>
        <v>0</v>
      </c>
      <c r="BM90" s="26"/>
      <c r="BN90" s="1202"/>
    </row>
    <row r="91" spans="2:66" ht="15" customHeight="1" x14ac:dyDescent="0.3">
      <c r="B91" s="4624" t="s">
        <v>1064</v>
      </c>
      <c r="C91" s="4612" t="s">
        <v>1569</v>
      </c>
      <c r="D91" s="4613">
        <v>34.200000000000003</v>
      </c>
      <c r="E91" s="4443" t="s">
        <v>50</v>
      </c>
      <c r="F91" s="4614"/>
      <c r="G91" s="4512"/>
      <c r="H91" s="4614"/>
      <c r="I91" s="4512">
        <v>332.20299999999997</v>
      </c>
      <c r="J91" s="4615"/>
      <c r="K91" s="4506">
        <f t="shared" si="7"/>
        <v>332.20299999999997</v>
      </c>
      <c r="L91" s="4614"/>
      <c r="M91" s="4512">
        <v>700.48399999999992</v>
      </c>
      <c r="N91" s="4616"/>
      <c r="O91" s="4513">
        <f t="shared" si="8"/>
        <v>1032.6869999999999</v>
      </c>
      <c r="P91" s="4614"/>
      <c r="Q91" s="4512">
        <v>934.69800000000009</v>
      </c>
      <c r="R91" s="4615"/>
      <c r="S91" s="38">
        <f t="shared" si="39"/>
        <v>1967.385</v>
      </c>
      <c r="T91" s="4614"/>
      <c r="U91" s="4512"/>
      <c r="V91" s="4615"/>
      <c r="W91" s="4506">
        <f t="shared" si="10"/>
        <v>1967.385</v>
      </c>
      <c r="X91" s="4614"/>
      <c r="Y91" s="4512">
        <v>471.18099999999998</v>
      </c>
      <c r="Z91" s="4616"/>
      <c r="AA91" s="774">
        <f t="shared" si="35"/>
        <v>1405.8790000000001</v>
      </c>
      <c r="AB91" s="3965"/>
      <c r="AC91" s="460">
        <f t="shared" si="36"/>
        <v>2438.5659999999998</v>
      </c>
      <c r="AD91" s="4614"/>
      <c r="AE91" s="4512"/>
      <c r="AF91" s="4615"/>
      <c r="AG91" s="38">
        <f t="shared" si="37"/>
        <v>2438.5659999999998</v>
      </c>
      <c r="AH91" s="4614"/>
      <c r="AI91" s="4512">
        <v>368.22899999999998</v>
      </c>
      <c r="AJ91" s="4615"/>
      <c r="AK91" s="38">
        <f t="shared" si="29"/>
        <v>2806.7949999999996</v>
      </c>
      <c r="AL91" s="4614"/>
      <c r="AM91" s="4512">
        <v>34.414000000000001</v>
      </c>
      <c r="AN91" s="4616"/>
      <c r="AO91" s="774">
        <f t="shared" si="30"/>
        <v>402.64299999999997</v>
      </c>
      <c r="AP91" s="4615"/>
      <c r="AQ91" s="38">
        <f t="shared" si="31"/>
        <v>2841.2089999999998</v>
      </c>
      <c r="AR91" s="4614"/>
      <c r="AS91" s="4512"/>
      <c r="AT91" s="4615"/>
      <c r="AU91" s="4506">
        <f t="shared" si="32"/>
        <v>2841.2089999999998</v>
      </c>
      <c r="AV91" s="4614"/>
      <c r="AW91" s="4512">
        <v>112.935</v>
      </c>
      <c r="AX91" s="4615"/>
      <c r="AY91" s="38">
        <f t="shared" si="33"/>
        <v>2954.1439999999998</v>
      </c>
      <c r="AZ91" s="4614"/>
      <c r="BA91" s="4512">
        <v>360.86999999999995</v>
      </c>
      <c r="BB91" s="4616"/>
      <c r="BC91" s="4513">
        <f t="shared" si="19"/>
        <v>473.80499999999995</v>
      </c>
      <c r="BD91" s="4619"/>
      <c r="BE91" s="4620">
        <f t="shared" si="20"/>
        <v>876.44799999999987</v>
      </c>
      <c r="BF91" s="4615"/>
      <c r="BG91" s="38">
        <f t="shared" si="34"/>
        <v>3315.0139999999997</v>
      </c>
      <c r="BH91" s="1520">
        <f t="shared" si="25"/>
        <v>0</v>
      </c>
      <c r="BI91" s="1520">
        <f t="shared" si="26"/>
        <v>0</v>
      </c>
      <c r="BJ91" s="26"/>
      <c r="BK91" s="26">
        <f t="shared" si="27"/>
        <v>0</v>
      </c>
      <c r="BL91" s="26">
        <f t="shared" si="28"/>
        <v>0</v>
      </c>
      <c r="BM91" s="26"/>
      <c r="BN91" s="1202"/>
    </row>
    <row r="92" spans="2:66" ht="15" customHeight="1" thickBot="1" x14ac:dyDescent="0.35">
      <c r="B92" s="4625" t="s">
        <v>1064</v>
      </c>
      <c r="C92" s="4626" t="s">
        <v>938</v>
      </c>
      <c r="D92" s="4627">
        <v>34.200000000000003</v>
      </c>
      <c r="E92" s="4457" t="s">
        <v>50</v>
      </c>
      <c r="F92" s="4628"/>
      <c r="G92" s="4519"/>
      <c r="H92" s="4628"/>
      <c r="I92" s="4519">
        <v>244.49299999999999</v>
      </c>
      <c r="J92" s="4629"/>
      <c r="K92" s="4520">
        <f t="shared" si="7"/>
        <v>244.49299999999999</v>
      </c>
      <c r="L92" s="4628"/>
      <c r="M92" s="4519"/>
      <c r="N92" s="4630"/>
      <c r="O92" s="4522">
        <f t="shared" si="8"/>
        <v>244.49299999999999</v>
      </c>
      <c r="P92" s="4628"/>
      <c r="Q92" s="4519">
        <v>115.48</v>
      </c>
      <c r="R92" s="4629"/>
      <c r="S92" s="38">
        <f t="shared" si="39"/>
        <v>359.97300000000001</v>
      </c>
      <c r="T92" s="4628"/>
      <c r="U92" s="4519"/>
      <c r="V92" s="4629"/>
      <c r="W92" s="4520">
        <f t="shared" si="10"/>
        <v>359.97300000000001</v>
      </c>
      <c r="X92" s="4628"/>
      <c r="Y92" s="4519"/>
      <c r="Z92" s="4630"/>
      <c r="AA92" s="774">
        <f t="shared" si="35"/>
        <v>115.48</v>
      </c>
      <c r="AB92" s="3965"/>
      <c r="AC92" s="460">
        <f t="shared" si="36"/>
        <v>359.97300000000001</v>
      </c>
      <c r="AD92" s="4628"/>
      <c r="AE92" s="4519"/>
      <c r="AF92" s="4629"/>
      <c r="AG92" s="38">
        <f t="shared" si="37"/>
        <v>359.97300000000001</v>
      </c>
      <c r="AH92" s="4628"/>
      <c r="AI92" s="4519"/>
      <c r="AJ92" s="4629"/>
      <c r="AK92" s="38">
        <f t="shared" si="29"/>
        <v>359.97300000000001</v>
      </c>
      <c r="AL92" s="4628"/>
      <c r="AM92" s="4519"/>
      <c r="AN92" s="4630"/>
      <c r="AO92" s="774">
        <f t="shared" si="30"/>
        <v>0</v>
      </c>
      <c r="AP92" s="4629"/>
      <c r="AQ92" s="38">
        <f t="shared" si="31"/>
        <v>359.97300000000001</v>
      </c>
      <c r="AR92" s="4628"/>
      <c r="AS92" s="4519"/>
      <c r="AT92" s="4629"/>
      <c r="AU92" s="4520">
        <f t="shared" si="32"/>
        <v>359.97300000000001</v>
      </c>
      <c r="AV92" s="4628"/>
      <c r="AW92" s="4519"/>
      <c r="AX92" s="4629"/>
      <c r="AY92" s="38">
        <f t="shared" si="33"/>
        <v>359.97300000000001</v>
      </c>
      <c r="AZ92" s="4628"/>
      <c r="BA92" s="4519"/>
      <c r="BB92" s="4630"/>
      <c r="BC92" s="4522">
        <f t="shared" si="19"/>
        <v>0</v>
      </c>
      <c r="BD92" s="4633"/>
      <c r="BE92" s="4634">
        <f t="shared" si="20"/>
        <v>0</v>
      </c>
      <c r="BF92" s="4629"/>
      <c r="BG92" s="38">
        <f t="shared" si="34"/>
        <v>359.97300000000001</v>
      </c>
      <c r="BH92" s="1520">
        <f t="shared" si="25"/>
        <v>0</v>
      </c>
      <c r="BI92" s="1520">
        <f t="shared" si="26"/>
        <v>0</v>
      </c>
      <c r="BJ92" s="26"/>
      <c r="BK92" s="26">
        <f t="shared" si="27"/>
        <v>0</v>
      </c>
      <c r="BL92" s="26">
        <f t="shared" si="28"/>
        <v>0</v>
      </c>
      <c r="BM92" s="26"/>
      <c r="BN92" s="1202"/>
    </row>
    <row r="93" spans="2:66" ht="15" customHeight="1" x14ac:dyDescent="0.3">
      <c r="B93" s="4608" t="s">
        <v>931</v>
      </c>
      <c r="C93" s="2897" t="s">
        <v>938</v>
      </c>
      <c r="D93" s="4609">
        <v>36.299999999999997</v>
      </c>
      <c r="E93" s="3846" t="s">
        <v>50</v>
      </c>
      <c r="F93" s="3431"/>
      <c r="G93" s="1186"/>
      <c r="H93" s="3431"/>
      <c r="I93" s="1186"/>
      <c r="J93" s="3432"/>
      <c r="K93" s="567">
        <f t="shared" si="7"/>
        <v>0</v>
      </c>
      <c r="L93" s="3431"/>
      <c r="M93" s="1186"/>
      <c r="N93" s="3433"/>
      <c r="O93" s="83">
        <f t="shared" si="8"/>
        <v>0</v>
      </c>
      <c r="P93" s="3431"/>
      <c r="Q93" s="1186"/>
      <c r="R93" s="3432"/>
      <c r="S93" s="38">
        <f t="shared" si="39"/>
        <v>0</v>
      </c>
      <c r="T93" s="3431"/>
      <c r="U93" s="1186"/>
      <c r="V93" s="3432"/>
      <c r="W93" s="61">
        <f t="shared" si="10"/>
        <v>0</v>
      </c>
      <c r="X93" s="3431"/>
      <c r="Y93" s="1186"/>
      <c r="Z93" s="3433"/>
      <c r="AA93" s="774">
        <f t="shared" si="35"/>
        <v>0</v>
      </c>
      <c r="AB93" s="3965"/>
      <c r="AC93" s="460">
        <f t="shared" si="36"/>
        <v>0</v>
      </c>
      <c r="AD93" s="3431"/>
      <c r="AE93" s="1186"/>
      <c r="AF93" s="3876"/>
      <c r="AG93" s="38">
        <f t="shared" si="37"/>
        <v>0</v>
      </c>
      <c r="AH93" s="3431"/>
      <c r="AI93" s="1186"/>
      <c r="AJ93" s="3876"/>
      <c r="AK93" s="38">
        <f t="shared" si="29"/>
        <v>0</v>
      </c>
      <c r="AL93" s="3431"/>
      <c r="AM93" s="1186"/>
      <c r="AN93" s="3433"/>
      <c r="AO93" s="774">
        <f t="shared" si="30"/>
        <v>0</v>
      </c>
      <c r="AP93" s="3876"/>
      <c r="AQ93" s="38">
        <f t="shared" si="31"/>
        <v>0</v>
      </c>
      <c r="AR93" s="3431"/>
      <c r="AS93" s="1186"/>
      <c r="AT93" s="3876"/>
      <c r="AU93" s="61">
        <f t="shared" si="32"/>
        <v>0</v>
      </c>
      <c r="AV93" s="3431"/>
      <c r="AW93" s="1186"/>
      <c r="AX93" s="3876"/>
      <c r="AY93" s="38">
        <f t="shared" si="33"/>
        <v>0</v>
      </c>
      <c r="AZ93" s="3431"/>
      <c r="BA93" s="1186"/>
      <c r="BB93" s="3433"/>
      <c r="BC93" s="482">
        <f t="shared" si="19"/>
        <v>0</v>
      </c>
      <c r="BD93" s="4610"/>
      <c r="BE93" s="4611">
        <f t="shared" si="20"/>
        <v>0</v>
      </c>
      <c r="BF93" s="3876"/>
      <c r="BG93" s="38">
        <f t="shared" si="34"/>
        <v>0</v>
      </c>
      <c r="BH93" s="1520">
        <f t="shared" si="25"/>
        <v>0</v>
      </c>
      <c r="BI93" s="1520">
        <f t="shared" si="26"/>
        <v>0</v>
      </c>
      <c r="BJ93" s="26"/>
      <c r="BK93" s="26">
        <f t="shared" si="27"/>
        <v>0</v>
      </c>
      <c r="BL93" s="26">
        <f t="shared" si="28"/>
        <v>0</v>
      </c>
      <c r="BM93" s="26"/>
      <c r="BN93" s="1202"/>
    </row>
    <row r="94" spans="2:66" ht="15" customHeight="1" x14ac:dyDescent="0.3">
      <c r="B94" s="4608" t="s">
        <v>931</v>
      </c>
      <c r="C94" s="4408" t="s">
        <v>1583</v>
      </c>
      <c r="D94" s="4609">
        <v>36.299999999999997</v>
      </c>
      <c r="E94" s="3846" t="s">
        <v>50</v>
      </c>
      <c r="F94" s="3436"/>
      <c r="G94" s="3437"/>
      <c r="H94" s="3436"/>
      <c r="I94" s="3437"/>
      <c r="J94" s="3438"/>
      <c r="K94" s="567"/>
      <c r="L94" s="3436"/>
      <c r="M94" s="3437"/>
      <c r="N94" s="3439"/>
      <c r="O94" s="83"/>
      <c r="P94" s="3436"/>
      <c r="Q94" s="3437"/>
      <c r="R94" s="3438"/>
      <c r="S94" s="4446"/>
      <c r="T94" s="3436"/>
      <c r="U94" s="3437"/>
      <c r="V94" s="3438"/>
      <c r="W94" s="61"/>
      <c r="X94" s="3436"/>
      <c r="Y94" s="3437"/>
      <c r="Z94" s="3433"/>
      <c r="AA94" s="5121"/>
      <c r="AB94" s="5405"/>
      <c r="AC94" s="5406"/>
      <c r="AD94" s="3436"/>
      <c r="AE94" s="3437"/>
      <c r="AF94" s="3876"/>
      <c r="AG94" s="38">
        <f t="shared" si="37"/>
        <v>0</v>
      </c>
      <c r="AH94" s="3436"/>
      <c r="AI94" s="3437"/>
      <c r="AJ94" s="3876"/>
      <c r="AK94" s="4446"/>
      <c r="AL94" s="3436"/>
      <c r="AM94" s="3437"/>
      <c r="AN94" s="3433"/>
      <c r="AO94" s="5121"/>
      <c r="AP94" s="3876"/>
      <c r="AQ94" s="4446"/>
      <c r="AR94" s="3436"/>
      <c r="AS94" s="3437"/>
      <c r="AT94" s="3876"/>
      <c r="AU94" s="61"/>
      <c r="AV94" s="3436"/>
      <c r="AW94" s="3437">
        <v>518.30800000000011</v>
      </c>
      <c r="AX94" s="3876"/>
      <c r="AY94" s="38">
        <f t="shared" si="33"/>
        <v>518.30800000000011</v>
      </c>
      <c r="AZ94" s="3436"/>
      <c r="BA94" s="3437"/>
      <c r="BB94" s="3433"/>
      <c r="BC94" s="774">
        <f t="shared" si="19"/>
        <v>518.30800000000011</v>
      </c>
      <c r="BD94" s="4610"/>
      <c r="BE94" s="695">
        <f t="shared" si="20"/>
        <v>518.30800000000011</v>
      </c>
      <c r="BF94" s="3876"/>
      <c r="BG94" s="38">
        <f t="shared" si="34"/>
        <v>518.30800000000011</v>
      </c>
      <c r="BH94" s="1520">
        <f t="shared" si="25"/>
        <v>0</v>
      </c>
      <c r="BI94" s="1520">
        <f t="shared" si="26"/>
        <v>0</v>
      </c>
      <c r="BJ94" s="26"/>
      <c r="BK94" s="26">
        <f t="shared" si="27"/>
        <v>0</v>
      </c>
      <c r="BL94" s="26">
        <f t="shared" si="28"/>
        <v>0</v>
      </c>
      <c r="BM94" s="26"/>
      <c r="BN94" s="1202"/>
    </row>
    <row r="95" spans="2:66" ht="15" customHeight="1" x14ac:dyDescent="0.3">
      <c r="B95" s="4931" t="s">
        <v>931</v>
      </c>
      <c r="C95" s="4408" t="s">
        <v>1569</v>
      </c>
      <c r="D95" s="4932">
        <v>36.299999999999997</v>
      </c>
      <c r="E95" s="199" t="s">
        <v>50</v>
      </c>
      <c r="F95" s="3436"/>
      <c r="G95" s="3437"/>
      <c r="H95" s="3436"/>
      <c r="I95" s="3437"/>
      <c r="J95" s="3438"/>
      <c r="K95" s="567"/>
      <c r="L95" s="3436"/>
      <c r="M95" s="3437"/>
      <c r="N95" s="3439"/>
      <c r="O95" s="83"/>
      <c r="P95" s="3436"/>
      <c r="Q95" s="3437"/>
      <c r="R95" s="3438"/>
      <c r="S95" s="38">
        <f t="shared" si="39"/>
        <v>0</v>
      </c>
      <c r="T95" s="3436"/>
      <c r="U95" s="3437">
        <v>84.19</v>
      </c>
      <c r="V95" s="3438"/>
      <c r="W95" s="61">
        <f t="shared" si="10"/>
        <v>84.19</v>
      </c>
      <c r="X95" s="3436"/>
      <c r="Y95" s="3437"/>
      <c r="Z95" s="3433"/>
      <c r="AA95" s="774">
        <f t="shared" si="35"/>
        <v>84.19</v>
      </c>
      <c r="AB95" s="3965"/>
      <c r="AC95" s="460">
        <f t="shared" si="36"/>
        <v>84.19</v>
      </c>
      <c r="AD95" s="3436"/>
      <c r="AE95" s="3437"/>
      <c r="AF95" s="3876"/>
      <c r="AG95" s="38">
        <f t="shared" si="37"/>
        <v>84.19</v>
      </c>
      <c r="AH95" s="3436"/>
      <c r="AI95" s="3437"/>
      <c r="AJ95" s="3876"/>
      <c r="AK95" s="38">
        <f t="shared" si="29"/>
        <v>84.19</v>
      </c>
      <c r="AL95" s="3436"/>
      <c r="AM95" s="3437"/>
      <c r="AN95" s="3433"/>
      <c r="AO95" s="774">
        <f t="shared" si="30"/>
        <v>0</v>
      </c>
      <c r="AP95" s="3876"/>
      <c r="AQ95" s="38">
        <f t="shared" si="31"/>
        <v>84.19</v>
      </c>
      <c r="AR95" s="3436"/>
      <c r="AS95" s="3437"/>
      <c r="AT95" s="3876"/>
      <c r="AU95" s="61">
        <f t="shared" si="32"/>
        <v>84.19</v>
      </c>
      <c r="AV95" s="3436"/>
      <c r="AW95" s="3437"/>
      <c r="AX95" s="3876"/>
      <c r="AY95" s="38">
        <f t="shared" si="33"/>
        <v>84.19</v>
      </c>
      <c r="AZ95" s="3436"/>
      <c r="BA95" s="3437"/>
      <c r="BB95" s="3433"/>
      <c r="BC95" s="774">
        <f t="shared" si="19"/>
        <v>0</v>
      </c>
      <c r="BD95" s="4610"/>
      <c r="BE95" s="695">
        <f t="shared" si="20"/>
        <v>0</v>
      </c>
      <c r="BF95" s="3876"/>
      <c r="BG95" s="38">
        <f t="shared" si="34"/>
        <v>84.19</v>
      </c>
      <c r="BH95" s="1520">
        <f t="shared" si="25"/>
        <v>0</v>
      </c>
      <c r="BI95" s="1520">
        <f t="shared" si="26"/>
        <v>0</v>
      </c>
      <c r="BJ95" s="26"/>
      <c r="BK95" s="26">
        <f t="shared" si="27"/>
        <v>0</v>
      </c>
      <c r="BL95" s="26">
        <f t="shared" si="28"/>
        <v>0</v>
      </c>
      <c r="BM95" s="26"/>
      <c r="BN95" s="1202"/>
    </row>
    <row r="96" spans="2:66" ht="15" customHeight="1" thickBot="1" x14ac:dyDescent="0.35">
      <c r="B96" s="3879" t="s">
        <v>931</v>
      </c>
      <c r="C96" s="2904" t="s">
        <v>1004</v>
      </c>
      <c r="D96" s="3880">
        <v>36.299999999999997</v>
      </c>
      <c r="E96" s="885" t="s">
        <v>50</v>
      </c>
      <c r="F96" s="3425"/>
      <c r="G96" s="107"/>
      <c r="H96" s="3425"/>
      <c r="I96" s="107"/>
      <c r="J96" s="2791"/>
      <c r="K96" s="4506">
        <f t="shared" si="7"/>
        <v>0</v>
      </c>
      <c r="L96" s="3425"/>
      <c r="M96" s="107"/>
      <c r="N96" s="3426"/>
      <c r="O96" s="68">
        <f t="shared" si="8"/>
        <v>0</v>
      </c>
      <c r="P96" s="3425"/>
      <c r="Q96" s="107"/>
      <c r="R96" s="2791"/>
      <c r="S96" s="38">
        <f t="shared" si="39"/>
        <v>0</v>
      </c>
      <c r="T96" s="3425"/>
      <c r="U96" s="107">
        <v>2684.4930000000008</v>
      </c>
      <c r="V96" s="2791"/>
      <c r="W96" s="61">
        <f t="shared" si="10"/>
        <v>2684.4930000000008</v>
      </c>
      <c r="X96" s="3425"/>
      <c r="Y96" s="107"/>
      <c r="Z96" s="894"/>
      <c r="AA96" s="774">
        <f t="shared" si="35"/>
        <v>2684.4930000000008</v>
      </c>
      <c r="AB96" s="3965"/>
      <c r="AC96" s="460">
        <f t="shared" si="36"/>
        <v>2684.4930000000008</v>
      </c>
      <c r="AD96" s="3425"/>
      <c r="AE96" s="107"/>
      <c r="AF96" s="1983"/>
      <c r="AG96" s="38">
        <f t="shared" si="37"/>
        <v>2684.4930000000008</v>
      </c>
      <c r="AH96" s="3425"/>
      <c r="AI96" s="107"/>
      <c r="AJ96" s="1983"/>
      <c r="AK96" s="38">
        <f t="shared" si="29"/>
        <v>2684.4930000000008</v>
      </c>
      <c r="AL96" s="3425"/>
      <c r="AM96" s="107">
        <v>2853.5940000000005</v>
      </c>
      <c r="AN96" s="894"/>
      <c r="AO96" s="774">
        <f t="shared" si="30"/>
        <v>2853.5940000000005</v>
      </c>
      <c r="AP96" s="1983"/>
      <c r="AQ96" s="38">
        <f t="shared" si="31"/>
        <v>5538.0870000000014</v>
      </c>
      <c r="AR96" s="3425"/>
      <c r="AS96" s="107"/>
      <c r="AT96" s="1983"/>
      <c r="AU96" s="38">
        <f t="shared" si="32"/>
        <v>5538.0870000000014</v>
      </c>
      <c r="AV96" s="3425"/>
      <c r="AW96" s="107">
        <v>2321.1590000000001</v>
      </c>
      <c r="AX96" s="1983"/>
      <c r="AY96" s="38">
        <f t="shared" si="33"/>
        <v>7859.246000000001</v>
      </c>
      <c r="AZ96" s="3425"/>
      <c r="BA96" s="107"/>
      <c r="BB96" s="894"/>
      <c r="BC96" s="774">
        <f t="shared" si="19"/>
        <v>2321.1590000000001</v>
      </c>
      <c r="BD96" s="895"/>
      <c r="BE96" s="695">
        <f t="shared" si="20"/>
        <v>5174.7530000000006</v>
      </c>
      <c r="BF96" s="1983"/>
      <c r="BG96" s="38">
        <f t="shared" si="34"/>
        <v>7859.246000000001</v>
      </c>
      <c r="BH96" s="1520">
        <f t="shared" si="25"/>
        <v>0</v>
      </c>
      <c r="BI96" s="1520">
        <f t="shared" si="26"/>
        <v>0</v>
      </c>
      <c r="BJ96" s="26"/>
      <c r="BK96" s="26">
        <f t="shared" si="27"/>
        <v>0</v>
      </c>
      <c r="BL96" s="26">
        <f t="shared" si="28"/>
        <v>0</v>
      </c>
      <c r="BM96" s="26"/>
      <c r="BN96" s="1202"/>
    </row>
    <row r="97" spans="1:66" ht="15" customHeight="1" x14ac:dyDescent="0.3">
      <c r="B97" s="3843" t="s">
        <v>1356</v>
      </c>
      <c r="C97" s="3844" t="s">
        <v>1336</v>
      </c>
      <c r="D97" s="3845">
        <v>50.1</v>
      </c>
      <c r="E97" s="3846" t="s">
        <v>50</v>
      </c>
      <c r="F97" s="3847"/>
      <c r="G97" s="3764"/>
      <c r="H97" s="3847"/>
      <c r="I97" s="3764">
        <v>154.215</v>
      </c>
      <c r="J97" s="3848"/>
      <c r="K97" s="4506">
        <f t="shared" ref="K97:K119" si="40">+G97+I97</f>
        <v>154.215</v>
      </c>
      <c r="L97" s="3847"/>
      <c r="M97" s="3764"/>
      <c r="N97" s="3875"/>
      <c r="O97" s="68">
        <f t="shared" ref="O97:O119" si="41">+G97+I97+M97</f>
        <v>154.215</v>
      </c>
      <c r="P97" s="3847"/>
      <c r="Q97" s="3764"/>
      <c r="R97" s="3876"/>
      <c r="S97" s="38">
        <f t="shared" si="39"/>
        <v>154.215</v>
      </c>
      <c r="T97" s="3847"/>
      <c r="U97" s="3764"/>
      <c r="V97" s="3876"/>
      <c r="W97" s="38">
        <f t="shared" ref="W97:W119" si="42">+S97+U97</f>
        <v>154.215</v>
      </c>
      <c r="X97" s="3847"/>
      <c r="Y97" s="3764">
        <v>57.984000000000009</v>
      </c>
      <c r="Z97" s="2757"/>
      <c r="AA97" s="774">
        <f t="shared" si="35"/>
        <v>57.984000000000009</v>
      </c>
      <c r="AB97" s="3965"/>
      <c r="AC97" s="460">
        <f t="shared" si="36"/>
        <v>212.19900000000001</v>
      </c>
      <c r="AD97" s="3847"/>
      <c r="AE97" s="3764"/>
      <c r="AF97" s="1983"/>
      <c r="AG97" s="38">
        <f t="shared" si="37"/>
        <v>212.19900000000001</v>
      </c>
      <c r="AH97" s="3847"/>
      <c r="AI97" s="3764">
        <v>80.192000000000007</v>
      </c>
      <c r="AJ97" s="1983"/>
      <c r="AK97" s="38">
        <f t="shared" si="29"/>
        <v>292.39100000000002</v>
      </c>
      <c r="AL97" s="3847"/>
      <c r="AM97" s="3764"/>
      <c r="AN97" s="2757"/>
      <c r="AO97" s="774">
        <f t="shared" si="30"/>
        <v>80.192000000000007</v>
      </c>
      <c r="AP97" s="1983"/>
      <c r="AQ97" s="38">
        <f t="shared" si="31"/>
        <v>292.39100000000002</v>
      </c>
      <c r="AR97" s="3847"/>
      <c r="AS97" s="3764"/>
      <c r="AT97" s="1983"/>
      <c r="AU97" s="38">
        <f t="shared" si="32"/>
        <v>292.39100000000002</v>
      </c>
      <c r="AV97" s="3847"/>
      <c r="AW97" s="3764"/>
      <c r="AX97" s="1983"/>
      <c r="AY97" s="38">
        <f t="shared" si="33"/>
        <v>292.39100000000002</v>
      </c>
      <c r="AZ97" s="3847"/>
      <c r="BA97" s="3764"/>
      <c r="BB97" s="2757"/>
      <c r="BC97" s="774">
        <f t="shared" ref="BC97:BC119" si="43">+AS97+AW97+BA97</f>
        <v>0</v>
      </c>
      <c r="BD97" s="2758"/>
      <c r="BE97" s="695">
        <f t="shared" ref="BE97:BE119" si="44">+AO97+BC97</f>
        <v>80.192000000000007</v>
      </c>
      <c r="BF97" s="1983"/>
      <c r="BG97" s="38">
        <f t="shared" si="34"/>
        <v>292.39100000000002</v>
      </c>
      <c r="BH97" s="1520">
        <f t="shared" si="25"/>
        <v>0</v>
      </c>
      <c r="BI97" s="1520">
        <f t="shared" si="26"/>
        <v>0</v>
      </c>
      <c r="BJ97" s="26"/>
      <c r="BK97" s="26">
        <f t="shared" si="27"/>
        <v>0</v>
      </c>
      <c r="BL97" s="26">
        <f t="shared" si="28"/>
        <v>0</v>
      </c>
      <c r="BM97" s="26"/>
      <c r="BN97" s="1202"/>
    </row>
    <row r="98" spans="1:66" ht="15" customHeight="1" x14ac:dyDescent="0.3">
      <c r="B98" s="3843" t="s">
        <v>1356</v>
      </c>
      <c r="C98" s="3844" t="s">
        <v>1583</v>
      </c>
      <c r="D98" s="3845">
        <v>50.1</v>
      </c>
      <c r="E98" s="3846" t="s">
        <v>50</v>
      </c>
      <c r="F98" s="3847"/>
      <c r="G98" s="3764"/>
      <c r="H98" s="3847"/>
      <c r="I98" s="3764"/>
      <c r="J98" s="3848"/>
      <c r="K98" s="4936"/>
      <c r="L98" s="3847"/>
      <c r="M98" s="3764"/>
      <c r="N98" s="3875"/>
      <c r="O98" s="4865"/>
      <c r="P98" s="3847"/>
      <c r="Q98" s="3764"/>
      <c r="R98" s="3876"/>
      <c r="S98" s="4446"/>
      <c r="T98" s="3847"/>
      <c r="U98" s="3764"/>
      <c r="V98" s="3876"/>
      <c r="W98" s="4446"/>
      <c r="X98" s="3847"/>
      <c r="Y98" s="3764"/>
      <c r="Z98" s="4959"/>
      <c r="AA98" s="774">
        <f t="shared" ref="AA98" si="45">+Q98+U98+Y98</f>
        <v>0</v>
      </c>
      <c r="AB98" s="3965"/>
      <c r="AC98" s="460">
        <f t="shared" ref="AC98" si="46">+AA98+O98</f>
        <v>0</v>
      </c>
      <c r="AD98" s="3847"/>
      <c r="AE98" s="3764">
        <v>37.005000000000003</v>
      </c>
      <c r="AF98" s="4852"/>
      <c r="AG98" s="38">
        <f t="shared" si="37"/>
        <v>37.005000000000003</v>
      </c>
      <c r="AH98" s="3847"/>
      <c r="AI98" s="3764">
        <v>715.495</v>
      </c>
      <c r="AJ98" s="4852"/>
      <c r="AK98" s="38">
        <f t="shared" si="29"/>
        <v>752.5</v>
      </c>
      <c r="AL98" s="3847"/>
      <c r="AM98" s="3764"/>
      <c r="AN98" s="4959"/>
      <c r="AO98" s="774">
        <f t="shared" si="30"/>
        <v>752.5</v>
      </c>
      <c r="AP98" s="4852"/>
      <c r="AQ98" s="38">
        <f t="shared" si="31"/>
        <v>752.5</v>
      </c>
      <c r="AR98" s="3847"/>
      <c r="AS98" s="3764"/>
      <c r="AT98" s="4852"/>
      <c r="AU98" s="4446">
        <f t="shared" si="32"/>
        <v>752.5</v>
      </c>
      <c r="AV98" s="3847"/>
      <c r="AW98" s="3764"/>
      <c r="AX98" s="4852"/>
      <c r="AY98" s="38">
        <f t="shared" si="33"/>
        <v>752.5</v>
      </c>
      <c r="AZ98" s="3847"/>
      <c r="BA98" s="3764"/>
      <c r="BB98" s="4959"/>
      <c r="BC98" s="774">
        <f t="shared" si="19"/>
        <v>0</v>
      </c>
      <c r="BD98" s="4960"/>
      <c r="BE98" s="695">
        <f t="shared" si="20"/>
        <v>752.5</v>
      </c>
      <c r="BF98" s="4852"/>
      <c r="BG98" s="38">
        <f t="shared" si="34"/>
        <v>752.5</v>
      </c>
      <c r="BH98" s="1520">
        <f t="shared" si="25"/>
        <v>0</v>
      </c>
      <c r="BI98" s="1520">
        <f t="shared" si="26"/>
        <v>0</v>
      </c>
      <c r="BJ98" s="26"/>
      <c r="BK98" s="26">
        <f t="shared" si="27"/>
        <v>0</v>
      </c>
      <c r="BL98" s="26">
        <f t="shared" si="28"/>
        <v>0</v>
      </c>
      <c r="BM98" s="26"/>
      <c r="BN98" s="1202"/>
    </row>
    <row r="99" spans="1:66" ht="15" customHeight="1" x14ac:dyDescent="0.3">
      <c r="B99" s="3843" t="s">
        <v>1356</v>
      </c>
      <c r="C99" s="3844" t="s">
        <v>1004</v>
      </c>
      <c r="D99" s="3845">
        <v>50.1</v>
      </c>
      <c r="E99" s="3846" t="s">
        <v>50</v>
      </c>
      <c r="F99" s="3847"/>
      <c r="G99" s="3764"/>
      <c r="H99" s="3847"/>
      <c r="I99" s="3764"/>
      <c r="J99" s="3848"/>
      <c r="K99" s="4936"/>
      <c r="L99" s="3847"/>
      <c r="M99" s="3764"/>
      <c r="N99" s="3875"/>
      <c r="O99" s="68">
        <f t="shared" si="41"/>
        <v>0</v>
      </c>
      <c r="P99" s="3847"/>
      <c r="Q99" s="3764"/>
      <c r="R99" s="3876"/>
      <c r="S99" s="4446"/>
      <c r="T99" s="3847"/>
      <c r="U99" s="3764"/>
      <c r="V99" s="3876"/>
      <c r="W99" s="4446"/>
      <c r="X99" s="3847"/>
      <c r="Y99" s="3764"/>
      <c r="Z99" s="4959"/>
      <c r="AA99" s="774">
        <f t="shared" si="35"/>
        <v>0</v>
      </c>
      <c r="AB99" s="5011"/>
      <c r="AC99" s="460">
        <f t="shared" si="36"/>
        <v>0</v>
      </c>
      <c r="AD99" s="3847"/>
      <c r="AE99" s="3764">
        <v>2283.5970000000002</v>
      </c>
      <c r="AF99" s="4852"/>
      <c r="AG99" s="38">
        <f t="shared" si="37"/>
        <v>2283.5970000000002</v>
      </c>
      <c r="AH99" s="3847"/>
      <c r="AI99" s="3764">
        <v>1834.63</v>
      </c>
      <c r="AJ99" s="4852"/>
      <c r="AK99" s="38">
        <f t="shared" si="29"/>
        <v>4118.2270000000008</v>
      </c>
      <c r="AL99" s="3847"/>
      <c r="AM99" s="3764">
        <v>4042.5960000000005</v>
      </c>
      <c r="AN99" s="4959"/>
      <c r="AO99" s="774">
        <f t="shared" si="30"/>
        <v>8160.8230000000012</v>
      </c>
      <c r="AP99" s="4852"/>
      <c r="AQ99" s="38">
        <f t="shared" si="31"/>
        <v>8160.8230000000012</v>
      </c>
      <c r="AR99" s="3847"/>
      <c r="AS99" s="3764">
        <v>2910.8760000000002</v>
      </c>
      <c r="AT99" s="4852"/>
      <c r="AU99" s="4446">
        <f t="shared" si="32"/>
        <v>11071.699000000001</v>
      </c>
      <c r="AV99" s="3847"/>
      <c r="AW99" s="3764"/>
      <c r="AX99" s="4852"/>
      <c r="AY99" s="38">
        <f t="shared" si="33"/>
        <v>11071.699000000001</v>
      </c>
      <c r="AZ99" s="3847"/>
      <c r="BA99" s="3764"/>
      <c r="BB99" s="4959"/>
      <c r="BC99" s="774">
        <f t="shared" ref="BC99:BC100" si="47">+AS99+AW99+BA99</f>
        <v>2910.8760000000002</v>
      </c>
      <c r="BD99" s="4960"/>
      <c r="BE99" s="695">
        <f t="shared" ref="BE99:BE100" si="48">+AO99+BC99</f>
        <v>11071.699000000001</v>
      </c>
      <c r="BF99" s="4852"/>
      <c r="BG99" s="38">
        <f t="shared" si="34"/>
        <v>11071.699000000001</v>
      </c>
      <c r="BH99" s="1520">
        <f t="shared" si="25"/>
        <v>0</v>
      </c>
      <c r="BI99" s="1520">
        <f t="shared" si="26"/>
        <v>0</v>
      </c>
      <c r="BJ99" s="26"/>
      <c r="BK99" s="26">
        <f t="shared" si="27"/>
        <v>0</v>
      </c>
      <c r="BL99" s="26">
        <f t="shared" si="28"/>
        <v>0</v>
      </c>
      <c r="BM99" s="26"/>
      <c r="BN99" s="1202"/>
    </row>
    <row r="100" spans="1:66" ht="15" customHeight="1" thickBot="1" x14ac:dyDescent="0.35">
      <c r="B100" s="3843" t="s">
        <v>1356</v>
      </c>
      <c r="C100" s="3844" t="s">
        <v>938</v>
      </c>
      <c r="D100" s="3845">
        <v>50.1</v>
      </c>
      <c r="E100" s="3846" t="s">
        <v>50</v>
      </c>
      <c r="F100" s="3847"/>
      <c r="G100" s="3764"/>
      <c r="H100" s="3847"/>
      <c r="I100" s="3764"/>
      <c r="J100" s="3848"/>
      <c r="K100" s="4843"/>
      <c r="L100" s="3847"/>
      <c r="M100" s="3764"/>
      <c r="N100" s="3875"/>
      <c r="O100" s="68">
        <f t="shared" si="41"/>
        <v>0</v>
      </c>
      <c r="P100" s="3847"/>
      <c r="Q100" s="3764"/>
      <c r="R100" s="3876"/>
      <c r="S100" s="38">
        <f t="shared" si="39"/>
        <v>0</v>
      </c>
      <c r="T100" s="3847"/>
      <c r="U100" s="3764">
        <v>203.56399999999999</v>
      </c>
      <c r="V100" s="3876"/>
      <c r="W100" s="38">
        <f t="shared" si="42"/>
        <v>203.56399999999999</v>
      </c>
      <c r="X100" s="3847"/>
      <c r="Y100" s="3764">
        <v>491.08599999999996</v>
      </c>
      <c r="Z100" s="4841"/>
      <c r="AA100" s="774">
        <f t="shared" si="35"/>
        <v>694.65</v>
      </c>
      <c r="AB100" s="3965"/>
      <c r="AC100" s="460">
        <f t="shared" si="36"/>
        <v>694.65</v>
      </c>
      <c r="AD100" s="3847"/>
      <c r="AE100" s="3764"/>
      <c r="AF100" s="4852"/>
      <c r="AG100" s="38">
        <f t="shared" si="37"/>
        <v>694.65</v>
      </c>
      <c r="AH100" s="3847"/>
      <c r="AI100" s="3764"/>
      <c r="AJ100" s="4852"/>
      <c r="AK100" s="38">
        <f t="shared" si="29"/>
        <v>694.65</v>
      </c>
      <c r="AL100" s="3847"/>
      <c r="AM100" s="3764"/>
      <c r="AN100" s="4841"/>
      <c r="AO100" s="774">
        <f t="shared" si="30"/>
        <v>0</v>
      </c>
      <c r="AP100" s="4852"/>
      <c r="AQ100" s="38">
        <f t="shared" si="31"/>
        <v>694.65</v>
      </c>
      <c r="AR100" s="3847"/>
      <c r="AS100" s="3764"/>
      <c r="AT100" s="4852"/>
      <c r="AU100" s="4446">
        <f t="shared" si="32"/>
        <v>694.65</v>
      </c>
      <c r="AV100" s="3847"/>
      <c r="AW100" s="3764"/>
      <c r="AX100" s="4852"/>
      <c r="AY100" s="38">
        <f t="shared" si="33"/>
        <v>694.65</v>
      </c>
      <c r="AZ100" s="3847"/>
      <c r="BA100" s="3764"/>
      <c r="BB100" s="4841"/>
      <c r="BC100" s="774">
        <f t="shared" si="47"/>
        <v>0</v>
      </c>
      <c r="BD100" s="4855"/>
      <c r="BE100" s="695">
        <f t="shared" si="48"/>
        <v>0</v>
      </c>
      <c r="BF100" s="4852"/>
      <c r="BG100" s="38">
        <f t="shared" si="34"/>
        <v>694.65</v>
      </c>
      <c r="BH100" s="1520">
        <f t="shared" si="25"/>
        <v>0</v>
      </c>
      <c r="BI100" s="1520">
        <f t="shared" si="26"/>
        <v>0</v>
      </c>
      <c r="BJ100" s="26"/>
      <c r="BK100" s="26">
        <f t="shared" si="27"/>
        <v>0</v>
      </c>
      <c r="BL100" s="26">
        <f t="shared" si="28"/>
        <v>0</v>
      </c>
      <c r="BM100" s="26"/>
      <c r="BN100" s="1202"/>
    </row>
    <row r="101" spans="1:66" ht="15" customHeight="1" x14ac:dyDescent="0.3">
      <c r="B101" s="2948" t="s">
        <v>1356</v>
      </c>
      <c r="C101" s="2949" t="s">
        <v>1583</v>
      </c>
      <c r="D101" s="2950">
        <v>50.1</v>
      </c>
      <c r="E101" s="1309" t="s">
        <v>50</v>
      </c>
      <c r="F101" s="2951"/>
      <c r="G101" s="87"/>
      <c r="H101" s="2951"/>
      <c r="I101" s="87"/>
      <c r="J101" s="2952"/>
      <c r="K101" s="4506">
        <f t="shared" si="40"/>
        <v>0</v>
      </c>
      <c r="L101" s="2951"/>
      <c r="M101" s="87">
        <v>589.17300000000012</v>
      </c>
      <c r="N101" s="1975"/>
      <c r="O101" s="68">
        <f t="shared" si="41"/>
        <v>589.17300000000012</v>
      </c>
      <c r="P101" s="2951"/>
      <c r="Q101" s="87"/>
      <c r="R101" s="1983"/>
      <c r="S101" s="38">
        <f t="shared" si="39"/>
        <v>589.17300000000012</v>
      </c>
      <c r="T101" s="2951"/>
      <c r="U101" s="87">
        <v>225.51100000000002</v>
      </c>
      <c r="V101" s="1983"/>
      <c r="W101" s="38">
        <f t="shared" si="42"/>
        <v>814.6840000000002</v>
      </c>
      <c r="X101" s="2951"/>
      <c r="Y101" s="87">
        <v>670.73500000000001</v>
      </c>
      <c r="Z101" s="2419"/>
      <c r="AA101" s="774">
        <f t="shared" si="35"/>
        <v>896.24600000000009</v>
      </c>
      <c r="AB101" s="3965"/>
      <c r="AC101" s="460">
        <f t="shared" si="36"/>
        <v>1485.4190000000003</v>
      </c>
      <c r="AD101" s="2951"/>
      <c r="AE101" s="87"/>
      <c r="AF101" s="1983"/>
      <c r="AG101" s="38">
        <f t="shared" si="37"/>
        <v>1485.4190000000003</v>
      </c>
      <c r="AH101" s="2951"/>
      <c r="AI101" s="87"/>
      <c r="AJ101" s="1983"/>
      <c r="AK101" s="38">
        <f t="shared" si="29"/>
        <v>1485.4190000000003</v>
      </c>
      <c r="AL101" s="2951"/>
      <c r="AM101" s="87"/>
      <c r="AN101" s="2419"/>
      <c r="AO101" s="774">
        <f t="shared" si="30"/>
        <v>0</v>
      </c>
      <c r="AP101" s="1983"/>
      <c r="AQ101" s="38">
        <f t="shared" si="31"/>
        <v>1485.4190000000003</v>
      </c>
      <c r="AR101" s="2951"/>
      <c r="AS101" s="87"/>
      <c r="AT101" s="1983"/>
      <c r="AU101" s="38">
        <f t="shared" si="32"/>
        <v>1485.4190000000003</v>
      </c>
      <c r="AV101" s="2951"/>
      <c r="AW101" s="87"/>
      <c r="AX101" s="1983"/>
      <c r="AY101" s="38">
        <f t="shared" si="33"/>
        <v>1485.4190000000003</v>
      </c>
      <c r="AZ101" s="2951"/>
      <c r="BA101" s="87"/>
      <c r="BB101" s="2419"/>
      <c r="BC101" s="774">
        <f t="shared" si="43"/>
        <v>0</v>
      </c>
      <c r="BD101" s="2423"/>
      <c r="BE101" s="695">
        <f t="shared" si="44"/>
        <v>0</v>
      </c>
      <c r="BF101" s="1983"/>
      <c r="BG101" s="38">
        <f t="shared" si="34"/>
        <v>1485.4190000000003</v>
      </c>
      <c r="BH101" s="1520">
        <f t="shared" si="25"/>
        <v>0</v>
      </c>
      <c r="BI101" s="1520">
        <f t="shared" si="26"/>
        <v>0</v>
      </c>
      <c r="BJ101" s="26"/>
      <c r="BK101" s="26">
        <f t="shared" si="27"/>
        <v>0</v>
      </c>
      <c r="BL101" s="26">
        <f t="shared" si="28"/>
        <v>0</v>
      </c>
      <c r="BM101" s="26"/>
      <c r="BN101" s="1202"/>
    </row>
    <row r="102" spans="1:66" ht="15" customHeight="1" thickBot="1" x14ac:dyDescent="0.35">
      <c r="A102" s="527"/>
      <c r="B102" s="2953" t="s">
        <v>1356</v>
      </c>
      <c r="C102" s="2954" t="s">
        <v>1004</v>
      </c>
      <c r="D102" s="2955">
        <v>50.1</v>
      </c>
      <c r="E102" s="1392" t="s">
        <v>50</v>
      </c>
      <c r="F102" s="2956"/>
      <c r="G102" s="37"/>
      <c r="H102" s="2956"/>
      <c r="I102" s="37">
        <v>2403.8919999999998</v>
      </c>
      <c r="J102" s="2957"/>
      <c r="K102" s="4506">
        <f t="shared" si="40"/>
        <v>2403.8919999999998</v>
      </c>
      <c r="L102" s="2956"/>
      <c r="M102" s="37">
        <v>2503.5359999999991</v>
      </c>
      <c r="N102" s="1975"/>
      <c r="O102" s="68">
        <f t="shared" si="41"/>
        <v>4907.427999999999</v>
      </c>
      <c r="P102" s="2956"/>
      <c r="Q102" s="37"/>
      <c r="R102" s="1983"/>
      <c r="S102" s="38">
        <f t="shared" si="39"/>
        <v>4907.427999999999</v>
      </c>
      <c r="T102" s="2956"/>
      <c r="U102" s="37">
        <v>1993.4839999999992</v>
      </c>
      <c r="V102" s="1983"/>
      <c r="W102" s="38">
        <f t="shared" si="42"/>
        <v>6900.9119999999984</v>
      </c>
      <c r="X102" s="2956"/>
      <c r="Y102" s="37">
        <v>2375.6079999999997</v>
      </c>
      <c r="Z102" s="894"/>
      <c r="AA102" s="774">
        <f t="shared" si="35"/>
        <v>4369.0919999999987</v>
      </c>
      <c r="AB102" s="3965"/>
      <c r="AC102" s="460">
        <f t="shared" si="36"/>
        <v>9276.5199999999968</v>
      </c>
      <c r="AD102" s="2956"/>
      <c r="AE102" s="37"/>
      <c r="AF102" s="1983"/>
      <c r="AG102" s="38">
        <f t="shared" si="37"/>
        <v>9276.5199999999968</v>
      </c>
      <c r="AH102" s="2956"/>
      <c r="AI102" s="37"/>
      <c r="AJ102" s="1983"/>
      <c r="AK102" s="38">
        <f t="shared" si="29"/>
        <v>9276.5199999999968</v>
      </c>
      <c r="AL102" s="2956"/>
      <c r="AM102" s="37"/>
      <c r="AN102" s="894"/>
      <c r="AO102" s="774">
        <f t="shared" si="30"/>
        <v>0</v>
      </c>
      <c r="AP102" s="1983"/>
      <c r="AQ102" s="38">
        <f t="shared" si="31"/>
        <v>9276.5199999999968</v>
      </c>
      <c r="AR102" s="2956"/>
      <c r="AS102" s="37"/>
      <c r="AT102" s="1983"/>
      <c r="AU102" s="38">
        <f t="shared" si="32"/>
        <v>9276.5199999999968</v>
      </c>
      <c r="AV102" s="2956"/>
      <c r="AW102" s="37"/>
      <c r="AX102" s="1983"/>
      <c r="AY102" s="38">
        <f t="shared" si="33"/>
        <v>9276.5199999999968</v>
      </c>
      <c r="AZ102" s="2956"/>
      <c r="BA102" s="37"/>
      <c r="BB102" s="894"/>
      <c r="BC102" s="774">
        <f t="shared" si="43"/>
        <v>0</v>
      </c>
      <c r="BD102" s="895"/>
      <c r="BE102" s="695">
        <f t="shared" si="44"/>
        <v>0</v>
      </c>
      <c r="BF102" s="1983"/>
      <c r="BG102" s="38">
        <f t="shared" si="34"/>
        <v>9276.5199999999968</v>
      </c>
      <c r="BH102" s="1520">
        <f t="shared" si="25"/>
        <v>0</v>
      </c>
      <c r="BI102" s="1520">
        <f t="shared" si="26"/>
        <v>0</v>
      </c>
      <c r="BJ102" s="26"/>
      <c r="BK102" s="26">
        <f t="shared" si="27"/>
        <v>0</v>
      </c>
      <c r="BL102" s="26">
        <f t="shared" si="28"/>
        <v>0</v>
      </c>
      <c r="BM102" s="26"/>
      <c r="BN102" s="1202"/>
    </row>
    <row r="103" spans="1:66" ht="15" customHeight="1" thickBot="1" x14ac:dyDescent="0.35">
      <c r="A103" s="527"/>
      <c r="B103" s="2971" t="s">
        <v>902</v>
      </c>
      <c r="C103" s="2972"/>
      <c r="D103" s="2973"/>
      <c r="E103" s="2974" t="s">
        <v>50</v>
      </c>
      <c r="F103" s="2975"/>
      <c r="G103" s="87">
        <v>4.0599999999999996</v>
      </c>
      <c r="H103" s="2975"/>
      <c r="I103" s="87">
        <v>31.97</v>
      </c>
      <c r="J103" s="2976"/>
      <c r="K103" s="4506">
        <f t="shared" si="40"/>
        <v>36.03</v>
      </c>
      <c r="L103" s="2975"/>
      <c r="M103" s="87">
        <v>0.51</v>
      </c>
      <c r="N103" s="1976"/>
      <c r="O103" s="68">
        <f t="shared" si="41"/>
        <v>36.54</v>
      </c>
      <c r="P103" s="2975"/>
      <c r="Q103" s="87"/>
      <c r="R103" s="1984"/>
      <c r="S103" s="38">
        <f t="shared" si="39"/>
        <v>36.54</v>
      </c>
      <c r="T103" s="2975"/>
      <c r="U103" s="87">
        <v>15.84</v>
      </c>
      <c r="V103" s="1984"/>
      <c r="W103" s="38">
        <f t="shared" si="42"/>
        <v>52.379999999999995</v>
      </c>
      <c r="X103" s="2975"/>
      <c r="Y103" s="87">
        <v>0.88</v>
      </c>
      <c r="Z103" s="896"/>
      <c r="AA103" s="774">
        <f t="shared" si="35"/>
        <v>16.72</v>
      </c>
      <c r="AB103" s="3965"/>
      <c r="AC103" s="460">
        <f t="shared" si="36"/>
        <v>53.26</v>
      </c>
      <c r="AD103" s="2975"/>
      <c r="AE103" s="87">
        <v>94.53</v>
      </c>
      <c r="AF103" s="1984"/>
      <c r="AG103" s="38">
        <f t="shared" si="37"/>
        <v>147.79</v>
      </c>
      <c r="AH103" s="2975"/>
      <c r="AI103" s="87">
        <v>0.5</v>
      </c>
      <c r="AJ103" s="1984"/>
      <c r="AK103" s="38">
        <f t="shared" si="29"/>
        <v>148.29</v>
      </c>
      <c r="AL103" s="2975"/>
      <c r="AM103" s="87">
        <v>14.77</v>
      </c>
      <c r="AN103" s="896"/>
      <c r="AO103" s="774">
        <f t="shared" si="30"/>
        <v>109.8</v>
      </c>
      <c r="AP103" s="1984"/>
      <c r="AQ103" s="38">
        <f t="shared" si="31"/>
        <v>163.06</v>
      </c>
      <c r="AR103" s="2975"/>
      <c r="AS103" s="93">
        <v>7.09</v>
      </c>
      <c r="AT103" s="1984"/>
      <c r="AU103" s="38">
        <f t="shared" si="32"/>
        <v>170.15</v>
      </c>
      <c r="AV103" s="2975"/>
      <c r="AW103" s="93">
        <v>7.1</v>
      </c>
      <c r="AX103" s="1984"/>
      <c r="AY103" s="38">
        <f t="shared" ref="AY103:AY119" si="49">+AU103+AW103</f>
        <v>177.25</v>
      </c>
      <c r="AZ103" s="2975"/>
      <c r="BA103" s="93">
        <v>2.0300000000000002</v>
      </c>
      <c r="BB103" s="896"/>
      <c r="BC103" s="774">
        <f t="shared" si="43"/>
        <v>16.22</v>
      </c>
      <c r="BD103" s="897"/>
      <c r="BE103" s="695">
        <f t="shared" si="44"/>
        <v>126.02</v>
      </c>
      <c r="BF103" s="1984"/>
      <c r="BG103" s="38">
        <f t="shared" si="34"/>
        <v>179.28</v>
      </c>
      <c r="BH103" s="1520">
        <f t="shared" si="25"/>
        <v>0</v>
      </c>
      <c r="BI103" s="1520">
        <f t="shared" si="26"/>
        <v>0</v>
      </c>
      <c r="BJ103" s="26"/>
      <c r="BK103" s="26">
        <f t="shared" si="27"/>
        <v>0</v>
      </c>
      <c r="BL103" s="26">
        <f t="shared" si="28"/>
        <v>0</v>
      </c>
      <c r="BM103" s="26"/>
      <c r="BN103" s="1202"/>
    </row>
    <row r="104" spans="1:66" ht="15" customHeight="1" x14ac:dyDescent="0.3">
      <c r="A104" s="527"/>
      <c r="B104" s="2971" t="s">
        <v>1810</v>
      </c>
      <c r="C104" s="3849"/>
      <c r="D104" s="3850"/>
      <c r="E104" s="2974" t="s">
        <v>50</v>
      </c>
      <c r="F104" s="3851"/>
      <c r="G104" s="28"/>
      <c r="H104" s="3851"/>
      <c r="I104" s="28">
        <v>1.7999999999999998</v>
      </c>
      <c r="J104" s="3852"/>
      <c r="K104" s="4506">
        <f t="shared" si="40"/>
        <v>1.7999999999999998</v>
      </c>
      <c r="L104" s="3851"/>
      <c r="M104" s="28">
        <v>1.81</v>
      </c>
      <c r="N104" s="1976"/>
      <c r="O104" s="68">
        <f t="shared" si="41"/>
        <v>3.61</v>
      </c>
      <c r="P104" s="3851"/>
      <c r="Q104" s="28"/>
      <c r="R104" s="1984"/>
      <c r="S104" s="38">
        <f t="shared" si="39"/>
        <v>3.61</v>
      </c>
      <c r="T104" s="3851"/>
      <c r="U104" s="28">
        <v>12.69</v>
      </c>
      <c r="V104" s="1984"/>
      <c r="W104" s="38">
        <f t="shared" si="42"/>
        <v>16.3</v>
      </c>
      <c r="X104" s="3851"/>
      <c r="Y104" s="28">
        <v>15.24</v>
      </c>
      <c r="Z104" s="3853"/>
      <c r="AA104" s="774">
        <f t="shared" si="35"/>
        <v>27.93</v>
      </c>
      <c r="AB104" s="3969"/>
      <c r="AC104" s="460">
        <f t="shared" si="36"/>
        <v>31.54</v>
      </c>
      <c r="AD104" s="3851"/>
      <c r="AE104" s="28"/>
      <c r="AF104" s="1984"/>
      <c r="AG104" s="38">
        <f t="shared" si="37"/>
        <v>31.54</v>
      </c>
      <c r="AH104" s="3851"/>
      <c r="AI104" s="28"/>
      <c r="AJ104" s="1984"/>
      <c r="AK104" s="38">
        <f t="shared" si="29"/>
        <v>31.54</v>
      </c>
      <c r="AL104" s="3851"/>
      <c r="AM104" s="28"/>
      <c r="AN104" s="3853"/>
      <c r="AO104" s="774">
        <f t="shared" si="30"/>
        <v>0</v>
      </c>
      <c r="AP104" s="1984"/>
      <c r="AQ104" s="38">
        <f t="shared" si="31"/>
        <v>31.54</v>
      </c>
      <c r="AR104" s="3851"/>
      <c r="AS104" s="545">
        <v>0.69</v>
      </c>
      <c r="AT104" s="1984"/>
      <c r="AU104" s="38">
        <f t="shared" si="32"/>
        <v>32.229999999999997</v>
      </c>
      <c r="AV104" s="3851"/>
      <c r="AW104" s="545"/>
      <c r="AX104" s="1984"/>
      <c r="AY104" s="38">
        <f t="shared" si="49"/>
        <v>32.229999999999997</v>
      </c>
      <c r="AZ104" s="3851"/>
      <c r="BA104" s="545">
        <v>9.0300000000000011</v>
      </c>
      <c r="BB104" s="3853"/>
      <c r="BC104" s="774">
        <f t="shared" si="43"/>
        <v>9.7200000000000006</v>
      </c>
      <c r="BD104" s="3854"/>
      <c r="BE104" s="695">
        <f t="shared" si="44"/>
        <v>9.7200000000000006</v>
      </c>
      <c r="BF104" s="1984"/>
      <c r="BG104" s="38">
        <f t="shared" si="34"/>
        <v>41.26</v>
      </c>
      <c r="BH104" s="1520">
        <f t="shared" si="25"/>
        <v>0</v>
      </c>
      <c r="BI104" s="1520">
        <f t="shared" si="26"/>
        <v>0</v>
      </c>
      <c r="BJ104" s="26"/>
      <c r="BK104" s="26">
        <f t="shared" si="27"/>
        <v>0</v>
      </c>
      <c r="BL104" s="26">
        <f t="shared" si="28"/>
        <v>0</v>
      </c>
      <c r="BM104" s="26"/>
      <c r="BN104" s="1202"/>
    </row>
    <row r="105" spans="1:66" ht="15" customHeight="1" x14ac:dyDescent="0.3">
      <c r="A105" s="527"/>
      <c r="B105" s="1617" t="s">
        <v>903</v>
      </c>
      <c r="C105" s="1618"/>
      <c r="D105" s="2977"/>
      <c r="E105" s="1997" t="s">
        <v>50</v>
      </c>
      <c r="F105" s="1962"/>
      <c r="G105" s="18">
        <v>91.18</v>
      </c>
      <c r="H105" s="1962"/>
      <c r="I105" s="18">
        <v>124.83</v>
      </c>
      <c r="J105" s="1967"/>
      <c r="K105" s="4506">
        <f t="shared" si="40"/>
        <v>216.01</v>
      </c>
      <c r="L105" s="1962"/>
      <c r="M105" s="18">
        <v>5.03</v>
      </c>
      <c r="N105" s="1976"/>
      <c r="O105" s="68">
        <f t="shared" si="41"/>
        <v>221.04</v>
      </c>
      <c r="P105" s="1962"/>
      <c r="Q105" s="18">
        <v>133.46</v>
      </c>
      <c r="R105" s="1984"/>
      <c r="S105" s="38">
        <f t="shared" si="39"/>
        <v>354.5</v>
      </c>
      <c r="T105" s="1962"/>
      <c r="U105" s="18">
        <v>85.7</v>
      </c>
      <c r="V105" s="1984"/>
      <c r="W105" s="38">
        <f t="shared" si="42"/>
        <v>440.2</v>
      </c>
      <c r="X105" s="1962"/>
      <c r="Y105" s="18">
        <v>11.05</v>
      </c>
      <c r="Z105" s="896"/>
      <c r="AA105" s="774">
        <f t="shared" si="35"/>
        <v>230.21000000000004</v>
      </c>
      <c r="AB105" s="3968"/>
      <c r="AC105" s="460">
        <f t="shared" si="36"/>
        <v>451.25</v>
      </c>
      <c r="AD105" s="1962"/>
      <c r="AE105" s="18">
        <v>49.15</v>
      </c>
      <c r="AF105" s="1984"/>
      <c r="AG105" s="38">
        <f t="shared" si="37"/>
        <v>500.4</v>
      </c>
      <c r="AH105" s="1962"/>
      <c r="AI105" s="18">
        <v>46.77</v>
      </c>
      <c r="AJ105" s="1984"/>
      <c r="AK105" s="38">
        <f t="shared" si="29"/>
        <v>547.16999999999996</v>
      </c>
      <c r="AL105" s="1962"/>
      <c r="AM105" s="18">
        <v>16.05</v>
      </c>
      <c r="AN105" s="896"/>
      <c r="AO105" s="774">
        <f t="shared" si="30"/>
        <v>111.97</v>
      </c>
      <c r="AP105" s="1984"/>
      <c r="AQ105" s="38">
        <f t="shared" si="31"/>
        <v>563.21999999999991</v>
      </c>
      <c r="AR105" s="1962"/>
      <c r="AS105" s="81">
        <f>214.13+277.49</f>
        <v>491.62</v>
      </c>
      <c r="AT105" s="1984"/>
      <c r="AU105" s="38">
        <f t="shared" si="32"/>
        <v>1054.8399999999999</v>
      </c>
      <c r="AV105" s="1962"/>
      <c r="AW105" s="81">
        <v>11.51</v>
      </c>
      <c r="AX105" s="1984"/>
      <c r="AY105" s="38">
        <f t="shared" si="49"/>
        <v>1066.3499999999999</v>
      </c>
      <c r="AZ105" s="1962"/>
      <c r="BA105" s="81">
        <v>26.5</v>
      </c>
      <c r="BB105" s="896"/>
      <c r="BC105" s="774">
        <f t="shared" si="43"/>
        <v>529.63</v>
      </c>
      <c r="BD105" s="897"/>
      <c r="BE105" s="695">
        <f t="shared" si="44"/>
        <v>641.6</v>
      </c>
      <c r="BF105" s="1984"/>
      <c r="BG105" s="38">
        <f t="shared" si="34"/>
        <v>1092.8499999999999</v>
      </c>
      <c r="BH105" s="1520">
        <f t="shared" si="25"/>
        <v>0</v>
      </c>
      <c r="BI105" s="1520">
        <f t="shared" si="26"/>
        <v>0</v>
      </c>
      <c r="BJ105" s="26"/>
      <c r="BK105" s="26">
        <f t="shared" si="27"/>
        <v>0</v>
      </c>
      <c r="BL105" s="26">
        <f t="shared" si="28"/>
        <v>0</v>
      </c>
      <c r="BM105" s="26"/>
      <c r="BN105" s="1202"/>
    </row>
    <row r="106" spans="1:66" ht="15" customHeight="1" x14ac:dyDescent="0.3">
      <c r="A106" s="527"/>
      <c r="B106" s="1617" t="s">
        <v>1005</v>
      </c>
      <c r="C106" s="1618"/>
      <c r="D106" s="2977"/>
      <c r="E106" s="1997" t="s">
        <v>50</v>
      </c>
      <c r="F106" s="1962"/>
      <c r="G106" s="18">
        <v>94.66</v>
      </c>
      <c r="H106" s="1962"/>
      <c r="I106" s="18">
        <v>10.050000000000001</v>
      </c>
      <c r="J106" s="1967"/>
      <c r="K106" s="4506">
        <f t="shared" si="40"/>
        <v>104.71</v>
      </c>
      <c r="L106" s="1962"/>
      <c r="M106" s="18">
        <v>2.42</v>
      </c>
      <c r="N106" s="1976"/>
      <c r="O106" s="68">
        <f t="shared" si="41"/>
        <v>107.13</v>
      </c>
      <c r="P106" s="1962"/>
      <c r="Q106" s="18">
        <v>45.37</v>
      </c>
      <c r="R106" s="1984"/>
      <c r="S106" s="38">
        <f t="shared" si="39"/>
        <v>152.5</v>
      </c>
      <c r="T106" s="1962"/>
      <c r="U106" s="18">
        <v>86.05</v>
      </c>
      <c r="V106" s="1984"/>
      <c r="W106" s="38">
        <f t="shared" si="42"/>
        <v>238.55</v>
      </c>
      <c r="X106" s="1962"/>
      <c r="Y106" s="18">
        <v>39.659999999999997</v>
      </c>
      <c r="Z106" s="896"/>
      <c r="AA106" s="774">
        <f t="shared" si="35"/>
        <v>171.07999999999998</v>
      </c>
      <c r="AB106" s="3968"/>
      <c r="AC106" s="460">
        <f t="shared" si="36"/>
        <v>278.20999999999998</v>
      </c>
      <c r="AD106" s="1962"/>
      <c r="AE106" s="18">
        <v>115.23</v>
      </c>
      <c r="AF106" s="1984"/>
      <c r="AG106" s="38">
        <f t="shared" si="37"/>
        <v>393.44</v>
      </c>
      <c r="AH106" s="1962"/>
      <c r="AI106" s="18">
        <v>5.64</v>
      </c>
      <c r="AJ106" s="1984"/>
      <c r="AK106" s="38">
        <f t="shared" si="29"/>
        <v>399.08</v>
      </c>
      <c r="AL106" s="1962"/>
      <c r="AM106" s="18"/>
      <c r="AN106" s="896"/>
      <c r="AO106" s="774">
        <f t="shared" si="30"/>
        <v>120.87</v>
      </c>
      <c r="AP106" s="1984"/>
      <c r="AQ106" s="38">
        <f t="shared" si="31"/>
        <v>399.08</v>
      </c>
      <c r="AR106" s="1962"/>
      <c r="AS106" s="81">
        <v>93.48</v>
      </c>
      <c r="AT106" s="1984"/>
      <c r="AU106" s="38">
        <f t="shared" si="32"/>
        <v>492.56</v>
      </c>
      <c r="AV106" s="1962"/>
      <c r="AW106" s="81">
        <v>23.62</v>
      </c>
      <c r="AX106" s="1984"/>
      <c r="AY106" s="38">
        <f t="shared" si="49"/>
        <v>516.17999999999995</v>
      </c>
      <c r="AZ106" s="1962"/>
      <c r="BA106" s="81">
        <v>34.659999999999997</v>
      </c>
      <c r="BB106" s="896"/>
      <c r="BC106" s="774">
        <f t="shared" si="43"/>
        <v>151.76</v>
      </c>
      <c r="BD106" s="897"/>
      <c r="BE106" s="695">
        <f t="shared" si="44"/>
        <v>272.63</v>
      </c>
      <c r="BF106" s="1984"/>
      <c r="BG106" s="38">
        <f t="shared" si="34"/>
        <v>550.83999999999992</v>
      </c>
      <c r="BH106" s="1520">
        <f t="shared" si="25"/>
        <v>0</v>
      </c>
      <c r="BI106" s="1520">
        <f t="shared" si="26"/>
        <v>0</v>
      </c>
      <c r="BJ106" s="26"/>
      <c r="BK106" s="26">
        <f t="shared" si="27"/>
        <v>0</v>
      </c>
      <c r="BL106" s="26">
        <f t="shared" si="28"/>
        <v>0</v>
      </c>
      <c r="BM106" s="26"/>
      <c r="BN106" s="1202"/>
    </row>
    <row r="107" spans="1:66" ht="15" customHeight="1" x14ac:dyDescent="0.3">
      <c r="A107" s="527"/>
      <c r="B107" s="1617" t="s">
        <v>1261</v>
      </c>
      <c r="C107" s="1618"/>
      <c r="D107" s="2977"/>
      <c r="E107" s="1997" t="s">
        <v>50</v>
      </c>
      <c r="F107" s="1962"/>
      <c r="G107" s="18">
        <v>2.04</v>
      </c>
      <c r="H107" s="1962"/>
      <c r="I107" s="18">
        <v>32.380000000000003</v>
      </c>
      <c r="J107" s="1967"/>
      <c r="K107" s="4506">
        <f t="shared" si="40"/>
        <v>34.42</v>
      </c>
      <c r="L107" s="1962"/>
      <c r="M107" s="18">
        <v>8.6999999999999993</v>
      </c>
      <c r="N107" s="1976"/>
      <c r="O107" s="68">
        <f t="shared" si="41"/>
        <v>43.120000000000005</v>
      </c>
      <c r="P107" s="1962"/>
      <c r="Q107" s="18"/>
      <c r="R107" s="1984"/>
      <c r="S107" s="38">
        <f t="shared" si="39"/>
        <v>43.120000000000005</v>
      </c>
      <c r="T107" s="1962"/>
      <c r="U107" s="18">
        <v>20.239999999999998</v>
      </c>
      <c r="V107" s="1984"/>
      <c r="W107" s="38">
        <f t="shared" si="42"/>
        <v>63.36</v>
      </c>
      <c r="X107" s="1962"/>
      <c r="Y107" s="18">
        <v>22.31</v>
      </c>
      <c r="Z107" s="896"/>
      <c r="AA107" s="774">
        <f t="shared" si="35"/>
        <v>42.55</v>
      </c>
      <c r="AB107" s="3968"/>
      <c r="AC107" s="460">
        <f t="shared" si="36"/>
        <v>85.67</v>
      </c>
      <c r="AD107" s="1962"/>
      <c r="AE107" s="18"/>
      <c r="AF107" s="1984"/>
      <c r="AG107" s="38">
        <f t="shared" si="37"/>
        <v>85.67</v>
      </c>
      <c r="AH107" s="1962"/>
      <c r="AI107" s="18">
        <v>75.069999999999993</v>
      </c>
      <c r="AJ107" s="1984"/>
      <c r="AK107" s="38">
        <f t="shared" si="29"/>
        <v>160.74</v>
      </c>
      <c r="AL107" s="1962"/>
      <c r="AM107" s="18">
        <v>29.37</v>
      </c>
      <c r="AN107" s="896"/>
      <c r="AO107" s="774">
        <f t="shared" si="30"/>
        <v>104.44</v>
      </c>
      <c r="AP107" s="1984"/>
      <c r="AQ107" s="38">
        <f t="shared" si="31"/>
        <v>190.11</v>
      </c>
      <c r="AR107" s="1962"/>
      <c r="AS107" s="81">
        <v>2.1800000000000002</v>
      </c>
      <c r="AT107" s="1984"/>
      <c r="AU107" s="38">
        <f t="shared" si="32"/>
        <v>192.29000000000002</v>
      </c>
      <c r="AV107" s="1962"/>
      <c r="AW107" s="81">
        <v>2.99</v>
      </c>
      <c r="AX107" s="1984"/>
      <c r="AY107" s="38">
        <f t="shared" si="49"/>
        <v>195.28000000000003</v>
      </c>
      <c r="AZ107" s="1962"/>
      <c r="BA107" s="81">
        <v>57.13</v>
      </c>
      <c r="BB107" s="896"/>
      <c r="BC107" s="774">
        <f t="shared" si="43"/>
        <v>62.300000000000004</v>
      </c>
      <c r="BD107" s="897"/>
      <c r="BE107" s="695">
        <f t="shared" si="44"/>
        <v>166.74</v>
      </c>
      <c r="BF107" s="1984"/>
      <c r="BG107" s="38">
        <f t="shared" si="34"/>
        <v>252.41000000000003</v>
      </c>
      <c r="BH107" s="1520">
        <f t="shared" si="25"/>
        <v>0</v>
      </c>
      <c r="BI107" s="1520">
        <f t="shared" si="26"/>
        <v>0</v>
      </c>
      <c r="BJ107" s="26"/>
      <c r="BK107" s="26">
        <f t="shared" si="27"/>
        <v>0</v>
      </c>
      <c r="BL107" s="26">
        <f t="shared" si="28"/>
        <v>0</v>
      </c>
      <c r="BM107" s="26"/>
      <c r="BN107" s="1202"/>
    </row>
    <row r="108" spans="1:66" ht="15" customHeight="1" x14ac:dyDescent="0.3">
      <c r="A108" s="527"/>
      <c r="B108" s="1617" t="s">
        <v>1288</v>
      </c>
      <c r="C108" s="1618"/>
      <c r="D108" s="2977"/>
      <c r="E108" s="1997" t="s">
        <v>50</v>
      </c>
      <c r="F108" s="1962"/>
      <c r="G108" s="18">
        <v>183.69</v>
      </c>
      <c r="H108" s="1962"/>
      <c r="I108" s="18">
        <v>62.22</v>
      </c>
      <c r="J108" s="1967"/>
      <c r="K108" s="4506">
        <f t="shared" si="40"/>
        <v>245.91</v>
      </c>
      <c r="L108" s="1962"/>
      <c r="M108" s="18">
        <v>37.58</v>
      </c>
      <c r="N108" s="1976"/>
      <c r="O108" s="68">
        <f t="shared" si="41"/>
        <v>283.49</v>
      </c>
      <c r="P108" s="1962"/>
      <c r="Q108" s="18">
        <v>9.5399999999999991</v>
      </c>
      <c r="R108" s="1984"/>
      <c r="S108" s="38">
        <f t="shared" si="39"/>
        <v>293.03000000000003</v>
      </c>
      <c r="T108" s="1962"/>
      <c r="U108" s="18">
        <v>24.71</v>
      </c>
      <c r="V108" s="1984"/>
      <c r="W108" s="38">
        <f t="shared" si="42"/>
        <v>317.74</v>
      </c>
      <c r="X108" s="1962"/>
      <c r="Y108" s="18">
        <v>2.94</v>
      </c>
      <c r="Z108" s="896"/>
      <c r="AA108" s="774">
        <f t="shared" si="35"/>
        <v>37.19</v>
      </c>
      <c r="AB108" s="3968"/>
      <c r="AC108" s="460">
        <f t="shared" si="36"/>
        <v>320.68</v>
      </c>
      <c r="AD108" s="1962"/>
      <c r="AE108" s="18"/>
      <c r="AF108" s="1984"/>
      <c r="AG108" s="38">
        <f t="shared" si="37"/>
        <v>320.68</v>
      </c>
      <c r="AH108" s="1962"/>
      <c r="AI108" s="18">
        <v>2.94</v>
      </c>
      <c r="AJ108" s="1984"/>
      <c r="AK108" s="38">
        <f t="shared" si="29"/>
        <v>323.62</v>
      </c>
      <c r="AL108" s="1962"/>
      <c r="AM108" s="18">
        <v>1.22</v>
      </c>
      <c r="AN108" s="896"/>
      <c r="AO108" s="774">
        <f t="shared" si="30"/>
        <v>4.16</v>
      </c>
      <c r="AP108" s="1984"/>
      <c r="AQ108" s="38">
        <f t="shared" si="31"/>
        <v>324.84000000000003</v>
      </c>
      <c r="AR108" s="1962"/>
      <c r="AS108" s="81">
        <v>2.93</v>
      </c>
      <c r="AT108" s="1984"/>
      <c r="AU108" s="38">
        <f t="shared" si="32"/>
        <v>327.77000000000004</v>
      </c>
      <c r="AV108" s="1962"/>
      <c r="AW108" s="81">
        <v>2.8</v>
      </c>
      <c r="AX108" s="1984"/>
      <c r="AY108" s="38">
        <f t="shared" si="49"/>
        <v>330.57000000000005</v>
      </c>
      <c r="AZ108" s="1962"/>
      <c r="BA108" s="81">
        <v>9.0399999999999991</v>
      </c>
      <c r="BB108" s="896"/>
      <c r="BC108" s="774">
        <f t="shared" si="43"/>
        <v>14.77</v>
      </c>
      <c r="BD108" s="897"/>
      <c r="BE108" s="695">
        <f t="shared" si="44"/>
        <v>18.93</v>
      </c>
      <c r="BF108" s="1984"/>
      <c r="BG108" s="38">
        <f t="shared" si="34"/>
        <v>339.61000000000007</v>
      </c>
      <c r="BH108" s="1520">
        <f t="shared" si="25"/>
        <v>0</v>
      </c>
      <c r="BI108" s="1520">
        <f t="shared" si="26"/>
        <v>0</v>
      </c>
      <c r="BJ108" s="26"/>
      <c r="BK108" s="26">
        <f t="shared" si="27"/>
        <v>0</v>
      </c>
      <c r="BL108" s="26">
        <f t="shared" si="28"/>
        <v>0</v>
      </c>
      <c r="BM108" s="26"/>
      <c r="BN108" s="1202"/>
    </row>
    <row r="109" spans="1:66" ht="15" customHeight="1" x14ac:dyDescent="0.3">
      <c r="A109" s="527"/>
      <c r="B109" s="1617" t="s">
        <v>1605</v>
      </c>
      <c r="C109" s="1618"/>
      <c r="D109" s="2977"/>
      <c r="E109" s="1997" t="s">
        <v>50</v>
      </c>
      <c r="F109" s="1962"/>
      <c r="G109" s="18"/>
      <c r="H109" s="1962"/>
      <c r="I109" s="18"/>
      <c r="J109" s="1967"/>
      <c r="K109" s="4506">
        <f t="shared" si="40"/>
        <v>0</v>
      </c>
      <c r="L109" s="1962"/>
      <c r="M109" s="18"/>
      <c r="N109" s="1976"/>
      <c r="O109" s="68">
        <f t="shared" si="41"/>
        <v>0</v>
      </c>
      <c r="P109" s="1962"/>
      <c r="Q109" s="18"/>
      <c r="R109" s="1984"/>
      <c r="S109" s="38">
        <f t="shared" si="39"/>
        <v>0</v>
      </c>
      <c r="T109" s="1962"/>
      <c r="U109" s="18"/>
      <c r="V109" s="1984"/>
      <c r="W109" s="38">
        <f t="shared" si="42"/>
        <v>0</v>
      </c>
      <c r="X109" s="1962"/>
      <c r="Y109" s="18"/>
      <c r="Z109" s="896"/>
      <c r="AA109" s="774">
        <f t="shared" si="35"/>
        <v>0</v>
      </c>
      <c r="AB109" s="3968"/>
      <c r="AC109" s="460">
        <f t="shared" si="36"/>
        <v>0</v>
      </c>
      <c r="AD109" s="1962"/>
      <c r="AE109" s="18"/>
      <c r="AF109" s="1984"/>
      <c r="AG109" s="38">
        <f t="shared" si="37"/>
        <v>0</v>
      </c>
      <c r="AH109" s="1962"/>
      <c r="AI109" s="18"/>
      <c r="AJ109" s="1984"/>
      <c r="AK109" s="38">
        <f t="shared" si="29"/>
        <v>0</v>
      </c>
      <c r="AL109" s="1962"/>
      <c r="AM109" s="18"/>
      <c r="AN109" s="896"/>
      <c r="AO109" s="774">
        <f t="shared" si="30"/>
        <v>0</v>
      </c>
      <c r="AP109" s="1984"/>
      <c r="AQ109" s="38">
        <f t="shared" si="31"/>
        <v>0</v>
      </c>
      <c r="AR109" s="1962"/>
      <c r="AS109" s="81"/>
      <c r="AT109" s="1984"/>
      <c r="AU109" s="38">
        <f t="shared" si="32"/>
        <v>0</v>
      </c>
      <c r="AV109" s="1962"/>
      <c r="AW109" s="81"/>
      <c r="AX109" s="1984"/>
      <c r="AY109" s="38">
        <f t="shared" si="49"/>
        <v>0</v>
      </c>
      <c r="AZ109" s="1962"/>
      <c r="BA109" s="81"/>
      <c r="BB109" s="896"/>
      <c r="BC109" s="774">
        <f t="shared" si="43"/>
        <v>0</v>
      </c>
      <c r="BD109" s="897"/>
      <c r="BE109" s="695">
        <f t="shared" si="44"/>
        <v>0</v>
      </c>
      <c r="BF109" s="1984"/>
      <c r="BG109" s="38">
        <f t="shared" si="34"/>
        <v>0</v>
      </c>
      <c r="BH109" s="1520">
        <f t="shared" si="25"/>
        <v>0</v>
      </c>
      <c r="BI109" s="1520">
        <f t="shared" si="26"/>
        <v>0</v>
      </c>
      <c r="BJ109" s="26"/>
      <c r="BK109" s="26">
        <f t="shared" si="27"/>
        <v>0</v>
      </c>
      <c r="BL109" s="26">
        <f t="shared" si="28"/>
        <v>0</v>
      </c>
      <c r="BM109" s="26"/>
      <c r="BN109" s="1202"/>
    </row>
    <row r="110" spans="1:66" ht="15" customHeight="1" x14ac:dyDescent="0.3">
      <c r="A110" s="527"/>
      <c r="B110" s="1617" t="s">
        <v>1435</v>
      </c>
      <c r="C110" s="1618"/>
      <c r="D110" s="2977"/>
      <c r="E110" s="1997" t="s">
        <v>50</v>
      </c>
      <c r="F110" s="1962"/>
      <c r="G110" s="18"/>
      <c r="H110" s="1962"/>
      <c r="I110" s="18">
        <v>1.8</v>
      </c>
      <c r="J110" s="1967"/>
      <c r="K110" s="4506">
        <f t="shared" si="40"/>
        <v>1.8</v>
      </c>
      <c r="L110" s="1962"/>
      <c r="M110" s="18">
        <v>49.29</v>
      </c>
      <c r="N110" s="1976"/>
      <c r="O110" s="68">
        <f t="shared" si="41"/>
        <v>51.089999999999996</v>
      </c>
      <c r="P110" s="1962"/>
      <c r="Q110" s="18"/>
      <c r="R110" s="1984"/>
      <c r="S110" s="38">
        <f t="shared" si="39"/>
        <v>51.089999999999996</v>
      </c>
      <c r="T110" s="1962"/>
      <c r="U110" s="18"/>
      <c r="V110" s="1984"/>
      <c r="W110" s="38">
        <f t="shared" si="42"/>
        <v>51.089999999999996</v>
      </c>
      <c r="X110" s="1962"/>
      <c r="Y110" s="18">
        <v>27.44</v>
      </c>
      <c r="Z110" s="896"/>
      <c r="AA110" s="774">
        <f t="shared" si="35"/>
        <v>27.44</v>
      </c>
      <c r="AB110" s="3968"/>
      <c r="AC110" s="460">
        <f t="shared" si="36"/>
        <v>78.53</v>
      </c>
      <c r="AD110" s="1962"/>
      <c r="AE110" s="18"/>
      <c r="AF110" s="1984"/>
      <c r="AG110" s="38">
        <f t="shared" si="37"/>
        <v>78.53</v>
      </c>
      <c r="AH110" s="1962"/>
      <c r="AI110" s="18">
        <v>151.5</v>
      </c>
      <c r="AJ110" s="1984"/>
      <c r="AK110" s="38">
        <f t="shared" si="29"/>
        <v>230.03</v>
      </c>
      <c r="AL110" s="1962"/>
      <c r="AM110" s="18">
        <v>153.30000000000001</v>
      </c>
      <c r="AN110" s="896"/>
      <c r="AO110" s="774">
        <f t="shared" si="30"/>
        <v>304.8</v>
      </c>
      <c r="AP110" s="1984"/>
      <c r="AQ110" s="38">
        <f t="shared" si="31"/>
        <v>383.33000000000004</v>
      </c>
      <c r="AR110" s="1962"/>
      <c r="AS110" s="81">
        <v>33.64</v>
      </c>
      <c r="AT110" s="1984"/>
      <c r="AU110" s="38">
        <f t="shared" si="32"/>
        <v>416.97</v>
      </c>
      <c r="AV110" s="1962"/>
      <c r="AW110" s="81"/>
      <c r="AX110" s="1984"/>
      <c r="AY110" s="38">
        <f t="shared" si="49"/>
        <v>416.97</v>
      </c>
      <c r="AZ110" s="1962"/>
      <c r="BA110" s="81"/>
      <c r="BB110" s="896"/>
      <c r="BC110" s="774">
        <f t="shared" si="43"/>
        <v>33.64</v>
      </c>
      <c r="BD110" s="897"/>
      <c r="BE110" s="695">
        <f t="shared" si="44"/>
        <v>338.44</v>
      </c>
      <c r="BF110" s="1984"/>
      <c r="BG110" s="38">
        <f t="shared" si="34"/>
        <v>416.97</v>
      </c>
      <c r="BH110" s="1520">
        <f t="shared" si="25"/>
        <v>0</v>
      </c>
      <c r="BI110" s="1520">
        <f t="shared" si="26"/>
        <v>0</v>
      </c>
      <c r="BJ110" s="26"/>
      <c r="BK110" s="26">
        <f t="shared" si="27"/>
        <v>0</v>
      </c>
      <c r="BL110" s="26">
        <f t="shared" si="28"/>
        <v>0</v>
      </c>
      <c r="BM110" s="26"/>
      <c r="BN110" s="1202"/>
    </row>
    <row r="111" spans="1:66" ht="15" customHeight="1" x14ac:dyDescent="0.3">
      <c r="A111" s="527"/>
      <c r="B111" s="1617" t="s">
        <v>932</v>
      </c>
      <c r="C111" s="1618"/>
      <c r="D111" s="2977"/>
      <c r="E111" s="1997" t="s">
        <v>50</v>
      </c>
      <c r="F111" s="1962"/>
      <c r="G111" s="18"/>
      <c r="H111" s="1962"/>
      <c r="I111" s="18"/>
      <c r="J111" s="1967"/>
      <c r="K111" s="4506">
        <f t="shared" si="40"/>
        <v>0</v>
      </c>
      <c r="L111" s="1962"/>
      <c r="M111" s="18"/>
      <c r="N111" s="1976"/>
      <c r="O111" s="68">
        <f t="shared" si="41"/>
        <v>0</v>
      </c>
      <c r="P111" s="1962"/>
      <c r="Q111" s="18"/>
      <c r="R111" s="1984"/>
      <c r="S111" s="38">
        <f t="shared" si="39"/>
        <v>0</v>
      </c>
      <c r="T111" s="1962"/>
      <c r="U111" s="18"/>
      <c r="V111" s="1984"/>
      <c r="W111" s="38">
        <f t="shared" si="42"/>
        <v>0</v>
      </c>
      <c r="X111" s="1962"/>
      <c r="Y111" s="18"/>
      <c r="Z111" s="896"/>
      <c r="AA111" s="774">
        <f t="shared" si="35"/>
        <v>0</v>
      </c>
      <c r="AB111" s="3968"/>
      <c r="AC111" s="460">
        <f t="shared" si="36"/>
        <v>0</v>
      </c>
      <c r="AD111" s="1962"/>
      <c r="AE111" s="18"/>
      <c r="AF111" s="1984"/>
      <c r="AG111" s="38">
        <f t="shared" si="37"/>
        <v>0</v>
      </c>
      <c r="AH111" s="1962"/>
      <c r="AI111" s="18"/>
      <c r="AJ111" s="1984"/>
      <c r="AK111" s="38">
        <f t="shared" si="29"/>
        <v>0</v>
      </c>
      <c r="AL111" s="1962"/>
      <c r="AM111" s="18">
        <v>58.36</v>
      </c>
      <c r="AN111" s="896"/>
      <c r="AO111" s="774">
        <f t="shared" si="30"/>
        <v>58.36</v>
      </c>
      <c r="AP111" s="1984"/>
      <c r="AQ111" s="38">
        <f t="shared" si="31"/>
        <v>58.36</v>
      </c>
      <c r="AR111" s="1962"/>
      <c r="AS111" s="81"/>
      <c r="AT111" s="1984"/>
      <c r="AU111" s="38">
        <f t="shared" si="32"/>
        <v>58.36</v>
      </c>
      <c r="AV111" s="1962"/>
      <c r="AW111" s="81">
        <v>4.37</v>
      </c>
      <c r="AX111" s="1984"/>
      <c r="AY111" s="38">
        <f t="shared" si="49"/>
        <v>62.73</v>
      </c>
      <c r="AZ111" s="1962"/>
      <c r="BA111" s="81"/>
      <c r="BB111" s="896"/>
      <c r="BC111" s="774">
        <f t="shared" si="43"/>
        <v>4.37</v>
      </c>
      <c r="BD111" s="897"/>
      <c r="BE111" s="695">
        <f t="shared" si="44"/>
        <v>62.73</v>
      </c>
      <c r="BF111" s="1984"/>
      <c r="BG111" s="38">
        <f t="shared" si="34"/>
        <v>62.73</v>
      </c>
      <c r="BH111" s="1520">
        <f t="shared" si="25"/>
        <v>0</v>
      </c>
      <c r="BI111" s="1520">
        <f t="shared" si="26"/>
        <v>0</v>
      </c>
      <c r="BJ111" s="26"/>
      <c r="BK111" s="26">
        <f t="shared" si="27"/>
        <v>0</v>
      </c>
      <c r="BL111" s="26">
        <f t="shared" si="28"/>
        <v>0</v>
      </c>
      <c r="BM111" s="26"/>
      <c r="BN111" s="1202"/>
    </row>
    <row r="112" spans="1:66" ht="15" customHeight="1" x14ac:dyDescent="0.3">
      <c r="A112" s="527"/>
      <c r="B112" s="1617" t="s">
        <v>1281</v>
      </c>
      <c r="C112" s="1618"/>
      <c r="D112" s="2977"/>
      <c r="E112" s="1997" t="s">
        <v>50</v>
      </c>
      <c r="F112" s="1962"/>
      <c r="G112" s="18"/>
      <c r="H112" s="1962"/>
      <c r="I112" s="18"/>
      <c r="J112" s="1967"/>
      <c r="K112" s="4506">
        <f t="shared" si="40"/>
        <v>0</v>
      </c>
      <c r="L112" s="1962"/>
      <c r="M112" s="18"/>
      <c r="N112" s="1976"/>
      <c r="O112" s="68">
        <f t="shared" si="41"/>
        <v>0</v>
      </c>
      <c r="P112" s="1962"/>
      <c r="Q112" s="18">
        <v>4.0999999999999996</v>
      </c>
      <c r="R112" s="1984"/>
      <c r="S112" s="38">
        <f t="shared" si="39"/>
        <v>4.0999999999999996</v>
      </c>
      <c r="T112" s="1962"/>
      <c r="U112" s="18">
        <v>1.64</v>
      </c>
      <c r="V112" s="1984"/>
      <c r="W112" s="38">
        <f t="shared" si="42"/>
        <v>5.7399999999999993</v>
      </c>
      <c r="X112" s="1962"/>
      <c r="Y112" s="18">
        <v>0.82</v>
      </c>
      <c r="Z112" s="896"/>
      <c r="AA112" s="774">
        <f t="shared" si="35"/>
        <v>6.56</v>
      </c>
      <c r="AB112" s="3968"/>
      <c r="AC112" s="460">
        <f t="shared" si="36"/>
        <v>6.56</v>
      </c>
      <c r="AD112" s="1962"/>
      <c r="AE112" s="18"/>
      <c r="AF112" s="1984"/>
      <c r="AG112" s="38">
        <f t="shared" si="37"/>
        <v>6.56</v>
      </c>
      <c r="AH112" s="1962"/>
      <c r="AI112" s="18">
        <v>0.41</v>
      </c>
      <c r="AJ112" s="1984"/>
      <c r="AK112" s="38">
        <f t="shared" si="29"/>
        <v>6.97</v>
      </c>
      <c r="AL112" s="1962"/>
      <c r="AM112" s="18"/>
      <c r="AN112" s="896"/>
      <c r="AO112" s="774">
        <f t="shared" si="30"/>
        <v>0.41</v>
      </c>
      <c r="AP112" s="1984"/>
      <c r="AQ112" s="38">
        <f t="shared" si="31"/>
        <v>6.97</v>
      </c>
      <c r="AR112" s="1962"/>
      <c r="AS112" s="81">
        <v>2.87</v>
      </c>
      <c r="AT112" s="1984"/>
      <c r="AU112" s="38">
        <f t="shared" si="32"/>
        <v>9.84</v>
      </c>
      <c r="AV112" s="1962"/>
      <c r="AW112" s="81">
        <v>0.82</v>
      </c>
      <c r="AX112" s="1984"/>
      <c r="AY112" s="38">
        <f t="shared" si="49"/>
        <v>10.66</v>
      </c>
      <c r="AZ112" s="1962"/>
      <c r="BA112" s="81">
        <v>7.03</v>
      </c>
      <c r="BB112" s="896"/>
      <c r="BC112" s="774">
        <f t="shared" si="43"/>
        <v>10.72</v>
      </c>
      <c r="BD112" s="897"/>
      <c r="BE112" s="695">
        <f t="shared" si="44"/>
        <v>11.13</v>
      </c>
      <c r="BF112" s="1984"/>
      <c r="BG112" s="38">
        <f t="shared" si="34"/>
        <v>17.690000000000001</v>
      </c>
      <c r="BH112" s="1520">
        <f t="shared" si="25"/>
        <v>0</v>
      </c>
      <c r="BI112" s="1520">
        <f t="shared" si="26"/>
        <v>0</v>
      </c>
      <c r="BJ112" s="26"/>
      <c r="BK112" s="26">
        <f t="shared" si="27"/>
        <v>0</v>
      </c>
      <c r="BL112" s="26">
        <f t="shared" si="28"/>
        <v>0</v>
      </c>
      <c r="BM112" s="26"/>
      <c r="BN112" s="1202"/>
    </row>
    <row r="113" spans="1:68" ht="15" customHeight="1" x14ac:dyDescent="0.3">
      <c r="A113" s="527"/>
      <c r="B113" s="1617" t="s">
        <v>1193</v>
      </c>
      <c r="C113" s="1618"/>
      <c r="D113" s="2977"/>
      <c r="E113" s="1997" t="s">
        <v>50</v>
      </c>
      <c r="F113" s="1962"/>
      <c r="G113" s="18"/>
      <c r="H113" s="1962"/>
      <c r="I113" s="18"/>
      <c r="J113" s="1967"/>
      <c r="K113" s="4506">
        <f t="shared" si="40"/>
        <v>0</v>
      </c>
      <c r="L113" s="1962"/>
      <c r="M113" s="18"/>
      <c r="N113" s="1976"/>
      <c r="O113" s="68">
        <f t="shared" si="41"/>
        <v>0</v>
      </c>
      <c r="P113" s="1962"/>
      <c r="Q113" s="18"/>
      <c r="R113" s="1984"/>
      <c r="S113" s="38">
        <f t="shared" si="39"/>
        <v>0</v>
      </c>
      <c r="T113" s="1962"/>
      <c r="U113" s="18">
        <v>17.02</v>
      </c>
      <c r="V113" s="1984"/>
      <c r="W113" s="38">
        <f t="shared" si="42"/>
        <v>17.02</v>
      </c>
      <c r="X113" s="1962"/>
      <c r="Y113" s="18">
        <v>7.02</v>
      </c>
      <c r="Z113" s="896"/>
      <c r="AA113" s="774">
        <f t="shared" si="35"/>
        <v>24.04</v>
      </c>
      <c r="AB113" s="3968"/>
      <c r="AC113" s="460">
        <f t="shared" si="36"/>
        <v>24.04</v>
      </c>
      <c r="AD113" s="1962"/>
      <c r="AE113" s="18"/>
      <c r="AF113" s="1984"/>
      <c r="AG113" s="38">
        <f t="shared" si="37"/>
        <v>24.04</v>
      </c>
      <c r="AH113" s="1962"/>
      <c r="AI113" s="18">
        <v>45.16</v>
      </c>
      <c r="AJ113" s="1984"/>
      <c r="AK113" s="38">
        <f t="shared" si="29"/>
        <v>69.199999999999989</v>
      </c>
      <c r="AL113" s="1962"/>
      <c r="AM113" s="18"/>
      <c r="AN113" s="896"/>
      <c r="AO113" s="774">
        <f t="shared" si="30"/>
        <v>45.16</v>
      </c>
      <c r="AP113" s="1984"/>
      <c r="AQ113" s="38">
        <f t="shared" si="31"/>
        <v>69.199999999999989</v>
      </c>
      <c r="AR113" s="1962"/>
      <c r="AS113" s="81"/>
      <c r="AT113" s="1984"/>
      <c r="AU113" s="38">
        <f t="shared" si="32"/>
        <v>69.199999999999989</v>
      </c>
      <c r="AV113" s="1962"/>
      <c r="AW113" s="81"/>
      <c r="AX113" s="1984"/>
      <c r="AY113" s="38">
        <f t="shared" si="49"/>
        <v>69.199999999999989</v>
      </c>
      <c r="AZ113" s="1962"/>
      <c r="BA113" s="81"/>
      <c r="BB113" s="896"/>
      <c r="BC113" s="774">
        <f t="shared" si="43"/>
        <v>0</v>
      </c>
      <c r="BD113" s="897"/>
      <c r="BE113" s="695">
        <f t="shared" si="44"/>
        <v>45.16</v>
      </c>
      <c r="BF113" s="1984"/>
      <c r="BG113" s="38">
        <f t="shared" si="34"/>
        <v>69.199999999999989</v>
      </c>
      <c r="BH113" s="1520">
        <f t="shared" si="25"/>
        <v>0</v>
      </c>
      <c r="BI113" s="1520">
        <f t="shared" si="26"/>
        <v>0</v>
      </c>
      <c r="BJ113" s="26"/>
      <c r="BK113" s="26">
        <f t="shared" si="27"/>
        <v>0</v>
      </c>
      <c r="BL113" s="26">
        <f t="shared" si="28"/>
        <v>0</v>
      </c>
      <c r="BM113" s="26"/>
      <c r="BN113" s="1202"/>
    </row>
    <row r="114" spans="1:68" ht="15" customHeight="1" x14ac:dyDescent="0.3">
      <c r="A114" s="527"/>
      <c r="B114" s="1617" t="s">
        <v>1314</v>
      </c>
      <c r="C114" s="1618"/>
      <c r="D114" s="2977"/>
      <c r="E114" s="1997" t="s">
        <v>50</v>
      </c>
      <c r="F114" s="1962"/>
      <c r="G114" s="18">
        <v>23.02</v>
      </c>
      <c r="H114" s="1962"/>
      <c r="I114" s="18"/>
      <c r="J114" s="1967"/>
      <c r="K114" s="4506">
        <f t="shared" si="40"/>
        <v>23.02</v>
      </c>
      <c r="L114" s="1962"/>
      <c r="M114" s="18">
        <v>5.99</v>
      </c>
      <c r="N114" s="1976"/>
      <c r="O114" s="68">
        <f t="shared" si="41"/>
        <v>29.009999999999998</v>
      </c>
      <c r="P114" s="1962"/>
      <c r="Q114" s="18"/>
      <c r="R114" s="1984"/>
      <c r="S114" s="38">
        <f t="shared" si="39"/>
        <v>29.009999999999998</v>
      </c>
      <c r="T114" s="1962"/>
      <c r="U114" s="18"/>
      <c r="V114" s="1984"/>
      <c r="W114" s="38">
        <f t="shared" si="42"/>
        <v>29.009999999999998</v>
      </c>
      <c r="X114" s="1962"/>
      <c r="Y114" s="18"/>
      <c r="Z114" s="896"/>
      <c r="AA114" s="774">
        <f t="shared" si="35"/>
        <v>0</v>
      </c>
      <c r="AB114" s="3968"/>
      <c r="AC114" s="460">
        <f t="shared" si="36"/>
        <v>29.009999999999998</v>
      </c>
      <c r="AD114" s="1962"/>
      <c r="AE114" s="18"/>
      <c r="AF114" s="1984"/>
      <c r="AG114" s="38">
        <f t="shared" si="37"/>
        <v>29.009999999999998</v>
      </c>
      <c r="AH114" s="1962"/>
      <c r="AI114" s="18"/>
      <c r="AJ114" s="1984"/>
      <c r="AK114" s="38">
        <f t="shared" si="29"/>
        <v>29.009999999999998</v>
      </c>
      <c r="AL114" s="1962"/>
      <c r="AM114" s="18">
        <v>55.88</v>
      </c>
      <c r="AN114" s="896"/>
      <c r="AO114" s="774">
        <f t="shared" si="30"/>
        <v>55.88</v>
      </c>
      <c r="AP114" s="1984"/>
      <c r="AQ114" s="38">
        <f t="shared" si="31"/>
        <v>84.89</v>
      </c>
      <c r="AR114" s="1962"/>
      <c r="AS114" s="81"/>
      <c r="AT114" s="1984"/>
      <c r="AU114" s="38">
        <f t="shared" si="32"/>
        <v>84.89</v>
      </c>
      <c r="AV114" s="1962"/>
      <c r="AW114" s="81"/>
      <c r="AX114" s="1984"/>
      <c r="AY114" s="38">
        <f t="shared" si="49"/>
        <v>84.89</v>
      </c>
      <c r="AZ114" s="1962"/>
      <c r="BA114" s="81"/>
      <c r="BB114" s="896"/>
      <c r="BC114" s="774">
        <f t="shared" si="43"/>
        <v>0</v>
      </c>
      <c r="BD114" s="897"/>
      <c r="BE114" s="695">
        <f t="shared" si="44"/>
        <v>55.88</v>
      </c>
      <c r="BF114" s="1984"/>
      <c r="BG114" s="38">
        <f t="shared" si="34"/>
        <v>84.89</v>
      </c>
      <c r="BH114" s="1520">
        <f t="shared" si="25"/>
        <v>0</v>
      </c>
      <c r="BI114" s="1520">
        <f t="shared" si="26"/>
        <v>0</v>
      </c>
      <c r="BJ114" s="26"/>
      <c r="BK114" s="26">
        <f t="shared" si="27"/>
        <v>0</v>
      </c>
      <c r="BL114" s="26">
        <f t="shared" si="28"/>
        <v>0</v>
      </c>
      <c r="BM114" s="26"/>
      <c r="BN114" s="1202"/>
    </row>
    <row r="115" spans="1:68" ht="15" customHeight="1" x14ac:dyDescent="0.3">
      <c r="A115" s="527"/>
      <c r="B115" s="1617" t="s">
        <v>1138</v>
      </c>
      <c r="C115" s="1618"/>
      <c r="D115" s="2977"/>
      <c r="E115" s="1997" t="s">
        <v>50</v>
      </c>
      <c r="F115" s="1962"/>
      <c r="G115" s="18">
        <v>92.9</v>
      </c>
      <c r="H115" s="1962"/>
      <c r="I115" s="18">
        <v>108.19</v>
      </c>
      <c r="J115" s="1967"/>
      <c r="K115" s="4506">
        <f t="shared" si="40"/>
        <v>201.09</v>
      </c>
      <c r="L115" s="1962"/>
      <c r="M115" s="18">
        <v>13.51</v>
      </c>
      <c r="N115" s="1976"/>
      <c r="O115" s="68">
        <f t="shared" si="41"/>
        <v>214.6</v>
      </c>
      <c r="P115" s="1962"/>
      <c r="Q115" s="18">
        <v>43.86</v>
      </c>
      <c r="R115" s="1984"/>
      <c r="S115" s="38">
        <f t="shared" si="39"/>
        <v>258.45999999999998</v>
      </c>
      <c r="T115" s="1962"/>
      <c r="U115" s="18">
        <v>51.479999999999983</v>
      </c>
      <c r="V115" s="1984"/>
      <c r="W115" s="38">
        <f t="shared" si="42"/>
        <v>309.93999999999994</v>
      </c>
      <c r="X115" s="1962"/>
      <c r="Y115" s="18">
        <v>85.71</v>
      </c>
      <c r="Z115" s="896"/>
      <c r="AA115" s="774">
        <f t="shared" si="35"/>
        <v>181.04999999999995</v>
      </c>
      <c r="AB115" s="3968"/>
      <c r="AC115" s="460">
        <f t="shared" si="36"/>
        <v>395.65</v>
      </c>
      <c r="AD115" s="1962"/>
      <c r="AE115" s="18"/>
      <c r="AF115" s="1984"/>
      <c r="AG115" s="38">
        <f t="shared" si="37"/>
        <v>395.65</v>
      </c>
      <c r="AH115" s="1962"/>
      <c r="AI115" s="18">
        <v>52.54</v>
      </c>
      <c r="AJ115" s="1984"/>
      <c r="AK115" s="38">
        <f t="shared" si="29"/>
        <v>448.19</v>
      </c>
      <c r="AL115" s="1962"/>
      <c r="AM115" s="18">
        <v>59.82</v>
      </c>
      <c r="AN115" s="896"/>
      <c r="AO115" s="774">
        <f t="shared" si="30"/>
        <v>112.36</v>
      </c>
      <c r="AP115" s="1984"/>
      <c r="AQ115" s="38">
        <f t="shared" si="31"/>
        <v>508.01</v>
      </c>
      <c r="AR115" s="1962"/>
      <c r="AS115" s="81">
        <v>37.880000000000003</v>
      </c>
      <c r="AT115" s="1984"/>
      <c r="AU115" s="38">
        <f t="shared" si="32"/>
        <v>545.89</v>
      </c>
      <c r="AV115" s="1962"/>
      <c r="AW115" s="81"/>
      <c r="AX115" s="1984"/>
      <c r="AY115" s="38">
        <f t="shared" si="49"/>
        <v>545.89</v>
      </c>
      <c r="AZ115" s="1962"/>
      <c r="BA115" s="81">
        <v>11.379999999999999</v>
      </c>
      <c r="BB115" s="896"/>
      <c r="BC115" s="774">
        <f t="shared" si="43"/>
        <v>49.260000000000005</v>
      </c>
      <c r="BD115" s="897"/>
      <c r="BE115" s="695">
        <f t="shared" si="44"/>
        <v>161.62</v>
      </c>
      <c r="BF115" s="1984"/>
      <c r="BG115" s="38">
        <f t="shared" si="34"/>
        <v>557.27</v>
      </c>
      <c r="BH115" s="1520">
        <f t="shared" si="25"/>
        <v>0</v>
      </c>
      <c r="BI115" s="1520">
        <f t="shared" si="26"/>
        <v>0</v>
      </c>
      <c r="BJ115" s="26"/>
      <c r="BK115" s="26">
        <f t="shared" si="27"/>
        <v>0</v>
      </c>
      <c r="BL115" s="26">
        <f t="shared" si="28"/>
        <v>0</v>
      </c>
      <c r="BM115" s="26"/>
      <c r="BN115" s="1202"/>
    </row>
    <row r="116" spans="1:68" ht="15" customHeight="1" x14ac:dyDescent="0.3">
      <c r="A116" s="527"/>
      <c r="B116" s="4873" t="s">
        <v>2139</v>
      </c>
      <c r="C116" s="4874"/>
      <c r="D116" s="4875"/>
      <c r="E116" s="4876" t="s">
        <v>50</v>
      </c>
      <c r="F116" s="4877"/>
      <c r="G116" s="4878"/>
      <c r="H116" s="4877"/>
      <c r="I116" s="4878"/>
      <c r="J116" s="4879"/>
      <c r="K116" s="4506">
        <f t="shared" si="40"/>
        <v>0</v>
      </c>
      <c r="L116" s="4877"/>
      <c r="M116" s="4878">
        <v>9.9600000000000009</v>
      </c>
      <c r="N116" s="4880"/>
      <c r="O116" s="68">
        <f t="shared" si="41"/>
        <v>9.9600000000000009</v>
      </c>
      <c r="P116" s="4877"/>
      <c r="Q116" s="4878">
        <v>18.57</v>
      </c>
      <c r="R116" s="4881"/>
      <c r="S116" s="38">
        <f t="shared" si="39"/>
        <v>28.53</v>
      </c>
      <c r="T116" s="4877"/>
      <c r="U116" s="4878">
        <v>33.03</v>
      </c>
      <c r="V116" s="4881"/>
      <c r="W116" s="38">
        <f t="shared" si="42"/>
        <v>61.56</v>
      </c>
      <c r="X116" s="4877"/>
      <c r="Y116" s="4878">
        <v>11.85</v>
      </c>
      <c r="Z116" s="4882"/>
      <c r="AA116" s="774">
        <f t="shared" si="35"/>
        <v>63.45</v>
      </c>
      <c r="AB116" s="3968"/>
      <c r="AC116" s="460">
        <f t="shared" si="36"/>
        <v>73.41</v>
      </c>
      <c r="AD116" s="4877"/>
      <c r="AE116" s="4878"/>
      <c r="AF116" s="4881"/>
      <c r="AG116" s="38">
        <f t="shared" si="37"/>
        <v>73.41</v>
      </c>
      <c r="AH116" s="4877"/>
      <c r="AI116" s="4878">
        <v>2.77</v>
      </c>
      <c r="AJ116" s="4881"/>
      <c r="AK116" s="38">
        <f t="shared" si="29"/>
        <v>76.179999999999993</v>
      </c>
      <c r="AL116" s="4877"/>
      <c r="AM116" s="4878"/>
      <c r="AN116" s="4882"/>
      <c r="AO116" s="774">
        <f t="shared" si="30"/>
        <v>2.77</v>
      </c>
      <c r="AP116" s="1984"/>
      <c r="AQ116" s="38">
        <f t="shared" si="31"/>
        <v>76.179999999999993</v>
      </c>
      <c r="AR116" s="4877"/>
      <c r="AS116" s="5340">
        <v>0.55000000000000004</v>
      </c>
      <c r="AT116" s="1984"/>
      <c r="AU116" s="38">
        <f t="shared" si="32"/>
        <v>76.72999999999999</v>
      </c>
      <c r="AV116" s="4877"/>
      <c r="AW116" s="5340"/>
      <c r="AX116" s="1984"/>
      <c r="AY116" s="38">
        <f t="shared" si="49"/>
        <v>76.72999999999999</v>
      </c>
      <c r="AZ116" s="4877"/>
      <c r="BA116" s="5340">
        <v>17.690000000000001</v>
      </c>
      <c r="BB116" s="896"/>
      <c r="BC116" s="774">
        <f t="shared" ref="BC116:BC118" si="50">+AS116+AW116+BA116</f>
        <v>18.240000000000002</v>
      </c>
      <c r="BD116" s="897"/>
      <c r="BE116" s="695">
        <f t="shared" ref="BE116:BE118" si="51">+AO116+BC116</f>
        <v>21.01</v>
      </c>
      <c r="BF116" s="1984"/>
      <c r="BG116" s="38">
        <f t="shared" si="34"/>
        <v>94.419999999999987</v>
      </c>
      <c r="BH116" s="1520">
        <f t="shared" si="25"/>
        <v>0</v>
      </c>
      <c r="BI116" s="1520">
        <f t="shared" si="26"/>
        <v>0</v>
      </c>
      <c r="BJ116" s="26"/>
      <c r="BK116" s="26">
        <f t="shared" si="27"/>
        <v>0</v>
      </c>
      <c r="BL116" s="26">
        <f t="shared" si="28"/>
        <v>0</v>
      </c>
      <c r="BM116" s="26"/>
      <c r="BN116" s="1202"/>
    </row>
    <row r="117" spans="1:68" ht="15" customHeight="1" x14ac:dyDescent="0.3">
      <c r="A117" s="527"/>
      <c r="B117" s="5114" t="s">
        <v>2244</v>
      </c>
      <c r="C117" s="5012"/>
      <c r="D117" s="5013"/>
      <c r="E117" s="4876" t="s">
        <v>50</v>
      </c>
      <c r="F117" s="5115"/>
      <c r="G117" s="4119"/>
      <c r="H117" s="5115"/>
      <c r="I117" s="4119"/>
      <c r="J117" s="5014"/>
      <c r="K117" s="4936"/>
      <c r="L117" s="5115"/>
      <c r="M117" s="4119"/>
      <c r="N117" s="4880"/>
      <c r="O117" s="68">
        <f t="shared" si="41"/>
        <v>0</v>
      </c>
      <c r="P117" s="5115"/>
      <c r="Q117" s="4119"/>
      <c r="R117" s="4881"/>
      <c r="S117" s="4446"/>
      <c r="T117" s="5115"/>
      <c r="U117" s="4119"/>
      <c r="V117" s="4881"/>
      <c r="W117" s="4446"/>
      <c r="X117" s="5115"/>
      <c r="Y117" s="4119">
        <v>13.67</v>
      </c>
      <c r="Z117" s="5015"/>
      <c r="AA117" s="774">
        <f t="shared" si="35"/>
        <v>13.67</v>
      </c>
      <c r="AB117" s="5016"/>
      <c r="AC117" s="460">
        <f t="shared" si="36"/>
        <v>13.67</v>
      </c>
      <c r="AD117" s="5115"/>
      <c r="AE117" s="4119"/>
      <c r="AF117" s="4881"/>
      <c r="AG117" s="38">
        <f t="shared" si="37"/>
        <v>13.67</v>
      </c>
      <c r="AH117" s="5115"/>
      <c r="AI117" s="4119">
        <v>0.54</v>
      </c>
      <c r="AJ117" s="4881"/>
      <c r="AK117" s="38">
        <f t="shared" si="29"/>
        <v>14.21</v>
      </c>
      <c r="AL117" s="5115"/>
      <c r="AM117" s="4119">
        <v>7.3400000000000007</v>
      </c>
      <c r="AN117" s="5015"/>
      <c r="AO117" s="774">
        <f t="shared" ref="AO117:AO118" si="52">+AE117+AI117+AM117</f>
        <v>7.8800000000000008</v>
      </c>
      <c r="AP117" s="1984"/>
      <c r="AQ117" s="38">
        <f t="shared" si="31"/>
        <v>21.55</v>
      </c>
      <c r="AR117" s="5115"/>
      <c r="AS117" s="5341">
        <v>22.64</v>
      </c>
      <c r="AT117" s="1984"/>
      <c r="AU117" s="38">
        <f t="shared" si="32"/>
        <v>44.19</v>
      </c>
      <c r="AV117" s="5115"/>
      <c r="AW117" s="5341"/>
      <c r="AX117" s="1984"/>
      <c r="AY117" s="38">
        <f t="shared" si="49"/>
        <v>44.19</v>
      </c>
      <c r="AZ117" s="5115"/>
      <c r="BA117" s="5341"/>
      <c r="BB117" s="896"/>
      <c r="BC117" s="774">
        <f t="shared" si="50"/>
        <v>22.64</v>
      </c>
      <c r="BD117" s="897"/>
      <c r="BE117" s="695">
        <f t="shared" si="51"/>
        <v>30.520000000000003</v>
      </c>
      <c r="BF117" s="1984"/>
      <c r="BG117" s="38">
        <f t="shared" si="34"/>
        <v>44.19</v>
      </c>
      <c r="BH117" s="1520">
        <f t="shared" si="25"/>
        <v>0</v>
      </c>
      <c r="BI117" s="1520">
        <f t="shared" si="26"/>
        <v>0</v>
      </c>
      <c r="BJ117" s="26"/>
      <c r="BK117" s="26">
        <f t="shared" si="27"/>
        <v>0</v>
      </c>
      <c r="BL117" s="26">
        <f t="shared" si="28"/>
        <v>0</v>
      </c>
      <c r="BM117" s="26"/>
      <c r="BN117" s="1202"/>
    </row>
    <row r="118" spans="1:68" ht="15" customHeight="1" x14ac:dyDescent="0.3">
      <c r="A118" s="527"/>
      <c r="B118" s="4873" t="s">
        <v>2140</v>
      </c>
      <c r="C118" s="5012"/>
      <c r="D118" s="5013"/>
      <c r="E118" s="4876" t="s">
        <v>50</v>
      </c>
      <c r="F118" s="4877"/>
      <c r="G118" s="4878"/>
      <c r="H118" s="4877"/>
      <c r="I118" s="4878"/>
      <c r="J118" s="5014"/>
      <c r="K118" s="4936"/>
      <c r="L118" s="4877"/>
      <c r="M118" s="4878"/>
      <c r="N118" s="4880"/>
      <c r="O118" s="68">
        <f t="shared" si="41"/>
        <v>0</v>
      </c>
      <c r="P118" s="4877"/>
      <c r="Q118" s="4878"/>
      <c r="R118" s="4881"/>
      <c r="S118" s="4446"/>
      <c r="T118" s="4877"/>
      <c r="U118" s="4878"/>
      <c r="V118" s="4881"/>
      <c r="W118" s="4446"/>
      <c r="X118" s="4877"/>
      <c r="Y118" s="4878"/>
      <c r="Z118" s="5015"/>
      <c r="AA118" s="774">
        <f t="shared" si="35"/>
        <v>0</v>
      </c>
      <c r="AB118" s="5016"/>
      <c r="AC118" s="460">
        <f t="shared" si="36"/>
        <v>0</v>
      </c>
      <c r="AD118" s="4877"/>
      <c r="AE118" s="4878">
        <v>0.72</v>
      </c>
      <c r="AF118" s="4881"/>
      <c r="AG118" s="38">
        <f t="shared" ref="AG118" si="53">+AC118+AE118</f>
        <v>0.72</v>
      </c>
      <c r="AH118" s="4877"/>
      <c r="AI118" s="4878"/>
      <c r="AJ118" s="4881"/>
      <c r="AK118" s="38">
        <f t="shared" si="29"/>
        <v>0.72</v>
      </c>
      <c r="AL118" s="4877"/>
      <c r="AM118" s="4878">
        <v>5.77</v>
      </c>
      <c r="AN118" s="4882"/>
      <c r="AO118" s="774">
        <f t="shared" si="52"/>
        <v>6.4899999999999993</v>
      </c>
      <c r="AP118" s="1984"/>
      <c r="AQ118" s="38">
        <f t="shared" ref="AQ118" si="54">AK118+AM118</f>
        <v>6.4899999999999993</v>
      </c>
      <c r="AR118" s="4877"/>
      <c r="AS118" s="5340">
        <v>16.7</v>
      </c>
      <c r="AT118" s="1984"/>
      <c r="AU118" s="38">
        <f t="shared" si="32"/>
        <v>23.189999999999998</v>
      </c>
      <c r="AV118" s="4877"/>
      <c r="AW118" s="5340"/>
      <c r="AX118" s="1984"/>
      <c r="AY118" s="38">
        <f t="shared" si="49"/>
        <v>23.189999999999998</v>
      </c>
      <c r="AZ118" s="4877"/>
      <c r="BA118" s="5340"/>
      <c r="BB118" s="896"/>
      <c r="BC118" s="774">
        <f t="shared" si="50"/>
        <v>16.7</v>
      </c>
      <c r="BD118" s="897"/>
      <c r="BE118" s="695">
        <f t="shared" si="51"/>
        <v>23.189999999999998</v>
      </c>
      <c r="BF118" s="1984"/>
      <c r="BG118" s="38">
        <f t="shared" si="34"/>
        <v>23.189999999999998</v>
      </c>
      <c r="BH118" s="1520">
        <f t="shared" si="25"/>
        <v>0</v>
      </c>
      <c r="BI118" s="1520">
        <f t="shared" si="26"/>
        <v>0</v>
      </c>
      <c r="BJ118" s="26"/>
      <c r="BK118" s="26">
        <f t="shared" si="27"/>
        <v>0</v>
      </c>
      <c r="BL118" s="26">
        <f t="shared" si="28"/>
        <v>0</v>
      </c>
      <c r="BM118" s="26"/>
      <c r="BN118" s="1202"/>
    </row>
    <row r="119" spans="1:68" ht="15" thickBot="1" x14ac:dyDescent="0.35">
      <c r="A119" s="146"/>
      <c r="B119" s="1619" t="s">
        <v>2141</v>
      </c>
      <c r="C119" s="2978"/>
      <c r="D119" s="2979"/>
      <c r="E119" s="2980" t="s">
        <v>50</v>
      </c>
      <c r="F119" s="2981"/>
      <c r="G119" s="37"/>
      <c r="H119" s="2981"/>
      <c r="I119" s="37"/>
      <c r="J119" s="2982"/>
      <c r="K119" s="4506">
        <f t="shared" si="40"/>
        <v>0</v>
      </c>
      <c r="L119" s="2981"/>
      <c r="M119" s="37"/>
      <c r="N119" s="1976"/>
      <c r="O119" s="68">
        <f t="shared" si="41"/>
        <v>0</v>
      </c>
      <c r="P119" s="2981"/>
      <c r="Q119" s="37"/>
      <c r="R119" s="1984"/>
      <c r="S119" s="38">
        <f t="shared" ref="S119" si="55">+O119+Q119</f>
        <v>0</v>
      </c>
      <c r="T119" s="2981"/>
      <c r="U119" s="37">
        <v>0.96</v>
      </c>
      <c r="V119" s="1984"/>
      <c r="W119" s="38">
        <f t="shared" si="42"/>
        <v>0.96</v>
      </c>
      <c r="X119" s="2981"/>
      <c r="Y119" s="37"/>
      <c r="Z119" s="896"/>
      <c r="AA119" s="774">
        <f t="shared" si="35"/>
        <v>0.96</v>
      </c>
      <c r="AB119" s="3968"/>
      <c r="AC119" s="460">
        <f t="shared" si="36"/>
        <v>0.96</v>
      </c>
      <c r="AD119" s="2981"/>
      <c r="AE119" s="37"/>
      <c r="AF119" s="1984"/>
      <c r="AG119" s="38">
        <f t="shared" ref="AG119" si="56">+AC119+AE119</f>
        <v>0.96</v>
      </c>
      <c r="AH119" s="2981"/>
      <c r="AI119" s="37"/>
      <c r="AJ119" s="1984"/>
      <c r="AK119" s="38">
        <f t="shared" si="29"/>
        <v>0.96</v>
      </c>
      <c r="AL119" s="2981"/>
      <c r="AM119" s="37"/>
      <c r="AN119" s="896"/>
      <c r="AO119" s="774">
        <f t="shared" ref="AO119" si="57">+AE119+AI119+AM119</f>
        <v>0</v>
      </c>
      <c r="AP119" s="1984"/>
      <c r="AQ119" s="38">
        <f t="shared" ref="AQ119" si="58">AK119+AM119</f>
        <v>0.96</v>
      </c>
      <c r="AR119" s="2981"/>
      <c r="AS119" s="37"/>
      <c r="AT119" s="1984"/>
      <c r="AU119" s="38">
        <f t="shared" si="32"/>
        <v>0.96</v>
      </c>
      <c r="AV119" s="2981"/>
      <c r="AW119" s="37"/>
      <c r="AX119" s="1984"/>
      <c r="AY119" s="38">
        <f t="shared" si="49"/>
        <v>0.96</v>
      </c>
      <c r="AZ119" s="2981"/>
      <c r="BA119" s="37"/>
      <c r="BB119" s="896"/>
      <c r="BC119" s="774">
        <f t="shared" si="43"/>
        <v>0</v>
      </c>
      <c r="BD119" s="897"/>
      <c r="BE119" s="695">
        <f t="shared" si="44"/>
        <v>0</v>
      </c>
      <c r="BF119" s="1984"/>
      <c r="BG119" s="38">
        <f t="shared" si="34"/>
        <v>0.96</v>
      </c>
      <c r="BH119" s="1520">
        <f t="shared" si="25"/>
        <v>0</v>
      </c>
      <c r="BI119" s="1520">
        <f t="shared" si="26"/>
        <v>0</v>
      </c>
      <c r="BJ119" s="26"/>
      <c r="BK119" s="26">
        <f t="shared" si="27"/>
        <v>0</v>
      </c>
      <c r="BL119" s="26">
        <f t="shared" si="28"/>
        <v>0</v>
      </c>
      <c r="BM119" s="26"/>
      <c r="BN119" s="1202"/>
    </row>
    <row r="120" spans="1:68" ht="16.2" thickBot="1" x14ac:dyDescent="0.35">
      <c r="A120" s="146"/>
      <c r="B120" s="1033" t="s">
        <v>300</v>
      </c>
      <c r="C120" s="1032"/>
      <c r="D120" s="1994"/>
      <c r="E120" s="2966" t="s">
        <v>50</v>
      </c>
      <c r="F120" s="2967">
        <f>+F121</f>
        <v>62000</v>
      </c>
      <c r="G120" s="2968">
        <f>+SUM(G8:G119)</f>
        <v>50035.327000000005</v>
      </c>
      <c r="H120" s="2967">
        <f>+H121</f>
        <v>65000</v>
      </c>
      <c r="I120" s="2968">
        <f>+SUM(I8:I119)</f>
        <v>57592.384000000013</v>
      </c>
      <c r="J120" s="2969">
        <f>+J121</f>
        <v>127000</v>
      </c>
      <c r="K120" s="2970">
        <f>+SUM(K8:K119)</f>
        <v>107627.71099999998</v>
      </c>
      <c r="L120" s="2967">
        <f>+L121</f>
        <v>62500</v>
      </c>
      <c r="M120" s="2968">
        <f>+SUM(M8:M119)</f>
        <v>58809.43299999999</v>
      </c>
      <c r="N120" s="1945">
        <f>+N121</f>
        <v>189500</v>
      </c>
      <c r="O120" s="1946">
        <f>+SUM(O8:O119)</f>
        <v>166437.14399999997</v>
      </c>
      <c r="P120" s="2967">
        <f>+P121</f>
        <v>65000</v>
      </c>
      <c r="Q120" s="2968">
        <f>+SUM(Q8:Q119)</f>
        <v>57582.287000000004</v>
      </c>
      <c r="R120" s="1950">
        <f>+R121</f>
        <v>254500</v>
      </c>
      <c r="S120" s="179">
        <f>+SUM(S8:S119)</f>
        <v>224019.43099999992</v>
      </c>
      <c r="T120" s="2967">
        <f>+T121</f>
        <v>65000</v>
      </c>
      <c r="U120" s="2968">
        <f>+SUM(U8:U119)</f>
        <v>44755.652999999991</v>
      </c>
      <c r="V120" s="1950">
        <f>+V121</f>
        <v>319500</v>
      </c>
      <c r="W120" s="179">
        <f>+SUM(W8:W119)</f>
        <v>268775.08400000003</v>
      </c>
      <c r="X120" s="2967">
        <f>+X121</f>
        <v>33500</v>
      </c>
      <c r="Y120" s="2968">
        <f>+SUM(Y8:Y119)</f>
        <v>50235.30599999999</v>
      </c>
      <c r="Z120" s="793">
        <f>+Z121</f>
        <v>163500</v>
      </c>
      <c r="AA120" s="793">
        <f>+SUM(AA8:AA119)</f>
        <v>152573.24599999998</v>
      </c>
      <c r="AB120" s="517">
        <f>+AB121</f>
        <v>353000</v>
      </c>
      <c r="AC120" s="809">
        <f>+SUM(AC8:AC119)</f>
        <v>319010.39</v>
      </c>
      <c r="AD120" s="2967">
        <f>+AD121</f>
        <v>67000</v>
      </c>
      <c r="AE120" s="2968">
        <f>+SUM(AE8:AE119)</f>
        <v>29919.527000000009</v>
      </c>
      <c r="AF120" s="1950">
        <f>+AF121</f>
        <v>420000</v>
      </c>
      <c r="AG120" s="179">
        <f>+SUM(AG8:AG119)</f>
        <v>348929.91700000002</v>
      </c>
      <c r="AH120" s="2967">
        <f>+AH121</f>
        <v>65000</v>
      </c>
      <c r="AI120" s="2968">
        <f>+SUM(AI8:AI119)</f>
        <v>49443.88400000002</v>
      </c>
      <c r="AJ120" s="1950">
        <f>+AJ121</f>
        <v>485000</v>
      </c>
      <c r="AK120" s="179">
        <f>+SUM(AK8:AK119)</f>
        <v>398373.80100000004</v>
      </c>
      <c r="AL120" s="2967">
        <f>+AL121</f>
        <v>67500</v>
      </c>
      <c r="AM120" s="2968">
        <f>+SUM(AM8:AM119)</f>
        <v>53389.06</v>
      </c>
      <c r="AN120" s="793">
        <f>+AN121</f>
        <v>199500</v>
      </c>
      <c r="AO120" s="793">
        <f>+SUM(AO8:AO119)</f>
        <v>132752.47099999993</v>
      </c>
      <c r="AP120" s="1950">
        <f>+AP121</f>
        <v>552500</v>
      </c>
      <c r="AQ120" s="179">
        <f>+SUM(AQ8:AQ119)</f>
        <v>451762.86099999998</v>
      </c>
      <c r="AR120" s="2967">
        <f>+AR121</f>
        <v>68000</v>
      </c>
      <c r="AS120" s="2968">
        <f>+SUM(AS8:AS119)</f>
        <v>56882.247999999992</v>
      </c>
      <c r="AT120" s="1950">
        <f>+AT121</f>
        <v>620500</v>
      </c>
      <c r="AU120" s="179">
        <f>+SUM(AU8:AU119)</f>
        <v>508645.10900000011</v>
      </c>
      <c r="AV120" s="2967">
        <f>+AV121</f>
        <v>61000</v>
      </c>
      <c r="AW120" s="2968">
        <f>+SUM(AW8:AW119)</f>
        <v>54332.608</v>
      </c>
      <c r="AX120" s="1950">
        <f>+AX121</f>
        <v>681500</v>
      </c>
      <c r="AY120" s="179">
        <f>+SUM(AY8:AY119)</f>
        <v>562977.7169999996</v>
      </c>
      <c r="AZ120" s="2967">
        <f>+AZ121</f>
        <v>68500</v>
      </c>
      <c r="BA120" s="2968">
        <f>+SUM(BA8:BA119)</f>
        <v>63294.635999999991</v>
      </c>
      <c r="BB120" s="793">
        <f>+BB121</f>
        <v>197500</v>
      </c>
      <c r="BC120" s="793">
        <f>+SUM(BC8:BC119)</f>
        <v>174509.49200000003</v>
      </c>
      <c r="BD120" s="1594">
        <f>+BD121</f>
        <v>397000</v>
      </c>
      <c r="BE120" s="1594">
        <f>+SUM(BE8:BE119)</f>
        <v>307261.96300000005</v>
      </c>
      <c r="BF120" s="1950">
        <f>+BF121</f>
        <v>750000</v>
      </c>
      <c r="BG120" s="179">
        <f>+SUM(BG8:BG119)</f>
        <v>626272.35299999954</v>
      </c>
      <c r="BH120" s="1520">
        <f t="shared" si="25"/>
        <v>0</v>
      </c>
      <c r="BI120" s="1520">
        <f t="shared" si="26"/>
        <v>0</v>
      </c>
      <c r="BJ120" s="26"/>
      <c r="BK120" s="26">
        <f t="shared" si="27"/>
        <v>0</v>
      </c>
      <c r="BL120" s="26">
        <f t="shared" si="28"/>
        <v>0</v>
      </c>
      <c r="BM120" s="26"/>
      <c r="BN120" s="544"/>
    </row>
    <row r="121" spans="1:68" ht="16.2" thickBot="1" x14ac:dyDescent="0.35">
      <c r="A121" s="146"/>
      <c r="B121" s="898" t="s">
        <v>819</v>
      </c>
      <c r="C121" s="1033"/>
      <c r="D121" s="1995"/>
      <c r="E121" s="1998" t="s">
        <v>50</v>
      </c>
      <c r="F121" s="1525">
        <f>+'Maj Production Summ'!E32</f>
        <v>62000</v>
      </c>
      <c r="G121" s="258">
        <f>+SUM(G8:G102)</f>
        <v>49543.777000000002</v>
      </c>
      <c r="H121" s="1525">
        <f>+'Maj Production Summ'!G32</f>
        <v>65000</v>
      </c>
      <c r="I121" s="258">
        <f>+SUM(I8:I102)</f>
        <v>57219.144</v>
      </c>
      <c r="J121" s="1968">
        <f>+'Maj Production Summ'!I32</f>
        <v>127000</v>
      </c>
      <c r="K121" s="1970">
        <f>+SUM(K8:K102)</f>
        <v>106762.92099999997</v>
      </c>
      <c r="L121" s="1525">
        <f>+'Maj Production Summ'!K32</f>
        <v>62500</v>
      </c>
      <c r="M121" s="258">
        <f>+SUM(M8:M102)</f>
        <v>58674.632999999994</v>
      </c>
      <c r="N121" s="1945">
        <f>+'Maj Production Summ'!M32</f>
        <v>189500</v>
      </c>
      <c r="O121" s="1946">
        <f>+SUM(O8:O102)</f>
        <v>165437.55399999997</v>
      </c>
      <c r="P121" s="1525">
        <f>+'Maj Production Summ'!O32</f>
        <v>65000</v>
      </c>
      <c r="Q121" s="258">
        <f>+SUM(Q8:Q102)</f>
        <v>57327.387000000002</v>
      </c>
      <c r="R121" s="1950">
        <f>+'Maj Production Summ'!Q32</f>
        <v>254500</v>
      </c>
      <c r="S121" s="179">
        <f>+SUM(S8:S102)</f>
        <v>222764.94099999993</v>
      </c>
      <c r="T121" s="1525">
        <f>+'Maj Production Summ'!S32</f>
        <v>65000</v>
      </c>
      <c r="U121" s="258">
        <f>+SUM(U8:U102)</f>
        <v>44406.292999999998</v>
      </c>
      <c r="V121" s="1950">
        <f>+'Maj Production Summ'!U32</f>
        <v>319500</v>
      </c>
      <c r="W121" s="179">
        <f>+SUM(W8:W102)</f>
        <v>267171.234</v>
      </c>
      <c r="X121" s="1525">
        <f>+'Maj Production Summ'!W32</f>
        <v>33500</v>
      </c>
      <c r="Y121" s="258">
        <f>+SUM(Y8:Y102)</f>
        <v>49996.715999999993</v>
      </c>
      <c r="Z121" s="793">
        <f>+'Maj Production Summ'!Y32</f>
        <v>163500</v>
      </c>
      <c r="AA121" s="793">
        <f>+SUM(AA8:AA102)</f>
        <v>151730.39600000001</v>
      </c>
      <c r="AB121" s="517">
        <f>+'Maj Production Summ'!AA32</f>
        <v>353000</v>
      </c>
      <c r="AC121" s="517">
        <f>+SUM(AC8:AC102)</f>
        <v>317167.95</v>
      </c>
      <c r="AD121" s="1525">
        <f>+'Maj Production Summ'!AC32</f>
        <v>67000</v>
      </c>
      <c r="AE121" s="258">
        <f>+SUM(AE8:AE102)</f>
        <v>29659.897000000008</v>
      </c>
      <c r="AF121" s="1950">
        <f>+'Maj Production Summ'!AE32</f>
        <v>420000</v>
      </c>
      <c r="AG121" s="179">
        <f>+SUM(AG8:AG102)</f>
        <v>346827.84700000007</v>
      </c>
      <c r="AH121" s="1525">
        <f>+'Maj Production Summ'!AG32</f>
        <v>65000</v>
      </c>
      <c r="AI121" s="258">
        <f>+SUM(AI8:AI102)</f>
        <v>49060.044000000016</v>
      </c>
      <c r="AJ121" s="1950">
        <f>+'Maj Production Summ'!AI32</f>
        <v>485000</v>
      </c>
      <c r="AK121" s="179">
        <f>+SUM(AK8:AK102)</f>
        <v>395887.89100000006</v>
      </c>
      <c r="AL121" s="1525">
        <f>+'Maj Production Summ'!AK32</f>
        <v>67500</v>
      </c>
      <c r="AM121" s="258">
        <f>+SUM(AM8:AM102)</f>
        <v>52987.18</v>
      </c>
      <c r="AN121" s="793">
        <f>+'Maj Production Summ'!AM32</f>
        <v>199500</v>
      </c>
      <c r="AO121" s="793">
        <f>+SUM(AO8:AO102)</f>
        <v>131707.12099999998</v>
      </c>
      <c r="AP121" s="1950">
        <f>+'Maj Production Summ'!AO32</f>
        <v>552500</v>
      </c>
      <c r="AQ121" s="179">
        <f>+SUM(AQ8:AQ102)</f>
        <v>448875.071</v>
      </c>
      <c r="AR121" s="1525">
        <f>+'Maj Production Summ'!AQ32</f>
        <v>68000</v>
      </c>
      <c r="AS121" s="258">
        <f>+SUM(AS8:AS102)</f>
        <v>56169.977999999988</v>
      </c>
      <c r="AT121" s="1950">
        <f>+'Maj Production Summ'!AS32</f>
        <v>620500</v>
      </c>
      <c r="AU121" s="179">
        <f>+SUM(AU8:AU102)</f>
        <v>505045.04900000006</v>
      </c>
      <c r="AV121" s="1525">
        <f>+'Maj Production Summ'!AU32</f>
        <v>61000</v>
      </c>
      <c r="AW121" s="258">
        <f>+SUM(AW8:AW102)</f>
        <v>54279.397999999994</v>
      </c>
      <c r="AX121" s="1950">
        <f>+'Maj Production Summ'!AW32</f>
        <v>681500</v>
      </c>
      <c r="AY121" s="179">
        <f>+SUM(AY8:AY102)</f>
        <v>559324.44699999981</v>
      </c>
      <c r="AZ121" s="1525">
        <f>+'Maj Production Summ'!AY32</f>
        <v>68500</v>
      </c>
      <c r="BA121" s="258">
        <f>+SUM(BA8:BA102)</f>
        <v>63120.145999999993</v>
      </c>
      <c r="BB121" s="793">
        <f>+'Maj Production Summ'!BA32</f>
        <v>197500</v>
      </c>
      <c r="BC121" s="793">
        <f>+SUM(BC8:BC102)</f>
        <v>173569.522</v>
      </c>
      <c r="BD121" s="1594">
        <f>+'Maj Production Summ'!BC32</f>
        <v>397000</v>
      </c>
      <c r="BE121" s="1594">
        <f>+SUM(BE8:BE102)</f>
        <v>305276.6430000001</v>
      </c>
      <c r="BF121" s="1950">
        <f>+'Maj Production Summ'!BE32</f>
        <v>750000</v>
      </c>
      <c r="BG121" s="179">
        <f>+SUM(BG8:BG102)</f>
        <v>622444.59299999976</v>
      </c>
      <c r="BH121" s="1520">
        <f t="shared" si="25"/>
        <v>0</v>
      </c>
      <c r="BI121" s="1520">
        <f t="shared" si="26"/>
        <v>0</v>
      </c>
      <c r="BJ121" s="26"/>
      <c r="BK121" s="26">
        <f t="shared" si="27"/>
        <v>0</v>
      </c>
      <c r="BL121" s="26">
        <f t="shared" si="28"/>
        <v>0</v>
      </c>
      <c r="BM121" s="26"/>
      <c r="BN121" s="544"/>
    </row>
    <row r="122" spans="1:68" ht="16.2" thickBot="1" x14ac:dyDescent="0.35">
      <c r="A122" s="146"/>
      <c r="B122" s="898" t="s">
        <v>818</v>
      </c>
      <c r="C122" s="898"/>
      <c r="D122" s="1996"/>
      <c r="E122" s="1998" t="s">
        <v>50</v>
      </c>
      <c r="F122" s="1572"/>
      <c r="G122" s="1143">
        <f>+SUM(G103:G119)</f>
        <v>491.54999999999995</v>
      </c>
      <c r="H122" s="1572"/>
      <c r="I122" s="1143">
        <f>+SUM(I103:I119)</f>
        <v>373.24</v>
      </c>
      <c r="J122" s="2937"/>
      <c r="K122" s="2938">
        <f>+SUM(K103:K119)</f>
        <v>864.79</v>
      </c>
      <c r="L122" s="1572"/>
      <c r="M122" s="1143">
        <f>+SUM(M103:M119)</f>
        <v>134.80000000000001</v>
      </c>
      <c r="N122" s="1945"/>
      <c r="O122" s="1554">
        <f>+SUM(O103:O119)</f>
        <v>999.59000000000015</v>
      </c>
      <c r="P122" s="1572"/>
      <c r="Q122" s="1143">
        <f>+SUM(Q103:Q119)</f>
        <v>254.89999999999998</v>
      </c>
      <c r="R122" s="1950"/>
      <c r="S122" s="1780">
        <f>+SUM(S103:S119)</f>
        <v>1254.49</v>
      </c>
      <c r="T122" s="1572"/>
      <c r="U122" s="1143">
        <f>+SUM(U103:U119)</f>
        <v>349.35999999999996</v>
      </c>
      <c r="V122" s="1950"/>
      <c r="W122" s="1780">
        <f>+SUM(W103:W119)</f>
        <v>1603.85</v>
      </c>
      <c r="X122" s="1572"/>
      <c r="Y122" s="1143">
        <f>+SUM(Y103:Y119)</f>
        <v>238.58999999999997</v>
      </c>
      <c r="Z122" s="793"/>
      <c r="AA122" s="808">
        <f>+SUM(AA103:AA119)</f>
        <v>842.85</v>
      </c>
      <c r="AB122" s="517"/>
      <c r="AC122" s="809">
        <f>+SUM(AC103:AC119)</f>
        <v>1842.4399999999998</v>
      </c>
      <c r="AD122" s="1572"/>
      <c r="AE122" s="1143">
        <f>+SUM(AE103:AE119)</f>
        <v>259.63000000000005</v>
      </c>
      <c r="AF122" s="1950"/>
      <c r="AG122" s="1780">
        <f>+SUM(AG103:AG119)</f>
        <v>2102.0699999999997</v>
      </c>
      <c r="AH122" s="1572"/>
      <c r="AI122" s="1143">
        <f>+SUM(AI103:AI119)</f>
        <v>383.84000000000003</v>
      </c>
      <c r="AJ122" s="1950"/>
      <c r="AK122" s="1780">
        <f>+SUM(AK103:AK119)</f>
        <v>2485.91</v>
      </c>
      <c r="AL122" s="1572"/>
      <c r="AM122" s="1143">
        <f>+SUM(AM103:AM119)</f>
        <v>401.87999999999994</v>
      </c>
      <c r="AN122" s="793"/>
      <c r="AO122" s="793">
        <f>+SUM(AO103:AO119)</f>
        <v>1045.3499999999999</v>
      </c>
      <c r="AP122" s="1950"/>
      <c r="AQ122" s="179">
        <f>+SUM(AQ103:AQ119)</f>
        <v>2887.7899999999995</v>
      </c>
      <c r="AR122" s="1572"/>
      <c r="AS122" s="1143">
        <f>+SUM(AS103:AS119)</f>
        <v>712.26999999999987</v>
      </c>
      <c r="AT122" s="1950"/>
      <c r="AU122" s="179">
        <f>+SUM(AU103:AU119)</f>
        <v>3600.0599999999995</v>
      </c>
      <c r="AV122" s="1572"/>
      <c r="AW122" s="1143">
        <f>+SUM(AW103:AW119)</f>
        <v>53.21</v>
      </c>
      <c r="AX122" s="1950"/>
      <c r="AY122" s="179">
        <f>+SUM(AY103:AY119)</f>
        <v>3653.2699999999995</v>
      </c>
      <c r="AZ122" s="1572"/>
      <c r="BA122" s="1143">
        <f>+SUM(BA103:BA119)</f>
        <v>174.48999999999998</v>
      </c>
      <c r="BB122" s="793"/>
      <c r="BC122" s="793">
        <f>+SUM(BC103:BC119)</f>
        <v>939.96999999999991</v>
      </c>
      <c r="BD122" s="1594"/>
      <c r="BE122" s="1594">
        <f>+SUM(BE103:BE119)</f>
        <v>1985.3200000000004</v>
      </c>
      <c r="BF122" s="1950"/>
      <c r="BG122" s="179">
        <f>+SUM(BG103:BG119)</f>
        <v>3827.76</v>
      </c>
      <c r="BH122" s="1520">
        <f t="shared" si="25"/>
        <v>0</v>
      </c>
      <c r="BI122" s="1520">
        <f t="shared" si="26"/>
        <v>0</v>
      </c>
      <c r="BJ122" s="26"/>
      <c r="BK122" s="26">
        <f t="shared" si="27"/>
        <v>0</v>
      </c>
      <c r="BL122" s="26">
        <f t="shared" si="28"/>
        <v>0</v>
      </c>
      <c r="BM122" s="26"/>
      <c r="BN122" s="544"/>
    </row>
    <row r="123" spans="1:68" ht="16.2" thickBot="1" x14ac:dyDescent="0.35">
      <c r="A123" s="146"/>
      <c r="B123" s="1034" t="s">
        <v>316</v>
      </c>
      <c r="C123" s="712"/>
      <c r="D123" s="712"/>
      <c r="E123" s="1999" t="s">
        <v>49</v>
      </c>
      <c r="F123" s="2934">
        <f t="shared" ref="F123:AK123" si="59">+F121*100/F7</f>
        <v>94.75</v>
      </c>
      <c r="G123" s="2799">
        <f t="shared" si="59"/>
        <v>93.760477464473936</v>
      </c>
      <c r="H123" s="2934">
        <f t="shared" si="59"/>
        <v>94.75</v>
      </c>
      <c r="I123" s="2799">
        <f t="shared" si="59"/>
        <v>93.848373432627127</v>
      </c>
      <c r="J123" s="2935">
        <f t="shared" si="59"/>
        <v>94.749999999999986</v>
      </c>
      <c r="K123" s="2936">
        <f t="shared" si="59"/>
        <v>93.80756445928256</v>
      </c>
      <c r="L123" s="2934">
        <f t="shared" si="59"/>
        <v>94.75</v>
      </c>
      <c r="M123" s="2799">
        <f t="shared" si="59"/>
        <v>94.300657609568276</v>
      </c>
      <c r="N123" s="1553">
        <f t="shared" si="59"/>
        <v>94.75</v>
      </c>
      <c r="O123" s="1554">
        <f t="shared" si="59"/>
        <v>93.981855291627923</v>
      </c>
      <c r="P123" s="2934">
        <f t="shared" si="59"/>
        <v>94.75</v>
      </c>
      <c r="Q123" s="2799">
        <f t="shared" si="59"/>
        <v>94.039736544191683</v>
      </c>
      <c r="R123" s="1345">
        <f t="shared" si="59"/>
        <v>94.749999999999986</v>
      </c>
      <c r="S123" s="1780">
        <f t="shared" si="59"/>
        <v>93.996743918003119</v>
      </c>
      <c r="T123" s="2934">
        <f t="shared" si="59"/>
        <v>94.75</v>
      </c>
      <c r="U123" s="2799">
        <f t="shared" si="59"/>
        <v>93.446166495534285</v>
      </c>
      <c r="V123" s="1345">
        <f t="shared" si="59"/>
        <v>94.749999999999986</v>
      </c>
      <c r="W123" s="1780">
        <f t="shared" si="59"/>
        <v>93.904783814889868</v>
      </c>
      <c r="X123" s="2934">
        <f t="shared" si="59"/>
        <v>94.749999999999986</v>
      </c>
      <c r="Y123" s="2799">
        <f t="shared" si="59"/>
        <v>93.972449866117088</v>
      </c>
      <c r="Z123" s="808">
        <f t="shared" si="59"/>
        <v>94.75</v>
      </c>
      <c r="AA123" s="2363">
        <f t="shared" si="59"/>
        <v>93.843139792150197</v>
      </c>
      <c r="AB123" s="809">
        <f t="shared" si="59"/>
        <v>94.75</v>
      </c>
      <c r="AC123" s="2157">
        <f t="shared" si="59"/>
        <v>93.915443870820638</v>
      </c>
      <c r="AD123" s="2934">
        <f t="shared" si="59"/>
        <v>94.749999999999986</v>
      </c>
      <c r="AE123" s="2799">
        <f t="shared" si="59"/>
        <v>93.165855556550625</v>
      </c>
      <c r="AF123" s="1345">
        <f t="shared" si="59"/>
        <v>94.75</v>
      </c>
      <c r="AG123" s="1780">
        <f t="shared" si="59"/>
        <v>93.850869525734822</v>
      </c>
      <c r="AH123" s="2934">
        <f t="shared" si="59"/>
        <v>94.75</v>
      </c>
      <c r="AI123" s="2799">
        <f t="shared" si="59"/>
        <v>93.342593762703558</v>
      </c>
      <c r="AJ123" s="1345">
        <f t="shared" si="59"/>
        <v>94.749999999999986</v>
      </c>
      <c r="AK123" s="1780">
        <f t="shared" si="59"/>
        <v>93.787581639771929</v>
      </c>
      <c r="AL123" s="2934">
        <f t="shared" ref="AL123:BG123" si="60">+AL121*100/AL7</f>
        <v>94.75</v>
      </c>
      <c r="AM123" s="2799">
        <f t="shared" si="60"/>
        <v>93.351849425160552</v>
      </c>
      <c r="AN123" s="808">
        <f t="shared" si="60"/>
        <v>94.75</v>
      </c>
      <c r="AO123" s="2363">
        <f t="shared" si="60"/>
        <v>93.306454828873257</v>
      </c>
      <c r="AP123" s="1345">
        <f t="shared" si="60"/>
        <v>94.749999999999986</v>
      </c>
      <c r="AQ123" s="1780">
        <f t="shared" si="60"/>
        <v>93.735934274016728</v>
      </c>
      <c r="AR123" s="2934">
        <f t="shared" si="60"/>
        <v>94.75</v>
      </c>
      <c r="AS123" s="2799">
        <f t="shared" si="60"/>
        <v>93.24126088594636</v>
      </c>
      <c r="AT123" s="1345">
        <f t="shared" si="60"/>
        <v>94.749999999999986</v>
      </c>
      <c r="AU123" s="1780">
        <f t="shared" si="60"/>
        <v>93.68065854485144</v>
      </c>
      <c r="AV123" s="2934">
        <f t="shared" si="60"/>
        <v>94.75</v>
      </c>
      <c r="AW123" s="2799">
        <f t="shared" si="60"/>
        <v>94.33991758409546</v>
      </c>
      <c r="AX123" s="1345">
        <f t="shared" si="60"/>
        <v>94.749999999999986</v>
      </c>
      <c r="AY123" s="1780">
        <f t="shared" si="60"/>
        <v>93.744232082190848</v>
      </c>
      <c r="AZ123" s="2934">
        <f t="shared" ref="AZ123:BA123" si="61">+AZ121*100/AZ7</f>
        <v>94.75</v>
      </c>
      <c r="BA123" s="2799">
        <f t="shared" si="61"/>
        <v>94.146464563073792</v>
      </c>
      <c r="BB123" s="808">
        <f t="shared" si="60"/>
        <v>94.749999999999986</v>
      </c>
      <c r="BC123" s="2363">
        <f t="shared" si="60"/>
        <v>93.91164228167537</v>
      </c>
      <c r="BD123" s="1595">
        <f t="shared" si="60"/>
        <v>94.75</v>
      </c>
      <c r="BE123" s="2364">
        <f t="shared" si="60"/>
        <v>93.649582875146166</v>
      </c>
      <c r="BF123" s="1345">
        <f t="shared" si="60"/>
        <v>94.749999999999986</v>
      </c>
      <c r="BG123" s="1780">
        <f t="shared" si="60"/>
        <v>93.784864547510878</v>
      </c>
      <c r="BH123" s="1520"/>
      <c r="BI123" s="1520"/>
      <c r="BJ123" s="26"/>
      <c r="BK123" s="26"/>
      <c r="BL123" s="26"/>
      <c r="BM123" s="26"/>
      <c r="BN123" s="1202"/>
    </row>
    <row r="124" spans="1:68" x14ac:dyDescent="0.3">
      <c r="A124" s="146"/>
      <c r="B124" s="882" t="s">
        <v>812</v>
      </c>
      <c r="C124" s="883"/>
      <c r="D124" s="883"/>
      <c r="E124" s="2000" t="s">
        <v>50</v>
      </c>
      <c r="F124" s="1319">
        <f>+F121</f>
        <v>62000</v>
      </c>
      <c r="G124" s="1125">
        <f>+G121</f>
        <v>49543.777000000002</v>
      </c>
      <c r="H124" s="1319">
        <f>+H121</f>
        <v>65000</v>
      </c>
      <c r="I124" s="1125">
        <f>+I121</f>
        <v>57219.144</v>
      </c>
      <c r="J124" s="813">
        <f t="shared" ref="J124:AC124" si="62">+J121</f>
        <v>127000</v>
      </c>
      <c r="K124" s="1971">
        <f t="shared" si="62"/>
        <v>106762.92099999997</v>
      </c>
      <c r="L124" s="1319">
        <f>+L121</f>
        <v>62500</v>
      </c>
      <c r="M124" s="1125">
        <f>+M121</f>
        <v>58674.632999999994</v>
      </c>
      <c r="N124" s="1977">
        <f t="shared" si="62"/>
        <v>189500</v>
      </c>
      <c r="O124" s="1978">
        <f t="shared" si="62"/>
        <v>165437.55399999997</v>
      </c>
      <c r="P124" s="1319">
        <f>+P121</f>
        <v>65000</v>
      </c>
      <c r="Q124" s="1125">
        <f>+Q121</f>
        <v>57327.387000000002</v>
      </c>
      <c r="R124" s="1985">
        <f t="shared" si="62"/>
        <v>254500</v>
      </c>
      <c r="S124" s="1986">
        <f t="shared" si="62"/>
        <v>222764.94099999993</v>
      </c>
      <c r="T124" s="1319">
        <f>+T121</f>
        <v>65000</v>
      </c>
      <c r="U124" s="1125">
        <f>+U121</f>
        <v>44406.292999999998</v>
      </c>
      <c r="V124" s="1985">
        <f t="shared" ref="V124:W124" si="63">+V121</f>
        <v>319500</v>
      </c>
      <c r="W124" s="1986">
        <f t="shared" si="63"/>
        <v>267171.234</v>
      </c>
      <c r="X124" s="1319">
        <f>+X121</f>
        <v>33500</v>
      </c>
      <c r="Y124" s="1125">
        <f>+Y121</f>
        <v>49996.715999999993</v>
      </c>
      <c r="Z124" s="373">
        <f t="shared" si="62"/>
        <v>163500</v>
      </c>
      <c r="AA124" s="373">
        <f t="shared" si="62"/>
        <v>151730.39600000001</v>
      </c>
      <c r="AB124" s="539">
        <f t="shared" si="62"/>
        <v>353000</v>
      </c>
      <c r="AC124" s="539">
        <f t="shared" si="62"/>
        <v>317167.95</v>
      </c>
      <c r="AD124" s="1319">
        <f>+AD121</f>
        <v>67000</v>
      </c>
      <c r="AE124" s="1125">
        <f>+AE121</f>
        <v>29659.897000000008</v>
      </c>
      <c r="AF124" s="1985">
        <f t="shared" ref="AF124:AG124" si="64">+AF121</f>
        <v>420000</v>
      </c>
      <c r="AG124" s="1986">
        <f t="shared" si="64"/>
        <v>346827.84700000007</v>
      </c>
      <c r="AH124" s="1319">
        <f>+AH121</f>
        <v>65000</v>
      </c>
      <c r="AI124" s="1125">
        <f>+AI121</f>
        <v>49060.044000000016</v>
      </c>
      <c r="AJ124" s="1985">
        <f t="shared" ref="AJ124:AK124" si="65">+AJ121</f>
        <v>485000</v>
      </c>
      <c r="AK124" s="1986">
        <f t="shared" si="65"/>
        <v>395887.89100000006</v>
      </c>
      <c r="AL124" s="1319">
        <f>+AL121</f>
        <v>67500</v>
      </c>
      <c r="AM124" s="1125">
        <f>+AM121</f>
        <v>52987.18</v>
      </c>
      <c r="AN124" s="373">
        <f t="shared" ref="AN124:AU124" si="66">+AN121</f>
        <v>199500</v>
      </c>
      <c r="AO124" s="373">
        <f t="shared" si="66"/>
        <v>131707.12099999998</v>
      </c>
      <c r="AP124" s="1985">
        <f t="shared" si="66"/>
        <v>552500</v>
      </c>
      <c r="AQ124" s="1986">
        <f t="shared" si="66"/>
        <v>448875.071</v>
      </c>
      <c r="AR124" s="1319">
        <f>+AR121</f>
        <v>68000</v>
      </c>
      <c r="AS124" s="1125">
        <f>+AS121</f>
        <v>56169.977999999988</v>
      </c>
      <c r="AT124" s="1985">
        <f t="shared" si="66"/>
        <v>620500</v>
      </c>
      <c r="AU124" s="1986">
        <f t="shared" si="66"/>
        <v>505045.04900000006</v>
      </c>
      <c r="AV124" s="1319">
        <f>+AV121</f>
        <v>61000</v>
      </c>
      <c r="AW124" s="1125">
        <f>+AW121</f>
        <v>54279.397999999994</v>
      </c>
      <c r="AX124" s="1985">
        <f t="shared" ref="AX124:AY124" si="67">+AX121</f>
        <v>681500</v>
      </c>
      <c r="AY124" s="1986">
        <f t="shared" si="67"/>
        <v>559324.44699999981</v>
      </c>
      <c r="AZ124" s="1319">
        <f>+AZ121</f>
        <v>68500</v>
      </c>
      <c r="BA124" s="1125">
        <f>+BA121</f>
        <v>63120.145999999993</v>
      </c>
      <c r="BB124" s="373">
        <f t="shared" ref="BB124:BE124" si="68">+BB121</f>
        <v>197500</v>
      </c>
      <c r="BC124" s="373">
        <f t="shared" si="68"/>
        <v>173569.522</v>
      </c>
      <c r="BD124" s="1596">
        <f t="shared" si="68"/>
        <v>397000</v>
      </c>
      <c r="BE124" s="1596">
        <f t="shared" si="68"/>
        <v>305276.6430000001</v>
      </c>
      <c r="BF124" s="1985">
        <f t="shared" ref="BF124:BG124" si="69">+BF121</f>
        <v>750000</v>
      </c>
      <c r="BG124" s="1986">
        <f t="shared" si="69"/>
        <v>622444.59299999976</v>
      </c>
      <c r="BH124" s="1520">
        <f t="shared" si="25"/>
        <v>0</v>
      </c>
      <c r="BI124" s="1520">
        <f t="shared" si="26"/>
        <v>0</v>
      </c>
      <c r="BJ124" s="26"/>
      <c r="BK124" s="26">
        <f t="shared" si="27"/>
        <v>0</v>
      </c>
      <c r="BL124" s="26">
        <f t="shared" si="28"/>
        <v>0</v>
      </c>
      <c r="BM124" s="26"/>
      <c r="BN124" s="1202"/>
    </row>
    <row r="125" spans="1:68" ht="15" thickBot="1" x14ac:dyDescent="0.35">
      <c r="A125" s="146"/>
      <c r="B125" s="1035" t="s">
        <v>843</v>
      </c>
      <c r="C125" s="1036"/>
      <c r="D125" s="1036"/>
      <c r="E125" s="2001" t="s">
        <v>49</v>
      </c>
      <c r="F125" s="1963"/>
      <c r="G125" s="1964">
        <f>+G124/G121</f>
        <v>1</v>
      </c>
      <c r="H125" s="1963"/>
      <c r="I125" s="1964">
        <f>+I124/I121</f>
        <v>1</v>
      </c>
      <c r="J125" s="1969"/>
      <c r="K125" s="1972">
        <f>+K124/K121</f>
        <v>1</v>
      </c>
      <c r="L125" s="1963"/>
      <c r="M125" s="1964">
        <f>+M124/M121</f>
        <v>1</v>
      </c>
      <c r="N125" s="1979"/>
      <c r="O125" s="1980">
        <f>+O124/O121</f>
        <v>1</v>
      </c>
      <c r="P125" s="1963"/>
      <c r="Q125" s="1964">
        <f>+Q124/Q121</f>
        <v>1</v>
      </c>
      <c r="R125" s="1987"/>
      <c r="S125" s="1988">
        <f>+S124/S121</f>
        <v>1</v>
      </c>
      <c r="T125" s="1963"/>
      <c r="U125" s="1964">
        <f>+U124/U121</f>
        <v>1</v>
      </c>
      <c r="V125" s="1987"/>
      <c r="W125" s="1988">
        <f>+W124/W121</f>
        <v>1</v>
      </c>
      <c r="X125" s="1963"/>
      <c r="Y125" s="1964">
        <f>+Y124/Y121</f>
        <v>1</v>
      </c>
      <c r="Z125" s="1475"/>
      <c r="AA125" s="1475">
        <f>+AA124/AA121</f>
        <v>1</v>
      </c>
      <c r="AB125" s="1592"/>
      <c r="AC125" s="1592">
        <f>+AC124/AC121</f>
        <v>1</v>
      </c>
      <c r="AD125" s="1963"/>
      <c r="AE125" s="1964">
        <f>+AE124/AE121</f>
        <v>1</v>
      </c>
      <c r="AF125" s="1987"/>
      <c r="AG125" s="1988">
        <f>+AG124/AG121</f>
        <v>1</v>
      </c>
      <c r="AH125" s="1963"/>
      <c r="AI125" s="1964">
        <f>+AI124/AI121</f>
        <v>1</v>
      </c>
      <c r="AJ125" s="1987"/>
      <c r="AK125" s="1988">
        <f>+AK124/AK121</f>
        <v>1</v>
      </c>
      <c r="AL125" s="1963"/>
      <c r="AM125" s="1964">
        <f>+AM124/AM121</f>
        <v>1</v>
      </c>
      <c r="AN125" s="1475"/>
      <c r="AO125" s="1475">
        <f>+AO124/AO121</f>
        <v>1</v>
      </c>
      <c r="AP125" s="1987"/>
      <c r="AQ125" s="1988">
        <f>+AQ124/AQ121</f>
        <v>1</v>
      </c>
      <c r="AR125" s="1963"/>
      <c r="AS125" s="1964">
        <f>+AS124/AS121</f>
        <v>1</v>
      </c>
      <c r="AT125" s="1987"/>
      <c r="AU125" s="1988">
        <f>+AU124/AU121</f>
        <v>1</v>
      </c>
      <c r="AV125" s="1963"/>
      <c r="AW125" s="1964">
        <f>+AW124/AW121</f>
        <v>1</v>
      </c>
      <c r="AX125" s="1987"/>
      <c r="AY125" s="1988">
        <f>+AY124/AY121</f>
        <v>1</v>
      </c>
      <c r="AZ125" s="1963"/>
      <c r="BA125" s="1964">
        <f>+BA124/BA121</f>
        <v>1</v>
      </c>
      <c r="BB125" s="1475"/>
      <c r="BC125" s="1475">
        <f>+BC124/BC121</f>
        <v>1</v>
      </c>
      <c r="BD125" s="1597"/>
      <c r="BE125" s="1597">
        <f>+BE124/BE121</f>
        <v>1</v>
      </c>
      <c r="BF125" s="1987"/>
      <c r="BG125" s="1988">
        <f>+BG124/BG121</f>
        <v>1</v>
      </c>
      <c r="BH125" s="1520"/>
      <c r="BI125" s="1520"/>
      <c r="BJ125" s="26"/>
      <c r="BK125" s="26"/>
      <c r="BL125" s="26"/>
      <c r="BM125" s="26"/>
      <c r="BN125" s="1202"/>
    </row>
    <row r="126" spans="1:68" ht="15" thickBot="1" x14ac:dyDescent="0.35">
      <c r="A126" s="146"/>
      <c r="B126" s="853" t="s">
        <v>1450</v>
      </c>
      <c r="C126" s="853"/>
      <c r="D126" s="805" t="s">
        <v>49</v>
      </c>
      <c r="E126" s="1672"/>
      <c r="F126" s="1672"/>
      <c r="G126" s="1667">
        <f>G127/G129</f>
        <v>0.12209070355100413</v>
      </c>
      <c r="H126" s="1672"/>
      <c r="I126" s="1667">
        <f>I127/I129</f>
        <v>9.6796260403602785E-2</v>
      </c>
      <c r="J126" s="1668"/>
      <c r="K126" s="1668">
        <f>K127/K129</f>
        <v>0.10847145488029467</v>
      </c>
      <c r="L126" s="1672"/>
      <c r="M126" s="1667">
        <f>M127/M129</f>
        <v>0.21279298002540123</v>
      </c>
      <c r="N126" s="1669"/>
      <c r="O126" s="1669">
        <f>O127/O129</f>
        <v>0.14468357981644023</v>
      </c>
      <c r="P126" s="1672"/>
      <c r="Q126" s="1667">
        <f>Q127/Q129</f>
        <v>0.11653888280394305</v>
      </c>
      <c r="R126" s="1667"/>
      <c r="S126" s="1667">
        <f>S127/S129</f>
        <v>0.13714386314955548</v>
      </c>
      <c r="T126" s="1672"/>
      <c r="U126" s="1667">
        <f>U127/U129</f>
        <v>4.5423911578379834E-2</v>
      </c>
      <c r="V126" s="1667"/>
      <c r="W126" s="1667">
        <f>W127/W129</f>
        <v>0.12074698795180723</v>
      </c>
      <c r="X126" s="1672"/>
      <c r="Y126" s="1667">
        <f>Y127/Y129</f>
        <v>2.0050441361916773E-2</v>
      </c>
      <c r="Z126" s="1669"/>
      <c r="AA126" s="1669">
        <f>AA127/AA129</f>
        <v>6.3728093467870423E-2</v>
      </c>
      <c r="AB126" s="1670"/>
      <c r="AC126" s="1671">
        <f>AC127/AC129</f>
        <v>0.10459235282217277</v>
      </c>
      <c r="AD126" s="1672"/>
      <c r="AE126" s="1667">
        <f>AE127/AE129</f>
        <v>9.9283773771301556E-2</v>
      </c>
      <c r="AF126" s="1667"/>
      <c r="AG126" s="2003">
        <f>AG127/AG129</f>
        <v>0.10419042988836739</v>
      </c>
      <c r="AH126" s="1672"/>
      <c r="AI126" s="1667">
        <f>AI127/AI129</f>
        <v>0.16962524654832348</v>
      </c>
      <c r="AJ126" s="1667"/>
      <c r="AK126" s="2003">
        <f>AK127/AK129</f>
        <v>0.11233710955405671</v>
      </c>
      <c r="AL126" s="1672"/>
      <c r="AM126" s="1667">
        <f>AM127/AM129</f>
        <v>7.0407040704070403E-2</v>
      </c>
      <c r="AN126" s="1669"/>
      <c r="AO126" s="1669">
        <f>AO127/AO129</f>
        <v>0.11434333249306781</v>
      </c>
      <c r="AP126" s="1667"/>
      <c r="AQ126" s="2003">
        <f>AQ127/AQ129</f>
        <v>0.10738468201833538</v>
      </c>
      <c r="AR126" s="1672"/>
      <c r="AS126" s="1667">
        <f>AS127/AS129</f>
        <v>0.11349440188568061</v>
      </c>
      <c r="AT126" s="1667"/>
      <c r="AU126" s="1667">
        <f>AU127/AU129</f>
        <v>0.10805144694533762</v>
      </c>
      <c r="AV126" s="1672"/>
      <c r="AW126" s="1667">
        <f>AW127/AW129</f>
        <v>0.12445969997457412</v>
      </c>
      <c r="AX126" s="1667"/>
      <c r="AY126" s="4397">
        <f>AY127/AY129</f>
        <v>0.10955896094188003</v>
      </c>
      <c r="AZ126" s="1672"/>
      <c r="BA126" s="1667">
        <f>BA127/BA129</f>
        <v>0.29453464440887261</v>
      </c>
      <c r="BB126" s="1475"/>
      <c r="BC126" s="1475">
        <f>BC127/BC129</f>
        <v>0.18002151651591825</v>
      </c>
      <c r="BD126" s="1597"/>
      <c r="BE126" s="1597">
        <f>BE127/BE129</f>
        <v>0.15102822042197098</v>
      </c>
      <c r="BF126" s="1523"/>
      <c r="BG126" s="1523">
        <f>BG127/BG129</f>
        <v>0.12670354591890803</v>
      </c>
      <c r="BH126" s="1520">
        <f t="shared" si="25"/>
        <v>0</v>
      </c>
      <c r="BI126" s="1520">
        <f t="shared" si="26"/>
        <v>1.3587944410981627</v>
      </c>
      <c r="BJ126" s="26"/>
      <c r="BK126" s="26">
        <f t="shared" si="27"/>
        <v>0</v>
      </c>
      <c r="BL126" s="26">
        <f t="shared" si="28"/>
        <v>0.72077658687085189</v>
      </c>
      <c r="BM126" s="26"/>
      <c r="BN126" s="1202"/>
    </row>
    <row r="127" spans="1:68" ht="15.6" hidden="1" x14ac:dyDescent="0.3">
      <c r="A127" s="146"/>
      <c r="B127" s="4342" t="s">
        <v>1909</v>
      </c>
      <c r="C127" s="4343"/>
      <c r="D127" s="4344" t="s">
        <v>2293</v>
      </c>
      <c r="E127" s="1672"/>
      <c r="F127" s="1672"/>
      <c r="G127" s="2928">
        <v>918</v>
      </c>
      <c r="H127" s="1672"/>
      <c r="I127" s="2928">
        <v>849</v>
      </c>
      <c r="J127" s="1668"/>
      <c r="K127" s="38">
        <f t="shared" ref="K127:K129" si="70">+G127+I127</f>
        <v>1767</v>
      </c>
      <c r="L127" s="1672"/>
      <c r="M127" s="2928">
        <v>1843</v>
      </c>
      <c r="N127" s="1669"/>
      <c r="O127" s="774">
        <f t="shared" ref="O127:O129" si="71">+G127+I127+M127</f>
        <v>3610</v>
      </c>
      <c r="P127" s="1672"/>
      <c r="Q127" s="2928">
        <v>1064</v>
      </c>
      <c r="R127" s="1667"/>
      <c r="S127" s="775">
        <f t="shared" ref="S127:S129" si="72">+O127+Q127</f>
        <v>4674</v>
      </c>
      <c r="T127" s="1672"/>
      <c r="U127" s="2928">
        <v>337</v>
      </c>
      <c r="V127" s="1667"/>
      <c r="W127" s="775">
        <f t="shared" ref="W127:W129" si="73">+S127+U127</f>
        <v>5011</v>
      </c>
      <c r="X127" s="1672"/>
      <c r="Y127" s="2928">
        <v>159</v>
      </c>
      <c r="Z127" s="1669"/>
      <c r="AA127" s="774">
        <f t="shared" ref="AA127:AA129" si="74">+Q127+U127+Y127</f>
        <v>1560</v>
      </c>
      <c r="AB127" s="1670"/>
      <c r="AC127" s="460">
        <f t="shared" ref="AC127:AC129" si="75">+AA127+O127</f>
        <v>5170</v>
      </c>
      <c r="AD127" s="1672"/>
      <c r="AE127" s="2928">
        <v>402</v>
      </c>
      <c r="AF127" s="1667"/>
      <c r="AG127" s="38">
        <f t="shared" ref="AG127:AG129" si="76">+AC127+AE127</f>
        <v>5572</v>
      </c>
      <c r="AH127" s="1672"/>
      <c r="AI127" s="2928">
        <v>1290</v>
      </c>
      <c r="AJ127" s="1667"/>
      <c r="AK127" s="38">
        <f t="shared" ref="AK127:AK129" si="77">+AG127+AI127</f>
        <v>6862</v>
      </c>
      <c r="AL127" s="1672"/>
      <c r="AM127" s="2928">
        <v>576</v>
      </c>
      <c r="AN127" s="1669"/>
      <c r="AO127" s="774">
        <f t="shared" ref="AO127:AO129" si="78">+AE127+AI127+AM127</f>
        <v>2268</v>
      </c>
      <c r="AP127" s="1667"/>
      <c r="AQ127" s="775">
        <f t="shared" ref="AQ127:AQ129" si="79">AK127+AM127</f>
        <v>7438</v>
      </c>
      <c r="AR127" s="1672"/>
      <c r="AS127" s="2928">
        <v>963</v>
      </c>
      <c r="AT127" s="1667"/>
      <c r="AU127" s="38">
        <f t="shared" ref="AU127:AU128" si="80">+AQ127+AS127</f>
        <v>8401</v>
      </c>
      <c r="AV127" s="1672"/>
      <c r="AW127" s="2928">
        <v>979</v>
      </c>
      <c r="AX127" s="1667"/>
      <c r="AY127" s="38">
        <f t="shared" ref="AY127:AY128" si="81">+AU127+AW127</f>
        <v>9380</v>
      </c>
      <c r="AZ127" s="1672"/>
      <c r="BA127" s="2928">
        <v>2576</v>
      </c>
      <c r="BB127" s="1669"/>
      <c r="BC127" s="774">
        <f t="shared" ref="BC127:BC129" si="82">+AS127+AW127+BA127</f>
        <v>4518</v>
      </c>
      <c r="BD127" s="1670"/>
      <c r="BE127" s="657">
        <f t="shared" ref="BE127:BE129" si="83">+AO127+BC127</f>
        <v>6786</v>
      </c>
      <c r="BF127" s="1668"/>
      <c r="BG127" s="38">
        <f t="shared" ref="BG127:BG128" si="84">+AY127+BA127</f>
        <v>11956</v>
      </c>
      <c r="BH127" s="1520">
        <f t="shared" si="25"/>
        <v>0</v>
      </c>
      <c r="BI127" s="1520">
        <f t="shared" si="26"/>
        <v>0</v>
      </c>
      <c r="BJ127" s="26"/>
      <c r="BK127" s="26">
        <f t="shared" si="27"/>
        <v>0</v>
      </c>
      <c r="BL127" s="26">
        <f t="shared" si="28"/>
        <v>0</v>
      </c>
      <c r="BM127" s="26"/>
      <c r="BN127" s="1202"/>
    </row>
    <row r="128" spans="1:68" ht="15.6" hidden="1" x14ac:dyDescent="0.3">
      <c r="A128" s="146"/>
      <c r="B128" s="4342" t="s">
        <v>1910</v>
      </c>
      <c r="C128" s="4343"/>
      <c r="D128" s="4344" t="s">
        <v>2293</v>
      </c>
      <c r="E128" s="1672"/>
      <c r="F128" s="1672"/>
      <c r="G128" s="2928">
        <v>6601</v>
      </c>
      <c r="H128" s="1672"/>
      <c r="I128" s="2928">
        <v>7922</v>
      </c>
      <c r="J128" s="1668"/>
      <c r="K128" s="38">
        <f t="shared" si="70"/>
        <v>14523</v>
      </c>
      <c r="L128" s="1672"/>
      <c r="M128" s="2928">
        <f>8661-M127</f>
        <v>6818</v>
      </c>
      <c r="N128" s="1669"/>
      <c r="O128" s="774">
        <f t="shared" si="71"/>
        <v>21341</v>
      </c>
      <c r="P128" s="1672"/>
      <c r="Q128" s="2928">
        <f>9130-Q127</f>
        <v>8066</v>
      </c>
      <c r="R128" s="1667"/>
      <c r="S128" s="775">
        <f t="shared" si="72"/>
        <v>29407</v>
      </c>
      <c r="T128" s="1672"/>
      <c r="U128" s="2928">
        <v>7082</v>
      </c>
      <c r="V128" s="1667"/>
      <c r="W128" s="775">
        <f t="shared" si="73"/>
        <v>36489</v>
      </c>
      <c r="X128" s="1672"/>
      <c r="Y128" s="2928">
        <v>7771</v>
      </c>
      <c r="Z128" s="1669"/>
      <c r="AA128" s="774">
        <f t="shared" si="74"/>
        <v>22919</v>
      </c>
      <c r="AB128" s="1670"/>
      <c r="AC128" s="460">
        <f t="shared" si="75"/>
        <v>44260</v>
      </c>
      <c r="AD128" s="1672"/>
      <c r="AE128" s="2928">
        <v>3647</v>
      </c>
      <c r="AF128" s="1667"/>
      <c r="AG128" s="38">
        <f t="shared" si="76"/>
        <v>47907</v>
      </c>
      <c r="AH128" s="1672"/>
      <c r="AI128" s="2928">
        <f>7605-AI127</f>
        <v>6315</v>
      </c>
      <c r="AJ128" s="1667"/>
      <c r="AK128" s="38">
        <f t="shared" si="77"/>
        <v>54222</v>
      </c>
      <c r="AL128" s="1672"/>
      <c r="AM128" s="2928">
        <v>7605</v>
      </c>
      <c r="AN128" s="1669"/>
      <c r="AO128" s="774">
        <f t="shared" si="78"/>
        <v>17567</v>
      </c>
      <c r="AP128" s="1667"/>
      <c r="AQ128" s="775">
        <f t="shared" si="79"/>
        <v>61827</v>
      </c>
      <c r="AR128" s="1672"/>
      <c r="AS128" s="2928">
        <v>7522</v>
      </c>
      <c r="AT128" s="1667"/>
      <c r="AU128" s="38">
        <f t="shared" si="80"/>
        <v>69349</v>
      </c>
      <c r="AV128" s="1672"/>
      <c r="AW128" s="2928">
        <v>6887</v>
      </c>
      <c r="AX128" s="1667"/>
      <c r="AY128" s="38">
        <f t="shared" si="81"/>
        <v>76236</v>
      </c>
      <c r="AZ128" s="1672"/>
      <c r="BA128" s="2928">
        <v>6170</v>
      </c>
      <c r="BB128" s="1669"/>
      <c r="BC128" s="774">
        <f t="shared" si="82"/>
        <v>20579</v>
      </c>
      <c r="BD128" s="1670"/>
      <c r="BE128" s="657">
        <f t="shared" si="83"/>
        <v>38146</v>
      </c>
      <c r="BF128" s="1668"/>
      <c r="BG128" s="38">
        <f t="shared" si="84"/>
        <v>82406</v>
      </c>
      <c r="BH128" s="1520">
        <f t="shared" si="25"/>
        <v>0</v>
      </c>
      <c r="BI128" s="1520">
        <f t="shared" si="26"/>
        <v>0</v>
      </c>
      <c r="BJ128" s="26"/>
      <c r="BK128" s="26">
        <f t="shared" si="27"/>
        <v>0</v>
      </c>
      <c r="BL128" s="26">
        <f t="shared" si="28"/>
        <v>0</v>
      </c>
      <c r="BM128" s="26"/>
      <c r="BN128" s="1202"/>
      <c r="BO128" s="4786"/>
      <c r="BP128" s="4786"/>
    </row>
    <row r="129" spans="1:67" ht="16.2" hidden="1" thickBot="1" x14ac:dyDescent="0.35">
      <c r="A129" s="146"/>
      <c r="B129" s="4342" t="s">
        <v>2327</v>
      </c>
      <c r="C129" s="4343"/>
      <c r="D129" s="4344" t="s">
        <v>2293</v>
      </c>
      <c r="E129" s="1672"/>
      <c r="F129" s="1672"/>
      <c r="G129" s="2928">
        <f>G127+G128</f>
        <v>7519</v>
      </c>
      <c r="H129" s="1672"/>
      <c r="I129" s="2928">
        <f>I127+I128</f>
        <v>8771</v>
      </c>
      <c r="J129" s="1668"/>
      <c r="K129" s="38">
        <f t="shared" si="70"/>
        <v>16290</v>
      </c>
      <c r="L129" s="1672"/>
      <c r="M129" s="2928">
        <f>M127+M128</f>
        <v>8661</v>
      </c>
      <c r="N129" s="1669"/>
      <c r="O129" s="774">
        <f t="shared" si="71"/>
        <v>24951</v>
      </c>
      <c r="P129" s="1672"/>
      <c r="Q129" s="2928">
        <f>Q127+Q128</f>
        <v>9130</v>
      </c>
      <c r="R129" s="1667"/>
      <c r="S129" s="775">
        <f t="shared" si="72"/>
        <v>34081</v>
      </c>
      <c r="T129" s="1672"/>
      <c r="U129" s="2928">
        <v>7419</v>
      </c>
      <c r="V129" s="1667"/>
      <c r="W129" s="775">
        <f t="shared" si="73"/>
        <v>41500</v>
      </c>
      <c r="X129" s="1672"/>
      <c r="Y129" s="2928">
        <f>Y127+Y128</f>
        <v>7930</v>
      </c>
      <c r="Z129" s="1669"/>
      <c r="AA129" s="774">
        <f t="shared" si="74"/>
        <v>24479</v>
      </c>
      <c r="AB129" s="1670"/>
      <c r="AC129" s="460">
        <f t="shared" si="75"/>
        <v>49430</v>
      </c>
      <c r="AD129" s="1672"/>
      <c r="AE129" s="2928">
        <f>SUM(AE127:AE128)</f>
        <v>4049</v>
      </c>
      <c r="AF129" s="1667"/>
      <c r="AG129" s="38">
        <f t="shared" si="76"/>
        <v>53479</v>
      </c>
      <c r="AH129" s="1672"/>
      <c r="AI129" s="2928">
        <f>SUM(AI127:AI128)</f>
        <v>7605</v>
      </c>
      <c r="AJ129" s="1667"/>
      <c r="AK129" s="38">
        <f t="shared" si="77"/>
        <v>61084</v>
      </c>
      <c r="AL129" s="1672"/>
      <c r="AM129" s="2928">
        <f>SUM(AM127:AM128)</f>
        <v>8181</v>
      </c>
      <c r="AN129" s="1669"/>
      <c r="AO129" s="774">
        <f t="shared" si="78"/>
        <v>19835</v>
      </c>
      <c r="AP129" s="1667"/>
      <c r="AQ129" s="775">
        <f t="shared" si="79"/>
        <v>69265</v>
      </c>
      <c r="AR129" s="1672"/>
      <c r="AS129" s="2928">
        <f>SUM(AS127:AS128)</f>
        <v>8485</v>
      </c>
      <c r="AT129" s="1667"/>
      <c r="AU129" s="775">
        <f t="shared" ref="AU129" si="85">+AQ129+AS129</f>
        <v>77750</v>
      </c>
      <c r="AV129" s="1672"/>
      <c r="AW129" s="2928">
        <f>SUM(AW127:AW128)</f>
        <v>7866</v>
      </c>
      <c r="AX129" s="1667"/>
      <c r="AY129" s="775">
        <f t="shared" ref="AY129" si="86">+AU129+AW129</f>
        <v>85616</v>
      </c>
      <c r="AZ129" s="1672"/>
      <c r="BA129" s="2928">
        <f>SUM(BA127:BA128)</f>
        <v>8746</v>
      </c>
      <c r="BB129" s="1669"/>
      <c r="BC129" s="774">
        <f t="shared" si="82"/>
        <v>25097</v>
      </c>
      <c r="BD129" s="1670"/>
      <c r="BE129" s="657">
        <f t="shared" si="83"/>
        <v>44932</v>
      </c>
      <c r="BF129" s="1668"/>
      <c r="BG129" s="775">
        <f t="shared" ref="BG129" si="87">+AY129+BA129</f>
        <v>94362</v>
      </c>
      <c r="BH129" s="1520">
        <f t="shared" si="25"/>
        <v>0</v>
      </c>
      <c r="BI129" s="1520">
        <f t="shared" si="26"/>
        <v>0</v>
      </c>
      <c r="BJ129" s="26"/>
      <c r="BK129" s="26">
        <f t="shared" si="27"/>
        <v>0</v>
      </c>
      <c r="BL129" s="26">
        <f t="shared" si="28"/>
        <v>0</v>
      </c>
      <c r="BM129" s="26"/>
      <c r="BN129" s="1202"/>
    </row>
    <row r="130" spans="1:67" ht="18" thickBot="1" x14ac:dyDescent="0.35">
      <c r="B130" s="1807" t="s">
        <v>53</v>
      </c>
      <c r="C130" s="185"/>
      <c r="D130" s="185"/>
      <c r="E130" s="2002"/>
      <c r="F130" s="1807"/>
      <c r="G130" s="1990"/>
      <c r="H130" s="1807"/>
      <c r="I130" s="1990"/>
      <c r="J130" s="185"/>
      <c r="K130" s="185"/>
      <c r="L130" s="1807"/>
      <c r="M130" s="1990"/>
      <c r="N130" s="1807"/>
      <c r="O130" s="1990"/>
      <c r="P130" s="1807"/>
      <c r="Q130" s="1990"/>
      <c r="R130" s="1807"/>
      <c r="S130" s="1990"/>
      <c r="T130" s="1807"/>
      <c r="U130" s="1990"/>
      <c r="V130" s="1807"/>
      <c r="W130" s="1990"/>
      <c r="X130" s="1807"/>
      <c r="Y130" s="1990"/>
      <c r="Z130" s="185"/>
      <c r="AA130" s="185"/>
      <c r="AB130" s="185"/>
      <c r="AC130" s="185"/>
      <c r="AD130" s="1807"/>
      <c r="AE130" s="1990"/>
      <c r="AF130" s="1807"/>
      <c r="AG130" s="1990"/>
      <c r="AH130" s="1807"/>
      <c r="AI130" s="1990"/>
      <c r="AJ130" s="1807"/>
      <c r="AK130" s="1990"/>
      <c r="AL130" s="1807"/>
      <c r="AM130" s="1990"/>
      <c r="AN130" s="185"/>
      <c r="AO130" s="185"/>
      <c r="AP130" s="1807"/>
      <c r="AQ130" s="1990"/>
      <c r="AR130" s="1807"/>
      <c r="AS130" s="1990"/>
      <c r="AT130" s="1807"/>
      <c r="AU130" s="1990"/>
      <c r="AV130" s="1807"/>
      <c r="AW130" s="1990"/>
      <c r="AX130" s="1807"/>
      <c r="AY130" s="1990"/>
      <c r="AZ130" s="1807"/>
      <c r="BA130" s="1990"/>
      <c r="BB130" s="185"/>
      <c r="BC130" s="185"/>
      <c r="BD130" s="185"/>
      <c r="BE130" s="185"/>
      <c r="BF130" s="1807"/>
      <c r="BG130" s="1990"/>
      <c r="BH130" s="1520">
        <f t="shared" si="25"/>
        <v>0</v>
      </c>
      <c r="BI130" s="1520">
        <f t="shared" si="26"/>
        <v>0</v>
      </c>
      <c r="BJ130" s="26"/>
      <c r="BK130" s="26">
        <f t="shared" si="27"/>
        <v>0</v>
      </c>
      <c r="BL130" s="26">
        <f t="shared" si="28"/>
        <v>0</v>
      </c>
      <c r="BM130" s="26"/>
      <c r="BN130" s="1202"/>
    </row>
    <row r="131" spans="1:67" x14ac:dyDescent="0.3">
      <c r="B131" s="855" t="s">
        <v>93</v>
      </c>
      <c r="C131" s="1991"/>
      <c r="D131" s="1991"/>
      <c r="E131" s="811" t="s">
        <v>221</v>
      </c>
      <c r="F131" s="811">
        <f>+F2*24</f>
        <v>720</v>
      </c>
      <c r="G131" s="811">
        <f>+G2*24</f>
        <v>720</v>
      </c>
      <c r="H131" s="811">
        <f>+H2*24</f>
        <v>744</v>
      </c>
      <c r="I131" s="811">
        <f>+I2*24</f>
        <v>744</v>
      </c>
      <c r="J131" s="3260">
        <f>+F131+H131</f>
        <v>1464</v>
      </c>
      <c r="K131" s="3260">
        <f>+G131+I131</f>
        <v>1464</v>
      </c>
      <c r="L131" s="811">
        <f>+L2*24</f>
        <v>720</v>
      </c>
      <c r="M131" s="811">
        <f>+M2*24</f>
        <v>720</v>
      </c>
      <c r="N131" s="613">
        <f>+F131+H131+L131</f>
        <v>2184</v>
      </c>
      <c r="O131" s="613">
        <f>+G131+I131+M131</f>
        <v>2184</v>
      </c>
      <c r="P131" s="811">
        <f>+P2*24</f>
        <v>744</v>
      </c>
      <c r="Q131" s="811">
        <f>+Q2*24</f>
        <v>744</v>
      </c>
      <c r="R131" s="3260">
        <f>+N131+P131</f>
        <v>2928</v>
      </c>
      <c r="S131" s="3260">
        <f>+O131+Q131</f>
        <v>2928</v>
      </c>
      <c r="T131" s="811">
        <f>+T2*24</f>
        <v>744</v>
      </c>
      <c r="U131" s="811">
        <f>+U2*24</f>
        <v>744</v>
      </c>
      <c r="V131" s="3260">
        <f>+R131+T131</f>
        <v>3672</v>
      </c>
      <c r="W131" s="3260">
        <f>+S131+U131</f>
        <v>3672</v>
      </c>
      <c r="X131" s="811">
        <f>+X2*24</f>
        <v>720</v>
      </c>
      <c r="Y131" s="811">
        <f>+Y2*24</f>
        <v>720</v>
      </c>
      <c r="Z131" s="613">
        <f>+P131+T131+X131</f>
        <v>2208</v>
      </c>
      <c r="AA131" s="613">
        <f>+Q131+U131+Y131</f>
        <v>2208</v>
      </c>
      <c r="AB131" s="1039">
        <f>+N131+Z131</f>
        <v>4392</v>
      </c>
      <c r="AC131" s="1039">
        <f>+AA131+O131</f>
        <v>4392</v>
      </c>
      <c r="AD131" s="811">
        <f>+AD2*24</f>
        <v>744</v>
      </c>
      <c r="AE131" s="811">
        <f>+AE2*24</f>
        <v>744</v>
      </c>
      <c r="AF131" s="3260">
        <f>+AB131+AD131</f>
        <v>5136</v>
      </c>
      <c r="AG131" s="3260">
        <f>+AC131+AE131</f>
        <v>5136</v>
      </c>
      <c r="AH131" s="811">
        <f>+AH2*24</f>
        <v>720</v>
      </c>
      <c r="AI131" s="811">
        <f>+AI2*24</f>
        <v>720</v>
      </c>
      <c r="AJ131" s="3260">
        <f>+AF131+AH131</f>
        <v>5856</v>
      </c>
      <c r="AK131" s="3260">
        <f>+AG131+AI131</f>
        <v>5856</v>
      </c>
      <c r="AL131" s="811">
        <f>+AL2*24</f>
        <v>744</v>
      </c>
      <c r="AM131" s="811">
        <f>+AM2*24</f>
        <v>744</v>
      </c>
      <c r="AN131" s="613">
        <f>+AD131+AH131+AL131</f>
        <v>2208</v>
      </c>
      <c r="AO131" s="613">
        <f>+AE131+AI131+AM131</f>
        <v>2208</v>
      </c>
      <c r="AP131" s="368">
        <f t="shared" ref="AP131" si="88">AJ131+AL131</f>
        <v>6600</v>
      </c>
      <c r="AQ131" s="368">
        <f t="shared" ref="AQ131" si="89">AK131+AM131</f>
        <v>6600</v>
      </c>
      <c r="AR131" s="811">
        <f>+AR2*24</f>
        <v>744</v>
      </c>
      <c r="AS131" s="811">
        <f>+AS2*24</f>
        <v>744</v>
      </c>
      <c r="AT131" s="3260">
        <f>+AP131+AR131</f>
        <v>7344</v>
      </c>
      <c r="AU131" s="3260">
        <f>+AQ131+AS131</f>
        <v>7344</v>
      </c>
      <c r="AV131" s="811">
        <f>+AV2*24</f>
        <v>672</v>
      </c>
      <c r="AW131" s="811">
        <f>+AW2*24</f>
        <v>672</v>
      </c>
      <c r="AX131" s="3260">
        <f>+AT131+AV131</f>
        <v>8016</v>
      </c>
      <c r="AY131" s="3260">
        <f>+AU131+AW131</f>
        <v>8016</v>
      </c>
      <c r="AZ131" s="811">
        <f>+AZ2*24</f>
        <v>744</v>
      </c>
      <c r="BA131" s="811">
        <f>+BA2*24</f>
        <v>744</v>
      </c>
      <c r="BB131" s="613">
        <f>+AR131+AV131+AZ131</f>
        <v>2160</v>
      </c>
      <c r="BC131" s="613">
        <f>+AS131+AW131+BA131</f>
        <v>2160</v>
      </c>
      <c r="BD131" s="4623">
        <f t="shared" ref="BD131" si="90">+AN131+BB131</f>
        <v>4368</v>
      </c>
      <c r="BE131" s="4623">
        <f t="shared" ref="BE131" si="91">+AO131+BC131</f>
        <v>4368</v>
      </c>
      <c r="BF131" s="3260">
        <f>+AX131+AZ131</f>
        <v>8760</v>
      </c>
      <c r="BG131" s="3028">
        <f>+AY131+BA131</f>
        <v>8760</v>
      </c>
      <c r="BH131" s="1520">
        <f t="shared" si="25"/>
        <v>0</v>
      </c>
      <c r="BI131" s="1520">
        <f t="shared" si="26"/>
        <v>0</v>
      </c>
      <c r="BJ131" s="26"/>
      <c r="BK131" s="26">
        <f t="shared" si="27"/>
        <v>0</v>
      </c>
      <c r="BL131" s="26">
        <f t="shared" si="28"/>
        <v>0</v>
      </c>
      <c r="BM131" s="26"/>
      <c r="BN131" s="1202"/>
    </row>
    <row r="132" spans="1:67" x14ac:dyDescent="0.3">
      <c r="B132" s="4698" t="s">
        <v>303</v>
      </c>
      <c r="C132" s="4680"/>
      <c r="D132" s="4680"/>
      <c r="E132" s="4443" t="s">
        <v>49</v>
      </c>
      <c r="F132" s="4682">
        <f>+F133/F131*100</f>
        <v>90</v>
      </c>
      <c r="G132" s="4682">
        <f>+G133/G131*100</f>
        <v>74.363425925925924</v>
      </c>
      <c r="H132" s="4682">
        <f>+H133/H131*100</f>
        <v>90.322580645161281</v>
      </c>
      <c r="I132" s="4682">
        <f>+I133/I131*100</f>
        <v>84.621415770609346</v>
      </c>
      <c r="J132" s="4683">
        <f t="shared" ref="J132:AC132" si="92">+J133/J131*100</f>
        <v>90.163934426229503</v>
      </c>
      <c r="K132" s="4683">
        <f t="shared" si="92"/>
        <v>79.576502732240442</v>
      </c>
      <c r="L132" s="4682">
        <f>+L133/L131*100</f>
        <v>90</v>
      </c>
      <c r="M132" s="4682">
        <f>+M133/M131*100</f>
        <v>84.224537037037024</v>
      </c>
      <c r="N132" s="4684">
        <f t="shared" si="92"/>
        <v>90.109890109890117</v>
      </c>
      <c r="O132" s="4684">
        <f t="shared" si="92"/>
        <v>81.108821733821728</v>
      </c>
      <c r="P132" s="4682">
        <f>+P133/P131*100</f>
        <v>90.322580645161281</v>
      </c>
      <c r="Q132" s="4682">
        <f>+Q133/Q131*100</f>
        <v>88.048835125448051</v>
      </c>
      <c r="R132" s="4683">
        <f t="shared" si="92"/>
        <v>90.163934426229503</v>
      </c>
      <c r="S132" s="4683">
        <f t="shared" si="92"/>
        <v>82.872267759562845</v>
      </c>
      <c r="T132" s="4682">
        <f>+T133/T131*100</f>
        <v>90.322580645161281</v>
      </c>
      <c r="U132" s="4682">
        <f>+U133/U131*100</f>
        <v>82.112455197132661</v>
      </c>
      <c r="V132" s="4683">
        <f t="shared" ref="V132:W132" si="93">+V133/V131*100</f>
        <v>90.196078431372555</v>
      </c>
      <c r="W132" s="4683">
        <f t="shared" si="93"/>
        <v>82.718318809005083</v>
      </c>
      <c r="X132" s="4682">
        <f>+X133/X131*100</f>
        <v>50</v>
      </c>
      <c r="Y132" s="4682">
        <f>+Y133/Y131*100</f>
        <v>84.293981481481495</v>
      </c>
      <c r="Z132" s="4684">
        <f t="shared" si="92"/>
        <v>77.173913043478265</v>
      </c>
      <c r="AA132" s="4684">
        <f t="shared" si="92"/>
        <v>84.824124396135289</v>
      </c>
      <c r="AB132" s="4685">
        <f t="shared" si="92"/>
        <v>83.606557377049185</v>
      </c>
      <c r="AC132" s="4685">
        <f t="shared" si="92"/>
        <v>82.976624165148777</v>
      </c>
      <c r="AD132" s="4682">
        <f>+AD133/AD131*100</f>
        <v>90.322580645161281</v>
      </c>
      <c r="AE132" s="4682">
        <f>+AE133/AE131*100</f>
        <v>53.729838709677402</v>
      </c>
      <c r="AF132" s="4683">
        <f t="shared" ref="AF132:AG132" si="94">+AF133/AF131*100</f>
        <v>84.579439252336456</v>
      </c>
      <c r="AG132" s="4683">
        <f t="shared" si="94"/>
        <v>78.739940290758057</v>
      </c>
      <c r="AH132" s="4682">
        <f>+AH133/AH131*100</f>
        <v>90</v>
      </c>
      <c r="AI132" s="4682">
        <f>+AI133/AI131*100</f>
        <v>82.662037037037024</v>
      </c>
      <c r="AJ132" s="4683">
        <f t="shared" ref="AJ132:AK132" si="95">+AJ133/AJ131*100</f>
        <v>85.245901639344254</v>
      </c>
      <c r="AK132" s="4683">
        <f t="shared" si="95"/>
        <v>79.222165300546465</v>
      </c>
      <c r="AL132" s="4682">
        <f>+AL133/AL131*100</f>
        <v>90.322580645161281</v>
      </c>
      <c r="AM132" s="4682">
        <f>+AM133/AM131*100</f>
        <v>88.160842293906811</v>
      </c>
      <c r="AN132" s="4684">
        <f t="shared" ref="AN132:AQ132" si="96">+AN133/AN131*100</f>
        <v>90.217391304347828</v>
      </c>
      <c r="AO132" s="4684">
        <f t="shared" si="96"/>
        <v>74.766002415458928</v>
      </c>
      <c r="AP132" s="4683">
        <f t="shared" si="96"/>
        <v>85.818181818181813</v>
      </c>
      <c r="AQ132" s="4683">
        <f t="shared" si="96"/>
        <v>80.229797979798008</v>
      </c>
      <c r="AR132" s="4682">
        <f>+AR133/AR131*100</f>
        <v>90.322580645161281</v>
      </c>
      <c r="AS132" s="4682">
        <f>+AS133/AS131*100</f>
        <v>84.979838709677409</v>
      </c>
      <c r="AT132" s="4683">
        <f t="shared" ref="AT132:AU132" si="97">+AT133/AT131*100</f>
        <v>86.274509803921575</v>
      </c>
      <c r="AU132" s="4683">
        <f t="shared" si="97"/>
        <v>80.711011256354411</v>
      </c>
      <c r="AV132" s="4682">
        <f>+AV133/AV131*100</f>
        <v>89.285714285714292</v>
      </c>
      <c r="AW132" s="4682">
        <f>+AW133/AW131*100</f>
        <v>86.197916666666686</v>
      </c>
      <c r="AX132" s="4683">
        <f t="shared" ref="AX132:AY132" si="98">+AX133/AX131*100</f>
        <v>86.526946107784426</v>
      </c>
      <c r="AY132" s="4683">
        <f t="shared" si="98"/>
        <v>81.170991350632079</v>
      </c>
      <c r="AZ132" s="4682">
        <f>+AZ133/AZ131*100</f>
        <v>90.322580645161281</v>
      </c>
      <c r="BA132" s="4682">
        <f>+BA133/BA131*100</f>
        <v>84.162186379928329</v>
      </c>
      <c r="BB132" s="4684">
        <f t="shared" ref="BB132:BE132" si="99">+BB133/BB131*100</f>
        <v>90</v>
      </c>
      <c r="BC132" s="4684">
        <f t="shared" si="99"/>
        <v>85.077160493827165</v>
      </c>
      <c r="BD132" s="4686">
        <f t="shared" si="99"/>
        <v>90.109890109890117</v>
      </c>
      <c r="BE132" s="4686">
        <f t="shared" si="99"/>
        <v>79.864926739926744</v>
      </c>
      <c r="BF132" s="4683">
        <f t="shared" ref="BF132:BG132" si="100">+BF133/BF131*100</f>
        <v>86.849315068493155</v>
      </c>
      <c r="BG132" s="4699">
        <f t="shared" si="100"/>
        <v>81.425038051750391</v>
      </c>
      <c r="BH132" s="1520"/>
      <c r="BI132" s="1520"/>
      <c r="BJ132" s="26"/>
      <c r="BK132" s="26"/>
      <c r="BL132" s="26"/>
      <c r="BM132" s="26"/>
      <c r="BN132" s="1202"/>
    </row>
    <row r="133" spans="1:67" x14ac:dyDescent="0.3">
      <c r="B133" s="4698" t="s">
        <v>302</v>
      </c>
      <c r="C133" s="4680"/>
      <c r="D133" s="4680"/>
      <c r="E133" s="4443" t="s">
        <v>221</v>
      </c>
      <c r="F133" s="4443">
        <v>648</v>
      </c>
      <c r="G133" s="4439">
        <v>535.41666666666663</v>
      </c>
      <c r="H133" s="4443">
        <v>672</v>
      </c>
      <c r="I133" s="4439">
        <v>629.58333333333348</v>
      </c>
      <c r="J133" s="4681">
        <f>+F133+H133</f>
        <v>1320</v>
      </c>
      <c r="K133" s="4506">
        <f>+G133+I133</f>
        <v>1165</v>
      </c>
      <c r="L133" s="4443">
        <v>648</v>
      </c>
      <c r="M133" s="4439">
        <v>606.41666666666652</v>
      </c>
      <c r="N133" s="4513">
        <f>+F133+H133+L133</f>
        <v>1968</v>
      </c>
      <c r="O133" s="4513">
        <f>+G133+I133+M133</f>
        <v>1771.4166666666665</v>
      </c>
      <c r="P133" s="4443">
        <v>672</v>
      </c>
      <c r="Q133" s="4439">
        <v>655.08333333333348</v>
      </c>
      <c r="R133" s="4681">
        <f>+N133+P133</f>
        <v>2640</v>
      </c>
      <c r="S133" s="4506">
        <f>+O133+Q133</f>
        <v>2426.5</v>
      </c>
      <c r="T133" s="4443">
        <v>672</v>
      </c>
      <c r="U133" s="4439">
        <v>610.91666666666697</v>
      </c>
      <c r="V133" s="4681">
        <f>+R133+T133</f>
        <v>3312</v>
      </c>
      <c r="W133" s="4506">
        <f>+S133+U133</f>
        <v>3037.416666666667</v>
      </c>
      <c r="X133" s="4443">
        <v>360</v>
      </c>
      <c r="Y133" s="4439">
        <v>606.91666666666674</v>
      </c>
      <c r="Z133" s="4684">
        <f>+P133+T133+X133</f>
        <v>1704</v>
      </c>
      <c r="AA133" s="4684">
        <f>+Q133+U133+Y133</f>
        <v>1872.9166666666672</v>
      </c>
      <c r="AB133" s="4618">
        <f>+N133+Z133</f>
        <v>3672</v>
      </c>
      <c r="AC133" s="4618">
        <f>+AA133+O133</f>
        <v>3644.3333333333339</v>
      </c>
      <c r="AD133" s="4443">
        <v>672</v>
      </c>
      <c r="AE133" s="4439">
        <v>399.74999999999989</v>
      </c>
      <c r="AF133" s="4681">
        <f>+AB133+AD133</f>
        <v>4344</v>
      </c>
      <c r="AG133" s="4506">
        <f>+AC133+AE133</f>
        <v>4044.0833333333339</v>
      </c>
      <c r="AH133" s="4443">
        <v>648</v>
      </c>
      <c r="AI133" s="4439">
        <v>595.16666666666663</v>
      </c>
      <c r="AJ133" s="4681">
        <f>+AF133+AH133</f>
        <v>4992</v>
      </c>
      <c r="AK133" s="4506">
        <f>+AG133+AI133</f>
        <v>4639.2500000000009</v>
      </c>
      <c r="AL133" s="4443">
        <v>672</v>
      </c>
      <c r="AM133" s="4439">
        <v>655.91666666666663</v>
      </c>
      <c r="AN133" s="4684">
        <f>+AD133+AH133+AL133</f>
        <v>1992</v>
      </c>
      <c r="AO133" s="4684">
        <f>+AE133+AI133+AM133</f>
        <v>1650.833333333333</v>
      </c>
      <c r="AP133" s="4506">
        <f t="shared" ref="AP133:AQ133" si="101">AJ133+AL133</f>
        <v>5664</v>
      </c>
      <c r="AQ133" s="4506">
        <f t="shared" si="101"/>
        <v>5295.1666666666679</v>
      </c>
      <c r="AR133" s="4443">
        <v>672</v>
      </c>
      <c r="AS133" s="4439">
        <v>632.24999999999989</v>
      </c>
      <c r="AT133" s="4681">
        <f>+AP133+AR133</f>
        <v>6336</v>
      </c>
      <c r="AU133" s="4506">
        <f>+AQ133+AS133</f>
        <v>5927.4166666666679</v>
      </c>
      <c r="AV133" s="4443">
        <v>600</v>
      </c>
      <c r="AW133" s="4439">
        <v>579.25000000000011</v>
      </c>
      <c r="AX133" s="4681">
        <f>+AT133+AV133</f>
        <v>6936</v>
      </c>
      <c r="AY133" s="4506">
        <f>+AU133+AW133</f>
        <v>6506.6666666666679</v>
      </c>
      <c r="AZ133" s="4443">
        <v>672</v>
      </c>
      <c r="BA133" s="4439">
        <v>626.16666666666674</v>
      </c>
      <c r="BB133" s="4684">
        <f>+AR133+AV133+AZ133</f>
        <v>1944</v>
      </c>
      <c r="BC133" s="4684">
        <f>+AS133+AW133+BA133</f>
        <v>1837.6666666666667</v>
      </c>
      <c r="BD133" s="4620">
        <f t="shared" ref="BD133:BE135" si="102">+AN133+BB133</f>
        <v>3936</v>
      </c>
      <c r="BE133" s="4620">
        <f t="shared" si="102"/>
        <v>3488.5</v>
      </c>
      <c r="BF133" s="4681">
        <f>+AX133+AZ133</f>
        <v>7608</v>
      </c>
      <c r="BG133" s="4446">
        <f>+AY133+BA133</f>
        <v>7132.8333333333348</v>
      </c>
      <c r="BH133" s="1520">
        <f t="shared" si="25"/>
        <v>0</v>
      </c>
      <c r="BI133" s="1520">
        <f t="shared" si="26"/>
        <v>0</v>
      </c>
      <c r="BJ133" s="26"/>
      <c r="BK133" s="26">
        <f t="shared" si="27"/>
        <v>0</v>
      </c>
      <c r="BL133" s="26">
        <f t="shared" si="28"/>
        <v>0</v>
      </c>
      <c r="BM133" s="26"/>
      <c r="BN133" s="1202"/>
      <c r="BO133" s="1202"/>
    </row>
    <row r="134" spans="1:67" x14ac:dyDescent="0.3">
      <c r="B134" s="4698" t="s">
        <v>304</v>
      </c>
      <c r="C134" s="4680"/>
      <c r="D134" s="4680"/>
      <c r="E134" s="4443" t="s">
        <v>49</v>
      </c>
      <c r="F134" s="4687">
        <f>+F135/F133*100</f>
        <v>83.333333333333343</v>
      </c>
      <c r="G134" s="4687">
        <f>+G135/G133*100</f>
        <v>83.78210116731519</v>
      </c>
      <c r="H134" s="4687">
        <f>+H135/H133*100</f>
        <v>83.333333333333343</v>
      </c>
      <c r="I134" s="4687">
        <f>+I135/I133*100</f>
        <v>81.178027796161459</v>
      </c>
      <c r="J134" s="4683">
        <f t="shared" ref="J134:AC134" si="103">+J135/J133*100</f>
        <v>83.333333333333343</v>
      </c>
      <c r="K134" s="4683">
        <f t="shared" si="103"/>
        <v>82.374821173104422</v>
      </c>
      <c r="L134" s="4687">
        <f>+L135/L133*100</f>
        <v>83.333333333333343</v>
      </c>
      <c r="M134" s="4687">
        <f>+M135/M133*100</f>
        <v>83.92194585680916</v>
      </c>
      <c r="N134" s="4684">
        <f t="shared" si="103"/>
        <v>83.333333333333343</v>
      </c>
      <c r="O134" s="4684">
        <f t="shared" si="103"/>
        <v>82.904455003057834</v>
      </c>
      <c r="P134" s="4687">
        <f>+P135/P133*100</f>
        <v>83.333333333333343</v>
      </c>
      <c r="Q134" s="4687">
        <f>+Q135/Q133*100</f>
        <v>81.618114743671271</v>
      </c>
      <c r="R134" s="4683">
        <f t="shared" si="103"/>
        <v>83.333333333333343</v>
      </c>
      <c r="S134" s="4683">
        <f t="shared" si="103"/>
        <v>82.557181125077278</v>
      </c>
      <c r="T134" s="4687">
        <f>+T135/T133*100</f>
        <v>83.333333333333343</v>
      </c>
      <c r="U134" s="4687">
        <f>+U135/U133*100</f>
        <v>72.268449051971047</v>
      </c>
      <c r="V134" s="4683">
        <f t="shared" ref="V134:W134" si="104">+V135/V133*100</f>
        <v>83.333333333333343</v>
      </c>
      <c r="W134" s="4683">
        <f t="shared" si="104"/>
        <v>80.487804878048777</v>
      </c>
      <c r="X134" s="4687">
        <f>+X135/X133*100</f>
        <v>83.333333333333343</v>
      </c>
      <c r="Y134" s="4687">
        <f>+Y135/Y133*100</f>
        <v>74.749416449265411</v>
      </c>
      <c r="Z134" s="4684">
        <f t="shared" si="103"/>
        <v>83.333333333333343</v>
      </c>
      <c r="AA134" s="4684">
        <f t="shared" si="103"/>
        <v>76.34260289210232</v>
      </c>
      <c r="AB134" s="4685">
        <f t="shared" si="103"/>
        <v>83.333333333333343</v>
      </c>
      <c r="AC134" s="4685">
        <f t="shared" si="103"/>
        <v>79.532150370438117</v>
      </c>
      <c r="AD134" s="4687">
        <f>+AD135/AD133*100</f>
        <v>83.333333333333343</v>
      </c>
      <c r="AE134" s="4687">
        <f>+AE135/AE133*100</f>
        <v>62.101313320825533</v>
      </c>
      <c r="AF134" s="4683">
        <f t="shared" ref="AF134:AG134" si="105">+AF135/AF133*100</f>
        <v>83.333333333333343</v>
      </c>
      <c r="AG134" s="4683">
        <f t="shared" si="105"/>
        <v>77.80914504729131</v>
      </c>
      <c r="AH134" s="4687">
        <f>+AH135/AH133*100</f>
        <v>83.333333333333343</v>
      </c>
      <c r="AI134" s="4687">
        <f>+AI135/AI133*100</f>
        <v>78.297395687482506</v>
      </c>
      <c r="AJ134" s="4683">
        <f t="shared" ref="AJ134:AK134" si="106">+AJ135/AJ133*100</f>
        <v>83.333333333333343</v>
      </c>
      <c r="AK134" s="4683">
        <f t="shared" si="106"/>
        <v>77.871782436097774</v>
      </c>
      <c r="AL134" s="4687">
        <f>+AL135/AL133*100</f>
        <v>83.333333333333343</v>
      </c>
      <c r="AM134" s="4687">
        <f>+AM135/AM133*100</f>
        <v>77.512387244314581</v>
      </c>
      <c r="AN134" s="4684">
        <f t="shared" ref="AN134:AQ134" si="107">+AN135/AN133*100</f>
        <v>83.333333333333343</v>
      </c>
      <c r="AO134" s="4684">
        <f t="shared" si="107"/>
        <v>74.0636042402827</v>
      </c>
      <c r="AP134" s="4683">
        <f t="shared" si="107"/>
        <v>83.333333333333343</v>
      </c>
      <c r="AQ134" s="4683">
        <f t="shared" si="107"/>
        <v>77.827263856976487</v>
      </c>
      <c r="AR134" s="4687">
        <f>+AR135/AR133*100</f>
        <v>83.333333333333343</v>
      </c>
      <c r="AS134" s="4687">
        <f>+AS135/AS133*100</f>
        <v>83.563991037300667</v>
      </c>
      <c r="AT134" s="4683">
        <f t="shared" ref="AT134:AU134" si="108">+AT135/AT133*100</f>
        <v>83.333333333333343</v>
      </c>
      <c r="AU134" s="4683">
        <f t="shared" si="108"/>
        <v>78.439173895316955</v>
      </c>
      <c r="AV134" s="4687">
        <f>+AV135/AV133*100</f>
        <v>83.333333333333343</v>
      </c>
      <c r="AW134" s="4687">
        <f>+AW135/AW133*100</f>
        <v>82.635592001150911</v>
      </c>
      <c r="AX134" s="4683">
        <f t="shared" ref="AX134:AY134" si="109">+AX135/AX133*100</f>
        <v>83.333333333333343</v>
      </c>
      <c r="AY134" s="4683">
        <f t="shared" si="109"/>
        <v>78.812756147540981</v>
      </c>
      <c r="AZ134" s="4687">
        <f>+AZ135/AZ133*100</f>
        <v>83.333333333333343</v>
      </c>
      <c r="BA134" s="4687">
        <f>+BA135/BA133*100</f>
        <v>84.668618578653167</v>
      </c>
      <c r="BB134" s="4684">
        <f t="shared" ref="BB134:BE134" si="110">+BB135/BB133*100</f>
        <v>83.333333333333343</v>
      </c>
      <c r="BC134" s="4684">
        <f t="shared" si="110"/>
        <v>83.647741701432977</v>
      </c>
      <c r="BD134" s="4686">
        <f t="shared" si="110"/>
        <v>83.333333333333343</v>
      </c>
      <c r="BE134" s="4686">
        <f t="shared" si="110"/>
        <v>79.112321437102864</v>
      </c>
      <c r="BF134" s="4683">
        <f t="shared" ref="BF134:BG134" si="111">+BF135/BF133*100</f>
        <v>83.333333333333343</v>
      </c>
      <c r="BG134" s="4699">
        <f t="shared" si="111"/>
        <v>79.326821973502817</v>
      </c>
      <c r="BH134" s="1520"/>
      <c r="BI134" s="1520"/>
      <c r="BJ134" s="26"/>
      <c r="BK134" s="26"/>
      <c r="BL134" s="26"/>
      <c r="BM134" s="26"/>
      <c r="BN134" s="26"/>
      <c r="BO134" s="26"/>
    </row>
    <row r="135" spans="1:67" x14ac:dyDescent="0.3">
      <c r="B135" s="4698" t="s">
        <v>305</v>
      </c>
      <c r="C135" s="4680"/>
      <c r="D135" s="4680"/>
      <c r="E135" s="4443" t="s">
        <v>221</v>
      </c>
      <c r="F135" s="4439">
        <v>540</v>
      </c>
      <c r="G135" s="4439">
        <v>448.58333333333337</v>
      </c>
      <c r="H135" s="4439">
        <v>560</v>
      </c>
      <c r="I135" s="4439">
        <v>511.08333333333326</v>
      </c>
      <c r="J135" s="4506">
        <f>+F135+H135</f>
        <v>1100</v>
      </c>
      <c r="K135" s="4506">
        <f>+G135+I135</f>
        <v>959.66666666666663</v>
      </c>
      <c r="L135" s="4439">
        <v>540</v>
      </c>
      <c r="M135" s="4439">
        <v>508.91666666666674</v>
      </c>
      <c r="N135" s="4513">
        <f>+F135+H135+L135</f>
        <v>1640</v>
      </c>
      <c r="O135" s="4513">
        <f>+G135+I135+M135</f>
        <v>1468.5833333333335</v>
      </c>
      <c r="P135" s="4439">
        <v>560</v>
      </c>
      <c r="Q135" s="4439">
        <v>534.66666666666674</v>
      </c>
      <c r="R135" s="4506">
        <f>+N135+P135</f>
        <v>2200</v>
      </c>
      <c r="S135" s="4506">
        <f>+O135+Q135</f>
        <v>2003.2500000000002</v>
      </c>
      <c r="T135" s="4439">
        <v>560</v>
      </c>
      <c r="U135" s="4439">
        <v>441.49999999999994</v>
      </c>
      <c r="V135" s="4506">
        <f>+R135+T135</f>
        <v>2760</v>
      </c>
      <c r="W135" s="4506">
        <f>+S135+U135</f>
        <v>2444.75</v>
      </c>
      <c r="X135" s="4439">
        <v>300</v>
      </c>
      <c r="Y135" s="4439">
        <v>453.66666666666669</v>
      </c>
      <c r="Z135" s="4684">
        <f>+P135+T135+X135</f>
        <v>1420</v>
      </c>
      <c r="AA135" s="4684">
        <f>+Q135+U135+Y135</f>
        <v>1429.8333333333335</v>
      </c>
      <c r="AB135" s="4618">
        <f>+N135+Z135</f>
        <v>3060</v>
      </c>
      <c r="AC135" s="4618">
        <f>+AA135+O135</f>
        <v>2898.416666666667</v>
      </c>
      <c r="AD135" s="4439">
        <v>560</v>
      </c>
      <c r="AE135" s="4439">
        <v>248.25</v>
      </c>
      <c r="AF135" s="4506">
        <f>+AB135+AD135</f>
        <v>3620</v>
      </c>
      <c r="AG135" s="4506">
        <f>+AC135+AE135</f>
        <v>3146.666666666667</v>
      </c>
      <c r="AH135" s="4439">
        <v>540</v>
      </c>
      <c r="AI135" s="4439">
        <v>466.00000000000006</v>
      </c>
      <c r="AJ135" s="4506">
        <f>+AF135+AH135</f>
        <v>4160</v>
      </c>
      <c r="AK135" s="4506">
        <f>+AG135+AI135</f>
        <v>3612.666666666667</v>
      </c>
      <c r="AL135" s="4439">
        <v>560</v>
      </c>
      <c r="AM135" s="4439">
        <v>508.41666666666674</v>
      </c>
      <c r="AN135" s="4684">
        <f>+AD135+AH135+AL135</f>
        <v>1660</v>
      </c>
      <c r="AO135" s="4684">
        <f>+AE135+AI135+AM135</f>
        <v>1222.6666666666667</v>
      </c>
      <c r="AP135" s="4506">
        <f t="shared" ref="AP135:AQ135" si="112">AJ135+AL135</f>
        <v>4720</v>
      </c>
      <c r="AQ135" s="4506">
        <f t="shared" si="112"/>
        <v>4121.0833333333339</v>
      </c>
      <c r="AR135" s="4439">
        <v>560</v>
      </c>
      <c r="AS135" s="4439">
        <v>528.33333333333337</v>
      </c>
      <c r="AT135" s="4506">
        <f>+AP135+AR135</f>
        <v>5280</v>
      </c>
      <c r="AU135" s="4506">
        <f>+AQ135+AS135</f>
        <v>4649.416666666667</v>
      </c>
      <c r="AV135" s="4439">
        <v>500</v>
      </c>
      <c r="AW135" s="4439">
        <v>478.66666666666674</v>
      </c>
      <c r="AX135" s="4506">
        <f>+AT135+AV135</f>
        <v>5780</v>
      </c>
      <c r="AY135" s="4506">
        <f>+AU135+AW135</f>
        <v>5128.0833333333339</v>
      </c>
      <c r="AZ135" s="4439">
        <v>560</v>
      </c>
      <c r="BA135" s="4439">
        <v>530.16666666666663</v>
      </c>
      <c r="BB135" s="4684">
        <f>+AR135+AV135+AZ135</f>
        <v>1620</v>
      </c>
      <c r="BC135" s="4684">
        <f>+AS135+AW135+BA135</f>
        <v>1537.1666666666667</v>
      </c>
      <c r="BD135" s="4620">
        <f t="shared" si="102"/>
        <v>3280</v>
      </c>
      <c r="BE135" s="4620">
        <f t="shared" si="102"/>
        <v>2759.8333333333335</v>
      </c>
      <c r="BF135" s="4506">
        <f>+AX135+AZ135</f>
        <v>6340</v>
      </c>
      <c r="BG135" s="4446">
        <f>+AY135+BA135</f>
        <v>5658.2500000000009</v>
      </c>
      <c r="BH135" s="1520">
        <f t="shared" si="25"/>
        <v>0</v>
      </c>
      <c r="BI135" s="1520">
        <f t="shared" si="26"/>
        <v>0</v>
      </c>
      <c r="BJ135" s="26"/>
      <c r="BK135" s="26">
        <f t="shared" si="27"/>
        <v>0</v>
      </c>
      <c r="BL135" s="26">
        <f t="shared" si="28"/>
        <v>0</v>
      </c>
      <c r="BM135" s="26"/>
      <c r="BN135" s="1202"/>
    </row>
    <row r="136" spans="1:67" x14ac:dyDescent="0.3">
      <c r="A136" s="1519">
        <v>0.28399999999999997</v>
      </c>
      <c r="B136" s="4698" t="s">
        <v>511</v>
      </c>
      <c r="C136" s="4680"/>
      <c r="D136" s="4680"/>
      <c r="E136" s="4443" t="s">
        <v>510</v>
      </c>
      <c r="F136" s="4687">
        <f>+F135/(F133/24)</f>
        <v>20</v>
      </c>
      <c r="G136" s="4687">
        <f>+G135/(G133/24)</f>
        <v>20.107704280155644</v>
      </c>
      <c r="H136" s="4687">
        <f>+H135/(H133/24)</f>
        <v>20</v>
      </c>
      <c r="I136" s="4687">
        <f>+I135/(I133/24)</f>
        <v>19.482726671078748</v>
      </c>
      <c r="J136" s="4683">
        <f t="shared" ref="J136:AC136" si="113">+J135/(J133/24)</f>
        <v>20</v>
      </c>
      <c r="K136" s="4683">
        <f t="shared" si="113"/>
        <v>19.769957081545066</v>
      </c>
      <c r="L136" s="4687">
        <f>+L135/(L133/24)</f>
        <v>20</v>
      </c>
      <c r="M136" s="4687">
        <f>+M135/(M133/24)</f>
        <v>20.141267005634198</v>
      </c>
      <c r="N136" s="4684">
        <f t="shared" si="113"/>
        <v>20</v>
      </c>
      <c r="O136" s="4684">
        <f t="shared" si="113"/>
        <v>19.897069200733881</v>
      </c>
      <c r="P136" s="4687">
        <f>+P135/(P133/24)</f>
        <v>20</v>
      </c>
      <c r="Q136" s="4687">
        <f>+Q135/(Q133/24)</f>
        <v>19.588347538481106</v>
      </c>
      <c r="R136" s="4683">
        <f t="shared" si="113"/>
        <v>20</v>
      </c>
      <c r="S136" s="4683">
        <f t="shared" si="113"/>
        <v>19.813723470018548</v>
      </c>
      <c r="T136" s="4687">
        <f>+T135/(T133/24)</f>
        <v>20</v>
      </c>
      <c r="U136" s="4687">
        <f>+U135/(U133/24)</f>
        <v>17.344427772473047</v>
      </c>
      <c r="V136" s="4683">
        <f t="shared" ref="V136:W136" si="114">+V135/(V133/24)</f>
        <v>20</v>
      </c>
      <c r="W136" s="4683">
        <f t="shared" si="114"/>
        <v>19.317073170731707</v>
      </c>
      <c r="X136" s="4687">
        <f>+X135/(X133/24)</f>
        <v>20</v>
      </c>
      <c r="Y136" s="4687">
        <f>+Y135/(Y133/24)</f>
        <v>17.939859947823699</v>
      </c>
      <c r="Z136" s="4684">
        <f t="shared" si="113"/>
        <v>20</v>
      </c>
      <c r="AA136" s="4684">
        <f t="shared" si="113"/>
        <v>18.322224694104555</v>
      </c>
      <c r="AB136" s="4685">
        <f t="shared" si="113"/>
        <v>20</v>
      </c>
      <c r="AC136" s="4685">
        <f t="shared" si="113"/>
        <v>19.087716088905147</v>
      </c>
      <c r="AD136" s="4687">
        <f>+AD135/(AD133/24)</f>
        <v>20</v>
      </c>
      <c r="AE136" s="4687">
        <f>+AE135/(AE133/24)</f>
        <v>14.904315196998127</v>
      </c>
      <c r="AF136" s="4683">
        <f t="shared" ref="AF136:AG136" si="115">+AF135/(AF133/24)</f>
        <v>20</v>
      </c>
      <c r="AG136" s="4683">
        <f t="shared" si="115"/>
        <v>18.674194811349913</v>
      </c>
      <c r="AH136" s="4687">
        <f>+AH135/(AH133/24)</f>
        <v>20</v>
      </c>
      <c r="AI136" s="4687">
        <f>+AI135/(AI133/24)</f>
        <v>18.791374964995804</v>
      </c>
      <c r="AJ136" s="4683">
        <f t="shared" ref="AJ136:AK136" si="116">+AJ135/(AJ133/24)</f>
        <v>20</v>
      </c>
      <c r="AK136" s="4683">
        <f t="shared" si="116"/>
        <v>18.689227784663466</v>
      </c>
      <c r="AL136" s="4687">
        <f>+AL135/(AL133/24)</f>
        <v>20</v>
      </c>
      <c r="AM136" s="4687">
        <f>+AM135/(AM133/24)</f>
        <v>18.602972938635499</v>
      </c>
      <c r="AN136" s="4684">
        <f t="shared" ref="AN136:AQ136" si="117">+AN135/(AN133/24)</f>
        <v>20</v>
      </c>
      <c r="AO136" s="4684">
        <f t="shared" si="117"/>
        <v>17.775265017667849</v>
      </c>
      <c r="AP136" s="4683">
        <f t="shared" si="117"/>
        <v>20</v>
      </c>
      <c r="AQ136" s="4683">
        <f t="shared" si="117"/>
        <v>18.678543325674358</v>
      </c>
      <c r="AR136" s="4687">
        <f>+AR135/(AR133/24)</f>
        <v>20</v>
      </c>
      <c r="AS136" s="4687">
        <f>+AS135/(AS133/24)</f>
        <v>20.055357848952159</v>
      </c>
      <c r="AT136" s="4683">
        <f t="shared" ref="AT136:AU136" si="118">+AT135/(AT133/24)</f>
        <v>20</v>
      </c>
      <c r="AU136" s="4683">
        <f t="shared" si="118"/>
        <v>18.825401734876067</v>
      </c>
      <c r="AV136" s="4687">
        <f>+AV135/(AV133/24)</f>
        <v>20</v>
      </c>
      <c r="AW136" s="4687">
        <f>+AW135/(AW133/24)</f>
        <v>19.83254208027622</v>
      </c>
      <c r="AX136" s="4683">
        <f t="shared" ref="AX136:AY136" si="119">+AX135/(AX133/24)</f>
        <v>20</v>
      </c>
      <c r="AY136" s="4683">
        <f t="shared" si="119"/>
        <v>18.915061475409836</v>
      </c>
      <c r="AZ136" s="4687">
        <f>+AZ135/(AZ133/24)</f>
        <v>20</v>
      </c>
      <c r="BA136" s="4687">
        <f>+BA135/(BA133/24)</f>
        <v>20.320468458876757</v>
      </c>
      <c r="BB136" s="4684">
        <f t="shared" ref="BB136:BE136" si="120">+BB135/(BB133/24)</f>
        <v>20</v>
      </c>
      <c r="BC136" s="4684">
        <f t="shared" si="120"/>
        <v>20.075458008343915</v>
      </c>
      <c r="BD136" s="4686">
        <f t="shared" si="120"/>
        <v>20</v>
      </c>
      <c r="BE136" s="4686">
        <f t="shared" si="120"/>
        <v>18.986957144904689</v>
      </c>
      <c r="BF136" s="4683">
        <f t="shared" ref="BF136:BG136" si="121">+BF135/(BF133/24)</f>
        <v>20</v>
      </c>
      <c r="BG136" s="4699">
        <f t="shared" si="121"/>
        <v>19.038437273640675</v>
      </c>
      <c r="BH136" s="1520"/>
      <c r="BI136" s="1520"/>
      <c r="BJ136" s="26"/>
      <c r="BK136" s="26"/>
      <c r="BL136" s="26"/>
      <c r="BM136" s="26"/>
      <c r="BN136" s="1202"/>
    </row>
    <row r="137" spans="1:67" x14ac:dyDescent="0.3">
      <c r="B137" s="4698" t="s">
        <v>306</v>
      </c>
      <c r="C137" s="4680"/>
      <c r="D137" s="4680"/>
      <c r="E137" s="4443" t="s">
        <v>1085</v>
      </c>
      <c r="F137" s="4688">
        <v>0.48500000000000004</v>
      </c>
      <c r="G137" s="4449">
        <v>0.48399999999999999</v>
      </c>
      <c r="H137" s="4688">
        <v>0.48499999999999999</v>
      </c>
      <c r="I137" s="4449">
        <v>0.47499999999999998</v>
      </c>
      <c r="J137" s="4689">
        <f>+((F137*F7)+(H137*H7))/J7</f>
        <v>0.48499999999999999</v>
      </c>
      <c r="K137" s="4689">
        <f>+((G137*G7)+(I137*I7))/K7</f>
        <v>0.4791785848408962</v>
      </c>
      <c r="L137" s="4688">
        <v>0.48500000000000004</v>
      </c>
      <c r="M137" s="4449">
        <v>0.44600000000000001</v>
      </c>
      <c r="N137" s="4690">
        <f>+((F137*F7)+(H137*H7)+(L137*L7))/N7</f>
        <v>0.48499999999999999</v>
      </c>
      <c r="O137" s="4690">
        <f>+((G137*G7)+(I137*I7)+(M137*M7))/O7</f>
        <v>0.46745113909436725</v>
      </c>
      <c r="P137" s="4688">
        <v>0.4850000000000001</v>
      </c>
      <c r="Q137" s="4449">
        <v>0.432</v>
      </c>
      <c r="R137" s="4689">
        <f>+((N137*N7)+(P137*P7))/R7</f>
        <v>0.48499999999999993</v>
      </c>
      <c r="S137" s="4689">
        <f>+((O137*O7)+(Q137*Q7))/S7</f>
        <v>0.45833214561767693</v>
      </c>
      <c r="T137" s="4688">
        <v>0.4850000000000001</v>
      </c>
      <c r="U137" s="4449">
        <v>0.55300000000000005</v>
      </c>
      <c r="V137" s="4689">
        <f>+((R137*R7)+(T137*T7))/V7</f>
        <v>0.48499999999999993</v>
      </c>
      <c r="W137" s="4689">
        <f>+((S137*S7)+(U137*U7))/W7</f>
        <v>0.47414402837064934</v>
      </c>
      <c r="X137" s="4688">
        <v>0.4850000000000001</v>
      </c>
      <c r="Y137" s="4449">
        <v>0.51800000000000002</v>
      </c>
      <c r="Z137" s="4690">
        <f>+((P137*P7)+(T137*T7)+(X137*X7))/Z7</f>
        <v>0.4850000000000001</v>
      </c>
      <c r="AA137" s="4690">
        <f>+((Q137*Q7)+(U137*U7)+(Y137*Y7))/AA7</f>
        <v>0.4958618805763596</v>
      </c>
      <c r="AB137" s="4691">
        <f>+((N137*N7)+(Z137*Z7))/AB7</f>
        <v>0.48499999999999999</v>
      </c>
      <c r="AC137" s="4691">
        <f>+((O137*O7)+(AA137*AA7))/AC7</f>
        <v>0.48105306328532965</v>
      </c>
      <c r="AD137" s="4688">
        <v>0.4850000000000001</v>
      </c>
      <c r="AE137" s="4449">
        <v>0.57099999999999995</v>
      </c>
      <c r="AF137" s="4689">
        <f>+((AB137*AB7)+(AD137*AD7))/AF7</f>
        <v>0.48500000000000004</v>
      </c>
      <c r="AG137" s="4689">
        <f>+((AC137*AC7)+(AE137*AE7))/AG7</f>
        <v>0.48880166931380375</v>
      </c>
      <c r="AH137" s="4688">
        <v>0.48500000000000021</v>
      </c>
      <c r="AI137" s="4449">
        <v>0.53700000000000003</v>
      </c>
      <c r="AJ137" s="4689">
        <f>+((AF137*AF7)+(AH137*AH7))/AJ7</f>
        <v>0.48500000000000004</v>
      </c>
      <c r="AK137" s="4689">
        <f>+((AG137*AG7)+(AI137*AI7))/AK7</f>
        <v>0.49480307775767296</v>
      </c>
      <c r="AL137" s="4688">
        <v>0.48500000000000015</v>
      </c>
      <c r="AM137" s="4449">
        <v>0.53800000000000003</v>
      </c>
      <c r="AN137" s="4690">
        <f>+((AD137*AD7)+(AH137*AH7)+(AL137*AL7))/AN7</f>
        <v>0.48500000000000021</v>
      </c>
      <c r="AO137" s="4690">
        <f>+((AE137*AE7)+(AI137*AI7)+(AM137*AM7))/AO7</f>
        <v>0.54507032880344952</v>
      </c>
      <c r="AP137" s="4689">
        <f>+((AL137*AL7)+(AJ137*AJ7))/AP7</f>
        <v>0.4850000000000001</v>
      </c>
      <c r="AQ137" s="4689">
        <f>+((AM137*AM7)+(AK137*AK7))/AQ7</f>
        <v>0.49992321156402408</v>
      </c>
      <c r="AR137" s="4688">
        <v>0.48500000000000015</v>
      </c>
      <c r="AS137" s="4449">
        <v>0.55200000000000005</v>
      </c>
      <c r="AT137" s="4689">
        <f>+((AP137*AP7)+(AR137*AR7))/AT7</f>
        <v>0.4850000000000001</v>
      </c>
      <c r="AU137" s="4689">
        <f>+((AQ137*AQ7)+(AS137*AS7))/AU7</f>
        <v>0.50574236926040828</v>
      </c>
      <c r="AV137" s="4688">
        <v>0.48500000000000015</v>
      </c>
      <c r="AW137" s="4449">
        <v>0.48699999999999999</v>
      </c>
      <c r="AX137" s="4689">
        <f>+((AT137*AT7)+(AV137*AV7))/AX7</f>
        <v>0.48500000000000004</v>
      </c>
      <c r="AY137" s="4689">
        <f>+((AU137*AU7)+(AW137*AW7))/AY7</f>
        <v>0.50393500881318176</v>
      </c>
      <c r="AZ137" s="4688">
        <v>0.48500000000000015</v>
      </c>
      <c r="BA137" s="4449">
        <v>0.41799999999999998</v>
      </c>
      <c r="BB137" s="4690">
        <f>+((AR137*AR7)+(AV137*AV7)+(AZ137*AZ7))/BB7</f>
        <v>0.4850000000000001</v>
      </c>
      <c r="BC137" s="4690">
        <f>+((AS137*AS7)+(AW137*AW7)+(BA137*BA7))/BC7</f>
        <v>0.48315642018590027</v>
      </c>
      <c r="BD137" s="4692">
        <f>+((AN137*AN7)+(BB137*BB7))/BD7</f>
        <v>0.4850000000000001</v>
      </c>
      <c r="BE137" s="4692">
        <f>+((AO137*AO7)+(BC137*BC7))/BE7</f>
        <v>0.50996649708537167</v>
      </c>
      <c r="BF137" s="4689">
        <f>+((AX137*AX7)+(AZ137*AZ7))/BF7</f>
        <v>0.4850000000000001</v>
      </c>
      <c r="BG137" s="4700">
        <f>+((AY137*AY7)+(BA137*BA7))/BG7</f>
        <v>0.49525408066507715</v>
      </c>
      <c r="BH137" s="1520"/>
      <c r="BI137" s="1520"/>
      <c r="BJ137" s="26"/>
      <c r="BK137" s="26"/>
      <c r="BL137" s="26"/>
      <c r="BM137" s="26"/>
      <c r="BN137" s="1202"/>
    </row>
    <row r="138" spans="1:67" x14ac:dyDescent="0.3">
      <c r="B138" s="4698" t="s">
        <v>307</v>
      </c>
      <c r="C138" s="4680"/>
      <c r="D138" s="4680"/>
      <c r="E138" s="4443" t="s">
        <v>213</v>
      </c>
      <c r="F138" s="4439">
        <f>+'POWER DISTRIBUTION'!I28</f>
        <v>5418995.2669036752</v>
      </c>
      <c r="G138" s="4439">
        <f>+'POWER DISTRIBUTION'!J28</f>
        <v>3834116.8666666714</v>
      </c>
      <c r="H138" s="4439">
        <f>+'POWER DISTRIBUTION'!K28</f>
        <v>5681204.7153022392</v>
      </c>
      <c r="I138" s="4439">
        <f>+'POWER DISTRIBUTION'!L28</f>
        <v>4383551.9999999981</v>
      </c>
      <c r="J138" s="4506">
        <f>+F138+H138</f>
        <v>11100199.982205914</v>
      </c>
      <c r="K138" s="4506">
        <f>+G138+I138</f>
        <v>8217668.866666669</v>
      </c>
      <c r="L138" s="4439">
        <f>+'POWER DISTRIBUTION'!O28</f>
        <v>5462696.8416367695</v>
      </c>
      <c r="M138" s="4439">
        <f>+'POWER DISTRIBUTION'!P28</f>
        <v>4293833.3333333321</v>
      </c>
      <c r="N138" s="4513">
        <f>+F138+H138+L138</f>
        <v>16562896.823842684</v>
      </c>
      <c r="O138" s="4513">
        <f>+G138+I138+M138</f>
        <v>12511502.200000001</v>
      </c>
      <c r="P138" s="4439">
        <f>+'POWER DISTRIBUTION'!S28</f>
        <v>5681204.7153022392</v>
      </c>
      <c r="Q138" s="4439">
        <f>+'POWER DISTRIBUTION'!T28</f>
        <v>4334408.3333333256</v>
      </c>
      <c r="R138" s="4506">
        <f>+N138+P138</f>
        <v>22244101.539144922</v>
      </c>
      <c r="S138" s="4506">
        <f>+O138+Q138</f>
        <v>16845910.533333328</v>
      </c>
      <c r="T138" s="4439">
        <f>+'POWER DISTRIBUTION'!W28</f>
        <v>5681204.7153022392</v>
      </c>
      <c r="U138" s="4439">
        <f>+'POWER DISTRIBUTION'!X28</f>
        <v>3962541.0000000037</v>
      </c>
      <c r="V138" s="4506">
        <f>+R138+T138</f>
        <v>27925306.254447162</v>
      </c>
      <c r="W138" s="4506">
        <f>+S138+U138</f>
        <v>20808451.533333331</v>
      </c>
      <c r="X138" s="4439">
        <f>+'POWER DISTRIBUTION'!AA28</f>
        <v>3230405.5071173077</v>
      </c>
      <c r="Y138" s="4439">
        <f>+'POWER DISTRIBUTION'!AB28</f>
        <v>4053481.0000000028</v>
      </c>
      <c r="Z138" s="4513">
        <f>+P138+T138+X138</f>
        <v>14592814.937721785</v>
      </c>
      <c r="AA138" s="4513">
        <f>+Q138+U138+Y138</f>
        <v>12350430.333333332</v>
      </c>
      <c r="AB138" s="4618">
        <f>+N138+Z138</f>
        <v>31155711.761564471</v>
      </c>
      <c r="AC138" s="4618">
        <f>+AA138+O138</f>
        <v>24861932.533333331</v>
      </c>
      <c r="AD138" s="4439">
        <f>+'POWER DISTRIBUTION'!AG28</f>
        <v>5856011.0142346155</v>
      </c>
      <c r="AE138" s="4439">
        <f>+'POWER DISTRIBUTION'!AH28</f>
        <v>2894984.3333333354</v>
      </c>
      <c r="AF138" s="4506">
        <f>+AB138+AD138</f>
        <v>37011722.775799088</v>
      </c>
      <c r="AG138" s="4506">
        <f>+AC138+AE138</f>
        <v>27756916.866666667</v>
      </c>
      <c r="AH138" s="4439">
        <f>+'POWER DISTRIBUTION'!AK28</f>
        <v>5681204.7153022392</v>
      </c>
      <c r="AI138" s="4439">
        <f>+'POWER DISTRIBUTION'!AL28</f>
        <v>3936189.6666666646</v>
      </c>
      <c r="AJ138" s="4506">
        <f>+AF138+AH138</f>
        <v>42692927.491101325</v>
      </c>
      <c r="AK138" s="4506">
        <f>+AG138+AI138</f>
        <v>31693106.533333331</v>
      </c>
      <c r="AL138" s="4439">
        <f>+'POWER DISTRIBUTION'!AO28</f>
        <v>5899712.5889677098</v>
      </c>
      <c r="AM138" s="4439">
        <f>+'POWER DISTRIBUTION'!AP28</f>
        <v>4167595.3333333298</v>
      </c>
      <c r="AN138" s="4513">
        <f>+AD138+AH138+AL138</f>
        <v>17436928.318504564</v>
      </c>
      <c r="AO138" s="4513">
        <f>+AE138+AI138+AM138</f>
        <v>10998769.33333333</v>
      </c>
      <c r="AP138" s="4506">
        <f t="shared" ref="AP138:AQ138" si="122">AJ138+AL138</f>
        <v>48592640.080069035</v>
      </c>
      <c r="AQ138" s="4506">
        <f t="shared" si="122"/>
        <v>35860701.86666666</v>
      </c>
      <c r="AR138" s="4439">
        <f>+'POWER DISTRIBUTION'!AU28</f>
        <v>5943414.1637008041</v>
      </c>
      <c r="AS138" s="4439">
        <f>+'POWER DISTRIBUTION'!AV28</f>
        <v>4334470.333333334</v>
      </c>
      <c r="AT138" s="4506">
        <f>+AP138+AR138</f>
        <v>54536054.243769839</v>
      </c>
      <c r="AU138" s="4506">
        <f>+AQ138+AS138</f>
        <v>40195172.199999996</v>
      </c>
      <c r="AV138" s="4439">
        <f>+'POWER DISTRIBUTION'!AY28</f>
        <v>5331592.1174374856</v>
      </c>
      <c r="AW138" s="4439">
        <f>+'POWER DISTRIBUTION'!AZ28</f>
        <v>3892468.0000000093</v>
      </c>
      <c r="AX138" s="4506">
        <f>+AT138+AV138</f>
        <v>59867646.361207321</v>
      </c>
      <c r="AY138" s="4506">
        <f>+AU138+AW138</f>
        <v>44087640.200000003</v>
      </c>
      <c r="AZ138" s="4439">
        <f>+'POWER DISTRIBUTION'!BC28</f>
        <v>5987115.7384338975</v>
      </c>
      <c r="BA138" s="4439">
        <f>+'POWER DISTRIBUTION'!BD28</f>
        <v>4348140.3333333246</v>
      </c>
      <c r="BB138" s="4513">
        <f>+AR138+AV138+AZ138</f>
        <v>17262122.019572187</v>
      </c>
      <c r="BC138" s="4513">
        <f>+AS138+AW138+BA138</f>
        <v>12575078.666666668</v>
      </c>
      <c r="BD138" s="4620">
        <f t="shared" ref="BD138" si="123">+AN138+BB138</f>
        <v>34699050.338076755</v>
      </c>
      <c r="BE138" s="4620">
        <f t="shared" ref="BE138" si="124">+AO138+BC138</f>
        <v>23573848</v>
      </c>
      <c r="BF138" s="4506">
        <f>+AX138+AZ138</f>
        <v>65854762.099641219</v>
      </c>
      <c r="BG138" s="4446">
        <f>+AY138+BA138</f>
        <v>48435780.533333331</v>
      </c>
      <c r="BH138" s="1520">
        <f t="shared" ref="BH138:BH161" si="125">F138+H138+L138+P138+T138+X138+AD138+AH138+AL138+AR138+AV138+AZ138-BF138</f>
        <v>0</v>
      </c>
      <c r="BI138" s="1520">
        <f t="shared" ref="BI138:BI161" si="126">G138+I138+M138+Q138+U138+Y138+AE138+AI138+AM138+AS138+AW138+BA138-BG138</f>
        <v>0</v>
      </c>
      <c r="BJ138" s="26"/>
      <c r="BK138" s="26">
        <f t="shared" ref="BK138:BK161" si="127">AZ138+AV138+AR138+AL138+AH138+AD138-BD138</f>
        <v>0</v>
      </c>
      <c r="BL138" s="26">
        <f t="shared" ref="BL138:BL161" si="128">BA138+AW138+AS138+AM138+AI138+AE138-BE138</f>
        <v>0</v>
      </c>
      <c r="BM138" s="26"/>
      <c r="BN138" s="1202"/>
    </row>
    <row r="139" spans="1:67" ht="15" customHeight="1" x14ac:dyDescent="0.3">
      <c r="B139" s="4698" t="s">
        <v>308</v>
      </c>
      <c r="C139" s="4680"/>
      <c r="D139" s="4680"/>
      <c r="E139" s="2803" t="s">
        <v>2015</v>
      </c>
      <c r="F139" s="4687">
        <f>+F138/F121</f>
        <v>87.40314946618831</v>
      </c>
      <c r="G139" s="4687">
        <f t="shared" ref="G139:BG139" si="129">+G138/G121</f>
        <v>77.388465289327286</v>
      </c>
      <c r="H139" s="4687">
        <f t="shared" si="129"/>
        <v>87.403149466188296</v>
      </c>
      <c r="I139" s="4687">
        <f t="shared" si="129"/>
        <v>76.609884272298757</v>
      </c>
      <c r="J139" s="4683">
        <f t="shared" si="129"/>
        <v>87.403149466188296</v>
      </c>
      <c r="K139" s="4683">
        <f t="shared" si="129"/>
        <v>76.971188027598743</v>
      </c>
      <c r="L139" s="4687">
        <f t="shared" si="129"/>
        <v>87.40314946618831</v>
      </c>
      <c r="M139" s="4687">
        <f t="shared" si="129"/>
        <v>73.180403758696414</v>
      </c>
      <c r="N139" s="4684">
        <f t="shared" si="129"/>
        <v>87.40314946618831</v>
      </c>
      <c r="O139" s="4684">
        <f t="shared" si="129"/>
        <v>75.626735874008403</v>
      </c>
      <c r="P139" s="4687">
        <f t="shared" ref="P139:Q139" si="130">+P138/P121</f>
        <v>87.403149466188296</v>
      </c>
      <c r="Q139" s="4687">
        <f t="shared" si="130"/>
        <v>75.607987040004545</v>
      </c>
      <c r="R139" s="4683">
        <f t="shared" si="129"/>
        <v>87.403149466188296</v>
      </c>
      <c r="S139" s="4683">
        <f t="shared" si="129"/>
        <v>75.621910960097324</v>
      </c>
      <c r="T139" s="4687">
        <f t="shared" si="129"/>
        <v>87.403149466188296</v>
      </c>
      <c r="U139" s="4687">
        <f t="shared" si="129"/>
        <v>89.233771438656319</v>
      </c>
      <c r="V139" s="4683">
        <f t="shared" si="129"/>
        <v>87.403149466188296</v>
      </c>
      <c r="W139" s="4683">
        <f t="shared" si="129"/>
        <v>77.884326174626011</v>
      </c>
      <c r="X139" s="4687">
        <f t="shared" ref="X139:Y139" si="131">+X138/X121</f>
        <v>96.430015137830082</v>
      </c>
      <c r="Y139" s="4687">
        <f t="shared" si="131"/>
        <v>81.074945002387821</v>
      </c>
      <c r="Z139" s="4684">
        <f t="shared" si="129"/>
        <v>89.252690750591952</v>
      </c>
      <c r="AA139" s="4684">
        <f t="shared" si="129"/>
        <v>81.397206221839241</v>
      </c>
      <c r="AB139" s="4685">
        <f t="shared" si="129"/>
        <v>88.25980668998433</v>
      </c>
      <c r="AC139" s="4685">
        <f t="shared" si="129"/>
        <v>78.387278832345231</v>
      </c>
      <c r="AD139" s="4687">
        <f t="shared" si="129"/>
        <v>87.403149466188296</v>
      </c>
      <c r="AE139" s="4687">
        <f t="shared" si="129"/>
        <v>97.606014388159693</v>
      </c>
      <c r="AF139" s="4683">
        <f t="shared" si="129"/>
        <v>88.123149466188309</v>
      </c>
      <c r="AG139" s="4683">
        <f t="shared" si="129"/>
        <v>80.030819632157915</v>
      </c>
      <c r="AH139" s="4687">
        <f t="shared" ref="AH139:AI139" si="132">+AH138/AH121</f>
        <v>87.403149466188296</v>
      </c>
      <c r="AI139" s="4687">
        <f t="shared" si="132"/>
        <v>80.232085944861026</v>
      </c>
      <c r="AJ139" s="4687">
        <f t="shared" si="129"/>
        <v>88.026654620827472</v>
      </c>
      <c r="AK139" s="4687">
        <f t="shared" si="129"/>
        <v>80.055761375468109</v>
      </c>
      <c r="AL139" s="4687">
        <f t="shared" si="129"/>
        <v>87.403149466188296</v>
      </c>
      <c r="AM139" s="4687">
        <f t="shared" si="129"/>
        <v>78.652899311367946</v>
      </c>
      <c r="AN139" s="4687">
        <f t="shared" si="129"/>
        <v>87.403149466188296</v>
      </c>
      <c r="AO139" s="4687">
        <f t="shared" si="129"/>
        <v>83.509298888503764</v>
      </c>
      <c r="AP139" s="4687">
        <f t="shared" si="129"/>
        <v>87.950479782930387</v>
      </c>
      <c r="AQ139" s="4687">
        <f t="shared" si="129"/>
        <v>79.890161391178395</v>
      </c>
      <c r="AR139" s="4687">
        <f t="shared" ref="AR139:AS139" si="133">+AR138/AR121</f>
        <v>87.403149466188296</v>
      </c>
      <c r="AS139" s="4687">
        <f t="shared" si="133"/>
        <v>77.167029215025408</v>
      </c>
      <c r="AT139" s="4687">
        <f t="shared" si="129"/>
        <v>87.8904983783559</v>
      </c>
      <c r="AU139" s="4687">
        <f t="shared" si="129"/>
        <v>79.587300736018094</v>
      </c>
      <c r="AV139" s="4687">
        <f t="shared" si="129"/>
        <v>87.403149466188282</v>
      </c>
      <c r="AW139" s="4687">
        <f t="shared" si="129"/>
        <v>71.711701739949476</v>
      </c>
      <c r="AX139" s="4687">
        <f t="shared" si="129"/>
        <v>87.846876538822187</v>
      </c>
      <c r="AY139" s="4687">
        <f t="shared" si="129"/>
        <v>78.823016652443982</v>
      </c>
      <c r="AZ139" s="4687">
        <f t="shared" ref="AZ139:BA139" si="134">+AZ138/AZ121</f>
        <v>87.403149466188282</v>
      </c>
      <c r="BA139" s="4687">
        <f t="shared" si="134"/>
        <v>68.886728071467473</v>
      </c>
      <c r="BB139" s="4687">
        <f t="shared" si="129"/>
        <v>87.403149466188296</v>
      </c>
      <c r="BC139" s="4687">
        <f t="shared" si="129"/>
        <v>72.449808709311696</v>
      </c>
      <c r="BD139" s="4687">
        <f t="shared" si="129"/>
        <v>87.403149466188296</v>
      </c>
      <c r="BE139" s="4687">
        <f t="shared" si="129"/>
        <v>77.221263206828411</v>
      </c>
      <c r="BF139" s="4687">
        <f t="shared" si="129"/>
        <v>87.806349466188294</v>
      </c>
      <c r="BG139" s="4687">
        <f t="shared" si="129"/>
        <v>77.815408918386012</v>
      </c>
      <c r="BH139" s="1520"/>
      <c r="BI139" s="1520"/>
      <c r="BJ139" s="26"/>
      <c r="BK139" s="26"/>
      <c r="BL139" s="26"/>
      <c r="BM139" s="26"/>
      <c r="BN139" s="1202"/>
    </row>
    <row r="140" spans="1:67" x14ac:dyDescent="0.3">
      <c r="B140" s="4698" t="s">
        <v>309</v>
      </c>
      <c r="C140" s="4680"/>
      <c r="D140" s="4680"/>
      <c r="E140" s="4443" t="s">
        <v>301</v>
      </c>
      <c r="F140" s="4693">
        <f>+EMD!D39/(EMD!D3*24)</f>
        <v>3.1857131127627629</v>
      </c>
      <c r="G140" s="4693">
        <f>+EMD!E39/(EMD!E3*24)</f>
        <v>2.8485917264404002</v>
      </c>
      <c r="H140" s="4693">
        <f>+EMD!F39/(EMD!F3*24)</f>
        <v>4.852565010115053</v>
      </c>
      <c r="I140" s="4693">
        <f>+EMD!G39/(EMD!G3*24)</f>
        <v>2.8117114273171504</v>
      </c>
      <c r="J140" s="4694">
        <f t="shared" ref="J140:K143" si="135">+((F140*F$2)+(H140*H$2))/J$2</f>
        <v>4.0328017819090087</v>
      </c>
      <c r="K140" s="4694">
        <f t="shared" si="135"/>
        <v>2.8298492793449777</v>
      </c>
      <c r="L140" s="4693">
        <f>+EMD!J39/(EMD!J3*24)</f>
        <v>4.8283464365310635</v>
      </c>
      <c r="M140" s="4693">
        <f>+EMD!K39/(EMD!K3*24)</f>
        <v>2.6421467166146564</v>
      </c>
      <c r="N140" s="4695">
        <f t="shared" ref="N140:O143" si="136">+((F140*F$2)+(H140*H$2)+(L140*L$2))/N$2</f>
        <v>4.2950692504657297</v>
      </c>
      <c r="O140" s="4695">
        <f t="shared" si="136"/>
        <v>2.767969313609707</v>
      </c>
      <c r="P140" s="4693">
        <f>+EMD!N39/(EMD!N3*24)</f>
        <v>4.8488428300598043</v>
      </c>
      <c r="Q140" s="4693">
        <f>+EMD!O39/(EMD!O3*24)</f>
        <v>2.1974074911076338</v>
      </c>
      <c r="R140" s="4694">
        <f t="shared" ref="R140:S143" si="137">+((N140*N$2)+(P140*P$2))/R$2</f>
        <v>4.4357822092150441</v>
      </c>
      <c r="S140" s="4694">
        <f t="shared" si="137"/>
        <v>2.62299048985918</v>
      </c>
      <c r="T140" s="4693">
        <f>+EMD!R39/(EMD!R3*24)</f>
        <v>4.8488428300598043</v>
      </c>
      <c r="U140" s="4693">
        <f>+EMD!S39/(EMD!S3*24)</f>
        <v>2.5676655874248828</v>
      </c>
      <c r="V140" s="4694">
        <f t="shared" ref="V140:V143" si="138">+((R140*R$2)+(T140*T$2))/V$2</f>
        <v>4.519474230431956</v>
      </c>
      <c r="W140" s="4694">
        <f t="shared" ref="W140:W143" si="139">+((S140*S$2)+(U140*U$2))/W$2</f>
        <v>2.6117808691045186</v>
      </c>
      <c r="X140" s="4693">
        <f>+EMD!V39/(EMD!V3*24)</f>
        <v>3.2964176326442676</v>
      </c>
      <c r="Y140" s="4693">
        <f>+EMD!W39/(EMD!W3*24)</f>
        <v>2.1528749999999999</v>
      </c>
      <c r="Z140" s="4695">
        <f t="shared" ref="Z140:AA143" si="140">+((P140*P$2)+(T140*T$2)+(X140*X$2))/Z$2</f>
        <v>4.3426172222069122</v>
      </c>
      <c r="AA140" s="4695">
        <f t="shared" si="140"/>
        <v>2.3076469068968266</v>
      </c>
      <c r="AB140" s="4696">
        <f t="shared" ref="AB140:AC143" si="141">+((N140*N$2)+(Z140*Z$2))/AB$2</f>
        <v>4.3189731488274168</v>
      </c>
      <c r="AC140" s="4696">
        <f t="shared" si="141"/>
        <v>2.5365503987595157</v>
      </c>
      <c r="AD140" s="4693">
        <f>+EMD!AB39/(EMD!AB3*24)</f>
        <v>4.9776283889238711</v>
      </c>
      <c r="AE140" s="4693">
        <f>+EMD!AC39/(EMD!AC3*24)</f>
        <v>1.2359408602150537</v>
      </c>
      <c r="AF140" s="4694">
        <f t="shared" ref="AF140:AF143" si="142">+((AB140*AB$2)+(AD140*AD$2))/AF$2</f>
        <v>4.4143858237946603</v>
      </c>
      <c r="AG140" s="4694">
        <f t="shared" ref="AG140:AG143" si="143">+((AC140*AC$2)+(AE140*AE$2))/AG$2</f>
        <v>2.3481443441105516</v>
      </c>
      <c r="AH140" s="4693">
        <f>+EMD!AF39/(EMD!AF3*24)</f>
        <v>4.9425633893571002</v>
      </c>
      <c r="AI140" s="4693">
        <f>+EMD!AG39/(EMD!AG3*24)</f>
        <v>2.1859999999999999</v>
      </c>
      <c r="AJ140" s="4694">
        <f t="shared" ref="AJ140:AJ143" si="144">+((AF140*AF$2)+(AH140*AH$2))/AJ$2</f>
        <v>4.4793256884129926</v>
      </c>
      <c r="AK140" s="4694">
        <f t="shared" ref="AK140:AK143" si="145">+((AG140*AG$2)+(AI140*AI$2))/AK$2</f>
        <v>2.3282085640969594</v>
      </c>
      <c r="AL140" s="4693">
        <f>+EMD!AJ39/(EMD!AJ3*24)</f>
        <v>4.9222167669784733</v>
      </c>
      <c r="AM140" s="4693">
        <f>+EMD!AK39/(EMD!AK3*24)</f>
        <v>1.8261835909662401</v>
      </c>
      <c r="AN140" s="4695">
        <f t="shared" ref="AN140:AN143" si="146">+((AD140*AD$2)+(AH140*AH$2)+(AL140*AL$2))/AN$2</f>
        <v>4.9475228425400619</v>
      </c>
      <c r="AO140" s="4695">
        <f t="shared" ref="AO140:AO143" si="147">+((AE140*AE$2)+(AI140*AI$2)+(AM140*AM$2))/AO$2</f>
        <v>1.7446288911589141</v>
      </c>
      <c r="AP140" s="4694">
        <f t="shared" ref="AP140:AQ143" si="148">+((AL140*AL$2)+(AJ140*AJ$2))/AP$2</f>
        <v>4.5292515918149201</v>
      </c>
      <c r="AQ140" s="4694">
        <f t="shared" si="148"/>
        <v>2.2716166580349513</v>
      </c>
      <c r="AR140" s="4693">
        <f>+EMD!AP39/(EMD!AP3*24)</f>
        <v>4.9113326157484076</v>
      </c>
      <c r="AS140" s="4693">
        <f>+EMD!AQ39/(EMD!AQ3*24)</f>
        <v>1.5919489247311829</v>
      </c>
      <c r="AT140" s="4694">
        <f t="shared" ref="AT140:AT143" si="149">+((AP140*AP$2)+(AR140*AR$2))/AT$2</f>
        <v>4.5679591465271354</v>
      </c>
      <c r="AU140" s="4694">
        <f t="shared" ref="AU140:AU143" si="150">+((AQ140*AQ$2)+(AS140*AS$2))/AU$2</f>
        <v>2.2027614301512362</v>
      </c>
      <c r="AV140" s="4693">
        <f>+EMD!AT39/(EMD!AT3*24)</f>
        <v>5.0145762851239128</v>
      </c>
      <c r="AW140" s="4693">
        <f>+EMD!AU39/(EMD!AU3*24)</f>
        <v>2.2448214285714285</v>
      </c>
      <c r="AX140" s="4694">
        <f t="shared" ref="AX140:AX143" si="151">+((AT140*AT$2)+(AV140*AV$2))/AX$2</f>
        <v>4.6054001042538113</v>
      </c>
      <c r="AY140" s="4694">
        <f t="shared" ref="AY140:AY143" si="152">+((AU140*AU$2)+(AW140*AW$2))/AY$2</f>
        <v>2.2062874180427494</v>
      </c>
      <c r="AZ140" s="4693">
        <f>+EMD!AX39/(EMD!AX3*24)</f>
        <v>4.8965562100329114</v>
      </c>
      <c r="BA140" s="4693">
        <f>+EMD!AY39/(EMD!AY3*24)</f>
        <v>2.7250940860215054</v>
      </c>
      <c r="BB140" s="4695">
        <f t="shared" ref="BB140:BB143" si="153">+((AR140*AR$2)+(AV140*AV$2)+(AZ140*AZ$2))/BB$2</f>
        <v>4.938363217585449</v>
      </c>
      <c r="BC140" s="4695">
        <f t="shared" ref="BC140:BC143" si="154">+((AS140*AS$2)+(AW140*AW$2)+(BA140*BA$2))/BC$2</f>
        <v>2.1853703703703706</v>
      </c>
      <c r="BD140" s="4697">
        <f t="shared" ref="BD140:BE143" si="155">+((AN140*AN$2)+(BB140*BB$2))/BD$2</f>
        <v>4.9429933576723961</v>
      </c>
      <c r="BE140" s="4697">
        <f t="shared" si="155"/>
        <v>1.9625779742854585</v>
      </c>
      <c r="BF140" s="4694">
        <f>+((AX140*AX$2)+(AZ140*AZ$2))/BF$2</f>
        <v>4.6301284310460087</v>
      </c>
      <c r="BG140" s="4701">
        <f>+((AY140*AY$2)+(BA140*BA$2))/BG$2</f>
        <v>2.2503504501176574</v>
      </c>
      <c r="BH140" s="1520"/>
      <c r="BI140" s="1520"/>
      <c r="BJ140" s="26"/>
      <c r="BK140" s="26"/>
      <c r="BL140" s="26"/>
      <c r="BM140" s="26"/>
      <c r="BN140" s="1202"/>
    </row>
    <row r="141" spans="1:67" x14ac:dyDescent="0.3">
      <c r="B141" s="4698" t="s">
        <v>310</v>
      </c>
      <c r="C141" s="4680"/>
      <c r="D141" s="4680"/>
      <c r="E141" s="4443" t="s">
        <v>301</v>
      </c>
      <c r="F141" s="4693">
        <f>+EMD!D69/(EMD!D3*24)</f>
        <v>6.3350096020154387</v>
      </c>
      <c r="G141" s="4693">
        <f>+EMD!E69/(EMD!E3*24)</f>
        <v>5.4867215181306648</v>
      </c>
      <c r="H141" s="4693">
        <f>+EMD!F69/(EMD!F3*24)</f>
        <v>8.8502102666744822</v>
      </c>
      <c r="I141" s="4693">
        <f>+EMD!G69/(EMD!G3*24)</f>
        <v>5.3448362752972303</v>
      </c>
      <c r="J141" s="4683">
        <f t="shared" si="135"/>
        <v>7.6132263332356089</v>
      </c>
      <c r="K141" s="4683">
        <f t="shared" si="135"/>
        <v>5.4146159029202314</v>
      </c>
      <c r="L141" s="4693">
        <f>+EMD!J69/(EMD!J3*24)</f>
        <v>8.68874459639615</v>
      </c>
      <c r="M141" s="4693">
        <f>+EMD!K69/(EMD!K3*24)</f>
        <v>5.2854343880576655</v>
      </c>
      <c r="N141" s="4695">
        <f t="shared" si="136"/>
        <v>7.9677927936182043</v>
      </c>
      <c r="O141" s="4695">
        <f t="shared" si="136"/>
        <v>5.3720285903281759</v>
      </c>
      <c r="P141" s="4693">
        <f>+EMD!N69/(EMD!N3*24)</f>
        <v>8.8336698968186713</v>
      </c>
      <c r="Q141" s="4693">
        <f>+EMD!O69/(EMD!O3*24)</f>
        <v>5.3791858521565823</v>
      </c>
      <c r="R141" s="4683">
        <f t="shared" si="137"/>
        <v>8.1878107460707827</v>
      </c>
      <c r="S141" s="4683">
        <f t="shared" si="137"/>
        <v>5.373847238825558</v>
      </c>
      <c r="T141" s="4693">
        <f>+EMD!R69/(EMD!R3*24)</f>
        <v>8.8336698968186713</v>
      </c>
      <c r="U141" s="4693">
        <f>+EMD!S69/(EMD!S3*24)</f>
        <v>4.9984891220410299</v>
      </c>
      <c r="V141" s="4683">
        <f t="shared" si="138"/>
        <v>8.3186710968759101</v>
      </c>
      <c r="W141" s="4683">
        <f t="shared" si="139"/>
        <v>5.2977942870587587</v>
      </c>
      <c r="X141" s="4693">
        <f>+EMD!V69/(EMD!V3*24)</f>
        <v>4.9448682446162646</v>
      </c>
      <c r="Y141" s="4693">
        <f>+EMD!W69/(EMD!W3*24)</f>
        <v>5.2261249999999997</v>
      </c>
      <c r="Z141" s="4684">
        <f t="shared" si="140"/>
        <v>7.5655824015352788</v>
      </c>
      <c r="AA141" s="4684">
        <f t="shared" si="140"/>
        <v>5.2009964586970208</v>
      </c>
      <c r="AB141" s="4696">
        <f t="shared" si="141"/>
        <v>7.7655886620792476</v>
      </c>
      <c r="AC141" s="4696">
        <f t="shared" si="141"/>
        <v>5.2860452236065019</v>
      </c>
      <c r="AD141" s="4693">
        <f>+EMD!AB69/(EMD!AB3*24)</f>
        <v>9.1406564827310568</v>
      </c>
      <c r="AE141" s="4693">
        <f>+EMD!AC69/(EMD!AC3*24)</f>
        <v>3.7866935483870972</v>
      </c>
      <c r="AF141" s="4683">
        <f t="shared" si="142"/>
        <v>7.9647807295568462</v>
      </c>
      <c r="AG141" s="4683">
        <f t="shared" si="143"/>
        <v>5.0688494201868677</v>
      </c>
      <c r="AH141" s="4693">
        <f>+EMD!AF69/(EMD!AF3*24)</f>
        <v>10.522803228320656</v>
      </c>
      <c r="AI141" s="4693">
        <f>+EMD!AG69/(EMD!AG3*24)</f>
        <v>3.5379444444444448</v>
      </c>
      <c r="AJ141" s="4683">
        <f t="shared" si="144"/>
        <v>8.2792916925196103</v>
      </c>
      <c r="AK141" s="4683">
        <f t="shared" si="145"/>
        <v>4.8806233985791927</v>
      </c>
      <c r="AL141" s="4693">
        <f>+EMD!AJ69/(EMD!AJ3*24)</f>
        <v>10.480268488816961</v>
      </c>
      <c r="AM141" s="4693">
        <f>+EMD!AK69/(EMD!AK3*24)</f>
        <v>3.9505855432478936</v>
      </c>
      <c r="AN141" s="4684">
        <f t="shared" si="146"/>
        <v>10.042747510517481</v>
      </c>
      <c r="AO141" s="4684">
        <f t="shared" si="147"/>
        <v>3.7608041866741093</v>
      </c>
      <c r="AP141" s="4683">
        <f t="shared" si="148"/>
        <v>8.5274018041022224</v>
      </c>
      <c r="AQ141" s="4683">
        <f t="shared" si="148"/>
        <v>4.7757827676145732</v>
      </c>
      <c r="AR141" s="4693">
        <f>+EMD!AP69/(EMD!AP3*24)</f>
        <v>10.48603922911099</v>
      </c>
      <c r="AS141" s="4693">
        <f>+EMD!AQ69/(EMD!AQ3*24)</f>
        <v>5.591411290322581</v>
      </c>
      <c r="AT141" s="4683">
        <f t="shared" si="149"/>
        <v>8.7258258569625884</v>
      </c>
      <c r="AU141" s="4683">
        <f t="shared" si="150"/>
        <v>4.8584118009608099</v>
      </c>
      <c r="AV141" s="4693">
        <f>+EMD!AT69/(EMD!AT3*24)</f>
        <v>10.991464198483637</v>
      </c>
      <c r="AW141" s="4693">
        <f>+EMD!AU69/(EMD!AU3*24)</f>
        <v>4.808139880952381</v>
      </c>
      <c r="AX141" s="4683">
        <f t="shared" si="151"/>
        <v>8.9157596101439953</v>
      </c>
      <c r="AY141" s="4683">
        <f t="shared" si="152"/>
        <v>4.8541973885050131</v>
      </c>
      <c r="AZ141" s="4693">
        <f>+EMD!AX69/(EMD!AX3*24)</f>
        <v>9.2052985858684071</v>
      </c>
      <c r="BA141" s="4693">
        <f>+EMD!AY69/(EMD!AY3*24)</f>
        <v>4.242620967741936</v>
      </c>
      <c r="BB141" s="4684">
        <f t="shared" si="153"/>
        <v>10.202138553576702</v>
      </c>
      <c r="BC141" s="4684">
        <f t="shared" si="154"/>
        <v>4.8831435185185192</v>
      </c>
      <c r="BD141" s="4697">
        <f t="shared" si="155"/>
        <v>10.121567257085227</v>
      </c>
      <c r="BE141" s="4697">
        <f t="shared" si="155"/>
        <v>4.3158071529707955</v>
      </c>
      <c r="BF141" s="4683">
        <f>+((AX141*AX$2)+(AZ141*AZ$2))/BF$2</f>
        <v>8.9403505916438775</v>
      </c>
      <c r="BG141" s="4699">
        <f>+((AY141*AY$2)+(BA141*BA$2))/BG$2</f>
        <v>4.8022552815360937</v>
      </c>
      <c r="BH141" s="1520"/>
      <c r="BI141" s="1520"/>
      <c r="BJ141" s="26"/>
      <c r="BK141" s="26"/>
      <c r="BL141" s="26"/>
      <c r="BM141" s="26"/>
      <c r="BN141" s="1202"/>
    </row>
    <row r="142" spans="1:67" x14ac:dyDescent="0.3">
      <c r="B142" s="4698" t="s">
        <v>1890</v>
      </c>
      <c r="C142" s="4680"/>
      <c r="D142" s="4680"/>
      <c r="E142" s="4443" t="s">
        <v>301</v>
      </c>
      <c r="F142" s="4693">
        <f>+EMD!D87/(EMD!D3*24)</f>
        <v>5.2265605756264097</v>
      </c>
      <c r="G142" s="4693">
        <f>+EMD!E87/(EMD!E3*24)</f>
        <v>3.9887707275685802</v>
      </c>
      <c r="H142" s="4693">
        <f>+EMD!F87/(EMD!F3*24)</f>
        <v>1.5007933020974389</v>
      </c>
      <c r="I142" s="4693">
        <f>+EMD!G87/(EMD!G3*24)</f>
        <v>5.1459735585369693</v>
      </c>
      <c r="J142" s="4683">
        <f t="shared" ref="J142" si="156">+((F142*F$2)+(H142*H$2))/J$2</f>
        <v>3.3331378628493917</v>
      </c>
      <c r="K142" s="4683">
        <f t="shared" ref="K142" si="157">+((G142*G$2)+(I142*I$2))/K$2</f>
        <v>4.5768574121590726</v>
      </c>
      <c r="L142" s="4693">
        <f>+EMD!J87/(EMD!J3*24)</f>
        <v>1.4933030216075458</v>
      </c>
      <c r="M142" s="4693">
        <f>+EMD!K87/(EMD!K3*24)</f>
        <v>4.9633429944973235</v>
      </c>
      <c r="N142" s="4695">
        <f t="shared" ref="N142" si="158">+((F142*F$2)+(H142*H$2)+(L142*L$2))/N$2</f>
        <v>2.7265989041982337</v>
      </c>
      <c r="O142" s="4695">
        <f t="shared" ref="O142" si="159">+((G142*G$2)+(I142*I$2)+(M142*M$2))/O$2</f>
        <v>4.7042702415013533</v>
      </c>
      <c r="P142" s="4693">
        <f>+EMD!N87/(EMD!N3*24)</f>
        <v>1.4996421123896297</v>
      </c>
      <c r="Q142" s="4693">
        <f>+EMD!O87/(EMD!O3*24)</f>
        <v>4.2916563007631972</v>
      </c>
      <c r="R142" s="4683">
        <f t="shared" ref="R142" si="160">+((N142*N$2)+(P142*P$2))/R$2</f>
        <v>2.4148311948042442</v>
      </c>
      <c r="S142" s="4683">
        <f t="shared" ref="S142" si="161">+((O142*O$2)+(Q142*Q$2))/S$2</f>
        <v>4.5994257155760838</v>
      </c>
      <c r="T142" s="4693">
        <f>+EMD!R87/(EMD!R3*24)</f>
        <v>1.4996421123896297</v>
      </c>
      <c r="U142" s="4693">
        <f>+EMD!S87/(EMD!S3*24)</f>
        <v>4.2114650927811903</v>
      </c>
      <c r="V142" s="4683">
        <f t="shared" ref="V142" si="162">+((R142*R$2)+(T142*T$2))/V$2</f>
        <v>2.2294007271254661</v>
      </c>
      <c r="W142" s="4683">
        <f t="shared" ref="W142" si="163">+((S142*S$2)+(U142*U$2))/W$2</f>
        <v>4.5208193148790796</v>
      </c>
      <c r="X142" s="4693">
        <f>+EMD!V87/(EMD!V3*24)</f>
        <v>0</v>
      </c>
      <c r="Y142" s="4693">
        <f>+EMD!W87/(EMD!W3*24)</f>
        <v>5.5175000000000001</v>
      </c>
      <c r="Z142" s="4684">
        <f t="shared" ref="Z142" si="164">+((P142*P$2)+(T142*T$2)+(X142*X$2))/Z$2</f>
        <v>1.0106283800886635</v>
      </c>
      <c r="AA142" s="4684">
        <f t="shared" ref="AA142" si="165">+((Q142*Q$2)+(U142*U$2)+(Y142*Y$2))/AA$2</f>
        <v>4.6643669913029999</v>
      </c>
      <c r="AB142" s="4696">
        <f t="shared" ref="AB142" si="166">+((N142*N$2)+(Z142*Z$2))/AB$2</f>
        <v>1.8639251980885045</v>
      </c>
      <c r="AC142" s="4696">
        <f t="shared" ref="AC142" si="167">+((O142*O$2)+(AA142*AA$2))/AC$2</f>
        <v>4.6842095911284112</v>
      </c>
      <c r="AD142" s="4693">
        <f>+EMD!AB87/(EMD!AB3*24)</f>
        <v>1.5394726976053212</v>
      </c>
      <c r="AE142" s="4693">
        <f>+EMD!AC87/(EMD!AC3*24)</f>
        <v>3.2220430107526878</v>
      </c>
      <c r="AF142" s="4683">
        <f t="shared" ref="AF142" si="168">+((AB142*AB$2)+(AD142*AD$2))/AF$2</f>
        <v>1.8169250695138377</v>
      </c>
      <c r="AG142" s="4683">
        <f t="shared" ref="AG142" si="169">+((AC142*AC$2)+(AE142*AE$2))/AG$2</f>
        <v>4.4724004135973479</v>
      </c>
      <c r="AH142" s="4693">
        <f>+EMD!AF87/(EMD!AF3*24)</f>
        <v>0</v>
      </c>
      <c r="AI142" s="4693">
        <f>+EMD!AG87/(EMD!AG3*24)</f>
        <v>6.9887499999999996</v>
      </c>
      <c r="AJ142" s="4683">
        <f t="shared" ref="AJ142" si="170">+((AF142*AF$2)+(AH142*AH$2))/AJ$2</f>
        <v>1.5935326429342676</v>
      </c>
      <c r="AK142" s="4683">
        <f t="shared" ref="AK142" si="171">+((AG142*AG$2)+(AI142*AI$2))/AK$2</f>
        <v>4.7817876578271816</v>
      </c>
      <c r="AL142" s="4693">
        <f>+EMD!AJ87/(EMD!AJ3*24)</f>
        <v>0</v>
      </c>
      <c r="AM142" s="4693">
        <f>+EMD!AK87/(EMD!AK3*24)</f>
        <v>7.0640821918841787</v>
      </c>
      <c r="AN142" s="4684">
        <f t="shared" ref="AN142" si="172">+((AD142*AD$2)+(AH142*AH$2)+(AL142*AL$2))/AN$2</f>
        <v>0.51873536549744526</v>
      </c>
      <c r="AO142" s="4684">
        <f t="shared" ref="AO142" si="173">+((AE142*AE$2)+(AI142*AI$2)+(AM142*AM$2))/AO$2</f>
        <v>5.744917187845032</v>
      </c>
      <c r="AP142" s="4683">
        <f t="shared" ref="AP142" si="174">+((AL142*AL$2)+(AJ142*AJ$2))/AP$2</f>
        <v>1.4138980540944046</v>
      </c>
      <c r="AQ142" s="4683">
        <f t="shared" ref="AQ142" si="175">+((AM142*AM$2)+(AK142*AK$2))/AQ$2</f>
        <v>5.0390644962117879</v>
      </c>
      <c r="AR142" s="4693">
        <f>+EMD!AP87/(EMD!AP3*24)</f>
        <v>0</v>
      </c>
      <c r="AS142" s="4693">
        <f>+EMD!AQ87/(EMD!AQ3*24)</f>
        <v>7.4376344086021513</v>
      </c>
      <c r="AT142" s="4683">
        <f t="shared" ref="AT142" si="176">+((AP142*AP$2)+(AR142*AR$2))/AT$2</f>
        <v>1.2706600159345141</v>
      </c>
      <c r="AU142" s="4683">
        <f t="shared" ref="AU142" si="177">+((AQ142*AQ$2)+(AS142*AS$2))/AU$2</f>
        <v>5.2820568729572166</v>
      </c>
      <c r="AV142" s="4693">
        <f>+EMD!AT87/(EMD!AT3*24)</f>
        <v>0</v>
      </c>
      <c r="AW142" s="4693">
        <f>+EMD!AU87/(EMD!AU3*24)</f>
        <v>6.9921130952380945</v>
      </c>
      <c r="AX142" s="4683">
        <f t="shared" si="151"/>
        <v>1.1641376193891058</v>
      </c>
      <c r="AY142" s="4683">
        <f t="shared" si="152"/>
        <v>5.4254148796154942</v>
      </c>
      <c r="AZ142" s="4693">
        <f>+EMD!AX87/(EMD!AX3*24)</f>
        <v>1.5143988278452305</v>
      </c>
      <c r="BA142" s="4693">
        <f>+EMD!AY87/(EMD!AY3*24)</f>
        <v>6.2415322580645158</v>
      </c>
      <c r="BB142" s="4684">
        <f>+EMD!AZ87/(EMD!AZ3*24)</f>
        <v>0.52162626292446823</v>
      </c>
      <c r="BC142" s="4684">
        <f>+EMD!BA87/(EMD!BA3*24)</f>
        <v>6.8870370370370368</v>
      </c>
      <c r="BD142" s="4697">
        <f>+EMD!BB87/(EMD!BB3*24)</f>
        <v>0.52016493015915999</v>
      </c>
      <c r="BE142" s="4697">
        <f>+EMD!BC87/(EMD!BC3*24)</f>
        <v>6.3097017286542645</v>
      </c>
      <c r="BF142" s="4683">
        <f>+EMD!BD87/(EMD!BD3*24)</f>
        <v>1.1938858316141461</v>
      </c>
      <c r="BG142" s="4699">
        <f>+EMD!BE87/(EMD!BE3*24)</f>
        <v>5.4947289583330816</v>
      </c>
      <c r="BH142" s="1520"/>
      <c r="BI142" s="1520"/>
      <c r="BJ142" s="26"/>
      <c r="BK142" s="26"/>
      <c r="BL142" s="26"/>
      <c r="BM142" s="26"/>
      <c r="BN142" s="1202"/>
    </row>
    <row r="143" spans="1:67" x14ac:dyDescent="0.3">
      <c r="B143" s="4698" t="s">
        <v>311</v>
      </c>
      <c r="C143" s="4680"/>
      <c r="D143" s="4680"/>
      <c r="E143" s="4443" t="s">
        <v>301</v>
      </c>
      <c r="F143" s="4693">
        <f>+EMD!D108/(EMD!D3*24)</f>
        <v>1.9395733277508604</v>
      </c>
      <c r="G143" s="4693">
        <f>+EMD!E108/(EMD!E3*24)</f>
        <v>1.4028099836985379</v>
      </c>
      <c r="H143" s="4693">
        <f>+EMD!F108/(EMD!F3*24)</f>
        <v>1.723872322011323</v>
      </c>
      <c r="I143" s="4693">
        <f>+EMD!G108/(EMD!G3*24)</f>
        <v>1.5865047135606947</v>
      </c>
      <c r="J143" s="4683">
        <f t="shared" si="135"/>
        <v>1.8299547838504397</v>
      </c>
      <c r="K143" s="4694">
        <f t="shared" si="135"/>
        <v>1.4961630431366832</v>
      </c>
      <c r="L143" s="4693">
        <f>+EMD!J108/(EMD!J3*24)</f>
        <v>1.6764625636207104</v>
      </c>
      <c r="M143" s="4693">
        <f>+EMD!K108/(EMD!K3*24)</f>
        <v>1.6764927955556788</v>
      </c>
      <c r="N143" s="4695">
        <f t="shared" si="136"/>
        <v>1.7793529530054739</v>
      </c>
      <c r="O143" s="4695">
        <f t="shared" si="136"/>
        <v>1.5556124120660224</v>
      </c>
      <c r="P143" s="4693">
        <f>+EMD!N108/(EMD!N3*24)</f>
        <v>1.7193237289601051</v>
      </c>
      <c r="Q143" s="4693">
        <f>+EMD!O108/(EMD!O3*24)</f>
        <v>1.6744247849513554</v>
      </c>
      <c r="R143" s="4683">
        <f t="shared" si="137"/>
        <v>1.7640996255841097</v>
      </c>
      <c r="S143" s="4683">
        <f t="shared" si="137"/>
        <v>1.5858024412418039</v>
      </c>
      <c r="T143" s="4693">
        <f>+EMD!R108/(EMD!R3*24)</f>
        <v>1.7193237289601051</v>
      </c>
      <c r="U143" s="4693">
        <f>+EMD!S108/(EMD!S3*24)</f>
        <v>1.5263112720725411</v>
      </c>
      <c r="V143" s="4683">
        <f t="shared" si="138"/>
        <v>1.7550273850916644</v>
      </c>
      <c r="W143" s="4683">
        <f t="shared" si="139"/>
        <v>1.5737486749395349</v>
      </c>
      <c r="X143" s="4693">
        <f>+EMD!V108/(EMD!V3*24)</f>
        <v>0.66552505075814328</v>
      </c>
      <c r="Y143" s="4693">
        <f>+EMD!W108/(EMD!W3*24)</f>
        <v>1.7811250000000001</v>
      </c>
      <c r="Z143" s="4684">
        <f t="shared" si="140"/>
        <v>1.3756937251985959</v>
      </c>
      <c r="AA143" s="4684">
        <f t="shared" si="140"/>
        <v>1.6593105192145738</v>
      </c>
      <c r="AB143" s="4696">
        <f t="shared" si="141"/>
        <v>1.576420445036989</v>
      </c>
      <c r="AC143" s="4696">
        <f t="shared" si="141"/>
        <v>1.607744793801906</v>
      </c>
      <c r="AD143" s="4693">
        <f>+EMD!AB108/(EMD!AB3*24)</f>
        <v>1.7889299850398379</v>
      </c>
      <c r="AE143" s="4693">
        <f>+EMD!AC108/(EMD!AC3*24)</f>
        <v>1.2390456989247312</v>
      </c>
      <c r="AF143" s="4683">
        <f t="shared" si="142"/>
        <v>1.6072045372803923</v>
      </c>
      <c r="AG143" s="4683">
        <f t="shared" si="143"/>
        <v>1.5543351118337172</v>
      </c>
      <c r="AH143" s="4693">
        <f>+EMD!AF108/(EMD!AF3*24)</f>
        <v>2.0263223132504908</v>
      </c>
      <c r="AI143" s="4693">
        <f>+EMD!AG108/(EMD!AG3*24)</f>
        <v>1.7361805555555554</v>
      </c>
      <c r="AJ143" s="4683">
        <f t="shared" si="144"/>
        <v>1.6587354113750765</v>
      </c>
      <c r="AK143" s="4683">
        <f t="shared" si="145"/>
        <v>1.5766931581929595</v>
      </c>
      <c r="AL143" s="4693">
        <f>+EMD!AJ108/(EMD!AJ3*24)</f>
        <v>2.0182399658345651</v>
      </c>
      <c r="AM143" s="4693">
        <f>+EMD!AK108/(EMD!AK3*24)</f>
        <v>2.0761883622238662</v>
      </c>
      <c r="AN143" s="4684">
        <f t="shared" si="146"/>
        <v>1.9436080203763175</v>
      </c>
      <c r="AO143" s="4684">
        <f t="shared" si="147"/>
        <v>1.6832355713290565</v>
      </c>
      <c r="AP143" s="4683">
        <f t="shared" si="148"/>
        <v>1.6992613793323279</v>
      </c>
      <c r="AQ143" s="4683">
        <f t="shared" si="148"/>
        <v>1.6329998902837164</v>
      </c>
      <c r="AR143" s="4693">
        <f>+EMD!AP108/(EMD!AP3*24)</f>
        <v>2.0182399658345651</v>
      </c>
      <c r="AS143" s="4693">
        <f>+EMD!AQ108/(EMD!AQ3*24)</f>
        <v>2.3847916666666666</v>
      </c>
      <c r="AT143" s="4683">
        <f t="shared" si="149"/>
        <v>1.7315762034551034</v>
      </c>
      <c r="AU143" s="4683">
        <f t="shared" si="150"/>
        <v>1.7091618022702242</v>
      </c>
      <c r="AV143" s="4693">
        <f>+EMD!AT108/(EMD!AT3*24)</f>
        <v>2.1601745761207254</v>
      </c>
      <c r="AW143" s="4693">
        <f>+EMD!AU108/(EMD!AU3*24)</f>
        <v>1.862264880952381</v>
      </c>
      <c r="AX143" s="4683">
        <f t="shared" si="151"/>
        <v>1.7675066059540181</v>
      </c>
      <c r="AY143" s="4683">
        <f t="shared" si="152"/>
        <v>1.7219967909022613</v>
      </c>
      <c r="AZ143" s="4693">
        <f>+EMD!AX108/(EMD!AX3*24)</f>
        <v>1.8304339305535384</v>
      </c>
      <c r="BA143" s="4693">
        <f>+EMD!AY108/(EMD!AY3*24)</f>
        <v>1.3628857526881719</v>
      </c>
      <c r="BB143" s="4684">
        <f t="shared" si="153"/>
        <v>1.9977086546601279</v>
      </c>
      <c r="BC143" s="4684">
        <f t="shared" si="154"/>
        <v>1.8702379629629629</v>
      </c>
      <c r="BD143" s="4697">
        <f t="shared" si="155"/>
        <v>1.970361081285894</v>
      </c>
      <c r="BE143" s="4697">
        <f t="shared" si="155"/>
        <v>1.7757092814776916</v>
      </c>
      <c r="BF143" s="4683">
        <f>+((AX143*AX$2)+(AZ143*AZ$2))/BF$2</f>
        <v>1.7728511184542513</v>
      </c>
      <c r="BG143" s="4699">
        <f>+((AY143*AY$2)+(BA143*BA$2))/BG$2</f>
        <v>1.6914969493005168</v>
      </c>
      <c r="BH143" s="1520"/>
      <c r="BI143" s="1520"/>
      <c r="BJ143" s="26"/>
      <c r="BK143" s="26"/>
      <c r="BL143" s="26"/>
      <c r="BM143" s="26"/>
      <c r="BN143" s="1202"/>
    </row>
    <row r="144" spans="1:67" ht="15" thickBot="1" x14ac:dyDescent="0.35">
      <c r="A144" s="146"/>
      <c r="B144" s="4702" t="s">
        <v>312</v>
      </c>
      <c r="C144" s="4703"/>
      <c r="D144" s="4703"/>
      <c r="E144" s="4457" t="s">
        <v>551</v>
      </c>
      <c r="F144" s="4704">
        <f t="shared" ref="F144:AM144" si="178">+F121/F135</f>
        <v>114.81481481481481</v>
      </c>
      <c r="G144" s="4704">
        <f t="shared" si="178"/>
        <v>110.44497937952814</v>
      </c>
      <c r="H144" s="4704">
        <f t="shared" ref="H144:I144" si="179">+H121/H135</f>
        <v>116.07142857142857</v>
      </c>
      <c r="I144" s="4704">
        <f t="shared" si="179"/>
        <v>111.95658372737651</v>
      </c>
      <c r="J144" s="4705">
        <f t="shared" si="178"/>
        <v>115.45454545454545</v>
      </c>
      <c r="K144" s="4705">
        <f t="shared" si="178"/>
        <v>111.25000451545674</v>
      </c>
      <c r="L144" s="4704">
        <f t="shared" si="178"/>
        <v>115.74074074074075</v>
      </c>
      <c r="M144" s="4704">
        <f t="shared" si="178"/>
        <v>115.29320386441785</v>
      </c>
      <c r="N144" s="4706">
        <f t="shared" si="178"/>
        <v>115.54878048780488</v>
      </c>
      <c r="O144" s="4706">
        <f t="shared" si="178"/>
        <v>112.65111774385743</v>
      </c>
      <c r="P144" s="4704">
        <f t="shared" ref="P144:Q144" si="180">+P121/P135</f>
        <v>116.07142857142857</v>
      </c>
      <c r="Q144" s="4704">
        <f t="shared" si="180"/>
        <v>107.22079862842892</v>
      </c>
      <c r="R144" s="4705">
        <f t="shared" si="178"/>
        <v>115.68181818181819</v>
      </c>
      <c r="S144" s="4705">
        <f t="shared" si="178"/>
        <v>111.20176762760509</v>
      </c>
      <c r="T144" s="4704">
        <f t="shared" si="178"/>
        <v>116.07142857142857</v>
      </c>
      <c r="U144" s="4704">
        <f t="shared" si="178"/>
        <v>100.58050509626275</v>
      </c>
      <c r="V144" s="4705">
        <f t="shared" si="178"/>
        <v>115.76086956521739</v>
      </c>
      <c r="W144" s="4705">
        <f t="shared" si="178"/>
        <v>109.28366254218223</v>
      </c>
      <c r="X144" s="4704">
        <f t="shared" ref="X144:Y144" si="181">+X121/X135</f>
        <v>111.66666666666667</v>
      </c>
      <c r="Y144" s="4704">
        <f t="shared" si="181"/>
        <v>110.20583982365905</v>
      </c>
      <c r="Z144" s="4706">
        <f t="shared" si="178"/>
        <v>115.14084507042253</v>
      </c>
      <c r="AA144" s="4706">
        <f t="shared" si="178"/>
        <v>106.11754003963165</v>
      </c>
      <c r="AB144" s="4707">
        <f t="shared" si="178"/>
        <v>115.359477124183</v>
      </c>
      <c r="AC144" s="4707">
        <f t="shared" si="178"/>
        <v>109.42800379517551</v>
      </c>
      <c r="AD144" s="4704">
        <f t="shared" si="178"/>
        <v>119.64285714285714</v>
      </c>
      <c r="AE144" s="4704">
        <f t="shared" si="178"/>
        <v>119.47591943605239</v>
      </c>
      <c r="AF144" s="4705">
        <f t="shared" si="178"/>
        <v>116.02209944751381</v>
      </c>
      <c r="AG144" s="4705">
        <f t="shared" si="178"/>
        <v>110.22071408898306</v>
      </c>
      <c r="AH144" s="4704">
        <f t="shared" ref="AH144:AI144" si="182">+AH121/AH135</f>
        <v>120.37037037037037</v>
      </c>
      <c r="AI144" s="4704">
        <f t="shared" si="182"/>
        <v>105.27906437768243</v>
      </c>
      <c r="AJ144" s="4705">
        <f t="shared" si="178"/>
        <v>116.58653846153847</v>
      </c>
      <c r="AK144" s="4705">
        <f t="shared" si="178"/>
        <v>109.58328778372395</v>
      </c>
      <c r="AL144" s="4704">
        <f t="shared" si="178"/>
        <v>120.53571428571429</v>
      </c>
      <c r="AM144" s="4704">
        <f t="shared" si="178"/>
        <v>104.21999016554662</v>
      </c>
      <c r="AN144" s="4706">
        <f t="shared" ref="AN144:BE144" si="183">+AN121/AN135</f>
        <v>120.18072289156626</v>
      </c>
      <c r="AO144" s="4706">
        <f t="shared" si="183"/>
        <v>107.72120038167937</v>
      </c>
      <c r="AP144" s="4705">
        <f t="shared" si="183"/>
        <v>117.05508474576271</v>
      </c>
      <c r="AQ144" s="4705">
        <f t="shared" si="183"/>
        <v>108.92161955796411</v>
      </c>
      <c r="AR144" s="4708">
        <f t="shared" si="183"/>
        <v>121.42857142857143</v>
      </c>
      <c r="AS144" s="4708">
        <f t="shared" si="183"/>
        <v>106.31541577287064</v>
      </c>
      <c r="AT144" s="4705">
        <f t="shared" si="183"/>
        <v>117.51893939393939</v>
      </c>
      <c r="AU144" s="4705">
        <f t="shared" si="183"/>
        <v>108.62546534511499</v>
      </c>
      <c r="AV144" s="4708">
        <f t="shared" ref="AV144:AW144" si="184">+AV121/AV135</f>
        <v>122</v>
      </c>
      <c r="AW144" s="4708">
        <f t="shared" si="184"/>
        <v>113.39707103064063</v>
      </c>
      <c r="AX144" s="4705">
        <f t="shared" si="183"/>
        <v>117.90657439446366</v>
      </c>
      <c r="AY144" s="4705">
        <f t="shared" si="183"/>
        <v>109.0708575978679</v>
      </c>
      <c r="AZ144" s="4708">
        <f t="shared" si="183"/>
        <v>122.32142857142857</v>
      </c>
      <c r="BA144" s="4708">
        <f t="shared" si="183"/>
        <v>119.05717573090223</v>
      </c>
      <c r="BB144" s="4706">
        <f t="shared" si="183"/>
        <v>121.91358024691358</v>
      </c>
      <c r="BC144" s="4706">
        <f t="shared" si="183"/>
        <v>112.91522628212078</v>
      </c>
      <c r="BD144" s="4709">
        <f t="shared" si="183"/>
        <v>121.03658536585365</v>
      </c>
      <c r="BE144" s="4709">
        <f t="shared" si="183"/>
        <v>110.61415894679634</v>
      </c>
      <c r="BF144" s="4705">
        <f t="shared" ref="BF144:BG144" si="185">+BF121/BF135</f>
        <v>118.29652996845427</v>
      </c>
      <c r="BG144" s="4710">
        <f t="shared" si="185"/>
        <v>110.00655556046475</v>
      </c>
      <c r="BH144" s="1520"/>
      <c r="BI144" s="1520"/>
      <c r="BJ144" s="26"/>
      <c r="BK144" s="26"/>
      <c r="BL144" s="26"/>
      <c r="BM144" s="26"/>
      <c r="BN144" s="1202"/>
    </row>
    <row r="145" spans="2:66" ht="15" thickBot="1" x14ac:dyDescent="0.35"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  <c r="AB145" s="151"/>
      <c r="AC145" s="151"/>
      <c r="AD145" s="151"/>
      <c r="AE145" s="151"/>
      <c r="AF145" s="151"/>
      <c r="AG145" s="151"/>
      <c r="AH145" s="151"/>
      <c r="AI145" s="151"/>
      <c r="AJ145" s="151"/>
      <c r="AK145" s="151"/>
      <c r="AL145" s="151"/>
      <c r="AM145" s="151"/>
      <c r="AN145" s="151"/>
      <c r="AO145" s="151"/>
      <c r="AP145" s="151"/>
      <c r="AQ145" s="151"/>
      <c r="AR145" s="151"/>
      <c r="AS145" s="151"/>
      <c r="AT145" s="151"/>
      <c r="AU145" s="151"/>
      <c r="AV145" s="151"/>
      <c r="AW145" s="151"/>
      <c r="AX145" s="151"/>
      <c r="AY145" s="151"/>
      <c r="AZ145" s="151"/>
      <c r="BA145" s="151"/>
      <c r="BB145" s="151"/>
      <c r="BC145" s="151"/>
      <c r="BD145" s="151"/>
      <c r="BE145" s="151"/>
      <c r="BF145" s="151"/>
      <c r="BG145" s="151"/>
      <c r="BH145" s="1520"/>
      <c r="BI145" s="1520"/>
      <c r="BJ145" s="26"/>
      <c r="BK145" s="26"/>
      <c r="BL145" s="26"/>
      <c r="BM145" s="26"/>
      <c r="BN145" s="1202"/>
    </row>
    <row r="146" spans="2:66" x14ac:dyDescent="0.3">
      <c r="B146" s="1043" t="s">
        <v>801</v>
      </c>
      <c r="C146" s="1044"/>
      <c r="D146" s="1044"/>
      <c r="E146" s="811" t="s">
        <v>50</v>
      </c>
      <c r="F146" s="1044"/>
      <c r="G146" s="1574">
        <v>203.53699999999938</v>
      </c>
      <c r="H146" s="1044"/>
      <c r="I146" s="1574">
        <v>387.81699999999989</v>
      </c>
      <c r="J146" s="1046"/>
      <c r="K146" s="368">
        <f>+G146+I146</f>
        <v>591.35399999999925</v>
      </c>
      <c r="L146" s="1044"/>
      <c r="M146" s="1574">
        <v>351.1119999999998</v>
      </c>
      <c r="N146" s="1048"/>
      <c r="O146" s="613">
        <f>+G146+I146+M146</f>
        <v>942.46599999999899</v>
      </c>
      <c r="P146" s="1044"/>
      <c r="Q146" s="1574">
        <v>367.42799999999977</v>
      </c>
      <c r="R146" s="1046"/>
      <c r="S146" s="368">
        <f>+O146+Q146</f>
        <v>1309.8939999999989</v>
      </c>
      <c r="T146" s="1044"/>
      <c r="U146" s="1574">
        <v>413.38599999999991</v>
      </c>
      <c r="V146" s="1046"/>
      <c r="W146" s="368">
        <f>+S146+U146</f>
        <v>1723.2799999999988</v>
      </c>
      <c r="X146" s="1044"/>
      <c r="Y146" s="1574">
        <v>335.19200000000001</v>
      </c>
      <c r="Z146" s="1048"/>
      <c r="AA146" s="613">
        <f>+Q146+U146+Y146</f>
        <v>1116.0059999999996</v>
      </c>
      <c r="AB146" s="4621"/>
      <c r="AC146" s="1039">
        <f>+AA146+O146</f>
        <v>2058.4719999999988</v>
      </c>
      <c r="AD146" s="1044"/>
      <c r="AE146" s="1574">
        <v>347.14600000000013</v>
      </c>
      <c r="AF146" s="1046"/>
      <c r="AG146" s="368">
        <f>+AC146+AE146</f>
        <v>2405.617999999999</v>
      </c>
      <c r="AH146" s="1044"/>
      <c r="AI146" s="1574">
        <v>516.70599999999968</v>
      </c>
      <c r="AJ146" s="1046"/>
      <c r="AK146" s="368">
        <f>+AG146+AI146</f>
        <v>2922.3239999999987</v>
      </c>
      <c r="AL146" s="1044"/>
      <c r="AM146" s="1574">
        <v>569.00999999999942</v>
      </c>
      <c r="AN146" s="1048"/>
      <c r="AO146" s="613">
        <f>+AE146+AI146+AM146</f>
        <v>1432.8619999999992</v>
      </c>
      <c r="AP146" s="1046"/>
      <c r="AQ146" s="368">
        <f t="shared" ref="AQ146:AQ147" si="186">AK146+AM146</f>
        <v>3491.333999999998</v>
      </c>
      <c r="AR146" s="1044"/>
      <c r="AS146" s="1574">
        <v>372.17500000000001</v>
      </c>
      <c r="AT146" s="1046"/>
      <c r="AU146" s="368">
        <f>+AQ146+AS146</f>
        <v>3863.5089999999982</v>
      </c>
      <c r="AV146" s="1044"/>
      <c r="AW146" s="1574">
        <v>343.34599999999983</v>
      </c>
      <c r="AX146" s="1046"/>
      <c r="AY146" s="368">
        <f>+AU146+AW146</f>
        <v>4206.8549999999977</v>
      </c>
      <c r="AZ146" s="1044"/>
      <c r="BA146" s="1574">
        <v>411.54599999999954</v>
      </c>
      <c r="BB146" s="1048"/>
      <c r="BC146" s="613">
        <f>+AS146+AW146+BA146</f>
        <v>1127.0669999999993</v>
      </c>
      <c r="BD146" s="4622"/>
      <c r="BE146" s="4623">
        <f t="shared" ref="BE146:BE147" si="187">+AO146+BC146</f>
        <v>2559.9289999999983</v>
      </c>
      <c r="BF146" s="1046"/>
      <c r="BG146" s="42">
        <f>+AY146+BA146</f>
        <v>4618.4009999999971</v>
      </c>
      <c r="BH146" s="1520">
        <f t="shared" si="125"/>
        <v>0</v>
      </c>
      <c r="BI146" s="1520">
        <f t="shared" si="126"/>
        <v>0</v>
      </c>
      <c r="BJ146" s="26"/>
      <c r="BK146" s="26">
        <f t="shared" si="127"/>
        <v>0</v>
      </c>
      <c r="BL146" s="26">
        <f t="shared" si="128"/>
        <v>0</v>
      </c>
      <c r="BM146" s="26"/>
      <c r="BN146" s="1202"/>
    </row>
    <row r="147" spans="2:66" x14ac:dyDescent="0.3">
      <c r="B147" s="4653" t="s">
        <v>799</v>
      </c>
      <c r="C147" s="4635"/>
      <c r="D147" s="4635"/>
      <c r="E147" s="4443" t="s">
        <v>50</v>
      </c>
      <c r="F147" s="4635"/>
      <c r="G147" s="4667">
        <v>1027.2070000000001</v>
      </c>
      <c r="H147" s="4635"/>
      <c r="I147" s="4667">
        <v>1178.1529999999998</v>
      </c>
      <c r="J147" s="4646"/>
      <c r="K147" s="4506">
        <f>+G147+I147</f>
        <v>2205.3599999999997</v>
      </c>
      <c r="L147" s="4635"/>
      <c r="M147" s="4667">
        <v>1218.1929999999998</v>
      </c>
      <c r="N147" s="4647"/>
      <c r="O147" s="4513">
        <f>+G147+I147+M147</f>
        <v>3423.5529999999994</v>
      </c>
      <c r="P147" s="4635"/>
      <c r="Q147" s="4667">
        <v>1193.4615999999999</v>
      </c>
      <c r="R147" s="4646"/>
      <c r="S147" s="4506">
        <f>+O147+Q147</f>
        <v>4617.0145999999995</v>
      </c>
      <c r="T147" s="4635"/>
      <c r="U147" s="4667">
        <v>935.56900000000007</v>
      </c>
      <c r="V147" s="4646"/>
      <c r="W147" s="4506">
        <f>+S147+U147</f>
        <v>5552.5835999999999</v>
      </c>
      <c r="X147" s="4635"/>
      <c r="Y147" s="4667">
        <v>1042.048</v>
      </c>
      <c r="Z147" s="4647"/>
      <c r="AA147" s="4513">
        <f>+Q147+U147+Y147</f>
        <v>3171.0785999999998</v>
      </c>
      <c r="AB147" s="4617"/>
      <c r="AC147" s="4618">
        <f>+AA147+O147</f>
        <v>6594.6315999999988</v>
      </c>
      <c r="AD147" s="4635"/>
      <c r="AE147" s="4667">
        <v>616.35599999999954</v>
      </c>
      <c r="AF147" s="4646"/>
      <c r="AG147" s="4506">
        <f>+AC147+AE147</f>
        <v>7210.9875999999986</v>
      </c>
      <c r="AH147" s="4635"/>
      <c r="AI147" s="4667">
        <v>1025.548</v>
      </c>
      <c r="AJ147" s="4646"/>
      <c r="AK147" s="4506">
        <f>+AG147+AI147</f>
        <v>8236.5355999999992</v>
      </c>
      <c r="AL147" s="4635"/>
      <c r="AM147" s="4667">
        <v>1102.2280000000001</v>
      </c>
      <c r="AN147" s="4647"/>
      <c r="AO147" s="4513">
        <f>+AE147+AI147+AM147</f>
        <v>2744.1319999999996</v>
      </c>
      <c r="AP147" s="4646"/>
      <c r="AQ147" s="4506">
        <f t="shared" si="186"/>
        <v>9338.7635999999984</v>
      </c>
      <c r="AR147" s="4635"/>
      <c r="AS147" s="4667">
        <v>1176.5340000000015</v>
      </c>
      <c r="AT147" s="4646"/>
      <c r="AU147" s="4506">
        <f>+AQ147+AS147</f>
        <v>10515.2976</v>
      </c>
      <c r="AV147" s="4635"/>
      <c r="AW147" s="4667">
        <v>1123.5489999999991</v>
      </c>
      <c r="AX147" s="4646"/>
      <c r="AY147" s="4506">
        <f>+AU147+AW147</f>
        <v>11638.846599999999</v>
      </c>
      <c r="AZ147" s="4635"/>
      <c r="BA147" s="4667">
        <v>1307.7659999999917</v>
      </c>
      <c r="BB147" s="4647"/>
      <c r="BC147" s="4513">
        <f>+AS147+AW147+BA147</f>
        <v>3607.848999999992</v>
      </c>
      <c r="BD147" s="4619"/>
      <c r="BE147" s="4620">
        <f t="shared" si="187"/>
        <v>6351.9809999999916</v>
      </c>
      <c r="BF147" s="4646"/>
      <c r="BG147" s="4446">
        <f>+AY147+BA147</f>
        <v>12946.612599999991</v>
      </c>
      <c r="BH147" s="1520">
        <f t="shared" si="125"/>
        <v>0</v>
      </c>
      <c r="BI147" s="1520">
        <f t="shared" si="126"/>
        <v>0</v>
      </c>
      <c r="BJ147" s="26"/>
      <c r="BK147" s="26">
        <f t="shared" si="127"/>
        <v>0</v>
      </c>
      <c r="BL147" s="26">
        <f t="shared" si="128"/>
        <v>0</v>
      </c>
      <c r="BM147" s="26"/>
      <c r="BN147" s="1202"/>
    </row>
    <row r="148" spans="2:66" x14ac:dyDescent="0.3">
      <c r="B148" s="4676" t="s">
        <v>821</v>
      </c>
      <c r="C148" s="4668"/>
      <c r="D148" s="4668"/>
      <c r="E148" s="4449" t="s">
        <v>50</v>
      </c>
      <c r="F148" s="4635"/>
      <c r="G148" s="4667">
        <f>SUM(G146:G147)</f>
        <v>1230.7439999999995</v>
      </c>
      <c r="H148" s="4635"/>
      <c r="I148" s="4667">
        <f>SUM(I146:I147)</f>
        <v>1565.9699999999998</v>
      </c>
      <c r="J148" s="4646"/>
      <c r="K148" s="4636">
        <f>SUM(K146:K147)</f>
        <v>2796.713999999999</v>
      </c>
      <c r="L148" s="4635"/>
      <c r="M148" s="4667">
        <f>SUM(M146:M147)</f>
        <v>1569.3049999999996</v>
      </c>
      <c r="N148" s="4647"/>
      <c r="O148" s="4637">
        <f>SUM(O146:O147)</f>
        <v>4366.0189999999984</v>
      </c>
      <c r="P148" s="4635"/>
      <c r="Q148" s="4667">
        <f>SUM(Q146:Q147)</f>
        <v>1560.8895999999995</v>
      </c>
      <c r="R148" s="4646"/>
      <c r="S148" s="4636">
        <f>SUM(S146:S147)</f>
        <v>5926.9085999999988</v>
      </c>
      <c r="T148" s="4635"/>
      <c r="U148" s="4667">
        <f>SUM(U146:U147)</f>
        <v>1348.9549999999999</v>
      </c>
      <c r="V148" s="4646"/>
      <c r="W148" s="4636">
        <f>SUM(W146:W147)</f>
        <v>7275.8635999999988</v>
      </c>
      <c r="X148" s="4635"/>
      <c r="Y148" s="4667">
        <f>SUM(Y146:Y147)</f>
        <v>1377.24</v>
      </c>
      <c r="Z148" s="4647"/>
      <c r="AA148" s="4637">
        <f>SUM(AA146:AA147)</f>
        <v>4287.0845999999992</v>
      </c>
      <c r="AB148" s="4669"/>
      <c r="AC148" s="4638">
        <f>SUM(AC146:AC147)</f>
        <v>8653.1035999999986</v>
      </c>
      <c r="AD148" s="4635"/>
      <c r="AE148" s="4667">
        <f>SUM(AE146:AE147)</f>
        <v>963.50199999999973</v>
      </c>
      <c r="AF148" s="4646"/>
      <c r="AG148" s="4636">
        <f>SUM(AG146:AG147)</f>
        <v>9616.6055999999971</v>
      </c>
      <c r="AH148" s="4635"/>
      <c r="AI148" s="4667">
        <f>SUM(AI146:AI147)</f>
        <v>1542.2539999999997</v>
      </c>
      <c r="AJ148" s="4646"/>
      <c r="AK148" s="4636">
        <f>SUM(AK146:AK147)</f>
        <v>11158.859599999998</v>
      </c>
      <c r="AL148" s="4635"/>
      <c r="AM148" s="4667">
        <f>SUM(AM146:AM147)</f>
        <v>1671.2379999999994</v>
      </c>
      <c r="AN148" s="4647"/>
      <c r="AO148" s="4637">
        <f>SUM(AO146:AO147)</f>
        <v>4176.9939999999988</v>
      </c>
      <c r="AP148" s="4646"/>
      <c r="AQ148" s="4636">
        <f>SUM(AQ146:AQ147)</f>
        <v>12830.097599999997</v>
      </c>
      <c r="AR148" s="4635"/>
      <c r="AS148" s="4667">
        <f>SUM(AS146:AS147)</f>
        <v>1548.7090000000014</v>
      </c>
      <c r="AT148" s="4646"/>
      <c r="AU148" s="4636">
        <f>SUM(AU146:AU147)</f>
        <v>14378.806599999998</v>
      </c>
      <c r="AV148" s="4635"/>
      <c r="AW148" s="4667">
        <f>SUM(AW146:AW147)</f>
        <v>1466.8949999999988</v>
      </c>
      <c r="AX148" s="4646"/>
      <c r="AY148" s="4636">
        <f>SUM(AY146:AY147)</f>
        <v>15845.701599999997</v>
      </c>
      <c r="AZ148" s="4635"/>
      <c r="BA148" s="4667">
        <f>SUM(BA146:BA147)</f>
        <v>1719.3119999999913</v>
      </c>
      <c r="BB148" s="4647"/>
      <c r="BC148" s="4637">
        <f>SUM(BC146:BC147)</f>
        <v>4734.9159999999911</v>
      </c>
      <c r="BD148" s="4670"/>
      <c r="BE148" s="4639">
        <f>SUM(BE146:BE147)</f>
        <v>8911.9099999999889</v>
      </c>
      <c r="BF148" s="4646"/>
      <c r="BG148" s="4652">
        <f>SUM(BG146:BG147)</f>
        <v>17565.013599999987</v>
      </c>
      <c r="BH148" s="1520">
        <f t="shared" si="125"/>
        <v>0</v>
      </c>
      <c r="BI148" s="1520">
        <f t="shared" si="126"/>
        <v>0</v>
      </c>
      <c r="BJ148" s="26"/>
      <c r="BK148" s="26">
        <f t="shared" si="127"/>
        <v>0</v>
      </c>
      <c r="BL148" s="26">
        <f t="shared" si="128"/>
        <v>0</v>
      </c>
      <c r="BM148" s="26"/>
      <c r="BN148" s="1202"/>
    </row>
    <row r="149" spans="2:66" x14ac:dyDescent="0.3">
      <c r="B149" s="4676" t="s">
        <v>817</v>
      </c>
      <c r="C149" s="4668"/>
      <c r="D149" s="4668"/>
      <c r="E149" s="4449" t="s">
        <v>49</v>
      </c>
      <c r="F149" s="4635"/>
      <c r="G149" s="4671">
        <f>+G148/G7</f>
        <v>2.3291551848486736E-2</v>
      </c>
      <c r="H149" s="4635"/>
      <c r="I149" s="4671">
        <f>+I148/I7</f>
        <v>2.5684364894429577E-2</v>
      </c>
      <c r="J149" s="4646"/>
      <c r="K149" s="4672">
        <f>+K148/K7</f>
        <v>2.4573412414332307E-2</v>
      </c>
      <c r="L149" s="4635"/>
      <c r="M149" s="4671">
        <f>+M148/M7</f>
        <v>2.52215456532951E-2</v>
      </c>
      <c r="N149" s="4647"/>
      <c r="O149" s="4673">
        <f>+O148/O7</f>
        <v>2.4802504385340342E-2</v>
      </c>
      <c r="P149" s="4635"/>
      <c r="Q149" s="4671">
        <f>+Q148/Q7</f>
        <v>2.5604803295599134E-2</v>
      </c>
      <c r="R149" s="4646"/>
      <c r="S149" s="4672">
        <f>+S148/S7</f>
        <v>2.500887740228434E-2</v>
      </c>
      <c r="T149" s="4635"/>
      <c r="U149" s="4671">
        <f>+U148/U7</f>
        <v>2.8386668872581518E-2</v>
      </c>
      <c r="V149" s="4646"/>
      <c r="W149" s="4672">
        <f>+W148/W7</f>
        <v>2.5573052465095336E-2</v>
      </c>
      <c r="X149" s="4635"/>
      <c r="Y149" s="4671">
        <f>+Y148/Y7</f>
        <v>2.5886223577886818E-2</v>
      </c>
      <c r="Z149" s="4647"/>
      <c r="AA149" s="4673">
        <f>+AA148/AA7</f>
        <v>2.6515022040710566E-2</v>
      </c>
      <c r="AB149" s="4669"/>
      <c r="AC149" s="4674">
        <f>+AC148/AC7</f>
        <v>2.5622389193302661E-2</v>
      </c>
      <c r="AD149" s="4635"/>
      <c r="AE149" s="4671">
        <f>+AE148/AE7</f>
        <v>3.0264935903333578E-2</v>
      </c>
      <c r="AF149" s="4646"/>
      <c r="AG149" s="4672">
        <f>+AG148/AG7</f>
        <v>2.6022327943178405E-2</v>
      </c>
      <c r="AH149" s="4635"/>
      <c r="AI149" s="4671">
        <f>+AI148/AI7</f>
        <v>2.934322451910246E-2</v>
      </c>
      <c r="AJ149" s="4646"/>
      <c r="AK149" s="4672">
        <f>+AK148/AK7</f>
        <v>2.6435828918590299E-2</v>
      </c>
      <c r="AL149" s="4635"/>
      <c r="AM149" s="4671">
        <f>+AM148/AM7</f>
        <v>2.9443566940079921E-2</v>
      </c>
      <c r="AN149" s="4647"/>
      <c r="AO149" s="4673">
        <f>+AO148/AO7</f>
        <v>2.9591452536683615E-2</v>
      </c>
      <c r="AP149" s="4646"/>
      <c r="AQ149" s="4672">
        <f>+AQ148/AQ7</f>
        <v>2.6792336288214577E-2</v>
      </c>
      <c r="AR149" s="4635"/>
      <c r="AS149" s="4671">
        <f>+AS148/AS7</f>
        <v>2.5708320538315548E-2</v>
      </c>
      <c r="AT149" s="4646"/>
      <c r="AU149" s="4672">
        <f>+AU148/AU7</f>
        <v>2.6671206341774393E-2</v>
      </c>
      <c r="AV149" s="4635"/>
      <c r="AW149" s="4671">
        <f>+AW148/AW7</f>
        <v>2.5495263120737192E-2</v>
      </c>
      <c r="AX149" s="4646"/>
      <c r="AY149" s="4672">
        <f>+AY148/AY7</f>
        <v>2.655780801756271E-2</v>
      </c>
      <c r="AZ149" s="4635"/>
      <c r="BA149" s="4671">
        <f>+BA148/BA7</f>
        <v>2.5644292122021819E-2</v>
      </c>
      <c r="BB149" s="4647"/>
      <c r="BC149" s="4673">
        <f>+BC148/BC7</f>
        <v>2.561876834723209E-2</v>
      </c>
      <c r="BD149" s="4670"/>
      <c r="BE149" s="4675">
        <f>+BE148/BE7</f>
        <v>2.73390275102325E-2</v>
      </c>
      <c r="BF149" s="4646"/>
      <c r="BG149" s="4677">
        <f>+BG148/BG7</f>
        <v>2.646552704894628E-2</v>
      </c>
      <c r="BH149" s="1520"/>
      <c r="BI149" s="1520"/>
      <c r="BJ149" s="26"/>
      <c r="BK149" s="26">
        <f t="shared" si="127"/>
        <v>0</v>
      </c>
      <c r="BL149" s="26">
        <f t="shared" si="128"/>
        <v>0.138560575633358</v>
      </c>
      <c r="BM149" s="26"/>
      <c r="BN149" s="1202"/>
    </row>
    <row r="150" spans="2:66" x14ac:dyDescent="0.3">
      <c r="B150" s="4676" t="s">
        <v>820</v>
      </c>
      <c r="C150" s="4668"/>
      <c r="D150" s="4668"/>
      <c r="E150" s="4449" t="s">
        <v>50</v>
      </c>
      <c r="F150" s="4635"/>
      <c r="G150" s="4501">
        <f>+G122</f>
        <v>491.54999999999995</v>
      </c>
      <c r="H150" s="4635"/>
      <c r="I150" s="4501">
        <f>+I122</f>
        <v>373.24</v>
      </c>
      <c r="J150" s="4646"/>
      <c r="K150" s="4636">
        <f>+K122</f>
        <v>864.79</v>
      </c>
      <c r="L150" s="4635"/>
      <c r="M150" s="4501">
        <f>+M122</f>
        <v>134.80000000000001</v>
      </c>
      <c r="N150" s="4647"/>
      <c r="O150" s="4637">
        <f>+O122</f>
        <v>999.59000000000015</v>
      </c>
      <c r="P150" s="4635"/>
      <c r="Q150" s="4501">
        <f>+Q122</f>
        <v>254.89999999999998</v>
      </c>
      <c r="R150" s="4646"/>
      <c r="S150" s="4636">
        <f>+S122</f>
        <v>1254.49</v>
      </c>
      <c r="T150" s="4635"/>
      <c r="U150" s="4501">
        <f>+U122</f>
        <v>349.35999999999996</v>
      </c>
      <c r="V150" s="4646"/>
      <c r="W150" s="4636">
        <f>+W122</f>
        <v>1603.85</v>
      </c>
      <c r="X150" s="4635"/>
      <c r="Y150" s="4501">
        <f>+Y122</f>
        <v>238.58999999999997</v>
      </c>
      <c r="Z150" s="4647"/>
      <c r="AA150" s="4637">
        <f>+AA122</f>
        <v>842.85</v>
      </c>
      <c r="AB150" s="4669"/>
      <c r="AC150" s="4638">
        <f>+AC122</f>
        <v>1842.4399999999998</v>
      </c>
      <c r="AD150" s="4635"/>
      <c r="AE150" s="4501">
        <f>+AE122</f>
        <v>259.63000000000005</v>
      </c>
      <c r="AF150" s="4646"/>
      <c r="AG150" s="4636">
        <f>+AG122</f>
        <v>2102.0699999999997</v>
      </c>
      <c r="AH150" s="4635"/>
      <c r="AI150" s="4501">
        <f>+AI122</f>
        <v>383.84000000000003</v>
      </c>
      <c r="AJ150" s="4646"/>
      <c r="AK150" s="4636">
        <f>+AK122</f>
        <v>2485.91</v>
      </c>
      <c r="AL150" s="4635"/>
      <c r="AM150" s="4501">
        <f>+AM122</f>
        <v>401.87999999999994</v>
      </c>
      <c r="AN150" s="4647"/>
      <c r="AO150" s="4637">
        <f>+AO122</f>
        <v>1045.3499999999999</v>
      </c>
      <c r="AP150" s="4646"/>
      <c r="AQ150" s="4636">
        <f>+AQ122</f>
        <v>2887.7899999999995</v>
      </c>
      <c r="AR150" s="4635"/>
      <c r="AS150" s="4501">
        <f>+AS122</f>
        <v>712.26999999999987</v>
      </c>
      <c r="AT150" s="4646"/>
      <c r="AU150" s="4636">
        <f>+AU122</f>
        <v>3600.0599999999995</v>
      </c>
      <c r="AV150" s="4635"/>
      <c r="AW150" s="4501">
        <f>+AW122</f>
        <v>53.21</v>
      </c>
      <c r="AX150" s="4646"/>
      <c r="AY150" s="4636">
        <f>+AY122</f>
        <v>3653.2699999999995</v>
      </c>
      <c r="AZ150" s="4635"/>
      <c r="BA150" s="4501">
        <f>+BA122</f>
        <v>174.48999999999998</v>
      </c>
      <c r="BB150" s="4647"/>
      <c r="BC150" s="4637">
        <f>+BC122</f>
        <v>939.96999999999991</v>
      </c>
      <c r="BD150" s="4670"/>
      <c r="BE150" s="4639">
        <f>+BE122</f>
        <v>1985.3200000000004</v>
      </c>
      <c r="BF150" s="4646"/>
      <c r="BG150" s="4652">
        <f>+BG122</f>
        <v>3827.76</v>
      </c>
      <c r="BH150" s="1520">
        <f t="shared" si="125"/>
        <v>0</v>
      </c>
      <c r="BI150" s="1520">
        <f t="shared" si="126"/>
        <v>0</v>
      </c>
      <c r="BJ150" s="26"/>
      <c r="BK150" s="26">
        <f t="shared" si="127"/>
        <v>0</v>
      </c>
      <c r="BL150" s="26">
        <f t="shared" si="128"/>
        <v>0</v>
      </c>
      <c r="BM150" s="26"/>
      <c r="BN150" s="1202"/>
    </row>
    <row r="151" spans="2:66" x14ac:dyDescent="0.3">
      <c r="B151" s="4653" t="s">
        <v>1577</v>
      </c>
      <c r="C151" s="4635"/>
      <c r="D151" s="4635"/>
      <c r="E151" s="4443" t="s">
        <v>50</v>
      </c>
      <c r="F151" s="4635"/>
      <c r="G151" s="4501">
        <v>1023.3239999999997</v>
      </c>
      <c r="H151" s="4635"/>
      <c r="I151" s="4501">
        <v>1166.4859999999996</v>
      </c>
      <c r="J151" s="4646"/>
      <c r="K151" s="4506">
        <f>+G151+I151</f>
        <v>2189.8099999999995</v>
      </c>
      <c r="L151" s="4635"/>
      <c r="M151" s="4501">
        <v>1204.0310000000004</v>
      </c>
      <c r="N151" s="4647"/>
      <c r="O151" s="4513">
        <f>+G151+I151+M151</f>
        <v>3393.8409999999999</v>
      </c>
      <c r="P151" s="4635"/>
      <c r="Q151" s="4501">
        <v>1118.3079999999998</v>
      </c>
      <c r="R151" s="4646"/>
      <c r="S151" s="4506">
        <f>+O151+Q151</f>
        <v>4512.1489999999994</v>
      </c>
      <c r="T151" s="4635"/>
      <c r="U151" s="4501">
        <v>907.54300000000012</v>
      </c>
      <c r="V151" s="4646"/>
      <c r="W151" s="4506">
        <f>+S151+U151</f>
        <v>5419.6919999999991</v>
      </c>
      <c r="X151" s="4635"/>
      <c r="Y151" s="4501">
        <v>976.91400000000021</v>
      </c>
      <c r="Z151" s="4647"/>
      <c r="AA151" s="4513">
        <f>+Q151+U151+Y151</f>
        <v>3002.7650000000003</v>
      </c>
      <c r="AB151" s="4617"/>
      <c r="AC151" s="4618">
        <f>+AA151+O151</f>
        <v>6396.6059999999998</v>
      </c>
      <c r="AD151" s="4635"/>
      <c r="AE151" s="4501">
        <v>515.43199999999979</v>
      </c>
      <c r="AF151" s="4646"/>
      <c r="AG151" s="4506">
        <f>+AC151+AE151</f>
        <v>6912.0379999999996</v>
      </c>
      <c r="AH151" s="4635"/>
      <c r="AI151" s="4501">
        <v>890.24199999999996</v>
      </c>
      <c r="AJ151" s="4646"/>
      <c r="AK151" s="4506">
        <f>+AG151+AI151</f>
        <v>7802.28</v>
      </c>
      <c r="AL151" s="4635"/>
      <c r="AM151" s="4501">
        <v>964.4580000000002</v>
      </c>
      <c r="AN151" s="4647"/>
      <c r="AO151" s="4513">
        <f>+AE151+AI151+AM151</f>
        <v>2370.1320000000001</v>
      </c>
      <c r="AP151" s="4646"/>
      <c r="AQ151" s="4506">
        <f t="shared" ref="AQ151:AQ152" si="188">AK151+AM151</f>
        <v>8766.7379999999994</v>
      </c>
      <c r="AR151" s="4635"/>
      <c r="AS151" s="4501">
        <v>1009.8730000000003</v>
      </c>
      <c r="AT151" s="4646"/>
      <c r="AU151" s="4506">
        <f>+AQ151+AS151</f>
        <v>9776.610999999999</v>
      </c>
      <c r="AV151" s="4635"/>
      <c r="AW151" s="4501">
        <v>898.08999999999992</v>
      </c>
      <c r="AX151" s="4646"/>
      <c r="AY151" s="4506">
        <f>+AU151+AW151</f>
        <v>10674.700999999999</v>
      </c>
      <c r="AZ151" s="4635"/>
      <c r="BA151" s="4501">
        <v>1001.3320000000001</v>
      </c>
      <c r="BB151" s="4647"/>
      <c r="BC151" s="4513">
        <f>+AS151+AW151+BA151</f>
        <v>2909.2950000000001</v>
      </c>
      <c r="BD151" s="4619"/>
      <c r="BE151" s="4620">
        <f t="shared" ref="BE151:BE152" si="189">+AO151+BC151</f>
        <v>5279.4269999999997</v>
      </c>
      <c r="BF151" s="4646"/>
      <c r="BG151" s="4446">
        <f>+AY151+BA151</f>
        <v>11676.032999999999</v>
      </c>
      <c r="BH151" s="1520">
        <f t="shared" si="125"/>
        <v>0</v>
      </c>
      <c r="BI151" s="1520">
        <f t="shared" si="126"/>
        <v>0</v>
      </c>
      <c r="BJ151" s="26"/>
      <c r="BK151" s="26">
        <f t="shared" si="127"/>
        <v>0</v>
      </c>
      <c r="BL151" s="26">
        <f t="shared" si="128"/>
        <v>0</v>
      </c>
      <c r="BM151" s="26"/>
      <c r="BN151" s="1202"/>
    </row>
    <row r="152" spans="2:66" ht="15" thickBot="1" x14ac:dyDescent="0.35">
      <c r="B152" s="4654" t="s">
        <v>1083</v>
      </c>
      <c r="C152" s="4655"/>
      <c r="D152" s="4655"/>
      <c r="E152" s="4457" t="s">
        <v>50</v>
      </c>
      <c r="F152" s="4655"/>
      <c r="G152" s="4657">
        <v>551.3950000000001</v>
      </c>
      <c r="H152" s="4655"/>
      <c r="I152" s="4657">
        <v>644.9369999999999</v>
      </c>
      <c r="J152" s="4678"/>
      <c r="K152" s="4520">
        <f>+G152+I152</f>
        <v>1196.3319999999999</v>
      </c>
      <c r="L152" s="4655"/>
      <c r="M152" s="4657">
        <v>638.04100000000005</v>
      </c>
      <c r="N152" s="4679"/>
      <c r="O152" s="4522">
        <f>+G152+I152+M152</f>
        <v>1834.373</v>
      </c>
      <c r="P152" s="4655"/>
      <c r="Q152" s="4657">
        <v>699.32739999999978</v>
      </c>
      <c r="R152" s="4678"/>
      <c r="S152" s="4520">
        <f>+O152+Q152</f>
        <v>2533.7003999999997</v>
      </c>
      <c r="T152" s="4655"/>
      <c r="U152" s="4657">
        <v>508.57100000000008</v>
      </c>
      <c r="V152" s="4678"/>
      <c r="W152" s="4520">
        <f>+S152+U152</f>
        <v>3042.2713999999996</v>
      </c>
      <c r="X152" s="4655"/>
      <c r="Y152" s="4657">
        <v>614.12900000000002</v>
      </c>
      <c r="Z152" s="4679"/>
      <c r="AA152" s="4522">
        <f>+Q152+U152+Y152</f>
        <v>1822.0273999999999</v>
      </c>
      <c r="AB152" s="4631"/>
      <c r="AC152" s="4632">
        <f>+AA152+O152</f>
        <v>3656.4004</v>
      </c>
      <c r="AD152" s="4655"/>
      <c r="AE152" s="4657">
        <v>437.12600000000003</v>
      </c>
      <c r="AF152" s="4678"/>
      <c r="AG152" s="4520">
        <f>+AC152+AE152</f>
        <v>4093.5264000000002</v>
      </c>
      <c r="AH152" s="4655"/>
      <c r="AI152" s="4657">
        <v>682.73799999999983</v>
      </c>
      <c r="AJ152" s="4678"/>
      <c r="AK152" s="4520">
        <f>+AG152+AI152</f>
        <v>4776.2644</v>
      </c>
      <c r="AL152" s="4655"/>
      <c r="AM152" s="4657">
        <v>735.96199999999988</v>
      </c>
      <c r="AN152" s="4679"/>
      <c r="AO152" s="4522">
        <f>+AE152+AI152+AM152</f>
        <v>1855.8259999999996</v>
      </c>
      <c r="AP152" s="4678"/>
      <c r="AQ152" s="4520">
        <f t="shared" si="188"/>
        <v>5512.2263999999996</v>
      </c>
      <c r="AR152" s="4655"/>
      <c r="AS152" s="4657">
        <v>800.71699999999998</v>
      </c>
      <c r="AT152" s="4678"/>
      <c r="AU152" s="4520">
        <f>+AQ152+AS152</f>
        <v>6312.9433999999992</v>
      </c>
      <c r="AV152" s="4655"/>
      <c r="AW152" s="4657">
        <v>838.3889999999999</v>
      </c>
      <c r="AX152" s="4678"/>
      <c r="AY152" s="4520">
        <f>+AU152+AW152</f>
        <v>7151.3323999999993</v>
      </c>
      <c r="AZ152" s="4655"/>
      <c r="BA152" s="4657">
        <v>1029.347</v>
      </c>
      <c r="BB152" s="4679"/>
      <c r="BC152" s="4522">
        <f>+AS152+AW152+BA152</f>
        <v>2668.4529999999995</v>
      </c>
      <c r="BD152" s="4633"/>
      <c r="BE152" s="4634">
        <f t="shared" si="189"/>
        <v>4524.2789999999986</v>
      </c>
      <c r="BF152" s="4678"/>
      <c r="BG152" s="4521">
        <f>+AY152+BA152</f>
        <v>8180.6793999999991</v>
      </c>
      <c r="BH152" s="1520">
        <f t="shared" si="125"/>
        <v>0</v>
      </c>
      <c r="BI152" s="1520">
        <f t="shared" si="126"/>
        <v>0</v>
      </c>
      <c r="BJ152" s="26"/>
      <c r="BK152" s="26">
        <f t="shared" si="127"/>
        <v>0</v>
      </c>
      <c r="BL152" s="26">
        <f t="shared" si="128"/>
        <v>0</v>
      </c>
      <c r="BM152" s="26"/>
      <c r="BN152" s="1202"/>
    </row>
    <row r="153" spans="2:66" ht="18.600000000000001" thickBot="1" x14ac:dyDescent="0.4">
      <c r="B153" s="875" t="s">
        <v>822</v>
      </c>
      <c r="C153" s="875"/>
      <c r="D153" s="875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  <c r="AA153" s="151"/>
      <c r="AB153" s="151"/>
      <c r="AC153" s="151"/>
      <c r="AD153" s="151"/>
      <c r="AE153" s="151"/>
      <c r="AF153" s="151"/>
      <c r="AG153" s="151"/>
      <c r="AH153" s="151"/>
      <c r="AI153" s="151"/>
      <c r="AJ153" s="151"/>
      <c r="AK153" s="151"/>
      <c r="AL153" s="151"/>
      <c r="AM153" s="151"/>
      <c r="AN153" s="151"/>
      <c r="AO153" s="151"/>
      <c r="AP153" s="151"/>
      <c r="AQ153" s="151"/>
      <c r="AR153" s="151"/>
      <c r="AS153" s="151"/>
      <c r="AT153" s="151"/>
      <c r="AU153" s="151"/>
      <c r="AV153" s="151"/>
      <c r="AW153" s="151"/>
      <c r="AX153" s="151"/>
      <c r="AY153" s="151"/>
      <c r="AZ153" s="151"/>
      <c r="BA153" s="151"/>
      <c r="BB153" s="151"/>
      <c r="BC153" s="151"/>
      <c r="BD153" s="151"/>
      <c r="BE153" s="151"/>
      <c r="BF153" s="151"/>
      <c r="BG153" s="151"/>
      <c r="BH153" s="1520">
        <f t="shared" si="125"/>
        <v>0</v>
      </c>
      <c r="BI153" s="1520">
        <f t="shared" si="126"/>
        <v>0</v>
      </c>
      <c r="BJ153" s="26"/>
      <c r="BK153" s="26">
        <f t="shared" si="127"/>
        <v>0</v>
      </c>
      <c r="BL153" s="26">
        <f t="shared" si="128"/>
        <v>0</v>
      </c>
      <c r="BM153" s="26"/>
      <c r="BN153" s="1202"/>
    </row>
    <row r="154" spans="2:66" x14ac:dyDescent="0.3">
      <c r="B154" s="1043" t="s">
        <v>823</v>
      </c>
      <c r="C154" s="1044"/>
      <c r="D154" s="1044"/>
      <c r="E154" s="811" t="s">
        <v>50</v>
      </c>
      <c r="F154" s="1061"/>
      <c r="G154" s="1045">
        <f>+G7</f>
        <v>52840.79</v>
      </c>
      <c r="H154" s="1061"/>
      <c r="I154" s="1045">
        <f>+I7</f>
        <v>60969.777000000002</v>
      </c>
      <c r="J154" s="1062"/>
      <c r="K154" s="1047">
        <f>+K7</f>
        <v>113810.56700000001</v>
      </c>
      <c r="L154" s="1061"/>
      <c r="M154" s="1045">
        <f>+M7</f>
        <v>62220.809999999976</v>
      </c>
      <c r="N154" s="1063"/>
      <c r="O154" s="1064">
        <f>+O7</f>
        <v>176031.37699999998</v>
      </c>
      <c r="P154" s="1061"/>
      <c r="Q154" s="1045">
        <f>+Q7</f>
        <v>60960.812000000013</v>
      </c>
      <c r="R154" s="1062"/>
      <c r="S154" s="1047">
        <f>+S7</f>
        <v>236992.18899999998</v>
      </c>
      <c r="T154" s="1061"/>
      <c r="U154" s="1045">
        <f>+U7</f>
        <v>47520.722000000009</v>
      </c>
      <c r="V154" s="1062"/>
      <c r="W154" s="1047">
        <f>+W7</f>
        <v>284512.91099999996</v>
      </c>
      <c r="X154" s="1061"/>
      <c r="Y154" s="1045">
        <f>+Y7</f>
        <v>53203.589000000007</v>
      </c>
      <c r="Z154" s="1063"/>
      <c r="AA154" s="1064">
        <f>+AA7</f>
        <v>161685.12300000002</v>
      </c>
      <c r="AB154" s="4648"/>
      <c r="AC154" s="1067">
        <f>+AC7</f>
        <v>337716.5</v>
      </c>
      <c r="AD154" s="1061"/>
      <c r="AE154" s="1045">
        <f>+AE7</f>
        <v>31835.587</v>
      </c>
      <c r="AF154" s="1062"/>
      <c r="AG154" s="1047">
        <f>+AG7</f>
        <v>369552.087</v>
      </c>
      <c r="AH154" s="1061"/>
      <c r="AI154" s="1045">
        <f>+AI7</f>
        <v>52559.118000000009</v>
      </c>
      <c r="AJ154" s="1062"/>
      <c r="AK154" s="1047">
        <f>+AK7</f>
        <v>422111.20500000002</v>
      </c>
      <c r="AL154" s="1061"/>
      <c r="AM154" s="1045">
        <f>+AM7</f>
        <v>56760.718000000001</v>
      </c>
      <c r="AN154" s="1063"/>
      <c r="AO154" s="1064">
        <f>+AO7</f>
        <v>141155.42300000001</v>
      </c>
      <c r="AP154" s="1062"/>
      <c r="AQ154" s="1047">
        <f>+AQ7</f>
        <v>478871.92300000001</v>
      </c>
      <c r="AR154" s="1061"/>
      <c r="AS154" s="1045">
        <f>+AS7</f>
        <v>60241.546999999999</v>
      </c>
      <c r="AT154" s="1062"/>
      <c r="AU154" s="1047">
        <f>+AU7</f>
        <v>539113.47</v>
      </c>
      <c r="AV154" s="1061"/>
      <c r="AW154" s="1045">
        <f>+AW7</f>
        <v>57535.981999999996</v>
      </c>
      <c r="AX154" s="1062"/>
      <c r="AY154" s="1047">
        <f>+AY7</f>
        <v>596649.45199999993</v>
      </c>
      <c r="AZ154" s="1061"/>
      <c r="BA154" s="1045">
        <f>+BA7</f>
        <v>67044.626999999993</v>
      </c>
      <c r="BB154" s="1063"/>
      <c r="BC154" s="1064">
        <f>+BC7</f>
        <v>184822.15599999999</v>
      </c>
      <c r="BD154" s="4649"/>
      <c r="BE154" s="4650">
        <f>+BE7</f>
        <v>325977.57900000003</v>
      </c>
      <c r="BF154" s="1062"/>
      <c r="BG154" s="1068">
        <f>+BG7</f>
        <v>663694.07899999991</v>
      </c>
      <c r="BH154" s="1520">
        <f t="shared" si="125"/>
        <v>0</v>
      </c>
      <c r="BI154" s="1520">
        <f t="shared" si="126"/>
        <v>0</v>
      </c>
      <c r="BJ154" s="26"/>
      <c r="BK154" s="26">
        <f t="shared" si="127"/>
        <v>0</v>
      </c>
      <c r="BL154" s="26">
        <f t="shared" si="128"/>
        <v>0</v>
      </c>
      <c r="BM154" s="26"/>
      <c r="BN154" s="1202"/>
    </row>
    <row r="155" spans="2:66" x14ac:dyDescent="0.3">
      <c r="B155" s="4651" t="s">
        <v>828</v>
      </c>
      <c r="C155" s="4645"/>
      <c r="D155" s="4645"/>
      <c r="E155" s="4443" t="s">
        <v>50</v>
      </c>
      <c r="F155" s="4640"/>
      <c r="G155" s="4501">
        <f>+G148</f>
        <v>1230.7439999999995</v>
      </c>
      <c r="H155" s="4640"/>
      <c r="I155" s="4501">
        <f>+I148</f>
        <v>1565.9699999999998</v>
      </c>
      <c r="J155" s="4641"/>
      <c r="K155" s="4636">
        <f>+K148</f>
        <v>2796.713999999999</v>
      </c>
      <c r="L155" s="4640"/>
      <c r="M155" s="4501">
        <f>+M148</f>
        <v>1569.3049999999996</v>
      </c>
      <c r="N155" s="4642"/>
      <c r="O155" s="4637">
        <f>+O148</f>
        <v>4366.0189999999984</v>
      </c>
      <c r="P155" s="4640"/>
      <c r="Q155" s="4501">
        <f>+Q148</f>
        <v>1560.8895999999995</v>
      </c>
      <c r="R155" s="4641"/>
      <c r="S155" s="4636">
        <f>+S148</f>
        <v>5926.9085999999988</v>
      </c>
      <c r="T155" s="4640"/>
      <c r="U155" s="4501">
        <f>+U148</f>
        <v>1348.9549999999999</v>
      </c>
      <c r="V155" s="4641"/>
      <c r="W155" s="4636">
        <f>+W148</f>
        <v>7275.8635999999988</v>
      </c>
      <c r="X155" s="4640"/>
      <c r="Y155" s="4501">
        <f>+Y148</f>
        <v>1377.24</v>
      </c>
      <c r="Z155" s="4642"/>
      <c r="AA155" s="4637">
        <f>+AA148</f>
        <v>4287.0845999999992</v>
      </c>
      <c r="AB155" s="4643"/>
      <c r="AC155" s="4638">
        <f>+AC148</f>
        <v>8653.1035999999986</v>
      </c>
      <c r="AD155" s="4640"/>
      <c r="AE155" s="4501">
        <f>+AE148</f>
        <v>963.50199999999973</v>
      </c>
      <c r="AF155" s="4641"/>
      <c r="AG155" s="4636">
        <f>+AG148</f>
        <v>9616.6055999999971</v>
      </c>
      <c r="AH155" s="4640"/>
      <c r="AI155" s="4501">
        <f>+AI148</f>
        <v>1542.2539999999997</v>
      </c>
      <c r="AJ155" s="4641"/>
      <c r="AK155" s="4636">
        <f>+AK148</f>
        <v>11158.859599999998</v>
      </c>
      <c r="AL155" s="4640"/>
      <c r="AM155" s="4501">
        <f>+AM148</f>
        <v>1671.2379999999994</v>
      </c>
      <c r="AN155" s="4642"/>
      <c r="AO155" s="4637">
        <f>+AO148</f>
        <v>4176.9939999999988</v>
      </c>
      <c r="AP155" s="4641"/>
      <c r="AQ155" s="4636">
        <f>+AQ148</f>
        <v>12830.097599999997</v>
      </c>
      <c r="AR155" s="4640"/>
      <c r="AS155" s="4501">
        <f>+AS148</f>
        <v>1548.7090000000014</v>
      </c>
      <c r="AT155" s="4641"/>
      <c r="AU155" s="4636">
        <f>+AU148</f>
        <v>14378.806599999998</v>
      </c>
      <c r="AV155" s="4640"/>
      <c r="AW155" s="4501">
        <f>+AW148</f>
        <v>1466.8949999999988</v>
      </c>
      <c r="AX155" s="4641"/>
      <c r="AY155" s="4636">
        <f>+AY148</f>
        <v>15845.701599999997</v>
      </c>
      <c r="AZ155" s="4640"/>
      <c r="BA155" s="4501">
        <f>+BA148</f>
        <v>1719.3119999999913</v>
      </c>
      <c r="BB155" s="4642"/>
      <c r="BC155" s="4637">
        <f>+BC148</f>
        <v>4734.9159999999911</v>
      </c>
      <c r="BD155" s="4644"/>
      <c r="BE155" s="4639">
        <f>+BE148</f>
        <v>8911.9099999999889</v>
      </c>
      <c r="BF155" s="4641"/>
      <c r="BG155" s="4652">
        <f>+BG148</f>
        <v>17565.013599999987</v>
      </c>
      <c r="BH155" s="1520">
        <f t="shared" si="125"/>
        <v>0</v>
      </c>
      <c r="BI155" s="1520">
        <f t="shared" si="126"/>
        <v>0</v>
      </c>
      <c r="BJ155" s="26"/>
      <c r="BK155" s="26">
        <f t="shared" si="127"/>
        <v>0</v>
      </c>
      <c r="BL155" s="26">
        <f t="shared" si="128"/>
        <v>0</v>
      </c>
      <c r="BM155" s="26"/>
      <c r="BN155" s="1202"/>
    </row>
    <row r="156" spans="2:66" x14ac:dyDescent="0.3">
      <c r="B156" s="4653" t="s">
        <v>800</v>
      </c>
      <c r="C156" s="4635"/>
      <c r="D156" s="4635"/>
      <c r="E156" s="4443" t="s">
        <v>50</v>
      </c>
      <c r="F156" s="4640"/>
      <c r="G156" s="4501">
        <f>+G151</f>
        <v>1023.3239999999997</v>
      </c>
      <c r="H156" s="4640"/>
      <c r="I156" s="4501">
        <f>+I151</f>
        <v>1166.4859999999996</v>
      </c>
      <c r="J156" s="4641"/>
      <c r="K156" s="4636">
        <f>+K151</f>
        <v>2189.8099999999995</v>
      </c>
      <c r="L156" s="4640"/>
      <c r="M156" s="4501">
        <f>+M151</f>
        <v>1204.0310000000004</v>
      </c>
      <c r="N156" s="4642"/>
      <c r="O156" s="4637">
        <f>+O151</f>
        <v>3393.8409999999999</v>
      </c>
      <c r="P156" s="4640"/>
      <c r="Q156" s="4501">
        <f>+Q151</f>
        <v>1118.3079999999998</v>
      </c>
      <c r="R156" s="4641"/>
      <c r="S156" s="4636">
        <f>+S151</f>
        <v>4512.1489999999994</v>
      </c>
      <c r="T156" s="4640"/>
      <c r="U156" s="4501">
        <f>+U151</f>
        <v>907.54300000000012</v>
      </c>
      <c r="V156" s="4641"/>
      <c r="W156" s="4636">
        <f>+W151</f>
        <v>5419.6919999999991</v>
      </c>
      <c r="X156" s="4640"/>
      <c r="Y156" s="4501">
        <f>+Y151</f>
        <v>976.91400000000021</v>
      </c>
      <c r="Z156" s="4642"/>
      <c r="AA156" s="4637">
        <f>+AA151</f>
        <v>3002.7650000000003</v>
      </c>
      <c r="AB156" s="4643"/>
      <c r="AC156" s="4638">
        <f>+AC151</f>
        <v>6396.6059999999998</v>
      </c>
      <c r="AD156" s="4640"/>
      <c r="AE156" s="4501">
        <f>+AE151</f>
        <v>515.43199999999979</v>
      </c>
      <c r="AF156" s="4641"/>
      <c r="AG156" s="4636">
        <f>+AG151</f>
        <v>6912.0379999999996</v>
      </c>
      <c r="AH156" s="4640"/>
      <c r="AI156" s="4501">
        <f>+AI151</f>
        <v>890.24199999999996</v>
      </c>
      <c r="AJ156" s="4641"/>
      <c r="AK156" s="4636">
        <f>+AK151</f>
        <v>7802.28</v>
      </c>
      <c r="AL156" s="4640"/>
      <c r="AM156" s="4501">
        <f>+AM151</f>
        <v>964.4580000000002</v>
      </c>
      <c r="AN156" s="4642"/>
      <c r="AO156" s="4637">
        <f>+AO151</f>
        <v>2370.1320000000001</v>
      </c>
      <c r="AP156" s="4641"/>
      <c r="AQ156" s="4636">
        <f>+AQ151</f>
        <v>8766.7379999999994</v>
      </c>
      <c r="AR156" s="4640"/>
      <c r="AS156" s="4501">
        <f>+AS151</f>
        <v>1009.8730000000003</v>
      </c>
      <c r="AT156" s="4641"/>
      <c r="AU156" s="4636">
        <f>+AU151</f>
        <v>9776.610999999999</v>
      </c>
      <c r="AV156" s="4640"/>
      <c r="AW156" s="4501">
        <f>+AW151</f>
        <v>898.08999999999992</v>
      </c>
      <c r="AX156" s="4641"/>
      <c r="AY156" s="4636">
        <f>+AY151</f>
        <v>10674.700999999999</v>
      </c>
      <c r="AZ156" s="4640"/>
      <c r="BA156" s="4501">
        <f>+BA151</f>
        <v>1001.3320000000001</v>
      </c>
      <c r="BB156" s="4642"/>
      <c r="BC156" s="4637">
        <f>+BC151</f>
        <v>2909.2950000000001</v>
      </c>
      <c r="BD156" s="4644"/>
      <c r="BE156" s="4639">
        <f>+BE151</f>
        <v>5279.4269999999997</v>
      </c>
      <c r="BF156" s="4641"/>
      <c r="BG156" s="4652">
        <f>+BG151</f>
        <v>11676.032999999999</v>
      </c>
      <c r="BH156" s="1520">
        <f t="shared" si="125"/>
        <v>0</v>
      </c>
      <c r="BI156" s="1520">
        <f t="shared" si="126"/>
        <v>0</v>
      </c>
      <c r="BJ156" s="26"/>
      <c r="BK156" s="26">
        <f t="shared" si="127"/>
        <v>0</v>
      </c>
      <c r="BL156" s="26">
        <f t="shared" si="128"/>
        <v>0</v>
      </c>
      <c r="BM156" s="26"/>
      <c r="BN156" s="1202"/>
    </row>
    <row r="157" spans="2:66" x14ac:dyDescent="0.3">
      <c r="B157" s="4653" t="s">
        <v>1083</v>
      </c>
      <c r="C157" s="4635"/>
      <c r="D157" s="4635"/>
      <c r="E157" s="4443" t="s">
        <v>50</v>
      </c>
      <c r="F157" s="4635"/>
      <c r="G157" s="4501">
        <f>+G152</f>
        <v>551.3950000000001</v>
      </c>
      <c r="H157" s="4635"/>
      <c r="I157" s="4501">
        <f>+I152</f>
        <v>644.9369999999999</v>
      </c>
      <c r="J157" s="4646"/>
      <c r="K157" s="4506">
        <f>+G157+I157</f>
        <v>1196.3319999999999</v>
      </c>
      <c r="L157" s="4635"/>
      <c r="M157" s="4501">
        <f>+M152</f>
        <v>638.04100000000005</v>
      </c>
      <c r="N157" s="4647"/>
      <c r="O157" s="4513">
        <f>+G157+I157+M157</f>
        <v>1834.373</v>
      </c>
      <c r="P157" s="4635"/>
      <c r="Q157" s="4501">
        <f>+Q152</f>
        <v>699.32739999999978</v>
      </c>
      <c r="R157" s="4646"/>
      <c r="S157" s="4506">
        <f>+O157+Q157</f>
        <v>2533.7003999999997</v>
      </c>
      <c r="T157" s="4635"/>
      <c r="U157" s="4501">
        <f>+U152</f>
        <v>508.57100000000008</v>
      </c>
      <c r="V157" s="4646"/>
      <c r="W157" s="4506">
        <f>+S157+U157</f>
        <v>3042.2713999999996</v>
      </c>
      <c r="X157" s="4635"/>
      <c r="Y157" s="4501">
        <f>+Y152</f>
        <v>614.12900000000002</v>
      </c>
      <c r="Z157" s="4647"/>
      <c r="AA157" s="4513">
        <f>+Q157+U157+Y157</f>
        <v>1822.0273999999999</v>
      </c>
      <c r="AB157" s="4617"/>
      <c r="AC157" s="4618">
        <f>+AA157+O157</f>
        <v>3656.4004</v>
      </c>
      <c r="AD157" s="4635"/>
      <c r="AE157" s="4501">
        <f>+AE152</f>
        <v>437.12600000000003</v>
      </c>
      <c r="AF157" s="4646"/>
      <c r="AG157" s="4506">
        <f>+AC157+AE157</f>
        <v>4093.5264000000002</v>
      </c>
      <c r="AH157" s="4635"/>
      <c r="AI157" s="4501">
        <f>+AI152</f>
        <v>682.73799999999983</v>
      </c>
      <c r="AJ157" s="4646"/>
      <c r="AK157" s="4506">
        <f>+AG157+AI157</f>
        <v>4776.2644</v>
      </c>
      <c r="AL157" s="4635"/>
      <c r="AM157" s="4501">
        <f>+AM152</f>
        <v>735.96199999999988</v>
      </c>
      <c r="AN157" s="4647"/>
      <c r="AO157" s="4513">
        <f>+AE157+AI157+AM157</f>
        <v>1855.8259999999996</v>
      </c>
      <c r="AP157" s="4646"/>
      <c r="AQ157" s="4506">
        <f t="shared" ref="AQ157" si="190">AK157+AM157</f>
        <v>5512.2263999999996</v>
      </c>
      <c r="AR157" s="4635"/>
      <c r="AS157" s="4501">
        <f>+AS152</f>
        <v>800.71699999999998</v>
      </c>
      <c r="AT157" s="4646"/>
      <c r="AU157" s="4506">
        <f>+AQ157+AS157</f>
        <v>6312.9433999999992</v>
      </c>
      <c r="AV157" s="4635"/>
      <c r="AW157" s="4501">
        <f>+AW152</f>
        <v>838.3889999999999</v>
      </c>
      <c r="AX157" s="4646"/>
      <c r="AY157" s="4506">
        <f>+AU157+AW157</f>
        <v>7151.3323999999993</v>
      </c>
      <c r="AZ157" s="4635"/>
      <c r="BA157" s="4501">
        <f>+BA152</f>
        <v>1029.347</v>
      </c>
      <c r="BB157" s="4647"/>
      <c r="BC157" s="4513">
        <f>+AS157+AW157+BA157</f>
        <v>2668.4529999999995</v>
      </c>
      <c r="BD157" s="4619"/>
      <c r="BE157" s="4620">
        <f>+BC157+AO157</f>
        <v>4524.2789999999986</v>
      </c>
      <c r="BF157" s="4646"/>
      <c r="BG157" s="4446">
        <f>+AY157+BA157</f>
        <v>8180.6793999999991</v>
      </c>
      <c r="BH157" s="1520">
        <f t="shared" si="125"/>
        <v>0</v>
      </c>
      <c r="BI157" s="1520">
        <f t="shared" si="126"/>
        <v>0</v>
      </c>
      <c r="BJ157" s="26"/>
      <c r="BK157" s="26">
        <f t="shared" si="127"/>
        <v>0</v>
      </c>
      <c r="BL157" s="26">
        <f t="shared" si="128"/>
        <v>0</v>
      </c>
      <c r="BM157" s="26"/>
      <c r="BN157" s="1202"/>
    </row>
    <row r="158" spans="2:66" x14ac:dyDescent="0.3">
      <c r="B158" s="4653" t="s">
        <v>826</v>
      </c>
      <c r="C158" s="4635"/>
      <c r="D158" s="4635"/>
      <c r="E158" s="4443" t="s">
        <v>50</v>
      </c>
      <c r="F158" s="4640"/>
      <c r="G158" s="4501">
        <f>+G120</f>
        <v>50035.327000000005</v>
      </c>
      <c r="H158" s="4640"/>
      <c r="I158" s="4501">
        <f>+I120</f>
        <v>57592.384000000013</v>
      </c>
      <c r="J158" s="4641"/>
      <c r="K158" s="4636">
        <f>+K120</f>
        <v>107627.71099999998</v>
      </c>
      <c r="L158" s="4640"/>
      <c r="M158" s="4501">
        <f>+M120</f>
        <v>58809.43299999999</v>
      </c>
      <c r="N158" s="4642"/>
      <c r="O158" s="4637">
        <f>+O120</f>
        <v>166437.14399999997</v>
      </c>
      <c r="P158" s="4640"/>
      <c r="Q158" s="4501">
        <f>+Q120</f>
        <v>57582.287000000004</v>
      </c>
      <c r="R158" s="4641"/>
      <c r="S158" s="4636">
        <f>+S120</f>
        <v>224019.43099999992</v>
      </c>
      <c r="T158" s="4640"/>
      <c r="U158" s="4501">
        <f>+U120</f>
        <v>44755.652999999991</v>
      </c>
      <c r="V158" s="4641"/>
      <c r="W158" s="4636">
        <f>+W120</f>
        <v>268775.08400000003</v>
      </c>
      <c r="X158" s="4640"/>
      <c r="Y158" s="4501">
        <f>+Y120</f>
        <v>50235.30599999999</v>
      </c>
      <c r="Z158" s="4642"/>
      <c r="AA158" s="4637">
        <f>+AA120</f>
        <v>152573.24599999998</v>
      </c>
      <c r="AB158" s="4643"/>
      <c r="AC158" s="4638">
        <f>+AC120</f>
        <v>319010.39</v>
      </c>
      <c r="AD158" s="4640"/>
      <c r="AE158" s="4501">
        <f>+AE120</f>
        <v>29919.527000000009</v>
      </c>
      <c r="AF158" s="4641"/>
      <c r="AG158" s="4636">
        <f>+AG120</f>
        <v>348929.91700000002</v>
      </c>
      <c r="AH158" s="4640"/>
      <c r="AI158" s="4501">
        <f>+AI120</f>
        <v>49443.88400000002</v>
      </c>
      <c r="AJ158" s="4641"/>
      <c r="AK158" s="4636">
        <f>+AK120</f>
        <v>398373.80100000004</v>
      </c>
      <c r="AL158" s="4640"/>
      <c r="AM158" s="4501">
        <f>+AM120</f>
        <v>53389.06</v>
      </c>
      <c r="AN158" s="4642"/>
      <c r="AO158" s="4637">
        <f>+AO120</f>
        <v>132752.47099999993</v>
      </c>
      <c r="AP158" s="4641"/>
      <c r="AQ158" s="4636">
        <f>+AQ120</f>
        <v>451762.86099999998</v>
      </c>
      <c r="AR158" s="4640"/>
      <c r="AS158" s="4501">
        <f>+AS120</f>
        <v>56882.247999999992</v>
      </c>
      <c r="AT158" s="4641"/>
      <c r="AU158" s="4636">
        <f>+AU120</f>
        <v>508645.10900000011</v>
      </c>
      <c r="AV158" s="4640"/>
      <c r="AW158" s="4501">
        <f>+AW120</f>
        <v>54332.608</v>
      </c>
      <c r="AX158" s="4641"/>
      <c r="AY158" s="4636">
        <f>+AY120</f>
        <v>562977.7169999996</v>
      </c>
      <c r="AZ158" s="4640"/>
      <c r="BA158" s="4501">
        <f>+BA120</f>
        <v>63294.635999999991</v>
      </c>
      <c r="BB158" s="4642"/>
      <c r="BC158" s="4637">
        <f>+BC120</f>
        <v>174509.49200000003</v>
      </c>
      <c r="BD158" s="4644"/>
      <c r="BE158" s="4639">
        <f>+BE120</f>
        <v>307261.96300000005</v>
      </c>
      <c r="BF158" s="4641"/>
      <c r="BG158" s="4652">
        <f>+BG120</f>
        <v>626272.35299999954</v>
      </c>
      <c r="BH158" s="1520">
        <f t="shared" si="125"/>
        <v>0</v>
      </c>
      <c r="BI158" s="1520">
        <f t="shared" si="126"/>
        <v>0</v>
      </c>
      <c r="BJ158" s="26"/>
      <c r="BK158" s="26">
        <f t="shared" si="127"/>
        <v>0</v>
      </c>
      <c r="BL158" s="26">
        <f t="shared" si="128"/>
        <v>0</v>
      </c>
      <c r="BM158" s="26"/>
      <c r="BN158" s="1202"/>
    </row>
    <row r="159" spans="2:66" x14ac:dyDescent="0.3">
      <c r="B159" s="4653" t="s">
        <v>824</v>
      </c>
      <c r="C159" s="4635"/>
      <c r="D159" s="4635"/>
      <c r="E159" s="4443" t="s">
        <v>50</v>
      </c>
      <c r="F159" s="4640"/>
      <c r="G159" s="4501">
        <f>+G122</f>
        <v>491.54999999999995</v>
      </c>
      <c r="H159" s="4640"/>
      <c r="I159" s="4501">
        <f>+I122</f>
        <v>373.24</v>
      </c>
      <c r="J159" s="4641"/>
      <c r="K159" s="4636">
        <f>+K122</f>
        <v>864.79</v>
      </c>
      <c r="L159" s="4640"/>
      <c r="M159" s="4501">
        <f>+M122</f>
        <v>134.80000000000001</v>
      </c>
      <c r="N159" s="4642"/>
      <c r="O159" s="4637">
        <f>+O122</f>
        <v>999.59000000000015</v>
      </c>
      <c r="P159" s="4640"/>
      <c r="Q159" s="4501">
        <f>+Q122</f>
        <v>254.89999999999998</v>
      </c>
      <c r="R159" s="4641"/>
      <c r="S159" s="4636">
        <f>+S122</f>
        <v>1254.49</v>
      </c>
      <c r="T159" s="4640"/>
      <c r="U159" s="4501">
        <f>+U122</f>
        <v>349.35999999999996</v>
      </c>
      <c r="V159" s="4641"/>
      <c r="W159" s="4636">
        <f>+W122</f>
        <v>1603.85</v>
      </c>
      <c r="X159" s="4640"/>
      <c r="Y159" s="4501">
        <f>+Y122</f>
        <v>238.58999999999997</v>
      </c>
      <c r="Z159" s="4642"/>
      <c r="AA159" s="4637">
        <f>+AA122</f>
        <v>842.85</v>
      </c>
      <c r="AB159" s="4643"/>
      <c r="AC159" s="4638">
        <f>+AC122</f>
        <v>1842.4399999999998</v>
      </c>
      <c r="AD159" s="4640"/>
      <c r="AE159" s="4501">
        <f>+AE122</f>
        <v>259.63000000000005</v>
      </c>
      <c r="AF159" s="4641"/>
      <c r="AG159" s="4636">
        <f>+AG122</f>
        <v>2102.0699999999997</v>
      </c>
      <c r="AH159" s="4640"/>
      <c r="AI159" s="4501">
        <f>+AI122</f>
        <v>383.84000000000003</v>
      </c>
      <c r="AJ159" s="4641"/>
      <c r="AK159" s="4636">
        <f>+AK122</f>
        <v>2485.91</v>
      </c>
      <c r="AL159" s="4640"/>
      <c r="AM159" s="4501">
        <f>+AM122</f>
        <v>401.87999999999994</v>
      </c>
      <c r="AN159" s="4642"/>
      <c r="AO159" s="4637">
        <f>+AO122</f>
        <v>1045.3499999999999</v>
      </c>
      <c r="AP159" s="4641"/>
      <c r="AQ159" s="4636">
        <f>+AQ122</f>
        <v>2887.7899999999995</v>
      </c>
      <c r="AR159" s="4640"/>
      <c r="AS159" s="4501">
        <f>+AS122</f>
        <v>712.26999999999987</v>
      </c>
      <c r="AT159" s="4641"/>
      <c r="AU159" s="4636">
        <f>+AU122</f>
        <v>3600.0599999999995</v>
      </c>
      <c r="AV159" s="4640"/>
      <c r="AW159" s="4501">
        <f>+AW122</f>
        <v>53.21</v>
      </c>
      <c r="AX159" s="4641"/>
      <c r="AY159" s="4636">
        <f>+AY122</f>
        <v>3653.2699999999995</v>
      </c>
      <c r="AZ159" s="4640"/>
      <c r="BA159" s="4501">
        <f>+BA122</f>
        <v>174.48999999999998</v>
      </c>
      <c r="BB159" s="4642"/>
      <c r="BC159" s="4637">
        <f>+BC122</f>
        <v>939.96999999999991</v>
      </c>
      <c r="BD159" s="4644"/>
      <c r="BE159" s="4639">
        <f>+BE122</f>
        <v>1985.3200000000004</v>
      </c>
      <c r="BF159" s="4641"/>
      <c r="BG159" s="4652">
        <f>+BG122</f>
        <v>3827.76</v>
      </c>
      <c r="BH159" s="1520">
        <f t="shared" si="125"/>
        <v>0</v>
      </c>
      <c r="BI159" s="1520">
        <f t="shared" si="126"/>
        <v>0</v>
      </c>
      <c r="BJ159" s="26"/>
      <c r="BK159" s="26">
        <f t="shared" si="127"/>
        <v>0</v>
      </c>
      <c r="BL159" s="26">
        <f t="shared" si="128"/>
        <v>0</v>
      </c>
      <c r="BM159" s="26"/>
      <c r="BN159" s="1202"/>
    </row>
    <row r="160" spans="2:66" ht="15" thickBot="1" x14ac:dyDescent="0.35">
      <c r="B160" s="4654" t="s">
        <v>1534</v>
      </c>
      <c r="C160" s="4655"/>
      <c r="D160" s="4655"/>
      <c r="E160" s="4457" t="s">
        <v>50</v>
      </c>
      <c r="F160" s="4656"/>
      <c r="G160" s="4657">
        <f>+G158-G159</f>
        <v>49543.777000000002</v>
      </c>
      <c r="H160" s="4656"/>
      <c r="I160" s="4657">
        <f>+I158-I159</f>
        <v>57219.144000000015</v>
      </c>
      <c r="J160" s="4658"/>
      <c r="K160" s="4659">
        <f>+K158-K159</f>
        <v>106762.92099999999</v>
      </c>
      <c r="L160" s="4656"/>
      <c r="M160" s="4657">
        <f>+M158-M159</f>
        <v>58674.632999999987</v>
      </c>
      <c r="N160" s="4660"/>
      <c r="O160" s="4661">
        <f>+O158-O159</f>
        <v>165437.55399999997</v>
      </c>
      <c r="P160" s="4656"/>
      <c r="Q160" s="4657">
        <f>+Q158-Q159</f>
        <v>57327.387000000002</v>
      </c>
      <c r="R160" s="4658"/>
      <c r="S160" s="4659">
        <f>+S158-S159</f>
        <v>222764.94099999993</v>
      </c>
      <c r="T160" s="4656"/>
      <c r="U160" s="4657">
        <f>+U158-U159</f>
        <v>44406.292999999991</v>
      </c>
      <c r="V160" s="4658"/>
      <c r="W160" s="4659">
        <f>+W158-W159</f>
        <v>267171.23400000005</v>
      </c>
      <c r="X160" s="4656"/>
      <c r="Y160" s="4657">
        <f>+Y158-Y159</f>
        <v>49996.715999999993</v>
      </c>
      <c r="Z160" s="4660"/>
      <c r="AA160" s="4661">
        <f>+AA158-AA159</f>
        <v>151730.39599999998</v>
      </c>
      <c r="AB160" s="4662"/>
      <c r="AC160" s="4663">
        <f>+AC158-AC159</f>
        <v>317167.95</v>
      </c>
      <c r="AD160" s="4656"/>
      <c r="AE160" s="4657">
        <f>+AE158-AE159</f>
        <v>29659.897000000008</v>
      </c>
      <c r="AF160" s="4658"/>
      <c r="AG160" s="4659">
        <f>+AG158-AG159</f>
        <v>346827.84700000001</v>
      </c>
      <c r="AH160" s="4656"/>
      <c r="AI160" s="4657">
        <f>+AI158-AI159</f>
        <v>49060.044000000024</v>
      </c>
      <c r="AJ160" s="4658"/>
      <c r="AK160" s="4659">
        <f>+AK158-AK159</f>
        <v>395887.89100000006</v>
      </c>
      <c r="AL160" s="4656"/>
      <c r="AM160" s="4657">
        <f>+AM158-AM159</f>
        <v>52987.18</v>
      </c>
      <c r="AN160" s="4660"/>
      <c r="AO160" s="4661">
        <f>+AO158-AO159</f>
        <v>131707.12099999993</v>
      </c>
      <c r="AP160" s="4658"/>
      <c r="AQ160" s="4659">
        <f>+AQ158-AQ159</f>
        <v>448875.071</v>
      </c>
      <c r="AR160" s="4656"/>
      <c r="AS160" s="4657">
        <f>+AS158-AS159</f>
        <v>56169.977999999996</v>
      </c>
      <c r="AT160" s="4658"/>
      <c r="AU160" s="4659">
        <f>+AU158-AU159</f>
        <v>505045.04900000012</v>
      </c>
      <c r="AV160" s="4656"/>
      <c r="AW160" s="4657">
        <f>+AW158-AW159</f>
        <v>54279.398000000001</v>
      </c>
      <c r="AX160" s="4658"/>
      <c r="AY160" s="4659">
        <f>+AY158-AY159</f>
        <v>559324.44699999958</v>
      </c>
      <c r="AZ160" s="4656"/>
      <c r="BA160" s="4657">
        <f>+BA158-BA159</f>
        <v>63120.145999999993</v>
      </c>
      <c r="BB160" s="4660"/>
      <c r="BC160" s="4661">
        <f>+BC158-BC159</f>
        <v>173569.52200000003</v>
      </c>
      <c r="BD160" s="4664"/>
      <c r="BE160" s="4665">
        <f>+BE158-BE159</f>
        <v>305276.64300000004</v>
      </c>
      <c r="BF160" s="4658"/>
      <c r="BG160" s="4666">
        <f>+BG158-BG159</f>
        <v>622444.59299999953</v>
      </c>
      <c r="BH160" s="1520">
        <f t="shared" si="125"/>
        <v>0</v>
      </c>
      <c r="BI160" s="1520">
        <f t="shared" si="126"/>
        <v>0</v>
      </c>
      <c r="BJ160" s="26"/>
      <c r="BK160" s="26">
        <f t="shared" si="127"/>
        <v>0</v>
      </c>
      <c r="BL160" s="26">
        <f t="shared" si="128"/>
        <v>0</v>
      </c>
    </row>
    <row r="161" spans="2:64" x14ac:dyDescent="0.3"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1"/>
      <c r="AH161" s="151"/>
      <c r="AI161" s="151"/>
      <c r="AJ161" s="151"/>
      <c r="AK161" s="151"/>
      <c r="AL161" s="151"/>
      <c r="AM161" s="151"/>
      <c r="AN161" s="151"/>
      <c r="AO161" s="151"/>
      <c r="AP161" s="151"/>
      <c r="AQ161" s="151"/>
      <c r="AR161" s="151"/>
      <c r="AS161" s="151"/>
      <c r="AT161" s="151"/>
      <c r="AU161" s="151"/>
      <c r="AV161" s="151"/>
      <c r="AW161" s="151"/>
      <c r="AX161" s="151"/>
      <c r="AY161" s="151"/>
      <c r="AZ161" s="151"/>
      <c r="BA161" s="151"/>
      <c r="BB161" s="151"/>
      <c r="BC161" s="151"/>
      <c r="BD161" s="151"/>
      <c r="BE161" s="151"/>
      <c r="BF161" s="151"/>
      <c r="BG161" s="151"/>
      <c r="BH161" s="1520">
        <f t="shared" si="125"/>
        <v>0</v>
      </c>
      <c r="BI161" s="1520">
        <f t="shared" si="126"/>
        <v>0</v>
      </c>
      <c r="BJ161" s="26"/>
      <c r="BK161" s="26">
        <f t="shared" si="127"/>
        <v>0</v>
      </c>
      <c r="BL161" s="26">
        <f t="shared" si="128"/>
        <v>0</v>
      </c>
    </row>
    <row r="162" spans="2:64" x14ac:dyDescent="0.3">
      <c r="BH162" s="1202"/>
      <c r="BI162" s="26"/>
      <c r="BJ162" s="26"/>
      <c r="BK162" s="26"/>
      <c r="BL162" s="26"/>
    </row>
    <row r="163" spans="2:64" x14ac:dyDescent="0.3">
      <c r="BH163" s="1202"/>
      <c r="BI163" s="26"/>
      <c r="BJ163" s="26"/>
      <c r="BK163" s="26"/>
      <c r="BL163" s="26"/>
    </row>
    <row r="164" spans="2:64" x14ac:dyDescent="0.3">
      <c r="AR164" s="26"/>
      <c r="AS164" s="26"/>
      <c r="AT164" s="26"/>
      <c r="AU164" s="26"/>
      <c r="AV164" s="26"/>
      <c r="AW164" s="26"/>
    </row>
    <row r="170" spans="2:64" hidden="1" x14ac:dyDescent="0.3">
      <c r="B170" t="s">
        <v>1171</v>
      </c>
      <c r="G170" s="26">
        <f t="shared" ref="G170:AL170" si="191">+SUM(G8:G59)</f>
        <v>36340.903000000006</v>
      </c>
      <c r="H170" s="26">
        <f t="shared" si="191"/>
        <v>0</v>
      </c>
      <c r="I170" s="26">
        <f t="shared" si="191"/>
        <v>44993.633999999998</v>
      </c>
      <c r="J170" s="26">
        <f t="shared" si="191"/>
        <v>0</v>
      </c>
      <c r="K170" s="26">
        <f t="shared" si="191"/>
        <v>81334.536999999997</v>
      </c>
      <c r="L170" s="26">
        <f t="shared" si="191"/>
        <v>0</v>
      </c>
      <c r="M170" s="26">
        <f t="shared" si="191"/>
        <v>41676.830999999998</v>
      </c>
      <c r="N170" s="26">
        <f t="shared" si="191"/>
        <v>0</v>
      </c>
      <c r="O170" s="26">
        <f t="shared" si="191"/>
        <v>123011.36799999999</v>
      </c>
      <c r="P170" s="26">
        <f t="shared" si="191"/>
        <v>0</v>
      </c>
      <c r="Q170" s="26">
        <f t="shared" si="191"/>
        <v>39505.72800000001</v>
      </c>
      <c r="R170" s="26">
        <f t="shared" si="191"/>
        <v>0</v>
      </c>
      <c r="S170" s="26">
        <f t="shared" si="191"/>
        <v>162517.09599999999</v>
      </c>
      <c r="T170" s="26">
        <f t="shared" si="191"/>
        <v>0</v>
      </c>
      <c r="U170" s="26">
        <f t="shared" si="191"/>
        <v>30061.677999999996</v>
      </c>
      <c r="V170" s="26">
        <f t="shared" si="191"/>
        <v>0</v>
      </c>
      <c r="W170" s="26">
        <f t="shared" si="191"/>
        <v>192578.774</v>
      </c>
      <c r="X170" s="26">
        <f t="shared" si="191"/>
        <v>0</v>
      </c>
      <c r="Y170" s="26">
        <f t="shared" si="191"/>
        <v>32261.593999999997</v>
      </c>
      <c r="Z170" s="26">
        <f t="shared" si="191"/>
        <v>0</v>
      </c>
      <c r="AA170" s="26">
        <f t="shared" si="191"/>
        <v>101829</v>
      </c>
      <c r="AB170" s="26">
        <f t="shared" si="191"/>
        <v>0</v>
      </c>
      <c r="AC170" s="26">
        <f t="shared" si="191"/>
        <v>224840.36799999999</v>
      </c>
      <c r="AD170" s="26">
        <f t="shared" si="191"/>
        <v>0</v>
      </c>
      <c r="AE170" s="26">
        <f t="shared" si="191"/>
        <v>26347.059000000005</v>
      </c>
      <c r="AF170" s="26">
        <f t="shared" si="191"/>
        <v>0</v>
      </c>
      <c r="AG170" s="26">
        <f t="shared" si="191"/>
        <v>251187.427</v>
      </c>
      <c r="AH170" s="26">
        <f t="shared" si="191"/>
        <v>0</v>
      </c>
      <c r="AI170" s="26">
        <f t="shared" si="191"/>
        <v>33174.987000000001</v>
      </c>
      <c r="AJ170" s="26">
        <f t="shared" si="191"/>
        <v>0</v>
      </c>
      <c r="AK170" s="26">
        <f t="shared" si="191"/>
        <v>284362.41400000005</v>
      </c>
      <c r="AL170" s="26">
        <f t="shared" si="191"/>
        <v>0</v>
      </c>
      <c r="AM170" s="26">
        <f t="shared" ref="AM170:BG170" si="192">+SUM(AM8:AM59)</f>
        <v>34992.377999999997</v>
      </c>
      <c r="AN170" s="26">
        <f t="shared" si="192"/>
        <v>0</v>
      </c>
      <c r="AO170" s="26">
        <f t="shared" si="192"/>
        <v>94514.423999999999</v>
      </c>
      <c r="AP170" s="26">
        <f t="shared" si="192"/>
        <v>0</v>
      </c>
      <c r="AQ170" s="26">
        <f t="shared" si="192"/>
        <v>319354.79200000007</v>
      </c>
      <c r="AR170" s="26">
        <f t="shared" si="192"/>
        <v>0</v>
      </c>
      <c r="AS170" s="26">
        <f t="shared" si="192"/>
        <v>35829.667000000001</v>
      </c>
      <c r="AT170" s="26">
        <f t="shared" si="192"/>
        <v>0</v>
      </c>
      <c r="AU170" s="26">
        <f t="shared" si="192"/>
        <v>355184.45900000009</v>
      </c>
      <c r="AV170" s="26">
        <f t="shared" si="192"/>
        <v>0</v>
      </c>
      <c r="AW170" s="26">
        <f t="shared" si="192"/>
        <v>43359.470999999998</v>
      </c>
      <c r="AX170" s="26">
        <f t="shared" si="192"/>
        <v>0</v>
      </c>
      <c r="AY170" s="26">
        <f t="shared" si="192"/>
        <v>398543.92999999993</v>
      </c>
      <c r="AZ170" s="26">
        <f t="shared" si="192"/>
        <v>0</v>
      </c>
      <c r="BA170" s="26">
        <f t="shared" si="192"/>
        <v>50048.392999999989</v>
      </c>
      <c r="BB170" s="26">
        <f t="shared" si="192"/>
        <v>0</v>
      </c>
      <c r="BC170" s="26">
        <f t="shared" si="192"/>
        <v>129237.531</v>
      </c>
      <c r="BD170" s="26">
        <f t="shared" si="192"/>
        <v>0</v>
      </c>
      <c r="BE170" s="26">
        <f t="shared" si="192"/>
        <v>223751.95500000005</v>
      </c>
      <c r="BF170" s="26">
        <f t="shared" si="192"/>
        <v>0</v>
      </c>
      <c r="BG170" s="26">
        <f t="shared" si="192"/>
        <v>448592.32300000003</v>
      </c>
      <c r="BH170" s="26"/>
      <c r="BI170" s="26"/>
      <c r="BJ170" s="26"/>
    </row>
    <row r="171" spans="2:64" hidden="1" x14ac:dyDescent="0.3">
      <c r="B171" t="s">
        <v>1172</v>
      </c>
      <c r="G171" s="26">
        <f t="shared" ref="G171:AL171" si="193">+SUM(G60:G73)</f>
        <v>8108.2379999999994</v>
      </c>
      <c r="H171" s="26">
        <f t="shared" si="193"/>
        <v>0</v>
      </c>
      <c r="I171" s="26">
        <f t="shared" si="193"/>
        <v>5159.0289999999995</v>
      </c>
      <c r="J171" s="26">
        <f t="shared" si="193"/>
        <v>0</v>
      </c>
      <c r="K171" s="26">
        <f t="shared" si="193"/>
        <v>13267.267</v>
      </c>
      <c r="L171" s="26">
        <f t="shared" si="193"/>
        <v>0</v>
      </c>
      <c r="M171" s="26">
        <f t="shared" si="193"/>
        <v>5963.7650000000003</v>
      </c>
      <c r="N171" s="26">
        <f t="shared" si="193"/>
        <v>0</v>
      </c>
      <c r="O171" s="26">
        <f t="shared" si="193"/>
        <v>19231.031999999999</v>
      </c>
      <c r="P171" s="26">
        <f t="shared" si="193"/>
        <v>0</v>
      </c>
      <c r="Q171" s="26">
        <f t="shared" si="193"/>
        <v>6848.3829999999998</v>
      </c>
      <c r="R171" s="26">
        <f t="shared" si="193"/>
        <v>0</v>
      </c>
      <c r="S171" s="26">
        <f t="shared" si="193"/>
        <v>26079.414999999997</v>
      </c>
      <c r="T171" s="26">
        <f t="shared" si="193"/>
        <v>0</v>
      </c>
      <c r="U171" s="26">
        <f t="shared" si="193"/>
        <v>1438.2529999999997</v>
      </c>
      <c r="V171" s="26">
        <f t="shared" si="193"/>
        <v>0</v>
      </c>
      <c r="W171" s="26">
        <f t="shared" si="193"/>
        <v>27517.668000000001</v>
      </c>
      <c r="X171" s="26">
        <f t="shared" si="193"/>
        <v>0</v>
      </c>
      <c r="Y171" s="26">
        <f t="shared" si="193"/>
        <v>5720.8829999999998</v>
      </c>
      <c r="Z171" s="26">
        <f t="shared" si="193"/>
        <v>0</v>
      </c>
      <c r="AA171" s="26">
        <f t="shared" si="193"/>
        <v>14007.519</v>
      </c>
      <c r="AB171" s="26">
        <f t="shared" si="193"/>
        <v>0</v>
      </c>
      <c r="AC171" s="26">
        <f t="shared" si="193"/>
        <v>33238.550999999999</v>
      </c>
      <c r="AD171" s="26">
        <f t="shared" si="193"/>
        <v>0</v>
      </c>
      <c r="AE171" s="26">
        <f t="shared" si="193"/>
        <v>0</v>
      </c>
      <c r="AF171" s="26">
        <f t="shared" si="193"/>
        <v>0</v>
      </c>
      <c r="AG171" s="26">
        <f t="shared" si="193"/>
        <v>33238.550999999999</v>
      </c>
      <c r="AH171" s="26">
        <f t="shared" si="193"/>
        <v>0</v>
      </c>
      <c r="AI171" s="26">
        <f t="shared" si="193"/>
        <v>6170.5360000000001</v>
      </c>
      <c r="AJ171" s="26">
        <f t="shared" si="193"/>
        <v>0</v>
      </c>
      <c r="AK171" s="26">
        <f t="shared" si="193"/>
        <v>39409.086999999992</v>
      </c>
      <c r="AL171" s="26">
        <f t="shared" si="193"/>
        <v>0</v>
      </c>
      <c r="AM171" s="26">
        <f t="shared" ref="AM171:BG171" si="194">+SUM(AM60:AM73)</f>
        <v>4072.8229999999994</v>
      </c>
      <c r="AN171" s="26">
        <f t="shared" si="194"/>
        <v>0</v>
      </c>
      <c r="AO171" s="26">
        <f t="shared" si="194"/>
        <v>10243.358999999999</v>
      </c>
      <c r="AP171" s="26">
        <f t="shared" si="194"/>
        <v>0</v>
      </c>
      <c r="AQ171" s="26">
        <f t="shared" si="194"/>
        <v>43481.909999999996</v>
      </c>
      <c r="AR171" s="26">
        <f t="shared" si="194"/>
        <v>0</v>
      </c>
      <c r="AS171" s="26">
        <f t="shared" si="194"/>
        <v>5596.3930000000018</v>
      </c>
      <c r="AT171" s="26">
        <f t="shared" si="194"/>
        <v>0</v>
      </c>
      <c r="AU171" s="26">
        <f t="shared" si="194"/>
        <v>49078.303</v>
      </c>
      <c r="AV171" s="26">
        <f t="shared" si="194"/>
        <v>0</v>
      </c>
      <c r="AW171" s="26">
        <f t="shared" si="194"/>
        <v>3073.86</v>
      </c>
      <c r="AX171" s="26">
        <f t="shared" si="194"/>
        <v>0</v>
      </c>
      <c r="AY171" s="26">
        <f t="shared" si="194"/>
        <v>52152.163</v>
      </c>
      <c r="AZ171" s="26">
        <f t="shared" si="194"/>
        <v>0</v>
      </c>
      <c r="BA171" s="26">
        <f t="shared" si="194"/>
        <v>4775.8689999999997</v>
      </c>
      <c r="BB171" s="26">
        <f t="shared" si="194"/>
        <v>0</v>
      </c>
      <c r="BC171" s="26">
        <f t="shared" si="194"/>
        <v>13446.121999999999</v>
      </c>
      <c r="BD171" s="26">
        <f t="shared" si="194"/>
        <v>0</v>
      </c>
      <c r="BE171" s="26">
        <f t="shared" si="194"/>
        <v>23689.481</v>
      </c>
      <c r="BF171" s="26">
        <f t="shared" si="194"/>
        <v>0</v>
      </c>
      <c r="BG171" s="26">
        <f t="shared" si="194"/>
        <v>56928.031999999985</v>
      </c>
      <c r="BH171" s="26"/>
      <c r="BI171" s="26"/>
      <c r="BJ171" s="26"/>
    </row>
    <row r="172" spans="2:64" hidden="1" x14ac:dyDescent="0.3">
      <c r="B172" t="s">
        <v>930</v>
      </c>
      <c r="G172" s="26">
        <f t="shared" ref="G172:AL172" si="195">+SUM(G90:G102)</f>
        <v>5094.6359999999995</v>
      </c>
      <c r="H172" s="26">
        <f t="shared" si="195"/>
        <v>0</v>
      </c>
      <c r="I172" s="26">
        <f t="shared" si="195"/>
        <v>7066.4809999999998</v>
      </c>
      <c r="J172" s="26">
        <f t="shared" si="195"/>
        <v>0</v>
      </c>
      <c r="K172" s="26">
        <f t="shared" si="195"/>
        <v>12161.116999999998</v>
      </c>
      <c r="L172" s="26">
        <f t="shared" si="195"/>
        <v>0</v>
      </c>
      <c r="M172" s="26">
        <f t="shared" si="195"/>
        <v>6391.5139999999974</v>
      </c>
      <c r="N172" s="26">
        <f t="shared" si="195"/>
        <v>0</v>
      </c>
      <c r="O172" s="26">
        <f t="shared" si="195"/>
        <v>18552.630999999998</v>
      </c>
      <c r="P172" s="26">
        <f t="shared" si="195"/>
        <v>0</v>
      </c>
      <c r="Q172" s="26">
        <f t="shared" si="195"/>
        <v>8126.5689999999968</v>
      </c>
      <c r="R172" s="26">
        <f t="shared" si="195"/>
        <v>0</v>
      </c>
      <c r="S172" s="26">
        <f t="shared" si="195"/>
        <v>26679.199999999993</v>
      </c>
      <c r="T172" s="26">
        <f t="shared" si="195"/>
        <v>0</v>
      </c>
      <c r="U172" s="26">
        <f t="shared" si="195"/>
        <v>9825.4939999999988</v>
      </c>
      <c r="V172" s="26">
        <f t="shared" si="195"/>
        <v>0</v>
      </c>
      <c r="W172" s="26">
        <f t="shared" si="195"/>
        <v>36504.693999999989</v>
      </c>
      <c r="X172" s="26">
        <f t="shared" si="195"/>
        <v>0</v>
      </c>
      <c r="Y172" s="26">
        <f t="shared" si="195"/>
        <v>9271.39</v>
      </c>
      <c r="Z172" s="26">
        <f t="shared" si="195"/>
        <v>0</v>
      </c>
      <c r="AA172" s="26">
        <f t="shared" si="195"/>
        <v>27223.452999999994</v>
      </c>
      <c r="AB172" s="26">
        <f t="shared" si="195"/>
        <v>0</v>
      </c>
      <c r="AC172" s="26">
        <f t="shared" si="195"/>
        <v>45776.083999999995</v>
      </c>
      <c r="AD172" s="26">
        <f t="shared" si="195"/>
        <v>0</v>
      </c>
      <c r="AE172" s="26">
        <f t="shared" si="195"/>
        <v>2320.6020000000003</v>
      </c>
      <c r="AF172" s="26">
        <f t="shared" si="195"/>
        <v>0</v>
      </c>
      <c r="AG172" s="26">
        <f t="shared" si="195"/>
        <v>48096.685999999994</v>
      </c>
      <c r="AH172" s="26">
        <f t="shared" si="195"/>
        <v>0</v>
      </c>
      <c r="AI172" s="26">
        <f t="shared" si="195"/>
        <v>6989.3249999999998</v>
      </c>
      <c r="AJ172" s="26">
        <f t="shared" si="195"/>
        <v>0</v>
      </c>
      <c r="AK172" s="26">
        <f t="shared" si="195"/>
        <v>55086.010999999999</v>
      </c>
      <c r="AL172" s="26">
        <f t="shared" si="195"/>
        <v>0</v>
      </c>
      <c r="AM172" s="26">
        <f t="shared" ref="AM172:BG172" si="196">+SUM(AM90:AM102)</f>
        <v>10163.959000000003</v>
      </c>
      <c r="AN172" s="26">
        <f t="shared" si="196"/>
        <v>0</v>
      </c>
      <c r="AO172" s="26">
        <f t="shared" si="196"/>
        <v>19473.886000000002</v>
      </c>
      <c r="AP172" s="26">
        <f t="shared" si="196"/>
        <v>0</v>
      </c>
      <c r="AQ172" s="26">
        <f t="shared" si="196"/>
        <v>65249.97</v>
      </c>
      <c r="AR172" s="26">
        <f t="shared" si="196"/>
        <v>0</v>
      </c>
      <c r="AS172" s="26">
        <f t="shared" si="196"/>
        <v>7822.952000000003</v>
      </c>
      <c r="AT172" s="26">
        <f t="shared" si="196"/>
        <v>0</v>
      </c>
      <c r="AU172" s="26">
        <f t="shared" si="196"/>
        <v>73072.921999999991</v>
      </c>
      <c r="AV172" s="26">
        <f t="shared" si="196"/>
        <v>0</v>
      </c>
      <c r="AW172" s="26">
        <f t="shared" si="196"/>
        <v>7846.0670000000009</v>
      </c>
      <c r="AX172" s="26">
        <f t="shared" si="196"/>
        <v>0</v>
      </c>
      <c r="AY172" s="26">
        <f t="shared" si="196"/>
        <v>80918.988999999972</v>
      </c>
      <c r="AZ172" s="26">
        <f t="shared" si="196"/>
        <v>0</v>
      </c>
      <c r="BA172" s="26">
        <f t="shared" si="196"/>
        <v>4314.1299999999992</v>
      </c>
      <c r="BB172" s="26">
        <f t="shared" si="196"/>
        <v>0</v>
      </c>
      <c r="BC172" s="26">
        <f t="shared" si="196"/>
        <v>19983.149000000001</v>
      </c>
      <c r="BD172" s="26">
        <f t="shared" si="196"/>
        <v>0</v>
      </c>
      <c r="BE172" s="26">
        <f t="shared" si="196"/>
        <v>39457.035000000003</v>
      </c>
      <c r="BF172" s="26">
        <f t="shared" si="196"/>
        <v>0</v>
      </c>
      <c r="BG172" s="26">
        <f t="shared" si="196"/>
        <v>85233.118999999977</v>
      </c>
      <c r="BH172" s="26"/>
      <c r="BI172" s="26"/>
      <c r="BJ172" s="26"/>
    </row>
    <row r="173" spans="2:64" hidden="1" x14ac:dyDescent="0.3">
      <c r="B173" t="s">
        <v>686</v>
      </c>
      <c r="G173" s="26">
        <f t="shared" ref="G173:AL173" si="197">+SUM(G88:G89)</f>
        <v>0</v>
      </c>
      <c r="H173" s="26">
        <f t="shared" si="197"/>
        <v>0</v>
      </c>
      <c r="I173" s="26">
        <f t="shared" si="197"/>
        <v>0</v>
      </c>
      <c r="J173" s="26">
        <f t="shared" si="197"/>
        <v>0</v>
      </c>
      <c r="K173" s="26">
        <f t="shared" si="197"/>
        <v>0</v>
      </c>
      <c r="L173" s="26">
        <f t="shared" si="197"/>
        <v>0</v>
      </c>
      <c r="M173" s="26">
        <f t="shared" si="197"/>
        <v>1992.848</v>
      </c>
      <c r="N173" s="26">
        <f t="shared" si="197"/>
        <v>0</v>
      </c>
      <c r="O173" s="26">
        <f t="shared" si="197"/>
        <v>1992.848</v>
      </c>
      <c r="P173" s="26">
        <f t="shared" si="197"/>
        <v>0</v>
      </c>
      <c r="Q173" s="26">
        <f t="shared" si="197"/>
        <v>0</v>
      </c>
      <c r="R173" s="26">
        <f t="shared" si="197"/>
        <v>0</v>
      </c>
      <c r="S173" s="26">
        <f t="shared" si="197"/>
        <v>1992.848</v>
      </c>
      <c r="T173" s="26">
        <f t="shared" si="197"/>
        <v>0</v>
      </c>
      <c r="U173" s="26">
        <f t="shared" si="197"/>
        <v>468.21000000000004</v>
      </c>
      <c r="V173" s="26">
        <f t="shared" si="197"/>
        <v>0</v>
      </c>
      <c r="W173" s="26">
        <f t="shared" si="197"/>
        <v>2461.058</v>
      </c>
      <c r="X173" s="26">
        <f t="shared" si="197"/>
        <v>0</v>
      </c>
      <c r="Y173" s="26">
        <f t="shared" si="197"/>
        <v>0</v>
      </c>
      <c r="Z173" s="26">
        <f t="shared" si="197"/>
        <v>0</v>
      </c>
      <c r="AA173" s="26">
        <f t="shared" si="197"/>
        <v>468.21000000000004</v>
      </c>
      <c r="AB173" s="26">
        <f t="shared" si="197"/>
        <v>0</v>
      </c>
      <c r="AC173" s="26">
        <f t="shared" si="197"/>
        <v>2461.058</v>
      </c>
      <c r="AD173" s="26">
        <f t="shared" si="197"/>
        <v>0</v>
      </c>
      <c r="AE173" s="26">
        <f t="shared" si="197"/>
        <v>0</v>
      </c>
      <c r="AF173" s="26">
        <f t="shared" si="197"/>
        <v>0</v>
      </c>
      <c r="AG173" s="26">
        <f t="shared" si="197"/>
        <v>2461.058</v>
      </c>
      <c r="AH173" s="26">
        <f t="shared" si="197"/>
        <v>0</v>
      </c>
      <c r="AI173" s="26">
        <f t="shared" si="197"/>
        <v>0</v>
      </c>
      <c r="AJ173" s="26">
        <f t="shared" si="197"/>
        <v>0</v>
      </c>
      <c r="AK173" s="26">
        <f t="shared" si="197"/>
        <v>2461.058</v>
      </c>
      <c r="AL173" s="26">
        <f t="shared" si="197"/>
        <v>0</v>
      </c>
      <c r="AM173" s="26">
        <f t="shared" ref="AM173:BG173" si="198">+SUM(AM88:AM89)</f>
        <v>0</v>
      </c>
      <c r="AN173" s="26">
        <f t="shared" si="198"/>
        <v>0</v>
      </c>
      <c r="AO173" s="26">
        <f t="shared" si="198"/>
        <v>0</v>
      </c>
      <c r="AP173" s="26">
        <f t="shared" si="198"/>
        <v>0</v>
      </c>
      <c r="AQ173" s="26">
        <f t="shared" si="198"/>
        <v>2461.058</v>
      </c>
      <c r="AR173" s="26">
        <f t="shared" si="198"/>
        <v>0</v>
      </c>
      <c r="AS173" s="26">
        <f t="shared" si="198"/>
        <v>0</v>
      </c>
      <c r="AT173" s="26">
        <f t="shared" si="198"/>
        <v>0</v>
      </c>
      <c r="AU173" s="26">
        <f t="shared" si="198"/>
        <v>2461.058</v>
      </c>
      <c r="AV173" s="26">
        <f t="shared" si="198"/>
        <v>0</v>
      </c>
      <c r="AW173" s="26">
        <f t="shared" si="198"/>
        <v>0</v>
      </c>
      <c r="AX173" s="26">
        <f t="shared" si="198"/>
        <v>0</v>
      </c>
      <c r="AY173" s="26">
        <f t="shared" si="198"/>
        <v>2461.058</v>
      </c>
      <c r="AZ173" s="26">
        <f t="shared" si="198"/>
        <v>0</v>
      </c>
      <c r="BA173" s="26">
        <f t="shared" si="198"/>
        <v>0</v>
      </c>
      <c r="BB173" s="26">
        <f t="shared" si="198"/>
        <v>0</v>
      </c>
      <c r="BC173" s="26">
        <f t="shared" si="198"/>
        <v>0</v>
      </c>
      <c r="BD173" s="26">
        <f t="shared" si="198"/>
        <v>0</v>
      </c>
      <c r="BE173" s="26">
        <f t="shared" si="198"/>
        <v>0</v>
      </c>
      <c r="BF173" s="26">
        <f t="shared" si="198"/>
        <v>0</v>
      </c>
      <c r="BG173" s="26">
        <f t="shared" si="198"/>
        <v>2461.058</v>
      </c>
      <c r="BH173" s="26"/>
      <c r="BI173" s="26"/>
      <c r="BJ173" s="26"/>
    </row>
    <row r="174" spans="2:64" hidden="1" x14ac:dyDescent="0.3">
      <c r="B174" t="s">
        <v>2069</v>
      </c>
      <c r="G174" s="26">
        <f t="shared" ref="G174:AL174" si="199">SUM(G78:G87)</f>
        <v>0</v>
      </c>
      <c r="H174" s="26">
        <f t="shared" si="199"/>
        <v>0</v>
      </c>
      <c r="I174" s="26">
        <f t="shared" si="199"/>
        <v>0</v>
      </c>
      <c r="J174" s="26">
        <f t="shared" si="199"/>
        <v>0</v>
      </c>
      <c r="K174" s="26">
        <f t="shared" si="199"/>
        <v>0</v>
      </c>
      <c r="L174" s="26">
        <f t="shared" si="199"/>
        <v>0</v>
      </c>
      <c r="M174" s="26">
        <f t="shared" si="199"/>
        <v>0</v>
      </c>
      <c r="N174" s="26">
        <f t="shared" si="199"/>
        <v>0</v>
      </c>
      <c r="O174" s="26">
        <f t="shared" si="199"/>
        <v>0</v>
      </c>
      <c r="P174" s="26">
        <f t="shared" si="199"/>
        <v>0</v>
      </c>
      <c r="Q174" s="26">
        <f t="shared" si="199"/>
        <v>15.712999999999999</v>
      </c>
      <c r="R174" s="26">
        <f t="shared" si="199"/>
        <v>0</v>
      </c>
      <c r="S174" s="26">
        <f t="shared" si="199"/>
        <v>15.712999999999999</v>
      </c>
      <c r="T174" s="26">
        <f t="shared" si="199"/>
        <v>0</v>
      </c>
      <c r="U174" s="26">
        <f t="shared" si="199"/>
        <v>0</v>
      </c>
      <c r="V174" s="26">
        <f t="shared" si="199"/>
        <v>0</v>
      </c>
      <c r="W174" s="26">
        <f t="shared" si="199"/>
        <v>15.712999999999999</v>
      </c>
      <c r="X174" s="26">
        <f t="shared" si="199"/>
        <v>0</v>
      </c>
      <c r="Y174" s="26">
        <f t="shared" si="199"/>
        <v>1199.047</v>
      </c>
      <c r="Z174" s="26">
        <f t="shared" si="199"/>
        <v>0</v>
      </c>
      <c r="AA174" s="26">
        <f t="shared" si="199"/>
        <v>1214.7600000000002</v>
      </c>
      <c r="AB174" s="26">
        <f t="shared" si="199"/>
        <v>0</v>
      </c>
      <c r="AC174" s="26">
        <f t="shared" si="199"/>
        <v>1214.7600000000002</v>
      </c>
      <c r="AD174" s="26">
        <f t="shared" si="199"/>
        <v>0</v>
      </c>
      <c r="AE174" s="26">
        <f t="shared" si="199"/>
        <v>992.23599999999988</v>
      </c>
      <c r="AF174" s="26">
        <f t="shared" si="199"/>
        <v>0</v>
      </c>
      <c r="AG174" s="26">
        <f t="shared" si="199"/>
        <v>2206.9960000000001</v>
      </c>
      <c r="AH174" s="26">
        <f t="shared" si="199"/>
        <v>0</v>
      </c>
      <c r="AI174" s="26">
        <f t="shared" si="199"/>
        <v>1383.221</v>
      </c>
      <c r="AJ174" s="26">
        <f t="shared" si="199"/>
        <v>0</v>
      </c>
      <c r="AK174" s="26">
        <f t="shared" si="199"/>
        <v>3590.2170000000006</v>
      </c>
      <c r="AL174" s="26">
        <f t="shared" si="199"/>
        <v>0</v>
      </c>
      <c r="AM174" s="26">
        <f t="shared" ref="AM174:BG174" si="200">SUM(AM78:AM87)</f>
        <v>3758.0199999999995</v>
      </c>
      <c r="AN174" s="26">
        <f t="shared" si="200"/>
        <v>0</v>
      </c>
      <c r="AO174" s="26">
        <f t="shared" si="200"/>
        <v>6133.4770000000008</v>
      </c>
      <c r="AP174" s="26">
        <f t="shared" si="200"/>
        <v>0</v>
      </c>
      <c r="AQ174" s="26">
        <f t="shared" si="200"/>
        <v>7348.2369999999992</v>
      </c>
      <c r="AR174" s="26">
        <f t="shared" si="200"/>
        <v>0</v>
      </c>
      <c r="AS174" s="26">
        <f t="shared" si="200"/>
        <v>2622.34</v>
      </c>
      <c r="AT174" s="26">
        <f t="shared" si="200"/>
        <v>0</v>
      </c>
      <c r="AU174" s="26">
        <f t="shared" si="200"/>
        <v>9970.5769999999993</v>
      </c>
      <c r="AV174" s="26">
        <f t="shared" si="200"/>
        <v>0</v>
      </c>
      <c r="AW174" s="26">
        <f t="shared" si="200"/>
        <v>0</v>
      </c>
      <c r="AX174" s="26">
        <f t="shared" si="200"/>
        <v>0</v>
      </c>
      <c r="AY174" s="26">
        <f t="shared" si="200"/>
        <v>9970.5769999999993</v>
      </c>
      <c r="AZ174" s="26">
        <f t="shared" si="200"/>
        <v>0</v>
      </c>
      <c r="BA174" s="26">
        <f t="shared" si="200"/>
        <v>1750.001</v>
      </c>
      <c r="BB174" s="26">
        <f t="shared" si="200"/>
        <v>0</v>
      </c>
      <c r="BC174" s="26">
        <f t="shared" si="200"/>
        <v>4372.3410000000003</v>
      </c>
      <c r="BD174" s="26">
        <f t="shared" si="200"/>
        <v>0</v>
      </c>
      <c r="BE174" s="26">
        <f t="shared" si="200"/>
        <v>10505.818000000001</v>
      </c>
      <c r="BF174" s="26">
        <f t="shared" si="200"/>
        <v>0</v>
      </c>
      <c r="BG174" s="26">
        <f t="shared" si="200"/>
        <v>11720.578</v>
      </c>
      <c r="BH174" s="26"/>
      <c r="BI174" s="26"/>
      <c r="BJ174" s="26"/>
    </row>
    <row r="175" spans="2:64" hidden="1" x14ac:dyDescent="0.3">
      <c r="B175" t="s">
        <v>2050</v>
      </c>
      <c r="G175" s="26">
        <f t="shared" ref="G175:AL175" si="201">SUM(G74:G77)</f>
        <v>0</v>
      </c>
      <c r="H175" s="26">
        <f t="shared" si="201"/>
        <v>0</v>
      </c>
      <c r="I175" s="26">
        <f t="shared" si="201"/>
        <v>0</v>
      </c>
      <c r="J175" s="26">
        <f t="shared" si="201"/>
        <v>0</v>
      </c>
      <c r="K175" s="26">
        <f t="shared" si="201"/>
        <v>0</v>
      </c>
      <c r="L175" s="26">
        <f t="shared" si="201"/>
        <v>0</v>
      </c>
      <c r="M175" s="26">
        <f t="shared" si="201"/>
        <v>2649.6750000000002</v>
      </c>
      <c r="N175" s="26">
        <f t="shared" si="201"/>
        <v>0</v>
      </c>
      <c r="O175" s="26">
        <f t="shared" si="201"/>
        <v>2649.6750000000002</v>
      </c>
      <c r="P175" s="26">
        <f t="shared" si="201"/>
        <v>0</v>
      </c>
      <c r="Q175" s="26">
        <f t="shared" si="201"/>
        <v>2830.9939999999997</v>
      </c>
      <c r="R175" s="26">
        <f t="shared" si="201"/>
        <v>0</v>
      </c>
      <c r="S175" s="26">
        <f t="shared" si="201"/>
        <v>5480.6689999999999</v>
      </c>
      <c r="T175" s="26">
        <f t="shared" si="201"/>
        <v>0</v>
      </c>
      <c r="U175" s="26">
        <f t="shared" si="201"/>
        <v>2612.6579999999994</v>
      </c>
      <c r="V175" s="26">
        <f t="shared" si="201"/>
        <v>0</v>
      </c>
      <c r="W175" s="26">
        <f t="shared" si="201"/>
        <v>8093.3269999999993</v>
      </c>
      <c r="X175" s="26">
        <f t="shared" si="201"/>
        <v>0</v>
      </c>
      <c r="Y175" s="26">
        <f t="shared" si="201"/>
        <v>1543.8019999999997</v>
      </c>
      <c r="Z175" s="26">
        <f t="shared" si="201"/>
        <v>0</v>
      </c>
      <c r="AA175" s="26">
        <f t="shared" si="201"/>
        <v>6987.4540000000006</v>
      </c>
      <c r="AB175" s="26">
        <f t="shared" si="201"/>
        <v>0</v>
      </c>
      <c r="AC175" s="26">
        <f t="shared" si="201"/>
        <v>9637.1290000000008</v>
      </c>
      <c r="AD175" s="26">
        <f t="shared" si="201"/>
        <v>0</v>
      </c>
      <c r="AE175" s="26">
        <f t="shared" si="201"/>
        <v>0</v>
      </c>
      <c r="AF175" s="26">
        <f t="shared" si="201"/>
        <v>0</v>
      </c>
      <c r="AG175" s="26">
        <f t="shared" si="201"/>
        <v>9637.1290000000008</v>
      </c>
      <c r="AH175" s="26">
        <f t="shared" si="201"/>
        <v>0</v>
      </c>
      <c r="AI175" s="26">
        <f t="shared" si="201"/>
        <v>1341.9749999999999</v>
      </c>
      <c r="AJ175" s="26">
        <f t="shared" si="201"/>
        <v>0</v>
      </c>
      <c r="AK175" s="26">
        <f t="shared" si="201"/>
        <v>10979.103999999999</v>
      </c>
      <c r="AL175" s="26">
        <f t="shared" si="201"/>
        <v>0</v>
      </c>
      <c r="AM175" s="26">
        <f t="shared" ref="AM175:BG175" si="202">SUM(AM74:AM77)</f>
        <v>0</v>
      </c>
      <c r="AN175" s="26">
        <f t="shared" si="202"/>
        <v>0</v>
      </c>
      <c r="AO175" s="26">
        <f t="shared" si="202"/>
        <v>1341.9749999999999</v>
      </c>
      <c r="AP175" s="26">
        <f t="shared" si="202"/>
        <v>0</v>
      </c>
      <c r="AQ175" s="26">
        <f t="shared" si="202"/>
        <v>10979.103999999999</v>
      </c>
      <c r="AR175" s="26">
        <f t="shared" si="202"/>
        <v>0</v>
      </c>
      <c r="AS175" s="26">
        <f t="shared" si="202"/>
        <v>4298.6260000000002</v>
      </c>
      <c r="AT175" s="26">
        <f t="shared" si="202"/>
        <v>0</v>
      </c>
      <c r="AU175" s="26">
        <f t="shared" si="202"/>
        <v>15277.73</v>
      </c>
      <c r="AV175" s="26">
        <f t="shared" si="202"/>
        <v>0</v>
      </c>
      <c r="AW175" s="26">
        <f t="shared" si="202"/>
        <v>0</v>
      </c>
      <c r="AX175" s="26">
        <f t="shared" si="202"/>
        <v>0</v>
      </c>
      <c r="AY175" s="26">
        <f t="shared" si="202"/>
        <v>15277.73</v>
      </c>
      <c r="AZ175" s="26">
        <f t="shared" si="202"/>
        <v>0</v>
      </c>
      <c r="BA175" s="26">
        <f t="shared" si="202"/>
        <v>2231.7529999999997</v>
      </c>
      <c r="BB175" s="26">
        <f t="shared" si="202"/>
        <v>0</v>
      </c>
      <c r="BC175" s="26">
        <f t="shared" si="202"/>
        <v>6530.3789999999999</v>
      </c>
      <c r="BD175" s="26">
        <f t="shared" si="202"/>
        <v>0</v>
      </c>
      <c r="BE175" s="26">
        <f t="shared" si="202"/>
        <v>7872.3539999999994</v>
      </c>
      <c r="BF175" s="26">
        <f t="shared" si="202"/>
        <v>0</v>
      </c>
      <c r="BG175" s="26">
        <f t="shared" si="202"/>
        <v>17509.483</v>
      </c>
      <c r="BH175" s="26"/>
      <c r="BI175" s="26"/>
      <c r="BJ175" s="26"/>
    </row>
    <row r="176" spans="2:64" hidden="1" x14ac:dyDescent="0.3">
      <c r="G176" s="26">
        <f t="shared" ref="G176:AD176" si="203">SUM(G170:G175)</f>
        <v>49543.777000000002</v>
      </c>
      <c r="H176" s="26">
        <f t="shared" si="203"/>
        <v>0</v>
      </c>
      <c r="I176" s="26">
        <f t="shared" si="203"/>
        <v>57219.144</v>
      </c>
      <c r="J176" s="26">
        <f t="shared" si="203"/>
        <v>0</v>
      </c>
      <c r="K176" s="26">
        <f t="shared" si="203"/>
        <v>106762.921</v>
      </c>
      <c r="L176" s="26">
        <f t="shared" si="203"/>
        <v>0</v>
      </c>
      <c r="M176" s="26">
        <f t="shared" si="203"/>
        <v>58674.632999999994</v>
      </c>
      <c r="N176" s="26">
        <f t="shared" si="203"/>
        <v>0</v>
      </c>
      <c r="O176" s="26">
        <f t="shared" si="203"/>
        <v>165437.55399999997</v>
      </c>
      <c r="P176" s="26">
        <f t="shared" si="203"/>
        <v>0</v>
      </c>
      <c r="Q176" s="26">
        <f t="shared" si="203"/>
        <v>57327.38700000001</v>
      </c>
      <c r="R176" s="26">
        <f t="shared" si="203"/>
        <v>0</v>
      </c>
      <c r="S176" s="26">
        <f t="shared" si="203"/>
        <v>222764.94099999996</v>
      </c>
      <c r="T176" s="26">
        <f t="shared" si="203"/>
        <v>0</v>
      </c>
      <c r="U176" s="26">
        <f t="shared" si="203"/>
        <v>44406.292999999991</v>
      </c>
      <c r="V176" s="26">
        <f t="shared" si="203"/>
        <v>0</v>
      </c>
      <c r="W176" s="26">
        <f t="shared" si="203"/>
        <v>267171.234</v>
      </c>
      <c r="X176" s="26">
        <f t="shared" si="203"/>
        <v>0</v>
      </c>
      <c r="Y176" s="26">
        <f t="shared" si="203"/>
        <v>49996.716</v>
      </c>
      <c r="Z176" s="26">
        <f t="shared" si="203"/>
        <v>0</v>
      </c>
      <c r="AA176" s="26">
        <f t="shared" si="203"/>
        <v>151730.39600000001</v>
      </c>
      <c r="AB176" s="26">
        <f t="shared" si="203"/>
        <v>0</v>
      </c>
      <c r="AC176" s="26">
        <f t="shared" si="203"/>
        <v>317167.95</v>
      </c>
      <c r="AD176" s="26">
        <f t="shared" si="203"/>
        <v>0</v>
      </c>
      <c r="AE176" s="26">
        <f t="shared" ref="AE176" si="204">SUM(AE170:AE175)</f>
        <v>29659.897000000004</v>
      </c>
      <c r="AF176" s="26">
        <f t="shared" ref="AF176:BG176" si="205">SUM(AF170:AF175)</f>
        <v>0</v>
      </c>
      <c r="AG176" s="26">
        <f t="shared" si="205"/>
        <v>346827.84700000001</v>
      </c>
      <c r="AH176" s="26">
        <f t="shared" si="205"/>
        <v>0</v>
      </c>
      <c r="AI176" s="26">
        <f t="shared" si="205"/>
        <v>49060.043999999994</v>
      </c>
      <c r="AJ176" s="26">
        <f t="shared" si="205"/>
        <v>0</v>
      </c>
      <c r="AK176" s="26">
        <f t="shared" si="205"/>
        <v>395887.89100000006</v>
      </c>
      <c r="AL176" s="26">
        <f t="shared" ref="AL176:AM176" si="206">SUM(AL170:AL175)</f>
        <v>0</v>
      </c>
      <c r="AM176" s="26">
        <f t="shared" si="206"/>
        <v>52987.179999999993</v>
      </c>
      <c r="AN176" s="26">
        <f t="shared" si="205"/>
        <v>0</v>
      </c>
      <c r="AO176" s="26">
        <f t="shared" si="205"/>
        <v>131707.12099999998</v>
      </c>
      <c r="AP176" s="26">
        <f t="shared" si="205"/>
        <v>0</v>
      </c>
      <c r="AQ176" s="26">
        <f t="shared" si="205"/>
        <v>448875.07100000005</v>
      </c>
      <c r="AR176" s="26">
        <f t="shared" si="205"/>
        <v>0</v>
      </c>
      <c r="AS176" s="26">
        <f t="shared" si="205"/>
        <v>56169.978000000017</v>
      </c>
      <c r="AT176" s="26">
        <f t="shared" si="205"/>
        <v>0</v>
      </c>
      <c r="AU176" s="26">
        <f t="shared" si="205"/>
        <v>505045.04900000012</v>
      </c>
      <c r="AV176" s="26">
        <f t="shared" si="205"/>
        <v>0</v>
      </c>
      <c r="AW176" s="26">
        <f t="shared" si="205"/>
        <v>54279.398000000001</v>
      </c>
      <c r="AX176" s="26">
        <f t="shared" si="205"/>
        <v>0</v>
      </c>
      <c r="AY176" s="26">
        <f t="shared" si="205"/>
        <v>559324.44699999993</v>
      </c>
      <c r="AZ176" s="26">
        <f t="shared" si="205"/>
        <v>0</v>
      </c>
      <c r="BA176" s="26">
        <f t="shared" si="205"/>
        <v>63120.145999999979</v>
      </c>
      <c r="BB176" s="26">
        <f t="shared" si="205"/>
        <v>0</v>
      </c>
      <c r="BC176" s="26">
        <f t="shared" si="205"/>
        <v>173569.52199999997</v>
      </c>
      <c r="BD176" s="26">
        <f t="shared" si="205"/>
        <v>0</v>
      </c>
      <c r="BE176" s="26">
        <f t="shared" si="205"/>
        <v>305276.64300000004</v>
      </c>
      <c r="BF176" s="26">
        <f t="shared" si="205"/>
        <v>0</v>
      </c>
      <c r="BG176" s="26">
        <f t="shared" si="205"/>
        <v>622444.59299999999</v>
      </c>
      <c r="BH176" s="26"/>
      <c r="BI176" s="26"/>
    </row>
    <row r="178" spans="7:59" x14ac:dyDescent="0.3"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</row>
  </sheetData>
  <mergeCells count="31">
    <mergeCell ref="B3:B4"/>
    <mergeCell ref="E3:E4"/>
    <mergeCell ref="F3:G3"/>
    <mergeCell ref="H3:I3"/>
    <mergeCell ref="J3:K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L3:M3"/>
    <mergeCell ref="C3:C4"/>
    <mergeCell ref="D3:D4"/>
    <mergeCell ref="N3:O3"/>
    <mergeCell ref="P3:Q3"/>
    <mergeCell ref="AR3:AS3"/>
    <mergeCell ref="AT3:AU3"/>
    <mergeCell ref="AL3:AM3"/>
    <mergeCell ref="AN3:AO3"/>
    <mergeCell ref="AP3:AQ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3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F97575"/>
    <pageSetUpPr fitToPage="1"/>
  </sheetPr>
  <dimension ref="A1:DA66"/>
  <sheetViews>
    <sheetView topLeftCell="E1" zoomScale="115" zoomScaleNormal="115" workbookViewId="0">
      <pane xSplit="1" topLeftCell="CA1" activePane="topRight" state="frozen"/>
      <selection activeCell="G62" sqref="G62"/>
      <selection pane="topRight" activeCell="BQ61" sqref="BQ61"/>
    </sheetView>
  </sheetViews>
  <sheetFormatPr defaultColWidth="9.109375" defaultRowHeight="15.6" x14ac:dyDescent="0.3"/>
  <cols>
    <col min="1" max="4" width="9.109375" style="1139"/>
    <col min="5" max="5" width="55.109375" style="1139" bestFit="1" customWidth="1"/>
    <col min="6" max="6" width="15.5546875" style="1139" hidden="1" customWidth="1"/>
    <col min="7" max="7" width="11.88671875" style="1139" hidden="1" customWidth="1"/>
    <col min="8" max="8" width="10.44140625" style="1139" hidden="1" customWidth="1"/>
    <col min="9" max="10" width="9.6640625" style="1139" hidden="1" customWidth="1"/>
    <col min="11" max="12" width="8.44140625" style="1139" hidden="1" customWidth="1"/>
    <col min="13" max="14" width="7.88671875" style="1139" hidden="1" customWidth="1"/>
    <col min="15" max="15" width="8.44140625" style="1139" hidden="1" customWidth="1"/>
    <col min="16" max="16" width="9.88671875" style="1139" hidden="1" customWidth="1"/>
    <col min="17" max="17" width="8.44140625" style="1139" hidden="1" customWidth="1"/>
    <col min="18" max="23" width="9.88671875" style="1139" hidden="1" customWidth="1"/>
    <col min="24" max="25" width="12" style="1139" hidden="1" customWidth="1"/>
    <col min="26" max="26" width="9.109375" style="1139" hidden="1" customWidth="1"/>
    <col min="27" max="29" width="8.33203125" style="1139" hidden="1" customWidth="1"/>
    <col min="30" max="30" width="8.6640625" style="1139" hidden="1" customWidth="1"/>
    <col min="31" max="34" width="8.33203125" style="1139" hidden="1" customWidth="1"/>
    <col min="35" max="35" width="8.88671875" style="1139" hidden="1" customWidth="1"/>
    <col min="36" max="38" width="8.33203125" style="1139" hidden="1" customWidth="1"/>
    <col min="39" max="39" width="8.109375" style="1139" hidden="1" customWidth="1"/>
    <col min="40" max="40" width="9.44140625" style="1139" hidden="1" customWidth="1"/>
    <col min="41" max="42" width="8.33203125" style="1139" hidden="1" customWidth="1"/>
    <col min="43" max="43" width="9" style="1139" hidden="1" customWidth="1"/>
    <col min="44" max="44" width="13.33203125" style="1139" hidden="1" customWidth="1"/>
    <col min="45" max="45" width="13.33203125" style="3935" hidden="1" customWidth="1"/>
    <col min="46" max="46" width="5.44140625" style="1139" hidden="1" customWidth="1"/>
    <col min="47" max="47" width="16" style="1139" customWidth="1"/>
    <col min="48" max="48" width="16" style="1139" hidden="1" customWidth="1"/>
    <col min="49" max="49" width="11.44140625" style="1139" customWidth="1"/>
    <col min="50" max="52" width="18.109375" style="1139" hidden="1" customWidth="1"/>
    <col min="53" max="53" width="10.109375" style="1139" customWidth="1"/>
    <col min="54" max="54" width="10.109375" style="1139" hidden="1" customWidth="1"/>
    <col min="55" max="55" width="10.109375" style="1139" customWidth="1"/>
    <col min="56" max="56" width="10.109375" style="1139" hidden="1" customWidth="1"/>
    <col min="57" max="57" width="10.109375" style="1139" customWidth="1"/>
    <col min="58" max="60" width="10.109375" style="1139" hidden="1" customWidth="1"/>
    <col min="61" max="61" width="10.109375" style="1139" customWidth="1"/>
    <col min="62" max="64" width="10.109375" style="1139" hidden="1" customWidth="1"/>
    <col min="65" max="65" width="10.109375" style="1139" customWidth="1"/>
    <col min="66" max="66" width="10.109375" style="1139" hidden="1" customWidth="1"/>
    <col min="67" max="67" width="10.109375" style="1139" customWidth="1"/>
    <col min="68" max="68" width="10.109375" style="1139" hidden="1" customWidth="1"/>
    <col min="69" max="69" width="10.109375" style="1139" customWidth="1"/>
    <col min="70" max="70" width="10.109375" style="1139" hidden="1" customWidth="1"/>
    <col min="71" max="71" width="10.109375" style="1139" customWidth="1"/>
    <col min="72" max="74" width="10.109375" style="1139" hidden="1" customWidth="1"/>
    <col min="75" max="75" width="10.109375" style="1139" customWidth="1"/>
    <col min="76" max="78" width="10.109375" style="1139" hidden="1" customWidth="1"/>
    <col min="79" max="79" width="10.109375" style="1139" customWidth="1"/>
    <col min="80" max="80" width="10.109375" style="1139" hidden="1" customWidth="1"/>
    <col min="81" max="81" width="10.109375" style="1139" customWidth="1"/>
    <col min="82" max="84" width="10.109375" style="1139" hidden="1" customWidth="1"/>
    <col min="85" max="85" width="10.109375" style="1139" customWidth="1"/>
    <col min="86" max="88" width="10.109375" style="1139" hidden="1" customWidth="1"/>
    <col min="89" max="89" width="10.109375" style="1139" customWidth="1"/>
    <col min="90" max="92" width="10.109375" style="1139" hidden="1" customWidth="1"/>
    <col min="93" max="93" width="10.109375" style="1139" customWidth="1"/>
    <col min="94" max="94" width="10.109375" style="1139" hidden="1" customWidth="1"/>
    <col min="95" max="95" width="10.109375" style="1139" customWidth="1"/>
    <col min="96" max="96" width="10.109375" style="1139" hidden="1" customWidth="1"/>
    <col min="97" max="97" width="10.109375" style="1139" customWidth="1"/>
    <col min="98" max="98" width="10.109375" style="1139" hidden="1" customWidth="1"/>
    <col min="99" max="100" width="10.6640625" style="1139" customWidth="1"/>
    <col min="101" max="102" width="9.109375" style="1139" customWidth="1"/>
    <col min="103" max="103" width="44.44140625" style="1139" customWidth="1"/>
    <col min="104" max="104" width="9.109375" style="1139" customWidth="1"/>
    <col min="105" max="105" width="12" style="1139" customWidth="1"/>
    <col min="106" max="16384" width="9.109375" style="1139"/>
  </cols>
  <sheetData>
    <row r="1" spans="1:101" x14ac:dyDescent="0.3">
      <c r="A1" s="3923"/>
      <c r="B1" s="3923"/>
      <c r="C1" s="3923"/>
      <c r="D1" s="3923"/>
      <c r="E1" s="3922" t="s">
        <v>2028</v>
      </c>
      <c r="F1" s="3923"/>
      <c r="G1" s="3923"/>
      <c r="H1" s="3923"/>
      <c r="I1" s="3923"/>
      <c r="J1" s="3923"/>
      <c r="K1" s="3923"/>
      <c r="L1" s="3923"/>
      <c r="M1" s="3923"/>
      <c r="N1" s="3923"/>
      <c r="O1" s="3923"/>
      <c r="P1" s="3923"/>
      <c r="Q1" s="3923"/>
      <c r="R1" s="3923"/>
      <c r="S1" s="3921"/>
      <c r="T1" s="3921"/>
      <c r="U1" s="3921"/>
      <c r="V1" s="3921"/>
      <c r="W1" s="3921"/>
      <c r="X1" s="3923"/>
      <c r="Y1" s="3923"/>
      <c r="Z1" s="3923"/>
      <c r="AA1" s="3923"/>
      <c r="AB1" s="3923"/>
      <c r="AC1" s="3923"/>
      <c r="AD1" s="3923"/>
      <c r="AE1" s="3923"/>
      <c r="AF1" s="3923"/>
      <c r="AG1" s="3923"/>
      <c r="AH1" s="3923"/>
      <c r="AI1" s="3923"/>
      <c r="AJ1" s="3923"/>
      <c r="AK1" s="3923"/>
      <c r="AL1" s="3921"/>
      <c r="AM1" s="3921"/>
      <c r="AN1" s="3921"/>
      <c r="AO1" s="3921"/>
      <c r="AP1" s="3921"/>
      <c r="AQ1" s="3921"/>
      <c r="AR1" s="3923"/>
      <c r="AS1" s="3923"/>
      <c r="AT1" s="3923"/>
      <c r="AU1" s="3923"/>
      <c r="AV1" s="3923"/>
      <c r="AW1" s="3923"/>
      <c r="AX1" s="3923"/>
      <c r="AY1" s="3923"/>
      <c r="AZ1" s="3923"/>
      <c r="BA1" s="3923"/>
      <c r="BB1" s="3923"/>
      <c r="BC1" s="3923"/>
      <c r="BD1" s="3923"/>
      <c r="BE1" s="3923"/>
      <c r="BF1" s="3923"/>
      <c r="BG1" s="3923"/>
      <c r="BH1" s="3923"/>
      <c r="BI1" s="3923"/>
      <c r="BJ1" s="3923"/>
      <c r="BK1" s="3923"/>
      <c r="BL1" s="3923"/>
      <c r="BM1" s="3923"/>
      <c r="BN1" s="3923"/>
      <c r="BO1" s="3923"/>
      <c r="BP1" s="3923"/>
      <c r="BQ1" s="3923"/>
      <c r="BR1" s="3923"/>
      <c r="BS1" s="3923"/>
      <c r="BT1" s="3923"/>
      <c r="BU1" s="3923"/>
      <c r="BV1" s="3923"/>
      <c r="BW1" s="3923"/>
      <c r="BX1" s="3923"/>
      <c r="BY1" s="3923"/>
      <c r="BZ1" s="3923"/>
      <c r="CA1" s="3923"/>
      <c r="CB1" s="3923"/>
      <c r="CC1" s="3923"/>
      <c r="CD1" s="3923"/>
      <c r="CE1" s="3923"/>
      <c r="CF1" s="3923"/>
      <c r="CG1" s="3923"/>
      <c r="CH1" s="3923"/>
      <c r="CI1" s="3923"/>
      <c r="CJ1" s="3923"/>
      <c r="CK1" s="3923"/>
      <c r="CL1" s="3923"/>
      <c r="CM1" s="3923"/>
      <c r="CN1" s="3923"/>
      <c r="CO1" s="3923"/>
      <c r="CP1" s="3923"/>
      <c r="CQ1" s="3923"/>
      <c r="CR1" s="3923"/>
      <c r="CS1" s="3923"/>
      <c r="CT1" s="3923"/>
      <c r="CU1" s="3923"/>
      <c r="CV1" s="3923"/>
    </row>
    <row r="2" spans="1:101" ht="17.399999999999999" x14ac:dyDescent="0.3">
      <c r="A2" s="3923"/>
      <c r="B2" s="3923"/>
      <c r="C2" s="3923"/>
      <c r="D2" s="3923"/>
      <c r="E2" s="6323" t="s">
        <v>1992</v>
      </c>
      <c r="F2" s="6323"/>
      <c r="G2" s="6323"/>
      <c r="H2" s="6323"/>
      <c r="I2" s="6323"/>
      <c r="J2" s="6323"/>
      <c r="K2" s="6323"/>
      <c r="L2" s="6323"/>
      <c r="M2" s="6323"/>
      <c r="N2" s="6323"/>
      <c r="O2" s="6323"/>
      <c r="P2" s="6323"/>
      <c r="Q2" s="6323"/>
      <c r="R2" s="6323"/>
      <c r="S2" s="6323"/>
      <c r="T2" s="6323"/>
      <c r="U2" s="6323"/>
      <c r="V2" s="6323"/>
      <c r="W2" s="6323"/>
      <c r="X2" s="6323"/>
      <c r="Y2" s="6323"/>
      <c r="Z2" s="6323"/>
      <c r="AA2" s="6323"/>
      <c r="AB2" s="6323"/>
      <c r="AC2" s="6323"/>
      <c r="AD2" s="6323"/>
      <c r="AE2" s="6323"/>
      <c r="AF2" s="6323"/>
      <c r="AG2" s="6323"/>
      <c r="AH2" s="6323"/>
      <c r="AI2" s="6323"/>
      <c r="AJ2" s="6323"/>
      <c r="AK2" s="6323"/>
      <c r="AL2" s="6323"/>
      <c r="AM2" s="6323"/>
      <c r="AN2" s="6323"/>
      <c r="AO2" s="6323"/>
      <c r="AP2" s="6323"/>
      <c r="AQ2" s="6323"/>
      <c r="AR2" s="6323"/>
      <c r="AS2" s="6323"/>
      <c r="AT2" s="6323"/>
      <c r="AU2" s="6323"/>
      <c r="AV2" s="6323"/>
      <c r="AW2" s="6323"/>
      <c r="AX2" s="6323"/>
      <c r="AY2" s="6323"/>
      <c r="AZ2" s="6323"/>
      <c r="BA2" s="6323"/>
      <c r="BB2" s="6323"/>
      <c r="BC2" s="6323"/>
      <c r="BD2" s="6323"/>
      <c r="BE2" s="6323"/>
      <c r="BF2" s="6323"/>
      <c r="BG2" s="6323"/>
      <c r="BH2" s="6323"/>
      <c r="BI2" s="6323"/>
      <c r="BJ2" s="6323"/>
      <c r="BK2" s="6323"/>
      <c r="BL2" s="6323"/>
      <c r="BM2" s="6323"/>
      <c r="BN2" s="6323"/>
      <c r="BO2" s="6323"/>
      <c r="BP2" s="6323"/>
      <c r="BQ2" s="6323"/>
      <c r="BR2" s="6323"/>
      <c r="BS2" s="6323"/>
      <c r="BT2" s="6323"/>
      <c r="BU2" s="6323"/>
      <c r="BV2" s="6323"/>
      <c r="BW2" s="6323"/>
      <c r="BX2" s="6323"/>
      <c r="BY2" s="6323"/>
      <c r="BZ2" s="6323"/>
      <c r="CA2" s="6323"/>
      <c r="CB2" s="6323"/>
      <c r="CC2" s="6323"/>
      <c r="CD2" s="6323"/>
      <c r="CE2" s="6323"/>
      <c r="CF2" s="6323"/>
      <c r="CG2" s="6323"/>
      <c r="CH2" s="6323"/>
      <c r="CI2" s="6323"/>
      <c r="CJ2" s="6323"/>
      <c r="CK2" s="6323"/>
      <c r="CL2" s="6323"/>
      <c r="CM2" s="6323"/>
      <c r="CN2" s="6323"/>
      <c r="CO2" s="6323"/>
      <c r="CP2" s="6323"/>
      <c r="CQ2" s="6323"/>
      <c r="CR2" s="6323"/>
      <c r="CS2" s="6323"/>
      <c r="CT2" s="6323"/>
      <c r="CU2" s="6323"/>
      <c r="CV2" s="3959"/>
    </row>
    <row r="3" spans="1:101" ht="16.2" thickBot="1" x14ac:dyDescent="0.35">
      <c r="A3" s="3923"/>
      <c r="B3" s="3923"/>
      <c r="C3" s="3923"/>
      <c r="D3" s="3923"/>
      <c r="E3" s="3922"/>
      <c r="F3" s="3923"/>
      <c r="G3" s="3923"/>
      <c r="H3" s="3923"/>
      <c r="I3" s="3923"/>
      <c r="J3" s="3923"/>
      <c r="K3" s="3923"/>
      <c r="L3" s="3923"/>
      <c r="M3" s="3923"/>
      <c r="N3" s="3923"/>
      <c r="O3" s="3923"/>
      <c r="P3" s="3923"/>
      <c r="Q3" s="3923"/>
      <c r="R3" s="3923"/>
      <c r="S3" s="3923"/>
      <c r="T3" s="3923"/>
      <c r="U3" s="3923"/>
      <c r="V3" s="3923"/>
      <c r="W3" s="3923"/>
      <c r="X3" s="3923"/>
      <c r="Y3" s="3923"/>
      <c r="Z3" s="3923"/>
      <c r="AA3" s="3923"/>
      <c r="AB3" s="3923"/>
      <c r="AC3" s="3923"/>
      <c r="AD3" s="3923"/>
      <c r="AE3" s="3923"/>
      <c r="AF3" s="3923"/>
      <c r="AG3" s="3923"/>
      <c r="AH3" s="3923"/>
      <c r="AI3" s="3923"/>
      <c r="AJ3" s="3923"/>
      <c r="AK3" s="3923"/>
      <c r="AL3" s="3923"/>
      <c r="AM3" s="3923"/>
      <c r="AN3" s="3923"/>
      <c r="AO3" s="3923"/>
      <c r="AP3" s="3923"/>
      <c r="AQ3" s="3923"/>
      <c r="AR3" s="3923"/>
      <c r="AS3" s="3923"/>
      <c r="AT3" s="3923"/>
      <c r="AU3" s="3923"/>
      <c r="AV3" s="3923"/>
      <c r="AW3" s="3923"/>
      <c r="AX3" s="3923"/>
      <c r="AY3" s="3923"/>
      <c r="AZ3" s="3923"/>
      <c r="BA3" s="3923"/>
      <c r="BB3" s="3923"/>
      <c r="BC3" s="3923"/>
      <c r="BD3" s="3923"/>
      <c r="BE3" s="3923"/>
      <c r="BF3" s="3923"/>
      <c r="BG3" s="3923"/>
      <c r="BH3" s="3923"/>
      <c r="BI3" s="3923"/>
      <c r="BJ3" s="3923"/>
      <c r="BK3" s="3923"/>
      <c r="BL3" s="3923"/>
      <c r="BM3" s="3921"/>
      <c r="BN3" s="3921"/>
      <c r="BO3" s="3921"/>
      <c r="BP3" s="3921"/>
      <c r="BQ3" s="3921"/>
      <c r="BR3" s="3921"/>
      <c r="BS3" s="3923"/>
      <c r="BT3" s="3923"/>
      <c r="BU3" s="3923"/>
      <c r="BV3" s="3923"/>
      <c r="BW3" s="3923"/>
      <c r="BX3" s="3923"/>
      <c r="BY3" s="3923"/>
      <c r="BZ3" s="3923"/>
      <c r="CA3" s="3923"/>
      <c r="CB3" s="3923"/>
      <c r="CC3" s="3923"/>
      <c r="CD3" s="3923"/>
      <c r="CE3" s="3923"/>
      <c r="CF3" s="3923"/>
      <c r="CG3" s="3923"/>
      <c r="CH3" s="3923"/>
      <c r="CI3" s="3923"/>
      <c r="CJ3" s="3923"/>
      <c r="CK3" s="3923"/>
      <c r="CL3" s="3923"/>
      <c r="CM3" s="3923"/>
      <c r="CN3" s="3923"/>
      <c r="CO3" s="3923"/>
      <c r="CP3" s="3923"/>
      <c r="CQ3" s="3923"/>
      <c r="CR3" s="3923"/>
      <c r="CS3" s="3923"/>
      <c r="CT3" s="3923"/>
      <c r="CU3" s="3923"/>
      <c r="CV3" s="3920"/>
    </row>
    <row r="4" spans="1:101" ht="16.2" thickBot="1" x14ac:dyDescent="0.35">
      <c r="A4" s="3958"/>
      <c r="B4" s="3958"/>
      <c r="C4" s="3958"/>
      <c r="D4" s="3958"/>
      <c r="E4" s="3957"/>
      <c r="F4" s="6324" t="s">
        <v>639</v>
      </c>
      <c r="G4" s="6325"/>
      <c r="H4" s="6325"/>
      <c r="I4" s="6325"/>
      <c r="J4" s="6325"/>
      <c r="K4" s="6325"/>
      <c r="L4" s="6325"/>
      <c r="M4" s="6325"/>
      <c r="N4" s="6325"/>
      <c r="O4" s="6325"/>
      <c r="P4" s="6325"/>
      <c r="Q4" s="6325"/>
      <c r="R4" s="6325"/>
      <c r="S4" s="6325"/>
      <c r="T4" s="6325"/>
      <c r="U4" s="6325"/>
      <c r="V4" s="6325"/>
      <c r="W4" s="6325"/>
      <c r="X4" s="6326"/>
      <c r="Y4" s="6327" t="s">
        <v>640</v>
      </c>
      <c r="Z4" s="6328"/>
      <c r="AA4" s="6328"/>
      <c r="AB4" s="6329"/>
      <c r="AC4" s="6329"/>
      <c r="AD4" s="6329"/>
      <c r="AE4" s="6329"/>
      <c r="AF4" s="6329"/>
      <c r="AG4" s="6329"/>
      <c r="AH4" s="6329"/>
      <c r="AI4" s="6329"/>
      <c r="AJ4" s="6329"/>
      <c r="AK4" s="6329"/>
      <c r="AL4" s="6329"/>
      <c r="AM4" s="6329"/>
      <c r="AN4" s="6329"/>
      <c r="AO4" s="6329"/>
      <c r="AP4" s="6329"/>
      <c r="AQ4" s="6329"/>
      <c r="AR4" s="3956" t="s">
        <v>126</v>
      </c>
      <c r="AS4" s="3914"/>
      <c r="AT4" s="6330" t="s">
        <v>1962</v>
      </c>
      <c r="AU4" s="6331"/>
      <c r="AV4" s="6321" t="s">
        <v>2013</v>
      </c>
      <c r="AW4" s="6316"/>
      <c r="AX4" s="6319" t="s">
        <v>14</v>
      </c>
      <c r="AY4" s="6320"/>
      <c r="AZ4" s="6332" t="s">
        <v>2043</v>
      </c>
      <c r="BA4" s="6333"/>
      <c r="BB4" s="6334" t="s">
        <v>637</v>
      </c>
      <c r="BC4" s="6335"/>
      <c r="BD4" s="6315" t="s">
        <v>2065</v>
      </c>
      <c r="BE4" s="6316"/>
      <c r="BF4" s="6319" t="s">
        <v>17</v>
      </c>
      <c r="BG4" s="6320"/>
      <c r="BH4" s="6315" t="s">
        <v>2068</v>
      </c>
      <c r="BI4" s="6316"/>
      <c r="BJ4" s="6319" t="s">
        <v>18</v>
      </c>
      <c r="BK4" s="6320"/>
      <c r="BL4" s="6321" t="s">
        <v>2110</v>
      </c>
      <c r="BM4" s="6322"/>
      <c r="BN4" s="6317" t="s">
        <v>833</v>
      </c>
      <c r="BO4" s="6317"/>
      <c r="BP4" s="6318" t="s">
        <v>657</v>
      </c>
      <c r="BQ4" s="6318"/>
      <c r="BR4" s="6315" t="s">
        <v>2135</v>
      </c>
      <c r="BS4" s="6316"/>
      <c r="BT4" s="6319" t="s">
        <v>24</v>
      </c>
      <c r="BU4" s="6320"/>
      <c r="BV4" s="6315" t="s">
        <v>2238</v>
      </c>
      <c r="BW4" s="6316"/>
      <c r="BX4" s="6319" t="s">
        <v>27</v>
      </c>
      <c r="BY4" s="6320"/>
      <c r="BZ4" s="6321" t="s">
        <v>2262</v>
      </c>
      <c r="CA4" s="6322"/>
      <c r="CB4" s="6317" t="s">
        <v>1612</v>
      </c>
      <c r="CC4" s="6317"/>
      <c r="CD4" s="6319" t="s">
        <v>1613</v>
      </c>
      <c r="CE4" s="6320"/>
      <c r="CF4" s="6315" t="s">
        <v>2274</v>
      </c>
      <c r="CG4" s="6316"/>
      <c r="CH4" s="6319" t="s">
        <v>28</v>
      </c>
      <c r="CI4" s="6320"/>
      <c r="CJ4" s="6315" t="s">
        <v>2311</v>
      </c>
      <c r="CK4" s="6316"/>
      <c r="CL4" s="6319" t="s">
        <v>30</v>
      </c>
      <c r="CM4" s="6320"/>
      <c r="CN4" s="6315" t="s">
        <v>2329</v>
      </c>
      <c r="CO4" s="6316"/>
      <c r="CP4" s="6317" t="s">
        <v>1648</v>
      </c>
      <c r="CQ4" s="6317"/>
      <c r="CR4" s="6318" t="s">
        <v>670</v>
      </c>
      <c r="CS4" s="6318"/>
      <c r="CT4" s="6319" t="s">
        <v>2041</v>
      </c>
      <c r="CU4" s="6320"/>
      <c r="CV4" s="3920"/>
    </row>
    <row r="5" spans="1:101" ht="16.2" thickBot="1" x14ac:dyDescent="0.35">
      <c r="A5" s="3958"/>
      <c r="B5" s="3958"/>
      <c r="C5" s="3958"/>
      <c r="D5" s="3958" t="s">
        <v>1380</v>
      </c>
      <c r="E5" s="3919"/>
      <c r="F5" s="3918" t="s">
        <v>1991</v>
      </c>
      <c r="G5" s="3917" t="s">
        <v>2020</v>
      </c>
      <c r="H5" s="3917" t="s">
        <v>2030</v>
      </c>
      <c r="I5" s="3955" t="s">
        <v>637</v>
      </c>
      <c r="J5" s="3916" t="s">
        <v>2031</v>
      </c>
      <c r="K5" s="3916" t="s">
        <v>2032</v>
      </c>
      <c r="L5" s="3916" t="s">
        <v>2033</v>
      </c>
      <c r="M5" s="3955" t="s">
        <v>660</v>
      </c>
      <c r="N5" s="3954" t="s">
        <v>512</v>
      </c>
      <c r="O5" s="3916" t="s">
        <v>2034</v>
      </c>
      <c r="P5" s="3916" t="s">
        <v>2035</v>
      </c>
      <c r="Q5" s="3916" t="s">
        <v>2036</v>
      </c>
      <c r="R5" s="3955" t="s">
        <v>662</v>
      </c>
      <c r="S5" s="3953" t="s">
        <v>2037</v>
      </c>
      <c r="T5" s="3953" t="s">
        <v>2038</v>
      </c>
      <c r="U5" s="3953" t="s">
        <v>2039</v>
      </c>
      <c r="V5" s="3955" t="s">
        <v>663</v>
      </c>
      <c r="W5" s="3955" t="s">
        <v>550</v>
      </c>
      <c r="X5" s="3952" t="s">
        <v>2041</v>
      </c>
      <c r="Y5" s="3940" t="s">
        <v>1991</v>
      </c>
      <c r="Z5" s="3915" t="s">
        <v>2020</v>
      </c>
      <c r="AA5" s="3915" t="s">
        <v>2030</v>
      </c>
      <c r="AB5" s="3915" t="s">
        <v>637</v>
      </c>
      <c r="AC5" s="3915" t="s">
        <v>2031</v>
      </c>
      <c r="AD5" s="3915" t="s">
        <v>2032</v>
      </c>
      <c r="AE5" s="3951" t="s">
        <v>2033</v>
      </c>
      <c r="AF5" s="3950" t="s">
        <v>660</v>
      </c>
      <c r="AG5" s="3954" t="s">
        <v>512</v>
      </c>
      <c r="AH5" s="3951" t="s">
        <v>2034</v>
      </c>
      <c r="AI5" s="3951" t="s">
        <v>2035</v>
      </c>
      <c r="AJ5" s="3951" t="s">
        <v>2036</v>
      </c>
      <c r="AK5" s="3950" t="s">
        <v>662</v>
      </c>
      <c r="AL5" s="3951" t="s">
        <v>2037</v>
      </c>
      <c r="AM5" s="3951" t="s">
        <v>2038</v>
      </c>
      <c r="AN5" s="3949" t="s">
        <v>2039</v>
      </c>
      <c r="AO5" s="3950" t="s">
        <v>663</v>
      </c>
      <c r="AP5" s="3954" t="s">
        <v>550</v>
      </c>
      <c r="AQ5" s="3937" t="s">
        <v>2041</v>
      </c>
      <c r="AR5" s="3948" t="s">
        <v>2041</v>
      </c>
      <c r="AS5" s="3947"/>
      <c r="AT5" s="2985" t="s">
        <v>173</v>
      </c>
      <c r="AU5" s="2430" t="s">
        <v>174</v>
      </c>
      <c r="AV5" s="2986" t="s">
        <v>173</v>
      </c>
      <c r="AW5" s="2987" t="s">
        <v>174</v>
      </c>
      <c r="AX5" s="2988" t="s">
        <v>173</v>
      </c>
      <c r="AY5" s="2989" t="s">
        <v>174</v>
      </c>
      <c r="AZ5" s="2990" t="s">
        <v>173</v>
      </c>
      <c r="BA5" s="2991" t="s">
        <v>174</v>
      </c>
      <c r="BB5" s="2992" t="s">
        <v>173</v>
      </c>
      <c r="BC5" s="2993" t="s">
        <v>174</v>
      </c>
      <c r="BD5" s="2990" t="s">
        <v>173</v>
      </c>
      <c r="BE5" s="2987" t="s">
        <v>174</v>
      </c>
      <c r="BF5" s="2988" t="s">
        <v>173</v>
      </c>
      <c r="BG5" s="2989" t="s">
        <v>174</v>
      </c>
      <c r="BH5" s="2990" t="s">
        <v>173</v>
      </c>
      <c r="BI5" s="2987" t="s">
        <v>174</v>
      </c>
      <c r="BJ5" s="2988" t="s">
        <v>173</v>
      </c>
      <c r="BK5" s="2989" t="s">
        <v>174</v>
      </c>
      <c r="BL5" s="2995" t="s">
        <v>173</v>
      </c>
      <c r="BM5" s="797" t="s">
        <v>174</v>
      </c>
      <c r="BN5" s="2996" t="s">
        <v>173</v>
      </c>
      <c r="BO5" s="2996" t="s">
        <v>174</v>
      </c>
      <c r="BP5" s="2997" t="s">
        <v>173</v>
      </c>
      <c r="BQ5" s="2997" t="s">
        <v>174</v>
      </c>
      <c r="BR5" s="2994" t="s">
        <v>173</v>
      </c>
      <c r="BS5" s="2987" t="s">
        <v>174</v>
      </c>
      <c r="BT5" s="2988" t="s">
        <v>173</v>
      </c>
      <c r="BU5" s="2989" t="s">
        <v>174</v>
      </c>
      <c r="BV5" s="2994" t="s">
        <v>173</v>
      </c>
      <c r="BW5" s="2987" t="s">
        <v>174</v>
      </c>
      <c r="BX5" s="2988" t="s">
        <v>173</v>
      </c>
      <c r="BY5" s="2989" t="s">
        <v>174</v>
      </c>
      <c r="BZ5" s="2995" t="s">
        <v>173</v>
      </c>
      <c r="CA5" s="797" t="s">
        <v>174</v>
      </c>
      <c r="CB5" s="2996" t="s">
        <v>173</v>
      </c>
      <c r="CC5" s="2996" t="s">
        <v>174</v>
      </c>
      <c r="CD5" s="2988" t="s">
        <v>173</v>
      </c>
      <c r="CE5" s="2989" t="s">
        <v>174</v>
      </c>
      <c r="CF5" s="2994" t="s">
        <v>173</v>
      </c>
      <c r="CG5" s="2987" t="s">
        <v>174</v>
      </c>
      <c r="CH5" s="2988" t="s">
        <v>173</v>
      </c>
      <c r="CI5" s="2989" t="s">
        <v>174</v>
      </c>
      <c r="CJ5" s="2994" t="s">
        <v>173</v>
      </c>
      <c r="CK5" s="2987" t="s">
        <v>174</v>
      </c>
      <c r="CL5" s="2988" t="s">
        <v>173</v>
      </c>
      <c r="CM5" s="2989" t="s">
        <v>174</v>
      </c>
      <c r="CN5" s="2994" t="s">
        <v>173</v>
      </c>
      <c r="CO5" s="2987" t="s">
        <v>174</v>
      </c>
      <c r="CP5" s="2996" t="s">
        <v>173</v>
      </c>
      <c r="CQ5" s="2996" t="s">
        <v>174</v>
      </c>
      <c r="CR5" s="2997" t="s">
        <v>173</v>
      </c>
      <c r="CS5" s="2997" t="s">
        <v>174</v>
      </c>
      <c r="CT5" s="2988" t="s">
        <v>173</v>
      </c>
      <c r="CU5" s="2989" t="s">
        <v>174</v>
      </c>
      <c r="CV5" s="3920"/>
    </row>
    <row r="6" spans="1:101" x14ac:dyDescent="0.3">
      <c r="A6" s="3958"/>
      <c r="B6" s="3958"/>
      <c r="C6" s="3958"/>
      <c r="D6" s="3958"/>
      <c r="E6" s="4563" t="s">
        <v>1385</v>
      </c>
      <c r="F6" s="3939">
        <v>6517</v>
      </c>
      <c r="G6" s="3901">
        <v>6638</v>
      </c>
      <c r="H6" s="3901">
        <v>8371</v>
      </c>
      <c r="I6" s="3946">
        <f>SUM(F6:H6)</f>
        <v>21526</v>
      </c>
      <c r="J6" s="3901">
        <v>10061</v>
      </c>
      <c r="K6" s="3901">
        <v>12624.808000000001</v>
      </c>
      <c r="L6" s="3901">
        <v>10642</v>
      </c>
      <c r="M6" s="3946">
        <f>J6+K6+L6</f>
        <v>33327.808000000005</v>
      </c>
      <c r="N6" s="3945">
        <f>I6+M6</f>
        <v>54853.808000000005</v>
      </c>
      <c r="O6" s="3897">
        <v>7992</v>
      </c>
      <c r="P6" s="3897">
        <v>11639.032999999999</v>
      </c>
      <c r="Q6" s="3901">
        <v>8753</v>
      </c>
      <c r="R6" s="3946">
        <f>O6+P6+Q6</f>
        <v>28384.032999999999</v>
      </c>
      <c r="S6" s="3901">
        <v>7469</v>
      </c>
      <c r="T6" s="3901">
        <v>8110.69</v>
      </c>
      <c r="U6" s="3944">
        <v>5642.4040000000005</v>
      </c>
      <c r="V6" s="3946">
        <f>S6+T6+U6</f>
        <v>21222.093999999997</v>
      </c>
      <c r="W6" s="3945">
        <f>R6+V6</f>
        <v>49606.126999999993</v>
      </c>
      <c r="X6" s="3913">
        <f>+I6+M6+R6+V6</f>
        <v>104459.935</v>
      </c>
      <c r="Y6" s="3912">
        <v>0</v>
      </c>
      <c r="Z6" s="3901">
        <v>0</v>
      </c>
      <c r="AA6" s="3901"/>
      <c r="AB6" s="3946">
        <f t="shared" ref="AB6:AB59" si="0">+Y6+Z6+AA6</f>
        <v>0</v>
      </c>
      <c r="AC6" s="3901"/>
      <c r="AD6" s="3901"/>
      <c r="AE6" s="3901"/>
      <c r="AF6" s="3911">
        <f t="shared" ref="AF6:AF55" si="1">SUM(AC6:AE6)</f>
        <v>0</v>
      </c>
      <c r="AG6" s="3945">
        <f t="shared" ref="AG6:AG54" si="2">+AB6+AF6</f>
        <v>0</v>
      </c>
      <c r="AH6" s="3897"/>
      <c r="AI6" s="3897"/>
      <c r="AJ6" s="3897"/>
      <c r="AK6" s="3946">
        <f t="shared" ref="AK6:AK59" si="3">SUM(AH6:AJ6)</f>
        <v>0</v>
      </c>
      <c r="AL6" s="3901"/>
      <c r="AM6" s="3901"/>
      <c r="AN6" s="3944"/>
      <c r="AO6" s="3946">
        <f t="shared" ref="AO6" si="4">+AL6+AM6+AN6</f>
        <v>0</v>
      </c>
      <c r="AP6" s="3945">
        <f t="shared" ref="AP6" si="5">+AK6+AO6</f>
        <v>0</v>
      </c>
      <c r="AQ6" s="3910">
        <f>+AB6+AF6+AK6+AO6</f>
        <v>0</v>
      </c>
      <c r="AR6" s="3900">
        <f t="shared" ref="AR6:AR55" si="6">+X6+AQ6</f>
        <v>104459.935</v>
      </c>
      <c r="AS6" s="3943"/>
      <c r="AT6" s="3903"/>
      <c r="AU6" s="3909">
        <f>+F6+Y6</f>
        <v>6517</v>
      </c>
      <c r="AV6" s="3908"/>
      <c r="AW6" s="3907">
        <f>+G6+Z6</f>
        <v>6638</v>
      </c>
      <c r="AX6" s="3906"/>
      <c r="AY6" s="3906">
        <f>AU6+AW6</f>
        <v>13155</v>
      </c>
      <c r="AZ6" s="3906"/>
      <c r="BA6" s="3907">
        <f t="shared" ref="BA6:BA55" si="7">+H6+AA6</f>
        <v>8371</v>
      </c>
      <c r="BB6" s="3905"/>
      <c r="BC6" s="3905">
        <f t="shared" ref="BC6:BC55" si="8">AU6+AW6+BA6</f>
        <v>21526</v>
      </c>
      <c r="BD6" s="3906"/>
      <c r="BE6" s="3907">
        <f t="shared" ref="BE6:BE55" si="9">+J6+AC6</f>
        <v>10061</v>
      </c>
      <c r="BF6" s="3904"/>
      <c r="BG6" s="3904">
        <f t="shared" ref="BG6:BG55" si="10">+BC6+BE6</f>
        <v>31587</v>
      </c>
      <c r="BH6" s="3906"/>
      <c r="BI6" s="3907">
        <f t="shared" ref="BI6:BI55" si="11">K6+AD6</f>
        <v>12624.808000000001</v>
      </c>
      <c r="BJ6" s="3904"/>
      <c r="BK6" s="3904">
        <f t="shared" ref="BK6:BK55" si="12">+BG6+BI6</f>
        <v>44211.808000000005</v>
      </c>
      <c r="BL6" s="3906"/>
      <c r="BM6" s="3907">
        <f t="shared" ref="BM6:BM55" si="13">+L6+AE6</f>
        <v>10642</v>
      </c>
      <c r="BN6" s="3906"/>
      <c r="BO6" s="3905">
        <f t="shared" ref="BO6:BO55" si="14">BE6+BI6+BM6</f>
        <v>33327.808000000005</v>
      </c>
      <c r="BP6" s="3906"/>
      <c r="BQ6" s="3928">
        <f t="shared" ref="BQ6:BQ55" si="15">BC6+BO6</f>
        <v>54853.808000000005</v>
      </c>
      <c r="BR6" s="3906"/>
      <c r="BS6" s="3907">
        <f t="shared" ref="BS6:BS55" si="16">+O6+AH6</f>
        <v>7992</v>
      </c>
      <c r="BT6" s="3904"/>
      <c r="BU6" s="3904">
        <f t="shared" ref="BU6:BU55" si="17">BQ6+BS6</f>
        <v>62845.808000000005</v>
      </c>
      <c r="BV6" s="3906"/>
      <c r="BW6" s="3907">
        <f t="shared" ref="BW6:BW55" si="18">+P6+AI6</f>
        <v>11639.032999999999</v>
      </c>
      <c r="BX6" s="3906"/>
      <c r="BY6" s="3906">
        <f t="shared" ref="BY6:BY55" si="19">BU6+BW6</f>
        <v>74484.841</v>
      </c>
      <c r="BZ6" s="3906"/>
      <c r="CA6" s="3907">
        <f t="shared" ref="CA6:CA55" si="20">+Q6+AJ6</f>
        <v>8753</v>
      </c>
      <c r="CB6" s="3906"/>
      <c r="CC6" s="3905">
        <f t="shared" ref="CC6:CC55" si="21">BS6+BW6+CA6</f>
        <v>28384.032999999999</v>
      </c>
      <c r="CD6" s="3904"/>
      <c r="CE6" s="3904">
        <f t="shared" ref="CE6:CE55" si="22">BY6+CA6</f>
        <v>83237.841</v>
      </c>
      <c r="CF6" s="3906"/>
      <c r="CG6" s="3907">
        <f t="shared" ref="CG6:CG55" si="23">+S6+AL6</f>
        <v>7469</v>
      </c>
      <c r="CH6" s="3906"/>
      <c r="CI6" s="3906">
        <f t="shared" ref="CI6:CI58" si="24">CG6+CE6</f>
        <v>90706.841</v>
      </c>
      <c r="CJ6" s="3906"/>
      <c r="CK6" s="3907">
        <f t="shared" ref="CK6:CK55" si="25">+T6+AM6</f>
        <v>8110.69</v>
      </c>
      <c r="CL6" s="3904"/>
      <c r="CM6" s="3904">
        <f t="shared" ref="CM6:CM55" si="26">CI6+CK6</f>
        <v>98817.531000000003</v>
      </c>
      <c r="CN6" s="3906"/>
      <c r="CO6" s="3907">
        <f t="shared" ref="CO6:CO55" si="27">+U6+AN6</f>
        <v>5642.4040000000005</v>
      </c>
      <c r="CP6" s="3906"/>
      <c r="CQ6" s="3905">
        <f t="shared" ref="CQ6:CQ55" si="28">CG6+CK6+CO6</f>
        <v>21222.093999999997</v>
      </c>
      <c r="CR6" s="3906"/>
      <c r="CS6" s="3928">
        <f t="shared" ref="CS6:CS55" si="29">CC6+CQ6</f>
        <v>49606.126999999993</v>
      </c>
      <c r="CT6" s="3904"/>
      <c r="CU6" s="3930">
        <f t="shared" ref="CU6:CU55" si="30">SUM(AU6,AW6,BA6,BE6,BI6,BM6,BS6,BW6,CA6,CG6,CK6,CO6)</f>
        <v>104459.935</v>
      </c>
      <c r="CV6" s="5317"/>
      <c r="CW6" s="5317"/>
    </row>
    <row r="7" spans="1:101" x14ac:dyDescent="0.3">
      <c r="A7" s="3958"/>
      <c r="B7" s="3958"/>
      <c r="C7" s="3958"/>
      <c r="D7" s="3958"/>
      <c r="E7" s="4563" t="s">
        <v>1196</v>
      </c>
      <c r="F7" s="3939">
        <v>4137</v>
      </c>
      <c r="G7" s="3901">
        <v>10029</v>
      </c>
      <c r="H7" s="3901">
        <v>7509</v>
      </c>
      <c r="I7" s="3946">
        <f t="shared" ref="I7:I54" si="31">SUM(F7:H7)</f>
        <v>21675</v>
      </c>
      <c r="J7" s="3901">
        <v>5553</v>
      </c>
      <c r="K7" s="3901">
        <v>9007.7540000000008</v>
      </c>
      <c r="L7" s="3901">
        <v>6746</v>
      </c>
      <c r="M7" s="3946">
        <f t="shared" ref="M7:M54" si="32">J7+K7+L7</f>
        <v>21306.754000000001</v>
      </c>
      <c r="N7" s="3945">
        <f t="shared" ref="N7:N54" si="33">I7+M7</f>
        <v>42981.754000000001</v>
      </c>
      <c r="O7" s="3897">
        <v>7767</v>
      </c>
      <c r="P7" s="3897">
        <v>9975.2309999999998</v>
      </c>
      <c r="Q7" s="3901">
        <v>4226</v>
      </c>
      <c r="R7" s="3946">
        <f t="shared" ref="R7:R54" si="34">O7+P7+Q7</f>
        <v>21968.231</v>
      </c>
      <c r="S7" s="3901">
        <v>5591</v>
      </c>
      <c r="T7" s="3901">
        <v>10406.77</v>
      </c>
      <c r="U7" s="3944">
        <v>10296.218000000001</v>
      </c>
      <c r="V7" s="3946">
        <f t="shared" ref="V7:V58" si="35">S7+T7+U7</f>
        <v>26293.988000000001</v>
      </c>
      <c r="W7" s="3945">
        <f t="shared" ref="W7:W58" si="36">R7+V7</f>
        <v>48262.218999999997</v>
      </c>
      <c r="X7" s="3913">
        <f t="shared" ref="X7:X53" si="37">+I7+M7+R7+V7</f>
        <v>91243.972999999998</v>
      </c>
      <c r="Y7" s="3912">
        <v>0</v>
      </c>
      <c r="Z7" s="3901">
        <v>0</v>
      </c>
      <c r="AA7" s="3901"/>
      <c r="AB7" s="3946">
        <f t="shared" si="0"/>
        <v>0</v>
      </c>
      <c r="AC7" s="3901"/>
      <c r="AD7" s="3901"/>
      <c r="AE7" s="3901"/>
      <c r="AF7" s="3911">
        <f t="shared" si="1"/>
        <v>0</v>
      </c>
      <c r="AG7" s="3945">
        <f t="shared" si="2"/>
        <v>0</v>
      </c>
      <c r="AH7" s="3897"/>
      <c r="AI7" s="3897"/>
      <c r="AJ7" s="3897"/>
      <c r="AK7" s="3946">
        <f t="shared" si="3"/>
        <v>0</v>
      </c>
      <c r="AL7" s="3901"/>
      <c r="AM7" s="3901"/>
      <c r="AN7" s="3944"/>
      <c r="AO7" s="3946">
        <f t="shared" ref="AO7:AO54" si="38">+AL7+AM7+AN7</f>
        <v>0</v>
      </c>
      <c r="AP7" s="3945">
        <f t="shared" ref="AP7:AP54" si="39">+AK7+AO7</f>
        <v>0</v>
      </c>
      <c r="AQ7" s="3910">
        <f t="shared" ref="AQ7:AQ54" si="40">+AB7+AF7+AK7+AO7</f>
        <v>0</v>
      </c>
      <c r="AR7" s="3900">
        <f t="shared" si="6"/>
        <v>91243.972999999998</v>
      </c>
      <c r="AS7" s="3943"/>
      <c r="AT7" s="3903"/>
      <c r="AU7" s="3909">
        <f t="shared" ref="AU7:AU59" si="41">+F7+Y7</f>
        <v>4137</v>
      </c>
      <c r="AV7" s="3908"/>
      <c r="AW7" s="3907">
        <f t="shared" ref="AW7:AW59" si="42">+G7+Z7</f>
        <v>10029</v>
      </c>
      <c r="AX7" s="3906"/>
      <c r="AY7" s="3906">
        <f t="shared" ref="AY7:AY59" si="43">AU7+AW7</f>
        <v>14166</v>
      </c>
      <c r="AZ7" s="3906"/>
      <c r="BA7" s="3907">
        <f t="shared" si="7"/>
        <v>7509</v>
      </c>
      <c r="BB7" s="3905"/>
      <c r="BC7" s="3905">
        <f t="shared" si="8"/>
        <v>21675</v>
      </c>
      <c r="BD7" s="3906"/>
      <c r="BE7" s="3907">
        <f t="shared" si="9"/>
        <v>5553</v>
      </c>
      <c r="BF7" s="3904"/>
      <c r="BG7" s="3904">
        <f t="shared" si="10"/>
        <v>27228</v>
      </c>
      <c r="BH7" s="3906"/>
      <c r="BI7" s="3907">
        <f t="shared" si="11"/>
        <v>9007.7540000000008</v>
      </c>
      <c r="BJ7" s="3904"/>
      <c r="BK7" s="3904">
        <f t="shared" si="12"/>
        <v>36235.754000000001</v>
      </c>
      <c r="BL7" s="3906"/>
      <c r="BM7" s="3907">
        <f t="shared" si="13"/>
        <v>6746</v>
      </c>
      <c r="BN7" s="3906"/>
      <c r="BO7" s="3905">
        <f t="shared" si="14"/>
        <v>21306.754000000001</v>
      </c>
      <c r="BP7" s="3906"/>
      <c r="BQ7" s="3928">
        <f t="shared" si="15"/>
        <v>42981.754000000001</v>
      </c>
      <c r="BR7" s="3906"/>
      <c r="BS7" s="3907">
        <f t="shared" si="16"/>
        <v>7767</v>
      </c>
      <c r="BT7" s="3904"/>
      <c r="BU7" s="3904">
        <f t="shared" si="17"/>
        <v>50748.754000000001</v>
      </c>
      <c r="BV7" s="3906"/>
      <c r="BW7" s="3907">
        <f t="shared" si="18"/>
        <v>9975.2309999999998</v>
      </c>
      <c r="BX7" s="3906"/>
      <c r="BY7" s="3906">
        <f t="shared" si="19"/>
        <v>60723.985000000001</v>
      </c>
      <c r="BZ7" s="3906"/>
      <c r="CA7" s="3907">
        <f t="shared" si="20"/>
        <v>4226</v>
      </c>
      <c r="CB7" s="3906"/>
      <c r="CC7" s="3905">
        <f t="shared" si="21"/>
        <v>21968.231</v>
      </c>
      <c r="CD7" s="3904"/>
      <c r="CE7" s="3904">
        <f t="shared" si="22"/>
        <v>64949.985000000001</v>
      </c>
      <c r="CF7" s="3906"/>
      <c r="CG7" s="3907">
        <f t="shared" si="23"/>
        <v>5591</v>
      </c>
      <c r="CH7" s="3906"/>
      <c r="CI7" s="3906">
        <f t="shared" si="24"/>
        <v>70540.985000000001</v>
      </c>
      <c r="CJ7" s="3906"/>
      <c r="CK7" s="3907">
        <f t="shared" si="25"/>
        <v>10406.77</v>
      </c>
      <c r="CL7" s="3904"/>
      <c r="CM7" s="3904">
        <f t="shared" si="26"/>
        <v>80947.755000000005</v>
      </c>
      <c r="CN7" s="3906"/>
      <c r="CO7" s="3907">
        <f t="shared" si="27"/>
        <v>10296.218000000001</v>
      </c>
      <c r="CP7" s="3906"/>
      <c r="CQ7" s="3905">
        <f t="shared" si="28"/>
        <v>26293.988000000001</v>
      </c>
      <c r="CR7" s="3906"/>
      <c r="CS7" s="3928">
        <f t="shared" si="29"/>
        <v>48262.218999999997</v>
      </c>
      <c r="CT7" s="3904"/>
      <c r="CU7" s="3930">
        <f t="shared" si="30"/>
        <v>91243.972999999998</v>
      </c>
      <c r="CV7" s="5317"/>
      <c r="CW7" s="5317"/>
    </row>
    <row r="8" spans="1:101" x14ac:dyDescent="0.3">
      <c r="A8" s="3958"/>
      <c r="B8" s="3958"/>
      <c r="C8" s="3958"/>
      <c r="D8" s="3958"/>
      <c r="E8" s="4563" t="s">
        <v>1894</v>
      </c>
      <c r="F8" s="3939"/>
      <c r="G8" s="3901">
        <v>243</v>
      </c>
      <c r="H8" s="3901">
        <v>245</v>
      </c>
      <c r="I8" s="3946">
        <f t="shared" si="31"/>
        <v>488</v>
      </c>
      <c r="J8" s="3901"/>
      <c r="K8" s="3901">
        <v>236.768</v>
      </c>
      <c r="L8" s="3901">
        <v>723</v>
      </c>
      <c r="M8" s="3946">
        <f t="shared" si="32"/>
        <v>959.76800000000003</v>
      </c>
      <c r="N8" s="3945">
        <f t="shared" si="33"/>
        <v>1447.768</v>
      </c>
      <c r="O8" s="3897"/>
      <c r="P8" s="3897"/>
      <c r="Q8" s="3901">
        <v>79</v>
      </c>
      <c r="R8" s="3946">
        <f t="shared" si="34"/>
        <v>79</v>
      </c>
      <c r="S8" s="3901">
        <v>91</v>
      </c>
      <c r="T8" s="3901"/>
      <c r="U8" s="3944"/>
      <c r="V8" s="3946">
        <f t="shared" si="35"/>
        <v>91</v>
      </c>
      <c r="W8" s="3945">
        <f t="shared" si="36"/>
        <v>170</v>
      </c>
      <c r="X8" s="3913">
        <f t="shared" si="37"/>
        <v>1617.768</v>
      </c>
      <c r="Y8" s="3912"/>
      <c r="Z8" s="3901">
        <v>0</v>
      </c>
      <c r="AA8" s="3901"/>
      <c r="AB8" s="3946">
        <f t="shared" si="0"/>
        <v>0</v>
      </c>
      <c r="AC8" s="3901"/>
      <c r="AD8" s="3901"/>
      <c r="AE8" s="3901"/>
      <c r="AF8" s="3911">
        <f t="shared" si="1"/>
        <v>0</v>
      </c>
      <c r="AG8" s="3945">
        <f t="shared" si="2"/>
        <v>0</v>
      </c>
      <c r="AH8" s="3897"/>
      <c r="AI8" s="3897"/>
      <c r="AJ8" s="3897"/>
      <c r="AK8" s="3946">
        <f t="shared" si="3"/>
        <v>0</v>
      </c>
      <c r="AL8" s="3901"/>
      <c r="AM8" s="3901"/>
      <c r="AN8" s="3944"/>
      <c r="AO8" s="3946">
        <f t="shared" si="38"/>
        <v>0</v>
      </c>
      <c r="AP8" s="3945">
        <f t="shared" si="39"/>
        <v>0</v>
      </c>
      <c r="AQ8" s="3910">
        <f t="shared" si="40"/>
        <v>0</v>
      </c>
      <c r="AR8" s="3900">
        <f t="shared" si="6"/>
        <v>1617.768</v>
      </c>
      <c r="AS8" s="3943"/>
      <c r="AT8" s="3903"/>
      <c r="AU8" s="3909">
        <f t="shared" si="41"/>
        <v>0</v>
      </c>
      <c r="AV8" s="4713"/>
      <c r="AW8" s="3907">
        <f t="shared" si="42"/>
        <v>243</v>
      </c>
      <c r="AX8" s="4832"/>
      <c r="AY8" s="3906">
        <f t="shared" si="43"/>
        <v>243</v>
      </c>
      <c r="AZ8" s="4832"/>
      <c r="BA8" s="3907">
        <f t="shared" si="7"/>
        <v>245</v>
      </c>
      <c r="BB8" s="4833"/>
      <c r="BC8" s="3905">
        <f t="shared" si="8"/>
        <v>488</v>
      </c>
      <c r="BD8" s="4832"/>
      <c r="BE8" s="3907">
        <f t="shared" si="9"/>
        <v>0</v>
      </c>
      <c r="BF8" s="4834"/>
      <c r="BG8" s="3904">
        <f t="shared" si="10"/>
        <v>488</v>
      </c>
      <c r="BH8" s="4832"/>
      <c r="BI8" s="3907">
        <f t="shared" si="11"/>
        <v>236.768</v>
      </c>
      <c r="BJ8" s="4834"/>
      <c r="BK8" s="3904">
        <f t="shared" si="12"/>
        <v>724.76800000000003</v>
      </c>
      <c r="BL8" s="4832"/>
      <c r="BM8" s="3907">
        <f t="shared" si="13"/>
        <v>723</v>
      </c>
      <c r="BN8" s="4832"/>
      <c r="BO8" s="3905">
        <f t="shared" si="14"/>
        <v>959.76800000000003</v>
      </c>
      <c r="BP8" s="4832"/>
      <c r="BQ8" s="3928">
        <f t="shared" si="15"/>
        <v>1447.768</v>
      </c>
      <c r="BR8" s="4832"/>
      <c r="BS8" s="3907">
        <f t="shared" si="16"/>
        <v>0</v>
      </c>
      <c r="BT8" s="4834"/>
      <c r="BU8" s="3904">
        <f t="shared" si="17"/>
        <v>1447.768</v>
      </c>
      <c r="BV8" s="4832"/>
      <c r="BW8" s="3907">
        <f t="shared" si="18"/>
        <v>0</v>
      </c>
      <c r="BX8" s="4832"/>
      <c r="BY8" s="3906">
        <f t="shared" si="19"/>
        <v>1447.768</v>
      </c>
      <c r="BZ8" s="4832"/>
      <c r="CA8" s="3907">
        <f t="shared" si="20"/>
        <v>79</v>
      </c>
      <c r="CB8" s="4832"/>
      <c r="CC8" s="3905">
        <f t="shared" si="21"/>
        <v>79</v>
      </c>
      <c r="CD8" s="4834"/>
      <c r="CE8" s="3904">
        <f t="shared" si="22"/>
        <v>1526.768</v>
      </c>
      <c r="CF8" s="4832"/>
      <c r="CG8" s="3907">
        <f t="shared" si="23"/>
        <v>91</v>
      </c>
      <c r="CH8" s="4832"/>
      <c r="CI8" s="3906">
        <f t="shared" si="24"/>
        <v>1617.768</v>
      </c>
      <c r="CJ8" s="4832"/>
      <c r="CK8" s="4832">
        <f t="shared" si="25"/>
        <v>0</v>
      </c>
      <c r="CL8" s="4834"/>
      <c r="CM8" s="4834">
        <f t="shared" si="26"/>
        <v>1617.768</v>
      </c>
      <c r="CN8" s="4832"/>
      <c r="CO8" s="3907">
        <f t="shared" si="27"/>
        <v>0</v>
      </c>
      <c r="CP8" s="4832"/>
      <c r="CQ8" s="3905">
        <f t="shared" si="28"/>
        <v>91</v>
      </c>
      <c r="CR8" s="4832"/>
      <c r="CS8" s="3928">
        <f t="shared" si="29"/>
        <v>170</v>
      </c>
      <c r="CT8" s="4834"/>
      <c r="CU8" s="3930">
        <f t="shared" si="30"/>
        <v>1617.768</v>
      </c>
      <c r="CV8" s="5317"/>
      <c r="CW8" s="5317"/>
    </row>
    <row r="9" spans="1:101" x14ac:dyDescent="0.3">
      <c r="A9" s="3958"/>
      <c r="B9" s="3958"/>
      <c r="C9" s="3958"/>
      <c r="D9" s="3958"/>
      <c r="E9" s="4563" t="s">
        <v>1653</v>
      </c>
      <c r="F9" s="3939"/>
      <c r="G9" s="3901">
        <v>258</v>
      </c>
      <c r="H9" s="3901"/>
      <c r="I9" s="3946">
        <f t="shared" si="31"/>
        <v>258</v>
      </c>
      <c r="J9" s="3901">
        <v>560</v>
      </c>
      <c r="K9" s="3901"/>
      <c r="L9" s="3901"/>
      <c r="M9" s="3946">
        <f t="shared" si="32"/>
        <v>560</v>
      </c>
      <c r="N9" s="3945">
        <f t="shared" si="33"/>
        <v>818</v>
      </c>
      <c r="O9" s="3897"/>
      <c r="P9" s="3897"/>
      <c r="Q9" s="3901">
        <v>436</v>
      </c>
      <c r="R9" s="3946">
        <f t="shared" si="34"/>
        <v>436</v>
      </c>
      <c r="S9" s="3901"/>
      <c r="T9" s="3901"/>
      <c r="U9" s="3944"/>
      <c r="V9" s="3946">
        <f t="shared" si="35"/>
        <v>0</v>
      </c>
      <c r="W9" s="3945">
        <f t="shared" si="36"/>
        <v>436</v>
      </c>
      <c r="X9" s="3913">
        <f t="shared" si="37"/>
        <v>1254</v>
      </c>
      <c r="Y9" s="3912"/>
      <c r="Z9" s="3901">
        <v>0</v>
      </c>
      <c r="AA9" s="3901"/>
      <c r="AB9" s="3946">
        <f t="shared" si="0"/>
        <v>0</v>
      </c>
      <c r="AC9" s="3901"/>
      <c r="AD9" s="3901"/>
      <c r="AE9" s="3901"/>
      <c r="AF9" s="3911">
        <f t="shared" si="1"/>
        <v>0</v>
      </c>
      <c r="AG9" s="3945">
        <f t="shared" si="2"/>
        <v>0</v>
      </c>
      <c r="AH9" s="3897"/>
      <c r="AI9" s="3897"/>
      <c r="AJ9" s="3897"/>
      <c r="AK9" s="3946">
        <f t="shared" si="3"/>
        <v>0</v>
      </c>
      <c r="AL9" s="3901"/>
      <c r="AM9" s="3901"/>
      <c r="AN9" s="3944"/>
      <c r="AO9" s="3946">
        <f t="shared" si="38"/>
        <v>0</v>
      </c>
      <c r="AP9" s="3945">
        <f t="shared" si="39"/>
        <v>0</v>
      </c>
      <c r="AQ9" s="3910">
        <f t="shared" si="40"/>
        <v>0</v>
      </c>
      <c r="AR9" s="3900">
        <f t="shared" si="6"/>
        <v>1254</v>
      </c>
      <c r="AS9" s="3943"/>
      <c r="AT9" s="3903"/>
      <c r="AU9" s="3909">
        <f t="shared" si="41"/>
        <v>0</v>
      </c>
      <c r="AV9" s="4713"/>
      <c r="AW9" s="3907">
        <f t="shared" si="42"/>
        <v>258</v>
      </c>
      <c r="AX9" s="4832"/>
      <c r="AY9" s="3906">
        <f t="shared" si="43"/>
        <v>258</v>
      </c>
      <c r="AZ9" s="4832"/>
      <c r="BA9" s="3907">
        <f t="shared" si="7"/>
        <v>0</v>
      </c>
      <c r="BB9" s="4833"/>
      <c r="BC9" s="3905">
        <f t="shared" si="8"/>
        <v>258</v>
      </c>
      <c r="BD9" s="4832"/>
      <c r="BE9" s="3907">
        <f t="shared" si="9"/>
        <v>560</v>
      </c>
      <c r="BF9" s="4834"/>
      <c r="BG9" s="3904">
        <f t="shared" si="10"/>
        <v>818</v>
      </c>
      <c r="BH9" s="4832"/>
      <c r="BI9" s="3907">
        <f t="shared" si="11"/>
        <v>0</v>
      </c>
      <c r="BJ9" s="4834"/>
      <c r="BK9" s="3904">
        <f t="shared" si="12"/>
        <v>818</v>
      </c>
      <c r="BL9" s="4832"/>
      <c r="BM9" s="3907">
        <f t="shared" si="13"/>
        <v>0</v>
      </c>
      <c r="BN9" s="4832"/>
      <c r="BO9" s="3905">
        <f t="shared" si="14"/>
        <v>560</v>
      </c>
      <c r="BP9" s="4832"/>
      <c r="BQ9" s="3928">
        <f t="shared" si="15"/>
        <v>818</v>
      </c>
      <c r="BR9" s="4832"/>
      <c r="BS9" s="3907">
        <f t="shared" si="16"/>
        <v>0</v>
      </c>
      <c r="BT9" s="4834"/>
      <c r="BU9" s="3904">
        <f t="shared" si="17"/>
        <v>818</v>
      </c>
      <c r="BV9" s="4832"/>
      <c r="BW9" s="3907">
        <f t="shared" si="18"/>
        <v>0</v>
      </c>
      <c r="BX9" s="4832"/>
      <c r="BY9" s="3906">
        <f t="shared" si="19"/>
        <v>818</v>
      </c>
      <c r="BZ9" s="4832"/>
      <c r="CA9" s="3907">
        <f t="shared" si="20"/>
        <v>436</v>
      </c>
      <c r="CB9" s="4832"/>
      <c r="CC9" s="3905">
        <f t="shared" si="21"/>
        <v>436</v>
      </c>
      <c r="CD9" s="4834"/>
      <c r="CE9" s="3904">
        <f t="shared" si="22"/>
        <v>1254</v>
      </c>
      <c r="CF9" s="4832"/>
      <c r="CG9" s="3907">
        <f t="shared" si="23"/>
        <v>0</v>
      </c>
      <c r="CH9" s="4832"/>
      <c r="CI9" s="3906">
        <f t="shared" si="24"/>
        <v>1254</v>
      </c>
      <c r="CJ9" s="4832"/>
      <c r="CK9" s="4832">
        <f t="shared" si="25"/>
        <v>0</v>
      </c>
      <c r="CL9" s="4834"/>
      <c r="CM9" s="4834">
        <f t="shared" si="26"/>
        <v>1254</v>
      </c>
      <c r="CN9" s="4832"/>
      <c r="CO9" s="3907">
        <f t="shared" si="27"/>
        <v>0</v>
      </c>
      <c r="CP9" s="4832"/>
      <c r="CQ9" s="3905">
        <f t="shared" si="28"/>
        <v>0</v>
      </c>
      <c r="CR9" s="4832"/>
      <c r="CS9" s="3928">
        <f t="shared" si="29"/>
        <v>436</v>
      </c>
      <c r="CT9" s="4834"/>
      <c r="CU9" s="3930">
        <f t="shared" si="30"/>
        <v>1254</v>
      </c>
      <c r="CV9" s="5317"/>
      <c r="CW9" s="5317"/>
    </row>
    <row r="10" spans="1:101" x14ac:dyDescent="0.3">
      <c r="A10" s="3958"/>
      <c r="B10" s="3958"/>
      <c r="C10" s="3958"/>
      <c r="D10" s="3958"/>
      <c r="E10" s="4563" t="s">
        <v>1389</v>
      </c>
      <c r="F10" s="3939"/>
      <c r="G10" s="3901">
        <v>1890</v>
      </c>
      <c r="H10" s="3901"/>
      <c r="I10" s="3946">
        <f t="shared" si="31"/>
        <v>1890</v>
      </c>
      <c r="J10" s="3901"/>
      <c r="K10" s="3901"/>
      <c r="L10" s="3901"/>
      <c r="M10" s="3946">
        <f t="shared" si="32"/>
        <v>0</v>
      </c>
      <c r="N10" s="3945">
        <f t="shared" si="33"/>
        <v>1890</v>
      </c>
      <c r="O10" s="3897"/>
      <c r="P10" s="3897"/>
      <c r="Q10" s="3901"/>
      <c r="R10" s="3946">
        <f t="shared" si="34"/>
        <v>0</v>
      </c>
      <c r="S10" s="3901"/>
      <c r="T10" s="3901">
        <v>263.62400000000002</v>
      </c>
      <c r="U10" s="3944">
        <v>406.06599999999997</v>
      </c>
      <c r="V10" s="3946">
        <f t="shared" si="35"/>
        <v>669.69</v>
      </c>
      <c r="W10" s="3945">
        <f t="shared" si="36"/>
        <v>669.69</v>
      </c>
      <c r="X10" s="3913">
        <f t="shared" si="37"/>
        <v>2559.69</v>
      </c>
      <c r="Y10" s="3912"/>
      <c r="Z10" s="3901">
        <v>0</v>
      </c>
      <c r="AA10" s="3901"/>
      <c r="AB10" s="3946">
        <f t="shared" si="0"/>
        <v>0</v>
      </c>
      <c r="AC10" s="3901"/>
      <c r="AD10" s="3901"/>
      <c r="AE10" s="3901"/>
      <c r="AF10" s="3911">
        <f t="shared" si="1"/>
        <v>0</v>
      </c>
      <c r="AG10" s="3945">
        <f t="shared" si="2"/>
        <v>0</v>
      </c>
      <c r="AH10" s="3897"/>
      <c r="AI10" s="3897"/>
      <c r="AJ10" s="3897"/>
      <c r="AK10" s="3946">
        <f t="shared" si="3"/>
        <v>0</v>
      </c>
      <c r="AL10" s="3901"/>
      <c r="AM10" s="3901"/>
      <c r="AN10" s="3944"/>
      <c r="AO10" s="3946">
        <f t="shared" si="38"/>
        <v>0</v>
      </c>
      <c r="AP10" s="3945">
        <f t="shared" si="39"/>
        <v>0</v>
      </c>
      <c r="AQ10" s="3910">
        <f t="shared" si="40"/>
        <v>0</v>
      </c>
      <c r="AR10" s="3900">
        <f t="shared" si="6"/>
        <v>2559.69</v>
      </c>
      <c r="AS10" s="3943"/>
      <c r="AT10" s="3903"/>
      <c r="AU10" s="3909">
        <f t="shared" si="41"/>
        <v>0</v>
      </c>
      <c r="AV10" s="4713"/>
      <c r="AW10" s="3907">
        <f t="shared" si="42"/>
        <v>1890</v>
      </c>
      <c r="AX10" s="4832"/>
      <c r="AY10" s="3906">
        <f t="shared" si="43"/>
        <v>1890</v>
      </c>
      <c r="AZ10" s="4832"/>
      <c r="BA10" s="3907">
        <f t="shared" si="7"/>
        <v>0</v>
      </c>
      <c r="BB10" s="4833"/>
      <c r="BC10" s="3905">
        <f t="shared" si="8"/>
        <v>1890</v>
      </c>
      <c r="BD10" s="4832"/>
      <c r="BE10" s="3907">
        <f t="shared" si="9"/>
        <v>0</v>
      </c>
      <c r="BF10" s="4834"/>
      <c r="BG10" s="3904">
        <f t="shared" si="10"/>
        <v>1890</v>
      </c>
      <c r="BH10" s="4832"/>
      <c r="BI10" s="3907">
        <f t="shared" si="11"/>
        <v>0</v>
      </c>
      <c r="BJ10" s="4834"/>
      <c r="BK10" s="3904">
        <f t="shared" si="12"/>
        <v>1890</v>
      </c>
      <c r="BL10" s="4832"/>
      <c r="BM10" s="3907">
        <f t="shared" si="13"/>
        <v>0</v>
      </c>
      <c r="BN10" s="4832"/>
      <c r="BO10" s="3905">
        <f t="shared" si="14"/>
        <v>0</v>
      </c>
      <c r="BP10" s="4832"/>
      <c r="BQ10" s="3928">
        <f t="shared" si="15"/>
        <v>1890</v>
      </c>
      <c r="BR10" s="4832"/>
      <c r="BS10" s="3907">
        <f t="shared" si="16"/>
        <v>0</v>
      </c>
      <c r="BT10" s="4834"/>
      <c r="BU10" s="3904">
        <f t="shared" si="17"/>
        <v>1890</v>
      </c>
      <c r="BV10" s="4832"/>
      <c r="BW10" s="3907">
        <f t="shared" si="18"/>
        <v>0</v>
      </c>
      <c r="BX10" s="4832"/>
      <c r="BY10" s="3906">
        <f t="shared" si="19"/>
        <v>1890</v>
      </c>
      <c r="BZ10" s="4832"/>
      <c r="CA10" s="3907">
        <f t="shared" si="20"/>
        <v>0</v>
      </c>
      <c r="CB10" s="4832"/>
      <c r="CC10" s="3905">
        <f t="shared" si="21"/>
        <v>0</v>
      </c>
      <c r="CD10" s="4834"/>
      <c r="CE10" s="3904">
        <f t="shared" si="22"/>
        <v>1890</v>
      </c>
      <c r="CF10" s="4832"/>
      <c r="CG10" s="3907">
        <f t="shared" si="23"/>
        <v>0</v>
      </c>
      <c r="CH10" s="4832"/>
      <c r="CI10" s="3906">
        <f t="shared" si="24"/>
        <v>1890</v>
      </c>
      <c r="CJ10" s="4832"/>
      <c r="CK10" s="4832">
        <f t="shared" si="25"/>
        <v>263.62400000000002</v>
      </c>
      <c r="CL10" s="4834"/>
      <c r="CM10" s="4834">
        <f t="shared" si="26"/>
        <v>2153.6239999999998</v>
      </c>
      <c r="CN10" s="4832"/>
      <c r="CO10" s="3907">
        <f t="shared" si="27"/>
        <v>406.06599999999997</v>
      </c>
      <c r="CP10" s="4832"/>
      <c r="CQ10" s="3905">
        <f t="shared" si="28"/>
        <v>669.69</v>
      </c>
      <c r="CR10" s="4832"/>
      <c r="CS10" s="3928">
        <f t="shared" si="29"/>
        <v>669.69</v>
      </c>
      <c r="CT10" s="4834"/>
      <c r="CU10" s="3930">
        <f t="shared" si="30"/>
        <v>2559.6899999999996</v>
      </c>
      <c r="CV10" s="5317"/>
      <c r="CW10" s="5317"/>
    </row>
    <row r="11" spans="1:101" x14ac:dyDescent="0.3">
      <c r="A11" s="3958"/>
      <c r="B11" s="3958"/>
      <c r="C11" s="3958"/>
      <c r="D11" s="3958"/>
      <c r="E11" s="4563" t="s">
        <v>1387</v>
      </c>
      <c r="F11" s="3939">
        <v>778</v>
      </c>
      <c r="G11" s="3901"/>
      <c r="H11" s="3901"/>
      <c r="I11" s="3946">
        <f t="shared" si="31"/>
        <v>778</v>
      </c>
      <c r="J11" s="3901">
        <v>913</v>
      </c>
      <c r="K11" s="3901"/>
      <c r="L11" s="3901">
        <v>1556</v>
      </c>
      <c r="M11" s="3946">
        <f t="shared" si="32"/>
        <v>2469</v>
      </c>
      <c r="N11" s="3945">
        <f t="shared" si="33"/>
        <v>3247</v>
      </c>
      <c r="O11" s="3897"/>
      <c r="P11" s="3897"/>
      <c r="Q11" s="3901"/>
      <c r="R11" s="3946">
        <f t="shared" si="34"/>
        <v>0</v>
      </c>
      <c r="S11" s="3901">
        <v>1244</v>
      </c>
      <c r="T11" s="3901">
        <v>1860.25</v>
      </c>
      <c r="U11" s="3944">
        <v>116.93</v>
      </c>
      <c r="V11" s="3946">
        <f t="shared" si="35"/>
        <v>3221.18</v>
      </c>
      <c r="W11" s="3945">
        <f t="shared" si="36"/>
        <v>3221.18</v>
      </c>
      <c r="X11" s="3913">
        <f t="shared" si="37"/>
        <v>6468.18</v>
      </c>
      <c r="Y11" s="3912">
        <v>0</v>
      </c>
      <c r="Z11" s="3901"/>
      <c r="AA11" s="3901"/>
      <c r="AB11" s="3946">
        <f t="shared" si="0"/>
        <v>0</v>
      </c>
      <c r="AC11" s="3901"/>
      <c r="AD11" s="3901"/>
      <c r="AE11" s="3901"/>
      <c r="AF11" s="3911">
        <f t="shared" si="1"/>
        <v>0</v>
      </c>
      <c r="AG11" s="3945">
        <f t="shared" si="2"/>
        <v>0</v>
      </c>
      <c r="AH11" s="3897"/>
      <c r="AI11" s="3897"/>
      <c r="AJ11" s="3897"/>
      <c r="AK11" s="3946">
        <f t="shared" si="3"/>
        <v>0</v>
      </c>
      <c r="AL11" s="3901"/>
      <c r="AM11" s="3901"/>
      <c r="AN11" s="3944"/>
      <c r="AO11" s="3946">
        <f t="shared" si="38"/>
        <v>0</v>
      </c>
      <c r="AP11" s="3945">
        <f t="shared" si="39"/>
        <v>0</v>
      </c>
      <c r="AQ11" s="3910">
        <f t="shared" si="40"/>
        <v>0</v>
      </c>
      <c r="AR11" s="3900">
        <f t="shared" si="6"/>
        <v>6468.18</v>
      </c>
      <c r="AS11" s="3943"/>
      <c r="AT11" s="3903"/>
      <c r="AU11" s="3909">
        <f t="shared" si="41"/>
        <v>778</v>
      </c>
      <c r="AV11" s="3908"/>
      <c r="AW11" s="3907">
        <f t="shared" si="42"/>
        <v>0</v>
      </c>
      <c r="AX11" s="3906"/>
      <c r="AY11" s="3906">
        <f t="shared" si="43"/>
        <v>778</v>
      </c>
      <c r="AZ11" s="3906"/>
      <c r="BA11" s="3907">
        <f t="shared" si="7"/>
        <v>0</v>
      </c>
      <c r="BB11" s="3905"/>
      <c r="BC11" s="3905">
        <f t="shared" si="8"/>
        <v>778</v>
      </c>
      <c r="BD11" s="3906"/>
      <c r="BE11" s="3907">
        <f t="shared" si="9"/>
        <v>913</v>
      </c>
      <c r="BF11" s="3904"/>
      <c r="BG11" s="3904">
        <f t="shared" si="10"/>
        <v>1691</v>
      </c>
      <c r="BH11" s="3906"/>
      <c r="BI11" s="3907">
        <f t="shared" si="11"/>
        <v>0</v>
      </c>
      <c r="BJ11" s="3904"/>
      <c r="BK11" s="3904">
        <f t="shared" si="12"/>
        <v>1691</v>
      </c>
      <c r="BL11" s="3906"/>
      <c r="BM11" s="3907">
        <f t="shared" si="13"/>
        <v>1556</v>
      </c>
      <c r="BN11" s="3906"/>
      <c r="BO11" s="3905">
        <f t="shared" si="14"/>
        <v>2469</v>
      </c>
      <c r="BP11" s="3906"/>
      <c r="BQ11" s="3928">
        <f t="shared" si="15"/>
        <v>3247</v>
      </c>
      <c r="BR11" s="3906"/>
      <c r="BS11" s="3907">
        <f t="shared" si="16"/>
        <v>0</v>
      </c>
      <c r="BT11" s="3904"/>
      <c r="BU11" s="3904">
        <f t="shared" si="17"/>
        <v>3247</v>
      </c>
      <c r="BV11" s="3906"/>
      <c r="BW11" s="3907">
        <f t="shared" si="18"/>
        <v>0</v>
      </c>
      <c r="BX11" s="3906"/>
      <c r="BY11" s="3906">
        <f t="shared" si="19"/>
        <v>3247</v>
      </c>
      <c r="BZ11" s="3906"/>
      <c r="CA11" s="3907">
        <f t="shared" si="20"/>
        <v>0</v>
      </c>
      <c r="CB11" s="3906"/>
      <c r="CC11" s="3905">
        <f t="shared" si="21"/>
        <v>0</v>
      </c>
      <c r="CD11" s="3904"/>
      <c r="CE11" s="3904">
        <f t="shared" si="22"/>
        <v>3247</v>
      </c>
      <c r="CF11" s="3906"/>
      <c r="CG11" s="3907">
        <f t="shared" si="23"/>
        <v>1244</v>
      </c>
      <c r="CH11" s="3906"/>
      <c r="CI11" s="3906">
        <f t="shared" si="24"/>
        <v>4491</v>
      </c>
      <c r="CJ11" s="3906"/>
      <c r="CK11" s="3907">
        <f t="shared" si="25"/>
        <v>1860.25</v>
      </c>
      <c r="CL11" s="3904"/>
      <c r="CM11" s="3904">
        <f t="shared" si="26"/>
        <v>6351.25</v>
      </c>
      <c r="CN11" s="3906"/>
      <c r="CO11" s="3907">
        <f t="shared" si="27"/>
        <v>116.93</v>
      </c>
      <c r="CP11" s="3906"/>
      <c r="CQ11" s="3905">
        <f t="shared" si="28"/>
        <v>3221.18</v>
      </c>
      <c r="CR11" s="3906"/>
      <c r="CS11" s="3928">
        <f t="shared" si="29"/>
        <v>3221.18</v>
      </c>
      <c r="CT11" s="3904"/>
      <c r="CU11" s="3930">
        <f t="shared" si="30"/>
        <v>6468.18</v>
      </c>
      <c r="CV11" s="5317"/>
      <c r="CW11" s="5317"/>
    </row>
    <row r="12" spans="1:101" x14ac:dyDescent="0.3">
      <c r="A12" s="3958"/>
      <c r="B12" s="3958"/>
      <c r="C12" s="3958"/>
      <c r="D12" s="3958"/>
      <c r="E12" s="4563" t="s">
        <v>1915</v>
      </c>
      <c r="F12" s="3939">
        <v>2306</v>
      </c>
      <c r="G12" s="3901">
        <v>2955</v>
      </c>
      <c r="H12" s="3901">
        <v>3040</v>
      </c>
      <c r="I12" s="3946">
        <f t="shared" si="31"/>
        <v>8301</v>
      </c>
      <c r="J12" s="3901">
        <v>2296</v>
      </c>
      <c r="K12" s="3901">
        <v>2464.924</v>
      </c>
      <c r="L12" s="3901">
        <v>1607</v>
      </c>
      <c r="M12" s="3946">
        <f t="shared" si="32"/>
        <v>6367.924</v>
      </c>
      <c r="N12" s="3945">
        <f t="shared" si="33"/>
        <v>14668.923999999999</v>
      </c>
      <c r="O12" s="3897">
        <v>1036</v>
      </c>
      <c r="P12" s="3897">
        <v>2504.3510000000001</v>
      </c>
      <c r="Q12" s="3901">
        <v>1284</v>
      </c>
      <c r="R12" s="3946">
        <f t="shared" si="34"/>
        <v>4824.3510000000006</v>
      </c>
      <c r="S12" s="3901">
        <v>969</v>
      </c>
      <c r="T12" s="3901">
        <v>1603.0039999999999</v>
      </c>
      <c r="U12" s="3944">
        <v>1902.77</v>
      </c>
      <c r="V12" s="3946">
        <f t="shared" si="35"/>
        <v>4474.7739999999994</v>
      </c>
      <c r="W12" s="3945">
        <f t="shared" si="36"/>
        <v>9299.125</v>
      </c>
      <c r="X12" s="3913">
        <f t="shared" si="37"/>
        <v>23968.048999999999</v>
      </c>
      <c r="Y12" s="3912">
        <v>0</v>
      </c>
      <c r="Z12" s="3901">
        <v>0</v>
      </c>
      <c r="AA12" s="3901"/>
      <c r="AB12" s="3946">
        <f t="shared" si="0"/>
        <v>0</v>
      </c>
      <c r="AC12" s="3901"/>
      <c r="AD12" s="3901"/>
      <c r="AE12" s="3901"/>
      <c r="AF12" s="3911">
        <f t="shared" si="1"/>
        <v>0</v>
      </c>
      <c r="AG12" s="3945">
        <f t="shared" si="2"/>
        <v>0</v>
      </c>
      <c r="AH12" s="3897"/>
      <c r="AI12" s="3897"/>
      <c r="AJ12" s="3897"/>
      <c r="AK12" s="3946">
        <f t="shared" si="3"/>
        <v>0</v>
      </c>
      <c r="AL12" s="3901"/>
      <c r="AM12" s="3901"/>
      <c r="AN12" s="3944"/>
      <c r="AO12" s="3946">
        <f t="shared" si="38"/>
        <v>0</v>
      </c>
      <c r="AP12" s="3945">
        <f t="shared" si="39"/>
        <v>0</v>
      </c>
      <c r="AQ12" s="3910">
        <f t="shared" si="40"/>
        <v>0</v>
      </c>
      <c r="AR12" s="3900">
        <f t="shared" si="6"/>
        <v>23968.048999999999</v>
      </c>
      <c r="AS12" s="3943"/>
      <c r="AT12" s="3903"/>
      <c r="AU12" s="3909">
        <f t="shared" si="41"/>
        <v>2306</v>
      </c>
      <c r="AV12" s="3908"/>
      <c r="AW12" s="3907">
        <f t="shared" si="42"/>
        <v>2955</v>
      </c>
      <c r="AX12" s="3906"/>
      <c r="AY12" s="3906">
        <f t="shared" si="43"/>
        <v>5261</v>
      </c>
      <c r="AZ12" s="3906"/>
      <c r="BA12" s="3907">
        <f t="shared" si="7"/>
        <v>3040</v>
      </c>
      <c r="BB12" s="3905"/>
      <c r="BC12" s="3905">
        <f t="shared" si="8"/>
        <v>8301</v>
      </c>
      <c r="BD12" s="3906"/>
      <c r="BE12" s="3907">
        <f t="shared" si="9"/>
        <v>2296</v>
      </c>
      <c r="BF12" s="3904"/>
      <c r="BG12" s="3904">
        <f t="shared" si="10"/>
        <v>10597</v>
      </c>
      <c r="BH12" s="3906"/>
      <c r="BI12" s="3907">
        <f t="shared" si="11"/>
        <v>2464.924</v>
      </c>
      <c r="BJ12" s="3904"/>
      <c r="BK12" s="3904">
        <f t="shared" si="12"/>
        <v>13061.923999999999</v>
      </c>
      <c r="BL12" s="3906"/>
      <c r="BM12" s="3907">
        <f t="shared" si="13"/>
        <v>1607</v>
      </c>
      <c r="BN12" s="3906"/>
      <c r="BO12" s="3905">
        <f t="shared" si="14"/>
        <v>6367.924</v>
      </c>
      <c r="BP12" s="3906"/>
      <c r="BQ12" s="3928">
        <f t="shared" si="15"/>
        <v>14668.923999999999</v>
      </c>
      <c r="BR12" s="3906"/>
      <c r="BS12" s="3907">
        <f t="shared" si="16"/>
        <v>1036</v>
      </c>
      <c r="BT12" s="3904"/>
      <c r="BU12" s="3904">
        <f t="shared" si="17"/>
        <v>15704.923999999999</v>
      </c>
      <c r="BV12" s="3906"/>
      <c r="BW12" s="3907">
        <f t="shared" si="18"/>
        <v>2504.3510000000001</v>
      </c>
      <c r="BX12" s="3906"/>
      <c r="BY12" s="3906">
        <f t="shared" si="19"/>
        <v>18209.274999999998</v>
      </c>
      <c r="BZ12" s="3906"/>
      <c r="CA12" s="3907">
        <f t="shared" si="20"/>
        <v>1284</v>
      </c>
      <c r="CB12" s="3906"/>
      <c r="CC12" s="3905">
        <f t="shared" si="21"/>
        <v>4824.3510000000006</v>
      </c>
      <c r="CD12" s="3904"/>
      <c r="CE12" s="3904">
        <f t="shared" si="22"/>
        <v>19493.274999999998</v>
      </c>
      <c r="CF12" s="3906"/>
      <c r="CG12" s="3907">
        <f t="shared" si="23"/>
        <v>969</v>
      </c>
      <c r="CH12" s="3906"/>
      <c r="CI12" s="3906">
        <f t="shared" si="24"/>
        <v>20462.274999999998</v>
      </c>
      <c r="CJ12" s="3906"/>
      <c r="CK12" s="3907">
        <f t="shared" si="25"/>
        <v>1603.0039999999999</v>
      </c>
      <c r="CL12" s="3904"/>
      <c r="CM12" s="3904">
        <f t="shared" si="26"/>
        <v>22065.278999999999</v>
      </c>
      <c r="CN12" s="3906"/>
      <c r="CO12" s="3907">
        <f t="shared" si="27"/>
        <v>1902.77</v>
      </c>
      <c r="CP12" s="3906"/>
      <c r="CQ12" s="3905">
        <f t="shared" si="28"/>
        <v>4474.7739999999994</v>
      </c>
      <c r="CR12" s="3906"/>
      <c r="CS12" s="3928">
        <f t="shared" si="29"/>
        <v>9299.125</v>
      </c>
      <c r="CT12" s="3904"/>
      <c r="CU12" s="3930">
        <f t="shared" si="30"/>
        <v>23968.048999999999</v>
      </c>
      <c r="CV12" s="5317"/>
      <c r="CW12" s="5317"/>
    </row>
    <row r="13" spans="1:101" x14ac:dyDescent="0.3">
      <c r="A13" s="3958"/>
      <c r="B13" s="3958"/>
      <c r="C13" s="3958"/>
      <c r="D13" s="3958"/>
      <c r="E13" s="4563" t="s">
        <v>1388</v>
      </c>
      <c r="F13" s="3939"/>
      <c r="G13" s="3901">
        <v>203</v>
      </c>
      <c r="H13" s="3901">
        <v>25</v>
      </c>
      <c r="I13" s="3946">
        <f t="shared" si="31"/>
        <v>228</v>
      </c>
      <c r="J13" s="3901"/>
      <c r="K13" s="3901">
        <v>344.58199999999999</v>
      </c>
      <c r="L13" s="3901"/>
      <c r="M13" s="3946">
        <f t="shared" si="32"/>
        <v>344.58199999999999</v>
      </c>
      <c r="N13" s="3945">
        <f t="shared" si="33"/>
        <v>572.58199999999999</v>
      </c>
      <c r="O13" s="3897"/>
      <c r="P13" s="3897"/>
      <c r="Q13" s="3901"/>
      <c r="R13" s="3946">
        <f t="shared" si="34"/>
        <v>0</v>
      </c>
      <c r="S13" s="3901">
        <v>115</v>
      </c>
      <c r="T13" s="3901">
        <v>582.524</v>
      </c>
      <c r="U13" s="3944"/>
      <c r="V13" s="3946">
        <f t="shared" si="35"/>
        <v>697.524</v>
      </c>
      <c r="W13" s="3945">
        <f t="shared" si="36"/>
        <v>697.524</v>
      </c>
      <c r="X13" s="3913">
        <f t="shared" si="37"/>
        <v>1270.106</v>
      </c>
      <c r="Y13" s="3912"/>
      <c r="Z13" s="3901">
        <v>0</v>
      </c>
      <c r="AA13" s="3901"/>
      <c r="AB13" s="3946">
        <f t="shared" si="0"/>
        <v>0</v>
      </c>
      <c r="AC13" s="3901"/>
      <c r="AD13" s="3901"/>
      <c r="AE13" s="3901"/>
      <c r="AF13" s="3911">
        <f t="shared" si="1"/>
        <v>0</v>
      </c>
      <c r="AG13" s="3945">
        <f t="shared" si="2"/>
        <v>0</v>
      </c>
      <c r="AH13" s="3897"/>
      <c r="AI13" s="3897"/>
      <c r="AJ13" s="3897"/>
      <c r="AK13" s="3946">
        <f t="shared" si="3"/>
        <v>0</v>
      </c>
      <c r="AL13" s="3901"/>
      <c r="AM13" s="3901"/>
      <c r="AN13" s="3944"/>
      <c r="AO13" s="3946">
        <f t="shared" si="38"/>
        <v>0</v>
      </c>
      <c r="AP13" s="3945">
        <f t="shared" si="39"/>
        <v>0</v>
      </c>
      <c r="AQ13" s="3910">
        <f t="shared" si="40"/>
        <v>0</v>
      </c>
      <c r="AR13" s="3900">
        <f t="shared" si="6"/>
        <v>1270.106</v>
      </c>
      <c r="AS13" s="3943"/>
      <c r="AT13" s="3903"/>
      <c r="AU13" s="3909">
        <f t="shared" si="41"/>
        <v>0</v>
      </c>
      <c r="AV13" s="4713"/>
      <c r="AW13" s="3907">
        <f t="shared" si="42"/>
        <v>203</v>
      </c>
      <c r="AX13" s="4832"/>
      <c r="AY13" s="3906">
        <f t="shared" si="43"/>
        <v>203</v>
      </c>
      <c r="AZ13" s="4832"/>
      <c r="BA13" s="3907">
        <f t="shared" si="7"/>
        <v>25</v>
      </c>
      <c r="BB13" s="4833"/>
      <c r="BC13" s="3905">
        <f t="shared" si="8"/>
        <v>228</v>
      </c>
      <c r="BD13" s="4832"/>
      <c r="BE13" s="3907">
        <f t="shared" si="9"/>
        <v>0</v>
      </c>
      <c r="BF13" s="4834"/>
      <c r="BG13" s="3904">
        <f t="shared" si="10"/>
        <v>228</v>
      </c>
      <c r="BH13" s="4832"/>
      <c r="BI13" s="3907">
        <f t="shared" si="11"/>
        <v>344.58199999999999</v>
      </c>
      <c r="BJ13" s="4834"/>
      <c r="BK13" s="3904">
        <f t="shared" si="12"/>
        <v>572.58199999999999</v>
      </c>
      <c r="BL13" s="4832"/>
      <c r="BM13" s="3907">
        <f t="shared" si="13"/>
        <v>0</v>
      </c>
      <c r="BN13" s="4832"/>
      <c r="BO13" s="3905">
        <f t="shared" si="14"/>
        <v>344.58199999999999</v>
      </c>
      <c r="BP13" s="4832"/>
      <c r="BQ13" s="3928">
        <f t="shared" si="15"/>
        <v>572.58199999999999</v>
      </c>
      <c r="BR13" s="4832"/>
      <c r="BS13" s="3907">
        <f t="shared" si="16"/>
        <v>0</v>
      </c>
      <c r="BT13" s="4834"/>
      <c r="BU13" s="3904">
        <f t="shared" si="17"/>
        <v>572.58199999999999</v>
      </c>
      <c r="BV13" s="4832"/>
      <c r="BW13" s="3907">
        <f t="shared" si="18"/>
        <v>0</v>
      </c>
      <c r="BX13" s="4832"/>
      <c r="BY13" s="3906">
        <f t="shared" si="19"/>
        <v>572.58199999999999</v>
      </c>
      <c r="BZ13" s="4832"/>
      <c r="CA13" s="3907">
        <f t="shared" si="20"/>
        <v>0</v>
      </c>
      <c r="CB13" s="4832"/>
      <c r="CC13" s="3905">
        <f t="shared" si="21"/>
        <v>0</v>
      </c>
      <c r="CD13" s="4834"/>
      <c r="CE13" s="3904">
        <f t="shared" si="22"/>
        <v>572.58199999999999</v>
      </c>
      <c r="CF13" s="4832"/>
      <c r="CG13" s="3907">
        <f t="shared" si="23"/>
        <v>115</v>
      </c>
      <c r="CH13" s="4832"/>
      <c r="CI13" s="3906">
        <f t="shared" si="24"/>
        <v>687.58199999999999</v>
      </c>
      <c r="CJ13" s="4832"/>
      <c r="CK13" s="4832">
        <f t="shared" si="25"/>
        <v>582.524</v>
      </c>
      <c r="CL13" s="4834"/>
      <c r="CM13" s="4834">
        <f t="shared" si="26"/>
        <v>1270.106</v>
      </c>
      <c r="CN13" s="4832"/>
      <c r="CO13" s="3907">
        <f t="shared" si="27"/>
        <v>0</v>
      </c>
      <c r="CP13" s="4832"/>
      <c r="CQ13" s="3905">
        <f t="shared" si="28"/>
        <v>697.524</v>
      </c>
      <c r="CR13" s="4832"/>
      <c r="CS13" s="3928">
        <f t="shared" si="29"/>
        <v>697.524</v>
      </c>
      <c r="CT13" s="4834"/>
      <c r="CU13" s="3930">
        <f t="shared" si="30"/>
        <v>1270.106</v>
      </c>
      <c r="CV13" s="5317"/>
      <c r="CW13" s="5317"/>
    </row>
    <row r="14" spans="1:101" x14ac:dyDescent="0.3">
      <c r="A14" s="3958"/>
      <c r="B14" s="3958"/>
      <c r="C14" s="3958"/>
      <c r="D14" s="3958"/>
      <c r="E14" s="4563" t="s">
        <v>1197</v>
      </c>
      <c r="F14" s="3939">
        <v>152</v>
      </c>
      <c r="G14" s="3901">
        <v>1416</v>
      </c>
      <c r="H14" s="3901">
        <v>1774</v>
      </c>
      <c r="I14" s="3946">
        <f t="shared" si="31"/>
        <v>3342</v>
      </c>
      <c r="J14" s="3901">
        <v>1118</v>
      </c>
      <c r="K14" s="3901">
        <v>3515.5819999999999</v>
      </c>
      <c r="L14" s="3901">
        <v>1330</v>
      </c>
      <c r="M14" s="3946">
        <f t="shared" si="32"/>
        <v>5963.5820000000003</v>
      </c>
      <c r="N14" s="3945">
        <f t="shared" si="33"/>
        <v>9305.5820000000003</v>
      </c>
      <c r="O14" s="3897">
        <v>406</v>
      </c>
      <c r="P14" s="3897">
        <v>2219.1089999999999</v>
      </c>
      <c r="Q14" s="3901">
        <v>1072</v>
      </c>
      <c r="R14" s="3946">
        <f t="shared" si="34"/>
        <v>3697.1089999999999</v>
      </c>
      <c r="S14" s="3901">
        <v>1616</v>
      </c>
      <c r="T14" s="3901">
        <v>153.072</v>
      </c>
      <c r="U14" s="3944">
        <v>414.57</v>
      </c>
      <c r="V14" s="3946">
        <f t="shared" si="35"/>
        <v>2183.6420000000003</v>
      </c>
      <c r="W14" s="3945">
        <f t="shared" si="36"/>
        <v>5880.7510000000002</v>
      </c>
      <c r="X14" s="3913">
        <f t="shared" si="37"/>
        <v>15186.333000000001</v>
      </c>
      <c r="Y14" s="3912">
        <v>0</v>
      </c>
      <c r="Z14" s="3901">
        <v>0</v>
      </c>
      <c r="AA14" s="3901"/>
      <c r="AB14" s="3946">
        <f t="shared" si="0"/>
        <v>0</v>
      </c>
      <c r="AC14" s="3901"/>
      <c r="AD14" s="3901"/>
      <c r="AE14" s="3901"/>
      <c r="AF14" s="3911">
        <f t="shared" si="1"/>
        <v>0</v>
      </c>
      <c r="AG14" s="3945">
        <f t="shared" si="2"/>
        <v>0</v>
      </c>
      <c r="AH14" s="3897"/>
      <c r="AI14" s="3897"/>
      <c r="AJ14" s="3897"/>
      <c r="AK14" s="3946">
        <f t="shared" si="3"/>
        <v>0</v>
      </c>
      <c r="AL14" s="3901"/>
      <c r="AM14" s="3901"/>
      <c r="AN14" s="3944"/>
      <c r="AO14" s="3946">
        <f t="shared" si="38"/>
        <v>0</v>
      </c>
      <c r="AP14" s="3945">
        <f t="shared" si="39"/>
        <v>0</v>
      </c>
      <c r="AQ14" s="3910">
        <f t="shared" si="40"/>
        <v>0</v>
      </c>
      <c r="AR14" s="3900">
        <f t="shared" si="6"/>
        <v>15186.333000000001</v>
      </c>
      <c r="AS14" s="3943"/>
      <c r="AT14" s="3903"/>
      <c r="AU14" s="3909">
        <f t="shared" si="41"/>
        <v>152</v>
      </c>
      <c r="AV14" s="3908"/>
      <c r="AW14" s="3907">
        <f t="shared" si="42"/>
        <v>1416</v>
      </c>
      <c r="AX14" s="3906"/>
      <c r="AY14" s="3906">
        <f t="shared" si="43"/>
        <v>1568</v>
      </c>
      <c r="AZ14" s="3906"/>
      <c r="BA14" s="3907">
        <f t="shared" si="7"/>
        <v>1774</v>
      </c>
      <c r="BB14" s="3905"/>
      <c r="BC14" s="3905">
        <f t="shared" si="8"/>
        <v>3342</v>
      </c>
      <c r="BD14" s="3906"/>
      <c r="BE14" s="3907">
        <f t="shared" si="9"/>
        <v>1118</v>
      </c>
      <c r="BF14" s="3904"/>
      <c r="BG14" s="3904">
        <f t="shared" si="10"/>
        <v>4460</v>
      </c>
      <c r="BH14" s="3906"/>
      <c r="BI14" s="3907">
        <f t="shared" si="11"/>
        <v>3515.5819999999999</v>
      </c>
      <c r="BJ14" s="3904"/>
      <c r="BK14" s="3904">
        <f t="shared" si="12"/>
        <v>7975.5820000000003</v>
      </c>
      <c r="BL14" s="3906"/>
      <c r="BM14" s="3907">
        <f t="shared" si="13"/>
        <v>1330</v>
      </c>
      <c r="BN14" s="3906"/>
      <c r="BO14" s="3905">
        <f t="shared" si="14"/>
        <v>5963.5820000000003</v>
      </c>
      <c r="BP14" s="3906"/>
      <c r="BQ14" s="3928">
        <f t="shared" si="15"/>
        <v>9305.5820000000003</v>
      </c>
      <c r="BR14" s="3906"/>
      <c r="BS14" s="3907">
        <f t="shared" si="16"/>
        <v>406</v>
      </c>
      <c r="BT14" s="3904"/>
      <c r="BU14" s="3904">
        <f t="shared" si="17"/>
        <v>9711.5820000000003</v>
      </c>
      <c r="BV14" s="3906"/>
      <c r="BW14" s="3907">
        <f t="shared" si="18"/>
        <v>2219.1089999999999</v>
      </c>
      <c r="BX14" s="3906"/>
      <c r="BY14" s="3906">
        <f t="shared" si="19"/>
        <v>11930.691000000001</v>
      </c>
      <c r="BZ14" s="3906"/>
      <c r="CA14" s="3907">
        <f t="shared" si="20"/>
        <v>1072</v>
      </c>
      <c r="CB14" s="3906"/>
      <c r="CC14" s="3905">
        <f t="shared" si="21"/>
        <v>3697.1089999999999</v>
      </c>
      <c r="CD14" s="3904"/>
      <c r="CE14" s="3904">
        <f t="shared" si="22"/>
        <v>13002.691000000001</v>
      </c>
      <c r="CF14" s="3906"/>
      <c r="CG14" s="3907">
        <f t="shared" si="23"/>
        <v>1616</v>
      </c>
      <c r="CH14" s="3906"/>
      <c r="CI14" s="3906">
        <f t="shared" si="24"/>
        <v>14618.691000000001</v>
      </c>
      <c r="CJ14" s="3906"/>
      <c r="CK14" s="3907">
        <f t="shared" si="25"/>
        <v>153.072</v>
      </c>
      <c r="CL14" s="3904"/>
      <c r="CM14" s="3904">
        <f t="shared" si="26"/>
        <v>14771.763000000001</v>
      </c>
      <c r="CN14" s="3906"/>
      <c r="CO14" s="3907">
        <f t="shared" si="27"/>
        <v>414.57</v>
      </c>
      <c r="CP14" s="3906"/>
      <c r="CQ14" s="3905">
        <f t="shared" si="28"/>
        <v>2183.6420000000003</v>
      </c>
      <c r="CR14" s="3906"/>
      <c r="CS14" s="3928">
        <f t="shared" si="29"/>
        <v>5880.7510000000002</v>
      </c>
      <c r="CT14" s="3904"/>
      <c r="CU14" s="3930">
        <f t="shared" si="30"/>
        <v>15186.333000000001</v>
      </c>
      <c r="CV14" s="5317"/>
      <c r="CW14" s="5317"/>
    </row>
    <row r="15" spans="1:101" x14ac:dyDescent="0.3">
      <c r="A15" s="3958"/>
      <c r="B15" s="3958"/>
      <c r="C15" s="3958"/>
      <c r="D15" s="3958"/>
      <c r="E15" s="4563" t="s">
        <v>1199</v>
      </c>
      <c r="F15" s="3939">
        <v>1998</v>
      </c>
      <c r="G15" s="3901">
        <v>2501</v>
      </c>
      <c r="H15" s="3901"/>
      <c r="I15" s="3946">
        <f t="shared" si="31"/>
        <v>4499</v>
      </c>
      <c r="J15" s="3901"/>
      <c r="K15" s="3901">
        <v>987.23800000000006</v>
      </c>
      <c r="L15" s="3901">
        <v>1340</v>
      </c>
      <c r="M15" s="3946">
        <f t="shared" si="32"/>
        <v>2327.2380000000003</v>
      </c>
      <c r="N15" s="3945">
        <f t="shared" si="33"/>
        <v>6826.2380000000003</v>
      </c>
      <c r="O15" s="3897">
        <v>1372</v>
      </c>
      <c r="P15" s="3897"/>
      <c r="Q15" s="3901">
        <v>1480</v>
      </c>
      <c r="R15" s="3946">
        <f t="shared" si="34"/>
        <v>2852</v>
      </c>
      <c r="S15" s="3901">
        <v>1913</v>
      </c>
      <c r="T15" s="3901">
        <v>2489.5459999999998</v>
      </c>
      <c r="U15" s="3944">
        <v>2240.8040000000001</v>
      </c>
      <c r="V15" s="3946">
        <f>S15+T15+U15</f>
        <v>6643.35</v>
      </c>
      <c r="W15" s="3945">
        <f t="shared" si="36"/>
        <v>9495.35</v>
      </c>
      <c r="X15" s="3913">
        <f t="shared" si="37"/>
        <v>16321.588000000002</v>
      </c>
      <c r="Y15" s="3912">
        <v>0</v>
      </c>
      <c r="Z15" s="3901">
        <v>0</v>
      </c>
      <c r="AA15" s="3901"/>
      <c r="AB15" s="3946">
        <f t="shared" si="0"/>
        <v>0</v>
      </c>
      <c r="AC15" s="3901"/>
      <c r="AD15" s="3901"/>
      <c r="AE15" s="3901"/>
      <c r="AF15" s="3911">
        <f t="shared" si="1"/>
        <v>0</v>
      </c>
      <c r="AG15" s="3945">
        <f t="shared" si="2"/>
        <v>0</v>
      </c>
      <c r="AH15" s="3897"/>
      <c r="AI15" s="3897"/>
      <c r="AJ15" s="3897"/>
      <c r="AK15" s="3946">
        <f t="shared" si="3"/>
        <v>0</v>
      </c>
      <c r="AL15" s="3901"/>
      <c r="AM15" s="3901"/>
      <c r="AN15" s="3944"/>
      <c r="AO15" s="3946">
        <f t="shared" si="38"/>
        <v>0</v>
      </c>
      <c r="AP15" s="3945">
        <f t="shared" si="39"/>
        <v>0</v>
      </c>
      <c r="AQ15" s="3910">
        <f t="shared" si="40"/>
        <v>0</v>
      </c>
      <c r="AR15" s="3900">
        <f t="shared" si="6"/>
        <v>16321.588000000002</v>
      </c>
      <c r="AS15" s="3943"/>
      <c r="AT15" s="3903"/>
      <c r="AU15" s="3909">
        <f t="shared" si="41"/>
        <v>1998</v>
      </c>
      <c r="AV15" s="3908"/>
      <c r="AW15" s="3907">
        <f t="shared" si="42"/>
        <v>2501</v>
      </c>
      <c r="AX15" s="3906"/>
      <c r="AY15" s="3906">
        <f t="shared" si="43"/>
        <v>4499</v>
      </c>
      <c r="AZ15" s="3906"/>
      <c r="BA15" s="3907">
        <f t="shared" si="7"/>
        <v>0</v>
      </c>
      <c r="BB15" s="3905"/>
      <c r="BC15" s="3905">
        <f t="shared" si="8"/>
        <v>4499</v>
      </c>
      <c r="BD15" s="3906"/>
      <c r="BE15" s="3907">
        <f t="shared" si="9"/>
        <v>0</v>
      </c>
      <c r="BF15" s="3904"/>
      <c r="BG15" s="3904">
        <f t="shared" si="10"/>
        <v>4499</v>
      </c>
      <c r="BH15" s="3906"/>
      <c r="BI15" s="3907">
        <f t="shared" si="11"/>
        <v>987.23800000000006</v>
      </c>
      <c r="BJ15" s="3904"/>
      <c r="BK15" s="3904">
        <f t="shared" si="12"/>
        <v>5486.2380000000003</v>
      </c>
      <c r="BL15" s="3906"/>
      <c r="BM15" s="3907">
        <f t="shared" si="13"/>
        <v>1340</v>
      </c>
      <c r="BN15" s="3906"/>
      <c r="BO15" s="3905">
        <f t="shared" si="14"/>
        <v>2327.2380000000003</v>
      </c>
      <c r="BP15" s="3906"/>
      <c r="BQ15" s="3928">
        <f t="shared" si="15"/>
        <v>6826.2380000000003</v>
      </c>
      <c r="BR15" s="3906"/>
      <c r="BS15" s="3907">
        <f t="shared" si="16"/>
        <v>1372</v>
      </c>
      <c r="BT15" s="3904"/>
      <c r="BU15" s="3904">
        <f t="shared" si="17"/>
        <v>8198.2380000000012</v>
      </c>
      <c r="BV15" s="3906"/>
      <c r="BW15" s="3907">
        <f t="shared" si="18"/>
        <v>0</v>
      </c>
      <c r="BX15" s="3906"/>
      <c r="BY15" s="3906">
        <f t="shared" si="19"/>
        <v>8198.2380000000012</v>
      </c>
      <c r="BZ15" s="3906"/>
      <c r="CA15" s="3907">
        <f t="shared" si="20"/>
        <v>1480</v>
      </c>
      <c r="CB15" s="3906"/>
      <c r="CC15" s="3905">
        <f t="shared" si="21"/>
        <v>2852</v>
      </c>
      <c r="CD15" s="3904"/>
      <c r="CE15" s="3904">
        <f t="shared" si="22"/>
        <v>9678.2380000000012</v>
      </c>
      <c r="CF15" s="3906"/>
      <c r="CG15" s="3907">
        <f t="shared" si="23"/>
        <v>1913</v>
      </c>
      <c r="CH15" s="3906"/>
      <c r="CI15" s="3906">
        <f t="shared" si="24"/>
        <v>11591.238000000001</v>
      </c>
      <c r="CJ15" s="3906"/>
      <c r="CK15" s="3907">
        <f t="shared" si="25"/>
        <v>2489.5459999999998</v>
      </c>
      <c r="CL15" s="3904"/>
      <c r="CM15" s="3904">
        <f t="shared" si="26"/>
        <v>14080.784000000001</v>
      </c>
      <c r="CN15" s="3906"/>
      <c r="CO15" s="3907">
        <f t="shared" si="27"/>
        <v>2240.8040000000001</v>
      </c>
      <c r="CP15" s="3906"/>
      <c r="CQ15" s="3905">
        <f t="shared" si="28"/>
        <v>6643.35</v>
      </c>
      <c r="CR15" s="3906"/>
      <c r="CS15" s="3928">
        <f t="shared" si="29"/>
        <v>9495.35</v>
      </c>
      <c r="CT15" s="3904"/>
      <c r="CU15" s="3930">
        <f t="shared" si="30"/>
        <v>16321.588000000002</v>
      </c>
      <c r="CV15" s="5317"/>
      <c r="CW15" s="5317"/>
    </row>
    <row r="16" spans="1:101" x14ac:dyDescent="0.3">
      <c r="A16" s="3958"/>
      <c r="B16" s="3958"/>
      <c r="C16" s="3958"/>
      <c r="D16" s="3958"/>
      <c r="E16" s="4563" t="s">
        <v>1916</v>
      </c>
      <c r="F16" s="3939">
        <v>3795</v>
      </c>
      <c r="G16" s="3901">
        <v>2748</v>
      </c>
      <c r="H16" s="3901">
        <v>2023</v>
      </c>
      <c r="I16" s="3946">
        <f t="shared" si="31"/>
        <v>8566</v>
      </c>
      <c r="J16" s="3901">
        <v>1323</v>
      </c>
      <c r="K16" s="3901"/>
      <c r="L16" s="3901"/>
      <c r="M16" s="3946">
        <f t="shared" si="32"/>
        <v>1323</v>
      </c>
      <c r="N16" s="3945">
        <f t="shared" si="33"/>
        <v>9889</v>
      </c>
      <c r="O16" s="3897">
        <v>1300</v>
      </c>
      <c r="P16" s="3897">
        <v>240.238</v>
      </c>
      <c r="Q16" s="3901">
        <v>2496</v>
      </c>
      <c r="R16" s="3946">
        <f t="shared" si="34"/>
        <v>4036.2380000000003</v>
      </c>
      <c r="S16" s="3901">
        <v>895</v>
      </c>
      <c r="T16" s="3901"/>
      <c r="U16" s="3944">
        <v>3390.97</v>
      </c>
      <c r="V16" s="3946">
        <f>S16+T16+U16</f>
        <v>4285.9699999999993</v>
      </c>
      <c r="W16" s="3945">
        <f t="shared" si="36"/>
        <v>8322.2079999999987</v>
      </c>
      <c r="X16" s="3913">
        <f t="shared" si="37"/>
        <v>18211.207999999999</v>
      </c>
      <c r="Y16" s="3912">
        <v>0</v>
      </c>
      <c r="Z16" s="3901">
        <v>0</v>
      </c>
      <c r="AA16" s="3901"/>
      <c r="AB16" s="3946">
        <f t="shared" si="0"/>
        <v>0</v>
      </c>
      <c r="AC16" s="3901"/>
      <c r="AD16" s="3901"/>
      <c r="AE16" s="3901"/>
      <c r="AF16" s="3911">
        <f t="shared" si="1"/>
        <v>0</v>
      </c>
      <c r="AG16" s="3945">
        <f t="shared" si="2"/>
        <v>0</v>
      </c>
      <c r="AH16" s="3897"/>
      <c r="AI16" s="3897"/>
      <c r="AJ16" s="3897"/>
      <c r="AK16" s="3946">
        <f t="shared" si="3"/>
        <v>0</v>
      </c>
      <c r="AL16" s="3901"/>
      <c r="AM16" s="3901"/>
      <c r="AN16" s="3944"/>
      <c r="AO16" s="3946">
        <f t="shared" si="38"/>
        <v>0</v>
      </c>
      <c r="AP16" s="3945">
        <f t="shared" si="39"/>
        <v>0</v>
      </c>
      <c r="AQ16" s="3910">
        <f t="shared" si="40"/>
        <v>0</v>
      </c>
      <c r="AR16" s="3900">
        <f t="shared" si="6"/>
        <v>18211.207999999999</v>
      </c>
      <c r="AS16" s="3943"/>
      <c r="AT16" s="3903"/>
      <c r="AU16" s="3909">
        <f t="shared" si="41"/>
        <v>3795</v>
      </c>
      <c r="AV16" s="3908"/>
      <c r="AW16" s="3907">
        <f t="shared" si="42"/>
        <v>2748</v>
      </c>
      <c r="AX16" s="3906"/>
      <c r="AY16" s="3906">
        <f t="shared" si="43"/>
        <v>6543</v>
      </c>
      <c r="AZ16" s="3906"/>
      <c r="BA16" s="3907">
        <f t="shared" si="7"/>
        <v>2023</v>
      </c>
      <c r="BB16" s="3905"/>
      <c r="BC16" s="3905">
        <f t="shared" si="8"/>
        <v>8566</v>
      </c>
      <c r="BD16" s="3906"/>
      <c r="BE16" s="3907">
        <f t="shared" si="9"/>
        <v>1323</v>
      </c>
      <c r="BF16" s="3904"/>
      <c r="BG16" s="3904">
        <f t="shared" si="10"/>
        <v>9889</v>
      </c>
      <c r="BH16" s="3906"/>
      <c r="BI16" s="3907">
        <f t="shared" si="11"/>
        <v>0</v>
      </c>
      <c r="BJ16" s="3904"/>
      <c r="BK16" s="3904">
        <f t="shared" si="12"/>
        <v>9889</v>
      </c>
      <c r="BL16" s="3906"/>
      <c r="BM16" s="3907">
        <f t="shared" si="13"/>
        <v>0</v>
      </c>
      <c r="BN16" s="3906"/>
      <c r="BO16" s="3905">
        <f t="shared" si="14"/>
        <v>1323</v>
      </c>
      <c r="BP16" s="3906"/>
      <c r="BQ16" s="3928">
        <f t="shared" si="15"/>
        <v>9889</v>
      </c>
      <c r="BR16" s="3906"/>
      <c r="BS16" s="3907">
        <f t="shared" si="16"/>
        <v>1300</v>
      </c>
      <c r="BT16" s="3904"/>
      <c r="BU16" s="3904">
        <f t="shared" si="17"/>
        <v>11189</v>
      </c>
      <c r="BV16" s="3906"/>
      <c r="BW16" s="3907">
        <f t="shared" si="18"/>
        <v>240.238</v>
      </c>
      <c r="BX16" s="3906"/>
      <c r="BY16" s="3906">
        <f t="shared" si="19"/>
        <v>11429.237999999999</v>
      </c>
      <c r="BZ16" s="3906"/>
      <c r="CA16" s="3907">
        <f t="shared" si="20"/>
        <v>2496</v>
      </c>
      <c r="CB16" s="3906"/>
      <c r="CC16" s="3905">
        <f t="shared" si="21"/>
        <v>4036.2380000000003</v>
      </c>
      <c r="CD16" s="3904"/>
      <c r="CE16" s="3904">
        <f t="shared" si="22"/>
        <v>13925.237999999999</v>
      </c>
      <c r="CF16" s="3906"/>
      <c r="CG16" s="3907">
        <f t="shared" si="23"/>
        <v>895</v>
      </c>
      <c r="CH16" s="3906"/>
      <c r="CI16" s="3906">
        <f t="shared" si="24"/>
        <v>14820.237999999999</v>
      </c>
      <c r="CJ16" s="3906"/>
      <c r="CK16" s="3907">
        <f t="shared" si="25"/>
        <v>0</v>
      </c>
      <c r="CL16" s="3904"/>
      <c r="CM16" s="3904">
        <f t="shared" si="26"/>
        <v>14820.237999999999</v>
      </c>
      <c r="CN16" s="3906"/>
      <c r="CO16" s="3907">
        <f t="shared" si="27"/>
        <v>3390.97</v>
      </c>
      <c r="CP16" s="3906"/>
      <c r="CQ16" s="3905">
        <f t="shared" si="28"/>
        <v>4285.9699999999993</v>
      </c>
      <c r="CR16" s="3906"/>
      <c r="CS16" s="3928">
        <f t="shared" si="29"/>
        <v>8322.2079999999987</v>
      </c>
      <c r="CT16" s="3904"/>
      <c r="CU16" s="3930">
        <f t="shared" si="30"/>
        <v>18211.207999999999</v>
      </c>
      <c r="CV16" s="5317"/>
      <c r="CW16" s="5317"/>
    </row>
    <row r="17" spans="1:105" x14ac:dyDescent="0.3">
      <c r="A17" s="3958"/>
      <c r="B17" s="3958"/>
      <c r="C17" s="3958"/>
      <c r="D17" s="3958"/>
      <c r="E17" s="4563" t="s">
        <v>1918</v>
      </c>
      <c r="F17" s="3939"/>
      <c r="G17" s="3901"/>
      <c r="H17" s="3901"/>
      <c r="I17" s="3946">
        <f t="shared" si="31"/>
        <v>0</v>
      </c>
      <c r="J17" s="3901">
        <v>812</v>
      </c>
      <c r="K17" s="3901">
        <v>2784.1379999999999</v>
      </c>
      <c r="L17" s="3901">
        <v>207</v>
      </c>
      <c r="M17" s="3946">
        <f t="shared" si="32"/>
        <v>3803.1379999999999</v>
      </c>
      <c r="N17" s="3945">
        <f t="shared" si="33"/>
        <v>3803.1379999999999</v>
      </c>
      <c r="O17" s="3897">
        <v>159</v>
      </c>
      <c r="P17" s="3897">
        <v>885.76199999999994</v>
      </c>
      <c r="Q17" s="3901">
        <v>661</v>
      </c>
      <c r="R17" s="3946">
        <f t="shared" si="34"/>
        <v>1705.7619999999999</v>
      </c>
      <c r="S17" s="3901">
        <v>2913</v>
      </c>
      <c r="T17" s="3901">
        <v>255.12</v>
      </c>
      <c r="U17" s="3944">
        <v>304.01799999999997</v>
      </c>
      <c r="V17" s="3946">
        <f t="shared" si="35"/>
        <v>3472.1379999999999</v>
      </c>
      <c r="W17" s="3945">
        <f t="shared" si="36"/>
        <v>5177.8999999999996</v>
      </c>
      <c r="X17" s="3913">
        <f t="shared" si="37"/>
        <v>8981.0380000000005</v>
      </c>
      <c r="Y17" s="3912"/>
      <c r="Z17" s="3901"/>
      <c r="AA17" s="3901"/>
      <c r="AB17" s="3946">
        <f t="shared" si="0"/>
        <v>0</v>
      </c>
      <c r="AC17" s="3901">
        <v>207</v>
      </c>
      <c r="AD17" s="3901"/>
      <c r="AE17" s="3901"/>
      <c r="AF17" s="3911">
        <f t="shared" si="1"/>
        <v>207</v>
      </c>
      <c r="AG17" s="3945">
        <f t="shared" si="2"/>
        <v>207</v>
      </c>
      <c r="AH17" s="3897"/>
      <c r="AI17" s="3897"/>
      <c r="AJ17" s="3897"/>
      <c r="AK17" s="3946">
        <f t="shared" si="3"/>
        <v>0</v>
      </c>
      <c r="AL17" s="3901"/>
      <c r="AM17" s="3901"/>
      <c r="AN17" s="3944"/>
      <c r="AO17" s="3946">
        <f t="shared" si="38"/>
        <v>0</v>
      </c>
      <c r="AP17" s="3945">
        <f t="shared" si="39"/>
        <v>0</v>
      </c>
      <c r="AQ17" s="3910">
        <f t="shared" si="40"/>
        <v>207</v>
      </c>
      <c r="AR17" s="3900">
        <f t="shared" si="6"/>
        <v>9188.0380000000005</v>
      </c>
      <c r="AS17" s="3943"/>
      <c r="AT17" s="3903"/>
      <c r="AU17" s="4914"/>
      <c r="AV17" s="4915"/>
      <c r="AW17" s="4832"/>
      <c r="AX17" s="4832"/>
      <c r="AY17" s="4832"/>
      <c r="AZ17" s="4832"/>
      <c r="BA17" s="4832"/>
      <c r="BB17" s="4833"/>
      <c r="BC17" s="3905">
        <f t="shared" si="8"/>
        <v>0</v>
      </c>
      <c r="BD17" s="4832"/>
      <c r="BE17" s="3907">
        <f t="shared" si="9"/>
        <v>1019</v>
      </c>
      <c r="BF17" s="4834"/>
      <c r="BG17" s="3904">
        <f t="shared" si="10"/>
        <v>1019</v>
      </c>
      <c r="BH17" s="4832"/>
      <c r="BI17" s="3907">
        <f t="shared" si="11"/>
        <v>2784.1379999999999</v>
      </c>
      <c r="BJ17" s="4834"/>
      <c r="BK17" s="3904">
        <f t="shared" si="12"/>
        <v>3803.1379999999999</v>
      </c>
      <c r="BL17" s="4832"/>
      <c r="BM17" s="3907">
        <f t="shared" si="13"/>
        <v>207</v>
      </c>
      <c r="BN17" s="4832"/>
      <c r="BO17" s="3905">
        <f t="shared" si="14"/>
        <v>4010.1379999999999</v>
      </c>
      <c r="BP17" s="4832"/>
      <c r="BQ17" s="3928">
        <f t="shared" si="15"/>
        <v>4010.1379999999999</v>
      </c>
      <c r="BR17" s="4832"/>
      <c r="BS17" s="3907">
        <f t="shared" si="16"/>
        <v>159</v>
      </c>
      <c r="BT17" s="4834"/>
      <c r="BU17" s="3904">
        <f t="shared" si="17"/>
        <v>4169.1379999999999</v>
      </c>
      <c r="BV17" s="4832"/>
      <c r="BW17" s="3907">
        <f t="shared" si="18"/>
        <v>885.76199999999994</v>
      </c>
      <c r="BX17" s="4832"/>
      <c r="BY17" s="3906">
        <f t="shared" si="19"/>
        <v>5054.8999999999996</v>
      </c>
      <c r="BZ17" s="4832"/>
      <c r="CA17" s="3907">
        <f t="shared" si="20"/>
        <v>661</v>
      </c>
      <c r="CB17" s="4832"/>
      <c r="CC17" s="3905">
        <f t="shared" si="21"/>
        <v>1705.7619999999999</v>
      </c>
      <c r="CD17" s="4834"/>
      <c r="CE17" s="3904">
        <f t="shared" si="22"/>
        <v>5715.9</v>
      </c>
      <c r="CF17" s="4832"/>
      <c r="CG17" s="3907">
        <f t="shared" si="23"/>
        <v>2913</v>
      </c>
      <c r="CH17" s="4832"/>
      <c r="CI17" s="3906">
        <f t="shared" si="24"/>
        <v>8628.9</v>
      </c>
      <c r="CJ17" s="4832"/>
      <c r="CK17" s="4832">
        <f t="shared" si="25"/>
        <v>255.12</v>
      </c>
      <c r="CL17" s="4834"/>
      <c r="CM17" s="4834">
        <f t="shared" si="26"/>
        <v>8884.02</v>
      </c>
      <c r="CN17" s="4832"/>
      <c r="CO17" s="3907">
        <f t="shared" si="27"/>
        <v>304.01799999999997</v>
      </c>
      <c r="CP17" s="4832"/>
      <c r="CQ17" s="3905">
        <f t="shared" si="28"/>
        <v>3472.1379999999999</v>
      </c>
      <c r="CR17" s="4832"/>
      <c r="CS17" s="3928">
        <f t="shared" si="29"/>
        <v>5177.8999999999996</v>
      </c>
      <c r="CT17" s="4834"/>
      <c r="CU17" s="3930">
        <f t="shared" si="30"/>
        <v>9188.0380000000005</v>
      </c>
      <c r="CV17" s="5317"/>
      <c r="CW17" s="5317"/>
    </row>
    <row r="18" spans="1:105" x14ac:dyDescent="0.3">
      <c r="A18" s="3958"/>
      <c r="B18" s="3958"/>
      <c r="C18" s="3958"/>
      <c r="D18" s="3958"/>
      <c r="E18" s="4563" t="s">
        <v>1917</v>
      </c>
      <c r="F18" s="3939">
        <v>3974</v>
      </c>
      <c r="G18" s="3901">
        <v>2518</v>
      </c>
      <c r="H18" s="3901">
        <v>1611</v>
      </c>
      <c r="I18" s="3946">
        <f t="shared" si="31"/>
        <v>8103</v>
      </c>
      <c r="J18" s="3901">
        <v>1484</v>
      </c>
      <c r="K18" s="3901">
        <v>2807.3919999999998</v>
      </c>
      <c r="L18" s="3901">
        <v>1769</v>
      </c>
      <c r="M18" s="3946">
        <f t="shared" si="32"/>
        <v>6060.3919999999998</v>
      </c>
      <c r="N18" s="3945">
        <f t="shared" si="33"/>
        <v>14163.392</v>
      </c>
      <c r="O18" s="3897">
        <v>3782</v>
      </c>
      <c r="P18" s="3897">
        <v>110.55200000000001</v>
      </c>
      <c r="Q18" s="3901">
        <v>3782</v>
      </c>
      <c r="R18" s="3946">
        <f t="shared" si="34"/>
        <v>7674.5519999999997</v>
      </c>
      <c r="S18" s="3901">
        <v>3612</v>
      </c>
      <c r="T18" s="3901">
        <v>1688.0440000000001</v>
      </c>
      <c r="U18" s="3944">
        <v>8129.8239999999996</v>
      </c>
      <c r="V18" s="3946">
        <f t="shared" si="35"/>
        <v>13429.867999999999</v>
      </c>
      <c r="W18" s="3945">
        <f t="shared" si="36"/>
        <v>21104.42</v>
      </c>
      <c r="X18" s="3913">
        <f t="shared" si="37"/>
        <v>35267.811999999998</v>
      </c>
      <c r="Y18" s="3912">
        <v>0</v>
      </c>
      <c r="Z18" s="3901">
        <v>0</v>
      </c>
      <c r="AA18" s="3901"/>
      <c r="AB18" s="3946">
        <f t="shared" si="0"/>
        <v>0</v>
      </c>
      <c r="AC18" s="3901"/>
      <c r="AD18" s="3901"/>
      <c r="AE18" s="3901"/>
      <c r="AF18" s="3911">
        <f t="shared" si="1"/>
        <v>0</v>
      </c>
      <c r="AG18" s="3945">
        <f t="shared" si="2"/>
        <v>0</v>
      </c>
      <c r="AH18" s="3897"/>
      <c r="AI18" s="3897"/>
      <c r="AJ18" s="3897"/>
      <c r="AK18" s="3946">
        <f t="shared" si="3"/>
        <v>0</v>
      </c>
      <c r="AL18" s="3901"/>
      <c r="AM18" s="3901"/>
      <c r="AN18" s="3944"/>
      <c r="AO18" s="3946">
        <f t="shared" si="38"/>
        <v>0</v>
      </c>
      <c r="AP18" s="3945">
        <f t="shared" si="39"/>
        <v>0</v>
      </c>
      <c r="AQ18" s="3910">
        <f t="shared" si="40"/>
        <v>0</v>
      </c>
      <c r="AR18" s="3900">
        <f t="shared" si="6"/>
        <v>35267.811999999998</v>
      </c>
      <c r="AS18" s="3943"/>
      <c r="AT18" s="3903"/>
      <c r="AU18" s="3909">
        <f t="shared" si="41"/>
        <v>3974</v>
      </c>
      <c r="AV18" s="3908"/>
      <c r="AW18" s="3907">
        <f t="shared" si="42"/>
        <v>2518</v>
      </c>
      <c r="AX18" s="3906"/>
      <c r="AY18" s="3906">
        <f t="shared" si="43"/>
        <v>6492</v>
      </c>
      <c r="AZ18" s="3906"/>
      <c r="BA18" s="3907">
        <f t="shared" si="7"/>
        <v>1611</v>
      </c>
      <c r="BB18" s="3905"/>
      <c r="BC18" s="3905">
        <f t="shared" si="8"/>
        <v>8103</v>
      </c>
      <c r="BD18" s="3906"/>
      <c r="BE18" s="3907">
        <f t="shared" si="9"/>
        <v>1484</v>
      </c>
      <c r="BF18" s="3904"/>
      <c r="BG18" s="3904">
        <f t="shared" si="10"/>
        <v>9587</v>
      </c>
      <c r="BH18" s="3906"/>
      <c r="BI18" s="3907">
        <f t="shared" si="11"/>
        <v>2807.3919999999998</v>
      </c>
      <c r="BJ18" s="3904"/>
      <c r="BK18" s="3904">
        <f t="shared" si="12"/>
        <v>12394.392</v>
      </c>
      <c r="BL18" s="3906"/>
      <c r="BM18" s="3907">
        <f t="shared" si="13"/>
        <v>1769</v>
      </c>
      <c r="BN18" s="3906"/>
      <c r="BO18" s="3905">
        <f t="shared" si="14"/>
        <v>6060.3919999999998</v>
      </c>
      <c r="BP18" s="3906"/>
      <c r="BQ18" s="3928">
        <f t="shared" si="15"/>
        <v>14163.392</v>
      </c>
      <c r="BR18" s="3906"/>
      <c r="BS18" s="3907">
        <f t="shared" si="16"/>
        <v>3782</v>
      </c>
      <c r="BT18" s="3904"/>
      <c r="BU18" s="3904">
        <f t="shared" si="17"/>
        <v>17945.392</v>
      </c>
      <c r="BV18" s="3906"/>
      <c r="BW18" s="3907">
        <f t="shared" si="18"/>
        <v>110.55200000000001</v>
      </c>
      <c r="BX18" s="3906"/>
      <c r="BY18" s="3906">
        <f t="shared" si="19"/>
        <v>18055.944</v>
      </c>
      <c r="BZ18" s="3906"/>
      <c r="CA18" s="3907">
        <f t="shared" si="20"/>
        <v>3782</v>
      </c>
      <c r="CB18" s="3906"/>
      <c r="CC18" s="3905">
        <f t="shared" si="21"/>
        <v>7674.5519999999997</v>
      </c>
      <c r="CD18" s="3904"/>
      <c r="CE18" s="3904">
        <f t="shared" si="22"/>
        <v>21837.944</v>
      </c>
      <c r="CF18" s="3906"/>
      <c r="CG18" s="3907">
        <f t="shared" si="23"/>
        <v>3612</v>
      </c>
      <c r="CH18" s="3906"/>
      <c r="CI18" s="3906">
        <f t="shared" si="24"/>
        <v>25449.944</v>
      </c>
      <c r="CJ18" s="3906"/>
      <c r="CK18" s="3907">
        <f t="shared" si="25"/>
        <v>1688.0440000000001</v>
      </c>
      <c r="CL18" s="3904"/>
      <c r="CM18" s="3904">
        <f t="shared" si="26"/>
        <v>27137.988000000001</v>
      </c>
      <c r="CN18" s="3906"/>
      <c r="CO18" s="3907">
        <f t="shared" si="27"/>
        <v>8129.8239999999996</v>
      </c>
      <c r="CP18" s="3906"/>
      <c r="CQ18" s="3905">
        <f t="shared" si="28"/>
        <v>13429.867999999999</v>
      </c>
      <c r="CR18" s="3906"/>
      <c r="CS18" s="3928">
        <f t="shared" si="29"/>
        <v>21104.42</v>
      </c>
      <c r="CT18" s="3904"/>
      <c r="CU18" s="3930">
        <f t="shared" si="30"/>
        <v>35267.811999999998</v>
      </c>
      <c r="CV18" s="5317"/>
      <c r="CW18" s="5317"/>
    </row>
    <row r="19" spans="1:105" x14ac:dyDescent="0.3">
      <c r="A19" s="3958"/>
      <c r="B19" s="3958"/>
      <c r="C19" s="3958"/>
      <c r="D19" s="3958"/>
      <c r="E19" s="4563" t="s">
        <v>1847</v>
      </c>
      <c r="F19" s="3939"/>
      <c r="G19" s="3901"/>
      <c r="H19" s="3901"/>
      <c r="I19" s="3946">
        <f t="shared" si="31"/>
        <v>0</v>
      </c>
      <c r="J19" s="3901">
        <v>264</v>
      </c>
      <c r="K19" s="3901"/>
      <c r="L19" s="3901"/>
      <c r="M19" s="3946">
        <f t="shared" si="32"/>
        <v>264</v>
      </c>
      <c r="N19" s="3945">
        <f t="shared" si="33"/>
        <v>264</v>
      </c>
      <c r="O19" s="3897"/>
      <c r="P19" s="3897"/>
      <c r="Q19" s="3901"/>
      <c r="R19" s="3946">
        <f t="shared" si="34"/>
        <v>0</v>
      </c>
      <c r="S19" s="3901"/>
      <c r="T19" s="3901"/>
      <c r="U19" s="3944"/>
      <c r="V19" s="3946">
        <f t="shared" si="35"/>
        <v>0</v>
      </c>
      <c r="W19" s="3945">
        <f t="shared" si="36"/>
        <v>0</v>
      </c>
      <c r="X19" s="3913">
        <f t="shared" si="37"/>
        <v>264</v>
      </c>
      <c r="Y19" s="3912"/>
      <c r="Z19" s="3901"/>
      <c r="AA19" s="3901"/>
      <c r="AB19" s="3946">
        <f t="shared" si="0"/>
        <v>0</v>
      </c>
      <c r="AC19" s="3901"/>
      <c r="AD19" s="3901"/>
      <c r="AE19" s="3901"/>
      <c r="AF19" s="3911">
        <f t="shared" si="1"/>
        <v>0</v>
      </c>
      <c r="AG19" s="3945">
        <f t="shared" si="2"/>
        <v>0</v>
      </c>
      <c r="AH19" s="3897"/>
      <c r="AI19" s="3897"/>
      <c r="AJ19" s="3897"/>
      <c r="AK19" s="3946">
        <f t="shared" si="3"/>
        <v>0</v>
      </c>
      <c r="AL19" s="3901"/>
      <c r="AM19" s="3901"/>
      <c r="AN19" s="3944"/>
      <c r="AO19" s="3946">
        <f t="shared" si="38"/>
        <v>0</v>
      </c>
      <c r="AP19" s="3945">
        <f t="shared" si="39"/>
        <v>0</v>
      </c>
      <c r="AQ19" s="3910">
        <f t="shared" si="40"/>
        <v>0</v>
      </c>
      <c r="AR19" s="3900">
        <f t="shared" si="6"/>
        <v>264</v>
      </c>
      <c r="AS19" s="3943"/>
      <c r="AT19" s="3903"/>
      <c r="AU19" s="3909">
        <f t="shared" si="41"/>
        <v>0</v>
      </c>
      <c r="AV19" s="4915"/>
      <c r="AW19" s="3907">
        <f t="shared" si="42"/>
        <v>0</v>
      </c>
      <c r="AX19" s="4832"/>
      <c r="AY19" s="4832"/>
      <c r="AZ19" s="4832"/>
      <c r="BA19" s="3907">
        <f t="shared" si="7"/>
        <v>0</v>
      </c>
      <c r="BB19" s="4833"/>
      <c r="BC19" s="3905">
        <f t="shared" si="8"/>
        <v>0</v>
      </c>
      <c r="BD19" s="4832"/>
      <c r="BE19" s="3907">
        <f t="shared" si="9"/>
        <v>264</v>
      </c>
      <c r="BF19" s="4834"/>
      <c r="BG19" s="3904">
        <f t="shared" si="10"/>
        <v>264</v>
      </c>
      <c r="BH19" s="4832"/>
      <c r="BI19" s="3907">
        <f t="shared" si="11"/>
        <v>0</v>
      </c>
      <c r="BJ19" s="4834"/>
      <c r="BK19" s="3904">
        <f t="shared" si="12"/>
        <v>264</v>
      </c>
      <c r="BL19" s="4832"/>
      <c r="BM19" s="3907">
        <f t="shared" si="13"/>
        <v>0</v>
      </c>
      <c r="BN19" s="4832"/>
      <c r="BO19" s="3905">
        <f t="shared" si="14"/>
        <v>264</v>
      </c>
      <c r="BP19" s="4832"/>
      <c r="BQ19" s="3928">
        <f t="shared" si="15"/>
        <v>264</v>
      </c>
      <c r="BR19" s="4832"/>
      <c r="BS19" s="3907">
        <f t="shared" si="16"/>
        <v>0</v>
      </c>
      <c r="BT19" s="4834"/>
      <c r="BU19" s="3904">
        <f t="shared" si="17"/>
        <v>264</v>
      </c>
      <c r="BV19" s="4832"/>
      <c r="BW19" s="3907">
        <f t="shared" si="18"/>
        <v>0</v>
      </c>
      <c r="BX19" s="4832"/>
      <c r="BY19" s="3906">
        <f t="shared" si="19"/>
        <v>264</v>
      </c>
      <c r="BZ19" s="4832"/>
      <c r="CA19" s="3907">
        <f t="shared" si="20"/>
        <v>0</v>
      </c>
      <c r="CB19" s="4832"/>
      <c r="CC19" s="3905">
        <f t="shared" si="21"/>
        <v>0</v>
      </c>
      <c r="CD19" s="4834"/>
      <c r="CE19" s="3904">
        <f t="shared" si="22"/>
        <v>264</v>
      </c>
      <c r="CF19" s="4832"/>
      <c r="CG19" s="3907">
        <f t="shared" si="23"/>
        <v>0</v>
      </c>
      <c r="CH19" s="4832"/>
      <c r="CI19" s="3906">
        <f t="shared" si="24"/>
        <v>264</v>
      </c>
      <c r="CJ19" s="4832"/>
      <c r="CK19" s="4832">
        <f t="shared" si="25"/>
        <v>0</v>
      </c>
      <c r="CL19" s="4834"/>
      <c r="CM19" s="4834">
        <f t="shared" si="26"/>
        <v>264</v>
      </c>
      <c r="CN19" s="4832"/>
      <c r="CO19" s="3907">
        <f t="shared" si="27"/>
        <v>0</v>
      </c>
      <c r="CP19" s="4832"/>
      <c r="CQ19" s="3905">
        <f t="shared" si="28"/>
        <v>0</v>
      </c>
      <c r="CR19" s="4832"/>
      <c r="CS19" s="3928">
        <f t="shared" si="29"/>
        <v>0</v>
      </c>
      <c r="CT19" s="4834"/>
      <c r="CU19" s="3930">
        <f t="shared" si="30"/>
        <v>264</v>
      </c>
      <c r="CV19" s="5317"/>
      <c r="CW19" s="5317"/>
    </row>
    <row r="20" spans="1:105" x14ac:dyDescent="0.3">
      <c r="A20" s="3958"/>
      <c r="B20" s="3958"/>
      <c r="C20" s="3958"/>
      <c r="D20" s="3958"/>
      <c r="E20" s="4563" t="s">
        <v>2040</v>
      </c>
      <c r="F20" s="3939">
        <v>685</v>
      </c>
      <c r="G20" s="3901">
        <v>480</v>
      </c>
      <c r="H20" s="3901">
        <v>613</v>
      </c>
      <c r="I20" s="3946">
        <f t="shared" si="31"/>
        <v>1778</v>
      </c>
      <c r="J20" s="3901"/>
      <c r="K20" s="3901"/>
      <c r="L20" s="3901"/>
      <c r="M20" s="3946">
        <f t="shared" si="32"/>
        <v>0</v>
      </c>
      <c r="N20" s="3945">
        <f t="shared" si="33"/>
        <v>1778</v>
      </c>
      <c r="O20" s="3897">
        <v>292</v>
      </c>
      <c r="P20" s="3897"/>
      <c r="Q20" s="3901">
        <v>153</v>
      </c>
      <c r="R20" s="3946">
        <f t="shared" si="34"/>
        <v>445</v>
      </c>
      <c r="S20" s="3901">
        <v>2353</v>
      </c>
      <c r="T20" s="3901"/>
      <c r="U20" s="3944">
        <v>89.292000000000002</v>
      </c>
      <c r="V20" s="3946">
        <f t="shared" si="35"/>
        <v>2442.2919999999999</v>
      </c>
      <c r="W20" s="3945">
        <f t="shared" si="36"/>
        <v>2887.2919999999999</v>
      </c>
      <c r="X20" s="3913">
        <f t="shared" si="37"/>
        <v>4665.2919999999995</v>
      </c>
      <c r="Y20" s="3912">
        <v>0</v>
      </c>
      <c r="Z20" s="3901">
        <v>0</v>
      </c>
      <c r="AA20" s="3901"/>
      <c r="AB20" s="3946">
        <f t="shared" si="0"/>
        <v>0</v>
      </c>
      <c r="AC20" s="3901"/>
      <c r="AD20" s="3901"/>
      <c r="AE20" s="3901"/>
      <c r="AF20" s="3911">
        <f t="shared" si="1"/>
        <v>0</v>
      </c>
      <c r="AG20" s="3945">
        <f t="shared" si="2"/>
        <v>0</v>
      </c>
      <c r="AH20" s="3897"/>
      <c r="AI20" s="3897"/>
      <c r="AJ20" s="3897"/>
      <c r="AK20" s="3946">
        <f t="shared" si="3"/>
        <v>0</v>
      </c>
      <c r="AL20" s="3901"/>
      <c r="AM20" s="3901"/>
      <c r="AN20" s="3944"/>
      <c r="AO20" s="3946">
        <f t="shared" si="38"/>
        <v>0</v>
      </c>
      <c r="AP20" s="3945">
        <f t="shared" si="39"/>
        <v>0</v>
      </c>
      <c r="AQ20" s="3910">
        <f t="shared" si="40"/>
        <v>0</v>
      </c>
      <c r="AR20" s="3900">
        <f t="shared" si="6"/>
        <v>4665.2919999999995</v>
      </c>
      <c r="AS20" s="3943"/>
      <c r="AT20" s="3903"/>
      <c r="AU20" s="3909">
        <f t="shared" si="41"/>
        <v>685</v>
      </c>
      <c r="AV20" s="3908"/>
      <c r="AW20" s="3907">
        <f t="shared" si="42"/>
        <v>480</v>
      </c>
      <c r="AX20" s="3906"/>
      <c r="AY20" s="3906">
        <f t="shared" si="43"/>
        <v>1165</v>
      </c>
      <c r="AZ20" s="3906"/>
      <c r="BA20" s="3907">
        <f t="shared" si="7"/>
        <v>613</v>
      </c>
      <c r="BB20" s="3905"/>
      <c r="BC20" s="3905">
        <f t="shared" si="8"/>
        <v>1778</v>
      </c>
      <c r="BD20" s="3906"/>
      <c r="BE20" s="3907">
        <f t="shared" si="9"/>
        <v>0</v>
      </c>
      <c r="BF20" s="3904"/>
      <c r="BG20" s="3904">
        <f t="shared" si="10"/>
        <v>1778</v>
      </c>
      <c r="BH20" s="3906"/>
      <c r="BI20" s="3907">
        <f t="shared" si="11"/>
        <v>0</v>
      </c>
      <c r="BJ20" s="3904"/>
      <c r="BK20" s="3904">
        <f t="shared" si="12"/>
        <v>1778</v>
      </c>
      <c r="BL20" s="3906"/>
      <c r="BM20" s="3907">
        <f t="shared" si="13"/>
        <v>0</v>
      </c>
      <c r="BN20" s="3906"/>
      <c r="BO20" s="3905">
        <f t="shared" si="14"/>
        <v>0</v>
      </c>
      <c r="BP20" s="3906"/>
      <c r="BQ20" s="3928">
        <f t="shared" si="15"/>
        <v>1778</v>
      </c>
      <c r="BR20" s="3906"/>
      <c r="BS20" s="3907">
        <f t="shared" si="16"/>
        <v>292</v>
      </c>
      <c r="BT20" s="3904"/>
      <c r="BU20" s="3904">
        <f t="shared" si="17"/>
        <v>2070</v>
      </c>
      <c r="BV20" s="3906"/>
      <c r="BW20" s="3907">
        <f t="shared" si="18"/>
        <v>0</v>
      </c>
      <c r="BX20" s="3906"/>
      <c r="BY20" s="3906">
        <f t="shared" si="19"/>
        <v>2070</v>
      </c>
      <c r="BZ20" s="3906"/>
      <c r="CA20" s="3907">
        <f t="shared" si="20"/>
        <v>153</v>
      </c>
      <c r="CB20" s="3906"/>
      <c r="CC20" s="3905">
        <f t="shared" si="21"/>
        <v>445</v>
      </c>
      <c r="CD20" s="3904"/>
      <c r="CE20" s="3904">
        <f t="shared" si="22"/>
        <v>2223</v>
      </c>
      <c r="CF20" s="3906"/>
      <c r="CG20" s="3907">
        <f t="shared" si="23"/>
        <v>2353</v>
      </c>
      <c r="CH20" s="3906"/>
      <c r="CI20" s="3906">
        <f t="shared" si="24"/>
        <v>4576</v>
      </c>
      <c r="CJ20" s="3906"/>
      <c r="CK20" s="3907">
        <f t="shared" si="25"/>
        <v>0</v>
      </c>
      <c r="CL20" s="3904"/>
      <c r="CM20" s="3904">
        <f t="shared" si="26"/>
        <v>4576</v>
      </c>
      <c r="CN20" s="3906"/>
      <c r="CO20" s="3907">
        <f t="shared" si="27"/>
        <v>89.292000000000002</v>
      </c>
      <c r="CP20" s="3906"/>
      <c r="CQ20" s="3905">
        <f t="shared" si="28"/>
        <v>2442.2919999999999</v>
      </c>
      <c r="CR20" s="3906"/>
      <c r="CS20" s="3928">
        <f t="shared" si="29"/>
        <v>2887.2919999999999</v>
      </c>
      <c r="CT20" s="3904"/>
      <c r="CU20" s="3930">
        <f t="shared" si="30"/>
        <v>4665.2920000000004</v>
      </c>
      <c r="CV20" s="5317"/>
      <c r="CW20" s="5317"/>
    </row>
    <row r="21" spans="1:105" x14ac:dyDescent="0.3">
      <c r="A21" s="3958"/>
      <c r="B21" s="3958"/>
      <c r="C21" s="3958"/>
      <c r="D21" s="3958"/>
      <c r="E21" s="4563" t="s">
        <v>1993</v>
      </c>
      <c r="F21" s="3939">
        <v>1636</v>
      </c>
      <c r="G21" s="3901"/>
      <c r="H21" s="3901"/>
      <c r="I21" s="3946">
        <f t="shared" si="31"/>
        <v>1636</v>
      </c>
      <c r="J21" s="3901"/>
      <c r="K21" s="3901"/>
      <c r="L21" s="3901"/>
      <c r="M21" s="3946">
        <f t="shared" si="32"/>
        <v>0</v>
      </c>
      <c r="N21" s="3945">
        <f t="shared" si="33"/>
        <v>1636</v>
      </c>
      <c r="O21" s="3897"/>
      <c r="P21" s="3897">
        <v>112.678</v>
      </c>
      <c r="Q21" s="3901"/>
      <c r="R21" s="3946">
        <f t="shared" si="34"/>
        <v>112.678</v>
      </c>
      <c r="S21" s="3901"/>
      <c r="T21" s="3901"/>
      <c r="U21" s="3944"/>
      <c r="V21" s="3946">
        <f t="shared" si="35"/>
        <v>0</v>
      </c>
      <c r="W21" s="3945">
        <f t="shared" si="36"/>
        <v>112.678</v>
      </c>
      <c r="X21" s="3913">
        <f t="shared" si="37"/>
        <v>1748.6779999999999</v>
      </c>
      <c r="Y21" s="3912">
        <v>0</v>
      </c>
      <c r="Z21" s="3901"/>
      <c r="AA21" s="3901"/>
      <c r="AB21" s="3946">
        <f t="shared" si="0"/>
        <v>0</v>
      </c>
      <c r="AC21" s="3901"/>
      <c r="AD21" s="3901"/>
      <c r="AE21" s="3901"/>
      <c r="AF21" s="3911">
        <f t="shared" si="1"/>
        <v>0</v>
      </c>
      <c r="AG21" s="3945">
        <f t="shared" si="2"/>
        <v>0</v>
      </c>
      <c r="AH21" s="3897"/>
      <c r="AI21" s="3897"/>
      <c r="AJ21" s="3897"/>
      <c r="AK21" s="3946">
        <f t="shared" si="3"/>
        <v>0</v>
      </c>
      <c r="AL21" s="3901"/>
      <c r="AM21" s="3901"/>
      <c r="AN21" s="3944"/>
      <c r="AO21" s="3946">
        <f t="shared" si="38"/>
        <v>0</v>
      </c>
      <c r="AP21" s="3945">
        <f t="shared" si="39"/>
        <v>0</v>
      </c>
      <c r="AQ21" s="3910">
        <f t="shared" si="40"/>
        <v>0</v>
      </c>
      <c r="AR21" s="3900">
        <f t="shared" si="6"/>
        <v>1748.6779999999999</v>
      </c>
      <c r="AS21" s="3943"/>
      <c r="AT21" s="3903"/>
      <c r="AU21" s="3909">
        <f t="shared" si="41"/>
        <v>1636</v>
      </c>
      <c r="AV21" s="3908"/>
      <c r="AW21" s="3907">
        <f t="shared" si="42"/>
        <v>0</v>
      </c>
      <c r="AX21" s="3906"/>
      <c r="AY21" s="3906">
        <f t="shared" si="43"/>
        <v>1636</v>
      </c>
      <c r="AZ21" s="3906"/>
      <c r="BA21" s="3907">
        <f t="shared" si="7"/>
        <v>0</v>
      </c>
      <c r="BB21" s="3905"/>
      <c r="BC21" s="3905">
        <f t="shared" si="8"/>
        <v>1636</v>
      </c>
      <c r="BD21" s="3906"/>
      <c r="BE21" s="3907">
        <f t="shared" si="9"/>
        <v>0</v>
      </c>
      <c r="BF21" s="3904"/>
      <c r="BG21" s="3904">
        <f t="shared" si="10"/>
        <v>1636</v>
      </c>
      <c r="BH21" s="3906"/>
      <c r="BI21" s="3907">
        <f t="shared" si="11"/>
        <v>0</v>
      </c>
      <c r="BJ21" s="3904"/>
      <c r="BK21" s="3904">
        <f t="shared" si="12"/>
        <v>1636</v>
      </c>
      <c r="BL21" s="3906"/>
      <c r="BM21" s="3907">
        <f t="shared" si="13"/>
        <v>0</v>
      </c>
      <c r="BN21" s="3906"/>
      <c r="BO21" s="3905">
        <f t="shared" si="14"/>
        <v>0</v>
      </c>
      <c r="BP21" s="3906"/>
      <c r="BQ21" s="3928">
        <f t="shared" si="15"/>
        <v>1636</v>
      </c>
      <c r="BR21" s="3906"/>
      <c r="BS21" s="3907">
        <f t="shared" si="16"/>
        <v>0</v>
      </c>
      <c r="BT21" s="3904"/>
      <c r="BU21" s="3904">
        <f t="shared" si="17"/>
        <v>1636</v>
      </c>
      <c r="BV21" s="3906"/>
      <c r="BW21" s="3907">
        <f t="shared" si="18"/>
        <v>112.678</v>
      </c>
      <c r="BX21" s="3906"/>
      <c r="BY21" s="3906">
        <f t="shared" si="19"/>
        <v>1748.6779999999999</v>
      </c>
      <c r="BZ21" s="3906"/>
      <c r="CA21" s="3907">
        <f t="shared" si="20"/>
        <v>0</v>
      </c>
      <c r="CB21" s="3906"/>
      <c r="CC21" s="3905">
        <f t="shared" si="21"/>
        <v>112.678</v>
      </c>
      <c r="CD21" s="3904"/>
      <c r="CE21" s="3904">
        <f t="shared" si="22"/>
        <v>1748.6779999999999</v>
      </c>
      <c r="CF21" s="3906"/>
      <c r="CG21" s="3907">
        <f t="shared" si="23"/>
        <v>0</v>
      </c>
      <c r="CH21" s="3906"/>
      <c r="CI21" s="3906">
        <f t="shared" si="24"/>
        <v>1748.6779999999999</v>
      </c>
      <c r="CJ21" s="3906"/>
      <c r="CK21" s="3907">
        <f t="shared" si="25"/>
        <v>0</v>
      </c>
      <c r="CL21" s="3904"/>
      <c r="CM21" s="3904">
        <f t="shared" si="26"/>
        <v>1748.6779999999999</v>
      </c>
      <c r="CN21" s="3906"/>
      <c r="CO21" s="3907">
        <f t="shared" si="27"/>
        <v>0</v>
      </c>
      <c r="CP21" s="3906"/>
      <c r="CQ21" s="3905">
        <f t="shared" si="28"/>
        <v>0</v>
      </c>
      <c r="CR21" s="3906"/>
      <c r="CS21" s="3928">
        <f t="shared" si="29"/>
        <v>112.678</v>
      </c>
      <c r="CT21" s="3904"/>
      <c r="CU21" s="3930">
        <f t="shared" si="30"/>
        <v>1748.6779999999999</v>
      </c>
      <c r="CV21" s="5317"/>
      <c r="CW21" s="5317"/>
    </row>
    <row r="22" spans="1:105" x14ac:dyDescent="0.3">
      <c r="A22" s="3958"/>
      <c r="B22" s="3958"/>
      <c r="C22" s="3958"/>
      <c r="D22" s="3958"/>
      <c r="E22" s="4563" t="s">
        <v>1921</v>
      </c>
      <c r="F22" s="3939">
        <v>2361</v>
      </c>
      <c r="G22" s="3901">
        <v>3357</v>
      </c>
      <c r="H22" s="3901">
        <v>2653</v>
      </c>
      <c r="I22" s="3946">
        <f t="shared" si="31"/>
        <v>8371</v>
      </c>
      <c r="J22" s="3901">
        <v>8179</v>
      </c>
      <c r="K22" s="3901">
        <v>4099.0460000000003</v>
      </c>
      <c r="L22" s="3901">
        <v>6553</v>
      </c>
      <c r="M22" s="3946">
        <f t="shared" si="32"/>
        <v>18831.046000000002</v>
      </c>
      <c r="N22" s="3945">
        <f t="shared" si="33"/>
        <v>27202.046000000002</v>
      </c>
      <c r="O22" s="3897">
        <v>1913</v>
      </c>
      <c r="P22" s="3897">
        <v>1540.377</v>
      </c>
      <c r="Q22" s="3901">
        <v>268</v>
      </c>
      <c r="R22" s="3946">
        <f t="shared" si="34"/>
        <v>3721.377</v>
      </c>
      <c r="S22" s="3901">
        <v>376</v>
      </c>
      <c r="T22" s="3901"/>
      <c r="U22" s="3944">
        <v>1418.0419999999999</v>
      </c>
      <c r="V22" s="3946">
        <f t="shared" si="35"/>
        <v>1794.0419999999999</v>
      </c>
      <c r="W22" s="3945">
        <f t="shared" si="36"/>
        <v>5515.4189999999999</v>
      </c>
      <c r="X22" s="3913">
        <f t="shared" si="37"/>
        <v>32717.465000000004</v>
      </c>
      <c r="Y22" s="3912">
        <v>0</v>
      </c>
      <c r="Z22" s="3901">
        <v>725</v>
      </c>
      <c r="AA22" s="3901">
        <v>3211</v>
      </c>
      <c r="AB22" s="3946">
        <f t="shared" si="0"/>
        <v>3936</v>
      </c>
      <c r="AC22" s="3901"/>
      <c r="AD22" s="3901">
        <v>2648.8420000000001</v>
      </c>
      <c r="AE22" s="3901"/>
      <c r="AF22" s="3911">
        <f t="shared" si="1"/>
        <v>2648.8420000000001</v>
      </c>
      <c r="AG22" s="3945">
        <f t="shared" si="2"/>
        <v>6584.8420000000006</v>
      </c>
      <c r="AH22" s="3897"/>
      <c r="AI22" s="3897">
        <v>1787.8050000000001</v>
      </c>
      <c r="AJ22" s="3897">
        <v>2864</v>
      </c>
      <c r="AK22" s="3946">
        <f t="shared" si="3"/>
        <v>4651.8050000000003</v>
      </c>
      <c r="AL22" s="3901"/>
      <c r="AM22" s="3901"/>
      <c r="AN22" s="3944">
        <v>888.66800000000001</v>
      </c>
      <c r="AO22" s="3946">
        <f t="shared" si="38"/>
        <v>888.66800000000001</v>
      </c>
      <c r="AP22" s="3945">
        <f t="shared" si="39"/>
        <v>5540.473</v>
      </c>
      <c r="AQ22" s="3910">
        <f t="shared" si="40"/>
        <v>12125.315000000001</v>
      </c>
      <c r="AR22" s="3900">
        <f t="shared" si="6"/>
        <v>44842.780000000006</v>
      </c>
      <c r="AS22" s="3943"/>
      <c r="AT22" s="3903"/>
      <c r="AU22" s="3909">
        <f>+F22+Y22</f>
        <v>2361</v>
      </c>
      <c r="AV22" s="3908"/>
      <c r="AW22" s="3907">
        <f t="shared" si="42"/>
        <v>4082</v>
      </c>
      <c r="AX22" s="3906"/>
      <c r="AY22" s="3906">
        <f t="shared" si="43"/>
        <v>6443</v>
      </c>
      <c r="AZ22" s="3906"/>
      <c r="BA22" s="3907">
        <f t="shared" si="7"/>
        <v>5864</v>
      </c>
      <c r="BB22" s="3905"/>
      <c r="BC22" s="3905">
        <f t="shared" si="8"/>
        <v>12307</v>
      </c>
      <c r="BD22" s="3906"/>
      <c r="BE22" s="3907">
        <f t="shared" si="9"/>
        <v>8179</v>
      </c>
      <c r="BF22" s="3904"/>
      <c r="BG22" s="3904">
        <f t="shared" si="10"/>
        <v>20486</v>
      </c>
      <c r="BH22" s="3906"/>
      <c r="BI22" s="3907">
        <f t="shared" si="11"/>
        <v>6747.8880000000008</v>
      </c>
      <c r="BJ22" s="3904"/>
      <c r="BK22" s="3904">
        <f t="shared" si="12"/>
        <v>27233.887999999999</v>
      </c>
      <c r="BL22" s="3906"/>
      <c r="BM22" s="3907">
        <f t="shared" si="13"/>
        <v>6553</v>
      </c>
      <c r="BN22" s="3906"/>
      <c r="BO22" s="3905">
        <f t="shared" si="14"/>
        <v>21479.887999999999</v>
      </c>
      <c r="BP22" s="3906"/>
      <c r="BQ22" s="3928">
        <f t="shared" si="15"/>
        <v>33786.887999999999</v>
      </c>
      <c r="BR22" s="3906"/>
      <c r="BS22" s="3907">
        <f t="shared" si="16"/>
        <v>1913</v>
      </c>
      <c r="BT22" s="3904"/>
      <c r="BU22" s="3904">
        <f t="shared" si="17"/>
        <v>35699.887999999999</v>
      </c>
      <c r="BV22" s="3906"/>
      <c r="BW22" s="3907">
        <f t="shared" si="18"/>
        <v>3328.1819999999998</v>
      </c>
      <c r="BX22" s="3906"/>
      <c r="BY22" s="3906">
        <f t="shared" si="19"/>
        <v>39028.07</v>
      </c>
      <c r="BZ22" s="3906"/>
      <c r="CA22" s="3907">
        <f t="shared" si="20"/>
        <v>3132</v>
      </c>
      <c r="CB22" s="3906"/>
      <c r="CC22" s="3905">
        <f t="shared" si="21"/>
        <v>8373.1820000000007</v>
      </c>
      <c r="CD22" s="3904"/>
      <c r="CE22" s="3904">
        <f t="shared" si="22"/>
        <v>42160.07</v>
      </c>
      <c r="CF22" s="3906"/>
      <c r="CG22" s="3907">
        <f t="shared" si="23"/>
        <v>376</v>
      </c>
      <c r="CH22" s="3906"/>
      <c r="CI22" s="3906">
        <f t="shared" si="24"/>
        <v>42536.07</v>
      </c>
      <c r="CJ22" s="3906"/>
      <c r="CK22" s="3907">
        <f t="shared" si="25"/>
        <v>0</v>
      </c>
      <c r="CL22" s="3904"/>
      <c r="CM22" s="3904">
        <f t="shared" si="26"/>
        <v>42536.07</v>
      </c>
      <c r="CN22" s="3906"/>
      <c r="CO22" s="3907">
        <f t="shared" si="27"/>
        <v>2306.71</v>
      </c>
      <c r="CP22" s="3906"/>
      <c r="CQ22" s="3905">
        <f t="shared" si="28"/>
        <v>2682.71</v>
      </c>
      <c r="CR22" s="3906"/>
      <c r="CS22" s="3928">
        <f t="shared" si="29"/>
        <v>11055.892</v>
      </c>
      <c r="CT22" s="3904"/>
      <c r="CU22" s="3930">
        <f t="shared" si="30"/>
        <v>44842.78</v>
      </c>
      <c r="CV22" s="5317"/>
      <c r="CW22" s="5317"/>
      <c r="CY22" s="3935"/>
      <c r="CZ22" s="3935"/>
      <c r="DA22" s="3935"/>
    </row>
    <row r="23" spans="1:105" x14ac:dyDescent="0.3">
      <c r="A23" s="3958"/>
      <c r="B23" s="3958"/>
      <c r="C23" s="3958"/>
      <c r="D23" s="3958"/>
      <c r="E23" s="4563" t="s">
        <v>1922</v>
      </c>
      <c r="F23" s="3939"/>
      <c r="G23" s="3901"/>
      <c r="H23" s="3901"/>
      <c r="I23" s="3946">
        <f t="shared" si="31"/>
        <v>0</v>
      </c>
      <c r="J23" s="3901"/>
      <c r="K23" s="3901"/>
      <c r="L23" s="3901"/>
      <c r="M23" s="3946">
        <f t="shared" si="32"/>
        <v>0</v>
      </c>
      <c r="N23" s="3945">
        <f t="shared" si="33"/>
        <v>0</v>
      </c>
      <c r="O23" s="3897"/>
      <c r="P23" s="3897"/>
      <c r="Q23" s="3901">
        <v>106</v>
      </c>
      <c r="R23" s="3946">
        <f t="shared" si="34"/>
        <v>106</v>
      </c>
      <c r="S23" s="3901"/>
      <c r="T23" s="3901"/>
      <c r="U23" s="3944"/>
      <c r="V23" s="3946">
        <f t="shared" si="35"/>
        <v>0</v>
      </c>
      <c r="W23" s="3945">
        <f t="shared" si="36"/>
        <v>106</v>
      </c>
      <c r="X23" s="3913">
        <f t="shared" si="37"/>
        <v>106</v>
      </c>
      <c r="Y23" s="3912"/>
      <c r="Z23" s="3901"/>
      <c r="AA23" s="3901"/>
      <c r="AB23" s="3946">
        <f t="shared" si="0"/>
        <v>0</v>
      </c>
      <c r="AC23" s="3901"/>
      <c r="AD23" s="3901"/>
      <c r="AE23" s="3901"/>
      <c r="AF23" s="3911">
        <f t="shared" si="1"/>
        <v>0</v>
      </c>
      <c r="AG23" s="3945">
        <f t="shared" si="2"/>
        <v>0</v>
      </c>
      <c r="AH23" s="3897"/>
      <c r="AI23" s="3897"/>
      <c r="AJ23" s="3897"/>
      <c r="AK23" s="3946">
        <f t="shared" si="3"/>
        <v>0</v>
      </c>
      <c r="AL23" s="3901">
        <v>108</v>
      </c>
      <c r="AM23" s="3901"/>
      <c r="AN23" s="3944"/>
      <c r="AO23" s="3946">
        <f t="shared" ref="AO23" si="44">+AL23+AM23+AN23</f>
        <v>108</v>
      </c>
      <c r="AP23" s="3945">
        <f t="shared" ref="AP23" si="45">+AK23+AO23</f>
        <v>108</v>
      </c>
      <c r="AQ23" s="3910">
        <f t="shared" si="40"/>
        <v>108</v>
      </c>
      <c r="AR23" s="3900">
        <f t="shared" si="6"/>
        <v>214</v>
      </c>
      <c r="AS23" s="3943"/>
      <c r="AT23" s="3903"/>
      <c r="AU23" s="3909">
        <f t="shared" ref="AU23" si="46">+F23+Y23</f>
        <v>0</v>
      </c>
      <c r="AV23" s="3908"/>
      <c r="AW23" s="3907">
        <f t="shared" ref="AW23" si="47">+G23+Z23</f>
        <v>0</v>
      </c>
      <c r="AX23" s="3906"/>
      <c r="AY23" s="3906">
        <f t="shared" ref="AY23" si="48">AU23+AW23</f>
        <v>0</v>
      </c>
      <c r="AZ23" s="3906"/>
      <c r="BA23" s="3907">
        <f t="shared" ref="BA23" si="49">+H23+AA23</f>
        <v>0</v>
      </c>
      <c r="BB23" s="3905"/>
      <c r="BC23" s="3905">
        <f t="shared" ref="BC23" si="50">AU23+AW23+BA23</f>
        <v>0</v>
      </c>
      <c r="BD23" s="3906"/>
      <c r="BE23" s="3907">
        <f t="shared" ref="BE23" si="51">+J23+AC23</f>
        <v>0</v>
      </c>
      <c r="BF23" s="3904"/>
      <c r="BG23" s="3904">
        <f t="shared" ref="BG23" si="52">+BC23+BE23</f>
        <v>0</v>
      </c>
      <c r="BH23" s="3906"/>
      <c r="BI23" s="3907">
        <f t="shared" ref="BI23" si="53">K23+AD23</f>
        <v>0</v>
      </c>
      <c r="BJ23" s="3904"/>
      <c r="BK23" s="3904">
        <f t="shared" ref="BK23" si="54">+BG23+BI23</f>
        <v>0</v>
      </c>
      <c r="BL23" s="3906"/>
      <c r="BM23" s="3907">
        <f t="shared" ref="BM23" si="55">+L23+AE23</f>
        <v>0</v>
      </c>
      <c r="BN23" s="3906"/>
      <c r="BO23" s="3905">
        <f t="shared" ref="BO23" si="56">BE23+BI23+BM23</f>
        <v>0</v>
      </c>
      <c r="BP23" s="3906"/>
      <c r="BQ23" s="3928">
        <f t="shared" ref="BQ23" si="57">BC23+BO23</f>
        <v>0</v>
      </c>
      <c r="BR23" s="3906"/>
      <c r="BS23" s="3907">
        <f t="shared" ref="BS23" si="58">+O23+AH23</f>
        <v>0</v>
      </c>
      <c r="BT23" s="3904"/>
      <c r="BU23" s="3904">
        <f t="shared" ref="BU23" si="59">BQ23+BS23</f>
        <v>0</v>
      </c>
      <c r="BV23" s="3906"/>
      <c r="BW23" s="3907">
        <f t="shared" ref="BW23" si="60">+P23+AI23</f>
        <v>0</v>
      </c>
      <c r="BX23" s="3906"/>
      <c r="BY23" s="3906">
        <f t="shared" ref="BY23" si="61">BU23+BW23</f>
        <v>0</v>
      </c>
      <c r="BZ23" s="3906"/>
      <c r="CA23" s="3907">
        <f t="shared" ref="CA23" si="62">+Q23+AJ23</f>
        <v>106</v>
      </c>
      <c r="CB23" s="3906"/>
      <c r="CC23" s="3905">
        <f t="shared" ref="CC23" si="63">BS23+BW23+CA23</f>
        <v>106</v>
      </c>
      <c r="CD23" s="3904"/>
      <c r="CE23" s="3904">
        <f t="shared" ref="CE23" si="64">BY23+CA23</f>
        <v>106</v>
      </c>
      <c r="CF23" s="3906"/>
      <c r="CG23" s="3907">
        <f t="shared" si="23"/>
        <v>108</v>
      </c>
      <c r="CH23" s="3906"/>
      <c r="CI23" s="3906">
        <f t="shared" si="24"/>
        <v>214</v>
      </c>
      <c r="CJ23" s="3906"/>
      <c r="CK23" s="3907">
        <f t="shared" si="25"/>
        <v>0</v>
      </c>
      <c r="CL23" s="3904"/>
      <c r="CM23" s="3904">
        <f t="shared" si="26"/>
        <v>214</v>
      </c>
      <c r="CN23" s="3906"/>
      <c r="CO23" s="3907">
        <f t="shared" si="27"/>
        <v>0</v>
      </c>
      <c r="CP23" s="3906"/>
      <c r="CQ23" s="3905">
        <f t="shared" si="28"/>
        <v>108</v>
      </c>
      <c r="CR23" s="3906"/>
      <c r="CS23" s="3928">
        <f t="shared" si="29"/>
        <v>214</v>
      </c>
      <c r="CT23" s="3904"/>
      <c r="CU23" s="3930">
        <f t="shared" ref="CU23" si="65">SUM(AU23,AW23,BA23,BE23,BI23,BM23,BS23,BW23,CA23,CG23,CK23,CO23)</f>
        <v>214</v>
      </c>
      <c r="CV23" s="5317"/>
      <c r="CW23" s="5317"/>
      <c r="CY23" s="3935"/>
      <c r="CZ23" s="3935"/>
      <c r="DA23" s="3935"/>
    </row>
    <row r="24" spans="1:105" x14ac:dyDescent="0.3">
      <c r="A24" s="3958"/>
      <c r="B24" s="3958"/>
      <c r="C24" s="3958"/>
      <c r="D24" s="3958"/>
      <c r="E24" s="4563" t="s">
        <v>1396</v>
      </c>
      <c r="F24" s="3939">
        <v>106</v>
      </c>
      <c r="G24" s="3901">
        <v>410</v>
      </c>
      <c r="H24" s="3901">
        <v>552</v>
      </c>
      <c r="I24" s="3946">
        <f t="shared" si="31"/>
        <v>1068</v>
      </c>
      <c r="J24" s="3901">
        <v>592</v>
      </c>
      <c r="K24" s="3901">
        <v>1991.3879999999999</v>
      </c>
      <c r="L24" s="3901"/>
      <c r="M24" s="3946">
        <f t="shared" si="32"/>
        <v>2583.3879999999999</v>
      </c>
      <c r="N24" s="3945">
        <f t="shared" si="33"/>
        <v>3651.3879999999999</v>
      </c>
      <c r="O24" s="3897">
        <v>725</v>
      </c>
      <c r="P24" s="3897">
        <v>1280.835</v>
      </c>
      <c r="Q24" s="3901">
        <v>540</v>
      </c>
      <c r="R24" s="3946">
        <f t="shared" si="34"/>
        <v>2545.835</v>
      </c>
      <c r="S24" s="3901">
        <v>540</v>
      </c>
      <c r="T24" s="3901">
        <v>1128.9059999999999</v>
      </c>
      <c r="U24" s="3944">
        <v>206.22200000000001</v>
      </c>
      <c r="V24" s="3946">
        <f t="shared" si="35"/>
        <v>1875.1279999999999</v>
      </c>
      <c r="W24" s="3945">
        <f t="shared" si="36"/>
        <v>4420.9629999999997</v>
      </c>
      <c r="X24" s="3913">
        <f t="shared" si="37"/>
        <v>8072.3509999999997</v>
      </c>
      <c r="Y24" s="3912">
        <v>0</v>
      </c>
      <c r="Z24" s="3901">
        <v>0</v>
      </c>
      <c r="AA24" s="3901"/>
      <c r="AB24" s="3946">
        <f t="shared" si="0"/>
        <v>0</v>
      </c>
      <c r="AC24" s="3901"/>
      <c r="AD24" s="3901"/>
      <c r="AE24" s="3901"/>
      <c r="AF24" s="3911">
        <f t="shared" si="1"/>
        <v>0</v>
      </c>
      <c r="AG24" s="3945">
        <f t="shared" si="2"/>
        <v>0</v>
      </c>
      <c r="AH24" s="3897"/>
      <c r="AI24" s="3897"/>
      <c r="AJ24" s="3897"/>
      <c r="AK24" s="3946">
        <f t="shared" si="3"/>
        <v>0</v>
      </c>
      <c r="AL24" s="3901"/>
      <c r="AM24" s="3901"/>
      <c r="AN24" s="3944"/>
      <c r="AO24" s="3946">
        <f t="shared" si="38"/>
        <v>0</v>
      </c>
      <c r="AP24" s="3945">
        <f t="shared" si="39"/>
        <v>0</v>
      </c>
      <c r="AQ24" s="3910">
        <f t="shared" si="40"/>
        <v>0</v>
      </c>
      <c r="AR24" s="3900">
        <f t="shared" si="6"/>
        <v>8072.3509999999997</v>
      </c>
      <c r="AS24" s="3943"/>
      <c r="AT24" s="3903"/>
      <c r="AU24" s="3909">
        <f t="shared" si="41"/>
        <v>106</v>
      </c>
      <c r="AV24" s="3908"/>
      <c r="AW24" s="3907">
        <f t="shared" si="42"/>
        <v>410</v>
      </c>
      <c r="AX24" s="3906"/>
      <c r="AY24" s="3906">
        <f t="shared" si="43"/>
        <v>516</v>
      </c>
      <c r="AZ24" s="3906"/>
      <c r="BA24" s="3907">
        <f t="shared" si="7"/>
        <v>552</v>
      </c>
      <c r="BB24" s="3905"/>
      <c r="BC24" s="3905">
        <f t="shared" si="8"/>
        <v>1068</v>
      </c>
      <c r="BD24" s="3906"/>
      <c r="BE24" s="3907">
        <f t="shared" si="9"/>
        <v>592</v>
      </c>
      <c r="BF24" s="3904"/>
      <c r="BG24" s="3904">
        <f t="shared" si="10"/>
        <v>1660</v>
      </c>
      <c r="BH24" s="3906"/>
      <c r="BI24" s="3907">
        <f t="shared" si="11"/>
        <v>1991.3879999999999</v>
      </c>
      <c r="BJ24" s="3904"/>
      <c r="BK24" s="3904">
        <f t="shared" si="12"/>
        <v>3651.3879999999999</v>
      </c>
      <c r="BL24" s="3906"/>
      <c r="BM24" s="3907">
        <f t="shared" si="13"/>
        <v>0</v>
      </c>
      <c r="BN24" s="3906"/>
      <c r="BO24" s="3905">
        <f t="shared" si="14"/>
        <v>2583.3879999999999</v>
      </c>
      <c r="BP24" s="3906"/>
      <c r="BQ24" s="3928">
        <f t="shared" si="15"/>
        <v>3651.3879999999999</v>
      </c>
      <c r="BR24" s="3906"/>
      <c r="BS24" s="3907">
        <f t="shared" si="16"/>
        <v>725</v>
      </c>
      <c r="BT24" s="3904"/>
      <c r="BU24" s="3904">
        <f t="shared" si="17"/>
        <v>4376.3879999999999</v>
      </c>
      <c r="BV24" s="3906"/>
      <c r="BW24" s="3907">
        <f t="shared" si="18"/>
        <v>1280.835</v>
      </c>
      <c r="BX24" s="3906"/>
      <c r="BY24" s="3906">
        <f t="shared" si="19"/>
        <v>5657.223</v>
      </c>
      <c r="BZ24" s="3906"/>
      <c r="CA24" s="3907">
        <f t="shared" si="20"/>
        <v>540</v>
      </c>
      <c r="CB24" s="3906"/>
      <c r="CC24" s="3905">
        <f t="shared" si="21"/>
        <v>2545.835</v>
      </c>
      <c r="CD24" s="3904"/>
      <c r="CE24" s="3904">
        <f t="shared" si="22"/>
        <v>6197.223</v>
      </c>
      <c r="CF24" s="3906"/>
      <c r="CG24" s="3907">
        <f t="shared" si="23"/>
        <v>540</v>
      </c>
      <c r="CH24" s="3906"/>
      <c r="CI24" s="3906">
        <f t="shared" si="24"/>
        <v>6737.223</v>
      </c>
      <c r="CJ24" s="3906"/>
      <c r="CK24" s="3907">
        <f t="shared" si="25"/>
        <v>1128.9059999999999</v>
      </c>
      <c r="CL24" s="3904"/>
      <c r="CM24" s="3904">
        <f t="shared" si="26"/>
        <v>7866.1289999999999</v>
      </c>
      <c r="CN24" s="3906"/>
      <c r="CO24" s="3907">
        <f t="shared" si="27"/>
        <v>206.22200000000001</v>
      </c>
      <c r="CP24" s="3906"/>
      <c r="CQ24" s="3905">
        <f t="shared" si="28"/>
        <v>1875.1279999999999</v>
      </c>
      <c r="CR24" s="3906"/>
      <c r="CS24" s="3928">
        <f t="shared" si="29"/>
        <v>4420.9629999999997</v>
      </c>
      <c r="CT24" s="3904"/>
      <c r="CU24" s="3930">
        <f t="shared" si="30"/>
        <v>8072.3509999999997</v>
      </c>
      <c r="CV24" s="5317"/>
      <c r="CW24" s="5317"/>
    </row>
    <row r="25" spans="1:105" x14ac:dyDescent="0.3">
      <c r="A25" s="3958"/>
      <c r="B25" s="3958"/>
      <c r="C25" s="3958"/>
      <c r="D25" s="3958"/>
      <c r="E25" s="4563" t="s">
        <v>1395</v>
      </c>
      <c r="F25" s="3939">
        <v>114</v>
      </c>
      <c r="G25" s="3901">
        <v>567</v>
      </c>
      <c r="H25" s="3901">
        <v>607</v>
      </c>
      <c r="I25" s="3946">
        <f t="shared" si="31"/>
        <v>1288</v>
      </c>
      <c r="J25" s="3901">
        <v>429</v>
      </c>
      <c r="K25" s="3901">
        <v>257.90800000000002</v>
      </c>
      <c r="L25" s="3901">
        <v>389</v>
      </c>
      <c r="M25" s="3946">
        <f t="shared" si="32"/>
        <v>1075.9079999999999</v>
      </c>
      <c r="N25" s="3945">
        <f t="shared" si="33"/>
        <v>2363.9079999999999</v>
      </c>
      <c r="O25" s="3897"/>
      <c r="P25" s="3897"/>
      <c r="Q25" s="3901">
        <v>687</v>
      </c>
      <c r="R25" s="3946">
        <f t="shared" si="34"/>
        <v>687</v>
      </c>
      <c r="S25" s="3901">
        <v>719</v>
      </c>
      <c r="T25" s="3901"/>
      <c r="U25" s="3944">
        <v>393.31</v>
      </c>
      <c r="V25" s="3946">
        <f t="shared" si="35"/>
        <v>1112.31</v>
      </c>
      <c r="W25" s="3945">
        <f t="shared" si="36"/>
        <v>1799.31</v>
      </c>
      <c r="X25" s="3913">
        <f t="shared" si="37"/>
        <v>4163.2179999999998</v>
      </c>
      <c r="Y25" s="3912">
        <v>0</v>
      </c>
      <c r="Z25" s="3901">
        <v>0</v>
      </c>
      <c r="AA25" s="3901"/>
      <c r="AB25" s="3946">
        <f t="shared" si="0"/>
        <v>0</v>
      </c>
      <c r="AC25" s="3901"/>
      <c r="AD25" s="3901"/>
      <c r="AE25" s="3901"/>
      <c r="AF25" s="3911">
        <f t="shared" si="1"/>
        <v>0</v>
      </c>
      <c r="AG25" s="3945">
        <f t="shared" si="2"/>
        <v>0</v>
      </c>
      <c r="AH25" s="3897"/>
      <c r="AI25" s="3897"/>
      <c r="AJ25" s="3897"/>
      <c r="AK25" s="3946">
        <f t="shared" si="3"/>
        <v>0</v>
      </c>
      <c r="AL25" s="3901"/>
      <c r="AM25" s="3901"/>
      <c r="AN25" s="3944"/>
      <c r="AO25" s="3946">
        <f t="shared" si="38"/>
        <v>0</v>
      </c>
      <c r="AP25" s="3945">
        <f t="shared" si="39"/>
        <v>0</v>
      </c>
      <c r="AQ25" s="3910">
        <f t="shared" si="40"/>
        <v>0</v>
      </c>
      <c r="AR25" s="3900">
        <f t="shared" si="6"/>
        <v>4163.2179999999998</v>
      </c>
      <c r="AS25" s="3943"/>
      <c r="AT25" s="3903"/>
      <c r="AU25" s="3909">
        <f t="shared" si="41"/>
        <v>114</v>
      </c>
      <c r="AV25" s="3908"/>
      <c r="AW25" s="3907">
        <f t="shared" si="42"/>
        <v>567</v>
      </c>
      <c r="AX25" s="3906"/>
      <c r="AY25" s="3906">
        <f t="shared" si="43"/>
        <v>681</v>
      </c>
      <c r="AZ25" s="3906"/>
      <c r="BA25" s="3907">
        <f t="shared" si="7"/>
        <v>607</v>
      </c>
      <c r="BB25" s="3905"/>
      <c r="BC25" s="3905">
        <f t="shared" si="8"/>
        <v>1288</v>
      </c>
      <c r="BD25" s="3906"/>
      <c r="BE25" s="3907">
        <f t="shared" si="9"/>
        <v>429</v>
      </c>
      <c r="BF25" s="3904"/>
      <c r="BG25" s="3904">
        <f t="shared" si="10"/>
        <v>1717</v>
      </c>
      <c r="BH25" s="3906"/>
      <c r="BI25" s="3907">
        <f t="shared" si="11"/>
        <v>257.90800000000002</v>
      </c>
      <c r="BJ25" s="3904"/>
      <c r="BK25" s="3904">
        <f t="shared" si="12"/>
        <v>1974.9079999999999</v>
      </c>
      <c r="BL25" s="3906"/>
      <c r="BM25" s="3907">
        <f t="shared" si="13"/>
        <v>389</v>
      </c>
      <c r="BN25" s="3906"/>
      <c r="BO25" s="3905">
        <f t="shared" si="14"/>
        <v>1075.9079999999999</v>
      </c>
      <c r="BP25" s="3906"/>
      <c r="BQ25" s="3928">
        <f t="shared" si="15"/>
        <v>2363.9079999999999</v>
      </c>
      <c r="BR25" s="3906"/>
      <c r="BS25" s="3907">
        <f t="shared" si="16"/>
        <v>0</v>
      </c>
      <c r="BT25" s="3904"/>
      <c r="BU25" s="3904">
        <f t="shared" si="17"/>
        <v>2363.9079999999999</v>
      </c>
      <c r="BV25" s="3906"/>
      <c r="BW25" s="3907">
        <f t="shared" si="18"/>
        <v>0</v>
      </c>
      <c r="BX25" s="3906"/>
      <c r="BY25" s="3906">
        <f t="shared" si="19"/>
        <v>2363.9079999999999</v>
      </c>
      <c r="BZ25" s="3906"/>
      <c r="CA25" s="3907">
        <f t="shared" si="20"/>
        <v>687</v>
      </c>
      <c r="CB25" s="3906"/>
      <c r="CC25" s="3905">
        <f t="shared" si="21"/>
        <v>687</v>
      </c>
      <c r="CD25" s="3904"/>
      <c r="CE25" s="3904">
        <f t="shared" si="22"/>
        <v>3050.9079999999999</v>
      </c>
      <c r="CF25" s="3906"/>
      <c r="CG25" s="3907">
        <f t="shared" si="23"/>
        <v>719</v>
      </c>
      <c r="CH25" s="3906"/>
      <c r="CI25" s="3906">
        <f t="shared" si="24"/>
        <v>3769.9079999999999</v>
      </c>
      <c r="CJ25" s="3906"/>
      <c r="CK25" s="3907">
        <f t="shared" si="25"/>
        <v>0</v>
      </c>
      <c r="CL25" s="3904"/>
      <c r="CM25" s="3904">
        <f t="shared" si="26"/>
        <v>3769.9079999999999</v>
      </c>
      <c r="CN25" s="3906"/>
      <c r="CO25" s="3907">
        <f t="shared" si="27"/>
        <v>393.31</v>
      </c>
      <c r="CP25" s="3906"/>
      <c r="CQ25" s="3905">
        <f t="shared" si="28"/>
        <v>1112.31</v>
      </c>
      <c r="CR25" s="3906"/>
      <c r="CS25" s="3928">
        <f t="shared" si="29"/>
        <v>1799.31</v>
      </c>
      <c r="CT25" s="3904"/>
      <c r="CU25" s="3930">
        <f t="shared" si="30"/>
        <v>4163.2179999999998</v>
      </c>
      <c r="CV25" s="5317"/>
      <c r="CW25" s="5317"/>
    </row>
    <row r="26" spans="1:105" x14ac:dyDescent="0.3">
      <c r="A26" s="3958"/>
      <c r="B26" s="3958"/>
      <c r="C26" s="3958"/>
      <c r="D26" s="3958"/>
      <c r="E26" s="4563" t="s">
        <v>1920</v>
      </c>
      <c r="F26" s="3939">
        <v>334</v>
      </c>
      <c r="G26" s="3901">
        <v>104</v>
      </c>
      <c r="H26" s="3901">
        <v>235</v>
      </c>
      <c r="I26" s="3946">
        <f t="shared" si="31"/>
        <v>673</v>
      </c>
      <c r="J26" s="3901">
        <v>116</v>
      </c>
      <c r="K26" s="3901"/>
      <c r="L26" s="3901"/>
      <c r="M26" s="3946">
        <f t="shared" si="32"/>
        <v>116</v>
      </c>
      <c r="N26" s="3945">
        <f t="shared" si="33"/>
        <v>789</v>
      </c>
      <c r="O26" s="3897"/>
      <c r="P26" s="3897"/>
      <c r="Q26" s="3901"/>
      <c r="R26" s="3946">
        <f t="shared" si="34"/>
        <v>0</v>
      </c>
      <c r="S26" s="3901"/>
      <c r="T26" s="3901"/>
      <c r="U26" s="3944"/>
      <c r="V26" s="3946">
        <f t="shared" si="35"/>
        <v>0</v>
      </c>
      <c r="W26" s="3945">
        <f t="shared" si="36"/>
        <v>0</v>
      </c>
      <c r="X26" s="3913">
        <f t="shared" si="37"/>
        <v>789</v>
      </c>
      <c r="Y26" s="3912">
        <v>108</v>
      </c>
      <c r="Z26" s="3901"/>
      <c r="AA26" s="3901"/>
      <c r="AB26" s="3946">
        <f t="shared" si="0"/>
        <v>108</v>
      </c>
      <c r="AC26" s="3901"/>
      <c r="AD26" s="3901"/>
      <c r="AE26" s="3901"/>
      <c r="AF26" s="3911">
        <f t="shared" si="1"/>
        <v>0</v>
      </c>
      <c r="AG26" s="3945">
        <f t="shared" si="2"/>
        <v>108</v>
      </c>
      <c r="AH26" s="3897"/>
      <c r="AI26" s="3897"/>
      <c r="AJ26" s="3897"/>
      <c r="AK26" s="3946">
        <f t="shared" si="3"/>
        <v>0</v>
      </c>
      <c r="AL26" s="3901"/>
      <c r="AM26" s="3901"/>
      <c r="AN26" s="3944"/>
      <c r="AO26" s="3946">
        <f t="shared" si="38"/>
        <v>0</v>
      </c>
      <c r="AP26" s="3945">
        <f t="shared" si="39"/>
        <v>0</v>
      </c>
      <c r="AQ26" s="3910">
        <f t="shared" si="40"/>
        <v>108</v>
      </c>
      <c r="AR26" s="3900">
        <f t="shared" si="6"/>
        <v>897</v>
      </c>
      <c r="AS26" s="3943"/>
      <c r="AT26" s="3903"/>
      <c r="AU26" s="3909">
        <f t="shared" si="41"/>
        <v>442</v>
      </c>
      <c r="AV26" s="3908"/>
      <c r="AW26" s="3907">
        <f t="shared" si="42"/>
        <v>104</v>
      </c>
      <c r="AX26" s="3906"/>
      <c r="AY26" s="3906">
        <f t="shared" si="43"/>
        <v>546</v>
      </c>
      <c r="AZ26" s="3906"/>
      <c r="BA26" s="3907">
        <f t="shared" si="7"/>
        <v>235</v>
      </c>
      <c r="BB26" s="3905"/>
      <c r="BC26" s="3905">
        <f t="shared" si="8"/>
        <v>781</v>
      </c>
      <c r="BD26" s="3906"/>
      <c r="BE26" s="3907">
        <f t="shared" si="9"/>
        <v>116</v>
      </c>
      <c r="BF26" s="3904"/>
      <c r="BG26" s="3904">
        <f t="shared" si="10"/>
        <v>897</v>
      </c>
      <c r="BH26" s="3906"/>
      <c r="BI26" s="3907">
        <f t="shared" si="11"/>
        <v>0</v>
      </c>
      <c r="BJ26" s="3904"/>
      <c r="BK26" s="3904">
        <f t="shared" si="12"/>
        <v>897</v>
      </c>
      <c r="BL26" s="3906"/>
      <c r="BM26" s="3907">
        <f t="shared" si="13"/>
        <v>0</v>
      </c>
      <c r="BN26" s="3906"/>
      <c r="BO26" s="3905">
        <f t="shared" si="14"/>
        <v>116</v>
      </c>
      <c r="BP26" s="3906"/>
      <c r="BQ26" s="3928">
        <f t="shared" si="15"/>
        <v>897</v>
      </c>
      <c r="BR26" s="3906"/>
      <c r="BS26" s="3907">
        <f t="shared" si="16"/>
        <v>0</v>
      </c>
      <c r="BT26" s="3904"/>
      <c r="BU26" s="3904">
        <f t="shared" si="17"/>
        <v>897</v>
      </c>
      <c r="BV26" s="3906"/>
      <c r="BW26" s="3907">
        <f t="shared" si="18"/>
        <v>0</v>
      </c>
      <c r="BX26" s="3906"/>
      <c r="BY26" s="3906">
        <f t="shared" si="19"/>
        <v>897</v>
      </c>
      <c r="BZ26" s="3906"/>
      <c r="CA26" s="3907">
        <f t="shared" si="20"/>
        <v>0</v>
      </c>
      <c r="CB26" s="3906"/>
      <c r="CC26" s="3905">
        <f t="shared" si="21"/>
        <v>0</v>
      </c>
      <c r="CD26" s="3904"/>
      <c r="CE26" s="3904">
        <f t="shared" si="22"/>
        <v>897</v>
      </c>
      <c r="CF26" s="3906"/>
      <c r="CG26" s="3907">
        <f t="shared" si="23"/>
        <v>0</v>
      </c>
      <c r="CH26" s="3906"/>
      <c r="CI26" s="3906">
        <f t="shared" si="24"/>
        <v>897</v>
      </c>
      <c r="CJ26" s="3906"/>
      <c r="CK26" s="3907">
        <f t="shared" si="25"/>
        <v>0</v>
      </c>
      <c r="CL26" s="3904"/>
      <c r="CM26" s="3904">
        <f t="shared" si="26"/>
        <v>897</v>
      </c>
      <c r="CN26" s="3906"/>
      <c r="CO26" s="3907">
        <f t="shared" si="27"/>
        <v>0</v>
      </c>
      <c r="CP26" s="3906"/>
      <c r="CQ26" s="3905">
        <f t="shared" si="28"/>
        <v>0</v>
      </c>
      <c r="CR26" s="3906"/>
      <c r="CS26" s="3928">
        <f t="shared" si="29"/>
        <v>0</v>
      </c>
      <c r="CT26" s="3904"/>
      <c r="CU26" s="3930">
        <f t="shared" si="30"/>
        <v>897</v>
      </c>
      <c r="CV26" s="5317"/>
      <c r="CW26" s="5317"/>
    </row>
    <row r="27" spans="1:105" x14ac:dyDescent="0.3">
      <c r="A27" s="3958"/>
      <c r="B27" s="3958"/>
      <c r="C27" s="3958"/>
      <c r="D27" s="3958"/>
      <c r="E27" s="4563" t="s">
        <v>1394</v>
      </c>
      <c r="F27" s="3939">
        <v>268</v>
      </c>
      <c r="G27" s="3901">
        <v>1279</v>
      </c>
      <c r="H27" s="3901">
        <v>1046</v>
      </c>
      <c r="I27" s="3946">
        <f t="shared" si="31"/>
        <v>2593</v>
      </c>
      <c r="J27" s="3901">
        <v>1302</v>
      </c>
      <c r="K27" s="3901">
        <v>1701.77</v>
      </c>
      <c r="L27" s="3901">
        <v>1156</v>
      </c>
      <c r="M27" s="3946">
        <f t="shared" si="32"/>
        <v>4159.7700000000004</v>
      </c>
      <c r="N27" s="3945">
        <f t="shared" si="33"/>
        <v>6752.77</v>
      </c>
      <c r="O27" s="3897">
        <v>1135</v>
      </c>
      <c r="P27" s="3897">
        <v>1540.682</v>
      </c>
      <c r="Q27" s="3901">
        <v>1225</v>
      </c>
      <c r="R27" s="3946">
        <f t="shared" si="34"/>
        <v>3900.6819999999998</v>
      </c>
      <c r="S27" s="3901">
        <v>2504</v>
      </c>
      <c r="T27" s="3901">
        <v>2096.2359999999999</v>
      </c>
      <c r="U27" s="3944">
        <v>997.09400000000005</v>
      </c>
      <c r="V27" s="3946">
        <f t="shared" si="35"/>
        <v>5597.33</v>
      </c>
      <c r="W27" s="3945">
        <f t="shared" si="36"/>
        <v>9498.0119999999988</v>
      </c>
      <c r="X27" s="3913">
        <f t="shared" si="37"/>
        <v>16250.782000000001</v>
      </c>
      <c r="Y27" s="3912">
        <v>0</v>
      </c>
      <c r="Z27" s="3901">
        <v>0</v>
      </c>
      <c r="AA27" s="3901"/>
      <c r="AB27" s="3946">
        <f t="shared" si="0"/>
        <v>0</v>
      </c>
      <c r="AC27" s="3901"/>
      <c r="AD27" s="3901"/>
      <c r="AE27" s="3901"/>
      <c r="AF27" s="3911">
        <f t="shared" si="1"/>
        <v>0</v>
      </c>
      <c r="AG27" s="3945">
        <f t="shared" si="2"/>
        <v>0</v>
      </c>
      <c r="AH27" s="3897"/>
      <c r="AI27" s="3897"/>
      <c r="AJ27" s="3897"/>
      <c r="AK27" s="3946">
        <f t="shared" si="3"/>
        <v>0</v>
      </c>
      <c r="AL27" s="3901"/>
      <c r="AM27" s="3901"/>
      <c r="AN27" s="3944"/>
      <c r="AO27" s="3946">
        <f t="shared" si="38"/>
        <v>0</v>
      </c>
      <c r="AP27" s="3945">
        <f t="shared" si="39"/>
        <v>0</v>
      </c>
      <c r="AQ27" s="3910">
        <f t="shared" si="40"/>
        <v>0</v>
      </c>
      <c r="AR27" s="3900">
        <f t="shared" si="6"/>
        <v>16250.782000000001</v>
      </c>
      <c r="AS27" s="3943"/>
      <c r="AT27" s="3903"/>
      <c r="AU27" s="3909">
        <f t="shared" si="41"/>
        <v>268</v>
      </c>
      <c r="AV27" s="3908"/>
      <c r="AW27" s="3907">
        <f t="shared" si="42"/>
        <v>1279</v>
      </c>
      <c r="AX27" s="3906"/>
      <c r="AY27" s="3906">
        <f t="shared" si="43"/>
        <v>1547</v>
      </c>
      <c r="AZ27" s="3906"/>
      <c r="BA27" s="3907">
        <f t="shared" si="7"/>
        <v>1046</v>
      </c>
      <c r="BB27" s="3905"/>
      <c r="BC27" s="3905">
        <f t="shared" si="8"/>
        <v>2593</v>
      </c>
      <c r="BD27" s="3906"/>
      <c r="BE27" s="3907">
        <f t="shared" si="9"/>
        <v>1302</v>
      </c>
      <c r="BF27" s="3904"/>
      <c r="BG27" s="3904">
        <f t="shared" si="10"/>
        <v>3895</v>
      </c>
      <c r="BH27" s="3906"/>
      <c r="BI27" s="3907">
        <f t="shared" si="11"/>
        <v>1701.77</v>
      </c>
      <c r="BJ27" s="3904"/>
      <c r="BK27" s="3904">
        <f t="shared" si="12"/>
        <v>5596.77</v>
      </c>
      <c r="BL27" s="3906"/>
      <c r="BM27" s="3907">
        <f t="shared" si="13"/>
        <v>1156</v>
      </c>
      <c r="BN27" s="3906"/>
      <c r="BO27" s="3905">
        <f t="shared" si="14"/>
        <v>4159.7700000000004</v>
      </c>
      <c r="BP27" s="3906"/>
      <c r="BQ27" s="3928">
        <f t="shared" si="15"/>
        <v>6752.77</v>
      </c>
      <c r="BR27" s="3906"/>
      <c r="BS27" s="3907">
        <f t="shared" si="16"/>
        <v>1135</v>
      </c>
      <c r="BT27" s="3904"/>
      <c r="BU27" s="3904">
        <f t="shared" si="17"/>
        <v>7887.77</v>
      </c>
      <c r="BV27" s="3906"/>
      <c r="BW27" s="3907">
        <f t="shared" si="18"/>
        <v>1540.682</v>
      </c>
      <c r="BX27" s="3906"/>
      <c r="BY27" s="3906">
        <f t="shared" si="19"/>
        <v>9428.4520000000011</v>
      </c>
      <c r="BZ27" s="3906"/>
      <c r="CA27" s="3907">
        <f t="shared" si="20"/>
        <v>1225</v>
      </c>
      <c r="CB27" s="3906"/>
      <c r="CC27" s="3905">
        <f t="shared" si="21"/>
        <v>3900.6819999999998</v>
      </c>
      <c r="CD27" s="3904"/>
      <c r="CE27" s="3904">
        <f t="shared" si="22"/>
        <v>10653.452000000001</v>
      </c>
      <c r="CF27" s="3906"/>
      <c r="CG27" s="3907">
        <f t="shared" si="23"/>
        <v>2504</v>
      </c>
      <c r="CH27" s="3906"/>
      <c r="CI27" s="3906">
        <f t="shared" si="24"/>
        <v>13157.452000000001</v>
      </c>
      <c r="CJ27" s="3906"/>
      <c r="CK27" s="3907">
        <f t="shared" si="25"/>
        <v>2096.2359999999999</v>
      </c>
      <c r="CL27" s="3904"/>
      <c r="CM27" s="3904">
        <f t="shared" si="26"/>
        <v>15253.688000000002</v>
      </c>
      <c r="CN27" s="3906"/>
      <c r="CO27" s="3907">
        <f t="shared" si="27"/>
        <v>997.09400000000005</v>
      </c>
      <c r="CP27" s="3906"/>
      <c r="CQ27" s="3905">
        <f t="shared" si="28"/>
        <v>5597.33</v>
      </c>
      <c r="CR27" s="3906"/>
      <c r="CS27" s="3928">
        <f t="shared" si="29"/>
        <v>9498.0119999999988</v>
      </c>
      <c r="CT27" s="3904"/>
      <c r="CU27" s="3930">
        <f t="shared" si="30"/>
        <v>16250.782000000003</v>
      </c>
      <c r="CV27" s="5317"/>
      <c r="CW27" s="5317"/>
    </row>
    <row r="28" spans="1:105" x14ac:dyDescent="0.3">
      <c r="A28" s="3958"/>
      <c r="B28" s="3958"/>
      <c r="C28" s="3958"/>
      <c r="D28" s="3958"/>
      <c r="E28" s="4563" t="s">
        <v>1393</v>
      </c>
      <c r="F28" s="3939">
        <v>266</v>
      </c>
      <c r="G28" s="3901">
        <v>245</v>
      </c>
      <c r="H28" s="3901"/>
      <c r="I28" s="3946">
        <f t="shared" si="31"/>
        <v>511</v>
      </c>
      <c r="J28" s="3901">
        <v>279</v>
      </c>
      <c r="K28" s="3901">
        <v>1135.2180000000001</v>
      </c>
      <c r="L28" s="3901"/>
      <c r="M28" s="3946">
        <f t="shared" si="32"/>
        <v>1414.2180000000001</v>
      </c>
      <c r="N28" s="3945">
        <f t="shared" si="33"/>
        <v>1925.2180000000001</v>
      </c>
      <c r="O28" s="3897"/>
      <c r="P28" s="3897">
        <v>104.17400000000001</v>
      </c>
      <c r="Q28" s="3901">
        <v>257</v>
      </c>
      <c r="R28" s="3946">
        <f t="shared" si="34"/>
        <v>361.17399999999998</v>
      </c>
      <c r="S28" s="3901">
        <v>540</v>
      </c>
      <c r="T28" s="3901">
        <v>272.12799999999999</v>
      </c>
      <c r="U28" s="3944"/>
      <c r="V28" s="3946">
        <f t="shared" si="35"/>
        <v>812.12799999999993</v>
      </c>
      <c r="W28" s="3945">
        <f t="shared" si="36"/>
        <v>1173.3019999999999</v>
      </c>
      <c r="X28" s="3913">
        <f t="shared" si="37"/>
        <v>3098.5199999999995</v>
      </c>
      <c r="Y28" s="3912">
        <v>0</v>
      </c>
      <c r="Z28" s="3901">
        <v>0</v>
      </c>
      <c r="AA28" s="3901"/>
      <c r="AB28" s="3946">
        <f t="shared" si="0"/>
        <v>0</v>
      </c>
      <c r="AC28" s="3901"/>
      <c r="AD28" s="3901"/>
      <c r="AE28" s="3901"/>
      <c r="AF28" s="3911">
        <f t="shared" si="1"/>
        <v>0</v>
      </c>
      <c r="AG28" s="3945">
        <f t="shared" si="2"/>
        <v>0</v>
      </c>
      <c r="AH28" s="3897"/>
      <c r="AI28" s="3897"/>
      <c r="AJ28" s="3897"/>
      <c r="AK28" s="3946">
        <f t="shared" si="3"/>
        <v>0</v>
      </c>
      <c r="AL28" s="3901"/>
      <c r="AM28" s="3901"/>
      <c r="AN28" s="3944"/>
      <c r="AO28" s="3946">
        <f t="shared" si="38"/>
        <v>0</v>
      </c>
      <c r="AP28" s="3945">
        <f t="shared" si="39"/>
        <v>0</v>
      </c>
      <c r="AQ28" s="3910">
        <f t="shared" si="40"/>
        <v>0</v>
      </c>
      <c r="AR28" s="3900">
        <f t="shared" si="6"/>
        <v>3098.5199999999995</v>
      </c>
      <c r="AS28" s="3943"/>
      <c r="AT28" s="3903"/>
      <c r="AU28" s="3909">
        <f t="shared" si="41"/>
        <v>266</v>
      </c>
      <c r="AV28" s="3908"/>
      <c r="AW28" s="3907">
        <f t="shared" si="42"/>
        <v>245</v>
      </c>
      <c r="AX28" s="3906"/>
      <c r="AY28" s="3906">
        <f t="shared" si="43"/>
        <v>511</v>
      </c>
      <c r="AZ28" s="3906"/>
      <c r="BA28" s="3907">
        <f t="shared" si="7"/>
        <v>0</v>
      </c>
      <c r="BB28" s="3905"/>
      <c r="BC28" s="3905">
        <f t="shared" si="8"/>
        <v>511</v>
      </c>
      <c r="BD28" s="3906"/>
      <c r="BE28" s="3907">
        <f t="shared" si="9"/>
        <v>279</v>
      </c>
      <c r="BF28" s="3904"/>
      <c r="BG28" s="3904">
        <f t="shared" si="10"/>
        <v>790</v>
      </c>
      <c r="BH28" s="3906"/>
      <c r="BI28" s="3907">
        <f t="shared" si="11"/>
        <v>1135.2180000000001</v>
      </c>
      <c r="BJ28" s="3904"/>
      <c r="BK28" s="3904">
        <f t="shared" si="12"/>
        <v>1925.2180000000001</v>
      </c>
      <c r="BL28" s="3906"/>
      <c r="BM28" s="3907">
        <f t="shared" si="13"/>
        <v>0</v>
      </c>
      <c r="BN28" s="3906"/>
      <c r="BO28" s="3905">
        <f t="shared" si="14"/>
        <v>1414.2180000000001</v>
      </c>
      <c r="BP28" s="3906"/>
      <c r="BQ28" s="3928">
        <f t="shared" si="15"/>
        <v>1925.2180000000001</v>
      </c>
      <c r="BR28" s="3906"/>
      <c r="BS28" s="3907">
        <f t="shared" si="16"/>
        <v>0</v>
      </c>
      <c r="BT28" s="3904"/>
      <c r="BU28" s="3904">
        <f t="shared" si="17"/>
        <v>1925.2180000000001</v>
      </c>
      <c r="BV28" s="3906"/>
      <c r="BW28" s="3907">
        <f t="shared" si="18"/>
        <v>104.17400000000001</v>
      </c>
      <c r="BX28" s="3906"/>
      <c r="BY28" s="3906">
        <f t="shared" si="19"/>
        <v>2029.3920000000001</v>
      </c>
      <c r="BZ28" s="3906"/>
      <c r="CA28" s="3907">
        <f t="shared" si="20"/>
        <v>257</v>
      </c>
      <c r="CB28" s="3906"/>
      <c r="CC28" s="3905">
        <f t="shared" si="21"/>
        <v>361.17399999999998</v>
      </c>
      <c r="CD28" s="3904"/>
      <c r="CE28" s="3904">
        <f t="shared" si="22"/>
        <v>2286.3919999999998</v>
      </c>
      <c r="CF28" s="3906"/>
      <c r="CG28" s="3907">
        <f t="shared" si="23"/>
        <v>540</v>
      </c>
      <c r="CH28" s="3906"/>
      <c r="CI28" s="3906">
        <f t="shared" si="24"/>
        <v>2826.3919999999998</v>
      </c>
      <c r="CJ28" s="3906"/>
      <c r="CK28" s="3907">
        <f t="shared" si="25"/>
        <v>272.12799999999999</v>
      </c>
      <c r="CL28" s="3904"/>
      <c r="CM28" s="3904">
        <f t="shared" si="26"/>
        <v>3098.52</v>
      </c>
      <c r="CN28" s="3906"/>
      <c r="CO28" s="3907">
        <f t="shared" si="27"/>
        <v>0</v>
      </c>
      <c r="CP28" s="3906"/>
      <c r="CQ28" s="3905">
        <f t="shared" si="28"/>
        <v>812.12799999999993</v>
      </c>
      <c r="CR28" s="3906"/>
      <c r="CS28" s="3928">
        <f t="shared" si="29"/>
        <v>1173.3019999999999</v>
      </c>
      <c r="CT28" s="3904"/>
      <c r="CU28" s="3930">
        <f t="shared" si="30"/>
        <v>3098.52</v>
      </c>
      <c r="CV28" s="5317"/>
      <c r="CW28" s="5317"/>
    </row>
    <row r="29" spans="1:105" x14ac:dyDescent="0.3">
      <c r="A29" s="3958"/>
      <c r="B29" s="3958"/>
      <c r="C29" s="3958"/>
      <c r="D29" s="3958"/>
      <c r="E29" s="4563" t="s">
        <v>1392</v>
      </c>
      <c r="F29" s="3939">
        <v>1328</v>
      </c>
      <c r="G29" s="3901">
        <v>2306</v>
      </c>
      <c r="H29" s="3901">
        <v>2585</v>
      </c>
      <c r="I29" s="3946">
        <f t="shared" si="31"/>
        <v>6219</v>
      </c>
      <c r="J29" s="3901">
        <v>1127</v>
      </c>
      <c r="K29" s="3901">
        <v>2655.1840000000002</v>
      </c>
      <c r="L29" s="3901">
        <v>989</v>
      </c>
      <c r="M29" s="3946">
        <f t="shared" si="32"/>
        <v>4771.1840000000002</v>
      </c>
      <c r="N29" s="3945">
        <f t="shared" si="33"/>
        <v>10990.184000000001</v>
      </c>
      <c r="O29" s="3897">
        <v>419</v>
      </c>
      <c r="P29" s="3897">
        <v>2548.3679999999999</v>
      </c>
      <c r="Q29" s="3901">
        <v>1305</v>
      </c>
      <c r="R29" s="3946">
        <f t="shared" si="34"/>
        <v>4272.3680000000004</v>
      </c>
      <c r="S29" s="3901">
        <v>2296</v>
      </c>
      <c r="T29" s="3901">
        <v>888.66800000000001</v>
      </c>
      <c r="U29" s="3944">
        <v>2047.338</v>
      </c>
      <c r="V29" s="3946">
        <f t="shared" si="35"/>
        <v>5232.0060000000003</v>
      </c>
      <c r="W29" s="3945">
        <f t="shared" si="36"/>
        <v>9504.3739999999998</v>
      </c>
      <c r="X29" s="3913">
        <f t="shared" si="37"/>
        <v>20494.558000000001</v>
      </c>
      <c r="Y29" s="3912">
        <v>0</v>
      </c>
      <c r="Z29" s="3901">
        <v>0</v>
      </c>
      <c r="AA29" s="3901"/>
      <c r="AB29" s="3946">
        <f t="shared" si="0"/>
        <v>0</v>
      </c>
      <c r="AC29" s="3901"/>
      <c r="AD29" s="3901"/>
      <c r="AE29" s="3901"/>
      <c r="AF29" s="3911">
        <f t="shared" si="1"/>
        <v>0</v>
      </c>
      <c r="AG29" s="3945">
        <f t="shared" si="2"/>
        <v>0</v>
      </c>
      <c r="AH29" s="3897"/>
      <c r="AI29" s="3897"/>
      <c r="AJ29" s="3897"/>
      <c r="AK29" s="3946">
        <f t="shared" si="3"/>
        <v>0</v>
      </c>
      <c r="AL29" s="3901"/>
      <c r="AM29" s="3901"/>
      <c r="AN29" s="3944"/>
      <c r="AO29" s="3946">
        <f t="shared" si="38"/>
        <v>0</v>
      </c>
      <c r="AP29" s="3945">
        <f t="shared" si="39"/>
        <v>0</v>
      </c>
      <c r="AQ29" s="3910">
        <f t="shared" si="40"/>
        <v>0</v>
      </c>
      <c r="AR29" s="3900">
        <f t="shared" si="6"/>
        <v>20494.558000000001</v>
      </c>
      <c r="AS29" s="3943"/>
      <c r="AT29" s="3903"/>
      <c r="AU29" s="3909">
        <f t="shared" si="41"/>
        <v>1328</v>
      </c>
      <c r="AV29" s="3908"/>
      <c r="AW29" s="3907">
        <f t="shared" si="42"/>
        <v>2306</v>
      </c>
      <c r="AX29" s="3906"/>
      <c r="AY29" s="3906">
        <f t="shared" si="43"/>
        <v>3634</v>
      </c>
      <c r="AZ29" s="3906"/>
      <c r="BA29" s="3907">
        <f t="shared" si="7"/>
        <v>2585</v>
      </c>
      <c r="BB29" s="3905"/>
      <c r="BC29" s="3905">
        <f t="shared" si="8"/>
        <v>6219</v>
      </c>
      <c r="BD29" s="3906"/>
      <c r="BE29" s="3907">
        <f t="shared" si="9"/>
        <v>1127</v>
      </c>
      <c r="BF29" s="3904"/>
      <c r="BG29" s="3904">
        <f t="shared" si="10"/>
        <v>7346</v>
      </c>
      <c r="BH29" s="3906"/>
      <c r="BI29" s="3907">
        <f t="shared" si="11"/>
        <v>2655.1840000000002</v>
      </c>
      <c r="BJ29" s="3904"/>
      <c r="BK29" s="3904">
        <f t="shared" si="12"/>
        <v>10001.184000000001</v>
      </c>
      <c r="BL29" s="3906"/>
      <c r="BM29" s="3907">
        <f t="shared" si="13"/>
        <v>989</v>
      </c>
      <c r="BN29" s="3906"/>
      <c r="BO29" s="3905">
        <f t="shared" si="14"/>
        <v>4771.1840000000002</v>
      </c>
      <c r="BP29" s="3906"/>
      <c r="BQ29" s="3928">
        <f t="shared" si="15"/>
        <v>10990.184000000001</v>
      </c>
      <c r="BR29" s="3906"/>
      <c r="BS29" s="3907">
        <f t="shared" si="16"/>
        <v>419</v>
      </c>
      <c r="BT29" s="3904"/>
      <c r="BU29" s="3904">
        <f t="shared" si="17"/>
        <v>11409.184000000001</v>
      </c>
      <c r="BV29" s="3906"/>
      <c r="BW29" s="3907">
        <f t="shared" si="18"/>
        <v>2548.3679999999999</v>
      </c>
      <c r="BX29" s="3906"/>
      <c r="BY29" s="3906">
        <f t="shared" si="19"/>
        <v>13957.552000000001</v>
      </c>
      <c r="BZ29" s="3906"/>
      <c r="CA29" s="3907">
        <f t="shared" si="20"/>
        <v>1305</v>
      </c>
      <c r="CB29" s="3906"/>
      <c r="CC29" s="3905">
        <f t="shared" si="21"/>
        <v>4272.3680000000004</v>
      </c>
      <c r="CD29" s="3904"/>
      <c r="CE29" s="3904">
        <f t="shared" si="22"/>
        <v>15262.552000000001</v>
      </c>
      <c r="CF29" s="3906"/>
      <c r="CG29" s="3907">
        <f t="shared" si="23"/>
        <v>2296</v>
      </c>
      <c r="CH29" s="3906"/>
      <c r="CI29" s="3906">
        <f t="shared" si="24"/>
        <v>17558.552000000003</v>
      </c>
      <c r="CJ29" s="3906"/>
      <c r="CK29" s="3907">
        <f t="shared" si="25"/>
        <v>888.66800000000001</v>
      </c>
      <c r="CL29" s="3904"/>
      <c r="CM29" s="3904">
        <f t="shared" si="26"/>
        <v>18447.220000000005</v>
      </c>
      <c r="CN29" s="3906"/>
      <c r="CO29" s="3907">
        <f t="shared" si="27"/>
        <v>2047.338</v>
      </c>
      <c r="CP29" s="3906"/>
      <c r="CQ29" s="3905">
        <f t="shared" si="28"/>
        <v>5232.0060000000003</v>
      </c>
      <c r="CR29" s="3906"/>
      <c r="CS29" s="3928">
        <f t="shared" si="29"/>
        <v>9504.3739999999998</v>
      </c>
      <c r="CT29" s="3904"/>
      <c r="CU29" s="3930">
        <f t="shared" si="30"/>
        <v>20494.558000000005</v>
      </c>
      <c r="CV29" s="5317"/>
      <c r="CW29" s="5317"/>
    </row>
    <row r="30" spans="1:105" x14ac:dyDescent="0.3">
      <c r="A30" s="3958"/>
      <c r="B30" s="3958"/>
      <c r="C30" s="3958"/>
      <c r="D30" s="3958"/>
      <c r="E30" s="4563" t="s">
        <v>1391</v>
      </c>
      <c r="F30" s="3939"/>
      <c r="G30" s="3901"/>
      <c r="H30" s="3901"/>
      <c r="I30" s="3946"/>
      <c r="J30" s="3901"/>
      <c r="K30" s="3901"/>
      <c r="L30" s="3901"/>
      <c r="M30" s="3946"/>
      <c r="N30" s="3945"/>
      <c r="O30" s="3897"/>
      <c r="P30" s="3897"/>
      <c r="Q30" s="3901"/>
      <c r="R30" s="3946"/>
      <c r="S30" s="3901"/>
      <c r="T30" s="3901">
        <v>218.97800000000001</v>
      </c>
      <c r="U30" s="3944"/>
      <c r="V30" s="3946">
        <f t="shared" si="35"/>
        <v>218.97800000000001</v>
      </c>
      <c r="W30" s="3945">
        <f t="shared" si="36"/>
        <v>218.97800000000001</v>
      </c>
      <c r="X30" s="3913"/>
      <c r="Y30" s="3912"/>
      <c r="Z30" s="3901"/>
      <c r="AA30" s="3901"/>
      <c r="AB30" s="3946"/>
      <c r="AC30" s="3901"/>
      <c r="AD30" s="3901"/>
      <c r="AE30" s="3901"/>
      <c r="AF30" s="3911"/>
      <c r="AG30" s="3945"/>
      <c r="AH30" s="3897"/>
      <c r="AI30" s="3897"/>
      <c r="AJ30" s="3897"/>
      <c r="AK30" s="3946"/>
      <c r="AL30" s="3901"/>
      <c r="AM30" s="3901"/>
      <c r="AN30" s="3944"/>
      <c r="AO30" s="3946"/>
      <c r="AP30" s="3945"/>
      <c r="AQ30" s="3910"/>
      <c r="AR30" s="3900"/>
      <c r="AS30" s="3943"/>
      <c r="AT30" s="3903"/>
      <c r="AU30" s="4914"/>
      <c r="AV30" s="5418"/>
      <c r="AW30" s="5419"/>
      <c r="AX30" s="5419"/>
      <c r="AY30" s="5419"/>
      <c r="AZ30" s="5419"/>
      <c r="BA30" s="5419"/>
      <c r="BB30" s="5420"/>
      <c r="BC30" s="5420"/>
      <c r="BD30" s="5419"/>
      <c r="BE30" s="5419"/>
      <c r="BF30" s="5421"/>
      <c r="BG30" s="5421"/>
      <c r="BH30" s="5419"/>
      <c r="BI30" s="5419"/>
      <c r="BJ30" s="5421"/>
      <c r="BK30" s="5421"/>
      <c r="BL30" s="5419"/>
      <c r="BM30" s="5419"/>
      <c r="BN30" s="5419"/>
      <c r="BO30" s="5420"/>
      <c r="BP30" s="5419"/>
      <c r="BQ30" s="5422"/>
      <c r="BR30" s="5419"/>
      <c r="BS30" s="5419"/>
      <c r="BT30" s="5421"/>
      <c r="BU30" s="5421"/>
      <c r="BV30" s="5419"/>
      <c r="BW30" s="5419"/>
      <c r="BX30" s="5419"/>
      <c r="BY30" s="5419"/>
      <c r="BZ30" s="5419"/>
      <c r="CA30" s="5419"/>
      <c r="CB30" s="5419"/>
      <c r="CC30" s="5420"/>
      <c r="CD30" s="5421"/>
      <c r="CE30" s="5421"/>
      <c r="CF30" s="5419"/>
      <c r="CG30" s="5419"/>
      <c r="CH30" s="5419"/>
      <c r="CI30" s="5419"/>
      <c r="CJ30" s="5419"/>
      <c r="CK30" s="3907">
        <f t="shared" si="25"/>
        <v>218.97800000000001</v>
      </c>
      <c r="CL30" s="5421"/>
      <c r="CM30" s="3904">
        <f t="shared" si="26"/>
        <v>218.97800000000001</v>
      </c>
      <c r="CN30" s="5419"/>
      <c r="CO30" s="3907">
        <f t="shared" si="27"/>
        <v>0</v>
      </c>
      <c r="CP30" s="5419"/>
      <c r="CQ30" s="3905">
        <f t="shared" si="28"/>
        <v>218.97800000000001</v>
      </c>
      <c r="CR30" s="5419"/>
      <c r="CS30" s="3928">
        <f t="shared" si="29"/>
        <v>218.97800000000001</v>
      </c>
      <c r="CT30" s="5421"/>
      <c r="CU30" s="3930">
        <f t="shared" si="30"/>
        <v>218.97800000000001</v>
      </c>
      <c r="CV30" s="5317"/>
      <c r="CW30" s="5317"/>
    </row>
    <row r="31" spans="1:105" x14ac:dyDescent="0.3">
      <c r="A31" s="3958"/>
      <c r="B31" s="3958"/>
      <c r="C31" s="3958"/>
      <c r="D31" s="3958"/>
      <c r="E31" s="4563" t="s">
        <v>1279</v>
      </c>
      <c r="F31" s="3939"/>
      <c r="G31" s="3901"/>
      <c r="H31" s="3901"/>
      <c r="I31" s="3946">
        <f t="shared" si="31"/>
        <v>0</v>
      </c>
      <c r="J31" s="3901"/>
      <c r="K31" s="3901"/>
      <c r="L31" s="3901"/>
      <c r="M31" s="3946">
        <f t="shared" si="32"/>
        <v>0</v>
      </c>
      <c r="N31" s="3945">
        <f t="shared" si="33"/>
        <v>0</v>
      </c>
      <c r="O31" s="3897"/>
      <c r="P31" s="3897">
        <v>97.197999999999993</v>
      </c>
      <c r="Q31" s="3901"/>
      <c r="R31" s="3946">
        <f t="shared" si="34"/>
        <v>97.197999999999993</v>
      </c>
      <c r="S31" s="3901"/>
      <c r="T31" s="3901"/>
      <c r="U31" s="3944"/>
      <c r="V31" s="3946">
        <f t="shared" si="35"/>
        <v>0</v>
      </c>
      <c r="W31" s="3945">
        <f t="shared" si="36"/>
        <v>97.197999999999993</v>
      </c>
      <c r="X31" s="3913">
        <f t="shared" si="37"/>
        <v>97.197999999999993</v>
      </c>
      <c r="Y31" s="3912"/>
      <c r="Z31" s="3901"/>
      <c r="AA31" s="3901"/>
      <c r="AB31" s="3946">
        <f t="shared" si="0"/>
        <v>0</v>
      </c>
      <c r="AC31" s="3901"/>
      <c r="AD31" s="3901"/>
      <c r="AE31" s="3901"/>
      <c r="AF31" s="3911">
        <f t="shared" si="1"/>
        <v>0</v>
      </c>
      <c r="AG31" s="3945">
        <f t="shared" si="2"/>
        <v>0</v>
      </c>
      <c r="AH31" s="3897"/>
      <c r="AI31" s="3897"/>
      <c r="AJ31" s="3897"/>
      <c r="AK31" s="3946">
        <f t="shared" si="3"/>
        <v>0</v>
      </c>
      <c r="AL31" s="3901"/>
      <c r="AM31" s="3901"/>
      <c r="AN31" s="3944"/>
      <c r="AO31" s="3946">
        <f t="shared" ref="AO31" si="66">+AL31+AM31+AN31</f>
        <v>0</v>
      </c>
      <c r="AP31" s="3945">
        <f t="shared" ref="AP31" si="67">+AK31+AO31</f>
        <v>0</v>
      </c>
      <c r="AQ31" s="3910">
        <f t="shared" si="40"/>
        <v>0</v>
      </c>
      <c r="AR31" s="3900">
        <f t="shared" si="6"/>
        <v>97.197999999999993</v>
      </c>
      <c r="AS31" s="3943"/>
      <c r="AT31" s="3903"/>
      <c r="AU31" s="4914"/>
      <c r="AV31" s="5105"/>
      <c r="AW31" s="5106"/>
      <c r="AX31" s="5106"/>
      <c r="AY31" s="5106"/>
      <c r="AZ31" s="5106"/>
      <c r="BA31" s="5106"/>
      <c r="BB31" s="5107"/>
      <c r="BC31" s="5107"/>
      <c r="BD31" s="5106"/>
      <c r="BE31" s="5106"/>
      <c r="BF31" s="5108"/>
      <c r="BG31" s="5108"/>
      <c r="BH31" s="5106"/>
      <c r="BI31" s="5106"/>
      <c r="BJ31" s="5108"/>
      <c r="BK31" s="5108"/>
      <c r="BL31" s="5106"/>
      <c r="BM31" s="5106"/>
      <c r="BN31" s="5106"/>
      <c r="BO31" s="5107"/>
      <c r="BP31" s="5106"/>
      <c r="BQ31" s="5109"/>
      <c r="BR31" s="5106"/>
      <c r="BS31" s="5106"/>
      <c r="BT31" s="5108"/>
      <c r="BU31" s="3904">
        <f t="shared" si="17"/>
        <v>0</v>
      </c>
      <c r="BV31" s="5106"/>
      <c r="BW31" s="3907">
        <f t="shared" ref="BW31" si="68">+P31+AI31</f>
        <v>97.197999999999993</v>
      </c>
      <c r="BX31" s="3906"/>
      <c r="BY31" s="3906">
        <f t="shared" ref="BY31" si="69">BU31+BW31</f>
        <v>97.197999999999993</v>
      </c>
      <c r="BZ31" s="5106"/>
      <c r="CA31" s="3907">
        <f t="shared" si="20"/>
        <v>0</v>
      </c>
      <c r="CB31" s="5106"/>
      <c r="CC31" s="3905">
        <f t="shared" si="21"/>
        <v>97.197999999999993</v>
      </c>
      <c r="CD31" s="5108"/>
      <c r="CE31" s="3904">
        <f t="shared" si="22"/>
        <v>97.197999999999993</v>
      </c>
      <c r="CF31" s="5106"/>
      <c r="CG31" s="3907">
        <f t="shared" si="23"/>
        <v>0</v>
      </c>
      <c r="CH31" s="5106"/>
      <c r="CI31" s="3906">
        <f t="shared" si="24"/>
        <v>97.197999999999993</v>
      </c>
      <c r="CJ31" s="5106"/>
      <c r="CK31" s="5106">
        <f t="shared" si="25"/>
        <v>0</v>
      </c>
      <c r="CL31" s="5108"/>
      <c r="CM31" s="5108">
        <f t="shared" si="26"/>
        <v>97.197999999999993</v>
      </c>
      <c r="CN31" s="5106"/>
      <c r="CO31" s="3907">
        <f t="shared" si="27"/>
        <v>0</v>
      </c>
      <c r="CP31" s="5106"/>
      <c r="CQ31" s="3905">
        <f t="shared" si="28"/>
        <v>0</v>
      </c>
      <c r="CR31" s="5106"/>
      <c r="CS31" s="3928">
        <f t="shared" si="29"/>
        <v>97.197999999999993</v>
      </c>
      <c r="CT31" s="5108"/>
      <c r="CU31" s="3930">
        <f t="shared" si="30"/>
        <v>97.197999999999993</v>
      </c>
      <c r="CV31" s="5317"/>
      <c r="CW31" s="5317"/>
    </row>
    <row r="32" spans="1:105" x14ac:dyDescent="0.3">
      <c r="A32" s="3958"/>
      <c r="B32" s="3958"/>
      <c r="C32" s="3958"/>
      <c r="D32" s="3958"/>
      <c r="E32" s="4563" t="s">
        <v>840</v>
      </c>
      <c r="F32" s="3939">
        <v>4921</v>
      </c>
      <c r="G32" s="3901">
        <v>6222</v>
      </c>
      <c r="H32" s="3901">
        <v>4217</v>
      </c>
      <c r="I32" s="3946">
        <f t="shared" si="31"/>
        <v>15360</v>
      </c>
      <c r="J32" s="3901">
        <v>5670</v>
      </c>
      <c r="K32" s="3901">
        <v>5008.0659999999998</v>
      </c>
      <c r="L32" s="3901">
        <v>9562</v>
      </c>
      <c r="M32" s="3946">
        <f t="shared" si="32"/>
        <v>20240.065999999999</v>
      </c>
      <c r="N32" s="3945">
        <f t="shared" si="33"/>
        <v>35600.065999999999</v>
      </c>
      <c r="O32" s="3897">
        <v>5649</v>
      </c>
      <c r="P32" s="3897">
        <v>4251.3559999999998</v>
      </c>
      <c r="Q32" s="3901">
        <v>7524</v>
      </c>
      <c r="R32" s="3946">
        <f t="shared" si="34"/>
        <v>17424.356</v>
      </c>
      <c r="S32" s="3901">
        <v>10656</v>
      </c>
      <c r="T32" s="3901">
        <v>11293.312</v>
      </c>
      <c r="U32" s="3944">
        <v>8289.2739999999994</v>
      </c>
      <c r="V32" s="3946">
        <f t="shared" si="35"/>
        <v>30238.585999999996</v>
      </c>
      <c r="W32" s="3945">
        <f t="shared" si="36"/>
        <v>47662.941999999995</v>
      </c>
      <c r="X32" s="3913">
        <f t="shared" si="37"/>
        <v>83263.008000000002</v>
      </c>
      <c r="Y32" s="3912">
        <v>0</v>
      </c>
      <c r="Z32" s="3901">
        <v>0</v>
      </c>
      <c r="AA32" s="3901"/>
      <c r="AB32" s="3946">
        <f t="shared" si="0"/>
        <v>0</v>
      </c>
      <c r="AC32" s="3901"/>
      <c r="AD32" s="3901"/>
      <c r="AE32" s="3901"/>
      <c r="AF32" s="3911">
        <f t="shared" si="1"/>
        <v>0</v>
      </c>
      <c r="AG32" s="3945">
        <f t="shared" si="2"/>
        <v>0</v>
      </c>
      <c r="AH32" s="3897"/>
      <c r="AI32" s="3897"/>
      <c r="AJ32" s="3897"/>
      <c r="AK32" s="3946">
        <f t="shared" si="3"/>
        <v>0</v>
      </c>
      <c r="AL32" s="3901"/>
      <c r="AM32" s="3901"/>
      <c r="AN32" s="3944"/>
      <c r="AO32" s="3946">
        <f t="shared" si="38"/>
        <v>0</v>
      </c>
      <c r="AP32" s="3945">
        <f t="shared" si="39"/>
        <v>0</v>
      </c>
      <c r="AQ32" s="3910">
        <f t="shared" si="40"/>
        <v>0</v>
      </c>
      <c r="AR32" s="3900">
        <f t="shared" si="6"/>
        <v>83263.008000000002</v>
      </c>
      <c r="AS32" s="3943"/>
      <c r="AT32" s="3903"/>
      <c r="AU32" s="3909">
        <f t="shared" si="41"/>
        <v>4921</v>
      </c>
      <c r="AV32" s="3908"/>
      <c r="AW32" s="3907">
        <f t="shared" si="42"/>
        <v>6222</v>
      </c>
      <c r="AX32" s="3906"/>
      <c r="AY32" s="3906">
        <f t="shared" si="43"/>
        <v>11143</v>
      </c>
      <c r="AZ32" s="3906"/>
      <c r="BA32" s="3907">
        <f t="shared" si="7"/>
        <v>4217</v>
      </c>
      <c r="BB32" s="3905"/>
      <c r="BC32" s="3905">
        <f t="shared" si="8"/>
        <v>15360</v>
      </c>
      <c r="BD32" s="3906"/>
      <c r="BE32" s="3907">
        <f t="shared" si="9"/>
        <v>5670</v>
      </c>
      <c r="BF32" s="3904"/>
      <c r="BG32" s="3904">
        <f t="shared" si="10"/>
        <v>21030</v>
      </c>
      <c r="BH32" s="3906"/>
      <c r="BI32" s="3907">
        <f t="shared" si="11"/>
        <v>5008.0659999999998</v>
      </c>
      <c r="BJ32" s="3904"/>
      <c r="BK32" s="3904">
        <f t="shared" si="12"/>
        <v>26038.065999999999</v>
      </c>
      <c r="BL32" s="3906"/>
      <c r="BM32" s="3907">
        <f t="shared" si="13"/>
        <v>9562</v>
      </c>
      <c r="BN32" s="3906"/>
      <c r="BO32" s="3905">
        <f t="shared" si="14"/>
        <v>20240.065999999999</v>
      </c>
      <c r="BP32" s="3906"/>
      <c r="BQ32" s="3928">
        <f t="shared" si="15"/>
        <v>35600.065999999999</v>
      </c>
      <c r="BR32" s="3906"/>
      <c r="BS32" s="3907">
        <f t="shared" si="16"/>
        <v>5649</v>
      </c>
      <c r="BT32" s="3904"/>
      <c r="BU32" s="3904">
        <f t="shared" si="17"/>
        <v>41249.065999999999</v>
      </c>
      <c r="BV32" s="3906"/>
      <c r="BW32" s="3907">
        <f t="shared" si="18"/>
        <v>4251.3559999999998</v>
      </c>
      <c r="BX32" s="3906"/>
      <c r="BY32" s="3906">
        <f t="shared" si="19"/>
        <v>45500.421999999999</v>
      </c>
      <c r="BZ32" s="3906"/>
      <c r="CA32" s="3907">
        <f t="shared" si="20"/>
        <v>7524</v>
      </c>
      <c r="CB32" s="3906"/>
      <c r="CC32" s="3905">
        <f t="shared" si="21"/>
        <v>17424.356</v>
      </c>
      <c r="CD32" s="3904"/>
      <c r="CE32" s="3904">
        <f t="shared" si="22"/>
        <v>53024.421999999999</v>
      </c>
      <c r="CF32" s="3906"/>
      <c r="CG32" s="3907">
        <f t="shared" si="23"/>
        <v>10656</v>
      </c>
      <c r="CH32" s="3906"/>
      <c r="CI32" s="3906">
        <f t="shared" si="24"/>
        <v>63680.421999999999</v>
      </c>
      <c r="CJ32" s="3906"/>
      <c r="CK32" s="3907">
        <f t="shared" si="25"/>
        <v>11293.312</v>
      </c>
      <c r="CL32" s="3904"/>
      <c r="CM32" s="3904">
        <f t="shared" si="26"/>
        <v>74973.733999999997</v>
      </c>
      <c r="CN32" s="3906"/>
      <c r="CO32" s="3907">
        <f t="shared" si="27"/>
        <v>8289.2739999999994</v>
      </c>
      <c r="CP32" s="3906"/>
      <c r="CQ32" s="3905">
        <f t="shared" si="28"/>
        <v>30238.585999999996</v>
      </c>
      <c r="CR32" s="3906"/>
      <c r="CS32" s="3928">
        <f t="shared" si="29"/>
        <v>47662.941999999995</v>
      </c>
      <c r="CT32" s="3904"/>
      <c r="CU32" s="3930">
        <f t="shared" si="30"/>
        <v>83263.008000000002</v>
      </c>
      <c r="CV32" s="5317"/>
      <c r="CW32" s="5317"/>
    </row>
    <row r="33" spans="1:101" x14ac:dyDescent="0.3">
      <c r="A33" s="3958"/>
      <c r="B33" s="3958"/>
      <c r="C33" s="3958"/>
      <c r="D33" s="3958"/>
      <c r="E33" s="4563" t="s">
        <v>1994</v>
      </c>
      <c r="F33" s="3939">
        <v>159</v>
      </c>
      <c r="G33" s="3901"/>
      <c r="H33" s="3901"/>
      <c r="I33" s="3946">
        <f t="shared" si="31"/>
        <v>159</v>
      </c>
      <c r="J33" s="3901">
        <v>163</v>
      </c>
      <c r="K33" s="3901">
        <v>135.29599999999999</v>
      </c>
      <c r="L33" s="3901">
        <v>133</v>
      </c>
      <c r="M33" s="3946">
        <f t="shared" si="32"/>
        <v>431.29599999999999</v>
      </c>
      <c r="N33" s="3945">
        <f t="shared" si="33"/>
        <v>590.29600000000005</v>
      </c>
      <c r="O33" s="3897"/>
      <c r="P33" s="3897">
        <v>357.09699999999998</v>
      </c>
      <c r="Q33" s="3901"/>
      <c r="R33" s="3946">
        <f t="shared" si="34"/>
        <v>357.09699999999998</v>
      </c>
      <c r="S33" s="3901"/>
      <c r="T33" s="3901">
        <v>310.39600000000002</v>
      </c>
      <c r="U33" s="3944">
        <v>229.608</v>
      </c>
      <c r="V33" s="3946">
        <f t="shared" si="35"/>
        <v>540.00400000000002</v>
      </c>
      <c r="W33" s="3945">
        <f t="shared" si="36"/>
        <v>897.101</v>
      </c>
      <c r="X33" s="3913">
        <f t="shared" si="37"/>
        <v>1487.3969999999999</v>
      </c>
      <c r="Y33" s="3912">
        <v>0</v>
      </c>
      <c r="Z33" s="3901"/>
      <c r="AA33" s="3901"/>
      <c r="AB33" s="3946">
        <f t="shared" si="0"/>
        <v>0</v>
      </c>
      <c r="AC33" s="3901"/>
      <c r="AD33" s="3901"/>
      <c r="AE33" s="3901"/>
      <c r="AF33" s="3911">
        <f t="shared" si="1"/>
        <v>0</v>
      </c>
      <c r="AG33" s="3945">
        <f t="shared" si="2"/>
        <v>0</v>
      </c>
      <c r="AH33" s="3897"/>
      <c r="AI33" s="3897"/>
      <c r="AJ33" s="3897"/>
      <c r="AK33" s="3946">
        <f t="shared" si="3"/>
        <v>0</v>
      </c>
      <c r="AL33" s="3901"/>
      <c r="AM33" s="3901"/>
      <c r="AN33" s="3944"/>
      <c r="AO33" s="3946">
        <f t="shared" si="38"/>
        <v>0</v>
      </c>
      <c r="AP33" s="3945">
        <f t="shared" si="39"/>
        <v>0</v>
      </c>
      <c r="AQ33" s="3910">
        <f t="shared" si="40"/>
        <v>0</v>
      </c>
      <c r="AR33" s="3900">
        <f t="shared" si="6"/>
        <v>1487.3969999999999</v>
      </c>
      <c r="AS33" s="3943"/>
      <c r="AT33" s="3903"/>
      <c r="AU33" s="3909">
        <f t="shared" si="41"/>
        <v>159</v>
      </c>
      <c r="AV33" s="3908"/>
      <c r="AW33" s="3907">
        <f t="shared" si="42"/>
        <v>0</v>
      </c>
      <c r="AX33" s="3906"/>
      <c r="AY33" s="3906">
        <f t="shared" si="43"/>
        <v>159</v>
      </c>
      <c r="AZ33" s="3906"/>
      <c r="BA33" s="3907">
        <f t="shared" si="7"/>
        <v>0</v>
      </c>
      <c r="BB33" s="3905"/>
      <c r="BC33" s="3905">
        <f t="shared" si="8"/>
        <v>159</v>
      </c>
      <c r="BD33" s="3906"/>
      <c r="BE33" s="3907">
        <f t="shared" si="9"/>
        <v>163</v>
      </c>
      <c r="BF33" s="3904"/>
      <c r="BG33" s="3904">
        <f t="shared" si="10"/>
        <v>322</v>
      </c>
      <c r="BH33" s="3906"/>
      <c r="BI33" s="3907">
        <f t="shared" si="11"/>
        <v>135.29599999999999</v>
      </c>
      <c r="BJ33" s="3904"/>
      <c r="BK33" s="3904">
        <f t="shared" si="12"/>
        <v>457.29599999999999</v>
      </c>
      <c r="BL33" s="3906"/>
      <c r="BM33" s="3907">
        <f t="shared" si="13"/>
        <v>133</v>
      </c>
      <c r="BN33" s="3906"/>
      <c r="BO33" s="3905">
        <f t="shared" si="14"/>
        <v>431.29599999999999</v>
      </c>
      <c r="BP33" s="3906"/>
      <c r="BQ33" s="3928">
        <f t="shared" si="15"/>
        <v>590.29600000000005</v>
      </c>
      <c r="BR33" s="3906"/>
      <c r="BS33" s="3907">
        <f t="shared" si="16"/>
        <v>0</v>
      </c>
      <c r="BT33" s="3904"/>
      <c r="BU33" s="3904">
        <f t="shared" si="17"/>
        <v>590.29600000000005</v>
      </c>
      <c r="BV33" s="3906"/>
      <c r="BW33" s="3907">
        <f t="shared" si="18"/>
        <v>357.09699999999998</v>
      </c>
      <c r="BX33" s="3906"/>
      <c r="BY33" s="3906">
        <f t="shared" si="19"/>
        <v>947.39300000000003</v>
      </c>
      <c r="BZ33" s="3906"/>
      <c r="CA33" s="3907">
        <f t="shared" si="20"/>
        <v>0</v>
      </c>
      <c r="CB33" s="3906"/>
      <c r="CC33" s="3905">
        <f t="shared" si="21"/>
        <v>357.09699999999998</v>
      </c>
      <c r="CD33" s="3904"/>
      <c r="CE33" s="3904">
        <f t="shared" si="22"/>
        <v>947.39300000000003</v>
      </c>
      <c r="CF33" s="3906"/>
      <c r="CG33" s="3907">
        <f t="shared" si="23"/>
        <v>0</v>
      </c>
      <c r="CH33" s="3906"/>
      <c r="CI33" s="3906">
        <f t="shared" si="24"/>
        <v>947.39300000000003</v>
      </c>
      <c r="CJ33" s="3906"/>
      <c r="CK33" s="3907">
        <f t="shared" si="25"/>
        <v>310.39600000000002</v>
      </c>
      <c r="CL33" s="3904"/>
      <c r="CM33" s="3904">
        <f t="shared" si="26"/>
        <v>1257.789</v>
      </c>
      <c r="CN33" s="3906"/>
      <c r="CO33" s="3907">
        <f t="shared" si="27"/>
        <v>229.608</v>
      </c>
      <c r="CP33" s="3906"/>
      <c r="CQ33" s="3905">
        <f t="shared" si="28"/>
        <v>540.00400000000002</v>
      </c>
      <c r="CR33" s="3906"/>
      <c r="CS33" s="3928">
        <f t="shared" si="29"/>
        <v>897.101</v>
      </c>
      <c r="CT33" s="3904"/>
      <c r="CU33" s="3930">
        <f t="shared" si="30"/>
        <v>1487.3969999999999</v>
      </c>
      <c r="CV33" s="5317"/>
      <c r="CW33" s="5317"/>
    </row>
    <row r="34" spans="1:101" x14ac:dyDescent="0.3">
      <c r="A34" s="3958"/>
      <c r="B34" s="3958"/>
      <c r="C34" s="3958"/>
      <c r="D34" s="3958"/>
      <c r="E34" s="4563" t="s">
        <v>2097</v>
      </c>
      <c r="F34" s="3939"/>
      <c r="G34" s="3901"/>
      <c r="H34" s="3901"/>
      <c r="I34" s="3946">
        <f t="shared" si="31"/>
        <v>0</v>
      </c>
      <c r="J34" s="3901"/>
      <c r="K34" s="3901">
        <v>454.51</v>
      </c>
      <c r="L34" s="3901">
        <v>1723</v>
      </c>
      <c r="M34" s="3946">
        <f t="shared" si="32"/>
        <v>2177.5100000000002</v>
      </c>
      <c r="N34" s="3945">
        <f t="shared" si="33"/>
        <v>2177.5100000000002</v>
      </c>
      <c r="O34" s="3897"/>
      <c r="P34" s="3897">
        <v>975.83399999999995</v>
      </c>
      <c r="Q34" s="3901">
        <v>748</v>
      </c>
      <c r="R34" s="3946">
        <f t="shared" si="34"/>
        <v>1723.8339999999998</v>
      </c>
      <c r="S34" s="3901">
        <v>1135</v>
      </c>
      <c r="T34" s="3901"/>
      <c r="U34" s="3944"/>
      <c r="V34" s="3946">
        <f t="shared" si="35"/>
        <v>1135</v>
      </c>
      <c r="W34" s="3945">
        <f t="shared" si="36"/>
        <v>2858.8339999999998</v>
      </c>
      <c r="X34" s="3913">
        <f t="shared" si="37"/>
        <v>5036.3440000000001</v>
      </c>
      <c r="Y34" s="3912"/>
      <c r="Z34" s="3901"/>
      <c r="AA34" s="3901"/>
      <c r="AB34" s="3946">
        <f t="shared" si="0"/>
        <v>0</v>
      </c>
      <c r="AC34" s="3901"/>
      <c r="AD34" s="3901"/>
      <c r="AE34" s="3901"/>
      <c r="AF34" s="3911">
        <f t="shared" si="1"/>
        <v>0</v>
      </c>
      <c r="AG34" s="3945">
        <f t="shared" si="2"/>
        <v>0</v>
      </c>
      <c r="AH34" s="3897"/>
      <c r="AI34" s="3897"/>
      <c r="AJ34" s="3897"/>
      <c r="AK34" s="3946">
        <f t="shared" si="3"/>
        <v>0</v>
      </c>
      <c r="AL34" s="3901"/>
      <c r="AM34" s="3901"/>
      <c r="AN34" s="3944"/>
      <c r="AO34" s="3946">
        <f t="shared" si="38"/>
        <v>0</v>
      </c>
      <c r="AP34" s="3945">
        <f t="shared" si="39"/>
        <v>0</v>
      </c>
      <c r="AQ34" s="3910">
        <f t="shared" si="40"/>
        <v>0</v>
      </c>
      <c r="AR34" s="3900">
        <f t="shared" si="6"/>
        <v>5036.3440000000001</v>
      </c>
      <c r="AS34" s="3943"/>
      <c r="AT34" s="3903"/>
      <c r="AU34" s="3909">
        <f t="shared" ref="AU34" si="70">+F34+Y34</f>
        <v>0</v>
      </c>
      <c r="AV34" s="3908"/>
      <c r="AW34" s="3907">
        <f t="shared" ref="AW34" si="71">+G34+Z34</f>
        <v>0</v>
      </c>
      <c r="AX34" s="3906"/>
      <c r="AY34" s="3906">
        <f t="shared" ref="AY34" si="72">AU34+AW34</f>
        <v>0</v>
      </c>
      <c r="AZ34" s="3906"/>
      <c r="BA34" s="3907">
        <f t="shared" ref="BA34" si="73">+H34+AA34</f>
        <v>0</v>
      </c>
      <c r="BB34" s="3905"/>
      <c r="BC34" s="3905">
        <f t="shared" ref="BC34" si="74">AU34+AW34+BA34</f>
        <v>0</v>
      </c>
      <c r="BD34" s="3906"/>
      <c r="BE34" s="3907">
        <f t="shared" ref="BE34" si="75">+J34+AC34</f>
        <v>0</v>
      </c>
      <c r="BF34" s="3904"/>
      <c r="BG34" s="3904">
        <f t="shared" ref="BG34" si="76">+BC34+BE34</f>
        <v>0</v>
      </c>
      <c r="BH34" s="3906"/>
      <c r="BI34" s="3907">
        <f t="shared" ref="BI34" si="77">K34+AD34</f>
        <v>454.51</v>
      </c>
      <c r="BJ34" s="3904"/>
      <c r="BK34" s="3904">
        <f t="shared" ref="BK34" si="78">+BG34+BI34</f>
        <v>454.51</v>
      </c>
      <c r="BL34" s="3906"/>
      <c r="BM34" s="3907">
        <f t="shared" si="13"/>
        <v>1723</v>
      </c>
      <c r="BN34" s="3906"/>
      <c r="BO34" s="3905">
        <f t="shared" si="14"/>
        <v>2177.5100000000002</v>
      </c>
      <c r="BP34" s="3906"/>
      <c r="BQ34" s="3928">
        <f t="shared" si="15"/>
        <v>2177.5100000000002</v>
      </c>
      <c r="BR34" s="3906"/>
      <c r="BS34" s="3907">
        <f t="shared" si="16"/>
        <v>0</v>
      </c>
      <c r="BT34" s="3904"/>
      <c r="BU34" s="3904">
        <f t="shared" si="17"/>
        <v>2177.5100000000002</v>
      </c>
      <c r="BV34" s="3906"/>
      <c r="BW34" s="3907">
        <f t="shared" si="18"/>
        <v>975.83399999999995</v>
      </c>
      <c r="BX34" s="3906"/>
      <c r="BY34" s="3906">
        <f t="shared" si="19"/>
        <v>3153.3440000000001</v>
      </c>
      <c r="BZ34" s="3906"/>
      <c r="CA34" s="3907">
        <f t="shared" si="20"/>
        <v>748</v>
      </c>
      <c r="CB34" s="3906"/>
      <c r="CC34" s="3905">
        <f t="shared" si="21"/>
        <v>1723.8339999999998</v>
      </c>
      <c r="CD34" s="3904"/>
      <c r="CE34" s="3904">
        <f t="shared" si="22"/>
        <v>3901.3440000000001</v>
      </c>
      <c r="CF34" s="3906"/>
      <c r="CG34" s="3907">
        <f t="shared" si="23"/>
        <v>1135</v>
      </c>
      <c r="CH34" s="3906"/>
      <c r="CI34" s="3906">
        <f t="shared" si="24"/>
        <v>5036.3440000000001</v>
      </c>
      <c r="CJ34" s="3906"/>
      <c r="CK34" s="3907">
        <f t="shared" si="25"/>
        <v>0</v>
      </c>
      <c r="CL34" s="3904"/>
      <c r="CM34" s="3904">
        <f t="shared" si="26"/>
        <v>5036.3440000000001</v>
      </c>
      <c r="CN34" s="3906"/>
      <c r="CO34" s="3907">
        <f t="shared" si="27"/>
        <v>0</v>
      </c>
      <c r="CP34" s="3906"/>
      <c r="CQ34" s="3905">
        <f t="shared" si="28"/>
        <v>1135</v>
      </c>
      <c r="CR34" s="3906"/>
      <c r="CS34" s="3928">
        <f t="shared" si="29"/>
        <v>2858.8339999999998</v>
      </c>
      <c r="CT34" s="3904"/>
      <c r="CU34" s="3930">
        <f t="shared" si="30"/>
        <v>5036.3440000000001</v>
      </c>
      <c r="CV34" s="5317"/>
      <c r="CW34" s="5317"/>
    </row>
    <row r="35" spans="1:101" x14ac:dyDescent="0.3">
      <c r="A35" s="3958"/>
      <c r="B35" s="3958"/>
      <c r="C35" s="3958"/>
      <c r="D35" s="3958"/>
      <c r="E35" s="4563" t="s">
        <v>1641</v>
      </c>
      <c r="F35" s="3939">
        <v>1772</v>
      </c>
      <c r="G35" s="3901">
        <v>304</v>
      </c>
      <c r="H35" s="3901">
        <v>1273</v>
      </c>
      <c r="I35" s="3946">
        <f t="shared" si="31"/>
        <v>3349</v>
      </c>
      <c r="J35" s="3901">
        <v>482</v>
      </c>
      <c r="K35" s="3901">
        <v>2604.4479999999999</v>
      </c>
      <c r="L35" s="3901">
        <v>719</v>
      </c>
      <c r="M35" s="3946">
        <f t="shared" si="32"/>
        <v>3805.4479999999999</v>
      </c>
      <c r="N35" s="3945">
        <f t="shared" si="33"/>
        <v>7154.4480000000003</v>
      </c>
      <c r="O35" s="3897"/>
      <c r="P35" s="3897"/>
      <c r="Q35" s="3901">
        <v>253</v>
      </c>
      <c r="R35" s="3946">
        <f t="shared" si="34"/>
        <v>253</v>
      </c>
      <c r="S35" s="3901">
        <v>425</v>
      </c>
      <c r="T35" s="3901"/>
      <c r="U35" s="3944">
        <v>822.76199999999994</v>
      </c>
      <c r="V35" s="3946">
        <f t="shared" si="35"/>
        <v>1247.7619999999999</v>
      </c>
      <c r="W35" s="3945">
        <f t="shared" si="36"/>
        <v>1500.7619999999999</v>
      </c>
      <c r="X35" s="3913">
        <f t="shared" si="37"/>
        <v>8655.2100000000009</v>
      </c>
      <c r="Y35" s="3912">
        <v>0</v>
      </c>
      <c r="Z35" s="3901">
        <v>0</v>
      </c>
      <c r="AA35" s="3901"/>
      <c r="AB35" s="3946">
        <f t="shared" si="0"/>
        <v>0</v>
      </c>
      <c r="AC35" s="3901"/>
      <c r="AD35" s="3901"/>
      <c r="AE35" s="3901"/>
      <c r="AF35" s="3911">
        <f t="shared" si="1"/>
        <v>0</v>
      </c>
      <c r="AG35" s="3945">
        <f t="shared" si="2"/>
        <v>0</v>
      </c>
      <c r="AH35" s="3897"/>
      <c r="AI35" s="3897"/>
      <c r="AJ35" s="3897"/>
      <c r="AK35" s="3946">
        <f t="shared" si="3"/>
        <v>0</v>
      </c>
      <c r="AL35" s="3901"/>
      <c r="AM35" s="3901"/>
      <c r="AN35" s="3944"/>
      <c r="AO35" s="3946">
        <f t="shared" si="38"/>
        <v>0</v>
      </c>
      <c r="AP35" s="3945">
        <f t="shared" si="39"/>
        <v>0</v>
      </c>
      <c r="AQ35" s="3910">
        <f t="shared" si="40"/>
        <v>0</v>
      </c>
      <c r="AR35" s="3900">
        <f t="shared" si="6"/>
        <v>8655.2100000000009</v>
      </c>
      <c r="AS35" s="3943"/>
      <c r="AT35" s="3903"/>
      <c r="AU35" s="3909">
        <f t="shared" si="41"/>
        <v>1772</v>
      </c>
      <c r="AV35" s="3908"/>
      <c r="AW35" s="3907">
        <f t="shared" si="42"/>
        <v>304</v>
      </c>
      <c r="AX35" s="3906"/>
      <c r="AY35" s="3906">
        <f t="shared" si="43"/>
        <v>2076</v>
      </c>
      <c r="AZ35" s="3906"/>
      <c r="BA35" s="3907">
        <f t="shared" si="7"/>
        <v>1273</v>
      </c>
      <c r="BB35" s="3905"/>
      <c r="BC35" s="3905">
        <f t="shared" si="8"/>
        <v>3349</v>
      </c>
      <c r="BD35" s="3906"/>
      <c r="BE35" s="3907">
        <f t="shared" si="9"/>
        <v>482</v>
      </c>
      <c r="BF35" s="3904"/>
      <c r="BG35" s="3904">
        <f t="shared" si="10"/>
        <v>3831</v>
      </c>
      <c r="BH35" s="3906"/>
      <c r="BI35" s="3907">
        <f t="shared" si="11"/>
        <v>2604.4479999999999</v>
      </c>
      <c r="BJ35" s="3904"/>
      <c r="BK35" s="3904">
        <f t="shared" si="12"/>
        <v>6435.4480000000003</v>
      </c>
      <c r="BL35" s="3906"/>
      <c r="BM35" s="3907">
        <f t="shared" si="13"/>
        <v>719</v>
      </c>
      <c r="BN35" s="3906"/>
      <c r="BO35" s="3905">
        <f t="shared" si="14"/>
        <v>3805.4479999999999</v>
      </c>
      <c r="BP35" s="3906"/>
      <c r="BQ35" s="3928">
        <f t="shared" si="15"/>
        <v>7154.4480000000003</v>
      </c>
      <c r="BR35" s="3906"/>
      <c r="BS35" s="3907">
        <f t="shared" si="16"/>
        <v>0</v>
      </c>
      <c r="BT35" s="3904"/>
      <c r="BU35" s="3904">
        <f t="shared" si="17"/>
        <v>7154.4480000000003</v>
      </c>
      <c r="BV35" s="3906"/>
      <c r="BW35" s="3907">
        <f t="shared" si="18"/>
        <v>0</v>
      </c>
      <c r="BX35" s="3906"/>
      <c r="BY35" s="3906">
        <f t="shared" si="19"/>
        <v>7154.4480000000003</v>
      </c>
      <c r="BZ35" s="3906"/>
      <c r="CA35" s="3907">
        <f t="shared" si="20"/>
        <v>253</v>
      </c>
      <c r="CB35" s="3906"/>
      <c r="CC35" s="3905">
        <f t="shared" si="21"/>
        <v>253</v>
      </c>
      <c r="CD35" s="3904"/>
      <c r="CE35" s="3904">
        <f t="shared" si="22"/>
        <v>7407.4480000000003</v>
      </c>
      <c r="CF35" s="3906"/>
      <c r="CG35" s="3907">
        <f t="shared" si="23"/>
        <v>425</v>
      </c>
      <c r="CH35" s="3906"/>
      <c r="CI35" s="3906">
        <f t="shared" si="24"/>
        <v>7832.4480000000003</v>
      </c>
      <c r="CJ35" s="3906"/>
      <c r="CK35" s="3907">
        <f t="shared" si="25"/>
        <v>0</v>
      </c>
      <c r="CL35" s="3904"/>
      <c r="CM35" s="3904">
        <f t="shared" si="26"/>
        <v>7832.4480000000003</v>
      </c>
      <c r="CN35" s="3906"/>
      <c r="CO35" s="3907">
        <f t="shared" si="27"/>
        <v>822.76199999999994</v>
      </c>
      <c r="CP35" s="3906"/>
      <c r="CQ35" s="3905">
        <f t="shared" si="28"/>
        <v>1247.7619999999999</v>
      </c>
      <c r="CR35" s="3906"/>
      <c r="CS35" s="3928">
        <f t="shared" si="29"/>
        <v>1500.7619999999999</v>
      </c>
      <c r="CT35" s="3904"/>
      <c r="CU35" s="3930">
        <f t="shared" si="30"/>
        <v>8655.2100000000009</v>
      </c>
      <c r="CV35" s="5317"/>
      <c r="CW35" s="5317"/>
    </row>
    <row r="36" spans="1:101" x14ac:dyDescent="0.3">
      <c r="A36" s="3958"/>
      <c r="B36" s="3958"/>
      <c r="C36" s="3958"/>
      <c r="D36" s="3958"/>
      <c r="E36" s="4563" t="s">
        <v>1832</v>
      </c>
      <c r="F36" s="3939">
        <v>304</v>
      </c>
      <c r="G36" s="3901">
        <v>1611</v>
      </c>
      <c r="H36" s="3901"/>
      <c r="I36" s="3946">
        <f t="shared" si="31"/>
        <v>1915</v>
      </c>
      <c r="J36" s="3901">
        <v>218</v>
      </c>
      <c r="K36" s="3901"/>
      <c r="L36" s="3901"/>
      <c r="M36" s="3946">
        <f t="shared" si="32"/>
        <v>218</v>
      </c>
      <c r="N36" s="3945">
        <f t="shared" si="33"/>
        <v>2133</v>
      </c>
      <c r="O36" s="3897"/>
      <c r="P36" s="3897">
        <v>1624.2639999999999</v>
      </c>
      <c r="Q36" s="3901"/>
      <c r="R36" s="3946">
        <f t="shared" si="34"/>
        <v>1624.2639999999999</v>
      </c>
      <c r="S36" s="3901"/>
      <c r="T36" s="3901">
        <v>99.921999999999997</v>
      </c>
      <c r="U36" s="3944"/>
      <c r="V36" s="3946">
        <f t="shared" si="35"/>
        <v>99.921999999999997</v>
      </c>
      <c r="W36" s="3945">
        <f t="shared" si="36"/>
        <v>1724.1859999999999</v>
      </c>
      <c r="X36" s="3913">
        <f t="shared" si="37"/>
        <v>3857.1860000000001</v>
      </c>
      <c r="Y36" s="3912">
        <v>0</v>
      </c>
      <c r="Z36" s="3901">
        <v>0</v>
      </c>
      <c r="AA36" s="3901"/>
      <c r="AB36" s="3946">
        <f t="shared" si="0"/>
        <v>0</v>
      </c>
      <c r="AC36" s="3901"/>
      <c r="AD36" s="3901"/>
      <c r="AE36" s="3901"/>
      <c r="AF36" s="3911">
        <f t="shared" si="1"/>
        <v>0</v>
      </c>
      <c r="AG36" s="3945">
        <f t="shared" si="2"/>
        <v>0</v>
      </c>
      <c r="AH36" s="3897"/>
      <c r="AI36" s="3897"/>
      <c r="AJ36" s="3897"/>
      <c r="AK36" s="3946">
        <f t="shared" si="3"/>
        <v>0</v>
      </c>
      <c r="AL36" s="3901"/>
      <c r="AM36" s="3901"/>
      <c r="AN36" s="3944"/>
      <c r="AO36" s="3946">
        <f t="shared" si="38"/>
        <v>0</v>
      </c>
      <c r="AP36" s="3945">
        <f t="shared" si="39"/>
        <v>0</v>
      </c>
      <c r="AQ36" s="3910">
        <f t="shared" si="40"/>
        <v>0</v>
      </c>
      <c r="AR36" s="3900">
        <f t="shared" si="6"/>
        <v>3857.1860000000001</v>
      </c>
      <c r="AS36" s="3943"/>
      <c r="AT36" s="3903"/>
      <c r="AU36" s="3909">
        <f t="shared" si="41"/>
        <v>304</v>
      </c>
      <c r="AV36" s="3908"/>
      <c r="AW36" s="3907">
        <f t="shared" si="42"/>
        <v>1611</v>
      </c>
      <c r="AX36" s="3906"/>
      <c r="AY36" s="3906">
        <f t="shared" si="43"/>
        <v>1915</v>
      </c>
      <c r="AZ36" s="3906"/>
      <c r="BA36" s="3907">
        <f t="shared" si="7"/>
        <v>0</v>
      </c>
      <c r="BB36" s="3905"/>
      <c r="BC36" s="3905">
        <f t="shared" si="8"/>
        <v>1915</v>
      </c>
      <c r="BD36" s="3906"/>
      <c r="BE36" s="3907">
        <f t="shared" si="9"/>
        <v>218</v>
      </c>
      <c r="BF36" s="3904"/>
      <c r="BG36" s="3904">
        <f t="shared" si="10"/>
        <v>2133</v>
      </c>
      <c r="BH36" s="3906"/>
      <c r="BI36" s="3907">
        <f t="shared" si="11"/>
        <v>0</v>
      </c>
      <c r="BJ36" s="3904"/>
      <c r="BK36" s="3904">
        <f t="shared" si="12"/>
        <v>2133</v>
      </c>
      <c r="BL36" s="3906"/>
      <c r="BM36" s="3907">
        <f t="shared" si="13"/>
        <v>0</v>
      </c>
      <c r="BN36" s="3906"/>
      <c r="BO36" s="3905">
        <f t="shared" si="14"/>
        <v>218</v>
      </c>
      <c r="BP36" s="3906"/>
      <c r="BQ36" s="3928">
        <f t="shared" si="15"/>
        <v>2133</v>
      </c>
      <c r="BR36" s="3906"/>
      <c r="BS36" s="3907">
        <f t="shared" si="16"/>
        <v>0</v>
      </c>
      <c r="BT36" s="3904"/>
      <c r="BU36" s="3904">
        <f t="shared" si="17"/>
        <v>2133</v>
      </c>
      <c r="BV36" s="3906"/>
      <c r="BW36" s="3907">
        <f t="shared" si="18"/>
        <v>1624.2639999999999</v>
      </c>
      <c r="BX36" s="3906"/>
      <c r="BY36" s="3906">
        <f t="shared" si="19"/>
        <v>3757.2640000000001</v>
      </c>
      <c r="BZ36" s="3906"/>
      <c r="CA36" s="3907">
        <f t="shared" si="20"/>
        <v>0</v>
      </c>
      <c r="CB36" s="3906"/>
      <c r="CC36" s="3905">
        <f t="shared" si="21"/>
        <v>1624.2639999999999</v>
      </c>
      <c r="CD36" s="3904"/>
      <c r="CE36" s="3904">
        <f t="shared" si="22"/>
        <v>3757.2640000000001</v>
      </c>
      <c r="CF36" s="3906"/>
      <c r="CG36" s="3907">
        <f t="shared" si="23"/>
        <v>0</v>
      </c>
      <c r="CH36" s="3906"/>
      <c r="CI36" s="3906">
        <f t="shared" si="24"/>
        <v>3757.2640000000001</v>
      </c>
      <c r="CJ36" s="3906"/>
      <c r="CK36" s="3907">
        <f t="shared" si="25"/>
        <v>99.921999999999997</v>
      </c>
      <c r="CL36" s="3904"/>
      <c r="CM36" s="3904">
        <f t="shared" si="26"/>
        <v>3857.1860000000001</v>
      </c>
      <c r="CN36" s="3906"/>
      <c r="CO36" s="3907">
        <f t="shared" si="27"/>
        <v>0</v>
      </c>
      <c r="CP36" s="3906"/>
      <c r="CQ36" s="3905">
        <f t="shared" si="28"/>
        <v>99.921999999999997</v>
      </c>
      <c r="CR36" s="3906"/>
      <c r="CS36" s="3928">
        <f t="shared" si="29"/>
        <v>1724.1859999999999</v>
      </c>
      <c r="CT36" s="3904"/>
      <c r="CU36" s="3930">
        <f t="shared" si="30"/>
        <v>3857.1860000000001</v>
      </c>
      <c r="CV36" s="5317"/>
      <c r="CW36" s="5317"/>
    </row>
    <row r="37" spans="1:101" x14ac:dyDescent="0.3">
      <c r="A37" s="3958"/>
      <c r="B37" s="3958"/>
      <c r="C37" s="3958"/>
      <c r="D37" s="3958"/>
      <c r="E37" s="4563" t="s">
        <v>1520</v>
      </c>
      <c r="F37" s="3939">
        <v>723</v>
      </c>
      <c r="G37" s="3901">
        <v>590</v>
      </c>
      <c r="H37" s="3901">
        <v>619</v>
      </c>
      <c r="I37" s="3946">
        <f t="shared" si="31"/>
        <v>1932</v>
      </c>
      <c r="J37" s="3901">
        <v>583</v>
      </c>
      <c r="K37" s="3901">
        <v>112.042</v>
      </c>
      <c r="L37" s="3901">
        <v>674</v>
      </c>
      <c r="M37" s="3946">
        <f t="shared" si="32"/>
        <v>1369.0419999999999</v>
      </c>
      <c r="N37" s="3945">
        <f t="shared" si="33"/>
        <v>3301.0419999999999</v>
      </c>
      <c r="O37" s="3897">
        <v>543</v>
      </c>
      <c r="P37" s="3897">
        <v>722.36599999999999</v>
      </c>
      <c r="Q37" s="3901">
        <v>412</v>
      </c>
      <c r="R37" s="3946">
        <f t="shared" si="34"/>
        <v>1677.366</v>
      </c>
      <c r="S37" s="3901"/>
      <c r="T37" s="3901"/>
      <c r="U37" s="3944"/>
      <c r="V37" s="3946">
        <f t="shared" si="35"/>
        <v>0</v>
      </c>
      <c r="W37" s="3945">
        <f t="shared" si="36"/>
        <v>1677.366</v>
      </c>
      <c r="X37" s="3913">
        <f t="shared" si="37"/>
        <v>4978.4079999999994</v>
      </c>
      <c r="Y37" s="3912">
        <v>0</v>
      </c>
      <c r="Z37" s="3901">
        <v>0</v>
      </c>
      <c r="AA37" s="3901"/>
      <c r="AB37" s="3946">
        <f t="shared" si="0"/>
        <v>0</v>
      </c>
      <c r="AC37" s="3901"/>
      <c r="AD37" s="3901"/>
      <c r="AE37" s="3901"/>
      <c r="AF37" s="3911">
        <f t="shared" si="1"/>
        <v>0</v>
      </c>
      <c r="AG37" s="3945">
        <f t="shared" si="2"/>
        <v>0</v>
      </c>
      <c r="AH37" s="3897"/>
      <c r="AI37" s="3897"/>
      <c r="AJ37" s="3897"/>
      <c r="AK37" s="3946">
        <f t="shared" si="3"/>
        <v>0</v>
      </c>
      <c r="AL37" s="3901"/>
      <c r="AM37" s="3901"/>
      <c r="AN37" s="3944"/>
      <c r="AO37" s="3946">
        <f t="shared" si="38"/>
        <v>0</v>
      </c>
      <c r="AP37" s="3945">
        <f t="shared" si="39"/>
        <v>0</v>
      </c>
      <c r="AQ37" s="3910">
        <f t="shared" si="40"/>
        <v>0</v>
      </c>
      <c r="AR37" s="3900">
        <f t="shared" si="6"/>
        <v>4978.4079999999994</v>
      </c>
      <c r="AS37" s="3943"/>
      <c r="AT37" s="3903"/>
      <c r="AU37" s="3909">
        <f t="shared" si="41"/>
        <v>723</v>
      </c>
      <c r="AV37" s="3908"/>
      <c r="AW37" s="3907">
        <f t="shared" si="42"/>
        <v>590</v>
      </c>
      <c r="AX37" s="3906"/>
      <c r="AY37" s="3906">
        <f t="shared" si="43"/>
        <v>1313</v>
      </c>
      <c r="AZ37" s="3906"/>
      <c r="BA37" s="3907">
        <f t="shared" si="7"/>
        <v>619</v>
      </c>
      <c r="BB37" s="3905"/>
      <c r="BC37" s="3905">
        <f t="shared" si="8"/>
        <v>1932</v>
      </c>
      <c r="BD37" s="3906"/>
      <c r="BE37" s="3907">
        <f t="shared" si="9"/>
        <v>583</v>
      </c>
      <c r="BF37" s="3904"/>
      <c r="BG37" s="3904">
        <f t="shared" si="10"/>
        <v>2515</v>
      </c>
      <c r="BH37" s="3906"/>
      <c r="BI37" s="3907">
        <f t="shared" si="11"/>
        <v>112.042</v>
      </c>
      <c r="BJ37" s="3904"/>
      <c r="BK37" s="3904">
        <f t="shared" si="12"/>
        <v>2627.0419999999999</v>
      </c>
      <c r="BL37" s="3906"/>
      <c r="BM37" s="3907">
        <f t="shared" si="13"/>
        <v>674</v>
      </c>
      <c r="BN37" s="3906"/>
      <c r="BO37" s="3905">
        <f t="shared" si="14"/>
        <v>1369.0419999999999</v>
      </c>
      <c r="BP37" s="3906"/>
      <c r="BQ37" s="3928">
        <f t="shared" si="15"/>
        <v>3301.0419999999999</v>
      </c>
      <c r="BR37" s="3906"/>
      <c r="BS37" s="3907">
        <f t="shared" si="16"/>
        <v>543</v>
      </c>
      <c r="BT37" s="3904"/>
      <c r="BU37" s="3904">
        <f t="shared" si="17"/>
        <v>3844.0419999999999</v>
      </c>
      <c r="BV37" s="3906"/>
      <c r="BW37" s="3907">
        <f t="shared" si="18"/>
        <v>722.36599999999999</v>
      </c>
      <c r="BX37" s="3906"/>
      <c r="BY37" s="3906">
        <f t="shared" si="19"/>
        <v>4566.4079999999994</v>
      </c>
      <c r="BZ37" s="3906"/>
      <c r="CA37" s="3907">
        <f t="shared" si="20"/>
        <v>412</v>
      </c>
      <c r="CB37" s="3906"/>
      <c r="CC37" s="3905">
        <f t="shared" si="21"/>
        <v>1677.366</v>
      </c>
      <c r="CD37" s="3904"/>
      <c r="CE37" s="3904">
        <f t="shared" si="22"/>
        <v>4978.4079999999994</v>
      </c>
      <c r="CF37" s="3906"/>
      <c r="CG37" s="3907">
        <f t="shared" si="23"/>
        <v>0</v>
      </c>
      <c r="CH37" s="3906"/>
      <c r="CI37" s="3906">
        <f t="shared" si="24"/>
        <v>4978.4079999999994</v>
      </c>
      <c r="CJ37" s="3906"/>
      <c r="CK37" s="3907">
        <f t="shared" si="25"/>
        <v>0</v>
      </c>
      <c r="CL37" s="3904"/>
      <c r="CM37" s="3904">
        <f t="shared" si="26"/>
        <v>4978.4079999999994</v>
      </c>
      <c r="CN37" s="3906"/>
      <c r="CO37" s="3907">
        <f t="shared" si="27"/>
        <v>0</v>
      </c>
      <c r="CP37" s="3906"/>
      <c r="CQ37" s="3905">
        <f t="shared" si="28"/>
        <v>0</v>
      </c>
      <c r="CR37" s="3906"/>
      <c r="CS37" s="3928">
        <f t="shared" si="29"/>
        <v>1677.366</v>
      </c>
      <c r="CT37" s="3904"/>
      <c r="CU37" s="3930">
        <f t="shared" si="30"/>
        <v>4978.4079999999994</v>
      </c>
      <c r="CV37" s="5317"/>
      <c r="CW37" s="5317"/>
    </row>
    <row r="38" spans="1:101" x14ac:dyDescent="0.3">
      <c r="A38" s="3958"/>
      <c r="B38" s="3958"/>
      <c r="C38" s="3958"/>
      <c r="D38" s="3958"/>
      <c r="E38" s="4563" t="s">
        <v>1831</v>
      </c>
      <c r="F38" s="3939">
        <v>1306</v>
      </c>
      <c r="G38" s="3901">
        <v>110</v>
      </c>
      <c r="H38" s="3901"/>
      <c r="I38" s="3946">
        <f t="shared" si="31"/>
        <v>1416</v>
      </c>
      <c r="J38" s="3901"/>
      <c r="K38" s="3901"/>
      <c r="L38" s="3901"/>
      <c r="M38" s="3946">
        <f t="shared" si="32"/>
        <v>0</v>
      </c>
      <c r="N38" s="3945">
        <f t="shared" si="33"/>
        <v>1416</v>
      </c>
      <c r="O38" s="3897"/>
      <c r="P38" s="3897"/>
      <c r="Q38" s="3901"/>
      <c r="R38" s="3946">
        <f t="shared" si="34"/>
        <v>0</v>
      </c>
      <c r="S38" s="3901"/>
      <c r="T38" s="3901"/>
      <c r="U38" s="3944"/>
      <c r="V38" s="3946">
        <f t="shared" si="35"/>
        <v>0</v>
      </c>
      <c r="W38" s="3945">
        <f t="shared" si="36"/>
        <v>0</v>
      </c>
      <c r="X38" s="3913">
        <f t="shared" si="37"/>
        <v>1416</v>
      </c>
      <c r="Y38" s="3912">
        <v>0</v>
      </c>
      <c r="Z38" s="3901">
        <v>0</v>
      </c>
      <c r="AA38" s="3901"/>
      <c r="AB38" s="3946">
        <f t="shared" si="0"/>
        <v>0</v>
      </c>
      <c r="AC38" s="3901"/>
      <c r="AD38" s="3901"/>
      <c r="AE38" s="3901"/>
      <c r="AF38" s="3911">
        <f t="shared" si="1"/>
        <v>0</v>
      </c>
      <c r="AG38" s="3945">
        <f t="shared" si="2"/>
        <v>0</v>
      </c>
      <c r="AH38" s="3897"/>
      <c r="AI38" s="3897"/>
      <c r="AJ38" s="3897"/>
      <c r="AK38" s="3946">
        <f t="shared" si="3"/>
        <v>0</v>
      </c>
      <c r="AL38" s="3901"/>
      <c r="AM38" s="3901"/>
      <c r="AN38" s="3944"/>
      <c r="AO38" s="3946">
        <f t="shared" si="38"/>
        <v>0</v>
      </c>
      <c r="AP38" s="3945">
        <f t="shared" si="39"/>
        <v>0</v>
      </c>
      <c r="AQ38" s="3910">
        <f t="shared" si="40"/>
        <v>0</v>
      </c>
      <c r="AR38" s="3900">
        <f t="shared" si="6"/>
        <v>1416</v>
      </c>
      <c r="AS38" s="3943"/>
      <c r="AT38" s="3903"/>
      <c r="AU38" s="3909">
        <f t="shared" si="41"/>
        <v>1306</v>
      </c>
      <c r="AV38" s="3908"/>
      <c r="AW38" s="3907">
        <f t="shared" si="42"/>
        <v>110</v>
      </c>
      <c r="AX38" s="3906"/>
      <c r="AY38" s="3906">
        <f t="shared" si="43"/>
        <v>1416</v>
      </c>
      <c r="AZ38" s="3906"/>
      <c r="BA38" s="3907">
        <f t="shared" si="7"/>
        <v>0</v>
      </c>
      <c r="BB38" s="3905"/>
      <c r="BC38" s="3905">
        <f t="shared" si="8"/>
        <v>1416</v>
      </c>
      <c r="BD38" s="3906"/>
      <c r="BE38" s="3907">
        <f t="shared" si="9"/>
        <v>0</v>
      </c>
      <c r="BF38" s="3904"/>
      <c r="BG38" s="3904">
        <f t="shared" si="10"/>
        <v>1416</v>
      </c>
      <c r="BH38" s="3906"/>
      <c r="BI38" s="3907">
        <f t="shared" si="11"/>
        <v>0</v>
      </c>
      <c r="BJ38" s="3904"/>
      <c r="BK38" s="3904">
        <f t="shared" si="12"/>
        <v>1416</v>
      </c>
      <c r="BL38" s="3906"/>
      <c r="BM38" s="3907">
        <f t="shared" si="13"/>
        <v>0</v>
      </c>
      <c r="BN38" s="3906"/>
      <c r="BO38" s="3905">
        <f t="shared" si="14"/>
        <v>0</v>
      </c>
      <c r="BP38" s="3906"/>
      <c r="BQ38" s="3928">
        <f t="shared" si="15"/>
        <v>1416</v>
      </c>
      <c r="BR38" s="3906"/>
      <c r="BS38" s="3907">
        <f t="shared" si="16"/>
        <v>0</v>
      </c>
      <c r="BT38" s="3904"/>
      <c r="BU38" s="3904">
        <f t="shared" si="17"/>
        <v>1416</v>
      </c>
      <c r="BV38" s="3906"/>
      <c r="BW38" s="3907">
        <f t="shared" si="18"/>
        <v>0</v>
      </c>
      <c r="BX38" s="3906"/>
      <c r="BY38" s="3906">
        <f t="shared" si="19"/>
        <v>1416</v>
      </c>
      <c r="BZ38" s="3906"/>
      <c r="CA38" s="3907">
        <f t="shared" si="20"/>
        <v>0</v>
      </c>
      <c r="CB38" s="3906"/>
      <c r="CC38" s="3905">
        <f t="shared" si="21"/>
        <v>0</v>
      </c>
      <c r="CD38" s="3904"/>
      <c r="CE38" s="3904">
        <f t="shared" si="22"/>
        <v>1416</v>
      </c>
      <c r="CF38" s="3906"/>
      <c r="CG38" s="3907">
        <f t="shared" si="23"/>
        <v>0</v>
      </c>
      <c r="CH38" s="3906"/>
      <c r="CI38" s="3906">
        <f t="shared" si="24"/>
        <v>1416</v>
      </c>
      <c r="CJ38" s="3906"/>
      <c r="CK38" s="3907">
        <f t="shared" si="25"/>
        <v>0</v>
      </c>
      <c r="CL38" s="3904"/>
      <c r="CM38" s="3904">
        <f t="shared" si="26"/>
        <v>1416</v>
      </c>
      <c r="CN38" s="3906"/>
      <c r="CO38" s="3907">
        <f t="shared" si="27"/>
        <v>0</v>
      </c>
      <c r="CP38" s="3906"/>
      <c r="CQ38" s="3905">
        <f t="shared" si="28"/>
        <v>0</v>
      </c>
      <c r="CR38" s="3906"/>
      <c r="CS38" s="3928">
        <f t="shared" si="29"/>
        <v>0</v>
      </c>
      <c r="CT38" s="3904"/>
      <c r="CU38" s="3930">
        <f t="shared" si="30"/>
        <v>1416</v>
      </c>
      <c r="CV38" s="5317"/>
      <c r="CW38" s="5317"/>
    </row>
    <row r="39" spans="1:101" x14ac:dyDescent="0.3">
      <c r="A39" s="3958"/>
      <c r="B39" s="3958"/>
      <c r="C39" s="3958"/>
      <c r="D39" s="3958"/>
      <c r="E39" s="4563" t="s">
        <v>1437</v>
      </c>
      <c r="F39" s="3939">
        <v>425</v>
      </c>
      <c r="G39" s="3901">
        <v>435</v>
      </c>
      <c r="H39" s="3901"/>
      <c r="I39" s="3946">
        <f t="shared" si="31"/>
        <v>860</v>
      </c>
      <c r="J39" s="3901"/>
      <c r="K39" s="3901"/>
      <c r="L39" s="3901"/>
      <c r="M39" s="3946">
        <f t="shared" si="32"/>
        <v>0</v>
      </c>
      <c r="N39" s="3945">
        <f t="shared" si="33"/>
        <v>860</v>
      </c>
      <c r="O39" s="3897"/>
      <c r="P39" s="3897"/>
      <c r="Q39" s="3901"/>
      <c r="R39" s="3946">
        <f t="shared" si="34"/>
        <v>0</v>
      </c>
      <c r="S39" s="3901"/>
      <c r="T39" s="3901"/>
      <c r="U39" s="3944"/>
      <c r="V39" s="3946">
        <f t="shared" si="35"/>
        <v>0</v>
      </c>
      <c r="W39" s="3945">
        <f t="shared" si="36"/>
        <v>0</v>
      </c>
      <c r="X39" s="3913">
        <f t="shared" si="37"/>
        <v>860</v>
      </c>
      <c r="Y39" s="3912">
        <v>0</v>
      </c>
      <c r="Z39" s="3901">
        <v>0</v>
      </c>
      <c r="AA39" s="3901"/>
      <c r="AB39" s="3946">
        <f t="shared" si="0"/>
        <v>0</v>
      </c>
      <c r="AC39" s="3901"/>
      <c r="AD39" s="3901"/>
      <c r="AE39" s="3901"/>
      <c r="AF39" s="3911">
        <f t="shared" si="1"/>
        <v>0</v>
      </c>
      <c r="AG39" s="3945">
        <f t="shared" si="2"/>
        <v>0</v>
      </c>
      <c r="AH39" s="3897"/>
      <c r="AI39" s="3897"/>
      <c r="AJ39" s="3897"/>
      <c r="AK39" s="3946">
        <f t="shared" si="3"/>
        <v>0</v>
      </c>
      <c r="AL39" s="3901"/>
      <c r="AM39" s="3901"/>
      <c r="AN39" s="3944"/>
      <c r="AO39" s="3946">
        <f t="shared" si="38"/>
        <v>0</v>
      </c>
      <c r="AP39" s="3945">
        <f t="shared" si="39"/>
        <v>0</v>
      </c>
      <c r="AQ39" s="3910">
        <f t="shared" si="40"/>
        <v>0</v>
      </c>
      <c r="AR39" s="3900">
        <f t="shared" si="6"/>
        <v>860</v>
      </c>
      <c r="AS39" s="3943"/>
      <c r="AT39" s="3903"/>
      <c r="AU39" s="3909">
        <f t="shared" si="41"/>
        <v>425</v>
      </c>
      <c r="AV39" s="3908"/>
      <c r="AW39" s="3907">
        <f t="shared" si="42"/>
        <v>435</v>
      </c>
      <c r="AX39" s="3906"/>
      <c r="AY39" s="3906">
        <f t="shared" si="43"/>
        <v>860</v>
      </c>
      <c r="AZ39" s="3906"/>
      <c r="BA39" s="3907">
        <f t="shared" si="7"/>
        <v>0</v>
      </c>
      <c r="BB39" s="3905"/>
      <c r="BC39" s="3905">
        <f t="shared" si="8"/>
        <v>860</v>
      </c>
      <c r="BD39" s="3906"/>
      <c r="BE39" s="3907">
        <f t="shared" si="9"/>
        <v>0</v>
      </c>
      <c r="BF39" s="3904"/>
      <c r="BG39" s="3904">
        <f t="shared" si="10"/>
        <v>860</v>
      </c>
      <c r="BH39" s="3906"/>
      <c r="BI39" s="3907">
        <f t="shared" si="11"/>
        <v>0</v>
      </c>
      <c r="BJ39" s="3904"/>
      <c r="BK39" s="3904">
        <f t="shared" si="12"/>
        <v>860</v>
      </c>
      <c r="BL39" s="3906"/>
      <c r="BM39" s="3907">
        <f t="shared" si="13"/>
        <v>0</v>
      </c>
      <c r="BN39" s="3906"/>
      <c r="BO39" s="3905">
        <f t="shared" si="14"/>
        <v>0</v>
      </c>
      <c r="BP39" s="3906"/>
      <c r="BQ39" s="3928">
        <f t="shared" si="15"/>
        <v>860</v>
      </c>
      <c r="BR39" s="3906"/>
      <c r="BS39" s="3907">
        <f t="shared" si="16"/>
        <v>0</v>
      </c>
      <c r="BT39" s="3904"/>
      <c r="BU39" s="3904">
        <f t="shared" si="17"/>
        <v>860</v>
      </c>
      <c r="BV39" s="3906"/>
      <c r="BW39" s="3907">
        <f t="shared" si="18"/>
        <v>0</v>
      </c>
      <c r="BX39" s="3906"/>
      <c r="BY39" s="3906">
        <f t="shared" si="19"/>
        <v>860</v>
      </c>
      <c r="BZ39" s="3906"/>
      <c r="CA39" s="3907">
        <f t="shared" si="20"/>
        <v>0</v>
      </c>
      <c r="CB39" s="3906"/>
      <c r="CC39" s="3905">
        <f t="shared" si="21"/>
        <v>0</v>
      </c>
      <c r="CD39" s="3904"/>
      <c r="CE39" s="3904">
        <f t="shared" si="22"/>
        <v>860</v>
      </c>
      <c r="CF39" s="3906"/>
      <c r="CG39" s="3907">
        <f t="shared" si="23"/>
        <v>0</v>
      </c>
      <c r="CH39" s="3906"/>
      <c r="CI39" s="3906">
        <f t="shared" si="24"/>
        <v>860</v>
      </c>
      <c r="CJ39" s="3906"/>
      <c r="CK39" s="3907">
        <f t="shared" si="25"/>
        <v>0</v>
      </c>
      <c r="CL39" s="3904"/>
      <c r="CM39" s="3904">
        <f t="shared" si="26"/>
        <v>860</v>
      </c>
      <c r="CN39" s="3906"/>
      <c r="CO39" s="3907">
        <f t="shared" si="27"/>
        <v>0</v>
      </c>
      <c r="CP39" s="3906"/>
      <c r="CQ39" s="3905">
        <f t="shared" si="28"/>
        <v>0</v>
      </c>
      <c r="CR39" s="3906"/>
      <c r="CS39" s="3928">
        <f t="shared" si="29"/>
        <v>0</v>
      </c>
      <c r="CT39" s="3904"/>
      <c r="CU39" s="3930">
        <f t="shared" si="30"/>
        <v>860</v>
      </c>
      <c r="CV39" s="5317"/>
      <c r="CW39" s="5317"/>
    </row>
    <row r="40" spans="1:101" x14ac:dyDescent="0.3">
      <c r="A40" s="3958"/>
      <c r="B40" s="3958"/>
      <c r="C40" s="3958"/>
      <c r="D40" s="3958"/>
      <c r="E40" s="4563" t="s">
        <v>1438</v>
      </c>
      <c r="F40" s="3939">
        <v>252</v>
      </c>
      <c r="G40" s="3901">
        <v>260</v>
      </c>
      <c r="H40" s="3901"/>
      <c r="I40" s="3946">
        <f t="shared" si="31"/>
        <v>512</v>
      </c>
      <c r="J40" s="3901"/>
      <c r="K40" s="3901"/>
      <c r="L40" s="3901"/>
      <c r="M40" s="3946">
        <f t="shared" si="32"/>
        <v>0</v>
      </c>
      <c r="N40" s="3945">
        <f t="shared" si="33"/>
        <v>512</v>
      </c>
      <c r="O40" s="3897"/>
      <c r="P40" s="3897"/>
      <c r="Q40" s="3901"/>
      <c r="R40" s="3946">
        <f t="shared" si="34"/>
        <v>0</v>
      </c>
      <c r="S40" s="3901"/>
      <c r="T40" s="3901"/>
      <c r="U40" s="3944"/>
      <c r="V40" s="3946">
        <f t="shared" si="35"/>
        <v>0</v>
      </c>
      <c r="W40" s="3945">
        <f t="shared" si="36"/>
        <v>0</v>
      </c>
      <c r="X40" s="3913">
        <f t="shared" si="37"/>
        <v>512</v>
      </c>
      <c r="Y40" s="3912">
        <v>0</v>
      </c>
      <c r="Z40" s="3901">
        <v>0</v>
      </c>
      <c r="AA40" s="3901"/>
      <c r="AB40" s="3946">
        <f t="shared" si="0"/>
        <v>0</v>
      </c>
      <c r="AC40" s="3901"/>
      <c r="AD40" s="3901"/>
      <c r="AE40" s="3901"/>
      <c r="AF40" s="3911">
        <f t="shared" si="1"/>
        <v>0</v>
      </c>
      <c r="AG40" s="3945">
        <f t="shared" si="2"/>
        <v>0</v>
      </c>
      <c r="AH40" s="3897"/>
      <c r="AI40" s="3897"/>
      <c r="AJ40" s="3897"/>
      <c r="AK40" s="3946">
        <f t="shared" si="3"/>
        <v>0</v>
      </c>
      <c r="AL40" s="3901"/>
      <c r="AM40" s="3901"/>
      <c r="AN40" s="3944"/>
      <c r="AO40" s="3946">
        <f t="shared" si="38"/>
        <v>0</v>
      </c>
      <c r="AP40" s="3945">
        <f t="shared" si="39"/>
        <v>0</v>
      </c>
      <c r="AQ40" s="3910">
        <f t="shared" si="40"/>
        <v>0</v>
      </c>
      <c r="AR40" s="3900">
        <f t="shared" si="6"/>
        <v>512</v>
      </c>
      <c r="AS40" s="3943"/>
      <c r="AT40" s="3903"/>
      <c r="AU40" s="3909">
        <f t="shared" si="41"/>
        <v>252</v>
      </c>
      <c r="AV40" s="3908"/>
      <c r="AW40" s="3907">
        <f t="shared" si="42"/>
        <v>260</v>
      </c>
      <c r="AX40" s="3906"/>
      <c r="AY40" s="3906">
        <f t="shared" si="43"/>
        <v>512</v>
      </c>
      <c r="AZ40" s="3906"/>
      <c r="BA40" s="3907">
        <f t="shared" si="7"/>
        <v>0</v>
      </c>
      <c r="BB40" s="3905"/>
      <c r="BC40" s="3905">
        <f t="shared" si="8"/>
        <v>512</v>
      </c>
      <c r="BD40" s="3906"/>
      <c r="BE40" s="3907">
        <f t="shared" si="9"/>
        <v>0</v>
      </c>
      <c r="BF40" s="3904"/>
      <c r="BG40" s="3904">
        <f t="shared" si="10"/>
        <v>512</v>
      </c>
      <c r="BH40" s="3906"/>
      <c r="BI40" s="3907">
        <f t="shared" si="11"/>
        <v>0</v>
      </c>
      <c r="BJ40" s="3904"/>
      <c r="BK40" s="3904">
        <f t="shared" si="12"/>
        <v>512</v>
      </c>
      <c r="BL40" s="3906"/>
      <c r="BM40" s="3907">
        <f t="shared" si="13"/>
        <v>0</v>
      </c>
      <c r="BN40" s="3906"/>
      <c r="BO40" s="3905">
        <f t="shared" si="14"/>
        <v>0</v>
      </c>
      <c r="BP40" s="3906"/>
      <c r="BQ40" s="3928">
        <f t="shared" si="15"/>
        <v>512</v>
      </c>
      <c r="BR40" s="3906"/>
      <c r="BS40" s="3907">
        <f t="shared" si="16"/>
        <v>0</v>
      </c>
      <c r="BT40" s="3904"/>
      <c r="BU40" s="3904">
        <f t="shared" si="17"/>
        <v>512</v>
      </c>
      <c r="BV40" s="3906"/>
      <c r="BW40" s="3907">
        <f t="shared" si="18"/>
        <v>0</v>
      </c>
      <c r="BX40" s="3906"/>
      <c r="BY40" s="3906">
        <f t="shared" si="19"/>
        <v>512</v>
      </c>
      <c r="BZ40" s="3906"/>
      <c r="CA40" s="3907">
        <f t="shared" si="20"/>
        <v>0</v>
      </c>
      <c r="CB40" s="3906"/>
      <c r="CC40" s="3905">
        <f t="shared" si="21"/>
        <v>0</v>
      </c>
      <c r="CD40" s="3904"/>
      <c r="CE40" s="3904">
        <f t="shared" si="22"/>
        <v>512</v>
      </c>
      <c r="CF40" s="3906"/>
      <c r="CG40" s="3907">
        <f t="shared" si="23"/>
        <v>0</v>
      </c>
      <c r="CH40" s="3906"/>
      <c r="CI40" s="3906">
        <f t="shared" si="24"/>
        <v>512</v>
      </c>
      <c r="CJ40" s="3906"/>
      <c r="CK40" s="3907">
        <f t="shared" si="25"/>
        <v>0</v>
      </c>
      <c r="CL40" s="3904"/>
      <c r="CM40" s="3904">
        <f t="shared" si="26"/>
        <v>512</v>
      </c>
      <c r="CN40" s="3906"/>
      <c r="CO40" s="3907">
        <f t="shared" si="27"/>
        <v>0</v>
      </c>
      <c r="CP40" s="3906"/>
      <c r="CQ40" s="3905">
        <f t="shared" si="28"/>
        <v>0</v>
      </c>
      <c r="CR40" s="3906"/>
      <c r="CS40" s="3928">
        <f t="shared" si="29"/>
        <v>0</v>
      </c>
      <c r="CT40" s="3904"/>
      <c r="CU40" s="3930">
        <f t="shared" si="30"/>
        <v>512</v>
      </c>
      <c r="CV40" s="5317"/>
      <c r="CW40" s="5317"/>
    </row>
    <row r="41" spans="1:101" x14ac:dyDescent="0.3">
      <c r="A41" s="3958"/>
      <c r="B41" s="3958"/>
      <c r="C41" s="3958"/>
      <c r="D41" s="3958"/>
      <c r="E41" s="5344" t="s">
        <v>1925</v>
      </c>
      <c r="F41" s="3939">
        <v>442</v>
      </c>
      <c r="G41" s="3901">
        <v>1461</v>
      </c>
      <c r="H41" s="3901">
        <v>3839</v>
      </c>
      <c r="I41" s="3946">
        <f t="shared" si="31"/>
        <v>5742</v>
      </c>
      <c r="J41" s="3901">
        <v>3196</v>
      </c>
      <c r="K41" s="3901"/>
      <c r="L41" s="3901"/>
      <c r="M41" s="3946">
        <f t="shared" si="32"/>
        <v>3196</v>
      </c>
      <c r="N41" s="3945">
        <f t="shared" si="33"/>
        <v>8938</v>
      </c>
      <c r="O41" s="3897">
        <v>583</v>
      </c>
      <c r="P41" s="3897"/>
      <c r="Q41" s="3901"/>
      <c r="R41" s="3946">
        <f t="shared" si="34"/>
        <v>583</v>
      </c>
      <c r="S41" s="3901"/>
      <c r="T41" s="3901"/>
      <c r="U41" s="3944"/>
      <c r="V41" s="3946">
        <f t="shared" si="35"/>
        <v>0</v>
      </c>
      <c r="W41" s="3945">
        <f t="shared" si="36"/>
        <v>583</v>
      </c>
      <c r="X41" s="3913">
        <f t="shared" si="37"/>
        <v>9521</v>
      </c>
      <c r="Y41" s="3912">
        <v>0</v>
      </c>
      <c r="Z41" s="3901">
        <v>0</v>
      </c>
      <c r="AA41" s="3901"/>
      <c r="AB41" s="3946">
        <f t="shared" si="0"/>
        <v>0</v>
      </c>
      <c r="AC41" s="3901"/>
      <c r="AD41" s="3901"/>
      <c r="AE41" s="3901"/>
      <c r="AF41" s="3911">
        <f t="shared" si="1"/>
        <v>0</v>
      </c>
      <c r="AG41" s="3945">
        <f t="shared" si="2"/>
        <v>0</v>
      </c>
      <c r="AH41" s="3897"/>
      <c r="AI41" s="3897"/>
      <c r="AJ41" s="3897"/>
      <c r="AK41" s="3946">
        <f t="shared" si="3"/>
        <v>0</v>
      </c>
      <c r="AL41" s="3901"/>
      <c r="AM41" s="3901"/>
      <c r="AN41" s="3944"/>
      <c r="AO41" s="3946">
        <f t="shared" si="38"/>
        <v>0</v>
      </c>
      <c r="AP41" s="3945">
        <f t="shared" si="39"/>
        <v>0</v>
      </c>
      <c r="AQ41" s="3910">
        <f t="shared" si="40"/>
        <v>0</v>
      </c>
      <c r="AR41" s="3900">
        <f t="shared" si="6"/>
        <v>9521</v>
      </c>
      <c r="AS41" s="3943"/>
      <c r="AT41" s="3903"/>
      <c r="AU41" s="3909">
        <f t="shared" si="41"/>
        <v>442</v>
      </c>
      <c r="AV41" s="3908"/>
      <c r="AW41" s="3907">
        <f t="shared" si="42"/>
        <v>1461</v>
      </c>
      <c r="AX41" s="3906"/>
      <c r="AY41" s="3906">
        <f t="shared" si="43"/>
        <v>1903</v>
      </c>
      <c r="AZ41" s="4714"/>
      <c r="BA41" s="3907">
        <f t="shared" si="7"/>
        <v>3839</v>
      </c>
      <c r="BB41" s="4715"/>
      <c r="BC41" s="3905">
        <f t="shared" si="8"/>
        <v>5742</v>
      </c>
      <c r="BD41" s="4714"/>
      <c r="BE41" s="3907">
        <f t="shared" si="9"/>
        <v>3196</v>
      </c>
      <c r="BF41" s="4716"/>
      <c r="BG41" s="3904">
        <f t="shared" si="10"/>
        <v>8938</v>
      </c>
      <c r="BH41" s="4714"/>
      <c r="BI41" s="3907">
        <f t="shared" si="11"/>
        <v>0</v>
      </c>
      <c r="BJ41" s="4716"/>
      <c r="BK41" s="3904">
        <f t="shared" si="12"/>
        <v>8938</v>
      </c>
      <c r="BL41" s="4714"/>
      <c r="BM41" s="3907">
        <f t="shared" si="13"/>
        <v>0</v>
      </c>
      <c r="BN41" s="4714"/>
      <c r="BO41" s="3905">
        <f t="shared" si="14"/>
        <v>3196</v>
      </c>
      <c r="BP41" s="4714"/>
      <c r="BQ41" s="3928">
        <f t="shared" si="15"/>
        <v>8938</v>
      </c>
      <c r="BR41" s="4714"/>
      <c r="BS41" s="3907">
        <f t="shared" si="16"/>
        <v>583</v>
      </c>
      <c r="BT41" s="4716"/>
      <c r="BU41" s="3904">
        <f t="shared" si="17"/>
        <v>9521</v>
      </c>
      <c r="BV41" s="4714"/>
      <c r="BW41" s="3907">
        <f t="shared" si="18"/>
        <v>0</v>
      </c>
      <c r="BX41" s="4714"/>
      <c r="BY41" s="3906">
        <f t="shared" si="19"/>
        <v>9521</v>
      </c>
      <c r="BZ41" s="4714"/>
      <c r="CA41" s="3907">
        <f t="shared" si="20"/>
        <v>0</v>
      </c>
      <c r="CB41" s="4714"/>
      <c r="CC41" s="3905">
        <f t="shared" si="21"/>
        <v>583</v>
      </c>
      <c r="CD41" s="4716"/>
      <c r="CE41" s="3904">
        <f t="shared" si="22"/>
        <v>9521</v>
      </c>
      <c r="CF41" s="4714"/>
      <c r="CG41" s="3907">
        <f t="shared" si="23"/>
        <v>0</v>
      </c>
      <c r="CH41" s="4714"/>
      <c r="CI41" s="3906">
        <f t="shared" si="24"/>
        <v>9521</v>
      </c>
      <c r="CJ41" s="4714"/>
      <c r="CK41" s="4714">
        <f t="shared" si="25"/>
        <v>0</v>
      </c>
      <c r="CL41" s="4716"/>
      <c r="CM41" s="4716">
        <f t="shared" si="26"/>
        <v>9521</v>
      </c>
      <c r="CN41" s="4714"/>
      <c r="CO41" s="3907">
        <f t="shared" si="27"/>
        <v>0</v>
      </c>
      <c r="CP41" s="4714"/>
      <c r="CQ41" s="3905">
        <f t="shared" si="28"/>
        <v>0</v>
      </c>
      <c r="CR41" s="4714"/>
      <c r="CS41" s="3928">
        <f t="shared" si="29"/>
        <v>583</v>
      </c>
      <c r="CT41" s="4716"/>
      <c r="CU41" s="3930">
        <f t="shared" si="30"/>
        <v>9521</v>
      </c>
      <c r="CV41" s="5317"/>
      <c r="CW41" s="5317"/>
    </row>
    <row r="42" spans="1:101" x14ac:dyDescent="0.3">
      <c r="A42" s="3958"/>
      <c r="B42" s="3958"/>
      <c r="C42" s="3958"/>
      <c r="D42" s="3958"/>
      <c r="E42" s="5344" t="s">
        <v>1201</v>
      </c>
      <c r="F42" s="3939">
        <v>0</v>
      </c>
      <c r="G42" s="3901"/>
      <c r="H42" s="3901"/>
      <c r="I42" s="3946">
        <f t="shared" si="31"/>
        <v>0</v>
      </c>
      <c r="J42" s="3901"/>
      <c r="K42" s="3901">
        <v>268.47800000000001</v>
      </c>
      <c r="L42" s="3901"/>
      <c r="M42" s="3946">
        <f t="shared" si="32"/>
        <v>268.47800000000001</v>
      </c>
      <c r="N42" s="3945">
        <f t="shared" si="33"/>
        <v>268.47800000000001</v>
      </c>
      <c r="O42" s="3897"/>
      <c r="P42" s="3897">
        <v>5451.0640000000003</v>
      </c>
      <c r="Q42" s="3901">
        <v>11372</v>
      </c>
      <c r="R42" s="3946">
        <f t="shared" si="34"/>
        <v>16823.063999999998</v>
      </c>
      <c r="S42" s="3901">
        <v>2517</v>
      </c>
      <c r="T42" s="3901"/>
      <c r="U42" s="3944">
        <v>8163.84</v>
      </c>
      <c r="V42" s="3946">
        <f t="shared" si="35"/>
        <v>10680.84</v>
      </c>
      <c r="W42" s="3945">
        <f t="shared" si="36"/>
        <v>27503.903999999999</v>
      </c>
      <c r="X42" s="3913">
        <f t="shared" si="37"/>
        <v>27772.381999999998</v>
      </c>
      <c r="Y42" s="3912">
        <v>178</v>
      </c>
      <c r="Z42" s="3901"/>
      <c r="AA42" s="3901"/>
      <c r="AB42" s="3946">
        <f t="shared" si="0"/>
        <v>178</v>
      </c>
      <c r="AC42" s="3901">
        <v>116</v>
      </c>
      <c r="AD42" s="3901"/>
      <c r="AE42" s="3901"/>
      <c r="AF42" s="3911">
        <f t="shared" si="1"/>
        <v>116</v>
      </c>
      <c r="AG42" s="3945">
        <f t="shared" si="2"/>
        <v>294</v>
      </c>
      <c r="AH42" s="3897"/>
      <c r="AI42" s="3897">
        <v>2811.6729999999998</v>
      </c>
      <c r="AJ42" s="3897">
        <v>4018</v>
      </c>
      <c r="AK42" s="3946">
        <f t="shared" si="3"/>
        <v>6829.6729999999998</v>
      </c>
      <c r="AL42" s="3901">
        <v>2120</v>
      </c>
      <c r="AM42" s="3901"/>
      <c r="AN42" s="3944">
        <v>1239.4580000000001</v>
      </c>
      <c r="AO42" s="3946">
        <f t="shared" si="38"/>
        <v>3359.4580000000001</v>
      </c>
      <c r="AP42" s="3945">
        <f t="shared" si="39"/>
        <v>10189.130999999999</v>
      </c>
      <c r="AQ42" s="3910">
        <f t="shared" si="40"/>
        <v>10483.130999999999</v>
      </c>
      <c r="AR42" s="3900">
        <f t="shared" si="6"/>
        <v>38255.512999999999</v>
      </c>
      <c r="AS42" s="3943"/>
      <c r="AT42" s="3903"/>
      <c r="AU42" s="3909">
        <f t="shared" si="41"/>
        <v>178</v>
      </c>
      <c r="AV42" s="3908"/>
      <c r="AW42" s="3907">
        <f t="shared" si="42"/>
        <v>0</v>
      </c>
      <c r="AX42" s="3906"/>
      <c r="AY42" s="3906">
        <f t="shared" si="43"/>
        <v>178</v>
      </c>
      <c r="AZ42" s="3906"/>
      <c r="BA42" s="3907">
        <f t="shared" si="7"/>
        <v>0</v>
      </c>
      <c r="BB42" s="3905"/>
      <c r="BC42" s="3905">
        <f t="shared" si="8"/>
        <v>178</v>
      </c>
      <c r="BD42" s="3906"/>
      <c r="BE42" s="3907">
        <f t="shared" si="9"/>
        <v>116</v>
      </c>
      <c r="BF42" s="3904"/>
      <c r="BG42" s="3904">
        <f t="shared" si="10"/>
        <v>294</v>
      </c>
      <c r="BH42" s="3906"/>
      <c r="BI42" s="3907">
        <f t="shared" si="11"/>
        <v>268.47800000000001</v>
      </c>
      <c r="BJ42" s="3904"/>
      <c r="BK42" s="3904">
        <f t="shared" si="12"/>
        <v>562.47800000000007</v>
      </c>
      <c r="BL42" s="3906"/>
      <c r="BM42" s="3907">
        <f t="shared" si="13"/>
        <v>0</v>
      </c>
      <c r="BN42" s="3906"/>
      <c r="BO42" s="3905">
        <f t="shared" si="14"/>
        <v>384.47800000000001</v>
      </c>
      <c r="BP42" s="3906"/>
      <c r="BQ42" s="3928">
        <f t="shared" si="15"/>
        <v>562.47800000000007</v>
      </c>
      <c r="BR42" s="3906"/>
      <c r="BS42" s="3907">
        <f t="shared" si="16"/>
        <v>0</v>
      </c>
      <c r="BT42" s="3904"/>
      <c r="BU42" s="3904">
        <f t="shared" si="17"/>
        <v>562.47800000000007</v>
      </c>
      <c r="BV42" s="3906"/>
      <c r="BW42" s="3907">
        <f t="shared" si="18"/>
        <v>8262.737000000001</v>
      </c>
      <c r="BX42" s="3906"/>
      <c r="BY42" s="3906">
        <f t="shared" si="19"/>
        <v>8825.2150000000001</v>
      </c>
      <c r="BZ42" s="3906"/>
      <c r="CA42" s="3907">
        <f t="shared" si="20"/>
        <v>15390</v>
      </c>
      <c r="CB42" s="3906"/>
      <c r="CC42" s="3905">
        <f t="shared" si="21"/>
        <v>23652.737000000001</v>
      </c>
      <c r="CD42" s="3904"/>
      <c r="CE42" s="3904">
        <f t="shared" si="22"/>
        <v>24215.215</v>
      </c>
      <c r="CF42" s="3906"/>
      <c r="CG42" s="3907">
        <f t="shared" si="23"/>
        <v>4637</v>
      </c>
      <c r="CH42" s="3906"/>
      <c r="CI42" s="3906">
        <f t="shared" si="24"/>
        <v>28852.215</v>
      </c>
      <c r="CJ42" s="3906"/>
      <c r="CK42" s="3907">
        <f t="shared" si="25"/>
        <v>0</v>
      </c>
      <c r="CL42" s="3904"/>
      <c r="CM42" s="3904">
        <f t="shared" si="26"/>
        <v>28852.215</v>
      </c>
      <c r="CN42" s="3906"/>
      <c r="CO42" s="3907">
        <f t="shared" si="27"/>
        <v>9403.2980000000007</v>
      </c>
      <c r="CP42" s="3906"/>
      <c r="CQ42" s="3905">
        <f t="shared" si="28"/>
        <v>14040.298000000001</v>
      </c>
      <c r="CR42" s="3906"/>
      <c r="CS42" s="3928">
        <f t="shared" si="29"/>
        <v>37693.035000000003</v>
      </c>
      <c r="CT42" s="3904"/>
      <c r="CU42" s="3930">
        <f t="shared" si="30"/>
        <v>38255.512999999999</v>
      </c>
      <c r="CV42" s="5317"/>
      <c r="CW42" s="5317"/>
    </row>
    <row r="43" spans="1:101" x14ac:dyDescent="0.3">
      <c r="A43" s="3958"/>
      <c r="B43" s="3958"/>
      <c r="C43" s="3958"/>
      <c r="D43" s="3958"/>
      <c r="E43" s="5344" t="s">
        <v>1290</v>
      </c>
      <c r="F43" s="3939"/>
      <c r="G43" s="3901"/>
      <c r="H43" s="3901"/>
      <c r="I43" s="3946">
        <f t="shared" si="31"/>
        <v>0</v>
      </c>
      <c r="J43" s="3901"/>
      <c r="K43" s="3901"/>
      <c r="L43" s="3901"/>
      <c r="M43" s="3946">
        <f t="shared" si="32"/>
        <v>0</v>
      </c>
      <c r="N43" s="3945">
        <f t="shared" si="33"/>
        <v>0</v>
      </c>
      <c r="O43" s="3897"/>
      <c r="P43" s="3897"/>
      <c r="Q43" s="3901">
        <v>3746</v>
      </c>
      <c r="R43" s="3946">
        <f t="shared" si="34"/>
        <v>3746</v>
      </c>
      <c r="S43" s="3901">
        <v>504</v>
      </c>
      <c r="T43" s="3901"/>
      <c r="U43" s="3944">
        <v>1568.9880000000001</v>
      </c>
      <c r="V43" s="3946">
        <f t="shared" si="35"/>
        <v>2072.9880000000003</v>
      </c>
      <c r="W43" s="3945">
        <f t="shared" si="36"/>
        <v>5818.9880000000003</v>
      </c>
      <c r="X43" s="3913">
        <f t="shared" si="37"/>
        <v>5818.9880000000003</v>
      </c>
      <c r="Y43" s="3912"/>
      <c r="Z43" s="3901"/>
      <c r="AA43" s="3901"/>
      <c r="AB43" s="3946">
        <f t="shared" si="0"/>
        <v>0</v>
      </c>
      <c r="AC43" s="3901"/>
      <c r="AD43" s="3901"/>
      <c r="AE43" s="3901"/>
      <c r="AF43" s="3911">
        <f t="shared" si="1"/>
        <v>0</v>
      </c>
      <c r="AG43" s="3945">
        <f t="shared" si="2"/>
        <v>0</v>
      </c>
      <c r="AH43" s="3897"/>
      <c r="AI43" s="3897"/>
      <c r="AJ43" s="3897"/>
      <c r="AK43" s="3946">
        <f t="shared" si="3"/>
        <v>0</v>
      </c>
      <c r="AL43" s="3901"/>
      <c r="AM43" s="3901"/>
      <c r="AN43" s="3944"/>
      <c r="AO43" s="3946"/>
      <c r="AP43" s="3945"/>
      <c r="AQ43" s="3910">
        <f t="shared" si="40"/>
        <v>0</v>
      </c>
      <c r="AR43" s="3900">
        <f t="shared" si="6"/>
        <v>5818.9880000000003</v>
      </c>
      <c r="AS43" s="3943"/>
      <c r="AT43" s="3903"/>
      <c r="AU43" s="3909">
        <f t="shared" ref="AU43" si="79">+F43+Y43</f>
        <v>0</v>
      </c>
      <c r="AV43" s="3908"/>
      <c r="AW43" s="3907">
        <f t="shared" ref="AW43" si="80">+G43+Z43</f>
        <v>0</v>
      </c>
      <c r="AX43" s="3906"/>
      <c r="AY43" s="3906">
        <f t="shared" ref="AY43" si="81">AU43+AW43</f>
        <v>0</v>
      </c>
      <c r="AZ43" s="3906"/>
      <c r="BA43" s="3907">
        <f t="shared" ref="BA43" si="82">+H43+AA43</f>
        <v>0</v>
      </c>
      <c r="BB43" s="3905"/>
      <c r="BC43" s="3905">
        <f t="shared" ref="BC43" si="83">AU43+AW43+BA43</f>
        <v>0</v>
      </c>
      <c r="BD43" s="3906"/>
      <c r="BE43" s="3907">
        <f t="shared" ref="BE43" si="84">+J43+AC43</f>
        <v>0</v>
      </c>
      <c r="BF43" s="3904"/>
      <c r="BG43" s="3904">
        <f t="shared" ref="BG43" si="85">+BC43+BE43</f>
        <v>0</v>
      </c>
      <c r="BH43" s="3906"/>
      <c r="BI43" s="3907">
        <f t="shared" ref="BI43" si="86">K43+AD43</f>
        <v>0</v>
      </c>
      <c r="BJ43" s="3904"/>
      <c r="BK43" s="3904">
        <f t="shared" ref="BK43" si="87">+BG43+BI43</f>
        <v>0</v>
      </c>
      <c r="BL43" s="3906"/>
      <c r="BM43" s="3907">
        <f t="shared" ref="BM43" si="88">+L43+AE43</f>
        <v>0</v>
      </c>
      <c r="BN43" s="3906"/>
      <c r="BO43" s="3905">
        <f t="shared" ref="BO43" si="89">BE43+BI43+BM43</f>
        <v>0</v>
      </c>
      <c r="BP43" s="3906"/>
      <c r="BQ43" s="3928">
        <f t="shared" ref="BQ43" si="90">BC43+BO43</f>
        <v>0</v>
      </c>
      <c r="BR43" s="3906"/>
      <c r="BS43" s="3907">
        <f t="shared" ref="BS43" si="91">+O43+AH43</f>
        <v>0</v>
      </c>
      <c r="BT43" s="3904"/>
      <c r="BU43" s="3904">
        <f t="shared" ref="BU43" si="92">BQ43+BS43</f>
        <v>0</v>
      </c>
      <c r="BV43" s="3906"/>
      <c r="BW43" s="3907">
        <f t="shared" ref="BW43" si="93">+P43+AI43</f>
        <v>0</v>
      </c>
      <c r="BX43" s="3906"/>
      <c r="BY43" s="3906">
        <f t="shared" ref="BY43" si="94">BU43+BW43</f>
        <v>0</v>
      </c>
      <c r="BZ43" s="3906"/>
      <c r="CA43" s="3907">
        <f t="shared" ref="CA43" si="95">+Q43+AJ43</f>
        <v>3746</v>
      </c>
      <c r="CB43" s="3906"/>
      <c r="CC43" s="3905">
        <f t="shared" ref="CC43" si="96">BS43+BW43+CA43</f>
        <v>3746</v>
      </c>
      <c r="CD43" s="3904"/>
      <c r="CE43" s="3904">
        <f t="shared" ref="CE43" si="97">BY43+CA43</f>
        <v>3746</v>
      </c>
      <c r="CF43" s="3906"/>
      <c r="CG43" s="3907">
        <f t="shared" si="23"/>
        <v>504</v>
      </c>
      <c r="CH43" s="3906"/>
      <c r="CI43" s="3906">
        <f t="shared" si="24"/>
        <v>4250</v>
      </c>
      <c r="CJ43" s="3906"/>
      <c r="CK43" s="3907">
        <f t="shared" si="25"/>
        <v>0</v>
      </c>
      <c r="CL43" s="3904"/>
      <c r="CM43" s="3904">
        <f t="shared" si="26"/>
        <v>4250</v>
      </c>
      <c r="CN43" s="3906"/>
      <c r="CO43" s="3907">
        <f t="shared" si="27"/>
        <v>1568.9880000000001</v>
      </c>
      <c r="CP43" s="3906"/>
      <c r="CQ43" s="3905">
        <f t="shared" si="28"/>
        <v>2072.9880000000003</v>
      </c>
      <c r="CR43" s="3906"/>
      <c r="CS43" s="3928">
        <f t="shared" si="29"/>
        <v>5818.9880000000003</v>
      </c>
      <c r="CT43" s="3904"/>
      <c r="CU43" s="3930">
        <f t="shared" ref="CU43" si="98">SUM(AU43,AW43,BA43,BE43,BI43,BM43,BS43,BW43,CA43,CG43,CK43,CO43)</f>
        <v>5818.9880000000003</v>
      </c>
      <c r="CV43" s="5317"/>
      <c r="CW43" s="5317"/>
    </row>
    <row r="44" spans="1:101" x14ac:dyDescent="0.3">
      <c r="A44" s="3958"/>
      <c r="B44" s="3958"/>
      <c r="C44" s="3958"/>
      <c r="D44" s="3958"/>
      <c r="E44" s="5344" t="s">
        <v>1200</v>
      </c>
      <c r="F44" s="3939">
        <v>6703</v>
      </c>
      <c r="G44" s="3901"/>
      <c r="H44" s="3901">
        <v>5911</v>
      </c>
      <c r="I44" s="3946">
        <f t="shared" si="31"/>
        <v>12614</v>
      </c>
      <c r="J44" s="3901">
        <v>13705</v>
      </c>
      <c r="K44" s="3901"/>
      <c r="L44" s="3901">
        <v>6549</v>
      </c>
      <c r="M44" s="3946">
        <f t="shared" si="32"/>
        <v>20254</v>
      </c>
      <c r="N44" s="3945">
        <f t="shared" si="33"/>
        <v>32868</v>
      </c>
      <c r="O44" s="3897">
        <v>6718</v>
      </c>
      <c r="P44" s="3897">
        <v>6350.99</v>
      </c>
      <c r="Q44" s="3901"/>
      <c r="R44" s="3946">
        <f t="shared" si="34"/>
        <v>13068.99</v>
      </c>
      <c r="S44" s="3901"/>
      <c r="T44" s="3901"/>
      <c r="U44" s="3944"/>
      <c r="V44" s="3946">
        <f t="shared" si="35"/>
        <v>0</v>
      </c>
      <c r="W44" s="3945">
        <f t="shared" si="36"/>
        <v>13068.99</v>
      </c>
      <c r="X44" s="3913">
        <f t="shared" si="37"/>
        <v>45936.99</v>
      </c>
      <c r="Y44" s="3912">
        <v>5833</v>
      </c>
      <c r="Z44" s="3901"/>
      <c r="AA44" s="3901">
        <v>5439</v>
      </c>
      <c r="AB44" s="3946">
        <f t="shared" si="0"/>
        <v>11272</v>
      </c>
      <c r="AC44" s="3901"/>
      <c r="AD44" s="3901">
        <v>6337.7719999999999</v>
      </c>
      <c r="AE44" s="3901">
        <v>4135</v>
      </c>
      <c r="AF44" s="3911">
        <f t="shared" si="1"/>
        <v>10472.772000000001</v>
      </c>
      <c r="AG44" s="3945">
        <f t="shared" si="2"/>
        <v>21744.772000000001</v>
      </c>
      <c r="AH44" s="3897">
        <v>6917</v>
      </c>
      <c r="AI44" s="3897"/>
      <c r="AJ44" s="3897"/>
      <c r="AK44" s="3946">
        <f t="shared" si="3"/>
        <v>6917</v>
      </c>
      <c r="AL44" s="3901"/>
      <c r="AM44" s="3901"/>
      <c r="AN44" s="3944"/>
      <c r="AO44" s="3946">
        <f t="shared" si="38"/>
        <v>0</v>
      </c>
      <c r="AP44" s="3945">
        <f t="shared" si="39"/>
        <v>6917</v>
      </c>
      <c r="AQ44" s="3910">
        <f t="shared" si="40"/>
        <v>28661.772000000001</v>
      </c>
      <c r="AR44" s="3900">
        <f t="shared" si="6"/>
        <v>74598.762000000002</v>
      </c>
      <c r="AS44" s="3943"/>
      <c r="AT44" s="3903"/>
      <c r="AU44" s="3909">
        <f t="shared" si="41"/>
        <v>12536</v>
      </c>
      <c r="AV44" s="3908"/>
      <c r="AW44" s="3907">
        <f t="shared" si="42"/>
        <v>0</v>
      </c>
      <c r="AX44" s="3906"/>
      <c r="AY44" s="3906">
        <f t="shared" si="43"/>
        <v>12536</v>
      </c>
      <c r="AZ44" s="3906"/>
      <c r="BA44" s="3907">
        <f t="shared" si="7"/>
        <v>11350</v>
      </c>
      <c r="BB44" s="3905"/>
      <c r="BC44" s="3905">
        <f t="shared" si="8"/>
        <v>23886</v>
      </c>
      <c r="BD44" s="3906"/>
      <c r="BE44" s="3907">
        <f t="shared" si="9"/>
        <v>13705</v>
      </c>
      <c r="BF44" s="3904"/>
      <c r="BG44" s="3904">
        <f t="shared" si="10"/>
        <v>37591</v>
      </c>
      <c r="BH44" s="3906"/>
      <c r="BI44" s="3907">
        <f t="shared" si="11"/>
        <v>6337.7719999999999</v>
      </c>
      <c r="BJ44" s="3904"/>
      <c r="BK44" s="3904">
        <f t="shared" si="12"/>
        <v>43928.771999999997</v>
      </c>
      <c r="BL44" s="3906"/>
      <c r="BM44" s="3907">
        <f t="shared" si="13"/>
        <v>10684</v>
      </c>
      <c r="BN44" s="3906"/>
      <c r="BO44" s="3905">
        <f t="shared" si="14"/>
        <v>30726.772000000001</v>
      </c>
      <c r="BP44" s="3906"/>
      <c r="BQ44" s="3928">
        <f t="shared" si="15"/>
        <v>54612.771999999997</v>
      </c>
      <c r="BR44" s="3906"/>
      <c r="BS44" s="3907">
        <f t="shared" si="16"/>
        <v>13635</v>
      </c>
      <c r="BT44" s="3904"/>
      <c r="BU44" s="3904">
        <f t="shared" si="17"/>
        <v>68247.771999999997</v>
      </c>
      <c r="BV44" s="3906"/>
      <c r="BW44" s="3907">
        <f t="shared" si="18"/>
        <v>6350.99</v>
      </c>
      <c r="BX44" s="3906"/>
      <c r="BY44" s="3906">
        <f t="shared" si="19"/>
        <v>74598.762000000002</v>
      </c>
      <c r="BZ44" s="3906"/>
      <c r="CA44" s="3907">
        <f t="shared" si="20"/>
        <v>0</v>
      </c>
      <c r="CB44" s="3906"/>
      <c r="CC44" s="3905">
        <f t="shared" si="21"/>
        <v>19985.989999999998</v>
      </c>
      <c r="CD44" s="3904"/>
      <c r="CE44" s="3904">
        <f t="shared" si="22"/>
        <v>74598.762000000002</v>
      </c>
      <c r="CF44" s="3906"/>
      <c r="CG44" s="3907">
        <f t="shared" si="23"/>
        <v>0</v>
      </c>
      <c r="CH44" s="3906"/>
      <c r="CI44" s="3906">
        <f t="shared" si="24"/>
        <v>74598.762000000002</v>
      </c>
      <c r="CJ44" s="3906"/>
      <c r="CK44" s="3907">
        <f t="shared" si="25"/>
        <v>0</v>
      </c>
      <c r="CL44" s="3904"/>
      <c r="CM44" s="3904">
        <f t="shared" si="26"/>
        <v>74598.762000000002</v>
      </c>
      <c r="CN44" s="3906"/>
      <c r="CO44" s="3907">
        <f t="shared" si="27"/>
        <v>0</v>
      </c>
      <c r="CP44" s="3906"/>
      <c r="CQ44" s="3905">
        <f t="shared" si="28"/>
        <v>0</v>
      </c>
      <c r="CR44" s="3906"/>
      <c r="CS44" s="3928">
        <f t="shared" si="29"/>
        <v>19985.989999999998</v>
      </c>
      <c r="CT44" s="3904"/>
      <c r="CU44" s="3930">
        <f t="shared" si="30"/>
        <v>74598.762000000002</v>
      </c>
      <c r="CV44" s="5317"/>
      <c r="CW44" s="5317"/>
    </row>
    <row r="45" spans="1:101" x14ac:dyDescent="0.3">
      <c r="A45" s="3958"/>
      <c r="B45" s="3958"/>
      <c r="C45" s="3958"/>
      <c r="D45" s="3958"/>
      <c r="E45" s="4563" t="s">
        <v>1918</v>
      </c>
      <c r="F45" s="3939">
        <v>49</v>
      </c>
      <c r="G45" s="3901">
        <v>1970</v>
      </c>
      <c r="H45" s="3901">
        <v>154</v>
      </c>
      <c r="I45" s="3946">
        <f t="shared" si="31"/>
        <v>2173</v>
      </c>
      <c r="J45" s="3901"/>
      <c r="K45" s="3901"/>
      <c r="L45" s="3901"/>
      <c r="M45" s="3946">
        <f t="shared" si="32"/>
        <v>0</v>
      </c>
      <c r="N45" s="3945">
        <f t="shared" si="33"/>
        <v>2173</v>
      </c>
      <c r="O45" s="3897"/>
      <c r="P45" s="3897"/>
      <c r="Q45" s="3901"/>
      <c r="R45" s="3946">
        <f t="shared" si="34"/>
        <v>0</v>
      </c>
      <c r="S45" s="3901"/>
      <c r="T45" s="3901"/>
      <c r="U45" s="3944"/>
      <c r="V45" s="3946">
        <f t="shared" si="35"/>
        <v>0</v>
      </c>
      <c r="W45" s="3945">
        <f t="shared" si="36"/>
        <v>0</v>
      </c>
      <c r="X45" s="3913">
        <f t="shared" si="37"/>
        <v>2173</v>
      </c>
      <c r="Y45" s="3912">
        <v>0</v>
      </c>
      <c r="Z45" s="3901">
        <v>0</v>
      </c>
      <c r="AA45" s="3901"/>
      <c r="AB45" s="3946">
        <f t="shared" si="0"/>
        <v>0</v>
      </c>
      <c r="AC45" s="3901"/>
      <c r="AD45" s="3901"/>
      <c r="AE45" s="3901"/>
      <c r="AF45" s="3911">
        <f t="shared" si="1"/>
        <v>0</v>
      </c>
      <c r="AG45" s="3945">
        <f t="shared" si="2"/>
        <v>0</v>
      </c>
      <c r="AH45" s="3897"/>
      <c r="AI45" s="3897"/>
      <c r="AJ45" s="3897"/>
      <c r="AK45" s="3946">
        <f t="shared" si="3"/>
        <v>0</v>
      </c>
      <c r="AL45" s="3901"/>
      <c r="AM45" s="3901"/>
      <c r="AN45" s="3944"/>
      <c r="AO45" s="3946">
        <f t="shared" si="38"/>
        <v>0</v>
      </c>
      <c r="AP45" s="3945">
        <f t="shared" si="39"/>
        <v>0</v>
      </c>
      <c r="AQ45" s="3910">
        <f t="shared" si="40"/>
        <v>0</v>
      </c>
      <c r="AR45" s="3900">
        <f t="shared" si="6"/>
        <v>2173</v>
      </c>
      <c r="AS45" s="3943"/>
      <c r="AT45" s="3903"/>
      <c r="AU45" s="3909">
        <f t="shared" si="41"/>
        <v>49</v>
      </c>
      <c r="AV45" s="3908"/>
      <c r="AW45" s="3907">
        <f t="shared" si="42"/>
        <v>1970</v>
      </c>
      <c r="AX45" s="3906"/>
      <c r="AY45" s="3906">
        <f t="shared" si="43"/>
        <v>2019</v>
      </c>
      <c r="AZ45" s="3906"/>
      <c r="BA45" s="3907">
        <f t="shared" si="7"/>
        <v>154</v>
      </c>
      <c r="BB45" s="3905"/>
      <c r="BC45" s="3905">
        <f t="shared" si="8"/>
        <v>2173</v>
      </c>
      <c r="BD45" s="3906"/>
      <c r="BE45" s="3907">
        <f t="shared" si="9"/>
        <v>0</v>
      </c>
      <c r="BF45" s="3904"/>
      <c r="BG45" s="3904">
        <f t="shared" si="10"/>
        <v>2173</v>
      </c>
      <c r="BH45" s="3906"/>
      <c r="BI45" s="3907">
        <f t="shared" si="11"/>
        <v>0</v>
      </c>
      <c r="BJ45" s="3904"/>
      <c r="BK45" s="3904">
        <f t="shared" si="12"/>
        <v>2173</v>
      </c>
      <c r="BL45" s="3906"/>
      <c r="BM45" s="3907">
        <f t="shared" si="13"/>
        <v>0</v>
      </c>
      <c r="BN45" s="3906"/>
      <c r="BO45" s="3905">
        <f t="shared" si="14"/>
        <v>0</v>
      </c>
      <c r="BP45" s="3906"/>
      <c r="BQ45" s="3928">
        <f t="shared" si="15"/>
        <v>2173</v>
      </c>
      <c r="BR45" s="3906"/>
      <c r="BS45" s="3907">
        <f t="shared" si="16"/>
        <v>0</v>
      </c>
      <c r="BT45" s="3904"/>
      <c r="BU45" s="3904">
        <f t="shared" si="17"/>
        <v>2173</v>
      </c>
      <c r="BV45" s="3906"/>
      <c r="BW45" s="3907">
        <f t="shared" si="18"/>
        <v>0</v>
      </c>
      <c r="BX45" s="3906"/>
      <c r="BY45" s="3906">
        <f t="shared" si="19"/>
        <v>2173</v>
      </c>
      <c r="BZ45" s="3906"/>
      <c r="CA45" s="3907">
        <f t="shared" si="20"/>
        <v>0</v>
      </c>
      <c r="CB45" s="3906"/>
      <c r="CC45" s="3905">
        <f t="shared" si="21"/>
        <v>0</v>
      </c>
      <c r="CD45" s="3904"/>
      <c r="CE45" s="3904">
        <f t="shared" si="22"/>
        <v>2173</v>
      </c>
      <c r="CF45" s="3906"/>
      <c r="CG45" s="3907">
        <f t="shared" si="23"/>
        <v>0</v>
      </c>
      <c r="CH45" s="3906"/>
      <c r="CI45" s="3906">
        <f t="shared" si="24"/>
        <v>2173</v>
      </c>
      <c r="CJ45" s="3906"/>
      <c r="CK45" s="3907">
        <f t="shared" si="25"/>
        <v>0</v>
      </c>
      <c r="CL45" s="3904"/>
      <c r="CM45" s="3904">
        <f t="shared" si="26"/>
        <v>2173</v>
      </c>
      <c r="CN45" s="3906"/>
      <c r="CO45" s="3907">
        <f t="shared" si="27"/>
        <v>0</v>
      </c>
      <c r="CP45" s="3906"/>
      <c r="CQ45" s="3905">
        <f t="shared" si="28"/>
        <v>0</v>
      </c>
      <c r="CR45" s="3906"/>
      <c r="CS45" s="3928">
        <f t="shared" si="29"/>
        <v>0</v>
      </c>
      <c r="CT45" s="3904"/>
      <c r="CU45" s="3930">
        <f t="shared" si="30"/>
        <v>2173</v>
      </c>
      <c r="CV45" s="5317"/>
      <c r="CW45" s="5317"/>
    </row>
    <row r="46" spans="1:101" x14ac:dyDescent="0.3">
      <c r="A46" s="3958"/>
      <c r="B46" s="3958"/>
      <c r="C46" s="3958"/>
      <c r="D46" s="3958"/>
      <c r="E46" s="4563" t="s">
        <v>1919</v>
      </c>
      <c r="F46" s="3939"/>
      <c r="G46" s="3901">
        <v>173</v>
      </c>
      <c r="H46" s="3901"/>
      <c r="I46" s="3946">
        <f t="shared" si="31"/>
        <v>173</v>
      </c>
      <c r="J46" s="3901"/>
      <c r="K46" s="3901">
        <v>353.03800000000001</v>
      </c>
      <c r="L46" s="3901">
        <v>114</v>
      </c>
      <c r="M46" s="3946">
        <f t="shared" si="32"/>
        <v>467.03800000000001</v>
      </c>
      <c r="N46" s="3945">
        <f t="shared" si="33"/>
        <v>640.03800000000001</v>
      </c>
      <c r="O46" s="3897">
        <v>114</v>
      </c>
      <c r="P46" s="3897">
        <v>114.804</v>
      </c>
      <c r="Q46" s="3901">
        <v>249</v>
      </c>
      <c r="R46" s="3946">
        <f t="shared" si="34"/>
        <v>477.80399999999997</v>
      </c>
      <c r="S46" s="3901">
        <v>99</v>
      </c>
      <c r="T46" s="3901">
        <v>82.914000000000001</v>
      </c>
      <c r="U46" s="3944">
        <v>150.946</v>
      </c>
      <c r="V46" s="3946">
        <f t="shared" si="35"/>
        <v>332.86</v>
      </c>
      <c r="W46" s="3945">
        <f t="shared" si="36"/>
        <v>810.66399999999999</v>
      </c>
      <c r="X46" s="3913">
        <f t="shared" si="37"/>
        <v>1450.7020000000002</v>
      </c>
      <c r="Y46" s="3912"/>
      <c r="Z46" s="3901">
        <v>95</v>
      </c>
      <c r="AA46" s="3901"/>
      <c r="AB46" s="3946">
        <f t="shared" si="0"/>
        <v>95</v>
      </c>
      <c r="AC46" s="3901"/>
      <c r="AD46" s="3901"/>
      <c r="AE46" s="3901"/>
      <c r="AF46" s="3911">
        <f t="shared" si="1"/>
        <v>0</v>
      </c>
      <c r="AG46" s="3945">
        <f t="shared" si="2"/>
        <v>95</v>
      </c>
      <c r="AH46" s="3897"/>
      <c r="AI46" s="3897"/>
      <c r="AJ46" s="3897"/>
      <c r="AK46" s="3946">
        <f t="shared" si="3"/>
        <v>0</v>
      </c>
      <c r="AL46" s="3901">
        <v>104</v>
      </c>
      <c r="AM46" s="3901"/>
      <c r="AN46" s="3944"/>
      <c r="AO46" s="3946">
        <f t="shared" si="38"/>
        <v>104</v>
      </c>
      <c r="AP46" s="3945">
        <f t="shared" si="39"/>
        <v>104</v>
      </c>
      <c r="AQ46" s="3910">
        <f t="shared" si="40"/>
        <v>199</v>
      </c>
      <c r="AR46" s="3900">
        <f t="shared" si="6"/>
        <v>1649.7020000000002</v>
      </c>
      <c r="AS46" s="3943"/>
      <c r="AT46" s="3903"/>
      <c r="AU46" s="3909">
        <f t="shared" si="41"/>
        <v>0</v>
      </c>
      <c r="AV46" s="4713"/>
      <c r="AW46" s="3907">
        <f t="shared" si="42"/>
        <v>268</v>
      </c>
      <c r="AX46" s="4832"/>
      <c r="AY46" s="3906">
        <f t="shared" si="43"/>
        <v>268</v>
      </c>
      <c r="AZ46" s="4832"/>
      <c r="BA46" s="3907">
        <f t="shared" si="7"/>
        <v>0</v>
      </c>
      <c r="BB46" s="4833"/>
      <c r="BC46" s="3905">
        <f t="shared" si="8"/>
        <v>268</v>
      </c>
      <c r="BD46" s="4832"/>
      <c r="BE46" s="3907">
        <f t="shared" si="9"/>
        <v>0</v>
      </c>
      <c r="BF46" s="4834"/>
      <c r="BG46" s="3904">
        <f t="shared" si="10"/>
        <v>268</v>
      </c>
      <c r="BH46" s="4832"/>
      <c r="BI46" s="3907">
        <f t="shared" si="11"/>
        <v>353.03800000000001</v>
      </c>
      <c r="BJ46" s="4834"/>
      <c r="BK46" s="3904">
        <f t="shared" si="12"/>
        <v>621.03800000000001</v>
      </c>
      <c r="BL46" s="4832"/>
      <c r="BM46" s="3907">
        <f t="shared" si="13"/>
        <v>114</v>
      </c>
      <c r="BN46" s="4832"/>
      <c r="BO46" s="3905">
        <f t="shared" si="14"/>
        <v>467.03800000000001</v>
      </c>
      <c r="BP46" s="4832"/>
      <c r="BQ46" s="3928">
        <f t="shared" si="15"/>
        <v>735.03800000000001</v>
      </c>
      <c r="BR46" s="4832"/>
      <c r="BS46" s="3907">
        <f t="shared" si="16"/>
        <v>114</v>
      </c>
      <c r="BT46" s="4834"/>
      <c r="BU46" s="3904">
        <f t="shared" si="17"/>
        <v>849.03800000000001</v>
      </c>
      <c r="BV46" s="4832"/>
      <c r="BW46" s="3907">
        <f t="shared" si="18"/>
        <v>114.804</v>
      </c>
      <c r="BX46" s="4832"/>
      <c r="BY46" s="3906">
        <f t="shared" si="19"/>
        <v>963.84199999999998</v>
      </c>
      <c r="BZ46" s="4832"/>
      <c r="CA46" s="3907">
        <f t="shared" si="20"/>
        <v>249</v>
      </c>
      <c r="CB46" s="4832"/>
      <c r="CC46" s="3905">
        <f t="shared" si="21"/>
        <v>477.80399999999997</v>
      </c>
      <c r="CD46" s="4834"/>
      <c r="CE46" s="3904">
        <f t="shared" si="22"/>
        <v>1212.8420000000001</v>
      </c>
      <c r="CF46" s="4832"/>
      <c r="CG46" s="3907">
        <f t="shared" si="23"/>
        <v>203</v>
      </c>
      <c r="CH46" s="4832"/>
      <c r="CI46" s="3906">
        <f t="shared" si="24"/>
        <v>1415.8420000000001</v>
      </c>
      <c r="CJ46" s="4832"/>
      <c r="CK46" s="4832">
        <f t="shared" si="25"/>
        <v>82.914000000000001</v>
      </c>
      <c r="CL46" s="4834"/>
      <c r="CM46" s="4834">
        <f t="shared" si="26"/>
        <v>1498.7560000000001</v>
      </c>
      <c r="CN46" s="4832"/>
      <c r="CO46" s="3907">
        <f t="shared" si="27"/>
        <v>150.946</v>
      </c>
      <c r="CP46" s="4832"/>
      <c r="CQ46" s="3905">
        <f t="shared" si="28"/>
        <v>436.86</v>
      </c>
      <c r="CR46" s="4832"/>
      <c r="CS46" s="3928">
        <f t="shared" si="29"/>
        <v>914.66399999999999</v>
      </c>
      <c r="CT46" s="4834"/>
      <c r="CU46" s="3930">
        <f t="shared" si="30"/>
        <v>1649.702</v>
      </c>
      <c r="CV46" s="5317"/>
      <c r="CW46" s="5317"/>
    </row>
    <row r="47" spans="1:101" x14ac:dyDescent="0.3">
      <c r="A47" s="3958"/>
      <c r="B47" s="3958"/>
      <c r="C47" s="3958"/>
      <c r="D47" s="3958"/>
      <c r="E47" s="5344" t="s">
        <v>1200</v>
      </c>
      <c r="F47" s="3939"/>
      <c r="G47" s="3901">
        <v>7262</v>
      </c>
      <c r="H47" s="3901"/>
      <c r="I47" s="3946">
        <f t="shared" si="31"/>
        <v>7262</v>
      </c>
      <c r="J47" s="3901"/>
      <c r="K47" s="3901">
        <v>8141.0140000000001</v>
      </c>
      <c r="L47" s="3901"/>
      <c r="M47" s="3946">
        <f t="shared" si="32"/>
        <v>8141.0140000000001</v>
      </c>
      <c r="N47" s="3945">
        <f t="shared" si="33"/>
        <v>15403.013999999999</v>
      </c>
      <c r="O47" s="3897"/>
      <c r="P47" s="3897"/>
      <c r="Q47" s="3901"/>
      <c r="R47" s="3946">
        <f t="shared" si="34"/>
        <v>0</v>
      </c>
      <c r="S47" s="3901"/>
      <c r="T47" s="3901"/>
      <c r="U47" s="3944"/>
      <c r="V47" s="3946">
        <f t="shared" si="35"/>
        <v>0</v>
      </c>
      <c r="W47" s="3945">
        <f t="shared" si="36"/>
        <v>0</v>
      </c>
      <c r="X47" s="3913">
        <f t="shared" si="37"/>
        <v>15403.013999999999</v>
      </c>
      <c r="Y47" s="3912"/>
      <c r="Z47" s="3901">
        <v>4524</v>
      </c>
      <c r="AA47" s="3901"/>
      <c r="AB47" s="3946">
        <f t="shared" si="0"/>
        <v>4524</v>
      </c>
      <c r="AC47" s="3901"/>
      <c r="AD47" s="3901"/>
      <c r="AE47" s="3901"/>
      <c r="AF47" s="3911">
        <f t="shared" si="1"/>
        <v>0</v>
      </c>
      <c r="AG47" s="3945">
        <f t="shared" si="2"/>
        <v>4524</v>
      </c>
      <c r="AH47" s="3897"/>
      <c r="AI47" s="3897"/>
      <c r="AJ47" s="3897"/>
      <c r="AK47" s="3946">
        <f t="shared" si="3"/>
        <v>0</v>
      </c>
      <c r="AL47" s="3901"/>
      <c r="AM47" s="3901"/>
      <c r="AN47" s="3944"/>
      <c r="AO47" s="3946">
        <f t="shared" si="38"/>
        <v>0</v>
      </c>
      <c r="AP47" s="3945">
        <f t="shared" si="39"/>
        <v>0</v>
      </c>
      <c r="AQ47" s="3910">
        <f t="shared" si="40"/>
        <v>4524</v>
      </c>
      <c r="AR47" s="3900">
        <f t="shared" si="6"/>
        <v>19927.013999999999</v>
      </c>
      <c r="AS47" s="3943"/>
      <c r="AT47" s="3903"/>
      <c r="AU47" s="3909">
        <f t="shared" si="41"/>
        <v>0</v>
      </c>
      <c r="AV47" s="4713"/>
      <c r="AW47" s="3907">
        <f t="shared" si="42"/>
        <v>11786</v>
      </c>
      <c r="AX47" s="4832"/>
      <c r="AY47" s="3906">
        <f t="shared" si="43"/>
        <v>11786</v>
      </c>
      <c r="AZ47" s="4832"/>
      <c r="BA47" s="3907">
        <f t="shared" si="7"/>
        <v>0</v>
      </c>
      <c r="BB47" s="4833"/>
      <c r="BC47" s="3905">
        <f t="shared" si="8"/>
        <v>11786</v>
      </c>
      <c r="BD47" s="4832"/>
      <c r="BE47" s="3907">
        <f t="shared" si="9"/>
        <v>0</v>
      </c>
      <c r="BF47" s="4834"/>
      <c r="BG47" s="3904">
        <f t="shared" si="10"/>
        <v>11786</v>
      </c>
      <c r="BH47" s="4832"/>
      <c r="BI47" s="3907">
        <f t="shared" si="11"/>
        <v>8141.0140000000001</v>
      </c>
      <c r="BJ47" s="4834"/>
      <c r="BK47" s="3904">
        <f t="shared" si="12"/>
        <v>19927.013999999999</v>
      </c>
      <c r="BL47" s="4832"/>
      <c r="BM47" s="3907">
        <f t="shared" si="13"/>
        <v>0</v>
      </c>
      <c r="BN47" s="4832"/>
      <c r="BO47" s="3905">
        <f t="shared" si="14"/>
        <v>8141.0140000000001</v>
      </c>
      <c r="BP47" s="4832"/>
      <c r="BQ47" s="3928">
        <f t="shared" si="15"/>
        <v>19927.013999999999</v>
      </c>
      <c r="BR47" s="4832"/>
      <c r="BS47" s="3907">
        <f t="shared" si="16"/>
        <v>0</v>
      </c>
      <c r="BT47" s="4834"/>
      <c r="BU47" s="3904">
        <f t="shared" si="17"/>
        <v>19927.013999999999</v>
      </c>
      <c r="BV47" s="4832"/>
      <c r="BW47" s="3907">
        <f t="shared" si="18"/>
        <v>0</v>
      </c>
      <c r="BX47" s="4832"/>
      <c r="BY47" s="3906">
        <f t="shared" si="19"/>
        <v>19927.013999999999</v>
      </c>
      <c r="BZ47" s="4832"/>
      <c r="CA47" s="3907">
        <f t="shared" si="20"/>
        <v>0</v>
      </c>
      <c r="CB47" s="4832"/>
      <c r="CC47" s="3905">
        <f t="shared" si="21"/>
        <v>0</v>
      </c>
      <c r="CD47" s="4834"/>
      <c r="CE47" s="3904">
        <f t="shared" si="22"/>
        <v>19927.013999999999</v>
      </c>
      <c r="CF47" s="4832"/>
      <c r="CG47" s="3907">
        <f t="shared" si="23"/>
        <v>0</v>
      </c>
      <c r="CH47" s="4832"/>
      <c r="CI47" s="3906">
        <f t="shared" si="24"/>
        <v>19927.013999999999</v>
      </c>
      <c r="CJ47" s="4832"/>
      <c r="CK47" s="4832">
        <f t="shared" si="25"/>
        <v>0</v>
      </c>
      <c r="CL47" s="4834"/>
      <c r="CM47" s="4834">
        <f t="shared" si="26"/>
        <v>19927.013999999999</v>
      </c>
      <c r="CN47" s="4832"/>
      <c r="CO47" s="3907">
        <f t="shared" si="27"/>
        <v>0</v>
      </c>
      <c r="CP47" s="4832"/>
      <c r="CQ47" s="3905">
        <f t="shared" si="28"/>
        <v>0</v>
      </c>
      <c r="CR47" s="4832"/>
      <c r="CS47" s="3928">
        <f t="shared" si="29"/>
        <v>0</v>
      </c>
      <c r="CT47" s="4834"/>
      <c r="CU47" s="3930">
        <f t="shared" si="30"/>
        <v>19927.013999999999</v>
      </c>
      <c r="CV47" s="5317"/>
      <c r="CW47" s="5317"/>
    </row>
    <row r="48" spans="1:101" x14ac:dyDescent="0.3">
      <c r="A48" s="3958"/>
      <c r="B48" s="3958"/>
      <c r="C48" s="3958"/>
      <c r="D48" s="3958"/>
      <c r="E48" s="4563" t="s">
        <v>1924</v>
      </c>
      <c r="F48" s="3939"/>
      <c r="G48" s="3901"/>
      <c r="H48" s="3901">
        <v>1353</v>
      </c>
      <c r="I48" s="3946">
        <f t="shared" si="31"/>
        <v>1353</v>
      </c>
      <c r="J48" s="3901"/>
      <c r="K48" s="3901"/>
      <c r="L48" s="3901">
        <v>1543</v>
      </c>
      <c r="M48" s="3946">
        <f t="shared" si="32"/>
        <v>1543</v>
      </c>
      <c r="N48" s="3945">
        <f t="shared" si="33"/>
        <v>2896</v>
      </c>
      <c r="O48" s="3897">
        <v>5492</v>
      </c>
      <c r="P48" s="3897">
        <v>3006.35</v>
      </c>
      <c r="Q48" s="3901">
        <v>3748</v>
      </c>
      <c r="R48" s="3946">
        <f t="shared" si="34"/>
        <v>12246.35</v>
      </c>
      <c r="S48" s="3901">
        <v>3115</v>
      </c>
      <c r="T48" s="3901">
        <v>1894.2660000000001</v>
      </c>
      <c r="U48" s="3944">
        <v>3305.93</v>
      </c>
      <c r="V48" s="3946">
        <f t="shared" si="35"/>
        <v>8315.1959999999999</v>
      </c>
      <c r="W48" s="3945">
        <f t="shared" si="36"/>
        <v>20561.546000000002</v>
      </c>
      <c r="X48" s="3913">
        <f t="shared" si="37"/>
        <v>23457.546000000002</v>
      </c>
      <c r="Y48" s="3912"/>
      <c r="Z48" s="3901"/>
      <c r="AA48" s="3901">
        <v>2558</v>
      </c>
      <c r="AB48" s="3946">
        <f t="shared" si="0"/>
        <v>2558</v>
      </c>
      <c r="AC48" s="3901"/>
      <c r="AD48" s="3901"/>
      <c r="AE48" s="3901">
        <v>235</v>
      </c>
      <c r="AF48" s="3911">
        <f t="shared" si="1"/>
        <v>235</v>
      </c>
      <c r="AG48" s="3945">
        <f t="shared" si="2"/>
        <v>2793</v>
      </c>
      <c r="AH48" s="3897">
        <v>717</v>
      </c>
      <c r="AI48" s="3897">
        <v>731.09799999999996</v>
      </c>
      <c r="AJ48" s="3897">
        <v>247</v>
      </c>
      <c r="AK48" s="3946">
        <f t="shared" si="3"/>
        <v>1695.098</v>
      </c>
      <c r="AL48" s="3901"/>
      <c r="AM48" s="3901"/>
      <c r="AN48" s="3944">
        <v>1388.278</v>
      </c>
      <c r="AO48" s="3946">
        <f t="shared" si="38"/>
        <v>1388.278</v>
      </c>
      <c r="AP48" s="3945">
        <f t="shared" si="39"/>
        <v>3083.3760000000002</v>
      </c>
      <c r="AQ48" s="3910">
        <f t="shared" si="40"/>
        <v>5876.3760000000002</v>
      </c>
      <c r="AR48" s="3900">
        <f t="shared" si="6"/>
        <v>29333.922000000002</v>
      </c>
      <c r="AS48" s="3943"/>
      <c r="AT48" s="3903"/>
      <c r="AU48" s="3909">
        <f t="shared" ref="AU48" si="99">+F48+Y48</f>
        <v>0</v>
      </c>
      <c r="AV48" s="4713"/>
      <c r="AW48" s="3907">
        <f t="shared" ref="AW48" si="100">+G48+Z48</f>
        <v>0</v>
      </c>
      <c r="AX48" s="4832"/>
      <c r="AY48" s="3906">
        <f t="shared" ref="AY48" si="101">AU48+AW48</f>
        <v>0</v>
      </c>
      <c r="AZ48" s="4832"/>
      <c r="BA48" s="3907">
        <f t="shared" ref="BA48" si="102">+H48+AA48</f>
        <v>3911</v>
      </c>
      <c r="BB48" s="4833"/>
      <c r="BC48" s="3905">
        <f t="shared" ref="BC48" si="103">AU48+AW48+BA48</f>
        <v>3911</v>
      </c>
      <c r="BD48" s="4832"/>
      <c r="BE48" s="3907">
        <f t="shared" si="9"/>
        <v>0</v>
      </c>
      <c r="BF48" s="4834"/>
      <c r="BG48" s="3904">
        <f t="shared" si="10"/>
        <v>3911</v>
      </c>
      <c r="BH48" s="4832"/>
      <c r="BI48" s="3907">
        <f t="shared" si="11"/>
        <v>0</v>
      </c>
      <c r="BJ48" s="4834"/>
      <c r="BK48" s="3904">
        <f t="shared" si="12"/>
        <v>3911</v>
      </c>
      <c r="BL48" s="4832"/>
      <c r="BM48" s="3907">
        <f t="shared" si="13"/>
        <v>1778</v>
      </c>
      <c r="BN48" s="4832"/>
      <c r="BO48" s="3905">
        <f t="shared" si="14"/>
        <v>1778</v>
      </c>
      <c r="BP48" s="4832"/>
      <c r="BQ48" s="3928">
        <f t="shared" si="15"/>
        <v>5689</v>
      </c>
      <c r="BR48" s="4832"/>
      <c r="BS48" s="3907">
        <f t="shared" si="16"/>
        <v>6209</v>
      </c>
      <c r="BT48" s="4834"/>
      <c r="BU48" s="3904">
        <f t="shared" si="17"/>
        <v>11898</v>
      </c>
      <c r="BV48" s="4832"/>
      <c r="BW48" s="3907">
        <f t="shared" si="18"/>
        <v>3737.4479999999999</v>
      </c>
      <c r="BX48" s="4832"/>
      <c r="BY48" s="3906">
        <f t="shared" si="19"/>
        <v>15635.448</v>
      </c>
      <c r="BZ48" s="4832"/>
      <c r="CA48" s="3907">
        <f t="shared" si="20"/>
        <v>3995</v>
      </c>
      <c r="CB48" s="4832"/>
      <c r="CC48" s="3905">
        <f t="shared" si="21"/>
        <v>13941.448</v>
      </c>
      <c r="CD48" s="4834"/>
      <c r="CE48" s="3904">
        <f t="shared" si="22"/>
        <v>19630.448</v>
      </c>
      <c r="CF48" s="4832"/>
      <c r="CG48" s="3907">
        <f t="shared" si="23"/>
        <v>3115</v>
      </c>
      <c r="CH48" s="4832"/>
      <c r="CI48" s="3906">
        <f t="shared" si="24"/>
        <v>22745.448</v>
      </c>
      <c r="CJ48" s="4832"/>
      <c r="CK48" s="4832">
        <f t="shared" si="25"/>
        <v>1894.2660000000001</v>
      </c>
      <c r="CL48" s="4834"/>
      <c r="CM48" s="4834">
        <f t="shared" si="26"/>
        <v>24639.714</v>
      </c>
      <c r="CN48" s="4832"/>
      <c r="CO48" s="3907">
        <f t="shared" si="27"/>
        <v>4694.2079999999996</v>
      </c>
      <c r="CP48" s="4832"/>
      <c r="CQ48" s="3905">
        <f t="shared" si="28"/>
        <v>9703.4739999999983</v>
      </c>
      <c r="CR48" s="4832"/>
      <c r="CS48" s="3928">
        <f t="shared" si="29"/>
        <v>23644.921999999999</v>
      </c>
      <c r="CT48" s="4834"/>
      <c r="CU48" s="3930">
        <f t="shared" si="30"/>
        <v>29333.921999999999</v>
      </c>
      <c r="CV48" s="5317"/>
      <c r="CW48" s="5317"/>
    </row>
    <row r="49" spans="1:105" x14ac:dyDescent="0.3">
      <c r="A49" s="3958"/>
      <c r="B49" s="3958"/>
      <c r="C49" s="3958"/>
      <c r="D49" s="3958"/>
      <c r="E49" s="4563" t="s">
        <v>1866</v>
      </c>
      <c r="F49" s="3939">
        <v>252</v>
      </c>
      <c r="G49" s="3901">
        <v>742</v>
      </c>
      <c r="H49" s="3901">
        <v>129</v>
      </c>
      <c r="I49" s="3946">
        <f t="shared" si="31"/>
        <v>1123</v>
      </c>
      <c r="J49" s="3901">
        <v>609</v>
      </c>
      <c r="K49" s="3901">
        <v>395.31799999999998</v>
      </c>
      <c r="L49" s="3901">
        <v>2442</v>
      </c>
      <c r="M49" s="3946">
        <f t="shared" si="32"/>
        <v>3446.3180000000002</v>
      </c>
      <c r="N49" s="3945">
        <f t="shared" si="33"/>
        <v>4569.3180000000002</v>
      </c>
      <c r="O49" s="3897"/>
      <c r="P49" s="3897">
        <v>5468.4</v>
      </c>
      <c r="Q49" s="3901">
        <v>1954</v>
      </c>
      <c r="R49" s="3946">
        <f t="shared" si="34"/>
        <v>7422.4</v>
      </c>
      <c r="S49" s="3901"/>
      <c r="T49" s="3901">
        <v>3114.59</v>
      </c>
      <c r="U49" s="3944">
        <v>2060.0940000000001</v>
      </c>
      <c r="V49" s="3946">
        <f t="shared" si="35"/>
        <v>5174.6840000000002</v>
      </c>
      <c r="W49" s="3945">
        <f t="shared" si="36"/>
        <v>12597.083999999999</v>
      </c>
      <c r="X49" s="3913">
        <f t="shared" si="37"/>
        <v>17166.402000000002</v>
      </c>
      <c r="Y49" s="3912">
        <v>4</v>
      </c>
      <c r="Z49" s="3901">
        <v>8</v>
      </c>
      <c r="AA49" s="3901">
        <v>2</v>
      </c>
      <c r="AB49" s="3946">
        <f t="shared" si="0"/>
        <v>14</v>
      </c>
      <c r="AC49" s="3901">
        <v>76</v>
      </c>
      <c r="AD49" s="3901">
        <v>14.798</v>
      </c>
      <c r="AE49" s="3901">
        <v>2913</v>
      </c>
      <c r="AF49" s="3911">
        <f t="shared" si="1"/>
        <v>3003.7979999999998</v>
      </c>
      <c r="AG49" s="3945">
        <f t="shared" si="2"/>
        <v>3017.7979999999998</v>
      </c>
      <c r="AH49" s="3897">
        <v>21</v>
      </c>
      <c r="AI49" s="3897">
        <v>31.850999999999999</v>
      </c>
      <c r="AJ49" s="3897">
        <v>2079</v>
      </c>
      <c r="AK49" s="3946">
        <f t="shared" si="3"/>
        <v>2131.8510000000001</v>
      </c>
      <c r="AL49" s="3901">
        <v>38</v>
      </c>
      <c r="AM49" s="3901">
        <v>51.024000000000001</v>
      </c>
      <c r="AN49" s="3944">
        <v>70.158000000000001</v>
      </c>
      <c r="AO49" s="3946">
        <f t="shared" si="38"/>
        <v>159.18200000000002</v>
      </c>
      <c r="AP49" s="3945">
        <f t="shared" si="39"/>
        <v>2291.0330000000004</v>
      </c>
      <c r="AQ49" s="3910">
        <f t="shared" si="40"/>
        <v>5308.8309999999992</v>
      </c>
      <c r="AR49" s="3900">
        <f t="shared" si="6"/>
        <v>22475.233</v>
      </c>
      <c r="AS49" s="3943"/>
      <c r="AT49" s="3903"/>
      <c r="AU49" s="3909">
        <f t="shared" si="41"/>
        <v>256</v>
      </c>
      <c r="AV49" s="3908"/>
      <c r="AW49" s="3907">
        <f t="shared" si="42"/>
        <v>750</v>
      </c>
      <c r="AX49" s="3906"/>
      <c r="AY49" s="3906">
        <f t="shared" si="43"/>
        <v>1006</v>
      </c>
      <c r="AZ49" s="3906"/>
      <c r="BA49" s="3907">
        <f t="shared" si="7"/>
        <v>131</v>
      </c>
      <c r="BB49" s="3905"/>
      <c r="BC49" s="3905">
        <f t="shared" si="8"/>
        <v>1137</v>
      </c>
      <c r="BD49" s="3906"/>
      <c r="BE49" s="3907">
        <f t="shared" si="9"/>
        <v>685</v>
      </c>
      <c r="BF49" s="3904"/>
      <c r="BG49" s="3904">
        <f t="shared" si="10"/>
        <v>1822</v>
      </c>
      <c r="BH49" s="3906"/>
      <c r="BI49" s="3907">
        <f t="shared" si="11"/>
        <v>410.11599999999999</v>
      </c>
      <c r="BJ49" s="3904"/>
      <c r="BK49" s="3904">
        <f t="shared" si="12"/>
        <v>2232.116</v>
      </c>
      <c r="BL49" s="3906"/>
      <c r="BM49" s="3907">
        <f t="shared" si="13"/>
        <v>5355</v>
      </c>
      <c r="BN49" s="3906"/>
      <c r="BO49" s="3905">
        <f t="shared" si="14"/>
        <v>6450.116</v>
      </c>
      <c r="BP49" s="3906"/>
      <c r="BQ49" s="3928">
        <f t="shared" si="15"/>
        <v>7587.116</v>
      </c>
      <c r="BR49" s="3906"/>
      <c r="BS49" s="3907">
        <f t="shared" si="16"/>
        <v>21</v>
      </c>
      <c r="BT49" s="3904"/>
      <c r="BU49" s="3904">
        <f t="shared" si="17"/>
        <v>7608.116</v>
      </c>
      <c r="BV49" s="3906"/>
      <c r="BW49" s="3907">
        <f t="shared" si="18"/>
        <v>5500.2509999999993</v>
      </c>
      <c r="BX49" s="3906"/>
      <c r="BY49" s="3906">
        <f t="shared" si="19"/>
        <v>13108.366999999998</v>
      </c>
      <c r="BZ49" s="3906"/>
      <c r="CA49" s="3907">
        <f t="shared" si="20"/>
        <v>4033</v>
      </c>
      <c r="CB49" s="3906"/>
      <c r="CC49" s="3905">
        <f t="shared" si="21"/>
        <v>9554.2510000000002</v>
      </c>
      <c r="CD49" s="3904"/>
      <c r="CE49" s="3904">
        <f t="shared" si="22"/>
        <v>17141.366999999998</v>
      </c>
      <c r="CF49" s="3906"/>
      <c r="CG49" s="3907">
        <f t="shared" si="23"/>
        <v>38</v>
      </c>
      <c r="CH49" s="3906"/>
      <c r="CI49" s="3906">
        <f t="shared" si="24"/>
        <v>17179.366999999998</v>
      </c>
      <c r="CJ49" s="3906"/>
      <c r="CK49" s="3907">
        <f t="shared" si="25"/>
        <v>3165.614</v>
      </c>
      <c r="CL49" s="3904"/>
      <c r="CM49" s="3904">
        <f t="shared" si="26"/>
        <v>20344.981</v>
      </c>
      <c r="CN49" s="3906"/>
      <c r="CO49" s="3907">
        <f t="shared" si="27"/>
        <v>2130.252</v>
      </c>
      <c r="CP49" s="3906"/>
      <c r="CQ49" s="3905">
        <f t="shared" si="28"/>
        <v>5333.866</v>
      </c>
      <c r="CR49" s="3906"/>
      <c r="CS49" s="3928">
        <f t="shared" si="29"/>
        <v>14888.117</v>
      </c>
      <c r="CT49" s="3904"/>
      <c r="CU49" s="3930">
        <f t="shared" si="30"/>
        <v>22475.233</v>
      </c>
      <c r="CV49" s="5317"/>
      <c r="CW49" s="5317"/>
    </row>
    <row r="50" spans="1:105" x14ac:dyDescent="0.3">
      <c r="A50" s="3958"/>
      <c r="B50" s="3958"/>
      <c r="C50" s="3958"/>
      <c r="D50" s="3958"/>
      <c r="E50" s="4563" t="s">
        <v>1202</v>
      </c>
      <c r="F50" s="3939">
        <v>9177</v>
      </c>
      <c r="G50" s="3901">
        <v>13971</v>
      </c>
      <c r="H50" s="3901">
        <v>11908</v>
      </c>
      <c r="I50" s="3946">
        <f t="shared" si="31"/>
        <v>35056</v>
      </c>
      <c r="J50" s="3901">
        <v>16145</v>
      </c>
      <c r="K50" s="3901">
        <v>10838.477999999999</v>
      </c>
      <c r="L50" s="3901">
        <v>13202</v>
      </c>
      <c r="M50" s="3946">
        <f t="shared" si="32"/>
        <v>40185.478000000003</v>
      </c>
      <c r="N50" s="3945">
        <f t="shared" si="33"/>
        <v>75241.478000000003</v>
      </c>
      <c r="O50" s="3897">
        <v>16944</v>
      </c>
      <c r="P50" s="3897">
        <v>17609.663</v>
      </c>
      <c r="Q50" s="3901">
        <v>8058</v>
      </c>
      <c r="R50" s="3946">
        <f t="shared" si="34"/>
        <v>42611.663</v>
      </c>
      <c r="S50" s="3901">
        <v>9242</v>
      </c>
      <c r="T50" s="3901">
        <v>3465.38</v>
      </c>
      <c r="U50" s="3944">
        <v>6911.6260000000002</v>
      </c>
      <c r="V50" s="3946">
        <f t="shared" si="35"/>
        <v>19619.006000000001</v>
      </c>
      <c r="W50" s="3945">
        <f t="shared" si="36"/>
        <v>62230.669000000002</v>
      </c>
      <c r="X50" s="3913">
        <f t="shared" si="37"/>
        <v>137472.147</v>
      </c>
      <c r="Y50" s="3912">
        <v>6023</v>
      </c>
      <c r="Z50" s="3901">
        <v>3397</v>
      </c>
      <c r="AA50" s="3901">
        <v>941</v>
      </c>
      <c r="AB50" s="3946">
        <f t="shared" si="0"/>
        <v>10361</v>
      </c>
      <c r="AC50" s="3901">
        <v>2372</v>
      </c>
      <c r="AD50" s="3901">
        <v>3259.788</v>
      </c>
      <c r="AE50" s="3901">
        <v>3979</v>
      </c>
      <c r="AF50" s="3911">
        <f t="shared" si="1"/>
        <v>9610.7880000000005</v>
      </c>
      <c r="AG50" s="3945">
        <f t="shared" si="2"/>
        <v>19971.788</v>
      </c>
      <c r="AH50" s="3897">
        <v>4522</v>
      </c>
      <c r="AI50" s="3897">
        <v>7502.0290000000005</v>
      </c>
      <c r="AJ50" s="3897">
        <v>1665</v>
      </c>
      <c r="AK50" s="3946">
        <f t="shared" si="3"/>
        <v>13689.029</v>
      </c>
      <c r="AL50" s="3901">
        <v>1909</v>
      </c>
      <c r="AM50" s="3901">
        <v>471.97199999999998</v>
      </c>
      <c r="AN50" s="3944">
        <v>3484.5140000000001</v>
      </c>
      <c r="AO50" s="3946">
        <f t="shared" si="38"/>
        <v>5865.4859999999999</v>
      </c>
      <c r="AP50" s="3945">
        <f t="shared" si="39"/>
        <v>19554.514999999999</v>
      </c>
      <c r="AQ50" s="3910">
        <f t="shared" si="40"/>
        <v>39526.303</v>
      </c>
      <c r="AR50" s="3900">
        <f t="shared" si="6"/>
        <v>176998.45</v>
      </c>
      <c r="AS50" s="3943"/>
      <c r="AT50" s="3903"/>
      <c r="AU50" s="3909">
        <f t="shared" si="41"/>
        <v>15200</v>
      </c>
      <c r="AV50" s="3908"/>
      <c r="AW50" s="3907">
        <f t="shared" si="42"/>
        <v>17368</v>
      </c>
      <c r="AX50" s="3906"/>
      <c r="AY50" s="3906">
        <f t="shared" si="43"/>
        <v>32568</v>
      </c>
      <c r="AZ50" s="3906"/>
      <c r="BA50" s="3907">
        <f t="shared" si="7"/>
        <v>12849</v>
      </c>
      <c r="BB50" s="3905"/>
      <c r="BC50" s="3905">
        <f t="shared" si="8"/>
        <v>45417</v>
      </c>
      <c r="BD50" s="3906"/>
      <c r="BE50" s="3907">
        <f t="shared" si="9"/>
        <v>18517</v>
      </c>
      <c r="BF50" s="3904"/>
      <c r="BG50" s="3904">
        <f t="shared" si="10"/>
        <v>63934</v>
      </c>
      <c r="BH50" s="3906"/>
      <c r="BI50" s="3907">
        <f t="shared" si="11"/>
        <v>14098.266</v>
      </c>
      <c r="BJ50" s="3904"/>
      <c r="BK50" s="3904">
        <f t="shared" si="12"/>
        <v>78032.266000000003</v>
      </c>
      <c r="BL50" s="3906"/>
      <c r="BM50" s="3907">
        <f t="shared" si="13"/>
        <v>17181</v>
      </c>
      <c r="BN50" s="3906"/>
      <c r="BO50" s="3905">
        <f t="shared" si="14"/>
        <v>49796.266000000003</v>
      </c>
      <c r="BP50" s="3906"/>
      <c r="BQ50" s="3928">
        <f t="shared" si="15"/>
        <v>95213.266000000003</v>
      </c>
      <c r="BR50" s="3906"/>
      <c r="BS50" s="3907">
        <f t="shared" si="16"/>
        <v>21466</v>
      </c>
      <c r="BT50" s="3904"/>
      <c r="BU50" s="3904">
        <f t="shared" si="17"/>
        <v>116679.266</v>
      </c>
      <c r="BV50" s="3906"/>
      <c r="BW50" s="3907">
        <f t="shared" si="18"/>
        <v>25111.692000000003</v>
      </c>
      <c r="BX50" s="3906"/>
      <c r="BY50" s="3906">
        <f t="shared" si="19"/>
        <v>141790.95800000001</v>
      </c>
      <c r="BZ50" s="3906"/>
      <c r="CA50" s="3907">
        <f t="shared" si="20"/>
        <v>9723</v>
      </c>
      <c r="CB50" s="3906"/>
      <c r="CC50" s="3905">
        <f t="shared" si="21"/>
        <v>56300.692000000003</v>
      </c>
      <c r="CD50" s="3904"/>
      <c r="CE50" s="3904">
        <f t="shared" si="22"/>
        <v>151513.95800000001</v>
      </c>
      <c r="CF50" s="3906"/>
      <c r="CG50" s="3907">
        <f t="shared" si="23"/>
        <v>11151</v>
      </c>
      <c r="CH50" s="3906"/>
      <c r="CI50" s="3906">
        <f t="shared" si="24"/>
        <v>162664.95800000001</v>
      </c>
      <c r="CJ50" s="3906"/>
      <c r="CK50" s="3907">
        <f t="shared" si="25"/>
        <v>3937.3519999999999</v>
      </c>
      <c r="CL50" s="3904"/>
      <c r="CM50" s="3904">
        <f t="shared" si="26"/>
        <v>166602.31000000003</v>
      </c>
      <c r="CN50" s="3906"/>
      <c r="CO50" s="3907">
        <f t="shared" si="27"/>
        <v>10396.14</v>
      </c>
      <c r="CP50" s="3906"/>
      <c r="CQ50" s="3905">
        <f t="shared" si="28"/>
        <v>25484.491999999998</v>
      </c>
      <c r="CR50" s="3906"/>
      <c r="CS50" s="3928">
        <f t="shared" si="29"/>
        <v>81785.184000000008</v>
      </c>
      <c r="CT50" s="3904"/>
      <c r="CU50" s="3930">
        <f t="shared" si="30"/>
        <v>176998.45</v>
      </c>
      <c r="CV50" s="5317"/>
      <c r="CW50" s="5317"/>
    </row>
    <row r="51" spans="1:105" x14ac:dyDescent="0.3">
      <c r="A51" s="3958"/>
      <c r="B51" s="3958"/>
      <c r="C51" s="3958"/>
      <c r="D51" s="3958"/>
      <c r="E51" s="4563" t="s">
        <v>1926</v>
      </c>
      <c r="F51" s="3939">
        <v>0</v>
      </c>
      <c r="G51" s="3901">
        <v>156</v>
      </c>
      <c r="H51" s="3901">
        <v>16383</v>
      </c>
      <c r="I51" s="3946">
        <f t="shared" si="31"/>
        <v>16539</v>
      </c>
      <c r="J51" s="3901">
        <v>9401</v>
      </c>
      <c r="K51" s="3901">
        <v>150.09399999999999</v>
      </c>
      <c r="L51" s="3901"/>
      <c r="M51" s="3946">
        <f t="shared" si="32"/>
        <v>9551.0939999999991</v>
      </c>
      <c r="N51" s="3945">
        <f t="shared" si="33"/>
        <v>26090.093999999997</v>
      </c>
      <c r="O51" s="3897">
        <v>127</v>
      </c>
      <c r="P51" s="3897"/>
      <c r="Q51" s="3901">
        <v>100</v>
      </c>
      <c r="R51" s="3946">
        <f t="shared" si="34"/>
        <v>227</v>
      </c>
      <c r="S51" s="3901">
        <v>3808</v>
      </c>
      <c r="T51" s="3901">
        <v>1796.47</v>
      </c>
      <c r="U51" s="3944"/>
      <c r="V51" s="3946">
        <f t="shared" si="35"/>
        <v>5604.47</v>
      </c>
      <c r="W51" s="3945">
        <f t="shared" si="36"/>
        <v>5831.47</v>
      </c>
      <c r="X51" s="3913">
        <f t="shared" si="37"/>
        <v>31921.563999999998</v>
      </c>
      <c r="Y51" s="3912">
        <v>70271</v>
      </c>
      <c r="Z51" s="3901">
        <v>81649</v>
      </c>
      <c r="AA51" s="3901">
        <v>80983</v>
      </c>
      <c r="AB51" s="3946">
        <f t="shared" si="0"/>
        <v>232903</v>
      </c>
      <c r="AC51" s="3901">
        <v>91217</v>
      </c>
      <c r="AD51" s="3901">
        <v>79737.966</v>
      </c>
      <c r="AE51" s="3901">
        <v>79038</v>
      </c>
      <c r="AF51" s="3911">
        <f t="shared" si="1"/>
        <v>249992.96600000001</v>
      </c>
      <c r="AG51" s="3945">
        <f t="shared" si="2"/>
        <v>482895.96600000001</v>
      </c>
      <c r="AH51" s="3897">
        <v>51911</v>
      </c>
      <c r="AI51" s="3897">
        <v>72468.641000000003</v>
      </c>
      <c r="AJ51" s="3897">
        <v>78143</v>
      </c>
      <c r="AK51" s="3946">
        <f t="shared" si="3"/>
        <v>202522.641</v>
      </c>
      <c r="AL51" s="3901">
        <v>86921</v>
      </c>
      <c r="AM51" s="3901">
        <v>77169.547999999995</v>
      </c>
      <c r="AN51" s="3944">
        <v>93369.668000000005</v>
      </c>
      <c r="AO51" s="3946">
        <f t="shared" si="38"/>
        <v>257460.21600000001</v>
      </c>
      <c r="AP51" s="3945">
        <f t="shared" si="39"/>
        <v>459982.85700000002</v>
      </c>
      <c r="AQ51" s="3910">
        <f t="shared" si="40"/>
        <v>942878.82300000009</v>
      </c>
      <c r="AR51" s="3900">
        <f t="shared" si="6"/>
        <v>974800.3870000001</v>
      </c>
      <c r="AS51" s="3943"/>
      <c r="AT51" s="3903"/>
      <c r="AU51" s="3909">
        <f t="shared" si="41"/>
        <v>70271</v>
      </c>
      <c r="AV51" s="3908"/>
      <c r="AW51" s="3907">
        <f t="shared" si="42"/>
        <v>81805</v>
      </c>
      <c r="AX51" s="3906"/>
      <c r="AY51" s="3906">
        <f t="shared" si="43"/>
        <v>152076</v>
      </c>
      <c r="AZ51" s="3906"/>
      <c r="BA51" s="3907">
        <f t="shared" si="7"/>
        <v>97366</v>
      </c>
      <c r="BB51" s="3905"/>
      <c r="BC51" s="3905">
        <f t="shared" si="8"/>
        <v>249442</v>
      </c>
      <c r="BD51" s="3906"/>
      <c r="BE51" s="3907">
        <f t="shared" si="9"/>
        <v>100618</v>
      </c>
      <c r="BF51" s="3904"/>
      <c r="BG51" s="3904">
        <f t="shared" si="10"/>
        <v>350060</v>
      </c>
      <c r="BH51" s="3906"/>
      <c r="BI51" s="3907">
        <f t="shared" si="11"/>
        <v>79888.06</v>
      </c>
      <c r="BJ51" s="3904"/>
      <c r="BK51" s="3904">
        <f t="shared" si="12"/>
        <v>429948.06</v>
      </c>
      <c r="BL51" s="3906"/>
      <c r="BM51" s="3907">
        <f t="shared" si="13"/>
        <v>79038</v>
      </c>
      <c r="BN51" s="3906"/>
      <c r="BO51" s="3905">
        <f t="shared" si="14"/>
        <v>259544.06</v>
      </c>
      <c r="BP51" s="3906"/>
      <c r="BQ51" s="3928">
        <f t="shared" si="15"/>
        <v>508986.06</v>
      </c>
      <c r="BR51" s="3906"/>
      <c r="BS51" s="3907">
        <f t="shared" si="16"/>
        <v>52038</v>
      </c>
      <c r="BT51" s="3904"/>
      <c r="BU51" s="3904">
        <f t="shared" si="17"/>
        <v>561024.06000000006</v>
      </c>
      <c r="BV51" s="3906"/>
      <c r="BW51" s="3907">
        <f t="shared" si="18"/>
        <v>72468.641000000003</v>
      </c>
      <c r="BX51" s="3906"/>
      <c r="BY51" s="3906">
        <f t="shared" si="19"/>
        <v>633492.70100000012</v>
      </c>
      <c r="BZ51" s="3906"/>
      <c r="CA51" s="3907">
        <f t="shared" si="20"/>
        <v>78243</v>
      </c>
      <c r="CB51" s="3906"/>
      <c r="CC51" s="3905">
        <f t="shared" si="21"/>
        <v>202749.641</v>
      </c>
      <c r="CD51" s="3904"/>
      <c r="CE51" s="3904">
        <f t="shared" si="22"/>
        <v>711735.70100000012</v>
      </c>
      <c r="CF51" s="3906"/>
      <c r="CG51" s="3907">
        <f t="shared" si="23"/>
        <v>90729</v>
      </c>
      <c r="CH51" s="3906"/>
      <c r="CI51" s="3906">
        <f t="shared" si="24"/>
        <v>802464.70100000012</v>
      </c>
      <c r="CJ51" s="3906"/>
      <c r="CK51" s="3907">
        <f t="shared" si="25"/>
        <v>78966.017999999996</v>
      </c>
      <c r="CL51" s="3904"/>
      <c r="CM51" s="3904">
        <f t="shared" si="26"/>
        <v>881430.71900000016</v>
      </c>
      <c r="CN51" s="3906"/>
      <c r="CO51" s="3907">
        <f t="shared" si="27"/>
        <v>93369.668000000005</v>
      </c>
      <c r="CP51" s="3906"/>
      <c r="CQ51" s="3905">
        <f t="shared" si="28"/>
        <v>263064.68599999999</v>
      </c>
      <c r="CR51" s="3906"/>
      <c r="CS51" s="3928">
        <f t="shared" si="29"/>
        <v>465814.32699999999</v>
      </c>
      <c r="CT51" s="3904"/>
      <c r="CU51" s="3930">
        <f t="shared" si="30"/>
        <v>974800.3870000001</v>
      </c>
      <c r="CV51" s="5317"/>
      <c r="CW51" s="5317"/>
    </row>
    <row r="52" spans="1:105" x14ac:dyDescent="0.3">
      <c r="A52" s="3958"/>
      <c r="B52" s="3958"/>
      <c r="C52" s="3958"/>
      <c r="D52" s="3958"/>
      <c r="E52" s="4563" t="s">
        <v>1927</v>
      </c>
      <c r="F52" s="3939">
        <v>1812</v>
      </c>
      <c r="G52" s="3901">
        <v>888</v>
      </c>
      <c r="H52" s="3901">
        <v>1068</v>
      </c>
      <c r="I52" s="3946">
        <f t="shared" si="31"/>
        <v>3768</v>
      </c>
      <c r="J52" s="3901">
        <v>1241</v>
      </c>
      <c r="K52" s="3901">
        <v>932.274</v>
      </c>
      <c r="L52" s="3901">
        <v>1486</v>
      </c>
      <c r="M52" s="3946">
        <f t="shared" si="32"/>
        <v>3659.2739999999999</v>
      </c>
      <c r="N52" s="3945">
        <f t="shared" si="33"/>
        <v>7427.2739999999994</v>
      </c>
      <c r="O52" s="3897">
        <v>685</v>
      </c>
      <c r="P52" s="3897">
        <v>884.07600000000002</v>
      </c>
      <c r="Q52" s="3901">
        <v>1150</v>
      </c>
      <c r="R52" s="3946">
        <f t="shared" si="34"/>
        <v>2719.076</v>
      </c>
      <c r="S52" s="3901">
        <v>385</v>
      </c>
      <c r="T52" s="3901">
        <v>174.33199999999999</v>
      </c>
      <c r="U52" s="3944">
        <v>1479.6959999999999</v>
      </c>
      <c r="V52" s="3946">
        <f t="shared" si="35"/>
        <v>2039.0279999999998</v>
      </c>
      <c r="W52" s="3945">
        <f t="shared" si="36"/>
        <v>4758.1039999999994</v>
      </c>
      <c r="X52" s="3913">
        <f t="shared" si="37"/>
        <v>12185.377999999999</v>
      </c>
      <c r="Y52" s="3912">
        <v>1378</v>
      </c>
      <c r="Z52" s="3901">
        <v>543</v>
      </c>
      <c r="AA52" s="3901">
        <v>1824</v>
      </c>
      <c r="AB52" s="3946">
        <f t="shared" si="0"/>
        <v>3745</v>
      </c>
      <c r="AC52" s="3901">
        <v>152</v>
      </c>
      <c r="AD52" s="3901">
        <v>1295.8820000000001</v>
      </c>
      <c r="AE52" s="3901">
        <v>2106</v>
      </c>
      <c r="AF52" s="3911">
        <f t="shared" si="1"/>
        <v>3553.8820000000001</v>
      </c>
      <c r="AG52" s="3945">
        <f t="shared" si="2"/>
        <v>7298.8819999999996</v>
      </c>
      <c r="AH52" s="3897">
        <v>1977</v>
      </c>
      <c r="AI52" s="3897">
        <v>1709.7080000000001</v>
      </c>
      <c r="AJ52" s="3897">
        <v>1807</v>
      </c>
      <c r="AK52" s="3946">
        <f t="shared" si="3"/>
        <v>5493.7080000000005</v>
      </c>
      <c r="AL52" s="3901">
        <v>415</v>
      </c>
      <c r="AM52" s="3901">
        <v>297.64</v>
      </c>
      <c r="AN52" s="3944">
        <v>529.37400000000002</v>
      </c>
      <c r="AO52" s="3946">
        <f t="shared" si="38"/>
        <v>1242.0140000000001</v>
      </c>
      <c r="AP52" s="3945">
        <f t="shared" si="39"/>
        <v>6735.7220000000007</v>
      </c>
      <c r="AQ52" s="3910">
        <f t="shared" si="40"/>
        <v>14034.603999999999</v>
      </c>
      <c r="AR52" s="3900">
        <f t="shared" si="6"/>
        <v>26219.981999999996</v>
      </c>
      <c r="AS52" s="3943"/>
      <c r="AT52" s="3903"/>
      <c r="AU52" s="3909">
        <f t="shared" si="41"/>
        <v>3190</v>
      </c>
      <c r="AV52" s="3908"/>
      <c r="AW52" s="3907">
        <f t="shared" si="42"/>
        <v>1431</v>
      </c>
      <c r="AX52" s="3906"/>
      <c r="AY52" s="3906">
        <f t="shared" si="43"/>
        <v>4621</v>
      </c>
      <c r="AZ52" s="3906"/>
      <c r="BA52" s="3907">
        <f t="shared" si="7"/>
        <v>2892</v>
      </c>
      <c r="BB52" s="3905"/>
      <c r="BC52" s="3905">
        <f t="shared" si="8"/>
        <v>7513</v>
      </c>
      <c r="BD52" s="3906"/>
      <c r="BE52" s="3907">
        <f t="shared" si="9"/>
        <v>1393</v>
      </c>
      <c r="BF52" s="3904"/>
      <c r="BG52" s="3904">
        <f t="shared" si="10"/>
        <v>8906</v>
      </c>
      <c r="BH52" s="3906"/>
      <c r="BI52" s="3907">
        <f t="shared" si="11"/>
        <v>2228.1559999999999</v>
      </c>
      <c r="BJ52" s="3904"/>
      <c r="BK52" s="3904">
        <f t="shared" si="12"/>
        <v>11134.155999999999</v>
      </c>
      <c r="BL52" s="3906"/>
      <c r="BM52" s="3907">
        <f t="shared" si="13"/>
        <v>3592</v>
      </c>
      <c r="BN52" s="3906"/>
      <c r="BO52" s="3905">
        <f t="shared" si="14"/>
        <v>7213.1559999999999</v>
      </c>
      <c r="BP52" s="3906"/>
      <c r="BQ52" s="3928">
        <f t="shared" si="15"/>
        <v>14726.155999999999</v>
      </c>
      <c r="BR52" s="3906"/>
      <c r="BS52" s="3907">
        <f t="shared" si="16"/>
        <v>2662</v>
      </c>
      <c r="BT52" s="3904"/>
      <c r="BU52" s="3904">
        <f t="shared" si="17"/>
        <v>17388.155999999999</v>
      </c>
      <c r="BV52" s="3906"/>
      <c r="BW52" s="3907">
        <f t="shared" si="18"/>
        <v>2593.7840000000001</v>
      </c>
      <c r="BX52" s="3906"/>
      <c r="BY52" s="3906">
        <f t="shared" si="19"/>
        <v>19981.939999999999</v>
      </c>
      <c r="BZ52" s="3906"/>
      <c r="CA52" s="3907">
        <f t="shared" si="20"/>
        <v>2957</v>
      </c>
      <c r="CB52" s="3906"/>
      <c r="CC52" s="3905">
        <f t="shared" si="21"/>
        <v>8212.7839999999997</v>
      </c>
      <c r="CD52" s="3904"/>
      <c r="CE52" s="3904">
        <f t="shared" si="22"/>
        <v>22938.94</v>
      </c>
      <c r="CF52" s="3906"/>
      <c r="CG52" s="3907">
        <f t="shared" si="23"/>
        <v>800</v>
      </c>
      <c r="CH52" s="3906"/>
      <c r="CI52" s="3906">
        <f t="shared" si="24"/>
        <v>23738.94</v>
      </c>
      <c r="CJ52" s="3906"/>
      <c r="CK52" s="3907">
        <f t="shared" si="25"/>
        <v>471.97199999999998</v>
      </c>
      <c r="CL52" s="3904"/>
      <c r="CM52" s="3904">
        <f t="shared" si="26"/>
        <v>24210.912</v>
      </c>
      <c r="CN52" s="3906"/>
      <c r="CO52" s="3907">
        <f t="shared" si="27"/>
        <v>2009.07</v>
      </c>
      <c r="CP52" s="3906"/>
      <c r="CQ52" s="3905">
        <f t="shared" si="28"/>
        <v>3281.0419999999999</v>
      </c>
      <c r="CR52" s="3906"/>
      <c r="CS52" s="3928">
        <f t="shared" si="29"/>
        <v>11493.825999999999</v>
      </c>
      <c r="CT52" s="3904"/>
      <c r="CU52" s="3930">
        <f t="shared" si="30"/>
        <v>26219.982</v>
      </c>
      <c r="CV52" s="5317"/>
      <c r="CW52" s="5317"/>
    </row>
    <row r="53" spans="1:105" x14ac:dyDescent="0.3">
      <c r="A53" s="3958"/>
      <c r="B53" s="3958"/>
      <c r="C53" s="3958"/>
      <c r="D53" s="3958"/>
      <c r="E53" s="4563" t="s">
        <v>1405</v>
      </c>
      <c r="F53" s="3939"/>
      <c r="G53" s="3901"/>
      <c r="H53" s="3901">
        <v>336</v>
      </c>
      <c r="I53" s="3946">
        <f t="shared" si="31"/>
        <v>336</v>
      </c>
      <c r="J53" s="3901"/>
      <c r="K53" s="3901"/>
      <c r="L53" s="3901"/>
      <c r="M53" s="3946">
        <f t="shared" si="32"/>
        <v>0</v>
      </c>
      <c r="N53" s="3945">
        <f t="shared" si="33"/>
        <v>336</v>
      </c>
      <c r="O53" s="3897"/>
      <c r="P53" s="3897"/>
      <c r="Q53" s="3901"/>
      <c r="R53" s="3946">
        <f t="shared" si="34"/>
        <v>0</v>
      </c>
      <c r="S53" s="3901">
        <v>795</v>
      </c>
      <c r="T53" s="3901"/>
      <c r="U53" s="3944">
        <v>372.05</v>
      </c>
      <c r="V53" s="3946">
        <f t="shared" si="35"/>
        <v>1167.05</v>
      </c>
      <c r="W53" s="3945">
        <f t="shared" si="36"/>
        <v>1167.05</v>
      </c>
      <c r="X53" s="3913">
        <f t="shared" si="37"/>
        <v>1503.05</v>
      </c>
      <c r="Y53" s="3912"/>
      <c r="Z53" s="3901"/>
      <c r="AA53" s="3901">
        <v>1209</v>
      </c>
      <c r="AB53" s="3946">
        <f t="shared" si="0"/>
        <v>1209</v>
      </c>
      <c r="AC53" s="3901">
        <v>211</v>
      </c>
      <c r="AD53" s="3901">
        <v>205.05799999999999</v>
      </c>
      <c r="AE53" s="3901"/>
      <c r="AF53" s="3911">
        <f t="shared" si="1"/>
        <v>416.05799999999999</v>
      </c>
      <c r="AG53" s="3945">
        <f t="shared" si="2"/>
        <v>1625.058</v>
      </c>
      <c r="AH53" s="3897"/>
      <c r="AI53" s="3897">
        <v>204.096</v>
      </c>
      <c r="AJ53" s="3897"/>
      <c r="AK53" s="3946">
        <f t="shared" si="3"/>
        <v>204.096</v>
      </c>
      <c r="AL53" s="3901"/>
      <c r="AM53" s="3901"/>
      <c r="AN53" s="3944"/>
      <c r="AO53" s="3946">
        <f t="shared" si="38"/>
        <v>0</v>
      </c>
      <c r="AP53" s="3945">
        <f t="shared" si="39"/>
        <v>204.096</v>
      </c>
      <c r="AQ53" s="3910">
        <f t="shared" si="40"/>
        <v>1829.154</v>
      </c>
      <c r="AR53" s="3900">
        <f t="shared" si="6"/>
        <v>3332.2039999999997</v>
      </c>
      <c r="AS53" s="3943"/>
      <c r="AT53" s="3903"/>
      <c r="AU53" s="3909">
        <f t="shared" ref="AU53" si="104">+F53+Y53</f>
        <v>0</v>
      </c>
      <c r="AV53" s="3908"/>
      <c r="AW53" s="3907">
        <f t="shared" ref="AW53" si="105">+G53+Z53</f>
        <v>0</v>
      </c>
      <c r="AX53" s="3906"/>
      <c r="AY53" s="3906">
        <f t="shared" ref="AY53" si="106">AU53+AW53</f>
        <v>0</v>
      </c>
      <c r="AZ53" s="3906"/>
      <c r="BA53" s="3907">
        <f t="shared" ref="BA53" si="107">+H53+AA53</f>
        <v>1545</v>
      </c>
      <c r="BB53" s="3905"/>
      <c r="BC53" s="3905">
        <f t="shared" ref="BC53" si="108">AU53+AW53+BA53</f>
        <v>1545</v>
      </c>
      <c r="BD53" s="3906"/>
      <c r="BE53" s="3907">
        <f t="shared" si="9"/>
        <v>211</v>
      </c>
      <c r="BF53" s="3904"/>
      <c r="BG53" s="3904">
        <f t="shared" si="10"/>
        <v>1756</v>
      </c>
      <c r="BH53" s="3906"/>
      <c r="BI53" s="3907">
        <f t="shared" si="11"/>
        <v>205.05799999999999</v>
      </c>
      <c r="BJ53" s="3904"/>
      <c r="BK53" s="3904">
        <f t="shared" si="12"/>
        <v>1961.058</v>
      </c>
      <c r="BL53" s="3906"/>
      <c r="BM53" s="3907">
        <f t="shared" si="13"/>
        <v>0</v>
      </c>
      <c r="BN53" s="3906"/>
      <c r="BO53" s="3905">
        <f t="shared" si="14"/>
        <v>416.05799999999999</v>
      </c>
      <c r="BP53" s="3906"/>
      <c r="BQ53" s="3928">
        <f t="shared" si="15"/>
        <v>1961.058</v>
      </c>
      <c r="BR53" s="3906"/>
      <c r="BS53" s="3907">
        <f t="shared" si="16"/>
        <v>0</v>
      </c>
      <c r="BT53" s="3904"/>
      <c r="BU53" s="3904">
        <f t="shared" si="17"/>
        <v>1961.058</v>
      </c>
      <c r="BV53" s="3906"/>
      <c r="BW53" s="3907">
        <f t="shared" si="18"/>
        <v>204.096</v>
      </c>
      <c r="BX53" s="3906"/>
      <c r="BY53" s="3906">
        <f t="shared" si="19"/>
        <v>2165.154</v>
      </c>
      <c r="BZ53" s="3906"/>
      <c r="CA53" s="3907">
        <f t="shared" si="20"/>
        <v>0</v>
      </c>
      <c r="CB53" s="3906"/>
      <c r="CC53" s="3905">
        <f t="shared" si="21"/>
        <v>204.096</v>
      </c>
      <c r="CD53" s="3904"/>
      <c r="CE53" s="3904">
        <f t="shared" si="22"/>
        <v>2165.154</v>
      </c>
      <c r="CF53" s="3906"/>
      <c r="CG53" s="3907">
        <f t="shared" si="23"/>
        <v>795</v>
      </c>
      <c r="CH53" s="3906"/>
      <c r="CI53" s="3906">
        <f t="shared" si="24"/>
        <v>2960.154</v>
      </c>
      <c r="CJ53" s="3906"/>
      <c r="CK53" s="3907">
        <f t="shared" si="25"/>
        <v>0</v>
      </c>
      <c r="CL53" s="3904"/>
      <c r="CM53" s="3904">
        <f t="shared" si="26"/>
        <v>2960.154</v>
      </c>
      <c r="CN53" s="3906"/>
      <c r="CO53" s="3907">
        <f t="shared" si="27"/>
        <v>372.05</v>
      </c>
      <c r="CP53" s="3906"/>
      <c r="CQ53" s="3905">
        <f t="shared" si="28"/>
        <v>1167.05</v>
      </c>
      <c r="CR53" s="3906"/>
      <c r="CS53" s="3928">
        <f t="shared" si="29"/>
        <v>1371.146</v>
      </c>
      <c r="CT53" s="3904"/>
      <c r="CU53" s="3930">
        <f t="shared" si="30"/>
        <v>3332.2040000000002</v>
      </c>
      <c r="CV53" s="5317"/>
      <c r="CW53" s="5317"/>
    </row>
    <row r="54" spans="1:105" x14ac:dyDescent="0.3">
      <c r="A54" s="3958"/>
      <c r="B54" s="3958"/>
      <c r="C54" s="3958"/>
      <c r="D54" s="3958"/>
      <c r="E54" s="4563" t="s">
        <v>2021</v>
      </c>
      <c r="F54" s="3939"/>
      <c r="G54" s="3901">
        <v>0</v>
      </c>
      <c r="H54" s="3901"/>
      <c r="I54" s="3946">
        <f t="shared" si="31"/>
        <v>0</v>
      </c>
      <c r="J54" s="3901">
        <v>1552</v>
      </c>
      <c r="K54" s="3901"/>
      <c r="L54" s="3901"/>
      <c r="M54" s="3946">
        <f t="shared" si="32"/>
        <v>1552</v>
      </c>
      <c r="N54" s="3945">
        <f t="shared" si="33"/>
        <v>1552</v>
      </c>
      <c r="O54" s="3897"/>
      <c r="P54" s="3897"/>
      <c r="Q54" s="3901"/>
      <c r="R54" s="3946">
        <f t="shared" si="34"/>
        <v>0</v>
      </c>
      <c r="S54" s="3901"/>
      <c r="T54" s="3901"/>
      <c r="U54" s="3944"/>
      <c r="V54" s="3946">
        <f t="shared" si="35"/>
        <v>0</v>
      </c>
      <c r="W54" s="3945">
        <f t="shared" si="36"/>
        <v>0</v>
      </c>
      <c r="X54" s="3913">
        <f t="shared" ref="X54:X59" si="109">+I54+M54+R54+V54</f>
        <v>1552</v>
      </c>
      <c r="Y54" s="3912"/>
      <c r="Z54" s="3901">
        <v>302</v>
      </c>
      <c r="AA54" s="3901">
        <v>108</v>
      </c>
      <c r="AB54" s="3946">
        <f t="shared" si="0"/>
        <v>410</v>
      </c>
      <c r="AC54" s="3901"/>
      <c r="AD54" s="3901"/>
      <c r="AE54" s="3901"/>
      <c r="AF54" s="3911">
        <f t="shared" si="1"/>
        <v>0</v>
      </c>
      <c r="AG54" s="3945">
        <f t="shared" si="2"/>
        <v>410</v>
      </c>
      <c r="AH54" s="3897"/>
      <c r="AI54" s="3897"/>
      <c r="AJ54" s="3897"/>
      <c r="AK54" s="3946">
        <f t="shared" si="3"/>
        <v>0</v>
      </c>
      <c r="AL54" s="3901"/>
      <c r="AM54" s="3901"/>
      <c r="AN54" s="3944"/>
      <c r="AO54" s="3946">
        <f t="shared" si="38"/>
        <v>0</v>
      </c>
      <c r="AP54" s="3945">
        <f t="shared" si="39"/>
        <v>0</v>
      </c>
      <c r="AQ54" s="3910">
        <f t="shared" si="40"/>
        <v>410</v>
      </c>
      <c r="AR54" s="3900">
        <f t="shared" si="6"/>
        <v>1962</v>
      </c>
      <c r="AS54" s="3943"/>
      <c r="AT54" s="3903"/>
      <c r="AU54" s="3909">
        <f t="shared" si="41"/>
        <v>0</v>
      </c>
      <c r="AV54" s="4713"/>
      <c r="AW54" s="3907">
        <f t="shared" si="42"/>
        <v>302</v>
      </c>
      <c r="AX54" s="4832"/>
      <c r="AY54" s="3906">
        <f t="shared" si="43"/>
        <v>302</v>
      </c>
      <c r="AZ54" s="4832"/>
      <c r="BA54" s="3907">
        <f t="shared" si="7"/>
        <v>108</v>
      </c>
      <c r="BB54" s="4833"/>
      <c r="BC54" s="3905">
        <f t="shared" si="8"/>
        <v>410</v>
      </c>
      <c r="BD54" s="4832"/>
      <c r="BE54" s="3907">
        <f t="shared" si="9"/>
        <v>1552</v>
      </c>
      <c r="BF54" s="4834"/>
      <c r="BG54" s="3904">
        <f t="shared" si="10"/>
        <v>1962</v>
      </c>
      <c r="BH54" s="4832"/>
      <c r="BI54" s="3907">
        <f t="shared" si="11"/>
        <v>0</v>
      </c>
      <c r="BJ54" s="4834"/>
      <c r="BK54" s="3904">
        <f t="shared" si="12"/>
        <v>1962</v>
      </c>
      <c r="BL54" s="4832"/>
      <c r="BM54" s="3907">
        <f t="shared" si="13"/>
        <v>0</v>
      </c>
      <c r="BN54" s="4832"/>
      <c r="BO54" s="3905">
        <f t="shared" si="14"/>
        <v>1552</v>
      </c>
      <c r="BP54" s="4832"/>
      <c r="BQ54" s="3928">
        <f t="shared" si="15"/>
        <v>1962</v>
      </c>
      <c r="BR54" s="4832"/>
      <c r="BS54" s="3907">
        <f t="shared" si="16"/>
        <v>0</v>
      </c>
      <c r="BT54" s="4834"/>
      <c r="BU54" s="3904">
        <f t="shared" si="17"/>
        <v>1962</v>
      </c>
      <c r="BV54" s="4832"/>
      <c r="BW54" s="3907">
        <f t="shared" si="18"/>
        <v>0</v>
      </c>
      <c r="BX54" s="4832"/>
      <c r="BY54" s="3906">
        <f t="shared" si="19"/>
        <v>1962</v>
      </c>
      <c r="BZ54" s="4832"/>
      <c r="CA54" s="3907">
        <f t="shared" si="20"/>
        <v>0</v>
      </c>
      <c r="CB54" s="4832"/>
      <c r="CC54" s="3905">
        <f t="shared" si="21"/>
        <v>0</v>
      </c>
      <c r="CD54" s="4834"/>
      <c r="CE54" s="3904">
        <f t="shared" si="22"/>
        <v>1962</v>
      </c>
      <c r="CF54" s="4832"/>
      <c r="CG54" s="3907">
        <f t="shared" si="23"/>
        <v>0</v>
      </c>
      <c r="CH54" s="4832"/>
      <c r="CI54" s="3906">
        <f t="shared" si="24"/>
        <v>1962</v>
      </c>
      <c r="CJ54" s="4832"/>
      <c r="CK54" s="4832">
        <f t="shared" si="25"/>
        <v>0</v>
      </c>
      <c r="CL54" s="4834"/>
      <c r="CM54" s="4834">
        <f t="shared" si="26"/>
        <v>1962</v>
      </c>
      <c r="CN54" s="4832"/>
      <c r="CO54" s="3907">
        <f t="shared" si="27"/>
        <v>0</v>
      </c>
      <c r="CP54" s="4832"/>
      <c r="CQ54" s="3905">
        <f t="shared" si="28"/>
        <v>0</v>
      </c>
      <c r="CR54" s="4832"/>
      <c r="CS54" s="3928">
        <f t="shared" si="29"/>
        <v>0</v>
      </c>
      <c r="CT54" s="4834"/>
      <c r="CU54" s="3930">
        <f t="shared" si="30"/>
        <v>1962</v>
      </c>
      <c r="CV54" s="5317"/>
      <c r="CW54" s="5317"/>
      <c r="CY54" s="634"/>
      <c r="CZ54" s="634"/>
      <c r="DA54" s="634"/>
    </row>
    <row r="55" spans="1:105" x14ac:dyDescent="0.3">
      <c r="A55" s="3958"/>
      <c r="B55" s="3958"/>
      <c r="C55" s="3958"/>
      <c r="D55" s="3958"/>
      <c r="E55" s="4563" t="s">
        <v>1403</v>
      </c>
      <c r="F55" s="3939">
        <v>0</v>
      </c>
      <c r="G55" s="3901">
        <v>0</v>
      </c>
      <c r="H55" s="3901"/>
      <c r="I55" s="3946">
        <f t="shared" ref="I55:I59" si="110">SUM(F55:H55)</f>
        <v>0</v>
      </c>
      <c r="J55" s="3901"/>
      <c r="K55" s="3901"/>
      <c r="L55" s="3901"/>
      <c r="M55" s="3946">
        <f t="shared" ref="M55" si="111">J55+K55+L55</f>
        <v>0</v>
      </c>
      <c r="N55" s="3945">
        <f t="shared" ref="N55" si="112">I55+M55</f>
        <v>0</v>
      </c>
      <c r="O55" s="3897"/>
      <c r="P55" s="3897"/>
      <c r="Q55" s="3901"/>
      <c r="R55" s="3946">
        <f t="shared" ref="R55:R59" si="113">O55+P55+Q55</f>
        <v>0</v>
      </c>
      <c r="S55" s="3901"/>
      <c r="T55" s="3901"/>
      <c r="U55" s="3944"/>
      <c r="V55" s="3946">
        <f t="shared" si="35"/>
        <v>0</v>
      </c>
      <c r="W55" s="3945">
        <f t="shared" si="36"/>
        <v>0</v>
      </c>
      <c r="X55" s="3913">
        <f t="shared" si="109"/>
        <v>0</v>
      </c>
      <c r="Y55" s="3912">
        <v>1566</v>
      </c>
      <c r="Z55" s="3901">
        <v>736</v>
      </c>
      <c r="AA55" s="3901">
        <v>1450</v>
      </c>
      <c r="AB55" s="3946">
        <f t="shared" si="0"/>
        <v>3752</v>
      </c>
      <c r="AC55" s="3901">
        <v>1211</v>
      </c>
      <c r="AD55" s="3901">
        <v>4502.82</v>
      </c>
      <c r="AE55" s="3901">
        <v>1693</v>
      </c>
      <c r="AF55" s="3911">
        <f t="shared" si="1"/>
        <v>7406.82</v>
      </c>
      <c r="AG55" s="3945">
        <f t="shared" ref="AG55:AG59" si="114">+AB55+AF55</f>
        <v>11158.82</v>
      </c>
      <c r="AH55" s="3897"/>
      <c r="AI55" s="3897">
        <v>4854.9669999999996</v>
      </c>
      <c r="AJ55" s="3897">
        <v>5995</v>
      </c>
      <c r="AK55" s="3946">
        <f t="shared" si="3"/>
        <v>10849.967000000001</v>
      </c>
      <c r="AL55" s="3901">
        <v>421</v>
      </c>
      <c r="AM55" s="3901"/>
      <c r="AN55" s="3944"/>
      <c r="AO55" s="3946">
        <f t="shared" ref="AO55:AO59" si="115">+AL55+AM55+AN55</f>
        <v>421</v>
      </c>
      <c r="AP55" s="3945">
        <f t="shared" ref="AP55:AP59" si="116">+AK55+AO55</f>
        <v>11270.967000000001</v>
      </c>
      <c r="AQ55" s="3910">
        <f>+AB55+AF55+AK55+AO55</f>
        <v>22429.787</v>
      </c>
      <c r="AR55" s="3900">
        <f t="shared" si="6"/>
        <v>22429.787</v>
      </c>
      <c r="AS55" s="3943"/>
      <c r="AT55" s="3903"/>
      <c r="AU55" s="3909">
        <f t="shared" si="41"/>
        <v>1566</v>
      </c>
      <c r="AV55" s="3908"/>
      <c r="AW55" s="3907">
        <f t="shared" si="42"/>
        <v>736</v>
      </c>
      <c r="AX55" s="3906"/>
      <c r="AY55" s="3906">
        <f t="shared" si="43"/>
        <v>2302</v>
      </c>
      <c r="AZ55" s="3906"/>
      <c r="BA55" s="3907">
        <f t="shared" si="7"/>
        <v>1450</v>
      </c>
      <c r="BB55" s="3905"/>
      <c r="BC55" s="3905">
        <f t="shared" si="8"/>
        <v>3752</v>
      </c>
      <c r="BD55" s="3906"/>
      <c r="BE55" s="3907">
        <f t="shared" si="9"/>
        <v>1211</v>
      </c>
      <c r="BF55" s="3904"/>
      <c r="BG55" s="3904">
        <f t="shared" si="10"/>
        <v>4963</v>
      </c>
      <c r="BH55" s="3906"/>
      <c r="BI55" s="3907">
        <f t="shared" si="11"/>
        <v>4502.82</v>
      </c>
      <c r="BJ55" s="3904"/>
      <c r="BK55" s="3904">
        <f t="shared" si="12"/>
        <v>9465.82</v>
      </c>
      <c r="BL55" s="3906"/>
      <c r="BM55" s="3907">
        <f t="shared" si="13"/>
        <v>1693</v>
      </c>
      <c r="BN55" s="3906"/>
      <c r="BO55" s="3905">
        <f t="shared" si="14"/>
        <v>7406.82</v>
      </c>
      <c r="BP55" s="3906"/>
      <c r="BQ55" s="3928">
        <f t="shared" si="15"/>
        <v>11158.82</v>
      </c>
      <c r="BR55" s="3906"/>
      <c r="BS55" s="3907">
        <f t="shared" si="16"/>
        <v>0</v>
      </c>
      <c r="BT55" s="3904"/>
      <c r="BU55" s="3904">
        <f t="shared" si="17"/>
        <v>11158.82</v>
      </c>
      <c r="BV55" s="3906"/>
      <c r="BW55" s="3907">
        <f t="shared" si="18"/>
        <v>4854.9669999999996</v>
      </c>
      <c r="BX55" s="3906"/>
      <c r="BY55" s="3906">
        <f t="shared" si="19"/>
        <v>16013.787</v>
      </c>
      <c r="BZ55" s="3906"/>
      <c r="CA55" s="3907">
        <f t="shared" si="20"/>
        <v>5995</v>
      </c>
      <c r="CB55" s="3906"/>
      <c r="CC55" s="3905">
        <f t="shared" si="21"/>
        <v>10849.967000000001</v>
      </c>
      <c r="CD55" s="3904"/>
      <c r="CE55" s="3904">
        <f t="shared" si="22"/>
        <v>22008.787</v>
      </c>
      <c r="CF55" s="3906"/>
      <c r="CG55" s="3907">
        <f t="shared" si="23"/>
        <v>421</v>
      </c>
      <c r="CH55" s="3906"/>
      <c r="CI55" s="3906">
        <f t="shared" si="24"/>
        <v>22429.787</v>
      </c>
      <c r="CJ55" s="3906"/>
      <c r="CK55" s="3907">
        <f t="shared" si="25"/>
        <v>0</v>
      </c>
      <c r="CL55" s="3904"/>
      <c r="CM55" s="3904">
        <f t="shared" si="26"/>
        <v>22429.787</v>
      </c>
      <c r="CN55" s="3906"/>
      <c r="CO55" s="3907">
        <f t="shared" si="27"/>
        <v>0</v>
      </c>
      <c r="CP55" s="3906"/>
      <c r="CQ55" s="3905">
        <f t="shared" si="28"/>
        <v>421</v>
      </c>
      <c r="CR55" s="3906"/>
      <c r="CS55" s="3928">
        <f t="shared" si="29"/>
        <v>11270.967000000001</v>
      </c>
      <c r="CT55" s="3904"/>
      <c r="CU55" s="3930">
        <f t="shared" si="30"/>
        <v>22429.787</v>
      </c>
      <c r="CV55" s="5317"/>
      <c r="CW55" s="5317"/>
      <c r="CY55" s="634"/>
      <c r="CZ55" s="634"/>
      <c r="DA55" s="634"/>
    </row>
    <row r="56" spans="1:105" x14ac:dyDescent="0.3">
      <c r="A56" s="3958"/>
      <c r="B56" s="3958"/>
      <c r="C56" s="3958"/>
      <c r="D56" s="3958"/>
      <c r="E56" s="4563" t="s">
        <v>2118</v>
      </c>
      <c r="F56" s="4567"/>
      <c r="G56" s="4568"/>
      <c r="H56" s="4568"/>
      <c r="I56" s="4568"/>
      <c r="J56" s="4568"/>
      <c r="K56" s="4568"/>
      <c r="L56" s="4568">
        <v>192</v>
      </c>
      <c r="M56" s="4568">
        <f t="shared" ref="M56" si="117">J56+K56+L56</f>
        <v>192</v>
      </c>
      <c r="N56" s="4568">
        <f t="shared" ref="N56" si="118">I56+M56</f>
        <v>192</v>
      </c>
      <c r="O56" s="4568"/>
      <c r="P56" s="4568">
        <v>229.608</v>
      </c>
      <c r="Q56" s="4568"/>
      <c r="R56" s="4568">
        <f t="shared" si="113"/>
        <v>229.608</v>
      </c>
      <c r="S56" s="4568"/>
      <c r="T56" s="4568"/>
      <c r="U56" s="4569"/>
      <c r="V56" s="4568">
        <f t="shared" si="35"/>
        <v>0</v>
      </c>
      <c r="W56" s="4568">
        <f t="shared" si="36"/>
        <v>229.608</v>
      </c>
      <c r="X56" s="4570">
        <f t="shared" ref="X56" si="119">+I56+M56+R56+V56</f>
        <v>421.608</v>
      </c>
      <c r="Y56" s="4571"/>
      <c r="Z56" s="4568"/>
      <c r="AA56" s="4568"/>
      <c r="AB56" s="4568"/>
      <c r="AC56" s="4568"/>
      <c r="AD56" s="4568"/>
      <c r="AE56" s="4568">
        <v>182</v>
      </c>
      <c r="AF56" s="4571">
        <f t="shared" ref="AF56" si="120">SUM(AC56:AE56)</f>
        <v>182</v>
      </c>
      <c r="AG56" s="4568">
        <f t="shared" ref="AG56" si="121">+AB56+AF56</f>
        <v>182</v>
      </c>
      <c r="AH56" s="4568"/>
      <c r="AI56" s="4568"/>
      <c r="AJ56" s="4568"/>
      <c r="AK56" s="4568">
        <f t="shared" ref="AK56" si="122">SUM(AH56:AJ56)</f>
        <v>0</v>
      </c>
      <c r="AL56" s="4568"/>
      <c r="AM56" s="4568"/>
      <c r="AN56" s="4569"/>
      <c r="AO56" s="4568">
        <f t="shared" ref="AO56" si="123">+AL56+AM56+AN56</f>
        <v>0</v>
      </c>
      <c r="AP56" s="4568">
        <f t="shared" ref="AP56" si="124">+AK56+AO56</f>
        <v>0</v>
      </c>
      <c r="AQ56" s="4572">
        <f t="shared" ref="AQ56" si="125">+AB56+AF56+AK56+AO56</f>
        <v>182</v>
      </c>
      <c r="AR56" s="4573">
        <f t="shared" ref="AR56" si="126">+X56+AQ56</f>
        <v>603.60799999999995</v>
      </c>
      <c r="AS56" s="3943"/>
      <c r="AT56" s="4574"/>
      <c r="AU56" s="4575">
        <f t="shared" ref="AU56" si="127">+F56+Y56</f>
        <v>0</v>
      </c>
      <c r="AV56" s="4576"/>
      <c r="AW56" s="4577">
        <f t="shared" ref="AW56" si="128">+G56+Z56</f>
        <v>0</v>
      </c>
      <c r="AX56" s="4578"/>
      <c r="AY56" s="4578">
        <f t="shared" ref="AY56" si="129">AU56+AW56</f>
        <v>0</v>
      </c>
      <c r="AZ56" s="4578"/>
      <c r="BA56" s="4577">
        <f t="shared" ref="BA56" si="130">+H56+AA56</f>
        <v>0</v>
      </c>
      <c r="BB56" s="4578"/>
      <c r="BC56" s="4578">
        <f t="shared" ref="BC56" si="131">AU56+AW56+BA56</f>
        <v>0</v>
      </c>
      <c r="BD56" s="4578"/>
      <c r="BE56" s="4577">
        <f t="shared" ref="BE56" si="132">+J56+AC56</f>
        <v>0</v>
      </c>
      <c r="BF56" s="4578"/>
      <c r="BG56" s="4578">
        <f t="shared" ref="BG56" si="133">+BC56+BE56</f>
        <v>0</v>
      </c>
      <c r="BH56" s="4578"/>
      <c r="BI56" s="4577">
        <f t="shared" ref="BI56" si="134">K56+AD56</f>
        <v>0</v>
      </c>
      <c r="BJ56" s="4578"/>
      <c r="BK56" s="4578">
        <f t="shared" ref="BK56" si="135">+BG56+BI56</f>
        <v>0</v>
      </c>
      <c r="BL56" s="4578"/>
      <c r="BM56" s="4577">
        <f t="shared" ref="BM56" si="136">+L56+AE56</f>
        <v>374</v>
      </c>
      <c r="BN56" s="4578"/>
      <c r="BO56" s="4578">
        <f t="shared" ref="BO56" si="137">BE56+BI56+BM56</f>
        <v>374</v>
      </c>
      <c r="BP56" s="4578"/>
      <c r="BQ56" s="4578">
        <f t="shared" ref="BQ56" si="138">BC56+BO56</f>
        <v>374</v>
      </c>
      <c r="BR56" s="4578"/>
      <c r="BS56" s="4577">
        <f t="shared" ref="BS56" si="139">+O56+AH56</f>
        <v>0</v>
      </c>
      <c r="BT56" s="3904"/>
      <c r="BU56" s="3904">
        <f t="shared" ref="BU56" si="140">BQ56+BS56</f>
        <v>374</v>
      </c>
      <c r="BV56" s="4578"/>
      <c r="BW56" s="4577">
        <f t="shared" ref="BW56" si="141">+P56+AI56</f>
        <v>229.608</v>
      </c>
      <c r="BX56" s="4578"/>
      <c r="BY56" s="4578">
        <f t="shared" ref="BY56" si="142">BU56+BW56</f>
        <v>603.60799999999995</v>
      </c>
      <c r="BZ56" s="4578"/>
      <c r="CA56" s="4577">
        <f t="shared" ref="CA56" si="143">+Q56+AJ56</f>
        <v>0</v>
      </c>
      <c r="CB56" s="4578"/>
      <c r="CC56" s="4578">
        <f t="shared" ref="CC56" si="144">BS56+BW56+CA56</f>
        <v>229.608</v>
      </c>
      <c r="CD56" s="4578"/>
      <c r="CE56" s="4578">
        <f t="shared" ref="CE56" si="145">BY56+CA56</f>
        <v>603.60799999999995</v>
      </c>
      <c r="CF56" s="4578"/>
      <c r="CG56" s="4577">
        <f t="shared" ref="CG56" si="146">+S56+AL56</f>
        <v>0</v>
      </c>
      <c r="CH56" s="4578"/>
      <c r="CI56" s="4578">
        <f t="shared" si="24"/>
        <v>603.60799999999995</v>
      </c>
      <c r="CJ56" s="4578"/>
      <c r="CK56" s="4577">
        <f t="shared" ref="CK56" si="147">+T56+AM56</f>
        <v>0</v>
      </c>
      <c r="CL56" s="3904"/>
      <c r="CM56" s="3904">
        <f t="shared" ref="CM56" si="148">CI56+CK56</f>
        <v>603.60799999999995</v>
      </c>
      <c r="CN56" s="4578"/>
      <c r="CO56" s="4577">
        <f t="shared" ref="CO56" si="149">+U56+AN56</f>
        <v>0</v>
      </c>
      <c r="CP56" s="4578"/>
      <c r="CQ56" s="4578">
        <f t="shared" ref="CQ56" si="150">CG56+CK56+CO56</f>
        <v>0</v>
      </c>
      <c r="CR56" s="4578"/>
      <c r="CS56" s="4578">
        <f t="shared" ref="CS56" si="151">CC56+CQ56</f>
        <v>229.608</v>
      </c>
      <c r="CT56" s="4578"/>
      <c r="CU56" s="4579">
        <f t="shared" ref="CU56" si="152">SUM(AU56,AW56,BA56,BE56,BI56,BM56,BS56,BW56,CA56,CG56,CK56,CO56)</f>
        <v>603.60799999999995</v>
      </c>
      <c r="CV56" s="5317"/>
      <c r="CW56" s="5317"/>
      <c r="CY56" s="634"/>
      <c r="CZ56" s="634"/>
      <c r="DA56" s="634"/>
    </row>
    <row r="57" spans="1:105" s="4580" customFormat="1" x14ac:dyDescent="0.3">
      <c r="A57" s="4566"/>
      <c r="B57" s="4566"/>
      <c r="C57" s="4566"/>
      <c r="D57" s="4566"/>
      <c r="E57" s="4563" t="s">
        <v>1923</v>
      </c>
      <c r="F57" s="4567">
        <v>1330</v>
      </c>
      <c r="G57" s="4568">
        <v>2888</v>
      </c>
      <c r="H57" s="4568">
        <v>2621</v>
      </c>
      <c r="I57" s="4568">
        <f t="shared" si="110"/>
        <v>6839</v>
      </c>
      <c r="J57" s="4568">
        <v>1987</v>
      </c>
      <c r="K57" s="4568">
        <v>2968.056</v>
      </c>
      <c r="L57" s="4568">
        <v>1158</v>
      </c>
      <c r="M57" s="4568">
        <f t="shared" ref="M57:M58" si="153">J57+K57+L57</f>
        <v>6113.0560000000005</v>
      </c>
      <c r="N57" s="4568">
        <f t="shared" ref="N57:N58" si="154">I57+M57</f>
        <v>12952.056</v>
      </c>
      <c r="O57" s="4568">
        <v>2564</v>
      </c>
      <c r="P57" s="4568">
        <v>2419.9989999999998</v>
      </c>
      <c r="Q57" s="4568">
        <v>1682</v>
      </c>
      <c r="R57" s="4568">
        <f t="shared" si="113"/>
        <v>6665.9989999999998</v>
      </c>
      <c r="S57" s="4568">
        <v>1429</v>
      </c>
      <c r="T57" s="4568">
        <v>1341.5060000000001</v>
      </c>
      <c r="U57" s="4569">
        <v>2104.7399999999998</v>
      </c>
      <c r="V57" s="4568">
        <f t="shared" si="35"/>
        <v>4875.2460000000001</v>
      </c>
      <c r="W57" s="4568">
        <f t="shared" si="36"/>
        <v>11541.244999999999</v>
      </c>
      <c r="X57" s="4570">
        <f t="shared" si="109"/>
        <v>24493.300999999999</v>
      </c>
      <c r="Y57" s="4571">
        <v>340</v>
      </c>
      <c r="Z57" s="4568">
        <v>526</v>
      </c>
      <c r="AA57" s="4568">
        <v>150</v>
      </c>
      <c r="AB57" s="4568">
        <f t="shared" si="0"/>
        <v>1016</v>
      </c>
      <c r="AC57" s="4568">
        <v>332</v>
      </c>
      <c r="AD57" s="4568">
        <v>610.94600000000003</v>
      </c>
      <c r="AE57" s="4568">
        <v>774</v>
      </c>
      <c r="AF57" s="4571">
        <f t="shared" ref="AF57:AF59" si="155">SUM(AC57:AE57)</f>
        <v>1716.9459999999999</v>
      </c>
      <c r="AG57" s="4568">
        <f t="shared" si="114"/>
        <v>2732.9459999999999</v>
      </c>
      <c r="AH57" s="4568">
        <v>161</v>
      </c>
      <c r="AI57" s="4568">
        <v>188.70699999999999</v>
      </c>
      <c r="AJ57" s="4568">
        <v>157</v>
      </c>
      <c r="AK57" s="4568">
        <f t="shared" si="3"/>
        <v>506.70699999999999</v>
      </c>
      <c r="AL57" s="4568">
        <v>217</v>
      </c>
      <c r="AM57" s="4568">
        <v>80.787999999999997</v>
      </c>
      <c r="AN57" s="4569">
        <v>131.81200000000001</v>
      </c>
      <c r="AO57" s="4568">
        <f t="shared" si="115"/>
        <v>429.6</v>
      </c>
      <c r="AP57" s="4568">
        <f t="shared" si="116"/>
        <v>936.30700000000002</v>
      </c>
      <c r="AQ57" s="4572">
        <f t="shared" ref="AQ57:AQ59" si="156">+AB57+AF57+AK57+AO57</f>
        <v>3669.2529999999997</v>
      </c>
      <c r="AR57" s="4573">
        <f t="shared" ref="AR57:AR59" si="157">+X57+AQ57</f>
        <v>28162.554</v>
      </c>
      <c r="AS57" s="3943"/>
      <c r="AT57" s="4574"/>
      <c r="AU57" s="4575">
        <f t="shared" si="41"/>
        <v>1670</v>
      </c>
      <c r="AV57" s="4576"/>
      <c r="AW57" s="4577">
        <f t="shared" si="42"/>
        <v>3414</v>
      </c>
      <c r="AX57" s="4578"/>
      <c r="AY57" s="4578">
        <f t="shared" si="43"/>
        <v>5084</v>
      </c>
      <c r="AZ57" s="4578"/>
      <c r="BA57" s="4577">
        <f t="shared" ref="BA57" si="158">+H57+AA57</f>
        <v>2771</v>
      </c>
      <c r="BB57" s="4578"/>
      <c r="BC57" s="4578">
        <f t="shared" ref="BC57" si="159">AU57+AW57+BA57</f>
        <v>7855</v>
      </c>
      <c r="BD57" s="4578"/>
      <c r="BE57" s="4577">
        <f t="shared" ref="BE57" si="160">+J57+AC57</f>
        <v>2319</v>
      </c>
      <c r="BF57" s="4578"/>
      <c r="BG57" s="4578">
        <f t="shared" ref="BG57" si="161">+BC57+BE57</f>
        <v>10174</v>
      </c>
      <c r="BH57" s="4578"/>
      <c r="BI57" s="4577">
        <f t="shared" ref="BI57" si="162">K57+AD57</f>
        <v>3579.002</v>
      </c>
      <c r="BJ57" s="4578"/>
      <c r="BK57" s="4578">
        <f t="shared" ref="BK57" si="163">+BG57+BI57</f>
        <v>13753.002</v>
      </c>
      <c r="BL57" s="4578"/>
      <c r="BM57" s="4577">
        <f t="shared" ref="BM57" si="164">+L57+AE57</f>
        <v>1932</v>
      </c>
      <c r="BN57" s="4578"/>
      <c r="BO57" s="4578">
        <f t="shared" ref="BO57" si="165">BE57+BI57+BM57</f>
        <v>7830.0020000000004</v>
      </c>
      <c r="BP57" s="4578"/>
      <c r="BQ57" s="4578">
        <f t="shared" ref="BQ57" si="166">BC57+BO57</f>
        <v>15685.002</v>
      </c>
      <c r="BR57" s="4578"/>
      <c r="BS57" s="4577">
        <f t="shared" ref="BS57" si="167">+O57+AH57</f>
        <v>2725</v>
      </c>
      <c r="BT57" s="3904"/>
      <c r="BU57" s="3904">
        <f t="shared" ref="BU57" si="168">BQ57+BS57</f>
        <v>18410.002</v>
      </c>
      <c r="BV57" s="4578"/>
      <c r="BW57" s="4577">
        <f t="shared" ref="BW57" si="169">+P57+AI57</f>
        <v>2608.7059999999997</v>
      </c>
      <c r="BX57" s="4578"/>
      <c r="BY57" s="4578">
        <f t="shared" ref="BY57" si="170">BU57+BW57</f>
        <v>21018.707999999999</v>
      </c>
      <c r="BZ57" s="4578"/>
      <c r="CA57" s="4577">
        <f t="shared" ref="CA57" si="171">+Q57+AJ57</f>
        <v>1839</v>
      </c>
      <c r="CB57" s="4578"/>
      <c r="CC57" s="4578">
        <f t="shared" ref="CC57" si="172">BS57+BW57+CA57</f>
        <v>7172.7060000000001</v>
      </c>
      <c r="CD57" s="4578"/>
      <c r="CE57" s="4578">
        <f t="shared" ref="CE57" si="173">BY57+CA57</f>
        <v>22857.707999999999</v>
      </c>
      <c r="CF57" s="4578"/>
      <c r="CG57" s="4577">
        <f t="shared" ref="CG57" si="174">+S57+AL57</f>
        <v>1646</v>
      </c>
      <c r="CH57" s="4578"/>
      <c r="CI57" s="4578">
        <f t="shared" si="24"/>
        <v>24503.707999999999</v>
      </c>
      <c r="CJ57" s="4578"/>
      <c r="CK57" s="4577">
        <f t="shared" ref="CK57" si="175">+T57+AM57</f>
        <v>1422.2940000000001</v>
      </c>
      <c r="CL57" s="3904"/>
      <c r="CM57" s="3904">
        <f t="shared" ref="CM57" si="176">CI57+CK57</f>
        <v>25926.002</v>
      </c>
      <c r="CN57" s="4578"/>
      <c r="CO57" s="4577">
        <f t="shared" ref="CO57" si="177">+U57+AN57</f>
        <v>2236.5519999999997</v>
      </c>
      <c r="CP57" s="4578"/>
      <c r="CQ57" s="4578">
        <f t="shared" ref="CQ57" si="178">CG57+CK57+CO57</f>
        <v>5304.8459999999995</v>
      </c>
      <c r="CR57" s="4578"/>
      <c r="CS57" s="4578">
        <f t="shared" ref="CS57" si="179">CC57+CQ57</f>
        <v>12477.552</v>
      </c>
      <c r="CT57" s="4578"/>
      <c r="CU57" s="4579">
        <f t="shared" ref="CU57" si="180">SUM(AU57,AW57,BA57,BE57,BI57,BM57,BS57,BW57,CA57,CG57,CK57,CO57)</f>
        <v>28162.554</v>
      </c>
      <c r="CV57" s="5317"/>
      <c r="CW57" s="5317"/>
      <c r="CX57" s="634"/>
      <c r="CY57" s="1139"/>
      <c r="CZ57" s="1139"/>
      <c r="DA57" s="1139"/>
    </row>
    <row r="58" spans="1:105" s="4580" customFormat="1" ht="16.2" thickBot="1" x14ac:dyDescent="0.35">
      <c r="A58" s="4566"/>
      <c r="B58" s="4566"/>
      <c r="C58" s="4566"/>
      <c r="D58" s="4566"/>
      <c r="E58" s="4563" t="s">
        <v>1326</v>
      </c>
      <c r="F58" s="4567">
        <v>2038</v>
      </c>
      <c r="G58" s="4568">
        <v>2418</v>
      </c>
      <c r="H58" s="4568">
        <v>1657</v>
      </c>
      <c r="I58" s="4568">
        <f t="shared" si="110"/>
        <v>6113</v>
      </c>
      <c r="J58" s="4568">
        <v>1165</v>
      </c>
      <c r="K58" s="4568">
        <v>1380.442</v>
      </c>
      <c r="L58" s="4568">
        <v>1955</v>
      </c>
      <c r="M58" s="4568">
        <f t="shared" si="153"/>
        <v>4500.442</v>
      </c>
      <c r="N58" s="4568">
        <f t="shared" si="154"/>
        <v>10613.441999999999</v>
      </c>
      <c r="O58" s="4568">
        <v>865</v>
      </c>
      <c r="P58" s="4568">
        <v>1044.9739999999999</v>
      </c>
      <c r="Q58" s="4568">
        <v>1233</v>
      </c>
      <c r="R58" s="4568">
        <f t="shared" si="113"/>
        <v>3142.9740000000002</v>
      </c>
      <c r="S58" s="4568">
        <v>1809</v>
      </c>
      <c r="T58" s="4568">
        <v>1318.12</v>
      </c>
      <c r="U58" s="4569">
        <v>1298.9860000000001</v>
      </c>
      <c r="V58" s="4568">
        <f t="shared" si="35"/>
        <v>4426.1059999999998</v>
      </c>
      <c r="W58" s="4568">
        <f t="shared" si="36"/>
        <v>7569.08</v>
      </c>
      <c r="X58" s="4570">
        <f t="shared" si="109"/>
        <v>18182.521999999997</v>
      </c>
      <c r="Y58" s="4571">
        <v>996</v>
      </c>
      <c r="Z58" s="4568">
        <v>930</v>
      </c>
      <c r="AA58" s="4568">
        <v>444</v>
      </c>
      <c r="AB58" s="4568">
        <f t="shared" si="0"/>
        <v>2370</v>
      </c>
      <c r="AC58" s="4568">
        <v>630</v>
      </c>
      <c r="AD58" s="4568">
        <v>507.36</v>
      </c>
      <c r="AE58" s="4568">
        <v>564</v>
      </c>
      <c r="AF58" s="4571">
        <f t="shared" si="155"/>
        <v>1701.3600000000001</v>
      </c>
      <c r="AG58" s="4568">
        <f t="shared" si="114"/>
        <v>4071.36</v>
      </c>
      <c r="AH58" s="4568">
        <v>334</v>
      </c>
      <c r="AI58" s="4568">
        <v>411.45600000000002</v>
      </c>
      <c r="AJ58" s="4568">
        <v>729</v>
      </c>
      <c r="AK58" s="4568">
        <f t="shared" si="3"/>
        <v>1474.4560000000001</v>
      </c>
      <c r="AL58" s="4568">
        <v>638</v>
      </c>
      <c r="AM58" s="4568">
        <v>372.05</v>
      </c>
      <c r="AN58" s="4569">
        <v>684.572</v>
      </c>
      <c r="AO58" s="4568">
        <f t="shared" si="115"/>
        <v>1694.6219999999998</v>
      </c>
      <c r="AP58" s="4568">
        <f t="shared" si="116"/>
        <v>3169.078</v>
      </c>
      <c r="AQ58" s="4572">
        <f t="shared" si="156"/>
        <v>7240.4380000000001</v>
      </c>
      <c r="AR58" s="4573">
        <f t="shared" si="157"/>
        <v>25422.959999999999</v>
      </c>
      <c r="AS58" s="3943"/>
      <c r="AT58" s="4574"/>
      <c r="AU58" s="4575">
        <f t="shared" si="41"/>
        <v>3034</v>
      </c>
      <c r="AV58" s="4576"/>
      <c r="AW58" s="4577">
        <f t="shared" si="42"/>
        <v>3348</v>
      </c>
      <c r="AX58" s="4578"/>
      <c r="AY58" s="4578">
        <f t="shared" si="43"/>
        <v>6382</v>
      </c>
      <c r="AZ58" s="4578"/>
      <c r="BA58" s="4577">
        <f>+H58+AA58</f>
        <v>2101</v>
      </c>
      <c r="BB58" s="4578"/>
      <c r="BC58" s="4578">
        <f>AU58+AW58+BA58</f>
        <v>8483</v>
      </c>
      <c r="BD58" s="4578"/>
      <c r="BE58" s="4577">
        <f>+J58+AC58</f>
        <v>1795</v>
      </c>
      <c r="BF58" s="4578"/>
      <c r="BG58" s="4578">
        <f>+BC58+BE58</f>
        <v>10278</v>
      </c>
      <c r="BH58" s="4578"/>
      <c r="BI58" s="4577">
        <f>K58+AD58</f>
        <v>1887.8020000000001</v>
      </c>
      <c r="BJ58" s="4578"/>
      <c r="BK58" s="4578">
        <f>+BG58+BI58</f>
        <v>12165.802</v>
      </c>
      <c r="BL58" s="4578"/>
      <c r="BM58" s="4577">
        <f>+L58+AE58</f>
        <v>2519</v>
      </c>
      <c r="BN58" s="4578"/>
      <c r="BO58" s="4578">
        <f>BE58+BI58+BM58</f>
        <v>6201.8019999999997</v>
      </c>
      <c r="BP58" s="4578"/>
      <c r="BQ58" s="4578">
        <f>BC58+BO58</f>
        <v>14684.802</v>
      </c>
      <c r="BR58" s="4578"/>
      <c r="BS58" s="4577">
        <f>+O58+AH58</f>
        <v>1199</v>
      </c>
      <c r="BT58" s="3904"/>
      <c r="BU58" s="3904">
        <f>BQ58+BS58</f>
        <v>15883.802</v>
      </c>
      <c r="BV58" s="4578"/>
      <c r="BW58" s="4577">
        <f>+P58+AI58</f>
        <v>1456.4299999999998</v>
      </c>
      <c r="BX58" s="4578"/>
      <c r="BY58" s="4578">
        <f>BU58+BW58</f>
        <v>17340.232</v>
      </c>
      <c r="BZ58" s="4578"/>
      <c r="CA58" s="4577">
        <f>+Q58+AJ58</f>
        <v>1962</v>
      </c>
      <c r="CB58" s="4578"/>
      <c r="CC58" s="4578">
        <f>BS58+BW58+CA58</f>
        <v>4617.43</v>
      </c>
      <c r="CD58" s="4578"/>
      <c r="CE58" s="4578">
        <f>BY58+CA58</f>
        <v>19302.232</v>
      </c>
      <c r="CF58" s="4578"/>
      <c r="CG58" s="4577">
        <f>+S58+AL58</f>
        <v>2447</v>
      </c>
      <c r="CH58" s="4578"/>
      <c r="CI58" s="4578">
        <f t="shared" si="24"/>
        <v>21749.232</v>
      </c>
      <c r="CJ58" s="4578"/>
      <c r="CK58" s="4577">
        <f>+T58+AM58</f>
        <v>1690.1699999999998</v>
      </c>
      <c r="CL58" s="3904"/>
      <c r="CM58" s="3904">
        <f>CI58+CK58</f>
        <v>23439.401999999998</v>
      </c>
      <c r="CN58" s="4578"/>
      <c r="CO58" s="4577">
        <f>+U58+AN58</f>
        <v>1983.558</v>
      </c>
      <c r="CP58" s="4578"/>
      <c r="CQ58" s="4578">
        <f>CG58+CK58+CO58</f>
        <v>6120.7280000000001</v>
      </c>
      <c r="CR58" s="4578"/>
      <c r="CS58" s="4578">
        <f>CC58+CQ58</f>
        <v>10738.157999999999</v>
      </c>
      <c r="CT58" s="4578"/>
      <c r="CU58" s="4579">
        <f>SUM(AU58,AW58,BA58,BE58,BI58,BM58,BS58,BW58,CA58,CG58,CK58,CO58)</f>
        <v>25422.959999999999</v>
      </c>
      <c r="CV58" s="5317"/>
      <c r="CW58" s="5317"/>
      <c r="CX58" s="634"/>
      <c r="CY58" s="1139"/>
      <c r="CZ58" s="1139"/>
      <c r="DA58" s="1139"/>
    </row>
    <row r="59" spans="1:105" ht="16.2" thickBot="1" x14ac:dyDescent="0.35">
      <c r="A59" s="3923"/>
      <c r="B59" s="3923"/>
      <c r="C59" s="3923"/>
      <c r="D59" s="3923"/>
      <c r="E59" s="3934" t="s">
        <v>2</v>
      </c>
      <c r="F59" s="3933">
        <f>SUM(F6:F58)</f>
        <v>62420</v>
      </c>
      <c r="G59" s="3933">
        <f>SUM(G6:G58)</f>
        <v>81608</v>
      </c>
      <c r="H59" s="3933">
        <f>SUM(H6:H58)</f>
        <v>84357</v>
      </c>
      <c r="I59" s="3946">
        <f t="shared" si="110"/>
        <v>228385</v>
      </c>
      <c r="J59" s="3933">
        <f t="shared" ref="J59:Q59" si="181">SUM(J6:J58)</f>
        <v>92525</v>
      </c>
      <c r="K59" s="3933">
        <f t="shared" si="181"/>
        <v>80355.254000000001</v>
      </c>
      <c r="L59" s="3933">
        <f t="shared" si="181"/>
        <v>76459</v>
      </c>
      <c r="M59" s="3933">
        <f t="shared" si="181"/>
        <v>249339.25400000004</v>
      </c>
      <c r="N59" s="3933">
        <f t="shared" si="181"/>
        <v>477724.25399999996</v>
      </c>
      <c r="O59" s="3933">
        <f t="shared" si="181"/>
        <v>68582</v>
      </c>
      <c r="P59" s="3933">
        <f t="shared" si="181"/>
        <v>85309.43299999999</v>
      </c>
      <c r="Q59" s="3933">
        <f t="shared" si="181"/>
        <v>71039</v>
      </c>
      <c r="R59" s="3933">
        <f t="shared" si="113"/>
        <v>224930.43299999999</v>
      </c>
      <c r="S59" s="3933">
        <f>SUM(S6:S58)</f>
        <v>71675</v>
      </c>
      <c r="T59" s="3933">
        <f>SUM(T6:T58)</f>
        <v>56908.768000000011</v>
      </c>
      <c r="U59" s="3933">
        <f>SUM(U6:U58)</f>
        <v>74754.412000000011</v>
      </c>
      <c r="V59" s="3933">
        <f>SUM(V6:V58)</f>
        <v>203338.17999999993</v>
      </c>
      <c r="W59" s="3933">
        <f>SUM(W6:W58)</f>
        <v>428268.6129999999</v>
      </c>
      <c r="X59" s="3913">
        <f t="shared" si="109"/>
        <v>905992.86699999997</v>
      </c>
      <c r="Y59" s="3933">
        <f>SUM(Y6:Y58)</f>
        <v>86697</v>
      </c>
      <c r="Z59" s="3933">
        <f>SUM(Z6:Z58)</f>
        <v>93435</v>
      </c>
      <c r="AA59" s="3933">
        <f>SUM(AA6:AA58)</f>
        <v>98319</v>
      </c>
      <c r="AB59" s="3946">
        <f t="shared" si="0"/>
        <v>278451</v>
      </c>
      <c r="AC59" s="3933">
        <f>SUM(AC6:AC58)</f>
        <v>96524</v>
      </c>
      <c r="AD59" s="3933">
        <f>SUM(AD6:AD58)</f>
        <v>99121.232000000004</v>
      </c>
      <c r="AE59" s="3933">
        <f>SUM(AE6:AE58)</f>
        <v>95619</v>
      </c>
      <c r="AF59" s="3911">
        <f t="shared" si="155"/>
        <v>291264.23200000002</v>
      </c>
      <c r="AG59" s="3945">
        <f t="shared" si="114"/>
        <v>569715.23200000008</v>
      </c>
      <c r="AH59" s="3933">
        <f>SUM(AH6:AH58)</f>
        <v>66560</v>
      </c>
      <c r="AI59" s="3933">
        <f>SUM(AI6:AI58)</f>
        <v>92702.031000000017</v>
      </c>
      <c r="AJ59" s="3933">
        <f>SUM(AJ6:AJ58)</f>
        <v>97704</v>
      </c>
      <c r="AK59" s="3946">
        <f t="shared" si="3"/>
        <v>256966.03100000002</v>
      </c>
      <c r="AL59" s="3933">
        <f>SUM(AL6:AL58)</f>
        <v>92891</v>
      </c>
      <c r="AM59" s="3933">
        <f>SUM(AM6:AM58)</f>
        <v>78443.021999999997</v>
      </c>
      <c r="AN59" s="3933">
        <f>SUM(AN6:AN58)</f>
        <v>101786.50200000001</v>
      </c>
      <c r="AO59" s="3946">
        <f t="shared" si="115"/>
        <v>273120.52399999998</v>
      </c>
      <c r="AP59" s="3945">
        <f t="shared" si="116"/>
        <v>530086.55499999993</v>
      </c>
      <c r="AQ59" s="3910">
        <f t="shared" si="156"/>
        <v>1099801.787</v>
      </c>
      <c r="AR59" s="3900">
        <f t="shared" si="157"/>
        <v>2005794.6540000001</v>
      </c>
      <c r="AS59" s="3943"/>
      <c r="AT59" s="3932"/>
      <c r="AU59" s="3909">
        <f t="shared" si="41"/>
        <v>149117</v>
      </c>
      <c r="AV59" s="3908"/>
      <c r="AW59" s="3907">
        <f t="shared" si="42"/>
        <v>175043</v>
      </c>
      <c r="AX59" s="3906"/>
      <c r="AY59" s="3906">
        <f t="shared" si="43"/>
        <v>324160</v>
      </c>
      <c r="AZ59" s="3899">
        <f t="shared" ref="AZ59:CU59" si="182">SUM(AZ6:AZ58)</f>
        <v>0</v>
      </c>
      <c r="BA59" s="3899">
        <f t="shared" si="182"/>
        <v>182676</v>
      </c>
      <c r="BB59" s="3931">
        <f t="shared" si="182"/>
        <v>0</v>
      </c>
      <c r="BC59" s="3931">
        <f t="shared" si="182"/>
        <v>506836</v>
      </c>
      <c r="BD59" s="3899">
        <f t="shared" si="182"/>
        <v>0</v>
      </c>
      <c r="BE59" s="3899">
        <f t="shared" si="182"/>
        <v>189049</v>
      </c>
      <c r="BF59" s="3930">
        <f t="shared" si="182"/>
        <v>0</v>
      </c>
      <c r="BG59" s="3930">
        <f t="shared" si="182"/>
        <v>695885</v>
      </c>
      <c r="BH59" s="3899">
        <f t="shared" si="182"/>
        <v>0</v>
      </c>
      <c r="BI59" s="3899">
        <f t="shared" si="182"/>
        <v>179476.48599999998</v>
      </c>
      <c r="BJ59" s="3930">
        <f t="shared" si="182"/>
        <v>0</v>
      </c>
      <c r="BK59" s="3930">
        <f t="shared" si="182"/>
        <v>875361.48599999992</v>
      </c>
      <c r="BL59" s="3899">
        <f t="shared" si="182"/>
        <v>0</v>
      </c>
      <c r="BM59" s="3899">
        <f t="shared" si="182"/>
        <v>172078</v>
      </c>
      <c r="BN59" s="3899">
        <f t="shared" si="182"/>
        <v>0</v>
      </c>
      <c r="BO59" s="3931">
        <f t="shared" si="182"/>
        <v>540603.48600000003</v>
      </c>
      <c r="BP59" s="3899">
        <f t="shared" si="182"/>
        <v>0</v>
      </c>
      <c r="BQ59" s="3942">
        <f t="shared" si="182"/>
        <v>1047439.4859999999</v>
      </c>
      <c r="BR59" s="3899">
        <f t="shared" si="182"/>
        <v>0</v>
      </c>
      <c r="BS59" s="3899">
        <f t="shared" si="182"/>
        <v>135142</v>
      </c>
      <c r="BT59" s="3930">
        <f t="shared" si="182"/>
        <v>0</v>
      </c>
      <c r="BU59" s="3930">
        <f t="shared" si="182"/>
        <v>1182581.486</v>
      </c>
      <c r="BV59" s="3899">
        <f t="shared" si="182"/>
        <v>0</v>
      </c>
      <c r="BW59" s="3899">
        <f t="shared" si="182"/>
        <v>178011.46400000001</v>
      </c>
      <c r="BX59" s="3899">
        <f t="shared" si="182"/>
        <v>0</v>
      </c>
      <c r="BY59" s="3899">
        <f t="shared" si="182"/>
        <v>1360592.9500000004</v>
      </c>
      <c r="BZ59" s="3899">
        <f t="shared" si="182"/>
        <v>0</v>
      </c>
      <c r="CA59" s="3899">
        <f t="shared" si="182"/>
        <v>168743</v>
      </c>
      <c r="CB59" s="3899">
        <f t="shared" si="182"/>
        <v>0</v>
      </c>
      <c r="CC59" s="3931">
        <f t="shared" si="182"/>
        <v>481896.46400000004</v>
      </c>
      <c r="CD59" s="3899">
        <f t="shared" si="182"/>
        <v>0</v>
      </c>
      <c r="CE59" s="3899">
        <f t="shared" si="182"/>
        <v>1529335.9500000004</v>
      </c>
      <c r="CF59" s="3899">
        <f t="shared" si="182"/>
        <v>0</v>
      </c>
      <c r="CG59" s="3899">
        <f t="shared" si="182"/>
        <v>164566</v>
      </c>
      <c r="CH59" s="3899">
        <f t="shared" si="182"/>
        <v>0</v>
      </c>
      <c r="CI59" s="3899">
        <f t="shared" si="182"/>
        <v>1693901.9500000002</v>
      </c>
      <c r="CJ59" s="3899">
        <f t="shared" si="182"/>
        <v>0</v>
      </c>
      <c r="CK59" s="3899">
        <f t="shared" si="182"/>
        <v>135351.79</v>
      </c>
      <c r="CL59" s="3930">
        <f t="shared" si="182"/>
        <v>0</v>
      </c>
      <c r="CM59" s="3930">
        <f t="shared" si="182"/>
        <v>1829253.7400000007</v>
      </c>
      <c r="CN59" s="3899">
        <f t="shared" si="182"/>
        <v>0</v>
      </c>
      <c r="CO59" s="3899">
        <f t="shared" si="182"/>
        <v>176540.91399999999</v>
      </c>
      <c r="CP59" s="3899">
        <f t="shared" si="182"/>
        <v>0</v>
      </c>
      <c r="CQ59" s="3931">
        <f t="shared" si="182"/>
        <v>476458.70399999997</v>
      </c>
      <c r="CR59" s="3899">
        <f t="shared" si="182"/>
        <v>0</v>
      </c>
      <c r="CS59" s="3942">
        <f t="shared" si="182"/>
        <v>958355.16800000006</v>
      </c>
      <c r="CT59" s="3930">
        <f t="shared" si="182"/>
        <v>0</v>
      </c>
      <c r="CU59" s="3930">
        <f t="shared" si="182"/>
        <v>2005794.6540000003</v>
      </c>
      <c r="CV59" s="5317"/>
      <c r="CW59" s="5317"/>
      <c r="CX59" s="634"/>
    </row>
    <row r="60" spans="1:105" x14ac:dyDescent="0.3">
      <c r="A60" s="3923"/>
      <c r="B60" s="3923"/>
      <c r="C60" s="3923"/>
      <c r="D60" s="3923"/>
      <c r="E60" s="3922"/>
      <c r="F60" s="3923"/>
      <c r="G60" s="3923"/>
      <c r="H60" s="3923"/>
      <c r="I60" s="3923"/>
      <c r="J60" s="3923"/>
      <c r="K60" s="3923"/>
      <c r="L60" s="3923"/>
      <c r="M60" s="3923"/>
      <c r="N60" s="3923"/>
      <c r="O60" s="3923"/>
      <c r="P60" s="3923"/>
      <c r="Q60" s="3923"/>
      <c r="R60" s="3923"/>
      <c r="S60" s="3923"/>
      <c r="T60" s="3923"/>
      <c r="U60" s="3923"/>
      <c r="V60" s="3923"/>
      <c r="W60" s="3923"/>
      <c r="X60" s="3923"/>
      <c r="Y60" s="3923"/>
      <c r="Z60" s="3923"/>
      <c r="AA60" s="3923"/>
      <c r="AB60" s="3923"/>
      <c r="AC60" s="3923"/>
      <c r="AD60" s="3923"/>
      <c r="AE60" s="3923"/>
      <c r="AF60" s="3923"/>
      <c r="AG60" s="3923"/>
      <c r="AH60" s="3923"/>
      <c r="AI60" s="3923"/>
      <c r="AJ60" s="3923"/>
      <c r="AK60" s="3923"/>
      <c r="AL60" s="3923"/>
      <c r="AM60" s="3923"/>
      <c r="AN60" s="3923"/>
      <c r="AO60" s="3923"/>
      <c r="AP60" s="3923"/>
      <c r="AQ60" s="3923"/>
      <c r="AR60" s="3923"/>
      <c r="AS60" s="3923"/>
      <c r="AT60" s="3923"/>
      <c r="AU60" s="3923"/>
      <c r="AV60" s="3923"/>
      <c r="AW60" s="3923"/>
      <c r="AX60" s="3923"/>
      <c r="AY60" s="3923"/>
      <c r="AZ60" s="3923"/>
      <c r="BA60" s="3923"/>
      <c r="BB60" s="3923"/>
      <c r="BC60" s="3923"/>
      <c r="BD60" s="3923"/>
      <c r="BE60" s="3923"/>
      <c r="BF60" s="3923"/>
      <c r="BG60" s="3923"/>
      <c r="BH60" s="3923"/>
      <c r="BI60" s="3923"/>
      <c r="BJ60" s="3923"/>
      <c r="BK60" s="3923"/>
      <c r="BL60" s="3923"/>
      <c r="BM60" s="3923"/>
      <c r="BN60" s="3923"/>
      <c r="BO60" s="3923"/>
      <c r="BP60" s="3923"/>
      <c r="BQ60" s="3923"/>
      <c r="BR60" s="3923"/>
      <c r="BS60" s="3923"/>
      <c r="BT60" s="3923"/>
      <c r="BU60" s="3923"/>
      <c r="BV60" s="3923"/>
      <c r="BW60" s="3923"/>
      <c r="BX60" s="3923"/>
      <c r="BY60" s="3923"/>
      <c r="BZ60" s="3923"/>
      <c r="CA60" s="3923"/>
      <c r="CB60" s="3923"/>
      <c r="CC60" s="3923"/>
      <c r="CD60" s="3923"/>
      <c r="CE60" s="3923"/>
      <c r="CF60" s="3923"/>
      <c r="CG60" s="3923"/>
      <c r="CH60" s="3923"/>
      <c r="CI60" s="3923"/>
      <c r="CJ60" s="3923"/>
      <c r="CK60" s="3923"/>
      <c r="CL60" s="3923"/>
      <c r="CM60" s="3923"/>
      <c r="CN60" s="3923"/>
      <c r="CO60" s="3923"/>
      <c r="CP60" s="3923"/>
      <c r="CQ60" s="3923"/>
      <c r="CR60" s="3923"/>
      <c r="CS60" s="3923"/>
      <c r="CT60" s="3923"/>
      <c r="CU60" s="3921"/>
      <c r="CV60" s="634"/>
      <c r="CW60" s="634"/>
      <c r="CX60" s="634"/>
    </row>
    <row r="61" spans="1:105" ht="16.2" x14ac:dyDescent="0.3">
      <c r="A61" s="3923"/>
      <c r="B61" s="3923"/>
      <c r="C61" s="3923"/>
      <c r="D61" s="3923"/>
      <c r="E61" s="3922" t="s">
        <v>1099</v>
      </c>
      <c r="F61" s="3929">
        <f>+F59-SMS!F29</f>
        <v>0</v>
      </c>
      <c r="G61" s="3929">
        <f>+G59-SMS!H29</f>
        <v>155.58000000000175</v>
      </c>
      <c r="H61" s="3929">
        <f>+H59-SMS!L29</f>
        <v>-2</v>
      </c>
      <c r="I61" s="3929">
        <f>+I59-SMS!N29</f>
        <v>153.5800000000163</v>
      </c>
      <c r="J61" s="3929">
        <f>+J59-SMS!P29</f>
        <v>158</v>
      </c>
      <c r="K61" s="3929">
        <f>+K59-SMS!T29</f>
        <v>154.25400000000081</v>
      </c>
      <c r="L61" s="3929"/>
      <c r="M61" s="3902"/>
      <c r="N61" s="3902"/>
      <c r="O61" s="3929"/>
      <c r="P61" s="3902"/>
      <c r="Q61" s="3902"/>
      <c r="R61" s="3902"/>
      <c r="S61" s="3902"/>
      <c r="T61" s="3902"/>
      <c r="U61" s="3902"/>
      <c r="V61" s="3902"/>
      <c r="W61" s="3902"/>
      <c r="X61" s="3929"/>
      <c r="Y61" s="3929">
        <f>Y59-SMS!F32</f>
        <v>0</v>
      </c>
      <c r="Z61" s="3929"/>
      <c r="AA61" s="3929"/>
      <c r="AB61" s="3929"/>
      <c r="AC61" s="3929"/>
      <c r="AD61" s="3929"/>
      <c r="AE61" s="3929"/>
      <c r="AF61" s="3929"/>
      <c r="AG61" s="3902"/>
      <c r="AH61" s="3902"/>
      <c r="AI61" s="3929"/>
      <c r="AJ61" s="3902"/>
      <c r="AK61" s="3902"/>
      <c r="AL61" s="3902"/>
      <c r="AM61" s="3902"/>
      <c r="AN61" s="3902"/>
      <c r="AO61" s="3902"/>
      <c r="AP61" s="3902"/>
      <c r="AQ61" s="3929"/>
      <c r="AR61" s="3929"/>
      <c r="AS61" s="3929"/>
      <c r="AT61" s="3923"/>
      <c r="AU61" s="3929">
        <f>+AU59-(SMS!F29+SMS!F32)</f>
        <v>0</v>
      </c>
      <c r="AV61" s="3929"/>
      <c r="AW61" s="3929">
        <f>+AW59-(SMS!H29+SMS!H32)</f>
        <v>-2.5399999999790452</v>
      </c>
      <c r="AX61" s="3929"/>
      <c r="AY61" s="3929"/>
      <c r="AZ61" s="3929"/>
      <c r="BA61" s="3929">
        <f>+BA59-(SMS!L29+SMS!L32)</f>
        <v>-3</v>
      </c>
      <c r="BB61" s="3929"/>
      <c r="BC61" s="3929"/>
      <c r="BD61" s="3929"/>
      <c r="BE61" s="3929">
        <f>+BE59-(SMS!P29+SMS!P32)</f>
        <v>-2</v>
      </c>
      <c r="BF61" s="3929"/>
      <c r="BG61" s="3929">
        <f>+BG59-(SMS!R29+SMS!R32)</f>
        <v>-7.5400000000372529</v>
      </c>
      <c r="BH61" s="3929"/>
      <c r="BI61" s="3929">
        <f>+BI59-(SMS!T29+SMS!T32)</f>
        <v>-0.51400000002468005</v>
      </c>
      <c r="BJ61" s="3929"/>
      <c r="BK61" s="3929">
        <f>+BK59-(SMS!V29+SMS!V32)</f>
        <v>-8.0540000001201406</v>
      </c>
      <c r="BL61" s="3929"/>
      <c r="BM61" s="3929">
        <f>+BM59-(SMS!X29+SMS!X32)</f>
        <v>-1.6000000000058208</v>
      </c>
      <c r="BN61" s="3929">
        <f>+BN59-(SMS!Y29+SMS!Y32)</f>
        <v>-433247.99868447694</v>
      </c>
      <c r="BO61" s="3929">
        <f>+BO59-(SMS!Z29+SMS!Z32)</f>
        <v>-4.1140000000596046</v>
      </c>
      <c r="BP61" s="3929">
        <f>+BP59-(SMS!AA29+SMS!AA32)</f>
        <v>-952133.73994982196</v>
      </c>
      <c r="BQ61" s="3929">
        <f>+BQ59-(SMS!AB29+SMS!AB32)</f>
        <v>-9.6539999999804422</v>
      </c>
      <c r="BR61" s="3929"/>
      <c r="BS61" s="3929">
        <f>+BS59-(SMS!AD29+SMS!AD32)</f>
        <v>-4</v>
      </c>
      <c r="BT61" s="3929">
        <f>+BT59-(SMS!AE29+SMS!AE32)</f>
        <v>-1126086.1199498218</v>
      </c>
      <c r="BU61" s="3929">
        <f>+BU59-(SMS!AF29+SMS!AF32)</f>
        <v>-13.653999999864027</v>
      </c>
      <c r="BV61" s="3929">
        <f>+BV59-(SMS!AG29+SMS!AG32)</f>
        <v>-168508.89847294599</v>
      </c>
      <c r="BW61" s="3929">
        <f>+BW59-(SMS!AH29+SMS!AH32)</f>
        <v>1.0240000000048894</v>
      </c>
      <c r="BX61" s="3929">
        <f>+BX59-(SMS!AI29+SMS!AI32)</f>
        <v>-1294595.0184227678</v>
      </c>
      <c r="BY61" s="3929">
        <f>+BY59-(SMS!AJ29+SMS!AJ32)</f>
        <v>-12.62999999942258</v>
      </c>
      <c r="BZ61" s="3929">
        <f>+BZ59-(SMS!AK29+SMS!AK32)</f>
        <v>-173424.67255164299</v>
      </c>
      <c r="CA61" s="3929">
        <f>+CA59-(SMS!AL29+SMS!AL32)</f>
        <v>0</v>
      </c>
      <c r="CB61" s="3929">
        <f>+CB59-(SMS!AM29+SMS!AM32)</f>
        <v>-515885.95102458901</v>
      </c>
      <c r="CC61" s="3929">
        <f>+CC59-(SMS!AN29+SMS!AN32)</f>
        <v>-2.9759999999660067</v>
      </c>
      <c r="CD61" s="3929">
        <f>+CD59-(SMS!AO29+SMS!AO32)</f>
        <v>-1468019.6909744106</v>
      </c>
      <c r="CE61" s="3929">
        <f>+CE59-(SMS!AP29+SMS!AP32)</f>
        <v>-12.62999999942258</v>
      </c>
      <c r="CF61" s="3929">
        <f>+CF59-(SMS!AQ29+SMS!AQ32)</f>
        <v>-176674.11631922389</v>
      </c>
      <c r="CG61" s="3929">
        <f>+CG59-(SMS!AR29+SMS!AR32)</f>
        <v>-1.2800000000279397</v>
      </c>
      <c r="CH61" s="3929">
        <f>+CH59-(SMS!AS29+SMS!AS32)</f>
        <v>-1644693.8072936344</v>
      </c>
      <c r="CI61" s="3929">
        <f>+CI59-(SMS!AT29+SMS!AT32)</f>
        <v>-13.90999999968335</v>
      </c>
      <c r="CJ61" s="3929">
        <f>+CJ59-(SMS!AU29+SMS!AU32)</f>
        <v>-157621.94134457508</v>
      </c>
      <c r="CK61" s="3929">
        <f>+CK59-(SMS!AV29+SMS!AV32)</f>
        <v>0</v>
      </c>
      <c r="CL61" s="3929">
        <f>+CL59-(SMS!AW29+SMS!AW32)</f>
        <v>-1802315.7486382094</v>
      </c>
      <c r="CM61" s="3929">
        <f>+CM59-(SMS!AX29+SMS!AX32)</f>
        <v>-13.909999999217689</v>
      </c>
      <c r="CN61" s="3929">
        <f>+CN59-(SMS!AY29+SMS!AY32)</f>
        <v>-176146.41183373574</v>
      </c>
      <c r="CO61" s="3929">
        <f>+CO59-(SMS!AZ29+SMS!AZ32)</f>
        <v>3.999999986262992E-3</v>
      </c>
      <c r="CP61" s="3929">
        <f>+CP59-(SMS!BA29+SMS!BA32)</f>
        <v>-510442.46949753468</v>
      </c>
      <c r="CQ61" s="3929">
        <f>+CQ59-(SMS!BB29+SMS!BB32)</f>
        <v>-1.2760000000707805</v>
      </c>
      <c r="CR61" s="3929">
        <f>+CR59-(SMS!BC29+SMS!BC32)</f>
        <v>-1026328.4205221237</v>
      </c>
      <c r="CS61" s="3929">
        <f>+CS59-(SMS!BD29+SMS!BD32)</f>
        <v>-4.2519999999785796</v>
      </c>
      <c r="CT61" s="3929">
        <f>+CT59-(SMS!BE29+SMS!BE32)</f>
        <v>-1978462.1604719451</v>
      </c>
      <c r="CU61" s="3929">
        <f>+CU59-(SMS!BF29+SMS!BF32)</f>
        <v>-13.905999999726191</v>
      </c>
      <c r="CV61" s="634"/>
      <c r="CW61" s="634"/>
      <c r="CX61" s="634"/>
    </row>
    <row r="62" spans="1:105" x14ac:dyDescent="0.3">
      <c r="A62" s="3923"/>
      <c r="B62" s="3923"/>
      <c r="C62" s="3923"/>
      <c r="D62" s="3923"/>
      <c r="E62" s="3922"/>
      <c r="F62" s="3923"/>
      <c r="G62" s="3923"/>
      <c r="H62" s="3923"/>
      <c r="I62" s="3923"/>
      <c r="J62" s="3923"/>
      <c r="K62" s="3923"/>
      <c r="L62" s="3923"/>
      <c r="M62" s="3923"/>
      <c r="N62" s="3923"/>
      <c r="O62" s="3923"/>
      <c r="P62" s="3923"/>
      <c r="Q62" s="3923"/>
      <c r="R62" s="3923"/>
      <c r="S62" s="3923"/>
      <c r="T62" s="3923"/>
      <c r="U62" s="3923"/>
      <c r="V62" s="3923"/>
      <c r="W62" s="3923"/>
      <c r="X62" s="3923"/>
      <c r="Y62" s="3923"/>
      <c r="Z62" s="3923"/>
      <c r="AA62" s="3923"/>
      <c r="AB62" s="3923"/>
      <c r="AC62" s="3923"/>
      <c r="AD62" s="3923"/>
      <c r="AE62" s="3923"/>
      <c r="AF62" s="3923"/>
      <c r="AG62" s="3923"/>
      <c r="AH62" s="3923"/>
      <c r="AI62" s="3923"/>
      <c r="AJ62" s="3923"/>
      <c r="AK62" s="3923"/>
      <c r="AL62" s="3923"/>
      <c r="AM62" s="3923"/>
      <c r="AN62" s="3923"/>
      <c r="AO62" s="3923"/>
      <c r="AP62" s="3923"/>
      <c r="AQ62" s="3923"/>
      <c r="AR62" s="3923"/>
      <c r="AS62" s="3923"/>
      <c r="AT62" s="3923"/>
      <c r="AU62" s="3923"/>
      <c r="AV62" s="3923"/>
      <c r="AW62" s="3923"/>
      <c r="AX62" s="3923"/>
      <c r="AY62" s="3923"/>
      <c r="AZ62" s="3923"/>
      <c r="BA62" s="3923"/>
      <c r="BB62" s="3923"/>
      <c r="BC62" s="3923"/>
      <c r="BD62" s="3923"/>
      <c r="BE62" s="3923"/>
      <c r="BF62" s="3923"/>
      <c r="BG62" s="3923"/>
      <c r="BH62" s="3923"/>
      <c r="BI62" s="3923"/>
      <c r="BJ62" s="3923"/>
      <c r="BK62" s="3923"/>
      <c r="BL62" s="3923"/>
      <c r="BM62" s="3923"/>
      <c r="BN62" s="3923"/>
      <c r="BO62" s="3923"/>
      <c r="BP62" s="3923"/>
      <c r="BQ62" s="3923"/>
      <c r="BR62" s="3923"/>
      <c r="BS62" s="3923"/>
      <c r="BT62" s="3923"/>
      <c r="BU62" s="3923"/>
      <c r="BV62" s="3923"/>
      <c r="BW62" s="3923"/>
      <c r="BX62" s="3923"/>
      <c r="BY62" s="3923"/>
      <c r="BZ62" s="3923"/>
      <c r="CA62" s="3923"/>
      <c r="CB62" s="3923"/>
      <c r="CC62" s="3923"/>
      <c r="CD62" s="3923"/>
      <c r="CE62" s="3923"/>
      <c r="CF62" s="3923"/>
      <c r="CG62" s="3923"/>
      <c r="CH62" s="3923"/>
      <c r="CI62" s="3923"/>
      <c r="CJ62" s="3923"/>
      <c r="CK62" s="3923"/>
      <c r="CL62" s="3923"/>
      <c r="CM62" s="3923"/>
      <c r="CN62" s="3923"/>
      <c r="CO62" s="3923"/>
      <c r="CP62" s="3923"/>
      <c r="CQ62" s="3923"/>
      <c r="CR62" s="3923"/>
      <c r="CS62" s="3923"/>
      <c r="CT62" s="3923"/>
      <c r="CU62" s="3921"/>
      <c r="CV62" s="634"/>
      <c r="CW62" s="634"/>
      <c r="CX62" s="634"/>
    </row>
    <row r="63" spans="1:105" x14ac:dyDescent="0.3">
      <c r="AP63" s="3936"/>
      <c r="CV63" s="634"/>
      <c r="CW63" s="634"/>
      <c r="CX63" s="634"/>
      <c r="CY63" s="634"/>
      <c r="CZ63" s="634"/>
      <c r="DA63" s="634"/>
    </row>
    <row r="64" spans="1:105" x14ac:dyDescent="0.3">
      <c r="AU64" s="3936"/>
      <c r="AV64" s="3936"/>
      <c r="AW64" s="3936"/>
      <c r="AX64" s="3936"/>
      <c r="AY64" s="3936"/>
      <c r="AZ64" s="3936"/>
      <c r="BA64" s="3936"/>
      <c r="BB64" s="3936"/>
      <c r="BC64" s="3936"/>
      <c r="BD64" s="3936"/>
      <c r="BE64" s="3936"/>
      <c r="BF64" s="3936"/>
      <c r="BG64" s="3936"/>
      <c r="BH64" s="3936"/>
      <c r="BI64" s="3936"/>
      <c r="BJ64" s="3936"/>
      <c r="BK64" s="3936"/>
      <c r="BL64" s="3936"/>
      <c r="BM64" s="3936"/>
      <c r="BN64" s="3936"/>
      <c r="BO64" s="3936"/>
      <c r="BP64" s="3936"/>
      <c r="BQ64" s="3936"/>
      <c r="BR64" s="3936"/>
      <c r="BS64" s="3936"/>
      <c r="BT64" s="3936"/>
      <c r="BU64" s="3936"/>
      <c r="BV64" s="3936"/>
      <c r="CV64" s="634"/>
      <c r="CW64" s="634"/>
      <c r="CX64" s="634"/>
      <c r="CY64" s="634"/>
      <c r="CZ64" s="634"/>
      <c r="DA64" s="634"/>
    </row>
    <row r="65" spans="5:65" ht="21" x14ac:dyDescent="0.4">
      <c r="E65" s="4565"/>
      <c r="F65" s="3936"/>
      <c r="I65" s="1139">
        <v>9562</v>
      </c>
      <c r="O65" s="3936"/>
      <c r="BM65" s="3936"/>
    </row>
    <row r="66" spans="5:65" x14ac:dyDescent="0.3">
      <c r="F66" s="3936"/>
      <c r="I66" s="3936">
        <f>I65-L32</f>
        <v>0</v>
      </c>
      <c r="AH66" s="3936"/>
      <c r="BM66" s="3936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</mergeCells>
  <printOptions horizontalCentered="1" verticalCentered="1"/>
  <pageMargins left="0" right="0" top="0" bottom="0" header="0" footer="0"/>
  <pageSetup paperSize="9" scale="37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97575"/>
    <pageSetUpPr fitToPage="1"/>
  </sheetPr>
  <dimension ref="A1:BJ54"/>
  <sheetViews>
    <sheetView zoomScaleNormal="100" workbookViewId="0">
      <pane xSplit="1" topLeftCell="C1" activePane="topRight" state="frozen"/>
      <selection activeCell="BG86" sqref="BG86"/>
      <selection pane="topRight" activeCell="AW17" sqref="AW17"/>
    </sheetView>
  </sheetViews>
  <sheetFormatPr defaultColWidth="9.109375" defaultRowHeight="15.6" x14ac:dyDescent="0.3"/>
  <cols>
    <col min="1" max="1" width="55.88671875" style="149" customWidth="1"/>
    <col min="2" max="2" width="10.109375" style="149" hidden="1" customWidth="1"/>
    <col min="3" max="3" width="8.6640625" style="149" customWidth="1"/>
    <col min="4" max="4" width="10.33203125" style="149" hidden="1" customWidth="1"/>
    <col min="5" max="5" width="10.44140625" style="149" customWidth="1"/>
    <col min="6" max="6" width="10.44140625" style="149" hidden="1" customWidth="1"/>
    <col min="7" max="7" width="10.6640625" style="149" hidden="1" customWidth="1"/>
    <col min="8" max="8" width="9.109375" style="149" hidden="1" customWidth="1"/>
    <col min="9" max="9" width="9.5546875" style="149" customWidth="1"/>
    <col min="10" max="10" width="9.5546875" style="149" hidden="1" customWidth="1"/>
    <col min="11" max="11" width="10.6640625" style="149" customWidth="1"/>
    <col min="12" max="12" width="13" style="149" hidden="1" customWidth="1"/>
    <col min="13" max="13" width="12.5546875" style="149" customWidth="1"/>
    <col min="14" max="14" width="12.5546875" style="149" hidden="1" customWidth="1"/>
    <col min="15" max="15" width="16.88671875" style="149" hidden="1" customWidth="1"/>
    <col min="16" max="16" width="13" style="149" hidden="1" customWidth="1"/>
    <col min="17" max="17" width="12.5546875" style="149" customWidth="1"/>
    <col min="18" max="18" width="10.44140625" style="149" hidden="1" customWidth="1"/>
    <col min="19" max="19" width="10.6640625" style="149" hidden="1" customWidth="1"/>
    <col min="20" max="20" width="17" style="149" hidden="1" customWidth="1"/>
    <col min="21" max="21" width="11" style="149" customWidth="1"/>
    <col min="22" max="22" width="11" style="149" hidden="1" customWidth="1"/>
    <col min="23" max="23" width="10.6640625" style="149" customWidth="1"/>
    <col min="24" max="24" width="10.6640625" style="149" hidden="1" customWidth="1"/>
    <col min="25" max="25" width="10.6640625" style="149" customWidth="1"/>
    <col min="26" max="26" width="10.6640625" style="149" hidden="1" customWidth="1"/>
    <col min="27" max="27" width="9.109375" style="149" customWidth="1"/>
    <col min="28" max="28" width="9.109375" style="149" hidden="1" customWidth="1"/>
    <col min="29" max="30" width="10.6640625" style="149" hidden="1" customWidth="1"/>
    <col min="31" max="31" width="9.109375" style="149" customWidth="1"/>
    <col min="32" max="32" width="9.109375" style="149" hidden="1" customWidth="1"/>
    <col min="33" max="34" width="10.6640625" style="149" hidden="1" customWidth="1"/>
    <col min="35" max="35" width="9.109375" style="149" customWidth="1"/>
    <col min="36" max="36" width="9.109375" style="149" hidden="1" customWidth="1"/>
    <col min="37" max="37" width="10.6640625" style="149" customWidth="1"/>
    <col min="38" max="38" width="10.6640625" style="149" hidden="1" customWidth="1"/>
    <col min="39" max="39" width="7.88671875" style="149" hidden="1" customWidth="1"/>
    <col min="40" max="40" width="5.44140625" style="149" hidden="1" customWidth="1"/>
    <col min="41" max="41" width="9.109375" style="149" customWidth="1"/>
    <col min="42" max="42" width="9.109375" style="149" hidden="1" customWidth="1"/>
    <col min="43" max="44" width="10.6640625" style="149" hidden="1" customWidth="1"/>
    <col min="45" max="45" width="9.109375" style="149" customWidth="1"/>
    <col min="46" max="46" width="9.109375" style="149" hidden="1" customWidth="1"/>
    <col min="47" max="48" width="10.6640625" style="149" hidden="1" customWidth="1"/>
    <col min="49" max="49" width="9.109375" style="149" customWidth="1"/>
    <col min="50" max="50" width="9.109375" style="149" hidden="1" customWidth="1"/>
    <col min="51" max="51" width="10.6640625" style="149" customWidth="1"/>
    <col min="52" max="52" width="9.109375" style="149" hidden="1" customWidth="1"/>
    <col min="53" max="53" width="10.6640625" style="149" customWidth="1"/>
    <col min="54" max="54" width="10.6640625" style="149" hidden="1" customWidth="1"/>
    <col min="55" max="55" width="10.6640625" style="149" customWidth="1"/>
    <col min="56" max="58" width="9.109375" style="149" customWidth="1"/>
    <col min="59" max="16384" width="9.109375" style="149"/>
  </cols>
  <sheetData>
    <row r="1" spans="1:60" x14ac:dyDescent="0.3">
      <c r="A1" s="3000"/>
      <c r="B1" s="3000"/>
      <c r="C1" s="2984"/>
      <c r="D1" s="2984"/>
      <c r="E1" s="2984"/>
      <c r="F1" s="2984"/>
      <c r="G1" s="2984"/>
      <c r="H1" s="2984"/>
      <c r="I1" s="2984"/>
      <c r="J1" s="2984"/>
      <c r="K1" s="2984"/>
      <c r="L1" s="2984"/>
      <c r="M1" s="2984"/>
      <c r="N1" s="2984"/>
      <c r="O1" s="2984"/>
      <c r="P1" s="2984"/>
      <c r="Q1" s="2984"/>
      <c r="R1" s="2984"/>
      <c r="S1" s="2984"/>
      <c r="T1" s="2984"/>
      <c r="U1" s="2984"/>
      <c r="V1" s="2984"/>
      <c r="W1" s="2984"/>
      <c r="X1" s="2984"/>
      <c r="Y1" s="2984"/>
      <c r="Z1" s="2984"/>
    </row>
    <row r="2" spans="1:60" ht="17.399999999999999" x14ac:dyDescent="0.3">
      <c r="A2" s="6336" t="s">
        <v>1992</v>
      </c>
      <c r="B2" s="6336"/>
      <c r="C2" s="6336"/>
      <c r="D2" s="6336"/>
      <c r="E2" s="6336"/>
      <c r="F2" s="6336"/>
      <c r="G2" s="6336"/>
      <c r="H2" s="6336"/>
      <c r="I2" s="6336"/>
      <c r="J2" s="6336"/>
      <c r="K2" s="6336"/>
      <c r="L2" s="6336"/>
      <c r="M2" s="6336"/>
      <c r="N2" s="6336"/>
      <c r="O2" s="6336"/>
      <c r="P2" s="6336"/>
      <c r="Q2" s="6336"/>
      <c r="R2" s="6336"/>
      <c r="S2" s="6336"/>
      <c r="T2" s="6336"/>
      <c r="U2" s="6336"/>
      <c r="V2" s="6336"/>
      <c r="W2" s="6336"/>
      <c r="X2" s="6336"/>
      <c r="Y2" s="6336"/>
      <c r="Z2" s="6336"/>
      <c r="AA2" s="6336"/>
      <c r="AB2" s="6336"/>
      <c r="AC2" s="6336"/>
      <c r="AD2" s="6336"/>
      <c r="AE2" s="6336"/>
      <c r="AF2" s="6336"/>
      <c r="AG2" s="6336"/>
      <c r="AH2" s="6336"/>
      <c r="AI2" s="6336"/>
      <c r="AJ2" s="6336"/>
      <c r="AK2" s="6336"/>
      <c r="AL2" s="6336"/>
      <c r="AM2" s="6336"/>
      <c r="AN2" s="6336"/>
      <c r="AO2" s="6336"/>
      <c r="AP2" s="6336"/>
      <c r="AQ2" s="6336"/>
      <c r="AR2" s="6336"/>
      <c r="AS2" s="6336"/>
      <c r="AT2" s="6336"/>
      <c r="AU2" s="6336"/>
      <c r="AV2" s="6336"/>
      <c r="AW2" s="6336"/>
      <c r="AX2" s="6336"/>
      <c r="AY2" s="6336"/>
      <c r="AZ2" s="6336"/>
      <c r="BA2" s="6336"/>
      <c r="BB2" s="6336"/>
      <c r="BC2" s="6336"/>
    </row>
    <row r="3" spans="1:60" ht="16.2" thickBot="1" x14ac:dyDescent="0.35">
      <c r="A3" s="3000"/>
      <c r="B3" s="3000"/>
      <c r="C3" s="2984"/>
      <c r="D3" s="2984"/>
      <c r="E3" s="2984"/>
      <c r="F3" s="2984"/>
      <c r="G3" s="2984"/>
      <c r="H3" s="2984"/>
      <c r="I3" s="2984"/>
      <c r="J3" s="2984"/>
      <c r="K3" s="2984"/>
      <c r="L3" s="2984"/>
      <c r="M3" s="2984"/>
      <c r="N3" s="2984"/>
      <c r="O3" s="2984"/>
      <c r="P3" s="2984"/>
      <c r="Q3" s="2984"/>
      <c r="R3" s="2984"/>
      <c r="S3" s="2984"/>
      <c r="T3" s="2984"/>
      <c r="U3" s="2984"/>
      <c r="V3" s="2984"/>
      <c r="W3" s="2984"/>
      <c r="X3" s="2984"/>
      <c r="Y3" s="2984"/>
      <c r="Z3" s="2984"/>
    </row>
    <row r="4" spans="1:60" x14ac:dyDescent="0.3">
      <c r="A4" s="6339"/>
      <c r="B4" s="6315" t="s">
        <v>1962</v>
      </c>
      <c r="C4" s="6316"/>
      <c r="D4" s="6315" t="s">
        <v>2013</v>
      </c>
      <c r="E4" s="6316"/>
      <c r="F4" s="6319" t="s">
        <v>14</v>
      </c>
      <c r="G4" s="6320"/>
      <c r="H4" s="6332" t="s">
        <v>2043</v>
      </c>
      <c r="I4" s="6333"/>
      <c r="J4" s="6334" t="s">
        <v>637</v>
      </c>
      <c r="K4" s="6335"/>
      <c r="L4" s="6315" t="s">
        <v>2065</v>
      </c>
      <c r="M4" s="6316"/>
      <c r="N4" s="6319" t="s">
        <v>17</v>
      </c>
      <c r="O4" s="6320"/>
      <c r="P4" s="6337" t="s">
        <v>2068</v>
      </c>
      <c r="Q4" s="6338"/>
      <c r="R4" s="6319" t="s">
        <v>18</v>
      </c>
      <c r="S4" s="6320"/>
      <c r="T4" s="6321" t="s">
        <v>2110</v>
      </c>
      <c r="U4" s="6322"/>
      <c r="V4" s="6317" t="s">
        <v>833</v>
      </c>
      <c r="W4" s="6317"/>
      <c r="X4" s="6318" t="s">
        <v>657</v>
      </c>
      <c r="Y4" s="6318"/>
      <c r="Z4" s="6315" t="s">
        <v>2135</v>
      </c>
      <c r="AA4" s="6316"/>
      <c r="AB4" s="6319" t="s">
        <v>24</v>
      </c>
      <c r="AC4" s="6320"/>
      <c r="AD4" s="6315" t="s">
        <v>2238</v>
      </c>
      <c r="AE4" s="6316"/>
      <c r="AF4" s="6319" t="s">
        <v>27</v>
      </c>
      <c r="AG4" s="6320"/>
      <c r="AH4" s="6321" t="s">
        <v>2262</v>
      </c>
      <c r="AI4" s="6322"/>
      <c r="AJ4" s="6317" t="s">
        <v>1612</v>
      </c>
      <c r="AK4" s="6317"/>
      <c r="AL4" s="6319" t="s">
        <v>1613</v>
      </c>
      <c r="AM4" s="6320"/>
      <c r="AN4" s="6315" t="s">
        <v>2274</v>
      </c>
      <c r="AO4" s="6316"/>
      <c r="AP4" s="6319" t="s">
        <v>28</v>
      </c>
      <c r="AQ4" s="6320"/>
      <c r="AR4" s="6315" t="s">
        <v>2311</v>
      </c>
      <c r="AS4" s="6316"/>
      <c r="AT4" s="6319" t="s">
        <v>30</v>
      </c>
      <c r="AU4" s="6320"/>
      <c r="AV4" s="6315" t="s">
        <v>2329</v>
      </c>
      <c r="AW4" s="6316"/>
      <c r="AX4" s="6317" t="s">
        <v>1648</v>
      </c>
      <c r="AY4" s="6317"/>
      <c r="AZ4" s="6318" t="s">
        <v>670</v>
      </c>
      <c r="BA4" s="6318"/>
      <c r="BB4" s="6319" t="s">
        <v>2041</v>
      </c>
      <c r="BC4" s="6320"/>
    </row>
    <row r="5" spans="1:60" ht="16.2" thickBot="1" x14ac:dyDescent="0.35">
      <c r="A5" s="6340"/>
      <c r="B5" s="2994" t="s">
        <v>173</v>
      </c>
      <c r="C5" s="2987" t="s">
        <v>174</v>
      </c>
      <c r="D5" s="2994" t="s">
        <v>173</v>
      </c>
      <c r="E5" s="2987" t="s">
        <v>174</v>
      </c>
      <c r="F5" s="2988" t="s">
        <v>173</v>
      </c>
      <c r="G5" s="2989" t="s">
        <v>174</v>
      </c>
      <c r="H5" s="2990" t="s">
        <v>173</v>
      </c>
      <c r="I5" s="2991" t="s">
        <v>174</v>
      </c>
      <c r="J5" s="2992" t="s">
        <v>173</v>
      </c>
      <c r="K5" s="2993" t="s">
        <v>174</v>
      </c>
      <c r="L5" s="2990" t="s">
        <v>173</v>
      </c>
      <c r="M5" s="2987" t="s">
        <v>174</v>
      </c>
      <c r="N5" s="2988" t="s">
        <v>173</v>
      </c>
      <c r="O5" s="2989" t="s">
        <v>174</v>
      </c>
      <c r="P5" s="2990" t="s">
        <v>173</v>
      </c>
      <c r="Q5" s="2987" t="s">
        <v>174</v>
      </c>
      <c r="R5" s="2988" t="s">
        <v>173</v>
      </c>
      <c r="S5" s="2989" t="s">
        <v>174</v>
      </c>
      <c r="T5" s="2986" t="s">
        <v>173</v>
      </c>
      <c r="U5" s="3010" t="s">
        <v>174</v>
      </c>
      <c r="V5" s="3011" t="s">
        <v>173</v>
      </c>
      <c r="W5" s="3011" t="s">
        <v>174</v>
      </c>
      <c r="X5" s="3012" t="s">
        <v>173</v>
      </c>
      <c r="Y5" s="3012" t="s">
        <v>174</v>
      </c>
      <c r="Z5" s="2994" t="s">
        <v>173</v>
      </c>
      <c r="AA5" s="2987" t="s">
        <v>174</v>
      </c>
      <c r="AB5" s="2988" t="s">
        <v>173</v>
      </c>
      <c r="AC5" s="2989" t="s">
        <v>174</v>
      </c>
      <c r="AD5" s="2994" t="s">
        <v>173</v>
      </c>
      <c r="AE5" s="2987" t="s">
        <v>174</v>
      </c>
      <c r="AF5" s="2988" t="s">
        <v>173</v>
      </c>
      <c r="AG5" s="2989" t="s">
        <v>174</v>
      </c>
      <c r="AH5" s="2986" t="s">
        <v>173</v>
      </c>
      <c r="AI5" s="3010" t="s">
        <v>174</v>
      </c>
      <c r="AJ5" s="3011" t="s">
        <v>173</v>
      </c>
      <c r="AK5" s="3011" t="s">
        <v>174</v>
      </c>
      <c r="AL5" s="2988" t="s">
        <v>173</v>
      </c>
      <c r="AM5" s="2989" t="s">
        <v>174</v>
      </c>
      <c r="AN5" s="2994" t="s">
        <v>173</v>
      </c>
      <c r="AO5" s="2987" t="s">
        <v>174</v>
      </c>
      <c r="AP5" s="2988" t="s">
        <v>173</v>
      </c>
      <c r="AQ5" s="2989" t="s">
        <v>174</v>
      </c>
      <c r="AR5" s="2994" t="s">
        <v>173</v>
      </c>
      <c r="AS5" s="2987" t="s">
        <v>174</v>
      </c>
      <c r="AT5" s="2988" t="s">
        <v>173</v>
      </c>
      <c r="AU5" s="2989" t="s">
        <v>174</v>
      </c>
      <c r="AV5" s="2994" t="s">
        <v>173</v>
      </c>
      <c r="AW5" s="2987" t="s">
        <v>174</v>
      </c>
      <c r="AX5" s="3011" t="s">
        <v>173</v>
      </c>
      <c r="AY5" s="3011" t="s">
        <v>174</v>
      </c>
      <c r="AZ5" s="3012" t="s">
        <v>173</v>
      </c>
      <c r="BA5" s="3012" t="s">
        <v>174</v>
      </c>
      <c r="BB5" s="2988" t="s">
        <v>173</v>
      </c>
      <c r="BC5" s="2989" t="s">
        <v>174</v>
      </c>
    </row>
    <row r="6" spans="1:60" x14ac:dyDescent="0.3">
      <c r="A6" s="3004" t="s">
        <v>644</v>
      </c>
      <c r="B6" s="3005"/>
      <c r="C6" s="3013"/>
      <c r="D6" s="3013"/>
      <c r="E6" s="3014"/>
      <c r="F6" s="3014"/>
      <c r="G6" s="3014"/>
      <c r="H6" s="3014"/>
      <c r="I6" s="3014"/>
      <c r="J6" s="3015"/>
      <c r="K6" s="3016"/>
      <c r="L6" s="3014"/>
      <c r="M6" s="3014"/>
      <c r="N6" s="3014"/>
      <c r="O6" s="3014"/>
      <c r="P6" s="3014"/>
      <c r="Q6" s="3014"/>
      <c r="R6" s="3014"/>
      <c r="S6" s="3014"/>
      <c r="T6" s="3018"/>
      <c r="U6" s="3018"/>
      <c r="V6" s="3018"/>
      <c r="W6" s="3016"/>
      <c r="X6" s="3017"/>
      <c r="Y6" s="3018"/>
      <c r="Z6" s="3018"/>
      <c r="AA6" s="3018"/>
      <c r="AB6" s="3018"/>
      <c r="AC6" s="3018"/>
      <c r="AD6" s="3018"/>
      <c r="AE6" s="3018"/>
      <c r="AF6" s="3018"/>
      <c r="AG6" s="3018"/>
      <c r="AH6" s="3018"/>
      <c r="AI6" s="3018"/>
      <c r="AJ6" s="3018"/>
      <c r="AK6" s="3016"/>
      <c r="AL6" s="3017"/>
      <c r="AM6" s="3018"/>
      <c r="AN6" s="3018"/>
      <c r="AO6" s="3018"/>
      <c r="AP6" s="3018"/>
      <c r="AQ6" s="3018"/>
      <c r="AR6" s="3018"/>
      <c r="AS6" s="3018"/>
      <c r="AT6" s="3018"/>
      <c r="AU6" s="3018"/>
      <c r="AV6" s="3018"/>
      <c r="AW6" s="3018"/>
      <c r="AX6" s="3018"/>
      <c r="AY6" s="3016"/>
      <c r="AZ6" s="3017"/>
      <c r="BA6" s="3018"/>
      <c r="BB6" s="3018"/>
      <c r="BC6" s="3019"/>
    </row>
    <row r="7" spans="1:60" x14ac:dyDescent="0.3">
      <c r="A7" s="231" t="s">
        <v>1929</v>
      </c>
      <c r="B7" s="1499"/>
      <c r="C7" s="233"/>
      <c r="D7" s="233"/>
      <c r="E7" s="233"/>
      <c r="F7" s="1439"/>
      <c r="G7" s="1439">
        <f>+C7+E7</f>
        <v>0</v>
      </c>
      <c r="H7" s="1491"/>
      <c r="I7" s="233"/>
      <c r="J7" s="1507"/>
      <c r="K7" s="1201">
        <f>+C7+E7+I7</f>
        <v>0</v>
      </c>
      <c r="L7" s="1491"/>
      <c r="M7" s="233"/>
      <c r="N7" s="1504"/>
      <c r="O7" s="1524">
        <f>+C7+E7+I7+M7</f>
        <v>0</v>
      </c>
      <c r="P7" s="1491"/>
      <c r="Q7" s="233"/>
      <c r="R7" s="1439"/>
      <c r="S7" s="1439">
        <f>+O7+Q7</f>
        <v>0</v>
      </c>
      <c r="T7" s="2585"/>
      <c r="U7" s="233"/>
      <c r="V7" s="1504"/>
      <c r="W7" s="1201">
        <f t="shared" ref="W7:W49" si="0">+M7+Q7+U7</f>
        <v>0</v>
      </c>
      <c r="X7" s="2589"/>
      <c r="Y7" s="2590">
        <f t="shared" ref="Y7:Y49" si="1">+K7+W7</f>
        <v>0</v>
      </c>
      <c r="Z7" s="2591"/>
      <c r="AA7" s="233"/>
      <c r="AB7" s="233"/>
      <c r="AC7" s="2586">
        <f>+Y7+AA7</f>
        <v>0</v>
      </c>
      <c r="AD7" s="2585"/>
      <c r="AE7" s="233"/>
      <c r="AF7" s="233"/>
      <c r="AG7" s="2586">
        <f>+AC7+AE7</f>
        <v>0</v>
      </c>
      <c r="AH7" s="2585"/>
      <c r="AI7" s="233"/>
      <c r="AJ7" s="1504"/>
      <c r="AK7" s="1201">
        <f t="shared" ref="AK7:AK49" si="2">+AA7+AE7+AI7</f>
        <v>0</v>
      </c>
      <c r="AL7" s="2589"/>
      <c r="AM7" s="2586">
        <f>+AG7+AI7</f>
        <v>0</v>
      </c>
      <c r="AN7" s="2585"/>
      <c r="AO7" s="233">
        <v>895</v>
      </c>
      <c r="AP7" s="233"/>
      <c r="AQ7" s="2586">
        <f>AM7+AO7</f>
        <v>895</v>
      </c>
      <c r="AR7" s="2585"/>
      <c r="AS7" s="233"/>
      <c r="AT7" s="233"/>
      <c r="AU7" s="2586">
        <f>AQ7+AS7</f>
        <v>895</v>
      </c>
      <c r="AV7" s="2585"/>
      <c r="AW7" s="233"/>
      <c r="AX7" s="1504"/>
      <c r="AY7" s="1201">
        <f t="shared" ref="AY7:AY49" si="3">+AO7+AS7+AW7</f>
        <v>895</v>
      </c>
      <c r="AZ7" s="2589"/>
      <c r="BA7" s="2590">
        <f>+AK7+AY7</f>
        <v>895</v>
      </c>
      <c r="BB7" s="2586"/>
      <c r="BC7" s="1524">
        <f t="shared" ref="BC7:BC49" si="4">AU7+AW7</f>
        <v>895</v>
      </c>
      <c r="BD7" s="2999"/>
      <c r="BE7" s="2999"/>
    </row>
    <row r="8" spans="1:60" x14ac:dyDescent="0.3">
      <c r="A8" s="231" t="s">
        <v>1930</v>
      </c>
      <c r="B8" s="1499"/>
      <c r="C8" s="233"/>
      <c r="D8" s="233"/>
      <c r="E8" s="233">
        <v>8</v>
      </c>
      <c r="F8" s="1439"/>
      <c r="G8" s="1439">
        <f t="shared" ref="G8:G49" si="5">+C8+E8</f>
        <v>8</v>
      </c>
      <c r="H8" s="1491"/>
      <c r="I8" s="233"/>
      <c r="J8" s="1507"/>
      <c r="K8" s="1201">
        <f t="shared" ref="K8:K49" si="6">+C8+E8+I8</f>
        <v>8</v>
      </c>
      <c r="L8" s="1491"/>
      <c r="M8" s="233"/>
      <c r="N8" s="1504"/>
      <c r="O8" s="1524">
        <f t="shared" ref="O8:O49" si="7">+C8+E8+I8+M8</f>
        <v>8</v>
      </c>
      <c r="P8" s="1491"/>
      <c r="Q8" s="233">
        <v>307.10399999999998</v>
      </c>
      <c r="R8" s="1439"/>
      <c r="S8" s="1439">
        <f t="shared" ref="S8:S49" si="8">+O8+Q8</f>
        <v>315.10399999999998</v>
      </c>
      <c r="T8" s="2585"/>
      <c r="U8" s="233"/>
      <c r="V8" s="1504"/>
      <c r="W8" s="1201">
        <f t="shared" si="0"/>
        <v>307.10399999999998</v>
      </c>
      <c r="X8" s="2589"/>
      <c r="Y8" s="2590">
        <f t="shared" si="1"/>
        <v>315.10399999999998</v>
      </c>
      <c r="Z8" s="2591"/>
      <c r="AA8" s="233">
        <v>34</v>
      </c>
      <c r="AB8" s="233"/>
      <c r="AC8" s="2586">
        <f t="shared" ref="AC8:AC49" si="9">+Y8+AA8</f>
        <v>349.10399999999998</v>
      </c>
      <c r="AD8" s="2585"/>
      <c r="AE8" s="233"/>
      <c r="AF8" s="233"/>
      <c r="AG8" s="2586">
        <f t="shared" ref="AG8:AG49" si="10">+AC8+AE8</f>
        <v>349.10399999999998</v>
      </c>
      <c r="AH8" s="2585"/>
      <c r="AI8" s="233"/>
      <c r="AJ8" s="1504"/>
      <c r="AK8" s="1201">
        <f t="shared" si="2"/>
        <v>34</v>
      </c>
      <c r="AL8" s="2589"/>
      <c r="AM8" s="2586">
        <f t="shared" ref="AM8:AM49" si="11">+AG8+AI8</f>
        <v>349.10399999999998</v>
      </c>
      <c r="AN8" s="2585"/>
      <c r="AO8" s="233">
        <v>32</v>
      </c>
      <c r="AP8" s="233"/>
      <c r="AQ8" s="2586">
        <f t="shared" ref="AQ8:AQ49" si="12">AM8+AO8</f>
        <v>381.10399999999998</v>
      </c>
      <c r="AR8" s="2585"/>
      <c r="AS8" s="233">
        <v>75.492000000000004</v>
      </c>
      <c r="AT8" s="233"/>
      <c r="AU8" s="2586">
        <f t="shared" ref="AU8:AU49" si="13">AQ8+AS8</f>
        <v>456.596</v>
      </c>
      <c r="AV8" s="2585"/>
      <c r="AW8" s="233">
        <v>5.2160000000000002</v>
      </c>
      <c r="AX8" s="1504"/>
      <c r="AY8" s="1201">
        <f t="shared" si="3"/>
        <v>112.708</v>
      </c>
      <c r="AZ8" s="2589"/>
      <c r="BA8" s="2590">
        <f t="shared" ref="BA8:BA49" si="14">+AK8+AY8</f>
        <v>146.708</v>
      </c>
      <c r="BB8" s="2586"/>
      <c r="BC8" s="1524">
        <f t="shared" si="4"/>
        <v>461.81200000000001</v>
      </c>
      <c r="BD8" s="2999"/>
      <c r="BE8" s="2999"/>
      <c r="BG8" s="2999"/>
      <c r="BH8" s="2999"/>
    </row>
    <row r="9" spans="1:60" x14ac:dyDescent="0.3">
      <c r="A9" s="5334" t="s">
        <v>2280</v>
      </c>
      <c r="B9" s="1499"/>
      <c r="C9" s="5318"/>
      <c r="D9" s="5318"/>
      <c r="E9" s="5318"/>
      <c r="F9" s="5319"/>
      <c r="G9" s="5319"/>
      <c r="H9" s="5320"/>
      <c r="I9" s="5318"/>
      <c r="J9" s="1507"/>
      <c r="K9" s="4721"/>
      <c r="L9" s="5320"/>
      <c r="M9" s="5318"/>
      <c r="N9" s="1504"/>
      <c r="O9" s="4723"/>
      <c r="P9" s="5320"/>
      <c r="Q9" s="5318"/>
      <c r="R9" s="5319"/>
      <c r="S9" s="5319"/>
      <c r="T9" s="5321"/>
      <c r="U9" s="5318"/>
      <c r="V9" s="1504"/>
      <c r="W9" s="4721"/>
      <c r="X9" s="5322"/>
      <c r="Y9" s="5323"/>
      <c r="Z9" s="5324"/>
      <c r="AA9" s="5318"/>
      <c r="AB9" s="5318"/>
      <c r="AC9" s="5325"/>
      <c r="AD9" s="5321"/>
      <c r="AE9" s="5318"/>
      <c r="AF9" s="5318"/>
      <c r="AG9" s="5325"/>
      <c r="AH9" s="5321"/>
      <c r="AI9" s="5318"/>
      <c r="AJ9" s="1504"/>
      <c r="AK9" s="4721"/>
      <c r="AL9" s="5322"/>
      <c r="AM9" s="2586">
        <f t="shared" si="11"/>
        <v>0</v>
      </c>
      <c r="AN9" s="5321"/>
      <c r="AO9" s="5318">
        <v>1655</v>
      </c>
      <c r="AP9" s="5318"/>
      <c r="AQ9" s="2586">
        <f t="shared" si="12"/>
        <v>1655</v>
      </c>
      <c r="AR9" s="5321"/>
      <c r="AS9" s="5318"/>
      <c r="AT9" s="5318"/>
      <c r="AU9" s="5325">
        <f t="shared" si="13"/>
        <v>1655</v>
      </c>
      <c r="AV9" s="5321"/>
      <c r="AW9" s="5318">
        <v>2258.1779999999999</v>
      </c>
      <c r="AX9" s="1504"/>
      <c r="AY9" s="1201">
        <f t="shared" si="3"/>
        <v>3913.1779999999999</v>
      </c>
      <c r="AZ9" s="5322"/>
      <c r="BA9" s="2590">
        <f t="shared" si="14"/>
        <v>3913.1779999999999</v>
      </c>
      <c r="BB9" s="5325"/>
      <c r="BC9" s="1524">
        <f t="shared" si="4"/>
        <v>3913.1779999999999</v>
      </c>
      <c r="BD9" s="2999"/>
      <c r="BE9" s="2999"/>
      <c r="BG9" s="2999"/>
      <c r="BH9" s="2999"/>
    </row>
    <row r="10" spans="1:60" x14ac:dyDescent="0.3">
      <c r="A10" s="5334" t="s">
        <v>2281</v>
      </c>
      <c r="B10" s="1499"/>
      <c r="C10" s="5318"/>
      <c r="D10" s="5318"/>
      <c r="E10" s="5318"/>
      <c r="F10" s="5319"/>
      <c r="G10" s="5319"/>
      <c r="H10" s="5320"/>
      <c r="I10" s="5318"/>
      <c r="J10" s="1507"/>
      <c r="K10" s="4721"/>
      <c r="L10" s="5320"/>
      <c r="M10" s="5318"/>
      <c r="N10" s="1504"/>
      <c r="O10" s="4723"/>
      <c r="P10" s="5320"/>
      <c r="Q10" s="5318"/>
      <c r="R10" s="5319"/>
      <c r="S10" s="5319"/>
      <c r="T10" s="5321"/>
      <c r="U10" s="5318"/>
      <c r="V10" s="1504"/>
      <c r="W10" s="4721"/>
      <c r="X10" s="5322"/>
      <c r="Y10" s="5323"/>
      <c r="Z10" s="5324"/>
      <c r="AA10" s="5318"/>
      <c r="AB10" s="5318"/>
      <c r="AC10" s="5325"/>
      <c r="AD10" s="5321"/>
      <c r="AE10" s="5318"/>
      <c r="AF10" s="5318"/>
      <c r="AG10" s="5325"/>
      <c r="AH10" s="5321"/>
      <c r="AI10" s="5318"/>
      <c r="AJ10" s="1504"/>
      <c r="AK10" s="4721"/>
      <c r="AL10" s="5322"/>
      <c r="AM10" s="2586">
        <f t="shared" si="11"/>
        <v>0</v>
      </c>
      <c r="AN10" s="5321"/>
      <c r="AO10" s="5318">
        <v>573</v>
      </c>
      <c r="AP10" s="5318"/>
      <c r="AQ10" s="2586">
        <f t="shared" si="12"/>
        <v>573</v>
      </c>
      <c r="AR10" s="5321"/>
      <c r="AS10" s="5318"/>
      <c r="AT10" s="5318"/>
      <c r="AU10" s="5325">
        <f t="shared" si="13"/>
        <v>573</v>
      </c>
      <c r="AV10" s="5321"/>
      <c r="AW10" s="5318">
        <v>372.60599999999999</v>
      </c>
      <c r="AX10" s="1504"/>
      <c r="AY10" s="1201">
        <f t="shared" si="3"/>
        <v>945.60599999999999</v>
      </c>
      <c r="AZ10" s="5322"/>
      <c r="BA10" s="2590">
        <f t="shared" si="14"/>
        <v>945.60599999999999</v>
      </c>
      <c r="BB10" s="5325"/>
      <c r="BC10" s="1524">
        <f t="shared" si="4"/>
        <v>945.60599999999999</v>
      </c>
      <c r="BD10" s="2999"/>
      <c r="BE10" s="2999"/>
      <c r="BG10" s="2999"/>
      <c r="BH10" s="2999"/>
    </row>
    <row r="11" spans="1:60" x14ac:dyDescent="0.3">
      <c r="A11" s="5334" t="s">
        <v>2279</v>
      </c>
      <c r="B11" s="1499"/>
      <c r="C11" s="5318"/>
      <c r="D11" s="5318"/>
      <c r="E11" s="5318"/>
      <c r="F11" s="5319"/>
      <c r="G11" s="5319"/>
      <c r="H11" s="5320"/>
      <c r="I11" s="5318"/>
      <c r="J11" s="1507"/>
      <c r="K11" s="4721"/>
      <c r="L11" s="5320"/>
      <c r="M11" s="5318"/>
      <c r="N11" s="1504"/>
      <c r="O11" s="4723"/>
      <c r="P11" s="5320"/>
      <c r="Q11" s="5318"/>
      <c r="R11" s="5319"/>
      <c r="S11" s="5319"/>
      <c r="T11" s="5321"/>
      <c r="U11" s="5318"/>
      <c r="V11" s="1504"/>
      <c r="W11" s="4721"/>
      <c r="X11" s="5322"/>
      <c r="Y11" s="5323"/>
      <c r="Z11" s="5324"/>
      <c r="AA11" s="5318"/>
      <c r="AB11" s="5318"/>
      <c r="AC11" s="5325"/>
      <c r="AD11" s="5321"/>
      <c r="AE11" s="5318"/>
      <c r="AF11" s="5318"/>
      <c r="AG11" s="5325"/>
      <c r="AH11" s="5321"/>
      <c r="AI11" s="5318"/>
      <c r="AJ11" s="1504"/>
      <c r="AK11" s="4721"/>
      <c r="AL11" s="5322"/>
      <c r="AM11" s="2586">
        <f t="shared" si="11"/>
        <v>0</v>
      </c>
      <c r="AN11" s="5321"/>
      <c r="AO11" s="5318">
        <v>1882</v>
      </c>
      <c r="AP11" s="5318"/>
      <c r="AQ11" s="2586">
        <f t="shared" si="12"/>
        <v>1882</v>
      </c>
      <c r="AR11" s="5321"/>
      <c r="AS11" s="5318">
        <v>1221.2460000000001</v>
      </c>
      <c r="AT11" s="5318"/>
      <c r="AU11" s="5325">
        <f t="shared" si="13"/>
        <v>3103.2460000000001</v>
      </c>
      <c r="AV11" s="5321"/>
      <c r="AW11" s="5318"/>
      <c r="AX11" s="1504"/>
      <c r="AY11" s="1201">
        <f t="shared" si="3"/>
        <v>3103.2460000000001</v>
      </c>
      <c r="AZ11" s="5322"/>
      <c r="BA11" s="2590">
        <f t="shared" si="14"/>
        <v>3103.2460000000001</v>
      </c>
      <c r="BB11" s="5325"/>
      <c r="BC11" s="1524">
        <f t="shared" si="4"/>
        <v>3103.2460000000001</v>
      </c>
      <c r="BD11" s="2999"/>
      <c r="BE11" s="2999"/>
      <c r="BG11" s="2999"/>
      <c r="BH11" s="2999"/>
    </row>
    <row r="12" spans="1:60" x14ac:dyDescent="0.3">
      <c r="A12" s="231" t="s">
        <v>1207</v>
      </c>
      <c r="B12" s="1499"/>
      <c r="C12" s="233"/>
      <c r="D12" s="233"/>
      <c r="E12" s="233">
        <v>2204</v>
      </c>
      <c r="F12" s="1439"/>
      <c r="G12" s="1439">
        <f t="shared" si="5"/>
        <v>2204</v>
      </c>
      <c r="H12" s="1491"/>
      <c r="I12" s="233"/>
      <c r="J12" s="1507"/>
      <c r="K12" s="1201">
        <f t="shared" si="6"/>
        <v>2204</v>
      </c>
      <c r="L12" s="1491"/>
      <c r="M12" s="233"/>
      <c r="N12" s="1504"/>
      <c r="O12" s="1524">
        <f t="shared" si="7"/>
        <v>2204</v>
      </c>
      <c r="P12" s="1491"/>
      <c r="Q12" s="233">
        <v>5899.3739999999998</v>
      </c>
      <c r="R12" s="1439"/>
      <c r="S12" s="1439">
        <f t="shared" si="8"/>
        <v>8103.3739999999998</v>
      </c>
      <c r="T12" s="2585"/>
      <c r="U12" s="233"/>
      <c r="V12" s="1504"/>
      <c r="W12" s="1201">
        <f t="shared" si="0"/>
        <v>5899.3739999999998</v>
      </c>
      <c r="X12" s="2589"/>
      <c r="Y12" s="2590">
        <f t="shared" si="1"/>
        <v>8103.3739999999998</v>
      </c>
      <c r="Z12" s="2591"/>
      <c r="AA12" s="233">
        <v>9050</v>
      </c>
      <c r="AB12" s="233"/>
      <c r="AC12" s="2586">
        <f t="shared" si="9"/>
        <v>17153.374</v>
      </c>
      <c r="AD12" s="2585"/>
      <c r="AE12" s="233"/>
      <c r="AF12" s="233"/>
      <c r="AG12" s="2586">
        <f t="shared" si="10"/>
        <v>17153.374</v>
      </c>
      <c r="AH12" s="2585"/>
      <c r="AI12" s="233"/>
      <c r="AJ12" s="1504"/>
      <c r="AK12" s="1201">
        <f t="shared" si="2"/>
        <v>9050</v>
      </c>
      <c r="AL12" s="2589"/>
      <c r="AM12" s="2586">
        <f t="shared" si="11"/>
        <v>17153.374</v>
      </c>
      <c r="AN12" s="2585"/>
      <c r="AO12" s="233"/>
      <c r="AP12" s="233"/>
      <c r="AQ12" s="2586">
        <f t="shared" si="12"/>
        <v>17153.374</v>
      </c>
      <c r="AR12" s="2585"/>
      <c r="AS12" s="233"/>
      <c r="AT12" s="233"/>
      <c r="AU12" s="2586">
        <f t="shared" si="13"/>
        <v>17153.374</v>
      </c>
      <c r="AV12" s="2585"/>
      <c r="AW12" s="233"/>
      <c r="AX12" s="1504"/>
      <c r="AY12" s="1201">
        <f t="shared" si="3"/>
        <v>0</v>
      </c>
      <c r="AZ12" s="2589"/>
      <c r="BA12" s="2590">
        <f t="shared" si="14"/>
        <v>9050</v>
      </c>
      <c r="BB12" s="2586"/>
      <c r="BC12" s="1524">
        <f t="shared" si="4"/>
        <v>17153.374</v>
      </c>
      <c r="BD12" s="2999"/>
      <c r="BE12" s="2999"/>
      <c r="BG12" s="2999"/>
      <c r="BH12" s="2999"/>
    </row>
    <row r="13" spans="1:60" x14ac:dyDescent="0.3">
      <c r="A13" s="231" t="s">
        <v>1248</v>
      </c>
      <c r="B13" s="1499"/>
      <c r="C13" s="233"/>
      <c r="D13" s="233"/>
      <c r="E13" s="2584"/>
      <c r="F13" s="2584"/>
      <c r="G13" s="1439">
        <f t="shared" si="5"/>
        <v>0</v>
      </c>
      <c r="H13" s="2584"/>
      <c r="I13" s="2584"/>
      <c r="J13" s="2583"/>
      <c r="K13" s="1201">
        <f t="shared" si="6"/>
        <v>0</v>
      </c>
      <c r="L13" s="2584"/>
      <c r="M13" s="2584"/>
      <c r="N13" s="2583"/>
      <c r="O13" s="1524">
        <f t="shared" si="7"/>
        <v>0</v>
      </c>
      <c r="P13" s="2584"/>
      <c r="Q13" s="2584"/>
      <c r="R13" s="2584"/>
      <c r="S13" s="1439">
        <f t="shared" si="8"/>
        <v>0</v>
      </c>
      <c r="T13" s="2586"/>
      <c r="U13" s="2584"/>
      <c r="V13" s="2583"/>
      <c r="W13" s="1201">
        <f t="shared" si="0"/>
        <v>0</v>
      </c>
      <c r="X13" s="2589"/>
      <c r="Y13" s="2590">
        <f t="shared" si="1"/>
        <v>0</v>
      </c>
      <c r="Z13" s="2590"/>
      <c r="AA13" s="2584"/>
      <c r="AB13" s="2584"/>
      <c r="AC13" s="2586">
        <f t="shared" si="9"/>
        <v>0</v>
      </c>
      <c r="AD13" s="2586"/>
      <c r="AE13" s="2584"/>
      <c r="AF13" s="2584"/>
      <c r="AG13" s="2586">
        <f t="shared" si="10"/>
        <v>0</v>
      </c>
      <c r="AH13" s="2586"/>
      <c r="AI13" s="2584"/>
      <c r="AJ13" s="2583"/>
      <c r="AK13" s="1201">
        <f t="shared" si="2"/>
        <v>0</v>
      </c>
      <c r="AL13" s="2589"/>
      <c r="AM13" s="2586">
        <f t="shared" si="11"/>
        <v>0</v>
      </c>
      <c r="AN13" s="2586"/>
      <c r="AO13" s="2584"/>
      <c r="AP13" s="2584"/>
      <c r="AQ13" s="2586">
        <f t="shared" si="12"/>
        <v>0</v>
      </c>
      <c r="AR13" s="2586"/>
      <c r="AS13" s="2584"/>
      <c r="AT13" s="2584"/>
      <c r="AU13" s="2586">
        <f t="shared" si="13"/>
        <v>0</v>
      </c>
      <c r="AV13" s="2586"/>
      <c r="AW13" s="2584"/>
      <c r="AX13" s="2583"/>
      <c r="AY13" s="1201">
        <f t="shared" si="3"/>
        <v>0</v>
      </c>
      <c r="AZ13" s="2589"/>
      <c r="BA13" s="2590">
        <f t="shared" si="14"/>
        <v>0</v>
      </c>
      <c r="BB13" s="2586"/>
      <c r="BC13" s="1524">
        <f t="shared" si="4"/>
        <v>0</v>
      </c>
      <c r="BD13" s="2999"/>
      <c r="BE13" s="2999"/>
      <c r="BG13" s="2999"/>
      <c r="BH13" s="2999"/>
    </row>
    <row r="14" spans="1:60" ht="15.75" customHeight="1" x14ac:dyDescent="0.3">
      <c r="A14" s="231" t="s">
        <v>1206</v>
      </c>
      <c r="B14" s="1499"/>
      <c r="C14" s="233"/>
      <c r="D14" s="233"/>
      <c r="E14" s="233"/>
      <c r="F14" s="233"/>
      <c r="G14" s="1439">
        <f t="shared" si="5"/>
        <v>0</v>
      </c>
      <c r="H14" s="233"/>
      <c r="I14" s="233"/>
      <c r="J14" s="1504"/>
      <c r="K14" s="1201">
        <f t="shared" si="6"/>
        <v>0</v>
      </c>
      <c r="L14" s="233"/>
      <c r="M14" s="233"/>
      <c r="N14" s="1504"/>
      <c r="O14" s="1524">
        <f t="shared" si="7"/>
        <v>0</v>
      </c>
      <c r="P14" s="233"/>
      <c r="Q14" s="233"/>
      <c r="R14" s="233"/>
      <c r="S14" s="1439">
        <f t="shared" si="8"/>
        <v>0</v>
      </c>
      <c r="T14" s="2585"/>
      <c r="U14" s="233"/>
      <c r="V14" s="1504"/>
      <c r="W14" s="1201">
        <f t="shared" si="0"/>
        <v>0</v>
      </c>
      <c r="X14" s="2589"/>
      <c r="Y14" s="2590">
        <f t="shared" si="1"/>
        <v>0</v>
      </c>
      <c r="Z14" s="2591"/>
      <c r="AA14" s="233"/>
      <c r="AB14" s="233"/>
      <c r="AC14" s="2586">
        <f t="shared" si="9"/>
        <v>0</v>
      </c>
      <c r="AD14" s="2585"/>
      <c r="AE14" s="233"/>
      <c r="AF14" s="233"/>
      <c r="AG14" s="2586">
        <f t="shared" si="10"/>
        <v>0</v>
      </c>
      <c r="AH14" s="2585"/>
      <c r="AI14" s="233"/>
      <c r="AJ14" s="1504"/>
      <c r="AK14" s="1201">
        <f t="shared" si="2"/>
        <v>0</v>
      </c>
      <c r="AL14" s="2589"/>
      <c r="AM14" s="2586">
        <f t="shared" si="11"/>
        <v>0</v>
      </c>
      <c r="AN14" s="2585"/>
      <c r="AO14" s="233"/>
      <c r="AP14" s="233"/>
      <c r="AQ14" s="2586">
        <f t="shared" si="12"/>
        <v>0</v>
      </c>
      <c r="AR14" s="2585"/>
      <c r="AS14" s="233"/>
      <c r="AT14" s="233"/>
      <c r="AU14" s="2586">
        <f t="shared" si="13"/>
        <v>0</v>
      </c>
      <c r="AV14" s="2585"/>
      <c r="AW14" s="233"/>
      <c r="AX14" s="1504"/>
      <c r="AY14" s="1201">
        <f t="shared" si="3"/>
        <v>0</v>
      </c>
      <c r="AZ14" s="2589"/>
      <c r="BA14" s="2590">
        <f t="shared" si="14"/>
        <v>0</v>
      </c>
      <c r="BB14" s="2586"/>
      <c r="BC14" s="1524">
        <f t="shared" si="4"/>
        <v>0</v>
      </c>
      <c r="BD14" s="2999"/>
      <c r="BE14" s="2999"/>
      <c r="BG14" s="2999"/>
      <c r="BH14" s="2999"/>
    </row>
    <row r="15" spans="1:60" ht="15.75" customHeight="1" x14ac:dyDescent="0.3">
      <c r="A15" s="5334" t="s">
        <v>2324</v>
      </c>
      <c r="B15" s="1499"/>
      <c r="C15" s="5318"/>
      <c r="D15" s="5318"/>
      <c r="E15" s="5318"/>
      <c r="F15" s="5318"/>
      <c r="G15" s="5319"/>
      <c r="H15" s="5318"/>
      <c r="I15" s="5318"/>
      <c r="J15" s="1504"/>
      <c r="K15" s="4721"/>
      <c r="L15" s="5318"/>
      <c r="M15" s="5318"/>
      <c r="N15" s="1504"/>
      <c r="O15" s="4723"/>
      <c r="P15" s="5318"/>
      <c r="Q15" s="5318"/>
      <c r="R15" s="5318"/>
      <c r="S15" s="5319"/>
      <c r="T15" s="5321"/>
      <c r="U15" s="5318"/>
      <c r="V15" s="1504"/>
      <c r="W15" s="4721"/>
      <c r="X15" s="5322"/>
      <c r="Y15" s="5323"/>
      <c r="Z15" s="5324"/>
      <c r="AA15" s="5318"/>
      <c r="AB15" s="5318"/>
      <c r="AC15" s="5325"/>
      <c r="AD15" s="5321"/>
      <c r="AE15" s="5318"/>
      <c r="AF15" s="5318"/>
      <c r="AG15" s="5325"/>
      <c r="AH15" s="5321"/>
      <c r="AI15" s="5318"/>
      <c r="AJ15" s="1504"/>
      <c r="AK15" s="4721"/>
      <c r="AL15" s="5322"/>
      <c r="AM15" s="5325"/>
      <c r="AN15" s="5321"/>
      <c r="AO15" s="5318"/>
      <c r="AP15" s="5318"/>
      <c r="AQ15" s="5325"/>
      <c r="AR15" s="5321"/>
      <c r="AS15" s="5318">
        <v>451.18200000000002</v>
      </c>
      <c r="AT15" s="5318"/>
      <c r="AU15" s="2586">
        <f t="shared" si="13"/>
        <v>451.18200000000002</v>
      </c>
      <c r="AV15" s="5321"/>
      <c r="AW15" s="5318">
        <v>116.90900000000001</v>
      </c>
      <c r="AX15" s="1504"/>
      <c r="AY15" s="1201">
        <f t="shared" si="3"/>
        <v>568.09100000000001</v>
      </c>
      <c r="AZ15" s="5322"/>
      <c r="BA15" s="2590">
        <f t="shared" si="14"/>
        <v>568.09100000000001</v>
      </c>
      <c r="BB15" s="5325"/>
      <c r="BC15" s="1524">
        <f t="shared" si="4"/>
        <v>568.09100000000001</v>
      </c>
      <c r="BD15" s="2999"/>
      <c r="BE15" s="2999"/>
      <c r="BG15" s="2999"/>
      <c r="BH15" s="2999"/>
    </row>
    <row r="16" spans="1:60" ht="15.75" customHeight="1" x14ac:dyDescent="0.3">
      <c r="A16" s="231" t="s">
        <v>1291</v>
      </c>
      <c r="B16" s="1499"/>
      <c r="C16" s="233"/>
      <c r="D16" s="233"/>
      <c r="E16" s="233">
        <v>2438</v>
      </c>
      <c r="F16" s="233"/>
      <c r="G16" s="1439">
        <f t="shared" si="5"/>
        <v>2438</v>
      </c>
      <c r="H16" s="233"/>
      <c r="I16" s="233"/>
      <c r="J16" s="1504"/>
      <c r="K16" s="1201">
        <f t="shared" si="6"/>
        <v>2438</v>
      </c>
      <c r="L16" s="233"/>
      <c r="M16" s="233"/>
      <c r="N16" s="1504"/>
      <c r="O16" s="1524">
        <f t="shared" si="7"/>
        <v>2438</v>
      </c>
      <c r="P16" s="233"/>
      <c r="Q16" s="233">
        <v>3085.098</v>
      </c>
      <c r="R16" s="233"/>
      <c r="S16" s="1439">
        <f t="shared" si="8"/>
        <v>5523.098</v>
      </c>
      <c r="T16" s="2585"/>
      <c r="U16" s="233"/>
      <c r="V16" s="1504"/>
      <c r="W16" s="1201">
        <f t="shared" si="0"/>
        <v>3085.098</v>
      </c>
      <c r="X16" s="2589"/>
      <c r="Y16" s="2590">
        <f t="shared" si="1"/>
        <v>5523.098</v>
      </c>
      <c r="Z16" s="2591"/>
      <c r="AA16" s="233">
        <v>5633</v>
      </c>
      <c r="AB16" s="233"/>
      <c r="AC16" s="2586">
        <f t="shared" si="9"/>
        <v>11156.098</v>
      </c>
      <c r="AD16" s="2585"/>
      <c r="AE16" s="233"/>
      <c r="AF16" s="233"/>
      <c r="AG16" s="2586">
        <f t="shared" si="10"/>
        <v>11156.098</v>
      </c>
      <c r="AH16" s="2585"/>
      <c r="AI16" s="233"/>
      <c r="AJ16" s="1504"/>
      <c r="AK16" s="1201">
        <f t="shared" si="2"/>
        <v>5633</v>
      </c>
      <c r="AL16" s="2589"/>
      <c r="AM16" s="2586">
        <f t="shared" si="11"/>
        <v>11156.098</v>
      </c>
      <c r="AN16" s="2585"/>
      <c r="AO16" s="233">
        <v>5924</v>
      </c>
      <c r="AP16" s="233"/>
      <c r="AQ16" s="2586">
        <f t="shared" si="12"/>
        <v>17080.097999999998</v>
      </c>
      <c r="AR16" s="2585"/>
      <c r="AS16" s="233">
        <v>6684.3289999999997</v>
      </c>
      <c r="AT16" s="233"/>
      <c r="AU16" s="2586">
        <f t="shared" si="13"/>
        <v>23764.426999999996</v>
      </c>
      <c r="AV16" s="2585"/>
      <c r="AW16" s="233">
        <v>4088.8119999999999</v>
      </c>
      <c r="AX16" s="1504"/>
      <c r="AY16" s="1201">
        <f t="shared" si="3"/>
        <v>16697.141</v>
      </c>
      <c r="AZ16" s="2589"/>
      <c r="BA16" s="2590">
        <f t="shared" si="14"/>
        <v>22330.141</v>
      </c>
      <c r="BB16" s="2586"/>
      <c r="BC16" s="1524">
        <f t="shared" si="4"/>
        <v>27853.238999999994</v>
      </c>
      <c r="BD16" s="2999"/>
      <c r="BE16" s="2999"/>
      <c r="BG16" s="2999"/>
      <c r="BH16" s="2999"/>
    </row>
    <row r="17" spans="1:60" s="5605" customFormat="1" ht="15.75" customHeight="1" thickBot="1" x14ac:dyDescent="0.35">
      <c r="A17" s="1492" t="s">
        <v>1327</v>
      </c>
      <c r="B17" s="1502"/>
      <c r="C17" s="1491"/>
      <c r="D17" s="1491"/>
      <c r="E17" s="1491">
        <v>69</v>
      </c>
      <c r="F17" s="1491"/>
      <c r="G17" s="1491">
        <f t="shared" si="5"/>
        <v>69</v>
      </c>
      <c r="H17" s="1491"/>
      <c r="I17" s="1491"/>
      <c r="J17" s="5598"/>
      <c r="K17" s="5599">
        <f t="shared" si="6"/>
        <v>69</v>
      </c>
      <c r="L17" s="1491"/>
      <c r="M17" s="1491"/>
      <c r="N17" s="5598"/>
      <c r="O17" s="5599">
        <f t="shared" si="7"/>
        <v>69</v>
      </c>
      <c r="P17" s="1491"/>
      <c r="Q17" s="1491">
        <v>274.29000000000002</v>
      </c>
      <c r="R17" s="1491"/>
      <c r="S17" s="1491">
        <f t="shared" si="8"/>
        <v>343.29</v>
      </c>
      <c r="T17" s="5600"/>
      <c r="U17" s="1491"/>
      <c r="V17" s="5598"/>
      <c r="W17" s="5599">
        <f t="shared" si="0"/>
        <v>274.29000000000002</v>
      </c>
      <c r="X17" s="5601"/>
      <c r="Y17" s="5602">
        <f t="shared" si="1"/>
        <v>343.29</v>
      </c>
      <c r="Z17" s="5600"/>
      <c r="AA17" s="1491">
        <v>107</v>
      </c>
      <c r="AB17" s="1491"/>
      <c r="AC17" s="5602">
        <f t="shared" si="9"/>
        <v>450.29</v>
      </c>
      <c r="AD17" s="5600"/>
      <c r="AE17" s="1491"/>
      <c r="AF17" s="1491"/>
      <c r="AG17" s="5602">
        <f t="shared" si="10"/>
        <v>450.29</v>
      </c>
      <c r="AH17" s="5600"/>
      <c r="AI17" s="1491"/>
      <c r="AJ17" s="5598"/>
      <c r="AK17" s="5599">
        <f t="shared" si="2"/>
        <v>107</v>
      </c>
      <c r="AL17" s="5601"/>
      <c r="AM17" s="5602">
        <f t="shared" si="11"/>
        <v>450.29</v>
      </c>
      <c r="AN17" s="5600"/>
      <c r="AO17" s="1491">
        <v>199</v>
      </c>
      <c r="AP17" s="1491"/>
      <c r="AQ17" s="5602">
        <f t="shared" si="12"/>
        <v>649.29</v>
      </c>
      <c r="AR17" s="1491"/>
      <c r="AS17" s="1491">
        <v>89.55</v>
      </c>
      <c r="AT17" s="1491"/>
      <c r="AU17" s="5602">
        <f t="shared" si="13"/>
        <v>738.83999999999992</v>
      </c>
      <c r="AV17" s="1491"/>
      <c r="AW17" s="1491">
        <v>111.07899999999999</v>
      </c>
      <c r="AX17" s="5598"/>
      <c r="AY17" s="5599">
        <f t="shared" si="3"/>
        <v>399.62900000000002</v>
      </c>
      <c r="AZ17" s="5601"/>
      <c r="BA17" s="5602">
        <f t="shared" si="14"/>
        <v>506.62900000000002</v>
      </c>
      <c r="BB17" s="5603"/>
      <c r="BC17" s="5599">
        <f t="shared" si="4"/>
        <v>849.91899999999987</v>
      </c>
      <c r="BD17" s="5604"/>
      <c r="BE17" s="5604"/>
      <c r="BG17" s="5604"/>
      <c r="BH17" s="5604"/>
    </row>
    <row r="18" spans="1:60" ht="16.2" thickBot="1" x14ac:dyDescent="0.35">
      <c r="A18" s="3001" t="s">
        <v>653</v>
      </c>
      <c r="B18" s="3002"/>
      <c r="C18" s="3003">
        <f>SUM(C7:C17)</f>
        <v>0</v>
      </c>
      <c r="D18" s="3003"/>
      <c r="E18" s="3003">
        <f>SUM(E7:E17)</f>
        <v>4719</v>
      </c>
      <c r="F18" s="3003"/>
      <c r="G18" s="1439">
        <f t="shared" si="5"/>
        <v>4719</v>
      </c>
      <c r="H18" s="3003"/>
      <c r="I18" s="3003">
        <f>SUM(I7:I17)</f>
        <v>0</v>
      </c>
      <c r="J18" s="3003"/>
      <c r="K18" s="1201">
        <f t="shared" si="6"/>
        <v>4719</v>
      </c>
      <c r="L18" s="3003"/>
      <c r="M18" s="3003">
        <f>SUM(M7:M17)</f>
        <v>0</v>
      </c>
      <c r="N18" s="3003"/>
      <c r="O18" s="1524">
        <f t="shared" si="7"/>
        <v>4719</v>
      </c>
      <c r="P18" s="3003"/>
      <c r="Q18" s="3003">
        <f>SUM(Q7:Q17)</f>
        <v>9565.8660000000018</v>
      </c>
      <c r="R18" s="3003"/>
      <c r="S18" s="1439">
        <f t="shared" si="8"/>
        <v>14284.866000000002</v>
      </c>
      <c r="T18" s="3003"/>
      <c r="U18" s="3003">
        <f>SUM(U7:U17)</f>
        <v>0</v>
      </c>
      <c r="V18" s="3003"/>
      <c r="W18" s="1201">
        <f t="shared" si="0"/>
        <v>9565.8660000000018</v>
      </c>
      <c r="X18" s="3003"/>
      <c r="Y18" s="2590">
        <f t="shared" si="1"/>
        <v>14284.866000000002</v>
      </c>
      <c r="Z18" s="3003"/>
      <c r="AA18" s="3003">
        <f>SUM(AA7:AA17)</f>
        <v>14824</v>
      </c>
      <c r="AB18" s="3003"/>
      <c r="AC18" s="2586">
        <f t="shared" si="9"/>
        <v>29108.866000000002</v>
      </c>
      <c r="AD18" s="3003"/>
      <c r="AE18" s="3003">
        <f>SUM(AE7:AE17)</f>
        <v>0</v>
      </c>
      <c r="AF18" s="3003"/>
      <c r="AG18" s="2586">
        <f t="shared" si="10"/>
        <v>29108.866000000002</v>
      </c>
      <c r="AH18" s="3003"/>
      <c r="AI18" s="3003">
        <f>SUM(AI7:AI17)</f>
        <v>0</v>
      </c>
      <c r="AJ18" s="3003"/>
      <c r="AK18" s="1201">
        <f t="shared" si="2"/>
        <v>14824</v>
      </c>
      <c r="AL18" s="3003"/>
      <c r="AM18" s="2586">
        <f t="shared" si="11"/>
        <v>29108.866000000002</v>
      </c>
      <c r="AN18" s="3003"/>
      <c r="AO18" s="3003">
        <f>SUM(AO7:AO17)</f>
        <v>11160</v>
      </c>
      <c r="AP18" s="3003"/>
      <c r="AQ18" s="2586">
        <f t="shared" si="12"/>
        <v>40268.866000000002</v>
      </c>
      <c r="AR18" s="3003"/>
      <c r="AS18" s="3003">
        <f>SUM(AS7:AS17)</f>
        <v>8521.7989999999991</v>
      </c>
      <c r="AT18" s="3003"/>
      <c r="AU18" s="2586">
        <f t="shared" si="13"/>
        <v>48790.665000000001</v>
      </c>
      <c r="AV18" s="3003"/>
      <c r="AW18" s="3003">
        <f>SUM(AW7:AW17)</f>
        <v>6952.7999999999993</v>
      </c>
      <c r="AX18" s="3003"/>
      <c r="AY18" s="1201">
        <f t="shared" si="3"/>
        <v>26634.598999999998</v>
      </c>
      <c r="AZ18" s="3003"/>
      <c r="BA18" s="2590">
        <f t="shared" si="14"/>
        <v>41458.599000000002</v>
      </c>
      <c r="BB18" s="3003"/>
      <c r="BC18" s="1524">
        <f t="shared" si="4"/>
        <v>55743.464999999997</v>
      </c>
      <c r="BD18" s="2999"/>
      <c r="BE18" s="2999"/>
      <c r="BG18" s="2999"/>
      <c r="BH18" s="2999"/>
    </row>
    <row r="19" spans="1:60" ht="16.2" thickBot="1" x14ac:dyDescent="0.35">
      <c r="A19" s="2983"/>
      <c r="B19" s="2983"/>
      <c r="C19" s="2998"/>
      <c r="D19" s="2998"/>
      <c r="E19" s="2998"/>
      <c r="F19" s="2998"/>
      <c r="G19" s="1439">
        <f t="shared" si="5"/>
        <v>0</v>
      </c>
      <c r="H19" s="2998"/>
      <c r="I19" s="2998"/>
      <c r="J19" s="2998"/>
      <c r="K19" s="1201">
        <f t="shared" si="6"/>
        <v>0</v>
      </c>
      <c r="L19" s="2983"/>
      <c r="M19" s="2998"/>
      <c r="N19" s="2998"/>
      <c r="O19" s="1524">
        <f t="shared" si="7"/>
        <v>0</v>
      </c>
      <c r="P19" s="2983"/>
      <c r="Q19" s="2998"/>
      <c r="R19" s="2998"/>
      <c r="S19" s="1439">
        <f t="shared" si="8"/>
        <v>0</v>
      </c>
      <c r="T19" s="2998"/>
      <c r="U19" s="2998"/>
      <c r="V19" s="2998"/>
      <c r="W19" s="1201">
        <f t="shared" si="0"/>
        <v>0</v>
      </c>
      <c r="X19" s="2998"/>
      <c r="Y19" s="2590">
        <f t="shared" si="1"/>
        <v>0</v>
      </c>
      <c r="Z19" s="2998"/>
      <c r="AA19" s="2998"/>
      <c r="AB19" s="2998"/>
      <c r="AC19" s="2586">
        <f t="shared" si="9"/>
        <v>0</v>
      </c>
      <c r="AD19" s="2998"/>
      <c r="AE19" s="2998"/>
      <c r="AF19" s="2998"/>
      <c r="AG19" s="2586">
        <f t="shared" si="10"/>
        <v>0</v>
      </c>
      <c r="AH19" s="2998"/>
      <c r="AI19" s="2998"/>
      <c r="AJ19" s="2998"/>
      <c r="AK19" s="1201">
        <f t="shared" si="2"/>
        <v>0</v>
      </c>
      <c r="AL19" s="2998"/>
      <c r="AM19" s="2586">
        <f t="shared" si="11"/>
        <v>0</v>
      </c>
      <c r="AN19" s="2998"/>
      <c r="AO19" s="2998"/>
      <c r="AP19" s="2998"/>
      <c r="AQ19" s="2586">
        <f t="shared" si="12"/>
        <v>0</v>
      </c>
      <c r="AR19" s="2998"/>
      <c r="AS19" s="2998"/>
      <c r="AT19" s="2998"/>
      <c r="AU19" s="2586">
        <f t="shared" si="13"/>
        <v>0</v>
      </c>
      <c r="AV19" s="2998"/>
      <c r="AW19" s="2998"/>
      <c r="AX19" s="2998"/>
      <c r="AY19" s="1201">
        <f t="shared" si="3"/>
        <v>0</v>
      </c>
      <c r="AZ19" s="2998"/>
      <c r="BA19" s="2590">
        <f t="shared" si="14"/>
        <v>0</v>
      </c>
      <c r="BB19" s="2998"/>
      <c r="BC19" s="1524">
        <f t="shared" si="4"/>
        <v>0</v>
      </c>
      <c r="BD19" s="2999"/>
      <c r="BE19" s="2999"/>
      <c r="BG19" s="2999"/>
      <c r="BH19" s="2999"/>
    </row>
    <row r="20" spans="1:60" ht="16.2" thickBot="1" x14ac:dyDescent="0.35">
      <c r="A20" s="4596" t="s">
        <v>1071</v>
      </c>
      <c r="B20" s="4597"/>
      <c r="C20" s="1214"/>
      <c r="D20" s="1214"/>
      <c r="E20" s="1214"/>
      <c r="F20" s="1214"/>
      <c r="G20" s="1439">
        <f t="shared" si="5"/>
        <v>0</v>
      </c>
      <c r="H20" s="1214"/>
      <c r="I20" s="1214"/>
      <c r="J20" s="1214"/>
      <c r="K20" s="1201">
        <f t="shared" si="6"/>
        <v>0</v>
      </c>
      <c r="L20" s="1214"/>
      <c r="M20" s="1214"/>
      <c r="N20" s="1214"/>
      <c r="O20" s="1524">
        <f t="shared" si="7"/>
        <v>0</v>
      </c>
      <c r="P20" s="1214"/>
      <c r="Q20" s="1214"/>
      <c r="R20" s="1214"/>
      <c r="S20" s="1439">
        <f t="shared" si="8"/>
        <v>0</v>
      </c>
      <c r="T20" s="1216"/>
      <c r="U20" s="1214"/>
      <c r="V20" s="1214"/>
      <c r="W20" s="1201">
        <f t="shared" si="0"/>
        <v>0</v>
      </c>
      <c r="X20" s="1216"/>
      <c r="Y20" s="2590">
        <f t="shared" si="1"/>
        <v>0</v>
      </c>
      <c r="Z20" s="1216"/>
      <c r="AA20" s="1214"/>
      <c r="AB20" s="1214"/>
      <c r="AC20" s="2586">
        <f t="shared" si="9"/>
        <v>0</v>
      </c>
      <c r="AD20" s="1216"/>
      <c r="AE20" s="1214"/>
      <c r="AF20" s="1214"/>
      <c r="AG20" s="2586">
        <f t="shared" si="10"/>
        <v>0</v>
      </c>
      <c r="AH20" s="1216"/>
      <c r="AI20" s="1214"/>
      <c r="AJ20" s="1214"/>
      <c r="AK20" s="1201">
        <f t="shared" si="2"/>
        <v>0</v>
      </c>
      <c r="AL20" s="1216"/>
      <c r="AM20" s="2586">
        <f t="shared" si="11"/>
        <v>0</v>
      </c>
      <c r="AN20" s="1216"/>
      <c r="AO20" s="1214"/>
      <c r="AP20" s="1214"/>
      <c r="AQ20" s="2586">
        <f t="shared" si="12"/>
        <v>0</v>
      </c>
      <c r="AR20" s="1216"/>
      <c r="AS20" s="1214"/>
      <c r="AT20" s="1214"/>
      <c r="AU20" s="2586">
        <f t="shared" si="13"/>
        <v>0</v>
      </c>
      <c r="AV20" s="1216"/>
      <c r="AW20" s="1214"/>
      <c r="AX20" s="1214"/>
      <c r="AY20" s="1201">
        <f t="shared" si="3"/>
        <v>0</v>
      </c>
      <c r="AZ20" s="1216"/>
      <c r="BA20" s="2590">
        <f t="shared" si="14"/>
        <v>0</v>
      </c>
      <c r="BB20" s="1216"/>
      <c r="BC20" s="1524">
        <f t="shared" si="4"/>
        <v>0</v>
      </c>
      <c r="BD20" s="2999"/>
      <c r="BE20" s="2999"/>
      <c r="BG20" s="2999"/>
      <c r="BH20" s="2999"/>
    </row>
    <row r="21" spans="1:60" x14ac:dyDescent="0.3">
      <c r="A21" s="4591" t="s">
        <v>1570</v>
      </c>
      <c r="B21" s="4592"/>
      <c r="C21" s="252"/>
      <c r="D21" s="252"/>
      <c r="E21" s="252">
        <v>546</v>
      </c>
      <c r="F21" s="4593"/>
      <c r="G21" s="1439">
        <f t="shared" si="5"/>
        <v>546</v>
      </c>
      <c r="H21" s="4594"/>
      <c r="I21" s="252">
        <v>1357</v>
      </c>
      <c r="J21" s="4595"/>
      <c r="K21" s="1201">
        <f t="shared" si="6"/>
        <v>1903</v>
      </c>
      <c r="L21" s="4594"/>
      <c r="M21" s="1207">
        <v>578</v>
      </c>
      <c r="N21" s="253"/>
      <c r="O21" s="1524">
        <f t="shared" si="7"/>
        <v>2481</v>
      </c>
      <c r="P21" s="4594"/>
      <c r="Q21" s="1207"/>
      <c r="R21" s="4593"/>
      <c r="S21" s="1439">
        <f t="shared" si="8"/>
        <v>2481</v>
      </c>
      <c r="T21" s="2587"/>
      <c r="U21" s="1207">
        <v>296</v>
      </c>
      <c r="V21" s="253"/>
      <c r="W21" s="1201">
        <f t="shared" si="0"/>
        <v>874</v>
      </c>
      <c r="X21" s="2524"/>
      <c r="Y21" s="2590">
        <f t="shared" si="1"/>
        <v>2777</v>
      </c>
      <c r="Z21" s="2592"/>
      <c r="AA21" s="1207"/>
      <c r="AB21" s="1207"/>
      <c r="AC21" s="2586">
        <f t="shared" si="9"/>
        <v>2777</v>
      </c>
      <c r="AD21" s="2587"/>
      <c r="AE21" s="1207">
        <v>423.89100000000002</v>
      </c>
      <c r="AF21" s="1207"/>
      <c r="AG21" s="2586">
        <f t="shared" si="10"/>
        <v>3200.8910000000001</v>
      </c>
      <c r="AH21" s="2587"/>
      <c r="AI21" s="1207"/>
      <c r="AJ21" s="253"/>
      <c r="AK21" s="1201">
        <f t="shared" si="2"/>
        <v>423.89100000000002</v>
      </c>
      <c r="AL21" s="2524"/>
      <c r="AM21" s="2586">
        <f t="shared" si="11"/>
        <v>3200.8910000000001</v>
      </c>
      <c r="AN21" s="2587"/>
      <c r="AO21" s="1207"/>
      <c r="AP21" s="1207"/>
      <c r="AQ21" s="2586">
        <f t="shared" si="12"/>
        <v>3200.8910000000001</v>
      </c>
      <c r="AR21" s="2587"/>
      <c r="AS21" s="1207"/>
      <c r="AT21" s="1207"/>
      <c r="AU21" s="2586">
        <f t="shared" si="13"/>
        <v>3200.8910000000001</v>
      </c>
      <c r="AV21" s="2587"/>
      <c r="AW21" s="1207"/>
      <c r="AX21" s="253"/>
      <c r="AY21" s="1201">
        <f t="shared" si="3"/>
        <v>0</v>
      </c>
      <c r="AZ21" s="2524"/>
      <c r="BA21" s="2590">
        <f t="shared" si="14"/>
        <v>423.89100000000002</v>
      </c>
      <c r="BB21" s="254"/>
      <c r="BC21" s="1524">
        <f t="shared" si="4"/>
        <v>3200.8910000000001</v>
      </c>
      <c r="BD21" s="2999"/>
      <c r="BE21" s="2999"/>
      <c r="BG21" s="2999"/>
      <c r="BH21" s="2999"/>
    </row>
    <row r="22" spans="1:60" x14ac:dyDescent="0.3">
      <c r="A22" s="3008" t="s">
        <v>1821</v>
      </c>
      <c r="B22" s="3009"/>
      <c r="C22" s="2584"/>
      <c r="D22" s="2584"/>
      <c r="E22" s="2584">
        <v>157</v>
      </c>
      <c r="F22" s="1439"/>
      <c r="G22" s="1439">
        <f t="shared" si="5"/>
        <v>157</v>
      </c>
      <c r="H22" s="1491"/>
      <c r="I22" s="2584"/>
      <c r="J22" s="1507"/>
      <c r="K22" s="1201">
        <f t="shared" si="6"/>
        <v>157</v>
      </c>
      <c r="L22" s="1491"/>
      <c r="M22" s="233"/>
      <c r="N22" s="1504"/>
      <c r="O22" s="1524">
        <f t="shared" si="7"/>
        <v>157</v>
      </c>
      <c r="P22" s="1491"/>
      <c r="Q22" s="233">
        <v>157.30000000000001</v>
      </c>
      <c r="R22" s="1439"/>
      <c r="S22" s="1439">
        <f t="shared" si="8"/>
        <v>314.3</v>
      </c>
      <c r="T22" s="2587"/>
      <c r="U22" s="233"/>
      <c r="V22" s="253"/>
      <c r="W22" s="1201">
        <f t="shared" si="0"/>
        <v>157.30000000000001</v>
      </c>
      <c r="X22" s="2524"/>
      <c r="Y22" s="2590">
        <f t="shared" si="1"/>
        <v>314.3</v>
      </c>
      <c r="Z22" s="2592"/>
      <c r="AA22" s="233"/>
      <c r="AB22" s="1207"/>
      <c r="AC22" s="2586">
        <f t="shared" si="9"/>
        <v>314.3</v>
      </c>
      <c r="AD22" s="2587"/>
      <c r="AE22" s="233">
        <v>260.97500000000002</v>
      </c>
      <c r="AF22" s="1207"/>
      <c r="AG22" s="2586">
        <f t="shared" si="10"/>
        <v>575.27500000000009</v>
      </c>
      <c r="AH22" s="2587"/>
      <c r="AI22" s="233"/>
      <c r="AJ22" s="253"/>
      <c r="AK22" s="1201">
        <f t="shared" si="2"/>
        <v>260.97500000000002</v>
      </c>
      <c r="AL22" s="2524"/>
      <c r="AM22" s="2586">
        <f t="shared" si="11"/>
        <v>575.27500000000009</v>
      </c>
      <c r="AN22" s="2587"/>
      <c r="AO22" s="233"/>
      <c r="AP22" s="233"/>
      <c r="AQ22" s="2586">
        <f t="shared" si="12"/>
        <v>575.27500000000009</v>
      </c>
      <c r="AR22" s="2585"/>
      <c r="AS22" s="233"/>
      <c r="AT22" s="233"/>
      <c r="AU22" s="2586">
        <f t="shared" si="13"/>
        <v>575.27500000000009</v>
      </c>
      <c r="AV22" s="2585"/>
      <c r="AW22" s="233"/>
      <c r="AX22" s="253"/>
      <c r="AY22" s="1201">
        <f t="shared" si="3"/>
        <v>0</v>
      </c>
      <c r="AZ22" s="2524"/>
      <c r="BA22" s="2590">
        <f t="shared" si="14"/>
        <v>260.97500000000002</v>
      </c>
      <c r="BB22" s="2586"/>
      <c r="BC22" s="1524">
        <f t="shared" si="4"/>
        <v>575.27500000000009</v>
      </c>
      <c r="BD22" s="2999"/>
      <c r="BE22" s="2999"/>
      <c r="BG22" s="2999"/>
      <c r="BH22" s="2999"/>
    </row>
    <row r="23" spans="1:60" x14ac:dyDescent="0.3">
      <c r="A23" s="3008" t="s">
        <v>1070</v>
      </c>
      <c r="B23" s="1500"/>
      <c r="C23" s="347">
        <v>1569</v>
      </c>
      <c r="D23" s="347"/>
      <c r="E23" s="347">
        <v>3427</v>
      </c>
      <c r="F23" s="2094"/>
      <c r="G23" s="1439">
        <f t="shared" si="5"/>
        <v>4996</v>
      </c>
      <c r="H23" s="248"/>
      <c r="I23" s="347">
        <v>3986</v>
      </c>
      <c r="J23" s="2095"/>
      <c r="K23" s="1201">
        <f t="shared" si="6"/>
        <v>8982</v>
      </c>
      <c r="L23" s="248"/>
      <c r="M23" s="347">
        <v>5154</v>
      </c>
      <c r="N23" s="2522"/>
      <c r="O23" s="1524">
        <f t="shared" si="7"/>
        <v>14136</v>
      </c>
      <c r="P23" s="248"/>
      <c r="Q23" s="347">
        <v>4608.1750000000002</v>
      </c>
      <c r="R23" s="2094"/>
      <c r="S23" s="1439">
        <f t="shared" si="8"/>
        <v>18744.174999999999</v>
      </c>
      <c r="T23" s="2096"/>
      <c r="U23" s="347">
        <v>5938</v>
      </c>
      <c r="V23" s="2522"/>
      <c r="W23" s="1201">
        <f t="shared" si="0"/>
        <v>15700.174999999999</v>
      </c>
      <c r="X23" s="2524"/>
      <c r="Y23" s="2590">
        <f t="shared" si="1"/>
        <v>24682.174999999999</v>
      </c>
      <c r="Z23" s="2593"/>
      <c r="AA23" s="347"/>
      <c r="AB23" s="347"/>
      <c r="AC23" s="2586">
        <f t="shared" si="9"/>
        <v>24682.174999999999</v>
      </c>
      <c r="AD23" s="2096"/>
      <c r="AE23" s="347">
        <v>4261.7359999999999</v>
      </c>
      <c r="AF23" s="347"/>
      <c r="AG23" s="2586">
        <f t="shared" si="10"/>
        <v>28943.911</v>
      </c>
      <c r="AH23" s="2096"/>
      <c r="AI23" s="347"/>
      <c r="AJ23" s="2522"/>
      <c r="AK23" s="1201">
        <f t="shared" si="2"/>
        <v>4261.7359999999999</v>
      </c>
      <c r="AL23" s="2524"/>
      <c r="AM23" s="2586">
        <f t="shared" si="11"/>
        <v>28943.911</v>
      </c>
      <c r="AN23" s="2096"/>
      <c r="AO23" s="347"/>
      <c r="AP23" s="347"/>
      <c r="AQ23" s="2586">
        <f t="shared" si="12"/>
        <v>28943.911</v>
      </c>
      <c r="AR23" s="2096"/>
      <c r="AS23" s="347"/>
      <c r="AT23" s="347"/>
      <c r="AU23" s="2586">
        <f t="shared" si="13"/>
        <v>28943.911</v>
      </c>
      <c r="AV23" s="2096"/>
      <c r="AW23" s="347"/>
      <c r="AX23" s="2522"/>
      <c r="AY23" s="1201">
        <f t="shared" si="3"/>
        <v>0</v>
      </c>
      <c r="AZ23" s="2524"/>
      <c r="BA23" s="2590">
        <f t="shared" si="14"/>
        <v>4261.7359999999999</v>
      </c>
      <c r="BB23" s="2586"/>
      <c r="BC23" s="1524">
        <f t="shared" si="4"/>
        <v>28943.911</v>
      </c>
      <c r="BD23" s="2999"/>
      <c r="BE23" s="2999"/>
      <c r="BG23" s="2999"/>
      <c r="BH23" s="2999"/>
    </row>
    <row r="24" spans="1:60" ht="16.2" thickBot="1" x14ac:dyDescent="0.35">
      <c r="A24" s="3008" t="s">
        <v>1292</v>
      </c>
      <c r="B24" s="1500"/>
      <c r="C24" s="347">
        <v>265</v>
      </c>
      <c r="D24" s="347"/>
      <c r="E24" s="347"/>
      <c r="F24" s="2094"/>
      <c r="G24" s="1439">
        <f t="shared" si="5"/>
        <v>265</v>
      </c>
      <c r="H24" s="248"/>
      <c r="I24" s="347"/>
      <c r="J24" s="2095"/>
      <c r="K24" s="1201">
        <f t="shared" si="6"/>
        <v>265</v>
      </c>
      <c r="L24" s="248"/>
      <c r="M24" s="347">
        <v>122</v>
      </c>
      <c r="N24" s="2522"/>
      <c r="O24" s="1524">
        <f t="shared" si="7"/>
        <v>387</v>
      </c>
      <c r="P24" s="248"/>
      <c r="Q24" s="347"/>
      <c r="R24" s="2094"/>
      <c r="S24" s="1439">
        <f t="shared" si="8"/>
        <v>387</v>
      </c>
      <c r="T24" s="2096"/>
      <c r="U24" s="347"/>
      <c r="V24" s="2522"/>
      <c r="W24" s="1201">
        <f t="shared" si="0"/>
        <v>122</v>
      </c>
      <c r="X24" s="2524"/>
      <c r="Y24" s="2590">
        <f t="shared" si="1"/>
        <v>387</v>
      </c>
      <c r="Z24" s="2593"/>
      <c r="AA24" s="347"/>
      <c r="AB24" s="347"/>
      <c r="AC24" s="2586">
        <f t="shared" si="9"/>
        <v>387</v>
      </c>
      <c r="AD24" s="2096"/>
      <c r="AE24" s="347"/>
      <c r="AF24" s="347"/>
      <c r="AG24" s="2586">
        <f t="shared" si="10"/>
        <v>387</v>
      </c>
      <c r="AH24" s="2096"/>
      <c r="AI24" s="347"/>
      <c r="AJ24" s="2522"/>
      <c r="AK24" s="1201">
        <f t="shared" si="2"/>
        <v>0</v>
      </c>
      <c r="AL24" s="2524"/>
      <c r="AM24" s="2586">
        <f t="shared" si="11"/>
        <v>387</v>
      </c>
      <c r="AN24" s="2096"/>
      <c r="AO24" s="347"/>
      <c r="AP24" s="347"/>
      <c r="AQ24" s="2586">
        <f t="shared" si="12"/>
        <v>387</v>
      </c>
      <c r="AR24" s="2096"/>
      <c r="AS24" s="347"/>
      <c r="AT24" s="347"/>
      <c r="AU24" s="2586">
        <f t="shared" si="13"/>
        <v>387</v>
      </c>
      <c r="AV24" s="2096"/>
      <c r="AW24" s="347"/>
      <c r="AX24" s="2522"/>
      <c r="AY24" s="1201">
        <f t="shared" si="3"/>
        <v>0</v>
      </c>
      <c r="AZ24" s="2524"/>
      <c r="BA24" s="2590">
        <f t="shared" si="14"/>
        <v>0</v>
      </c>
      <c r="BB24" s="2586"/>
      <c r="BC24" s="1524">
        <f t="shared" si="4"/>
        <v>387</v>
      </c>
      <c r="BD24" s="2999"/>
      <c r="BE24" s="2999"/>
      <c r="BG24" s="2999"/>
      <c r="BH24" s="2999"/>
    </row>
    <row r="25" spans="1:60" ht="16.2" thickBot="1" x14ac:dyDescent="0.35">
      <c r="A25" s="3001" t="s">
        <v>1072</v>
      </c>
      <c r="B25" s="3002"/>
      <c r="C25" s="3003">
        <f>SUM(C21:C24)</f>
        <v>1834</v>
      </c>
      <c r="D25" s="3003">
        <f t="shared" ref="D25:BC25" si="15">SUM(D21:D24)</f>
        <v>0</v>
      </c>
      <c r="E25" s="3003">
        <f t="shared" si="15"/>
        <v>4130</v>
      </c>
      <c r="F25" s="3003">
        <f t="shared" si="15"/>
        <v>0</v>
      </c>
      <c r="G25" s="3003">
        <f t="shared" si="15"/>
        <v>5964</v>
      </c>
      <c r="H25" s="3003">
        <f t="shared" si="15"/>
        <v>0</v>
      </c>
      <c r="I25" s="3003">
        <f t="shared" si="15"/>
        <v>5343</v>
      </c>
      <c r="J25" s="3003">
        <f t="shared" si="15"/>
        <v>0</v>
      </c>
      <c r="K25" s="3003">
        <f t="shared" si="15"/>
        <v>11307</v>
      </c>
      <c r="L25" s="3003">
        <f t="shared" si="15"/>
        <v>0</v>
      </c>
      <c r="M25" s="3003">
        <f t="shared" si="15"/>
        <v>5854</v>
      </c>
      <c r="N25" s="3003">
        <f t="shared" si="15"/>
        <v>0</v>
      </c>
      <c r="O25" s="3003">
        <f t="shared" si="15"/>
        <v>17161</v>
      </c>
      <c r="P25" s="3003">
        <f t="shared" si="15"/>
        <v>0</v>
      </c>
      <c r="Q25" s="3003">
        <f t="shared" si="15"/>
        <v>4765.4750000000004</v>
      </c>
      <c r="R25" s="3003">
        <f t="shared" si="15"/>
        <v>0</v>
      </c>
      <c r="S25" s="3003">
        <f t="shared" si="15"/>
        <v>21926.474999999999</v>
      </c>
      <c r="T25" s="3003">
        <f t="shared" si="15"/>
        <v>0</v>
      </c>
      <c r="U25" s="3003">
        <f t="shared" si="15"/>
        <v>6234</v>
      </c>
      <c r="V25" s="3003">
        <f t="shared" si="15"/>
        <v>0</v>
      </c>
      <c r="W25" s="3003">
        <f t="shared" si="15"/>
        <v>16853.474999999999</v>
      </c>
      <c r="X25" s="3003">
        <f t="shared" si="15"/>
        <v>0</v>
      </c>
      <c r="Y25" s="3003">
        <f t="shared" si="15"/>
        <v>28160.474999999999</v>
      </c>
      <c r="Z25" s="3003">
        <f t="shared" si="15"/>
        <v>0</v>
      </c>
      <c r="AA25" s="3003">
        <f t="shared" ref="AA25" si="16">SUM(AA21:AA24)</f>
        <v>0</v>
      </c>
      <c r="AB25" s="3003">
        <f t="shared" si="15"/>
        <v>0</v>
      </c>
      <c r="AC25" s="3003">
        <f t="shared" si="15"/>
        <v>28160.474999999999</v>
      </c>
      <c r="AD25" s="3003">
        <f t="shared" si="15"/>
        <v>0</v>
      </c>
      <c r="AE25" s="3003">
        <f t="shared" si="15"/>
        <v>4946.6019999999999</v>
      </c>
      <c r="AF25" s="3003">
        <f t="shared" si="15"/>
        <v>0</v>
      </c>
      <c r="AG25" s="3003">
        <f t="shared" si="15"/>
        <v>33107.077000000005</v>
      </c>
      <c r="AH25" s="3003">
        <f t="shared" si="15"/>
        <v>0</v>
      </c>
      <c r="AI25" s="3003">
        <f t="shared" si="15"/>
        <v>0</v>
      </c>
      <c r="AJ25" s="3003">
        <f t="shared" si="15"/>
        <v>0</v>
      </c>
      <c r="AK25" s="1201">
        <f t="shared" si="2"/>
        <v>4946.6019999999999</v>
      </c>
      <c r="AL25" s="3003">
        <f t="shared" si="15"/>
        <v>0</v>
      </c>
      <c r="AM25" s="2586">
        <f t="shared" si="11"/>
        <v>33107.077000000005</v>
      </c>
      <c r="AN25" s="3003">
        <f t="shared" si="15"/>
        <v>0</v>
      </c>
      <c r="AO25" s="3003">
        <f t="shared" si="15"/>
        <v>0</v>
      </c>
      <c r="AP25" s="3003">
        <f t="shared" si="15"/>
        <v>0</v>
      </c>
      <c r="AQ25" s="3003">
        <f t="shared" si="15"/>
        <v>33107.077000000005</v>
      </c>
      <c r="AR25" s="3003">
        <f t="shared" si="15"/>
        <v>0</v>
      </c>
      <c r="AS25" s="3003">
        <f t="shared" ref="AS25" si="17">SUM(AS21:AS24)</f>
        <v>0</v>
      </c>
      <c r="AT25" s="3003">
        <f t="shared" si="15"/>
        <v>0</v>
      </c>
      <c r="AU25" s="3003">
        <f t="shared" si="15"/>
        <v>33107.077000000005</v>
      </c>
      <c r="AV25" s="3003">
        <f t="shared" si="15"/>
        <v>0</v>
      </c>
      <c r="AW25" s="3003">
        <f t="shared" si="15"/>
        <v>0</v>
      </c>
      <c r="AX25" s="3003">
        <f t="shared" si="15"/>
        <v>0</v>
      </c>
      <c r="AY25" s="3003">
        <f t="shared" si="15"/>
        <v>0</v>
      </c>
      <c r="AZ25" s="3003">
        <f t="shared" si="15"/>
        <v>0</v>
      </c>
      <c r="BA25" s="3003">
        <f t="shared" si="15"/>
        <v>4946.6019999999999</v>
      </c>
      <c r="BB25" s="3003">
        <f t="shared" si="15"/>
        <v>0</v>
      </c>
      <c r="BC25" s="3003">
        <f t="shared" si="15"/>
        <v>33107.077000000005</v>
      </c>
      <c r="BD25" s="2999"/>
      <c r="BE25" s="2999"/>
      <c r="BG25" s="2999"/>
      <c r="BH25" s="2999"/>
    </row>
    <row r="26" spans="1:60" ht="16.2" thickBot="1" x14ac:dyDescent="0.35">
      <c r="A26" s="240"/>
      <c r="B26" s="1500"/>
      <c r="C26" s="248"/>
      <c r="D26" s="248"/>
      <c r="E26" s="248"/>
      <c r="F26" s="248"/>
      <c r="G26" s="1439">
        <f t="shared" si="5"/>
        <v>0</v>
      </c>
      <c r="H26" s="248"/>
      <c r="I26" s="248"/>
      <c r="J26" s="1505"/>
      <c r="K26" s="1201">
        <f t="shared" si="6"/>
        <v>0</v>
      </c>
      <c r="L26" s="248"/>
      <c r="M26" s="248"/>
      <c r="N26" s="1505"/>
      <c r="O26" s="1524">
        <f t="shared" si="7"/>
        <v>0</v>
      </c>
      <c r="P26" s="248"/>
      <c r="Q26" s="248"/>
      <c r="R26" s="248"/>
      <c r="S26" s="1439">
        <f t="shared" si="8"/>
        <v>0</v>
      </c>
      <c r="T26" s="2582"/>
      <c r="U26" s="248"/>
      <c r="V26" s="1505"/>
      <c r="W26" s="1201">
        <f t="shared" si="0"/>
        <v>0</v>
      </c>
      <c r="X26" s="697"/>
      <c r="Y26" s="2590">
        <f t="shared" si="1"/>
        <v>0</v>
      </c>
      <c r="Z26" s="2582"/>
      <c r="AA26" s="248"/>
      <c r="AB26" s="1505"/>
      <c r="AC26" s="2586">
        <f t="shared" si="9"/>
        <v>0</v>
      </c>
      <c r="AD26" s="2582"/>
      <c r="AE26" s="248"/>
      <c r="AF26" s="1505"/>
      <c r="AG26" s="2586">
        <f t="shared" si="10"/>
        <v>0</v>
      </c>
      <c r="AH26" s="2582"/>
      <c r="AI26" s="248"/>
      <c r="AJ26" s="1505"/>
      <c r="AK26" s="1201">
        <f t="shared" si="2"/>
        <v>0</v>
      </c>
      <c r="AL26" s="697"/>
      <c r="AM26" s="2586">
        <f t="shared" si="11"/>
        <v>0</v>
      </c>
      <c r="AN26" s="2582"/>
      <c r="AO26" s="248"/>
      <c r="AP26" s="1505"/>
      <c r="AQ26" s="2586">
        <f t="shared" si="12"/>
        <v>0</v>
      </c>
      <c r="AR26" s="2582"/>
      <c r="AS26" s="248"/>
      <c r="AT26" s="1505"/>
      <c r="AU26" s="2586">
        <f t="shared" si="13"/>
        <v>0</v>
      </c>
      <c r="AV26" s="2582"/>
      <c r="AW26" s="248"/>
      <c r="AX26" s="1505"/>
      <c r="AY26" s="1201">
        <f t="shared" si="3"/>
        <v>0</v>
      </c>
      <c r="AZ26" s="697"/>
      <c r="BA26" s="2590">
        <f t="shared" si="14"/>
        <v>0</v>
      </c>
      <c r="BB26" s="697"/>
      <c r="BC26" s="1524">
        <f t="shared" si="4"/>
        <v>0</v>
      </c>
      <c r="BD26" s="2999"/>
      <c r="BE26" s="2999"/>
      <c r="BG26" s="2999"/>
      <c r="BH26" s="2999"/>
    </row>
    <row r="27" spans="1:60" ht="16.2" thickBot="1" x14ac:dyDescent="0.35">
      <c r="A27" s="3006" t="s">
        <v>1253</v>
      </c>
      <c r="B27" s="3007"/>
      <c r="C27" s="1212"/>
      <c r="D27" s="1212"/>
      <c r="E27" s="1214"/>
      <c r="F27" s="1214"/>
      <c r="G27" s="1439">
        <f t="shared" si="5"/>
        <v>0</v>
      </c>
      <c r="H27" s="1214"/>
      <c r="I27" s="1214"/>
      <c r="J27" s="1506"/>
      <c r="K27" s="1201">
        <f t="shared" si="6"/>
        <v>0</v>
      </c>
      <c r="L27" s="1214"/>
      <c r="M27" s="1214"/>
      <c r="N27" s="1506"/>
      <c r="O27" s="1524">
        <f t="shared" si="7"/>
        <v>0</v>
      </c>
      <c r="P27" s="1214"/>
      <c r="Q27" s="1214"/>
      <c r="R27" s="1214"/>
      <c r="S27" s="1439">
        <f t="shared" si="8"/>
        <v>0</v>
      </c>
      <c r="T27" s="1213"/>
      <c r="U27" s="1214"/>
      <c r="V27" s="1506"/>
      <c r="W27" s="1201">
        <f t="shared" si="0"/>
        <v>0</v>
      </c>
      <c r="X27" s="1215"/>
      <c r="Y27" s="2590">
        <f t="shared" si="1"/>
        <v>0</v>
      </c>
      <c r="Z27" s="1213"/>
      <c r="AA27" s="1214"/>
      <c r="AB27" s="1506"/>
      <c r="AC27" s="2586">
        <f t="shared" si="9"/>
        <v>0</v>
      </c>
      <c r="AD27" s="1213"/>
      <c r="AE27" s="1214"/>
      <c r="AF27" s="1506"/>
      <c r="AG27" s="2586">
        <f t="shared" si="10"/>
        <v>0</v>
      </c>
      <c r="AH27" s="1213"/>
      <c r="AI27" s="1214"/>
      <c r="AJ27" s="1506"/>
      <c r="AK27" s="1201">
        <f t="shared" si="2"/>
        <v>0</v>
      </c>
      <c r="AL27" s="1215"/>
      <c r="AM27" s="2586">
        <f t="shared" si="11"/>
        <v>0</v>
      </c>
      <c r="AN27" s="1213"/>
      <c r="AO27" s="1214"/>
      <c r="AP27" s="1506"/>
      <c r="AQ27" s="2586">
        <f t="shared" si="12"/>
        <v>0</v>
      </c>
      <c r="AR27" s="1213"/>
      <c r="AS27" s="1214"/>
      <c r="AT27" s="1506"/>
      <c r="AU27" s="2586">
        <f t="shared" si="13"/>
        <v>0</v>
      </c>
      <c r="AV27" s="1213"/>
      <c r="AW27" s="1214"/>
      <c r="AX27" s="1506"/>
      <c r="AY27" s="1201">
        <f t="shared" si="3"/>
        <v>0</v>
      </c>
      <c r="AZ27" s="1215"/>
      <c r="BA27" s="2590">
        <f t="shared" si="14"/>
        <v>0</v>
      </c>
      <c r="BB27" s="1215"/>
      <c r="BC27" s="1524">
        <f t="shared" si="4"/>
        <v>0</v>
      </c>
      <c r="BD27" s="2999"/>
      <c r="BE27" s="2999"/>
      <c r="BG27" s="2999"/>
      <c r="BH27" s="2999"/>
    </row>
    <row r="28" spans="1:60" x14ac:dyDescent="0.3">
      <c r="A28" s="1432" t="s">
        <v>1210</v>
      </c>
      <c r="B28" s="1501"/>
      <c r="C28" s="233">
        <v>26349</v>
      </c>
      <c r="D28" s="233"/>
      <c r="E28" s="233">
        <v>31273</v>
      </c>
      <c r="F28" s="1439"/>
      <c r="G28" s="1439">
        <f t="shared" si="5"/>
        <v>57622</v>
      </c>
      <c r="H28" s="1491"/>
      <c r="I28" s="233">
        <v>29786</v>
      </c>
      <c r="J28" s="1507"/>
      <c r="K28" s="1201">
        <f t="shared" si="6"/>
        <v>87408</v>
      </c>
      <c r="L28" s="1491"/>
      <c r="M28" s="233">
        <v>32431</v>
      </c>
      <c r="N28" s="1504"/>
      <c r="O28" s="1524">
        <f t="shared" si="7"/>
        <v>119839</v>
      </c>
      <c r="P28" s="1491"/>
      <c r="Q28" s="233">
        <v>29596.999</v>
      </c>
      <c r="R28" s="1439"/>
      <c r="S28" s="1439">
        <f t="shared" si="8"/>
        <v>149435.99900000001</v>
      </c>
      <c r="T28" s="2588"/>
      <c r="U28" s="233">
        <v>24669</v>
      </c>
      <c r="V28" s="253"/>
      <c r="W28" s="1201">
        <f t="shared" si="0"/>
        <v>86696.998999999996</v>
      </c>
      <c r="X28" s="2524"/>
      <c r="Y28" s="2590">
        <f t="shared" si="1"/>
        <v>174104.99900000001</v>
      </c>
      <c r="Z28" s="2592"/>
      <c r="AA28" s="233">
        <v>21096</v>
      </c>
      <c r="AB28" s="253"/>
      <c r="AC28" s="2586">
        <f t="shared" si="9"/>
        <v>195200.99900000001</v>
      </c>
      <c r="AD28" s="2588"/>
      <c r="AE28" s="233">
        <v>30506.871999999999</v>
      </c>
      <c r="AF28" s="253"/>
      <c r="AG28" s="2586">
        <f t="shared" si="10"/>
        <v>225707.87100000001</v>
      </c>
      <c r="AH28" s="2588"/>
      <c r="AI28" s="233">
        <v>34796</v>
      </c>
      <c r="AJ28" s="253"/>
      <c r="AK28" s="1201">
        <f t="shared" si="2"/>
        <v>86398.872000000003</v>
      </c>
      <c r="AL28" s="1208"/>
      <c r="AM28" s="2586">
        <f t="shared" si="11"/>
        <v>260503.87100000001</v>
      </c>
      <c r="AN28" s="2588"/>
      <c r="AO28" s="233">
        <v>36065</v>
      </c>
      <c r="AP28" s="233"/>
      <c r="AQ28" s="2586">
        <f t="shared" si="12"/>
        <v>296568.87100000004</v>
      </c>
      <c r="AR28" s="2585"/>
      <c r="AS28" s="233">
        <v>29799.866000000002</v>
      </c>
      <c r="AT28" s="233"/>
      <c r="AU28" s="2586">
        <f t="shared" si="13"/>
        <v>326368.73700000002</v>
      </c>
      <c r="AV28" s="2585"/>
      <c r="AW28" s="233">
        <v>36284.675000000003</v>
      </c>
      <c r="AX28" s="253"/>
      <c r="AY28" s="1201">
        <f t="shared" si="3"/>
        <v>102149.54100000001</v>
      </c>
      <c r="AZ28" s="2524"/>
      <c r="BA28" s="2590">
        <f t="shared" si="14"/>
        <v>188548.413</v>
      </c>
      <c r="BB28" s="2586"/>
      <c r="BC28" s="1524">
        <f t="shared" si="4"/>
        <v>362653.41200000001</v>
      </c>
      <c r="BD28" s="2999"/>
      <c r="BE28" s="2999"/>
      <c r="BG28" s="2999"/>
      <c r="BH28" s="2999"/>
    </row>
    <row r="29" spans="1:60" x14ac:dyDescent="0.3">
      <c r="A29" s="1432" t="s">
        <v>2055</v>
      </c>
      <c r="B29" s="1501"/>
      <c r="C29" s="4896"/>
      <c r="D29" s="4896"/>
      <c r="E29" s="4896"/>
      <c r="F29" s="4897"/>
      <c r="G29" s="4897"/>
      <c r="H29" s="4898"/>
      <c r="I29" s="4896">
        <v>6947</v>
      </c>
      <c r="J29" s="4899"/>
      <c r="K29" s="1201">
        <f t="shared" si="6"/>
        <v>6947</v>
      </c>
      <c r="L29" s="4898"/>
      <c r="M29" s="4896">
        <v>2608</v>
      </c>
      <c r="N29" s="4900"/>
      <c r="O29" s="1524">
        <f t="shared" si="7"/>
        <v>9555</v>
      </c>
      <c r="P29" s="4898"/>
      <c r="Q29" s="4896">
        <v>3665.6750000000002</v>
      </c>
      <c r="R29" s="4897"/>
      <c r="S29" s="1439">
        <f t="shared" si="8"/>
        <v>13220.674999999999</v>
      </c>
      <c r="T29" s="2588"/>
      <c r="U29" s="4896">
        <v>9928</v>
      </c>
      <c r="V29" s="253"/>
      <c r="W29" s="1201">
        <f t="shared" ref="W29:W35" si="18">+M29+Q29+U29</f>
        <v>16201.674999999999</v>
      </c>
      <c r="X29" s="2524"/>
      <c r="Y29" s="2590">
        <f t="shared" ref="Y29:Y35" si="19">+K29+W29</f>
        <v>23148.674999999999</v>
      </c>
      <c r="Z29" s="2592"/>
      <c r="AA29" s="4896">
        <v>6236</v>
      </c>
      <c r="AB29" s="253"/>
      <c r="AC29" s="2586">
        <f t="shared" si="9"/>
        <v>29384.674999999999</v>
      </c>
      <c r="AD29" s="2588"/>
      <c r="AE29" s="4896">
        <v>5710.58</v>
      </c>
      <c r="AF29" s="253"/>
      <c r="AG29" s="2586">
        <f t="shared" si="10"/>
        <v>35095.254999999997</v>
      </c>
      <c r="AH29" s="2588"/>
      <c r="AI29" s="4896"/>
      <c r="AJ29" s="253"/>
      <c r="AK29" s="1201">
        <f t="shared" si="2"/>
        <v>11946.58</v>
      </c>
      <c r="AL29" s="1208"/>
      <c r="AM29" s="2586">
        <f t="shared" si="11"/>
        <v>35095.254999999997</v>
      </c>
      <c r="AN29" s="2588"/>
      <c r="AO29" s="4896">
        <v>4505</v>
      </c>
      <c r="AP29" s="4896"/>
      <c r="AQ29" s="2586">
        <f t="shared" si="12"/>
        <v>39600.254999999997</v>
      </c>
      <c r="AR29" s="4902"/>
      <c r="AS29" s="4896">
        <v>4903.2150000000001</v>
      </c>
      <c r="AT29" s="4896"/>
      <c r="AU29" s="4901">
        <f t="shared" si="13"/>
        <v>44503.47</v>
      </c>
      <c r="AV29" s="4902"/>
      <c r="AW29" s="4896">
        <v>7950.63</v>
      </c>
      <c r="AX29" s="253"/>
      <c r="AY29" s="1201">
        <f t="shared" si="3"/>
        <v>17358.845000000001</v>
      </c>
      <c r="AZ29" s="2524"/>
      <c r="BA29" s="2590">
        <f t="shared" si="14"/>
        <v>29305.425000000003</v>
      </c>
      <c r="BB29" s="4901"/>
      <c r="BC29" s="1524">
        <f t="shared" si="4"/>
        <v>52454.1</v>
      </c>
      <c r="BD29" s="2999"/>
      <c r="BE29" s="2999"/>
      <c r="BG29" s="2999"/>
      <c r="BH29" s="2999"/>
    </row>
    <row r="30" spans="1:60" ht="18" x14ac:dyDescent="0.3">
      <c r="A30" s="1432" t="s">
        <v>2022</v>
      </c>
      <c r="B30" s="1501"/>
      <c r="C30" s="4717"/>
      <c r="D30" s="4717"/>
      <c r="E30" s="4717">
        <v>248</v>
      </c>
      <c r="F30" s="4718"/>
      <c r="G30" s="1439">
        <f t="shared" si="5"/>
        <v>248</v>
      </c>
      <c r="H30" s="4719"/>
      <c r="I30" s="4717">
        <v>604</v>
      </c>
      <c r="J30" s="4720"/>
      <c r="K30" s="1201">
        <f t="shared" si="6"/>
        <v>852</v>
      </c>
      <c r="L30" s="4719"/>
      <c r="M30" s="4717">
        <v>486</v>
      </c>
      <c r="N30" s="4722"/>
      <c r="O30" s="1524">
        <f t="shared" si="7"/>
        <v>1338</v>
      </c>
      <c r="P30" s="4719"/>
      <c r="Q30" s="4717"/>
      <c r="R30" s="4718"/>
      <c r="S30" s="1439">
        <f t="shared" si="8"/>
        <v>1338</v>
      </c>
      <c r="T30" s="2588"/>
      <c r="U30" s="4717"/>
      <c r="V30" s="253"/>
      <c r="W30" s="1201">
        <f t="shared" si="18"/>
        <v>486</v>
      </c>
      <c r="X30" s="2524"/>
      <c r="Y30" s="2590">
        <f t="shared" si="19"/>
        <v>1338</v>
      </c>
      <c r="Z30" s="2592"/>
      <c r="AA30" s="4717"/>
      <c r="AB30" s="253"/>
      <c r="AC30" s="2586">
        <f t="shared" si="9"/>
        <v>1338</v>
      </c>
      <c r="AD30" s="2588"/>
      <c r="AE30" s="5110"/>
      <c r="AF30" s="253"/>
      <c r="AG30" s="2586">
        <f t="shared" si="10"/>
        <v>1338</v>
      </c>
      <c r="AH30" s="2588"/>
      <c r="AI30" s="4717">
        <v>12990</v>
      </c>
      <c r="AJ30" s="253"/>
      <c r="AK30" s="1201">
        <f t="shared" si="2"/>
        <v>12990</v>
      </c>
      <c r="AL30" s="1208"/>
      <c r="AM30" s="2586">
        <f t="shared" si="11"/>
        <v>14328</v>
      </c>
      <c r="AN30" s="2588"/>
      <c r="AO30" s="4717"/>
      <c r="AP30" s="4717"/>
      <c r="AQ30" s="2586">
        <f t="shared" si="12"/>
        <v>14328</v>
      </c>
      <c r="AR30" s="4725"/>
      <c r="AS30" s="4717"/>
      <c r="AT30" s="4717"/>
      <c r="AU30" s="4807">
        <f t="shared" si="13"/>
        <v>14328</v>
      </c>
      <c r="AV30" s="4725"/>
      <c r="AW30" s="4717"/>
      <c r="AX30" s="253"/>
      <c r="AY30" s="1201">
        <f t="shared" si="3"/>
        <v>0</v>
      </c>
      <c r="AZ30" s="2524"/>
      <c r="BA30" s="2590">
        <f t="shared" si="14"/>
        <v>12990</v>
      </c>
      <c r="BB30" s="4807"/>
      <c r="BC30" s="1524">
        <f t="shared" si="4"/>
        <v>14328</v>
      </c>
      <c r="BD30" s="2999"/>
      <c r="BE30" s="2999"/>
      <c r="BG30" s="2999"/>
      <c r="BH30" s="2999"/>
    </row>
    <row r="31" spans="1:60" x14ac:dyDescent="0.3">
      <c r="A31" s="1432" t="s">
        <v>2098</v>
      </c>
      <c r="B31" s="1501"/>
      <c r="C31" s="4896"/>
      <c r="D31" s="4896"/>
      <c r="E31" s="4896"/>
      <c r="F31" s="4897"/>
      <c r="G31" s="4897"/>
      <c r="H31" s="4898"/>
      <c r="I31" s="4896"/>
      <c r="J31" s="4899"/>
      <c r="K31" s="1201">
        <f t="shared" si="6"/>
        <v>0</v>
      </c>
      <c r="L31" s="4898"/>
      <c r="M31" s="4896"/>
      <c r="N31" s="4900"/>
      <c r="O31" s="1524">
        <f t="shared" si="7"/>
        <v>0</v>
      </c>
      <c r="P31" s="4898"/>
      <c r="Q31" s="4896">
        <v>102.18</v>
      </c>
      <c r="R31" s="4897"/>
      <c r="S31" s="1439">
        <f t="shared" si="8"/>
        <v>102.18</v>
      </c>
      <c r="T31" s="2588"/>
      <c r="U31" s="4896"/>
      <c r="V31" s="253"/>
      <c r="W31" s="1201">
        <f t="shared" si="18"/>
        <v>102.18</v>
      </c>
      <c r="X31" s="2524"/>
      <c r="Y31" s="2590">
        <f t="shared" si="19"/>
        <v>102.18</v>
      </c>
      <c r="Z31" s="2592"/>
      <c r="AA31" s="4896"/>
      <c r="AB31" s="253"/>
      <c r="AC31" s="2586">
        <f t="shared" si="9"/>
        <v>102.18</v>
      </c>
      <c r="AD31" s="2588"/>
      <c r="AE31" s="4896"/>
      <c r="AF31" s="253"/>
      <c r="AG31" s="2586">
        <f t="shared" si="10"/>
        <v>102.18</v>
      </c>
      <c r="AH31" s="2588"/>
      <c r="AI31" s="4896">
        <v>114</v>
      </c>
      <c r="AJ31" s="253"/>
      <c r="AK31" s="1201">
        <f t="shared" si="2"/>
        <v>114</v>
      </c>
      <c r="AL31" s="1208"/>
      <c r="AM31" s="2586">
        <f t="shared" si="11"/>
        <v>216.18</v>
      </c>
      <c r="AN31" s="2588"/>
      <c r="AO31" s="4896"/>
      <c r="AP31" s="4896"/>
      <c r="AQ31" s="2586">
        <f t="shared" si="12"/>
        <v>216.18</v>
      </c>
      <c r="AR31" s="4902"/>
      <c r="AS31" s="4896"/>
      <c r="AT31" s="4896"/>
      <c r="AU31" s="4901">
        <f t="shared" si="13"/>
        <v>216.18</v>
      </c>
      <c r="AV31" s="4902"/>
      <c r="AW31" s="4896"/>
      <c r="AX31" s="253"/>
      <c r="AY31" s="1201">
        <f t="shared" si="3"/>
        <v>0</v>
      </c>
      <c r="AZ31" s="2524"/>
      <c r="BA31" s="2590">
        <f t="shared" si="14"/>
        <v>114</v>
      </c>
      <c r="BB31" s="4901"/>
      <c r="BC31" s="1524">
        <f t="shared" si="4"/>
        <v>216.18</v>
      </c>
      <c r="BD31" s="2999"/>
      <c r="BE31" s="2999"/>
      <c r="BG31" s="2999"/>
      <c r="BH31" s="2999"/>
    </row>
    <row r="32" spans="1:60" x14ac:dyDescent="0.3">
      <c r="A32" s="1432" t="s">
        <v>1269</v>
      </c>
      <c r="B32" s="1501"/>
      <c r="C32" s="4717">
        <v>379</v>
      </c>
      <c r="D32" s="4717"/>
      <c r="E32" s="4717"/>
      <c r="F32" s="4718"/>
      <c r="G32" s="1439">
        <f t="shared" si="5"/>
        <v>379</v>
      </c>
      <c r="H32" s="4719"/>
      <c r="I32" s="4717">
        <v>165</v>
      </c>
      <c r="J32" s="4720"/>
      <c r="K32" s="1201">
        <f t="shared" si="6"/>
        <v>544</v>
      </c>
      <c r="L32" s="4719"/>
      <c r="M32" s="4717">
        <v>99</v>
      </c>
      <c r="N32" s="4722"/>
      <c r="O32" s="1524">
        <f t="shared" si="7"/>
        <v>643</v>
      </c>
      <c r="P32" s="4719"/>
      <c r="Q32" s="4717"/>
      <c r="R32" s="4718"/>
      <c r="S32" s="1439">
        <f t="shared" si="8"/>
        <v>643</v>
      </c>
      <c r="T32" s="2588"/>
      <c r="U32" s="4717">
        <v>314</v>
      </c>
      <c r="V32" s="253"/>
      <c r="W32" s="1201">
        <f t="shared" si="18"/>
        <v>413</v>
      </c>
      <c r="X32" s="2524"/>
      <c r="Y32" s="2590">
        <f t="shared" si="19"/>
        <v>957</v>
      </c>
      <c r="Z32" s="2592"/>
      <c r="AA32" s="4717">
        <v>224</v>
      </c>
      <c r="AB32" s="253"/>
      <c r="AC32" s="2586">
        <f t="shared" si="9"/>
        <v>1181</v>
      </c>
      <c r="AD32" s="2588"/>
      <c r="AE32" s="4717">
        <v>455.399</v>
      </c>
      <c r="AF32" s="253"/>
      <c r="AG32" s="2586">
        <f t="shared" si="10"/>
        <v>1636.3989999999999</v>
      </c>
      <c r="AH32" s="2588"/>
      <c r="AI32" s="4717">
        <v>826</v>
      </c>
      <c r="AJ32" s="253"/>
      <c r="AK32" s="1201">
        <f t="shared" si="2"/>
        <v>1505.3989999999999</v>
      </c>
      <c r="AL32" s="1208"/>
      <c r="AM32" s="2586">
        <f t="shared" si="11"/>
        <v>2462.3989999999999</v>
      </c>
      <c r="AN32" s="2588"/>
      <c r="AO32" s="4717">
        <v>312</v>
      </c>
      <c r="AP32" s="4717"/>
      <c r="AQ32" s="2586">
        <f t="shared" si="12"/>
        <v>2774.3989999999999</v>
      </c>
      <c r="AR32" s="4725"/>
      <c r="AS32" s="4717">
        <v>192.94499999999999</v>
      </c>
      <c r="AT32" s="4717"/>
      <c r="AU32" s="4724">
        <f t="shared" si="13"/>
        <v>2967.3440000000001</v>
      </c>
      <c r="AV32" s="4725"/>
      <c r="AW32" s="4717"/>
      <c r="AX32" s="253"/>
      <c r="AY32" s="1201">
        <f t="shared" si="3"/>
        <v>504.94499999999999</v>
      </c>
      <c r="AZ32" s="2524"/>
      <c r="BA32" s="2590">
        <f t="shared" si="14"/>
        <v>2010.3439999999998</v>
      </c>
      <c r="BB32" s="4724"/>
      <c r="BC32" s="1524">
        <f t="shared" si="4"/>
        <v>2967.3440000000001</v>
      </c>
      <c r="BD32" s="2999"/>
      <c r="BE32" s="2999"/>
      <c r="BG32" s="2999"/>
      <c r="BH32" s="2999"/>
    </row>
    <row r="33" spans="1:62" x14ac:dyDescent="0.3">
      <c r="A33" s="1432" t="s">
        <v>2071</v>
      </c>
      <c r="B33" s="1501"/>
      <c r="C33" s="4896"/>
      <c r="D33" s="4896"/>
      <c r="E33" s="4896"/>
      <c r="F33" s="4897"/>
      <c r="G33" s="4897"/>
      <c r="H33" s="4898"/>
      <c r="I33" s="4896"/>
      <c r="J33" s="4899"/>
      <c r="K33" s="1201">
        <f t="shared" si="6"/>
        <v>0</v>
      </c>
      <c r="L33" s="4898"/>
      <c r="M33" s="4896">
        <v>286</v>
      </c>
      <c r="N33" s="4900"/>
      <c r="O33" s="1524">
        <f t="shared" si="7"/>
        <v>286</v>
      </c>
      <c r="P33" s="4898"/>
      <c r="Q33" s="4896">
        <v>282.27499999999998</v>
      </c>
      <c r="R33" s="4897"/>
      <c r="S33" s="1439">
        <f t="shared" si="8"/>
        <v>568.27499999999998</v>
      </c>
      <c r="T33" s="2588"/>
      <c r="U33" s="4896"/>
      <c r="V33" s="253"/>
      <c r="W33" s="1201">
        <f t="shared" si="18"/>
        <v>568.27499999999998</v>
      </c>
      <c r="X33" s="2524"/>
      <c r="Y33" s="2590">
        <f t="shared" si="19"/>
        <v>568.27499999999998</v>
      </c>
      <c r="Z33" s="2592"/>
      <c r="AA33" s="4896"/>
      <c r="AB33" s="253"/>
      <c r="AC33" s="2586">
        <f t="shared" si="9"/>
        <v>568.27499999999998</v>
      </c>
      <c r="AD33" s="2588"/>
      <c r="AE33" s="4896"/>
      <c r="AF33" s="253"/>
      <c r="AG33" s="2586">
        <f t="shared" si="10"/>
        <v>568.27499999999998</v>
      </c>
      <c r="AH33" s="2588"/>
      <c r="AI33" s="4896"/>
      <c r="AJ33" s="253"/>
      <c r="AK33" s="1201">
        <f t="shared" si="2"/>
        <v>0</v>
      </c>
      <c r="AL33" s="1208"/>
      <c r="AM33" s="2586">
        <f t="shared" si="11"/>
        <v>568.27499999999998</v>
      </c>
      <c r="AN33" s="2588"/>
      <c r="AO33" s="4896">
        <v>702</v>
      </c>
      <c r="AP33" s="4896"/>
      <c r="AQ33" s="2586">
        <f t="shared" si="12"/>
        <v>1270.2750000000001</v>
      </c>
      <c r="AR33" s="4902"/>
      <c r="AS33" s="4896"/>
      <c r="AT33" s="4896"/>
      <c r="AU33" s="4901">
        <f t="shared" si="13"/>
        <v>1270.2750000000001</v>
      </c>
      <c r="AV33" s="4902"/>
      <c r="AW33" s="4896"/>
      <c r="AX33" s="253"/>
      <c r="AY33" s="1201">
        <f t="shared" si="3"/>
        <v>702</v>
      </c>
      <c r="AZ33" s="2524"/>
      <c r="BA33" s="2590">
        <f t="shared" si="14"/>
        <v>702</v>
      </c>
      <c r="BB33" s="4901"/>
      <c r="BC33" s="1524">
        <f t="shared" si="4"/>
        <v>1270.2750000000001</v>
      </c>
      <c r="BD33" s="2999"/>
      <c r="BE33" s="2999"/>
      <c r="BG33" s="2999"/>
      <c r="BH33" s="2999"/>
    </row>
    <row r="34" spans="1:62" x14ac:dyDescent="0.3">
      <c r="A34" s="1432" t="s">
        <v>2056</v>
      </c>
      <c r="B34" s="1501"/>
      <c r="C34" s="4896"/>
      <c r="D34" s="4896"/>
      <c r="E34" s="4896"/>
      <c r="F34" s="4897"/>
      <c r="G34" s="4897"/>
      <c r="H34" s="4898"/>
      <c r="I34" s="4896">
        <v>250</v>
      </c>
      <c r="J34" s="4899"/>
      <c r="K34" s="1201">
        <f t="shared" si="6"/>
        <v>250</v>
      </c>
      <c r="L34" s="4898"/>
      <c r="M34" s="4896"/>
      <c r="N34" s="4900"/>
      <c r="O34" s="1524">
        <f t="shared" si="7"/>
        <v>250</v>
      </c>
      <c r="P34" s="4898"/>
      <c r="Q34" s="4896"/>
      <c r="R34" s="4897"/>
      <c r="S34" s="1439">
        <f t="shared" si="8"/>
        <v>250</v>
      </c>
      <c r="T34" s="2588"/>
      <c r="U34" s="4896"/>
      <c r="V34" s="253"/>
      <c r="W34" s="1201">
        <f t="shared" si="18"/>
        <v>0</v>
      </c>
      <c r="X34" s="2524"/>
      <c r="Y34" s="2590">
        <f t="shared" si="19"/>
        <v>250</v>
      </c>
      <c r="Z34" s="2592"/>
      <c r="AA34" s="4896"/>
      <c r="AB34" s="253"/>
      <c r="AC34" s="2586">
        <f t="shared" si="9"/>
        <v>250</v>
      </c>
      <c r="AD34" s="2588"/>
      <c r="AE34" s="4896"/>
      <c r="AF34" s="253"/>
      <c r="AG34" s="2586">
        <f t="shared" si="10"/>
        <v>250</v>
      </c>
      <c r="AH34" s="2588"/>
      <c r="AI34" s="4896"/>
      <c r="AJ34" s="253"/>
      <c r="AK34" s="1201">
        <f t="shared" si="2"/>
        <v>0</v>
      </c>
      <c r="AL34" s="1208"/>
      <c r="AM34" s="2586">
        <f t="shared" si="11"/>
        <v>250</v>
      </c>
      <c r="AN34" s="2588"/>
      <c r="AO34" s="4896"/>
      <c r="AP34" s="4896"/>
      <c r="AQ34" s="2586">
        <f t="shared" si="12"/>
        <v>250</v>
      </c>
      <c r="AR34" s="4902"/>
      <c r="AS34" s="4896"/>
      <c r="AT34" s="4896"/>
      <c r="AU34" s="4901">
        <f t="shared" si="13"/>
        <v>250</v>
      </c>
      <c r="AV34" s="4902"/>
      <c r="AW34" s="4896"/>
      <c r="AX34" s="253"/>
      <c r="AY34" s="1201">
        <f t="shared" si="3"/>
        <v>0</v>
      </c>
      <c r="AZ34" s="2524"/>
      <c r="BA34" s="2590">
        <f t="shared" si="14"/>
        <v>0</v>
      </c>
      <c r="BB34" s="4901"/>
      <c r="BC34" s="1524">
        <f t="shared" si="4"/>
        <v>250</v>
      </c>
      <c r="BD34" s="2999"/>
      <c r="BE34" s="2999"/>
      <c r="BG34" s="2999"/>
      <c r="BH34" s="2999"/>
    </row>
    <row r="35" spans="1:62" x14ac:dyDescent="0.3">
      <c r="A35" s="1492" t="s">
        <v>1995</v>
      </c>
      <c r="B35" s="1502"/>
      <c r="C35" s="233">
        <v>130</v>
      </c>
      <c r="D35" s="233"/>
      <c r="E35" s="233"/>
      <c r="F35" s="1439"/>
      <c r="G35" s="1439">
        <f t="shared" si="5"/>
        <v>130</v>
      </c>
      <c r="H35" s="1491"/>
      <c r="I35" s="233"/>
      <c r="J35" s="1507"/>
      <c r="K35" s="1201">
        <f t="shared" si="6"/>
        <v>130</v>
      </c>
      <c r="L35" s="1491"/>
      <c r="M35" s="233"/>
      <c r="N35" s="1504"/>
      <c r="O35" s="1524">
        <f t="shared" si="7"/>
        <v>130</v>
      </c>
      <c r="P35" s="1491"/>
      <c r="Q35" s="233"/>
      <c r="R35" s="1439"/>
      <c r="S35" s="1439">
        <f t="shared" si="8"/>
        <v>130</v>
      </c>
      <c r="T35" s="2588"/>
      <c r="U35" s="233"/>
      <c r="V35" s="253"/>
      <c r="W35" s="1201">
        <f t="shared" si="18"/>
        <v>0</v>
      </c>
      <c r="X35" s="2524"/>
      <c r="Y35" s="2590">
        <f t="shared" si="19"/>
        <v>130</v>
      </c>
      <c r="Z35" s="2592"/>
      <c r="AA35" s="233"/>
      <c r="AB35" s="253"/>
      <c r="AC35" s="2586">
        <f t="shared" si="9"/>
        <v>130</v>
      </c>
      <c r="AD35" s="2588"/>
      <c r="AE35" s="233"/>
      <c r="AF35" s="253"/>
      <c r="AG35" s="2586">
        <f t="shared" si="10"/>
        <v>130</v>
      </c>
      <c r="AH35" s="2588"/>
      <c r="AI35" s="233"/>
      <c r="AJ35" s="253"/>
      <c r="AK35" s="1201">
        <f t="shared" si="2"/>
        <v>0</v>
      </c>
      <c r="AL35" s="1208"/>
      <c r="AM35" s="2586">
        <f t="shared" si="11"/>
        <v>130</v>
      </c>
      <c r="AN35" s="2588"/>
      <c r="AO35" s="233"/>
      <c r="AP35" s="233"/>
      <c r="AQ35" s="2586">
        <f t="shared" si="12"/>
        <v>130</v>
      </c>
      <c r="AR35" s="2585"/>
      <c r="AS35" s="233"/>
      <c r="AT35" s="233"/>
      <c r="AU35" s="2586">
        <f t="shared" si="13"/>
        <v>130</v>
      </c>
      <c r="AV35" s="2585"/>
      <c r="AW35" s="233"/>
      <c r="AX35" s="253"/>
      <c r="AY35" s="1201">
        <f t="shared" si="3"/>
        <v>0</v>
      </c>
      <c r="AZ35" s="2524"/>
      <c r="BA35" s="2590">
        <f t="shared" si="14"/>
        <v>0</v>
      </c>
      <c r="BB35" s="2586"/>
      <c r="BC35" s="1524">
        <f t="shared" si="4"/>
        <v>130</v>
      </c>
      <c r="BD35" s="2999"/>
      <c r="BE35" s="2999"/>
      <c r="BG35" s="2999"/>
      <c r="BH35" s="2999"/>
    </row>
    <row r="36" spans="1:62" x14ac:dyDescent="0.3">
      <c r="A36" s="1492" t="s">
        <v>1209</v>
      </c>
      <c r="B36" s="1502"/>
      <c r="C36" s="233">
        <v>610</v>
      </c>
      <c r="D36" s="233"/>
      <c r="E36" s="233">
        <v>1767</v>
      </c>
      <c r="F36" s="1439"/>
      <c r="G36" s="1439">
        <f t="shared" si="5"/>
        <v>2377</v>
      </c>
      <c r="H36" s="1491"/>
      <c r="I36" s="233">
        <v>6593</v>
      </c>
      <c r="J36" s="1507"/>
      <c r="K36" s="1201">
        <f t="shared" si="6"/>
        <v>8970</v>
      </c>
      <c r="L36" s="1491"/>
      <c r="M36" s="233">
        <v>5558</v>
      </c>
      <c r="N36" s="1504"/>
      <c r="O36" s="1524">
        <f t="shared" si="7"/>
        <v>14528</v>
      </c>
      <c r="P36" s="1491"/>
      <c r="Q36" s="233">
        <v>3475.9969999999998</v>
      </c>
      <c r="R36" s="1439"/>
      <c r="S36" s="1439">
        <f t="shared" si="8"/>
        <v>18003.996999999999</v>
      </c>
      <c r="T36" s="2588"/>
      <c r="U36" s="233">
        <v>2816</v>
      </c>
      <c r="V36" s="253"/>
      <c r="W36" s="1201">
        <f t="shared" si="0"/>
        <v>11849.996999999999</v>
      </c>
      <c r="X36" s="2524"/>
      <c r="Y36" s="2590">
        <f t="shared" si="1"/>
        <v>20819.996999999999</v>
      </c>
      <c r="Z36" s="2592"/>
      <c r="AA36" s="233">
        <v>1342</v>
      </c>
      <c r="AB36" s="253"/>
      <c r="AC36" s="2586">
        <f>+Y36+AA36</f>
        <v>22161.996999999999</v>
      </c>
      <c r="AD36" s="2588"/>
      <c r="AE36" s="233">
        <v>2984.761</v>
      </c>
      <c r="AF36" s="253"/>
      <c r="AG36" s="2586">
        <f t="shared" si="10"/>
        <v>25146.757999999998</v>
      </c>
      <c r="AH36" s="2588"/>
      <c r="AI36" s="233">
        <v>7243</v>
      </c>
      <c r="AJ36" s="253"/>
      <c r="AK36" s="1201">
        <f t="shared" si="2"/>
        <v>11569.761</v>
      </c>
      <c r="AL36" s="1208"/>
      <c r="AM36" s="2586">
        <f t="shared" si="11"/>
        <v>32389.757999999998</v>
      </c>
      <c r="AN36" s="2588"/>
      <c r="AO36" s="233">
        <v>583</v>
      </c>
      <c r="AP36" s="233"/>
      <c r="AQ36" s="2586">
        <f t="shared" si="12"/>
        <v>32972.758000000002</v>
      </c>
      <c r="AR36" s="2585"/>
      <c r="AS36" s="233">
        <v>1575.2819999999999</v>
      </c>
      <c r="AT36" s="233"/>
      <c r="AU36" s="2586">
        <f t="shared" si="13"/>
        <v>34548.04</v>
      </c>
      <c r="AV36" s="2585"/>
      <c r="AW36" s="233">
        <v>2154.4659999999999</v>
      </c>
      <c r="AX36" s="253"/>
      <c r="AY36" s="1201">
        <f t="shared" si="3"/>
        <v>4312.7479999999996</v>
      </c>
      <c r="AZ36" s="2524"/>
      <c r="BA36" s="2590">
        <f t="shared" si="14"/>
        <v>15882.509</v>
      </c>
      <c r="BB36" s="2586"/>
      <c r="BC36" s="1524">
        <f t="shared" si="4"/>
        <v>36702.506000000001</v>
      </c>
      <c r="BD36" s="2999"/>
      <c r="BE36" s="2999"/>
      <c r="BG36" s="2999"/>
      <c r="BH36" s="2999"/>
    </row>
    <row r="37" spans="1:62" ht="16.2" thickBot="1" x14ac:dyDescent="0.35">
      <c r="A37" s="1492" t="s">
        <v>1208</v>
      </c>
      <c r="B37" s="1502"/>
      <c r="C37" s="233">
        <v>11624</v>
      </c>
      <c r="D37" s="233"/>
      <c r="E37" s="233">
        <v>5670</v>
      </c>
      <c r="F37" s="1439"/>
      <c r="G37" s="1439">
        <f t="shared" si="5"/>
        <v>17294</v>
      </c>
      <c r="H37" s="1491"/>
      <c r="I37" s="233">
        <v>5032</v>
      </c>
      <c r="J37" s="1507"/>
      <c r="K37" s="1201">
        <f t="shared" si="6"/>
        <v>22326</v>
      </c>
      <c r="L37" s="1491"/>
      <c r="M37" s="233">
        <v>5978</v>
      </c>
      <c r="N37" s="1504"/>
      <c r="O37" s="1524">
        <f t="shared" si="7"/>
        <v>28304</v>
      </c>
      <c r="P37" s="1491"/>
      <c r="Q37" s="233"/>
      <c r="R37" s="1439"/>
      <c r="S37" s="1439">
        <f t="shared" si="8"/>
        <v>28304</v>
      </c>
      <c r="T37" s="2588"/>
      <c r="U37" s="233"/>
      <c r="V37" s="253"/>
      <c r="W37" s="1201">
        <f t="shared" si="0"/>
        <v>5978</v>
      </c>
      <c r="X37" s="2524"/>
      <c r="Y37" s="2590">
        <f t="shared" si="1"/>
        <v>28304</v>
      </c>
      <c r="Z37" s="2592"/>
      <c r="AA37" s="233"/>
      <c r="AB37" s="253"/>
      <c r="AC37" s="2586">
        <f t="shared" si="9"/>
        <v>28304</v>
      </c>
      <c r="AD37" s="2588"/>
      <c r="AE37" s="233"/>
      <c r="AF37" s="253"/>
      <c r="AG37" s="2586">
        <f t="shared" si="10"/>
        <v>28304</v>
      </c>
      <c r="AH37" s="2588"/>
      <c r="AI37" s="233"/>
      <c r="AJ37" s="253"/>
      <c r="AK37" s="1201">
        <f t="shared" si="2"/>
        <v>0</v>
      </c>
      <c r="AL37" s="1208"/>
      <c r="AM37" s="2586">
        <f t="shared" si="11"/>
        <v>28304</v>
      </c>
      <c r="AN37" s="2588"/>
      <c r="AO37" s="233"/>
      <c r="AP37" s="233"/>
      <c r="AQ37" s="2586">
        <f t="shared" si="12"/>
        <v>28304</v>
      </c>
      <c r="AR37" s="2585"/>
      <c r="AS37" s="233"/>
      <c r="AT37" s="233"/>
      <c r="AU37" s="2586">
        <f t="shared" si="13"/>
        <v>28304</v>
      </c>
      <c r="AV37" s="2585"/>
      <c r="AW37" s="233"/>
      <c r="AX37" s="253"/>
      <c r="AY37" s="1201">
        <f t="shared" si="3"/>
        <v>0</v>
      </c>
      <c r="AZ37" s="2524"/>
      <c r="BA37" s="2590">
        <f t="shared" si="14"/>
        <v>0</v>
      </c>
      <c r="BB37" s="2586"/>
      <c r="BC37" s="1524">
        <f t="shared" si="4"/>
        <v>28304</v>
      </c>
      <c r="BD37" s="2999"/>
      <c r="BE37" s="2999"/>
      <c r="BG37" s="2999"/>
      <c r="BH37" s="2999"/>
    </row>
    <row r="38" spans="1:62" ht="16.2" thickBot="1" x14ac:dyDescent="0.35">
      <c r="A38" s="3001" t="s">
        <v>654</v>
      </c>
      <c r="B38" s="3002"/>
      <c r="C38" s="3003">
        <f>SUM(C28:C37)</f>
        <v>39092</v>
      </c>
      <c r="D38" s="3003"/>
      <c r="E38" s="3003">
        <f>SUM(E28:E37)</f>
        <v>38958</v>
      </c>
      <c r="F38" s="3003"/>
      <c r="G38" s="1439">
        <f t="shared" si="5"/>
        <v>78050</v>
      </c>
      <c r="H38" s="3003"/>
      <c r="I38" s="3003">
        <f>SUM(I28:I37)</f>
        <v>49377</v>
      </c>
      <c r="J38" s="3003"/>
      <c r="K38" s="1201">
        <f t="shared" si="6"/>
        <v>127427</v>
      </c>
      <c r="L38" s="3003"/>
      <c r="M38" s="3003">
        <f>SUM(M28:M37)</f>
        <v>47446</v>
      </c>
      <c r="N38" s="3003"/>
      <c r="O38" s="1524">
        <f t="shared" si="7"/>
        <v>174873</v>
      </c>
      <c r="P38" s="3003"/>
      <c r="Q38" s="3003">
        <f>SUM(Q28:Q37)</f>
        <v>37123.126000000004</v>
      </c>
      <c r="R38" s="3003"/>
      <c r="S38" s="1439">
        <f t="shared" si="8"/>
        <v>211996.12599999999</v>
      </c>
      <c r="T38" s="3003"/>
      <c r="U38" s="3003">
        <f>SUM(U28:U37)</f>
        <v>37727</v>
      </c>
      <c r="V38" s="3003"/>
      <c r="W38" s="1201">
        <f t="shared" si="0"/>
        <v>122296.126</v>
      </c>
      <c r="X38" s="3003"/>
      <c r="Y38" s="2590">
        <f t="shared" si="1"/>
        <v>249723.12599999999</v>
      </c>
      <c r="Z38" s="3003"/>
      <c r="AA38" s="3003">
        <f>SUM(AA28:AA37)</f>
        <v>28898</v>
      </c>
      <c r="AB38" s="3003"/>
      <c r="AC38" s="2586">
        <f t="shared" si="9"/>
        <v>278621.12599999999</v>
      </c>
      <c r="AD38" s="3003"/>
      <c r="AE38" s="3003">
        <f>SUM(AE28:AE37)</f>
        <v>39657.611999999994</v>
      </c>
      <c r="AF38" s="3003"/>
      <c r="AG38" s="2586">
        <f t="shared" si="10"/>
        <v>318278.73800000001</v>
      </c>
      <c r="AH38" s="3003"/>
      <c r="AI38" s="3003">
        <f>SUM(AI28:AI37)</f>
        <v>55969</v>
      </c>
      <c r="AJ38" s="3003"/>
      <c r="AK38" s="1201">
        <f t="shared" si="2"/>
        <v>124524.61199999999</v>
      </c>
      <c r="AL38" s="3003"/>
      <c r="AM38" s="2586">
        <f t="shared" si="11"/>
        <v>374247.73800000001</v>
      </c>
      <c r="AN38" s="3003"/>
      <c r="AO38" s="3003">
        <f>SUM(AO28:AO37)</f>
        <v>42167</v>
      </c>
      <c r="AP38" s="3003"/>
      <c r="AQ38" s="2586">
        <f t="shared" si="12"/>
        <v>416414.73800000001</v>
      </c>
      <c r="AR38" s="3003"/>
      <c r="AS38" s="3003">
        <f>SUM(AS28:AS37)</f>
        <v>36471.308000000005</v>
      </c>
      <c r="AT38" s="3003"/>
      <c r="AU38" s="2586">
        <f t="shared" si="13"/>
        <v>452886.04600000003</v>
      </c>
      <c r="AV38" s="3003"/>
      <c r="AW38" s="3003">
        <f>SUM(AW28:AW37)</f>
        <v>46389.771000000001</v>
      </c>
      <c r="AX38" s="3003"/>
      <c r="AY38" s="1201">
        <f t="shared" si="3"/>
        <v>125028.079</v>
      </c>
      <c r="AZ38" s="3003"/>
      <c r="BA38" s="2590">
        <f t="shared" si="14"/>
        <v>249552.69099999999</v>
      </c>
      <c r="BB38" s="3003"/>
      <c r="BC38" s="1524">
        <f t="shared" si="4"/>
        <v>499275.81700000004</v>
      </c>
      <c r="BD38" s="2999"/>
      <c r="BE38" s="2999"/>
      <c r="BG38" s="2999"/>
      <c r="BH38" s="2999"/>
    </row>
    <row r="39" spans="1:62" ht="9.75" customHeight="1" thickBot="1" x14ac:dyDescent="0.35">
      <c r="A39" s="1433"/>
      <c r="B39" s="1503"/>
      <c r="C39" s="1210"/>
      <c r="D39" s="1210"/>
      <c r="E39" s="241"/>
      <c r="F39" s="241"/>
      <c r="G39" s="1439">
        <f t="shared" si="5"/>
        <v>0</v>
      </c>
      <c r="H39" s="241"/>
      <c r="I39" s="241"/>
      <c r="J39" s="581"/>
      <c r="K39" s="1201">
        <f t="shared" si="6"/>
        <v>0</v>
      </c>
      <c r="L39" s="241"/>
      <c r="M39" s="241"/>
      <c r="N39" s="581"/>
      <c r="O39" s="1524">
        <f t="shared" si="7"/>
        <v>0</v>
      </c>
      <c r="P39" s="241"/>
      <c r="Q39" s="241"/>
      <c r="R39" s="241"/>
      <c r="S39" s="1439">
        <f t="shared" si="8"/>
        <v>0</v>
      </c>
      <c r="T39" s="1211"/>
      <c r="U39" s="241"/>
      <c r="V39" s="581"/>
      <c r="W39" s="1201">
        <f t="shared" si="0"/>
        <v>0</v>
      </c>
      <c r="X39" s="2525"/>
      <c r="Y39" s="2590">
        <f t="shared" si="1"/>
        <v>0</v>
      </c>
      <c r="Z39" s="1211"/>
      <c r="AA39" s="241"/>
      <c r="AB39" s="241"/>
      <c r="AC39" s="2586">
        <f t="shared" si="9"/>
        <v>0</v>
      </c>
      <c r="AD39" s="1211"/>
      <c r="AE39" s="241"/>
      <c r="AF39" s="241"/>
      <c r="AG39" s="2586">
        <f t="shared" si="10"/>
        <v>0</v>
      </c>
      <c r="AH39" s="1211"/>
      <c r="AI39" s="241"/>
      <c r="AJ39" s="581"/>
      <c r="AK39" s="1201">
        <f t="shared" si="2"/>
        <v>0</v>
      </c>
      <c r="AL39" s="2525"/>
      <c r="AM39" s="2586">
        <f t="shared" si="11"/>
        <v>0</v>
      </c>
      <c r="AN39" s="1211"/>
      <c r="AO39" s="241"/>
      <c r="AP39" s="241"/>
      <c r="AQ39" s="2586">
        <f t="shared" si="12"/>
        <v>0</v>
      </c>
      <c r="AR39" s="1211"/>
      <c r="AS39" s="241"/>
      <c r="AT39" s="241"/>
      <c r="AU39" s="2586">
        <f t="shared" si="13"/>
        <v>0</v>
      </c>
      <c r="AV39" s="1211"/>
      <c r="AW39" s="241"/>
      <c r="AX39" s="581"/>
      <c r="AY39" s="1201">
        <f t="shared" si="3"/>
        <v>0</v>
      </c>
      <c r="AZ39" s="2525"/>
      <c r="BA39" s="2590">
        <f t="shared" si="14"/>
        <v>0</v>
      </c>
      <c r="BB39" s="1211"/>
      <c r="BC39" s="1524">
        <f t="shared" si="4"/>
        <v>0</v>
      </c>
      <c r="BD39" s="2999"/>
      <c r="BE39" s="2999"/>
      <c r="BG39" s="2999"/>
      <c r="BH39" s="2999"/>
    </row>
    <row r="40" spans="1:62" ht="16.2" thickBot="1" x14ac:dyDescent="0.35">
      <c r="A40" s="3006" t="s">
        <v>645</v>
      </c>
      <c r="B40" s="3007"/>
      <c r="C40" s="1212"/>
      <c r="D40" s="1212"/>
      <c r="E40" s="1214"/>
      <c r="F40" s="1214"/>
      <c r="G40" s="1439">
        <f t="shared" si="5"/>
        <v>0</v>
      </c>
      <c r="H40" s="1214"/>
      <c r="I40" s="1214"/>
      <c r="J40" s="1506"/>
      <c r="K40" s="1201">
        <f t="shared" si="6"/>
        <v>0</v>
      </c>
      <c r="L40" s="1214"/>
      <c r="M40" s="1214"/>
      <c r="N40" s="1506"/>
      <c r="O40" s="1524">
        <f t="shared" si="7"/>
        <v>0</v>
      </c>
      <c r="P40" s="1214"/>
      <c r="Q40" s="1214"/>
      <c r="R40" s="1214"/>
      <c r="S40" s="1439">
        <f t="shared" si="8"/>
        <v>0</v>
      </c>
      <c r="T40" s="1216"/>
      <c r="U40" s="1214"/>
      <c r="V40" s="1506"/>
      <c r="W40" s="1201">
        <f t="shared" si="0"/>
        <v>0</v>
      </c>
      <c r="X40" s="1213"/>
      <c r="Y40" s="2590">
        <f t="shared" si="1"/>
        <v>0</v>
      </c>
      <c r="Z40" s="1216"/>
      <c r="AA40" s="1214"/>
      <c r="AB40" s="1214"/>
      <c r="AC40" s="2586">
        <f t="shared" si="9"/>
        <v>0</v>
      </c>
      <c r="AD40" s="1216"/>
      <c r="AE40" s="1214"/>
      <c r="AF40" s="1214"/>
      <c r="AG40" s="2586">
        <f t="shared" si="10"/>
        <v>0</v>
      </c>
      <c r="AH40" s="1216"/>
      <c r="AI40" s="1214"/>
      <c r="AJ40" s="1506"/>
      <c r="AK40" s="1201">
        <f t="shared" si="2"/>
        <v>0</v>
      </c>
      <c r="AL40" s="1213"/>
      <c r="AM40" s="2586">
        <f t="shared" si="11"/>
        <v>0</v>
      </c>
      <c r="AN40" s="1216"/>
      <c r="AO40" s="1214"/>
      <c r="AP40" s="1214"/>
      <c r="AQ40" s="2586">
        <f t="shared" si="12"/>
        <v>0</v>
      </c>
      <c r="AR40" s="1216"/>
      <c r="AS40" s="1214"/>
      <c r="AT40" s="1214"/>
      <c r="AU40" s="2586">
        <f t="shared" si="13"/>
        <v>0</v>
      </c>
      <c r="AV40" s="1216"/>
      <c r="AW40" s="1214"/>
      <c r="AX40" s="1506"/>
      <c r="AY40" s="1201">
        <f t="shared" si="3"/>
        <v>0</v>
      </c>
      <c r="AZ40" s="1213"/>
      <c r="BA40" s="2590">
        <f t="shared" si="14"/>
        <v>0</v>
      </c>
      <c r="BB40" s="1216"/>
      <c r="BC40" s="1524">
        <f t="shared" si="4"/>
        <v>0</v>
      </c>
      <c r="BD40" s="2999"/>
      <c r="BE40" s="2999"/>
      <c r="BG40" s="2999"/>
      <c r="BH40" s="2999"/>
    </row>
    <row r="41" spans="1:62" x14ac:dyDescent="0.3">
      <c r="A41" s="1432" t="s">
        <v>1928</v>
      </c>
      <c r="B41" s="1501"/>
      <c r="C41" s="1207"/>
      <c r="D41" s="1207"/>
      <c r="E41" s="1207">
        <v>132</v>
      </c>
      <c r="F41" s="1439"/>
      <c r="G41" s="1439">
        <f t="shared" si="5"/>
        <v>132</v>
      </c>
      <c r="H41" s="1491"/>
      <c r="I41" s="1207"/>
      <c r="J41" s="1507"/>
      <c r="K41" s="1201">
        <f t="shared" si="6"/>
        <v>132</v>
      </c>
      <c r="L41" s="1491"/>
      <c r="M41" s="233"/>
      <c r="N41" s="1504"/>
      <c r="O41" s="1524">
        <f t="shared" si="7"/>
        <v>132</v>
      </c>
      <c r="P41" s="1491"/>
      <c r="Q41" s="233"/>
      <c r="R41" s="1439"/>
      <c r="S41" s="1439">
        <f t="shared" si="8"/>
        <v>132</v>
      </c>
      <c r="T41" s="2587"/>
      <c r="U41" s="233">
        <v>161</v>
      </c>
      <c r="V41" s="253"/>
      <c r="W41" s="1201">
        <f t="shared" si="0"/>
        <v>161</v>
      </c>
      <c r="X41" s="2524"/>
      <c r="Y41" s="2590">
        <f t="shared" si="1"/>
        <v>293</v>
      </c>
      <c r="Z41" s="2592"/>
      <c r="AA41" s="233"/>
      <c r="AB41" s="1207"/>
      <c r="AC41" s="2586">
        <f t="shared" si="9"/>
        <v>293</v>
      </c>
      <c r="AD41" s="2587"/>
      <c r="AE41" s="233">
        <v>320.298</v>
      </c>
      <c r="AF41" s="1207"/>
      <c r="AG41" s="2586">
        <f t="shared" si="10"/>
        <v>613.298</v>
      </c>
      <c r="AH41" s="2587"/>
      <c r="AI41" s="233"/>
      <c r="AJ41" s="253"/>
      <c r="AK41" s="1201">
        <f t="shared" si="2"/>
        <v>320.298</v>
      </c>
      <c r="AL41" s="2524"/>
      <c r="AM41" s="2586">
        <f t="shared" si="11"/>
        <v>613.298</v>
      </c>
      <c r="AN41" s="2587"/>
      <c r="AO41" s="233"/>
      <c r="AP41" s="233"/>
      <c r="AQ41" s="2586">
        <f t="shared" si="12"/>
        <v>613.298</v>
      </c>
      <c r="AR41" s="2585"/>
      <c r="AS41" s="233"/>
      <c r="AT41" s="233"/>
      <c r="AU41" s="2586">
        <f t="shared" si="13"/>
        <v>613.298</v>
      </c>
      <c r="AV41" s="2585"/>
      <c r="AW41" s="233"/>
      <c r="AX41" s="253"/>
      <c r="AY41" s="1201">
        <f t="shared" si="3"/>
        <v>0</v>
      </c>
      <c r="AZ41" s="2524"/>
      <c r="BA41" s="2590">
        <f t="shared" si="14"/>
        <v>320.298</v>
      </c>
      <c r="BB41" s="2586"/>
      <c r="BC41" s="1524">
        <f t="shared" si="4"/>
        <v>613.298</v>
      </c>
      <c r="BD41" s="2999"/>
      <c r="BE41" s="2999"/>
      <c r="BG41" s="2999"/>
      <c r="BH41" s="2999"/>
    </row>
    <row r="42" spans="1:62" x14ac:dyDescent="0.3">
      <c r="A42" s="231" t="s">
        <v>1619</v>
      </c>
      <c r="B42" s="1499"/>
      <c r="C42" s="233">
        <v>9978</v>
      </c>
      <c r="D42" s="233"/>
      <c r="E42" s="232">
        <v>7527</v>
      </c>
      <c r="F42" s="232"/>
      <c r="G42" s="1439">
        <f t="shared" si="5"/>
        <v>17505</v>
      </c>
      <c r="H42" s="232"/>
      <c r="I42" s="232">
        <v>2734</v>
      </c>
      <c r="J42" s="696"/>
      <c r="K42" s="1201">
        <f t="shared" si="6"/>
        <v>20239</v>
      </c>
      <c r="L42" s="232"/>
      <c r="M42" s="232">
        <v>6138</v>
      </c>
      <c r="N42" s="2583"/>
      <c r="O42" s="1524">
        <f t="shared" si="7"/>
        <v>26377</v>
      </c>
      <c r="P42" s="232"/>
      <c r="Q42" s="232">
        <v>3807.866</v>
      </c>
      <c r="R42" s="232"/>
      <c r="S42" s="1439">
        <f t="shared" si="8"/>
        <v>30184.866000000002</v>
      </c>
      <c r="T42" s="254"/>
      <c r="U42" s="232">
        <v>7058</v>
      </c>
      <c r="V42" s="2523"/>
      <c r="W42" s="1201">
        <f t="shared" si="0"/>
        <v>17003.866000000002</v>
      </c>
      <c r="X42" s="2524"/>
      <c r="Y42" s="2590">
        <f t="shared" si="1"/>
        <v>37242.866000000002</v>
      </c>
      <c r="Z42" s="1209"/>
      <c r="AA42" s="232"/>
      <c r="AB42" s="252"/>
      <c r="AC42" s="2586">
        <f t="shared" si="9"/>
        <v>37242.866000000002</v>
      </c>
      <c r="AD42" s="254"/>
      <c r="AE42" s="232">
        <v>5828.7749999999996</v>
      </c>
      <c r="AF42" s="252"/>
      <c r="AG42" s="2586">
        <f t="shared" si="10"/>
        <v>43071.641000000003</v>
      </c>
      <c r="AH42" s="254"/>
      <c r="AI42" s="232">
        <v>7574</v>
      </c>
      <c r="AJ42" s="2523"/>
      <c r="AK42" s="1201">
        <f t="shared" si="2"/>
        <v>13402.775</v>
      </c>
      <c r="AL42" s="2524"/>
      <c r="AM42" s="2586">
        <f t="shared" si="11"/>
        <v>50645.641000000003</v>
      </c>
      <c r="AN42" s="254"/>
      <c r="AO42" s="232">
        <v>7581</v>
      </c>
      <c r="AP42" s="2584"/>
      <c r="AQ42" s="2586">
        <f t="shared" si="12"/>
        <v>58226.641000000003</v>
      </c>
      <c r="AR42" s="2586"/>
      <c r="AS42" s="232">
        <v>3748.4520000000002</v>
      </c>
      <c r="AT42" s="2584"/>
      <c r="AU42" s="2586">
        <f t="shared" si="13"/>
        <v>61975.093000000001</v>
      </c>
      <c r="AV42" s="2586"/>
      <c r="AW42" s="232">
        <v>9082.9809999999998</v>
      </c>
      <c r="AX42" s="2523"/>
      <c r="AY42" s="1201">
        <f t="shared" si="3"/>
        <v>20412.433000000001</v>
      </c>
      <c r="AZ42" s="2524"/>
      <c r="BA42" s="2590">
        <f t="shared" si="14"/>
        <v>33815.207999999999</v>
      </c>
      <c r="BB42" s="2586"/>
      <c r="BC42" s="1524">
        <f t="shared" si="4"/>
        <v>71058.073999999993</v>
      </c>
      <c r="BD42" s="2999"/>
      <c r="BE42" s="2999"/>
      <c r="BG42" s="2999"/>
      <c r="BH42" s="2999"/>
    </row>
    <row r="43" spans="1:62" x14ac:dyDescent="0.3">
      <c r="A43" s="4961" t="s">
        <v>2119</v>
      </c>
      <c r="B43" s="4962"/>
      <c r="C43" s="4963"/>
      <c r="D43" s="4963"/>
      <c r="E43" s="4964"/>
      <c r="F43" s="4963"/>
      <c r="G43" s="4965"/>
      <c r="H43" s="4963"/>
      <c r="I43" s="4964"/>
      <c r="J43" s="4900"/>
      <c r="K43" s="1201">
        <f t="shared" si="6"/>
        <v>0</v>
      </c>
      <c r="L43" s="4963"/>
      <c r="M43" s="4963"/>
      <c r="N43" s="4900"/>
      <c r="O43" s="4723"/>
      <c r="P43" s="4963"/>
      <c r="Q43" s="4963"/>
      <c r="R43" s="4963"/>
      <c r="S43" s="1439">
        <f t="shared" si="8"/>
        <v>0</v>
      </c>
      <c r="T43" s="2587"/>
      <c r="U43" s="4963">
        <v>2285</v>
      </c>
      <c r="V43" s="253"/>
      <c r="W43" s="1201">
        <f t="shared" ref="W43" si="20">+M43+Q43+U43</f>
        <v>2285</v>
      </c>
      <c r="X43" s="2524"/>
      <c r="Y43" s="2590">
        <f t="shared" ref="Y43" si="21">+K43+W43</f>
        <v>2285</v>
      </c>
      <c r="Z43" s="2592"/>
      <c r="AA43" s="4963"/>
      <c r="AB43" s="1207"/>
      <c r="AC43" s="2586">
        <f t="shared" si="9"/>
        <v>2285</v>
      </c>
      <c r="AD43" s="2587"/>
      <c r="AE43" s="4963">
        <v>85.076999999999998</v>
      </c>
      <c r="AF43" s="1207"/>
      <c r="AG43" s="2586">
        <f t="shared" si="10"/>
        <v>2370.0770000000002</v>
      </c>
      <c r="AH43" s="2587"/>
      <c r="AI43" s="4963">
        <v>569</v>
      </c>
      <c r="AJ43" s="253"/>
      <c r="AK43" s="1201">
        <f t="shared" si="2"/>
        <v>654.077</v>
      </c>
      <c r="AL43" s="2524"/>
      <c r="AM43" s="2586">
        <f t="shared" si="11"/>
        <v>2939.0770000000002</v>
      </c>
      <c r="AN43" s="2587"/>
      <c r="AO43" s="4963">
        <v>1355</v>
      </c>
      <c r="AP43" s="4963"/>
      <c r="AQ43" s="2586">
        <f t="shared" si="12"/>
        <v>4294.0770000000002</v>
      </c>
      <c r="AR43" s="4967"/>
      <c r="AS43" s="4963"/>
      <c r="AT43" s="4963"/>
      <c r="AU43" s="2586">
        <f t="shared" si="13"/>
        <v>4294.0770000000002</v>
      </c>
      <c r="AV43" s="4967"/>
      <c r="AW43" s="4963">
        <v>1237.915</v>
      </c>
      <c r="AX43" s="253"/>
      <c r="AY43" s="1201">
        <f t="shared" si="3"/>
        <v>2592.915</v>
      </c>
      <c r="AZ43" s="2524"/>
      <c r="BA43" s="2590">
        <f t="shared" si="14"/>
        <v>3246.9920000000002</v>
      </c>
      <c r="BB43" s="4966"/>
      <c r="BC43" s="1524">
        <f t="shared" si="4"/>
        <v>5531.9920000000002</v>
      </c>
      <c r="BD43" s="2999"/>
      <c r="BE43" s="2999"/>
      <c r="BG43" s="2999"/>
      <c r="BH43" s="2999"/>
    </row>
    <row r="44" spans="1:62" x14ac:dyDescent="0.3">
      <c r="A44" s="1432" t="s">
        <v>1247</v>
      </c>
      <c r="B44" s="1501"/>
      <c r="C44" s="233">
        <v>5311</v>
      </c>
      <c r="D44" s="233"/>
      <c r="E44" s="232">
        <v>2880</v>
      </c>
      <c r="F44" s="1439"/>
      <c r="G44" s="1439">
        <f t="shared" si="5"/>
        <v>8191</v>
      </c>
      <c r="H44" s="1491"/>
      <c r="I44" s="232">
        <v>1791</v>
      </c>
      <c r="J44" s="1507"/>
      <c r="K44" s="1201">
        <f t="shared" si="6"/>
        <v>9982</v>
      </c>
      <c r="L44" s="1491"/>
      <c r="M44" s="233">
        <v>2551</v>
      </c>
      <c r="N44" s="1504"/>
      <c r="O44" s="1524">
        <f t="shared" si="7"/>
        <v>12533</v>
      </c>
      <c r="P44" s="1491"/>
      <c r="Q44" s="233">
        <v>622.54499999999996</v>
      </c>
      <c r="R44" s="1439"/>
      <c r="S44" s="1439">
        <f t="shared" si="8"/>
        <v>13155.545</v>
      </c>
      <c r="T44" s="2587"/>
      <c r="U44" s="233"/>
      <c r="V44" s="253"/>
      <c r="W44" s="1201">
        <f t="shared" si="0"/>
        <v>3173.5450000000001</v>
      </c>
      <c r="X44" s="2524"/>
      <c r="Y44" s="2590">
        <f t="shared" si="1"/>
        <v>13155.545</v>
      </c>
      <c r="Z44" s="2592"/>
      <c r="AA44" s="233"/>
      <c r="AB44" s="1207"/>
      <c r="AC44" s="2586">
        <f t="shared" si="9"/>
        <v>13155.545</v>
      </c>
      <c r="AD44" s="2587"/>
      <c r="AE44" s="233"/>
      <c r="AF44" s="1207"/>
      <c r="AG44" s="2586">
        <f t="shared" si="10"/>
        <v>13155.545</v>
      </c>
      <c r="AH44" s="2587"/>
      <c r="AI44" s="233"/>
      <c r="AJ44" s="253"/>
      <c r="AK44" s="1201">
        <f t="shared" si="2"/>
        <v>0</v>
      </c>
      <c r="AL44" s="2524"/>
      <c r="AM44" s="2586">
        <f t="shared" si="11"/>
        <v>13155.545</v>
      </c>
      <c r="AN44" s="2587"/>
      <c r="AO44" s="233"/>
      <c r="AP44" s="233"/>
      <c r="AQ44" s="2586">
        <f t="shared" si="12"/>
        <v>13155.545</v>
      </c>
      <c r="AR44" s="2585"/>
      <c r="AS44" s="233"/>
      <c r="AT44" s="233"/>
      <c r="AU44" s="2586">
        <f t="shared" si="13"/>
        <v>13155.545</v>
      </c>
      <c r="AV44" s="2585"/>
      <c r="AW44" s="233"/>
      <c r="AX44" s="253"/>
      <c r="AY44" s="1201">
        <f t="shared" si="3"/>
        <v>0</v>
      </c>
      <c r="AZ44" s="2524"/>
      <c r="BA44" s="2590">
        <f t="shared" si="14"/>
        <v>0</v>
      </c>
      <c r="BB44" s="2586"/>
      <c r="BC44" s="1524">
        <f t="shared" si="4"/>
        <v>13155.545</v>
      </c>
      <c r="BD44" s="2999"/>
      <c r="BE44" s="2999"/>
      <c r="BG44" s="2999"/>
      <c r="BH44" s="2999"/>
    </row>
    <row r="45" spans="1:62" ht="16.2" thickBot="1" x14ac:dyDescent="0.35">
      <c r="A45" s="231" t="s">
        <v>1257</v>
      </c>
      <c r="B45" s="1499"/>
      <c r="C45" s="233"/>
      <c r="D45" s="233"/>
      <c r="E45" s="233"/>
      <c r="F45" s="233"/>
      <c r="G45" s="1439">
        <f t="shared" si="5"/>
        <v>0</v>
      </c>
      <c r="H45" s="233"/>
      <c r="I45" s="233"/>
      <c r="J45" s="1504"/>
      <c r="K45" s="1201">
        <f t="shared" si="6"/>
        <v>0</v>
      </c>
      <c r="L45" s="233"/>
      <c r="M45" s="233">
        <v>643</v>
      </c>
      <c r="N45" s="1504"/>
      <c r="O45" s="1524">
        <f t="shared" si="7"/>
        <v>643</v>
      </c>
      <c r="P45" s="233"/>
      <c r="Q45" s="233">
        <v>673.99199999999996</v>
      </c>
      <c r="R45" s="233"/>
      <c r="S45" s="1439">
        <f t="shared" si="8"/>
        <v>1316.992</v>
      </c>
      <c r="T45" s="2587"/>
      <c r="U45" s="233"/>
      <c r="V45" s="253"/>
      <c r="W45" s="1201">
        <f t="shared" si="0"/>
        <v>1316.992</v>
      </c>
      <c r="X45" s="2524"/>
      <c r="Y45" s="2590">
        <f t="shared" si="1"/>
        <v>1316.992</v>
      </c>
      <c r="Z45" s="2592"/>
      <c r="AA45" s="233"/>
      <c r="AB45" s="1207"/>
      <c r="AC45" s="2586">
        <f t="shared" si="9"/>
        <v>1316.992</v>
      </c>
      <c r="AD45" s="2587"/>
      <c r="AE45" s="233">
        <v>112.33199999999999</v>
      </c>
      <c r="AF45" s="1207"/>
      <c r="AG45" s="2586">
        <f t="shared" si="10"/>
        <v>1429.3240000000001</v>
      </c>
      <c r="AH45" s="2587"/>
      <c r="AI45" s="233">
        <v>827</v>
      </c>
      <c r="AJ45" s="253"/>
      <c r="AK45" s="1201">
        <f t="shared" si="2"/>
        <v>939.33199999999999</v>
      </c>
      <c r="AL45" s="2524"/>
      <c r="AM45" s="2586">
        <f t="shared" si="11"/>
        <v>2256.3240000000001</v>
      </c>
      <c r="AN45" s="2587"/>
      <c r="AO45" s="233"/>
      <c r="AP45" s="233"/>
      <c r="AQ45" s="2586">
        <f t="shared" si="12"/>
        <v>2256.3240000000001</v>
      </c>
      <c r="AR45" s="2585"/>
      <c r="AS45" s="233"/>
      <c r="AT45" s="233"/>
      <c r="AU45" s="2586">
        <f t="shared" si="13"/>
        <v>2256.3240000000001</v>
      </c>
      <c r="AV45" s="2585"/>
      <c r="AW45" s="233"/>
      <c r="AX45" s="253"/>
      <c r="AY45" s="1201">
        <f t="shared" si="3"/>
        <v>0</v>
      </c>
      <c r="AZ45" s="2524"/>
      <c r="BA45" s="2590">
        <f t="shared" si="14"/>
        <v>939.33199999999999</v>
      </c>
      <c r="BB45" s="2586"/>
      <c r="BC45" s="1524">
        <f t="shared" si="4"/>
        <v>2256.3240000000001</v>
      </c>
      <c r="BD45" s="2999"/>
      <c r="BE45" s="2999"/>
      <c r="BG45" s="2999"/>
      <c r="BH45" s="2999"/>
    </row>
    <row r="46" spans="1:62" ht="16.2" thickBot="1" x14ac:dyDescent="0.35">
      <c r="A46" s="3001" t="s">
        <v>655</v>
      </c>
      <c r="B46" s="3002"/>
      <c r="C46" s="3003">
        <f>SUM(C41:C45)</f>
        <v>15289</v>
      </c>
      <c r="D46" s="3003"/>
      <c r="E46" s="3003">
        <f>SUM(E41:E45)</f>
        <v>10539</v>
      </c>
      <c r="F46" s="3003"/>
      <c r="G46" s="1439">
        <f t="shared" si="5"/>
        <v>25828</v>
      </c>
      <c r="H46" s="3003"/>
      <c r="I46" s="3003">
        <f>SUM(I41:I45)</f>
        <v>4525</v>
      </c>
      <c r="J46" s="3003"/>
      <c r="K46" s="1201">
        <f t="shared" si="6"/>
        <v>30353</v>
      </c>
      <c r="L46" s="3003"/>
      <c r="M46" s="3003">
        <f>SUM(M41:M45)</f>
        <v>9332</v>
      </c>
      <c r="N46" s="3003"/>
      <c r="O46" s="1524">
        <f t="shared" si="7"/>
        <v>39685</v>
      </c>
      <c r="P46" s="3003"/>
      <c r="Q46" s="3003">
        <f>SUM(Q41:Q45)</f>
        <v>5104.4030000000002</v>
      </c>
      <c r="R46" s="3003"/>
      <c r="S46" s="1439">
        <f t="shared" si="8"/>
        <v>44789.402999999998</v>
      </c>
      <c r="T46" s="3003"/>
      <c r="U46" s="3003">
        <f>SUM(U41:U45)</f>
        <v>9504</v>
      </c>
      <c r="V46" s="3003"/>
      <c r="W46" s="1201">
        <f t="shared" si="0"/>
        <v>23940.402999999998</v>
      </c>
      <c r="X46" s="3003"/>
      <c r="Y46" s="2590">
        <f t="shared" si="1"/>
        <v>54293.402999999998</v>
      </c>
      <c r="Z46" s="3003"/>
      <c r="AA46" s="3003">
        <f>SUM(AA41:AA45)</f>
        <v>0</v>
      </c>
      <c r="AB46" s="3003"/>
      <c r="AC46" s="2586">
        <f t="shared" si="9"/>
        <v>54293.402999999998</v>
      </c>
      <c r="AD46" s="3003"/>
      <c r="AE46" s="3003">
        <f>SUM(AE41:AE45)</f>
        <v>6346.482</v>
      </c>
      <c r="AF46" s="3003"/>
      <c r="AG46" s="2586">
        <f t="shared" si="10"/>
        <v>60639.884999999995</v>
      </c>
      <c r="AH46" s="3003"/>
      <c r="AI46" s="3003">
        <f>SUM(AI41:AI45)</f>
        <v>8970</v>
      </c>
      <c r="AJ46" s="3003"/>
      <c r="AK46" s="1201">
        <f t="shared" si="2"/>
        <v>15316.482</v>
      </c>
      <c r="AL46" s="3003"/>
      <c r="AM46" s="2586">
        <f t="shared" si="11"/>
        <v>69609.884999999995</v>
      </c>
      <c r="AN46" s="3003"/>
      <c r="AO46" s="3003">
        <f>SUM(AO41:AO45)</f>
        <v>8936</v>
      </c>
      <c r="AP46" s="3003"/>
      <c r="AQ46" s="2586">
        <f t="shared" si="12"/>
        <v>78545.884999999995</v>
      </c>
      <c r="AR46" s="3003"/>
      <c r="AS46" s="3003">
        <f>SUM(AS41:AS45)</f>
        <v>3748.4520000000002</v>
      </c>
      <c r="AT46" s="3003"/>
      <c r="AU46" s="2586">
        <f t="shared" si="13"/>
        <v>82294.337</v>
      </c>
      <c r="AV46" s="3003"/>
      <c r="AW46" s="3003">
        <f>SUM(AW41:AW45)</f>
        <v>10320.896000000001</v>
      </c>
      <c r="AX46" s="3003"/>
      <c r="AY46" s="1201">
        <f t="shared" si="3"/>
        <v>23005.348000000002</v>
      </c>
      <c r="AZ46" s="3003"/>
      <c r="BA46" s="2590">
        <f t="shared" si="14"/>
        <v>38321.83</v>
      </c>
      <c r="BB46" s="3003"/>
      <c r="BC46" s="1524">
        <f t="shared" si="4"/>
        <v>92615.233000000007</v>
      </c>
      <c r="BD46" s="2999"/>
      <c r="BE46" s="2999"/>
      <c r="BG46" s="2999"/>
      <c r="BH46" s="2999"/>
    </row>
    <row r="47" spans="1:62" x14ac:dyDescent="0.3">
      <c r="A47" s="4587" t="s">
        <v>1340</v>
      </c>
      <c r="B47" s="4581"/>
      <c r="C47" s="4582">
        <v>659</v>
      </c>
      <c r="D47" s="4582"/>
      <c r="E47" s="4582">
        <v>3024</v>
      </c>
      <c r="F47" s="4582"/>
      <c r="G47" s="1439">
        <f t="shared" si="5"/>
        <v>3683</v>
      </c>
      <c r="H47" s="4582"/>
      <c r="I47" s="4582">
        <v>950</v>
      </c>
      <c r="J47" s="4584"/>
      <c r="K47" s="1201">
        <f t="shared" si="6"/>
        <v>4633</v>
      </c>
      <c r="L47" s="4582"/>
      <c r="M47" s="4582">
        <v>1233</v>
      </c>
      <c r="N47" s="4584"/>
      <c r="O47" s="1524">
        <f t="shared" si="7"/>
        <v>5866</v>
      </c>
      <c r="P47" s="4582"/>
      <c r="Q47" s="4582">
        <v>1351</v>
      </c>
      <c r="R47" s="4582"/>
      <c r="S47" s="1439">
        <f t="shared" si="8"/>
        <v>7217</v>
      </c>
      <c r="T47" s="4583"/>
      <c r="U47" s="4582">
        <v>806</v>
      </c>
      <c r="V47" s="4584"/>
      <c r="W47" s="1201">
        <f t="shared" si="0"/>
        <v>3390</v>
      </c>
      <c r="X47" s="4585"/>
      <c r="Y47" s="2590">
        <f t="shared" si="1"/>
        <v>8023</v>
      </c>
      <c r="Z47" s="4583"/>
      <c r="AA47" s="4582">
        <v>86</v>
      </c>
      <c r="AB47" s="4582"/>
      <c r="AC47" s="2586">
        <f t="shared" si="9"/>
        <v>8109</v>
      </c>
      <c r="AD47" s="4583"/>
      <c r="AE47" s="4582">
        <v>532</v>
      </c>
      <c r="AF47" s="4582"/>
      <c r="AG47" s="2586">
        <f t="shared" si="10"/>
        <v>8641</v>
      </c>
      <c r="AH47" s="4583"/>
      <c r="AI47" s="4582">
        <v>569</v>
      </c>
      <c r="AJ47" s="4584"/>
      <c r="AK47" s="1201">
        <f t="shared" si="2"/>
        <v>1187</v>
      </c>
      <c r="AL47" s="4585"/>
      <c r="AM47" s="2586">
        <f t="shared" si="11"/>
        <v>9210</v>
      </c>
      <c r="AN47" s="4583"/>
      <c r="AO47" s="4582">
        <v>542</v>
      </c>
      <c r="AP47" s="4582"/>
      <c r="AQ47" s="2586">
        <f t="shared" si="12"/>
        <v>9752</v>
      </c>
      <c r="AR47" s="4583"/>
      <c r="AS47" s="4582">
        <v>530.798</v>
      </c>
      <c r="AT47" s="4582"/>
      <c r="AU47" s="2586">
        <f t="shared" si="13"/>
        <v>10282.798000000001</v>
      </c>
      <c r="AV47" s="4583"/>
      <c r="AW47" s="4582">
        <v>800</v>
      </c>
      <c r="AX47" s="4584"/>
      <c r="AY47" s="1201">
        <f t="shared" si="3"/>
        <v>1872.798</v>
      </c>
      <c r="AZ47" s="4585"/>
      <c r="BA47" s="2590">
        <f t="shared" si="14"/>
        <v>3059.7979999999998</v>
      </c>
      <c r="BB47" s="4586"/>
      <c r="BC47" s="1524">
        <f t="shared" si="4"/>
        <v>11082.798000000001</v>
      </c>
      <c r="BD47" s="2999"/>
      <c r="BE47" s="2999"/>
      <c r="BG47" s="2999"/>
      <c r="BH47" s="2999"/>
      <c r="BJ47" s="2999"/>
    </row>
    <row r="48" spans="1:62" ht="16.2" thickBot="1" x14ac:dyDescent="0.35">
      <c r="A48" s="5335" t="s">
        <v>2282</v>
      </c>
      <c r="B48" s="5335"/>
      <c r="C48" s="5336">
        <v>777</v>
      </c>
      <c r="D48" s="5336"/>
      <c r="E48" s="5336"/>
      <c r="F48" s="5336"/>
      <c r="G48" s="5319"/>
      <c r="H48" s="5336"/>
      <c r="I48" s="5336">
        <v>487</v>
      </c>
      <c r="J48" s="5337"/>
      <c r="K48" s="1201">
        <f t="shared" si="6"/>
        <v>1264</v>
      </c>
      <c r="L48" s="5336"/>
      <c r="M48" s="5336">
        <v>712</v>
      </c>
      <c r="N48" s="5337"/>
      <c r="O48" s="4723"/>
      <c r="P48" s="5336"/>
      <c r="Q48" s="5336">
        <v>139</v>
      </c>
      <c r="R48" s="5336"/>
      <c r="S48" s="5319"/>
      <c r="T48" s="5338"/>
      <c r="U48" s="5336">
        <v>75</v>
      </c>
      <c r="V48" s="5337"/>
      <c r="W48" s="1201">
        <f t="shared" ref="W48" si="22">+M48+Q48+U48</f>
        <v>926</v>
      </c>
      <c r="X48" s="4585"/>
      <c r="Y48" s="2590">
        <f t="shared" ref="Y48" si="23">+K48+W48</f>
        <v>2190</v>
      </c>
      <c r="Z48" s="5338"/>
      <c r="AA48" s="5336">
        <v>92</v>
      </c>
      <c r="AB48" s="5336"/>
      <c r="AC48" s="2586">
        <f t="shared" si="9"/>
        <v>2282</v>
      </c>
      <c r="AD48" s="5338"/>
      <c r="AE48" s="5336">
        <v>7</v>
      </c>
      <c r="AF48" s="5336"/>
      <c r="AG48" s="2586">
        <f t="shared" si="10"/>
        <v>2289</v>
      </c>
      <c r="AH48" s="5338"/>
      <c r="AI48" s="5336">
        <v>70</v>
      </c>
      <c r="AJ48" s="5337"/>
      <c r="AK48" s="4721">
        <f t="shared" si="2"/>
        <v>169</v>
      </c>
      <c r="AL48" s="5339"/>
      <c r="AM48" s="2586">
        <f t="shared" si="11"/>
        <v>2359</v>
      </c>
      <c r="AN48" s="5338"/>
      <c r="AO48" s="5336">
        <v>94</v>
      </c>
      <c r="AP48" s="5336"/>
      <c r="AQ48" s="2586">
        <f t="shared" si="12"/>
        <v>2453</v>
      </c>
      <c r="AR48" s="5338"/>
      <c r="AS48" s="5336">
        <v>81</v>
      </c>
      <c r="AT48" s="5336"/>
      <c r="AU48" s="2586">
        <f t="shared" si="13"/>
        <v>2534</v>
      </c>
      <c r="AV48" s="5338"/>
      <c r="AW48" s="5336">
        <v>21</v>
      </c>
      <c r="AX48" s="5337"/>
      <c r="AY48" s="1201">
        <f t="shared" ref="AY48" si="24">+AO48+AS48+AW48</f>
        <v>196</v>
      </c>
      <c r="AZ48" s="4585"/>
      <c r="BA48" s="2590">
        <f t="shared" ref="BA48" si="25">+AK48+AY48</f>
        <v>365</v>
      </c>
      <c r="BB48" s="4586"/>
      <c r="BC48" s="1524">
        <f t="shared" ref="BC48" si="26">AU48+AW48</f>
        <v>2555</v>
      </c>
      <c r="BD48" s="2999"/>
      <c r="BE48" s="2999"/>
      <c r="BG48" s="2999"/>
      <c r="BH48" s="2999"/>
      <c r="BJ48" s="2999"/>
    </row>
    <row r="49" spans="1:57" ht="16.2" thickBot="1" x14ac:dyDescent="0.35">
      <c r="A49" s="4588" t="s">
        <v>2</v>
      </c>
      <c r="B49" s="4589"/>
      <c r="C49" s="4590">
        <f>+C46+C38+C25+C18+C47+C48</f>
        <v>57651</v>
      </c>
      <c r="D49" s="4590"/>
      <c r="E49" s="4590">
        <f>+E46+E38+E25+E18+E47+E48</f>
        <v>61370</v>
      </c>
      <c r="F49" s="4590"/>
      <c r="G49" s="1439">
        <f t="shared" si="5"/>
        <v>119021</v>
      </c>
      <c r="H49" s="4590"/>
      <c r="I49" s="4590">
        <f>+I46+I38+I25+I18+I47+I48</f>
        <v>60682</v>
      </c>
      <c r="J49" s="4590"/>
      <c r="K49" s="1201">
        <f t="shared" si="6"/>
        <v>179703</v>
      </c>
      <c r="L49" s="4590"/>
      <c r="M49" s="4590">
        <f>+M46+M38+M25+M18+M47+M48</f>
        <v>64577</v>
      </c>
      <c r="N49" s="4590"/>
      <c r="O49" s="1524">
        <f t="shared" si="7"/>
        <v>244280</v>
      </c>
      <c r="P49" s="4590"/>
      <c r="Q49" s="4590">
        <f>+Q46+Q38+Q25+Q18+Q47+Q48</f>
        <v>58048.87</v>
      </c>
      <c r="R49" s="4590"/>
      <c r="S49" s="1439">
        <f t="shared" si="8"/>
        <v>302328.87</v>
      </c>
      <c r="T49" s="4590"/>
      <c r="U49" s="4590">
        <f>+U46+U38+U25+U18+U47+U48</f>
        <v>54346</v>
      </c>
      <c r="V49" s="4590"/>
      <c r="W49" s="1201">
        <f t="shared" si="0"/>
        <v>176971.87</v>
      </c>
      <c r="X49" s="4590"/>
      <c r="Y49" s="2590">
        <f t="shared" si="1"/>
        <v>356674.87</v>
      </c>
      <c r="Z49" s="4590"/>
      <c r="AA49" s="4590">
        <f>+AA46+AA38+AA25+AA18+AA47+AA48</f>
        <v>43900</v>
      </c>
      <c r="AB49" s="4590"/>
      <c r="AC49" s="2586">
        <f t="shared" si="9"/>
        <v>400574.87</v>
      </c>
      <c r="AD49" s="4590"/>
      <c r="AE49" s="4590">
        <f>+AE46+AE38+AE25+AE18+AE47+AE48</f>
        <v>51489.695999999996</v>
      </c>
      <c r="AF49" s="4590"/>
      <c r="AG49" s="2586">
        <f t="shared" si="10"/>
        <v>452064.56599999999</v>
      </c>
      <c r="AH49" s="4590"/>
      <c r="AI49" s="4590">
        <f>+AI46+AI38+AI25+AI18+AI47+AI48</f>
        <v>65578</v>
      </c>
      <c r="AJ49" s="4590"/>
      <c r="AK49" s="1201">
        <f t="shared" si="2"/>
        <v>160967.696</v>
      </c>
      <c r="AL49" s="4590"/>
      <c r="AM49" s="2586">
        <f t="shared" si="11"/>
        <v>517642.56599999999</v>
      </c>
      <c r="AN49" s="4590"/>
      <c r="AO49" s="4590">
        <f>+AO46+AO38+AO25+AO18+AO47+AO48</f>
        <v>62899</v>
      </c>
      <c r="AP49" s="4590">
        <f>+AP46+AP38+AP25+AP18+AP47</f>
        <v>0</v>
      </c>
      <c r="AQ49" s="2586">
        <f t="shared" si="12"/>
        <v>580541.56599999999</v>
      </c>
      <c r="AR49" s="4590">
        <f>+AR46+AR38+AR25+AR18+AR47</f>
        <v>0</v>
      </c>
      <c r="AS49" s="4590">
        <f>+AS46+AS38+AS25+AS18+AS47+AS48</f>
        <v>49353.357000000004</v>
      </c>
      <c r="AT49" s="4590">
        <f>+AT46+AT38+AT25+AT18+AT47</f>
        <v>0</v>
      </c>
      <c r="AU49" s="2586">
        <f t="shared" si="13"/>
        <v>629894.92299999995</v>
      </c>
      <c r="AV49" s="4590">
        <f>+AV46+AV38+AV25+AV18+AV47</f>
        <v>0</v>
      </c>
      <c r="AW49" s="4590">
        <f>+AW46+AW38+AW25+AW18+AW47+AW48</f>
        <v>64484.467000000004</v>
      </c>
      <c r="AX49" s="4590">
        <f>+AX46+AX38+AX25+AX18+AX47</f>
        <v>0</v>
      </c>
      <c r="AY49" s="1201">
        <f t="shared" si="3"/>
        <v>176736.82400000002</v>
      </c>
      <c r="AZ49" s="4590">
        <f>+AZ46+AZ38+AZ25+AZ18+AZ47</f>
        <v>0</v>
      </c>
      <c r="BA49" s="2590">
        <f t="shared" si="14"/>
        <v>337704.52</v>
      </c>
      <c r="BB49" s="4590">
        <f>+BB46+BB38+BB25+BB18+BB47</f>
        <v>0</v>
      </c>
      <c r="BC49" s="1524">
        <f t="shared" si="4"/>
        <v>694379.3899999999</v>
      </c>
      <c r="BD49" s="2999"/>
      <c r="BE49" s="2999"/>
    </row>
    <row r="51" spans="1:57" x14ac:dyDescent="0.3">
      <c r="C51" s="3863">
        <f>+C49-(SMS!F38+SMS!F39+SMS!F40+SMS!F41)</f>
        <v>-1.569999999999709</v>
      </c>
      <c r="E51" s="3863">
        <f>+E49-(SMS!H38+SMS!H39+SMS!H40+SMS!H41)</f>
        <v>-0.55999999999767169</v>
      </c>
      <c r="I51" s="3863">
        <f>+I49-(SMS!L38+SMS!L39+SMS!L40+SMS!L41)</f>
        <v>-2.3000000000029104</v>
      </c>
      <c r="M51" s="3863">
        <f>+M49-(SMS!P38+SMS!P39+SMS!P40+SMS!P41)</f>
        <v>-0.79000000000087311</v>
      </c>
      <c r="O51" s="3863">
        <f>+O49-(SMS!R38+SMS!R39+SMS!R40+SMS!R41)</f>
        <v>-5.2200000000011642</v>
      </c>
      <c r="Q51" s="3863">
        <f>+Q49-(SMS!T38+SMS!T39+SMS!T40+SMS!T41)</f>
        <v>-1.9199999999982538</v>
      </c>
      <c r="U51" s="3863">
        <f>+U49-(SMS!X38+SMS!X39+SMS!X40+SMS!X41)</f>
        <v>-1.000000000007276</v>
      </c>
      <c r="W51" s="3863">
        <f>+W49-(SMS!Z38+SMS!Z39+SMS!Z40+SMS!Z41)</f>
        <v>-3.7099999999918509</v>
      </c>
      <c r="Y51" s="3863">
        <f>+Y49-(SMS!AB38+SMS!AB39+SMS!AB40+SMS!AB41)</f>
        <v>-8.1400000000139698</v>
      </c>
      <c r="AA51" s="3863">
        <f>+AA49-(SMS!AD38+SMS!AD39+SMS!AD40+SMS!AD41)</f>
        <v>-0.30999999999767169</v>
      </c>
      <c r="AC51" s="3863">
        <f>+AC49-(SMS!AF38+SMS!AF39+SMS!AF40+SMS!AF41)</f>
        <v>-8.4499999999534339</v>
      </c>
      <c r="AE51" s="3863">
        <f>+AE49-(SMS!AH38+SMS!AH39+SMS!AH40+SMS!AH41)</f>
        <v>-1.5140000000028522</v>
      </c>
      <c r="AF51" s="3863">
        <f>+AF49-(SMS!AI38+SMS!AI39+SMS!AI40+SMS!AI41)</f>
        <v>-511873.34986807406</v>
      </c>
      <c r="AG51" s="3863">
        <f>+AG49-(SMS!AJ38+SMS!AJ39+SMS!AJ40+SMS!AJ41)</f>
        <v>-9.9640000000363216</v>
      </c>
      <c r="AI51" s="3863">
        <f>+AI49-(SMS!AL38+SMS!AL39+SMS!AL40+SMS!AL41)</f>
        <v>-1.3800000000046566</v>
      </c>
      <c r="AK51" s="3863">
        <f>+AK49-(SMS!AN38+SMS!AN39+SMS!AN40+SMS!AN41)</f>
        <v>-3.2039999999979045</v>
      </c>
      <c r="AM51" s="3863">
        <f>+AM49-(SMS!AP38+SMS!AP39+SMS!AP40+SMS!AP41)</f>
        <v>-11.344000000040978</v>
      </c>
      <c r="AO51" s="3863">
        <f>+AO49-(SMS!AR38+SMS!AR39+SMS!AR40+SMS!AR41)</f>
        <v>-0.10000000000582077</v>
      </c>
      <c r="AQ51" s="3863">
        <f>+AQ49-(SMS!AT38+SMS!AT39+SMS!AT40+SMS!AT41)</f>
        <v>-11.444000000017695</v>
      </c>
      <c r="AS51" s="3863">
        <f>+AS49-(SMS!AV38+SMS!AV39+SMS!AV40+SMS!AV41)</f>
        <v>-2.0229999999937718</v>
      </c>
      <c r="AT51" s="3863">
        <f>+AT49-(SMS!AW38+SMS!AW39+SMS!AW40+SMS!AW41)</f>
        <v>-719261.2126649078</v>
      </c>
      <c r="AU51" s="3863">
        <f>+AU49-(SMS!AX38+SMS!AX39+SMS!AX40+SMS!AX41)</f>
        <v>-13.466999999945983</v>
      </c>
      <c r="AW51" s="3863">
        <f>+AW49-(SMS!AZ38+SMS!AZ39+SMS!AZ40+SMS!AZ41)</f>
        <v>-1.5729999999894062</v>
      </c>
      <c r="AY51" s="3863">
        <f>+AY49-(SMS!BB38+SMS!BB39+SMS!BB40+SMS!BB41)</f>
        <v>-3.6959999999671709</v>
      </c>
      <c r="BA51" s="3863">
        <f>+BA49-(SMS!BD38+SMS!BD39+SMS!BD40+SMS!BD41)</f>
        <v>-6.9000000000232831</v>
      </c>
      <c r="BC51" s="3863">
        <f>+BC49-(SMS!BF38+SMS!BF39+SMS!BF40+SMS!BF41)</f>
        <v>-15.040000000153668</v>
      </c>
    </row>
    <row r="53" spans="1:57" x14ac:dyDescent="0.3">
      <c r="I53" s="149">
        <v>487</v>
      </c>
      <c r="AI53" s="2999"/>
    </row>
    <row r="54" spans="1:57" x14ac:dyDescent="0.3">
      <c r="I54" s="2999">
        <f>I47-I53</f>
        <v>463</v>
      </c>
    </row>
  </sheetData>
  <mergeCells count="29">
    <mergeCell ref="P4:Q4"/>
    <mergeCell ref="R4:S4"/>
    <mergeCell ref="A4:A5"/>
    <mergeCell ref="B4:C4"/>
    <mergeCell ref="D4:E4"/>
    <mergeCell ref="F4:G4"/>
    <mergeCell ref="H4:I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AP4:AQ4"/>
    <mergeCell ref="AR4:AS4"/>
    <mergeCell ref="AT4:AU4"/>
    <mergeCell ref="T4:U4"/>
    <mergeCell ref="V4:W4"/>
    <mergeCell ref="X4:Y4"/>
  </mergeCells>
  <pageMargins left="0.7" right="0.7" top="0.75" bottom="0.75" header="0.3" footer="0.3"/>
  <pageSetup paperSize="9" scale="71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2:BE129"/>
  <sheetViews>
    <sheetView topLeftCell="A104" zoomScaleNormal="100" workbookViewId="0">
      <pane xSplit="4" topLeftCell="K1" activePane="topRight" state="frozen"/>
      <selection pane="topRight" activeCell="BE129" sqref="BE129"/>
    </sheetView>
  </sheetViews>
  <sheetFormatPr defaultColWidth="9.109375" defaultRowHeight="14.4" x14ac:dyDescent="0.3"/>
  <cols>
    <col min="2" max="2" width="11.6640625" customWidth="1"/>
    <col min="3" max="3" width="42.6640625" customWidth="1"/>
    <col min="4" max="4" width="11" hidden="1" customWidth="1"/>
    <col min="5" max="5" width="10.5546875" bestFit="1" customWidth="1"/>
    <col min="6" max="6" width="10.5546875" hidden="1" customWidth="1"/>
    <col min="7" max="7" width="10.5546875" bestFit="1" customWidth="1"/>
    <col min="8" max="10" width="10.5546875" hidden="1" customWidth="1"/>
    <col min="11" max="11" width="10.5546875" customWidth="1"/>
    <col min="12" max="14" width="10.5546875" hidden="1" customWidth="1"/>
    <col min="15" max="15" width="10.5546875" customWidth="1"/>
    <col min="16" max="18" width="10.5546875" hidden="1" customWidth="1"/>
    <col min="19" max="19" width="10.5546875" customWidth="1"/>
    <col min="20" max="22" width="10.5546875" hidden="1" customWidth="1"/>
    <col min="23" max="23" width="10.5546875" customWidth="1"/>
    <col min="24" max="28" width="10.5546875" hidden="1" customWidth="1"/>
    <col min="29" max="29" width="10.5546875" style="228" customWidth="1"/>
    <col min="30" max="32" width="10.5546875" hidden="1" customWidth="1"/>
    <col min="33" max="33" width="10.5546875" customWidth="1"/>
    <col min="34" max="36" width="10.5546875" hidden="1" customWidth="1"/>
    <col min="37" max="37" width="10.5546875" style="228" customWidth="1"/>
    <col min="38" max="42" width="10.5546875" hidden="1" customWidth="1"/>
    <col min="43" max="43" width="10.5546875" customWidth="1"/>
    <col min="44" max="46" width="10.5546875" hidden="1" customWidth="1"/>
    <col min="47" max="47" width="10.5546875" customWidth="1"/>
    <col min="48" max="50" width="10.5546875" hidden="1" customWidth="1"/>
    <col min="51" max="51" width="10.5546875" customWidth="1"/>
    <col min="52" max="52" width="10.5546875" hidden="1" customWidth="1"/>
    <col min="53" max="53" width="10.5546875" customWidth="1"/>
    <col min="54" max="54" width="10.5546875" hidden="1" customWidth="1"/>
    <col min="55" max="55" width="10.5546875" customWidth="1"/>
    <col min="56" max="56" width="10.5546875" hidden="1" customWidth="1"/>
    <col min="57" max="57" width="11.5546875" customWidth="1"/>
    <col min="58" max="58" width="9.109375" customWidth="1"/>
  </cols>
  <sheetData>
    <row r="2" spans="3:57" ht="15" thickBot="1" x14ac:dyDescent="0.35"/>
    <row r="3" spans="3:57" s="32" customFormat="1" ht="15" hidden="1" thickBot="1" x14ac:dyDescent="0.35">
      <c r="C3" s="2543"/>
      <c r="D3" s="2543"/>
      <c r="E3" s="2543" t="s">
        <v>1708</v>
      </c>
      <c r="F3" s="2543"/>
      <c r="G3" s="2543" t="s">
        <v>1380</v>
      </c>
      <c r="H3" s="2543"/>
      <c r="I3" s="2543"/>
      <c r="J3" s="2543"/>
      <c r="K3" s="2543" t="s">
        <v>1436</v>
      </c>
      <c r="L3" s="2543"/>
      <c r="M3" s="2543"/>
      <c r="N3" s="2543"/>
      <c r="O3" s="2543" t="s">
        <v>1487</v>
      </c>
      <c r="P3" s="2543"/>
      <c r="Q3" s="2543"/>
      <c r="R3" s="2543"/>
      <c r="S3" s="2543" t="s">
        <v>1513</v>
      </c>
      <c r="T3" s="2543"/>
      <c r="U3" s="2543"/>
      <c r="V3" s="2543"/>
      <c r="W3" s="2543" t="s">
        <v>1567</v>
      </c>
      <c r="X3" s="2543"/>
      <c r="Y3" s="2543"/>
      <c r="Z3" s="2543"/>
      <c r="AA3" s="2543"/>
      <c r="AB3" s="2543"/>
      <c r="AC3" s="4492" t="s">
        <v>1581</v>
      </c>
      <c r="AD3" s="2543"/>
      <c r="AE3" s="2543"/>
      <c r="AF3" s="2543"/>
      <c r="AG3" s="2543" t="s">
        <v>1600</v>
      </c>
      <c r="AH3" s="2543"/>
      <c r="AI3" s="2543"/>
      <c r="AJ3" s="2543"/>
      <c r="AK3" s="4492" t="s">
        <v>1616</v>
      </c>
      <c r="AL3" s="2543"/>
      <c r="AM3" s="2543"/>
      <c r="AN3" s="2543"/>
      <c r="AO3" s="2543"/>
      <c r="AP3" s="2543"/>
      <c r="AQ3" s="2543" t="s">
        <v>1632</v>
      </c>
      <c r="AR3" s="2543"/>
      <c r="AS3" s="2543"/>
      <c r="AT3" s="2543"/>
      <c r="AU3" s="2543"/>
      <c r="AV3" s="2543"/>
      <c r="AW3" s="2543"/>
      <c r="AX3" s="2543"/>
      <c r="AY3" s="2543"/>
      <c r="AZ3" s="2543"/>
      <c r="BA3" s="2543"/>
      <c r="BB3" s="2543" t="s">
        <v>1638</v>
      </c>
      <c r="BC3" s="2543"/>
      <c r="BD3" s="2543" t="s">
        <v>1651</v>
      </c>
      <c r="BE3" s="2543" t="s">
        <v>1375</v>
      </c>
    </row>
    <row r="4" spans="3:57" ht="15" hidden="1" thickBot="1" x14ac:dyDescent="0.35">
      <c r="C4" s="2596" t="s">
        <v>1196</v>
      </c>
      <c r="D4" s="2596"/>
      <c r="E4" s="2710">
        <v>5753.3300000000008</v>
      </c>
      <c r="F4" s="2710"/>
      <c r="G4" s="2710">
        <v>7402.9009999999989</v>
      </c>
      <c r="H4" s="2710"/>
      <c r="I4" s="2710"/>
      <c r="J4" s="2710"/>
      <c r="K4" s="2710">
        <v>3517.8110000000006</v>
      </c>
      <c r="L4" s="2710"/>
      <c r="M4" s="2710"/>
      <c r="N4" s="2710"/>
      <c r="O4" s="2710">
        <v>4868.7290000000012</v>
      </c>
      <c r="P4" s="2710"/>
      <c r="Q4" s="2710"/>
      <c r="R4" s="2710"/>
      <c r="S4" s="2710">
        <v>5449.8919999999998</v>
      </c>
      <c r="T4" s="2710"/>
      <c r="U4" s="2710"/>
      <c r="V4" s="2710"/>
      <c r="W4" s="2710">
        <v>4386.5499999999993</v>
      </c>
      <c r="X4" s="2710"/>
      <c r="Y4" s="2710"/>
      <c r="Z4" s="2710"/>
      <c r="AA4" s="2710"/>
      <c r="AB4" s="2710"/>
      <c r="AC4" s="4493">
        <v>7058.6459999999988</v>
      </c>
      <c r="AD4" s="2710"/>
      <c r="AE4" s="2710"/>
      <c r="AF4" s="2710"/>
      <c r="AG4" s="2710">
        <v>5486</v>
      </c>
      <c r="AH4" s="2710"/>
      <c r="AI4" s="2710"/>
      <c r="AJ4" s="2710"/>
      <c r="AK4" s="4493">
        <v>8003</v>
      </c>
      <c r="AL4" s="2710"/>
      <c r="AM4" s="2710"/>
      <c r="AN4" s="2710"/>
      <c r="AO4" s="2710"/>
      <c r="AP4" s="2710"/>
      <c r="AQ4" s="2710">
        <v>5811</v>
      </c>
      <c r="AR4" s="2710"/>
      <c r="AS4" s="2710"/>
      <c r="AT4" s="2710"/>
      <c r="AU4" s="2710"/>
      <c r="AV4" s="2710"/>
      <c r="AW4" s="2710"/>
      <c r="AX4" s="2710"/>
      <c r="AY4" s="2710"/>
      <c r="AZ4" s="2710"/>
      <c r="BA4" s="2710"/>
      <c r="BB4" s="2710">
        <v>7902.131999999996</v>
      </c>
      <c r="BC4" s="2710"/>
      <c r="BD4" s="2710">
        <v>5583</v>
      </c>
      <c r="BE4" s="2710">
        <v>71222.990999999995</v>
      </c>
    </row>
    <row r="5" spans="3:57" ht="15" hidden="1" thickBot="1" x14ac:dyDescent="0.35">
      <c r="C5" s="2596" t="s">
        <v>1385</v>
      </c>
      <c r="D5" s="2596"/>
      <c r="E5" s="2710">
        <v>5558.0140000000001</v>
      </c>
      <c r="F5" s="2710"/>
      <c r="G5" s="2710">
        <v>3052.8740000000007</v>
      </c>
      <c r="H5" s="2710"/>
      <c r="I5" s="2710"/>
      <c r="J5" s="2710"/>
      <c r="K5" s="2710">
        <v>6780.8620000000001</v>
      </c>
      <c r="L5" s="2710"/>
      <c r="M5" s="2710"/>
      <c r="N5" s="2710"/>
      <c r="O5" s="2710">
        <v>3450.0789999999997</v>
      </c>
      <c r="P5" s="2710"/>
      <c r="Q5" s="2710"/>
      <c r="R5" s="2710"/>
      <c r="S5" s="2710">
        <v>4758.6139999999996</v>
      </c>
      <c r="T5" s="2710"/>
      <c r="U5" s="2710"/>
      <c r="V5" s="2710"/>
      <c r="W5" s="2710">
        <v>6105.2320000000009</v>
      </c>
      <c r="X5" s="2710"/>
      <c r="Y5" s="2710"/>
      <c r="Z5" s="2710"/>
      <c r="AA5" s="2710"/>
      <c r="AB5" s="2710"/>
      <c r="AC5" s="4493">
        <v>3640.308</v>
      </c>
      <c r="AD5" s="2710"/>
      <c r="AE5" s="2710"/>
      <c r="AF5" s="2710"/>
      <c r="AG5" s="2710">
        <v>6947</v>
      </c>
      <c r="AH5" s="2710"/>
      <c r="AI5" s="2710"/>
      <c r="AJ5" s="2710"/>
      <c r="AK5" s="4493">
        <v>7777</v>
      </c>
      <c r="AL5" s="2710"/>
      <c r="AM5" s="2710"/>
      <c r="AN5" s="2710"/>
      <c r="AO5" s="2710"/>
      <c r="AP5" s="2710"/>
      <c r="AQ5" s="2710">
        <v>9148</v>
      </c>
      <c r="AR5" s="2710"/>
      <c r="AS5" s="2710"/>
      <c r="AT5" s="2710"/>
      <c r="AU5" s="2710"/>
      <c r="AV5" s="2710"/>
      <c r="AW5" s="2710"/>
      <c r="AX5" s="2710"/>
      <c r="AY5" s="2710"/>
      <c r="AZ5" s="2710"/>
      <c r="BA5" s="2710"/>
      <c r="BB5" s="2710">
        <v>3545.1780000000003</v>
      </c>
      <c r="BC5" s="2710"/>
      <c r="BD5" s="2710">
        <v>10058</v>
      </c>
      <c r="BE5" s="2710">
        <v>70821.160999999993</v>
      </c>
    </row>
    <row r="6" spans="3:57" ht="15" hidden="1" thickBot="1" x14ac:dyDescent="0.35">
      <c r="C6" s="2596" t="s">
        <v>1386</v>
      </c>
      <c r="D6" s="2596"/>
      <c r="E6" s="2710">
        <v>4443.4390000000003</v>
      </c>
      <c r="F6" s="2710"/>
      <c r="G6" s="2710">
        <v>7288.2589999999982</v>
      </c>
      <c r="H6" s="2710"/>
      <c r="I6" s="2710"/>
      <c r="J6" s="2710"/>
      <c r="K6" s="2710">
        <v>1320.5059999999999</v>
      </c>
      <c r="L6" s="2710"/>
      <c r="M6" s="2710"/>
      <c r="N6" s="2710"/>
      <c r="O6" s="2710">
        <v>4462.0449999999992</v>
      </c>
      <c r="P6" s="2710"/>
      <c r="Q6" s="2710"/>
      <c r="R6" s="2710"/>
      <c r="S6" s="2710">
        <v>5506.9699999999984</v>
      </c>
      <c r="T6" s="2710"/>
      <c r="U6" s="2710"/>
      <c r="V6" s="2710"/>
      <c r="W6" s="2710">
        <v>4458.4260000000004</v>
      </c>
      <c r="X6" s="2710"/>
      <c r="Y6" s="2710"/>
      <c r="Z6" s="2710"/>
      <c r="AA6" s="2710"/>
      <c r="AB6" s="2710"/>
      <c r="AC6" s="4493">
        <v>3595.9140000000007</v>
      </c>
      <c r="AD6" s="2710"/>
      <c r="AE6" s="2710"/>
      <c r="AF6" s="2710"/>
      <c r="AG6" s="2710">
        <v>2604</v>
      </c>
      <c r="AH6" s="2710"/>
      <c r="AI6" s="2710"/>
      <c r="AJ6" s="2710"/>
      <c r="AK6" s="4493">
        <v>5331</v>
      </c>
      <c r="AL6" s="2710"/>
      <c r="AM6" s="2710"/>
      <c r="AN6" s="2710"/>
      <c r="AO6" s="2710"/>
      <c r="AP6" s="2710"/>
      <c r="AQ6" s="2710">
        <v>7591</v>
      </c>
      <c r="AR6" s="2710"/>
      <c r="AS6" s="2710"/>
      <c r="AT6" s="2710"/>
      <c r="AU6" s="2710"/>
      <c r="AV6" s="2710"/>
      <c r="AW6" s="2710"/>
      <c r="AX6" s="2710"/>
      <c r="AY6" s="2710"/>
      <c r="AZ6" s="2710"/>
      <c r="BA6" s="2710"/>
      <c r="BB6" s="2710">
        <v>4384.4360000000006</v>
      </c>
      <c r="BC6" s="2710"/>
      <c r="BD6" s="2710">
        <v>2070</v>
      </c>
      <c r="BE6" s="2710">
        <v>53055.994999999995</v>
      </c>
    </row>
    <row r="7" spans="3:57" ht="15" hidden="1" thickBot="1" x14ac:dyDescent="0.35">
      <c r="C7" s="2596" t="s">
        <v>1439</v>
      </c>
      <c r="D7" s="2596"/>
      <c r="E7" s="2710">
        <v>0</v>
      </c>
      <c r="F7" s="2710"/>
      <c r="G7" s="2710">
        <v>0</v>
      </c>
      <c r="H7" s="2710"/>
      <c r="I7" s="2710"/>
      <c r="J7" s="2710"/>
      <c r="K7" s="2710">
        <v>89.165999999999997</v>
      </c>
      <c r="L7" s="2710"/>
      <c r="M7" s="2710"/>
      <c r="N7" s="2710"/>
      <c r="O7" s="2710">
        <v>0</v>
      </c>
      <c r="P7" s="2710"/>
      <c r="Q7" s="2710"/>
      <c r="R7" s="2710"/>
      <c r="S7" s="2710">
        <v>0</v>
      </c>
      <c r="T7" s="2710"/>
      <c r="U7" s="2710"/>
      <c r="V7" s="2710"/>
      <c r="W7" s="2710">
        <v>0</v>
      </c>
      <c r="X7" s="2710"/>
      <c r="Y7" s="2710"/>
      <c r="Z7" s="2710"/>
      <c r="AA7" s="2710"/>
      <c r="AB7" s="2710"/>
      <c r="AC7" s="4493">
        <v>0</v>
      </c>
      <c r="AD7" s="2710"/>
      <c r="AE7" s="2710"/>
      <c r="AF7" s="2710"/>
      <c r="AG7" s="2710">
        <v>0</v>
      </c>
      <c r="AH7" s="2710"/>
      <c r="AI7" s="2710"/>
      <c r="AJ7" s="2710"/>
      <c r="AK7" s="4493">
        <v>0</v>
      </c>
      <c r="AL7" s="2710"/>
      <c r="AM7" s="2710"/>
      <c r="AN7" s="2710"/>
      <c r="AO7" s="2710"/>
      <c r="AP7" s="2710"/>
      <c r="AQ7" s="2710">
        <v>0</v>
      </c>
      <c r="AR7" s="2710"/>
      <c r="AS7" s="2710"/>
      <c r="AT7" s="2710"/>
      <c r="AU7" s="2710"/>
      <c r="AV7" s="2710"/>
      <c r="AW7" s="2710"/>
      <c r="AX7" s="2710"/>
      <c r="AY7" s="2710"/>
      <c r="AZ7" s="2710"/>
      <c r="BA7" s="2710"/>
      <c r="BB7" s="2710">
        <v>0</v>
      </c>
      <c r="BC7" s="2710"/>
      <c r="BD7" s="2710">
        <v>0</v>
      </c>
      <c r="BE7" s="2710">
        <v>89.165999999999997</v>
      </c>
    </row>
    <row r="8" spans="3:57" ht="15" hidden="1" thickBot="1" x14ac:dyDescent="0.35">
      <c r="C8" s="2596" t="s">
        <v>1618</v>
      </c>
      <c r="D8" s="2596"/>
      <c r="E8" s="2710">
        <v>0</v>
      </c>
      <c r="F8" s="2710"/>
      <c r="G8" s="2710">
        <v>0</v>
      </c>
      <c r="H8" s="2710"/>
      <c r="I8" s="2710"/>
      <c r="J8" s="2710"/>
      <c r="K8" s="2710">
        <v>0</v>
      </c>
      <c r="L8" s="2710"/>
      <c r="M8" s="2710"/>
      <c r="N8" s="2710"/>
      <c r="O8" s="2710">
        <v>0</v>
      </c>
      <c r="P8" s="2710"/>
      <c r="Q8" s="2710"/>
      <c r="R8" s="2710"/>
      <c r="S8" s="2710">
        <v>0</v>
      </c>
      <c r="T8" s="2710"/>
      <c r="U8" s="2710"/>
      <c r="V8" s="2710"/>
      <c r="W8" s="2710">
        <v>0</v>
      </c>
      <c r="X8" s="2710"/>
      <c r="Y8" s="2710"/>
      <c r="Z8" s="2710"/>
      <c r="AA8" s="2710"/>
      <c r="AB8" s="2710"/>
      <c r="AC8" s="4493">
        <v>0</v>
      </c>
      <c r="AD8" s="2710"/>
      <c r="AE8" s="2710"/>
      <c r="AF8" s="2710"/>
      <c r="AG8" s="2710">
        <v>0</v>
      </c>
      <c r="AH8" s="2710"/>
      <c r="AI8" s="2710"/>
      <c r="AJ8" s="2710"/>
      <c r="AK8" s="4493">
        <v>95</v>
      </c>
      <c r="AL8" s="2710"/>
      <c r="AM8" s="2710"/>
      <c r="AN8" s="2710"/>
      <c r="AO8" s="2710"/>
      <c r="AP8" s="2710"/>
      <c r="AQ8" s="2710">
        <v>0</v>
      </c>
      <c r="AR8" s="2710"/>
      <c r="AS8" s="2710"/>
      <c r="AT8" s="2710"/>
      <c r="AU8" s="2710"/>
      <c r="AV8" s="2710"/>
      <c r="AW8" s="2710"/>
      <c r="AX8" s="2710"/>
      <c r="AY8" s="2710"/>
      <c r="AZ8" s="2710"/>
      <c r="BA8" s="2710"/>
      <c r="BB8" s="2710">
        <v>0</v>
      </c>
      <c r="BC8" s="2710"/>
      <c r="BD8" s="2710">
        <v>0</v>
      </c>
      <c r="BE8" s="2710">
        <v>95</v>
      </c>
    </row>
    <row r="9" spans="3:57" ht="15" hidden="1" thickBot="1" x14ac:dyDescent="0.35">
      <c r="C9" s="2596" t="s">
        <v>1387</v>
      </c>
      <c r="D9" s="2596"/>
      <c r="E9" s="2710">
        <v>367.279</v>
      </c>
      <c r="F9" s="2710"/>
      <c r="G9" s="2710">
        <v>420.35399999999998</v>
      </c>
      <c r="H9" s="2710"/>
      <c r="I9" s="2710"/>
      <c r="J9" s="2710"/>
      <c r="K9" s="2710">
        <v>709.08199999999988</v>
      </c>
      <c r="L9" s="2710"/>
      <c r="M9" s="2710"/>
      <c r="N9" s="2710"/>
      <c r="O9" s="2710">
        <v>0</v>
      </c>
      <c r="P9" s="2710"/>
      <c r="Q9" s="2710"/>
      <c r="R9" s="2710"/>
      <c r="S9" s="2710">
        <v>555.98199999999997</v>
      </c>
      <c r="T9" s="2710"/>
      <c r="U9" s="2710"/>
      <c r="V9" s="2710"/>
      <c r="W9" s="2710">
        <v>661.68200000000002</v>
      </c>
      <c r="X9" s="2710"/>
      <c r="Y9" s="2710"/>
      <c r="Z9" s="2710"/>
      <c r="AA9" s="2710"/>
      <c r="AB9" s="2710"/>
      <c r="AC9" s="4493">
        <v>112.042</v>
      </c>
      <c r="AD9" s="2710"/>
      <c r="AE9" s="2710"/>
      <c r="AF9" s="2710"/>
      <c r="AG9" s="2710">
        <v>702</v>
      </c>
      <c r="AH9" s="2710"/>
      <c r="AI9" s="2710"/>
      <c r="AJ9" s="2710"/>
      <c r="AK9" s="4493">
        <v>0</v>
      </c>
      <c r="AL9" s="2710"/>
      <c r="AM9" s="2710"/>
      <c r="AN9" s="2710"/>
      <c r="AO9" s="2710"/>
      <c r="AP9" s="2710"/>
      <c r="AQ9" s="2710">
        <v>715</v>
      </c>
      <c r="AR9" s="2710"/>
      <c r="AS9" s="2710"/>
      <c r="AT9" s="2710"/>
      <c r="AU9" s="2710"/>
      <c r="AV9" s="2710"/>
      <c r="AW9" s="2710"/>
      <c r="AX9" s="2710"/>
      <c r="AY9" s="2710"/>
      <c r="AZ9" s="2710"/>
      <c r="BA9" s="2710"/>
      <c r="BB9" s="2710">
        <v>0</v>
      </c>
      <c r="BC9" s="2710"/>
      <c r="BD9" s="2710">
        <v>564</v>
      </c>
      <c r="BE9" s="2710">
        <v>4807.4210000000003</v>
      </c>
    </row>
    <row r="10" spans="3:57" ht="15" hidden="1" thickBot="1" x14ac:dyDescent="0.35">
      <c r="C10" s="2596" t="s">
        <v>1388</v>
      </c>
      <c r="D10" s="2596"/>
      <c r="E10" s="2710">
        <v>0</v>
      </c>
      <c r="F10" s="2710"/>
      <c r="G10" s="2710">
        <v>2891.5260000000003</v>
      </c>
      <c r="H10" s="2710"/>
      <c r="I10" s="2710"/>
      <c r="J10" s="2710"/>
      <c r="K10" s="2710">
        <v>2857.5580000000004</v>
      </c>
      <c r="L10" s="2710"/>
      <c r="M10" s="2710"/>
      <c r="N10" s="2710"/>
      <c r="O10" s="2710">
        <v>5052.4599999999991</v>
      </c>
      <c r="P10" s="2710"/>
      <c r="Q10" s="2710"/>
      <c r="R10" s="2710"/>
      <c r="S10" s="2710">
        <v>1002.0359999999999</v>
      </c>
      <c r="T10" s="2710"/>
      <c r="U10" s="2710"/>
      <c r="V10" s="2710"/>
      <c r="W10" s="2710">
        <v>5160.2740000000003</v>
      </c>
      <c r="X10" s="2710"/>
      <c r="Y10" s="2710"/>
      <c r="Z10" s="2710"/>
      <c r="AA10" s="2710"/>
      <c r="AB10" s="2710"/>
      <c r="AC10" s="4493">
        <v>6481.5239999999985</v>
      </c>
      <c r="AD10" s="2710"/>
      <c r="AE10" s="2710"/>
      <c r="AF10" s="2710"/>
      <c r="AG10" s="2710">
        <v>2530</v>
      </c>
      <c r="AH10" s="2710"/>
      <c r="AI10" s="2710"/>
      <c r="AJ10" s="2710"/>
      <c r="AK10" s="4493">
        <v>2927</v>
      </c>
      <c r="AL10" s="2710"/>
      <c r="AM10" s="2710"/>
      <c r="AN10" s="2710"/>
      <c r="AO10" s="2710"/>
      <c r="AP10" s="2710"/>
      <c r="AQ10" s="2710">
        <v>0</v>
      </c>
      <c r="AR10" s="2710"/>
      <c r="AS10" s="2710"/>
      <c r="AT10" s="2710"/>
      <c r="AU10" s="2710"/>
      <c r="AV10" s="2710"/>
      <c r="AW10" s="2710"/>
      <c r="AX10" s="2710"/>
      <c r="AY10" s="2710"/>
      <c r="AZ10" s="2710"/>
      <c r="BA10" s="2710"/>
      <c r="BB10" s="2710">
        <v>0</v>
      </c>
      <c r="BC10" s="2710"/>
      <c r="BD10" s="2710">
        <v>1454</v>
      </c>
      <c r="BE10" s="2710">
        <v>30356.377999999997</v>
      </c>
    </row>
    <row r="11" spans="3:57" ht="15" hidden="1" thickBot="1" x14ac:dyDescent="0.35">
      <c r="C11" s="2596" t="s">
        <v>1197</v>
      </c>
      <c r="D11" s="2596"/>
      <c r="E11" s="2710">
        <v>2246.134</v>
      </c>
      <c r="F11" s="2710"/>
      <c r="G11" s="2710">
        <v>1167.6500000000001</v>
      </c>
      <c r="H11" s="2710"/>
      <c r="I11" s="2710"/>
      <c r="J11" s="2710"/>
      <c r="K11" s="2710">
        <v>2660.1189999999997</v>
      </c>
      <c r="L11" s="2710"/>
      <c r="M11" s="2710"/>
      <c r="N11" s="2710"/>
      <c r="O11" s="2710">
        <v>3776.8170000000005</v>
      </c>
      <c r="P11" s="2710"/>
      <c r="Q11" s="2710"/>
      <c r="R11" s="2710"/>
      <c r="S11" s="2710">
        <v>8745.6179999999986</v>
      </c>
      <c r="T11" s="2710"/>
      <c r="U11" s="2710"/>
      <c r="V11" s="2710"/>
      <c r="W11" s="2710">
        <v>3684.7019999999998</v>
      </c>
      <c r="X11" s="2710"/>
      <c r="Y11" s="2710"/>
      <c r="Z11" s="2710"/>
      <c r="AA11" s="2710"/>
      <c r="AB11" s="2710"/>
      <c r="AC11" s="4493">
        <v>3094.8960000000002</v>
      </c>
      <c r="AD11" s="2710"/>
      <c r="AE11" s="2710"/>
      <c r="AF11" s="2710"/>
      <c r="AG11" s="2710">
        <v>302</v>
      </c>
      <c r="AH11" s="2710"/>
      <c r="AI11" s="2710"/>
      <c r="AJ11" s="2710"/>
      <c r="AK11" s="4493">
        <v>1471</v>
      </c>
      <c r="AL11" s="2710"/>
      <c r="AM11" s="2710"/>
      <c r="AN11" s="2710"/>
      <c r="AO11" s="2710"/>
      <c r="AP11" s="2710"/>
      <c r="AQ11" s="2710">
        <v>4657</v>
      </c>
      <c r="AR11" s="2710"/>
      <c r="AS11" s="2710"/>
      <c r="AT11" s="2710"/>
      <c r="AU11" s="2710"/>
      <c r="AV11" s="2710"/>
      <c r="AW11" s="2710"/>
      <c r="AX11" s="2710"/>
      <c r="AY11" s="2710"/>
      <c r="AZ11" s="2710"/>
      <c r="BA11" s="2710"/>
      <c r="BB11" s="2710">
        <v>2534.6860000000001</v>
      </c>
      <c r="BC11" s="2710"/>
      <c r="BD11" s="2710">
        <v>1152</v>
      </c>
      <c r="BE11" s="2710">
        <v>35492.622000000003</v>
      </c>
    </row>
    <row r="12" spans="3:57" ht="15" hidden="1" thickBot="1" x14ac:dyDescent="0.35">
      <c r="C12" s="2596" t="s">
        <v>1246</v>
      </c>
      <c r="D12" s="2596"/>
      <c r="E12" s="2710">
        <v>683.60599999999999</v>
      </c>
      <c r="F12" s="2710"/>
      <c r="G12" s="2710">
        <v>1946.7909999999997</v>
      </c>
      <c r="H12" s="2710"/>
      <c r="I12" s="2710"/>
      <c r="J12" s="2710"/>
      <c r="K12" s="2710">
        <v>3651.5600000000013</v>
      </c>
      <c r="L12" s="2710"/>
      <c r="M12" s="2710"/>
      <c r="N12" s="2710"/>
      <c r="O12" s="2710">
        <v>4077.0480000000011</v>
      </c>
      <c r="P12" s="2710"/>
      <c r="Q12" s="2710"/>
      <c r="R12" s="2710"/>
      <c r="S12" s="2710">
        <v>6033.3559999999979</v>
      </c>
      <c r="T12" s="2710"/>
      <c r="U12" s="2710"/>
      <c r="V12" s="2710"/>
      <c r="W12" s="2710">
        <v>2545.2559999999999</v>
      </c>
      <c r="X12" s="2710"/>
      <c r="Y12" s="2710"/>
      <c r="Z12" s="2710"/>
      <c r="AA12" s="2710"/>
      <c r="AB12" s="2710"/>
      <c r="AC12" s="4493">
        <v>2001.9580000000001</v>
      </c>
      <c r="AD12" s="2710"/>
      <c r="AE12" s="2710"/>
      <c r="AF12" s="2710"/>
      <c r="AG12" s="2710">
        <v>3205</v>
      </c>
      <c r="AH12" s="2710"/>
      <c r="AI12" s="2710"/>
      <c r="AJ12" s="2710"/>
      <c r="AK12" s="4493">
        <v>1311</v>
      </c>
      <c r="AL12" s="2710"/>
      <c r="AM12" s="2710"/>
      <c r="AN12" s="2710"/>
      <c r="AO12" s="2710"/>
      <c r="AP12" s="2710"/>
      <c r="AQ12" s="2710">
        <v>3619</v>
      </c>
      <c r="AR12" s="2710"/>
      <c r="AS12" s="2710"/>
      <c r="AT12" s="2710"/>
      <c r="AU12" s="2710"/>
      <c r="AV12" s="2710"/>
      <c r="AW12" s="2710"/>
      <c r="AX12" s="2710"/>
      <c r="AY12" s="2710"/>
      <c r="AZ12" s="2710"/>
      <c r="BA12" s="2710"/>
      <c r="BB12" s="2710">
        <v>2101.3160000000003</v>
      </c>
      <c r="BC12" s="2710"/>
      <c r="BD12" s="2710">
        <v>127</v>
      </c>
      <c r="BE12" s="2710">
        <v>31302.891</v>
      </c>
    </row>
    <row r="13" spans="3:57" ht="15" hidden="1" thickBot="1" x14ac:dyDescent="0.35">
      <c r="C13" s="2596" t="s">
        <v>1198</v>
      </c>
      <c r="D13" s="2596"/>
      <c r="E13" s="2710">
        <v>4390.3640000000005</v>
      </c>
      <c r="F13" s="2710"/>
      <c r="G13" s="2710">
        <v>0</v>
      </c>
      <c r="H13" s="2710"/>
      <c r="I13" s="2710"/>
      <c r="J13" s="2710"/>
      <c r="K13" s="2710">
        <v>0</v>
      </c>
      <c r="L13" s="2710"/>
      <c r="M13" s="2710"/>
      <c r="N13" s="2710"/>
      <c r="O13" s="2710">
        <v>0</v>
      </c>
      <c r="P13" s="2710"/>
      <c r="Q13" s="2710"/>
      <c r="R13" s="2710"/>
      <c r="S13" s="2710">
        <v>0</v>
      </c>
      <c r="T13" s="2710"/>
      <c r="U13" s="2710"/>
      <c r="V13" s="2710"/>
      <c r="W13" s="2710">
        <v>0</v>
      </c>
      <c r="X13" s="2710"/>
      <c r="Y13" s="2710"/>
      <c r="Z13" s="2710"/>
      <c r="AA13" s="2710"/>
      <c r="AB13" s="2710"/>
      <c r="AC13" s="4493">
        <v>0</v>
      </c>
      <c r="AD13" s="2710"/>
      <c r="AE13" s="2710"/>
      <c r="AF13" s="2710"/>
      <c r="AG13" s="2710">
        <v>0</v>
      </c>
      <c r="AH13" s="2710"/>
      <c r="AI13" s="2710"/>
      <c r="AJ13" s="2710"/>
      <c r="AK13" s="4493">
        <v>0</v>
      </c>
      <c r="AL13" s="2710"/>
      <c r="AM13" s="2710"/>
      <c r="AN13" s="2710"/>
      <c r="AO13" s="2710"/>
      <c r="AP13" s="2710"/>
      <c r="AQ13" s="2710">
        <v>0</v>
      </c>
      <c r="AR13" s="2710"/>
      <c r="AS13" s="2710"/>
      <c r="AT13" s="2710"/>
      <c r="AU13" s="2710"/>
      <c r="AV13" s="2710"/>
      <c r="AW13" s="2710"/>
      <c r="AX13" s="2710"/>
      <c r="AY13" s="2710"/>
      <c r="AZ13" s="2710"/>
      <c r="BA13" s="2710"/>
      <c r="BB13" s="2710">
        <v>0</v>
      </c>
      <c r="BC13" s="2710"/>
      <c r="BD13" s="2710">
        <v>0</v>
      </c>
      <c r="BE13" s="2710">
        <v>4390.3640000000005</v>
      </c>
    </row>
    <row r="14" spans="3:57" ht="15" hidden="1" thickBot="1" x14ac:dyDescent="0.35">
      <c r="C14" s="2596" t="s">
        <v>1359</v>
      </c>
      <c r="D14" s="2596"/>
      <c r="E14" s="2710">
        <v>118.88800000000001</v>
      </c>
      <c r="F14" s="2710"/>
      <c r="G14" s="2710">
        <v>0</v>
      </c>
      <c r="H14" s="2710"/>
      <c r="I14" s="2710"/>
      <c r="J14" s="2710"/>
      <c r="K14" s="2710">
        <v>0</v>
      </c>
      <c r="L14" s="2710"/>
      <c r="M14" s="2710"/>
      <c r="N14" s="2710"/>
      <c r="O14" s="2710">
        <v>0</v>
      </c>
      <c r="P14" s="2710"/>
      <c r="Q14" s="2710"/>
      <c r="R14" s="2710"/>
      <c r="S14" s="2710">
        <v>0</v>
      </c>
      <c r="T14" s="2710"/>
      <c r="U14" s="2710"/>
      <c r="V14" s="2710"/>
      <c r="W14" s="2710">
        <v>0</v>
      </c>
      <c r="X14" s="2710"/>
      <c r="Y14" s="2710"/>
      <c r="Z14" s="2710"/>
      <c r="AA14" s="2710"/>
      <c r="AB14" s="2710"/>
      <c r="AC14" s="4493">
        <v>0</v>
      </c>
      <c r="AD14" s="2710"/>
      <c r="AE14" s="2710"/>
      <c r="AF14" s="2710"/>
      <c r="AG14" s="2710">
        <v>0</v>
      </c>
      <c r="AH14" s="2710"/>
      <c r="AI14" s="2710"/>
      <c r="AJ14" s="2710"/>
      <c r="AK14" s="4493">
        <v>0</v>
      </c>
      <c r="AL14" s="2710"/>
      <c r="AM14" s="2710"/>
      <c r="AN14" s="2710"/>
      <c r="AO14" s="2710"/>
      <c r="AP14" s="2710"/>
      <c r="AQ14" s="2710">
        <v>0</v>
      </c>
      <c r="AR14" s="2710"/>
      <c r="AS14" s="2710"/>
      <c r="AT14" s="2710"/>
      <c r="AU14" s="2710"/>
      <c r="AV14" s="2710"/>
      <c r="AW14" s="2710"/>
      <c r="AX14" s="2710"/>
      <c r="AY14" s="2710"/>
      <c r="AZ14" s="2710"/>
      <c r="BA14" s="2710"/>
      <c r="BB14" s="2710">
        <v>0</v>
      </c>
      <c r="BC14" s="2710"/>
      <c r="BD14" s="2710">
        <v>0</v>
      </c>
      <c r="BE14" s="2710">
        <v>118.88800000000001</v>
      </c>
    </row>
    <row r="15" spans="3:57" ht="15" hidden="1" thickBot="1" x14ac:dyDescent="0.35">
      <c r="C15" s="2596" t="s">
        <v>1199</v>
      </c>
      <c r="D15" s="2596"/>
      <c r="E15" s="2710">
        <v>0</v>
      </c>
      <c r="F15" s="2710"/>
      <c r="G15" s="2710">
        <v>0</v>
      </c>
      <c r="H15" s="2710"/>
      <c r="I15" s="2710"/>
      <c r="J15" s="2710"/>
      <c r="K15" s="2710">
        <v>1010.5480000000001</v>
      </c>
      <c r="L15" s="2710"/>
      <c r="M15" s="2710"/>
      <c r="N15" s="2710"/>
      <c r="O15" s="2710">
        <v>982.94899999999996</v>
      </c>
      <c r="P15" s="2710"/>
      <c r="Q15" s="2710"/>
      <c r="R15" s="2710"/>
      <c r="S15" s="2710">
        <v>0</v>
      </c>
      <c r="T15" s="2710"/>
      <c r="U15" s="2710"/>
      <c r="V15" s="2710"/>
      <c r="W15" s="2710">
        <v>1714.4540000000002</v>
      </c>
      <c r="X15" s="2710"/>
      <c r="Y15" s="2710"/>
      <c r="Z15" s="2710"/>
      <c r="AA15" s="2710"/>
      <c r="AB15" s="2710"/>
      <c r="AC15" s="4493">
        <v>0</v>
      </c>
      <c r="AD15" s="2710"/>
      <c r="AE15" s="2710"/>
      <c r="AF15" s="2710"/>
      <c r="AG15" s="2710">
        <v>0</v>
      </c>
      <c r="AH15" s="2710"/>
      <c r="AI15" s="2710"/>
      <c r="AJ15" s="2710"/>
      <c r="AK15" s="4493">
        <v>0</v>
      </c>
      <c r="AL15" s="2710"/>
      <c r="AM15" s="2710"/>
      <c r="AN15" s="2710"/>
      <c r="AO15" s="2710"/>
      <c r="AP15" s="2710"/>
      <c r="AQ15" s="2710">
        <v>0</v>
      </c>
      <c r="AR15" s="2710"/>
      <c r="AS15" s="2710"/>
      <c r="AT15" s="2710"/>
      <c r="AU15" s="2710"/>
      <c r="AV15" s="2710"/>
      <c r="AW15" s="2710"/>
      <c r="AX15" s="2710"/>
      <c r="AY15" s="2710"/>
      <c r="AZ15" s="2710"/>
      <c r="BA15" s="2710"/>
      <c r="BB15" s="2710">
        <v>1224.0060000000001</v>
      </c>
      <c r="BC15" s="2710"/>
      <c r="BD15" s="2710">
        <v>1123</v>
      </c>
      <c r="BE15" s="2710">
        <v>6054.9570000000003</v>
      </c>
    </row>
    <row r="16" spans="3:57" ht="15" hidden="1" thickBot="1" x14ac:dyDescent="0.35">
      <c r="C16" s="2596" t="s">
        <v>1243</v>
      </c>
      <c r="D16" s="2596"/>
      <c r="E16" s="2710">
        <v>2210.0430000000001</v>
      </c>
      <c r="F16" s="2710"/>
      <c r="G16" s="2710">
        <v>420.35399999999998</v>
      </c>
      <c r="H16" s="2710"/>
      <c r="I16" s="2710"/>
      <c r="J16" s="2710"/>
      <c r="K16" s="2710">
        <v>0</v>
      </c>
      <c r="L16" s="2710"/>
      <c r="M16" s="2710"/>
      <c r="N16" s="2710"/>
      <c r="O16" s="2710">
        <v>3913.0140000000006</v>
      </c>
      <c r="P16" s="2710"/>
      <c r="Q16" s="2710"/>
      <c r="R16" s="2710"/>
      <c r="S16" s="2710">
        <v>0</v>
      </c>
      <c r="T16" s="2710"/>
      <c r="U16" s="2710"/>
      <c r="V16" s="2710"/>
      <c r="W16" s="2710">
        <v>868.85399999999993</v>
      </c>
      <c r="X16" s="2710"/>
      <c r="Y16" s="2710"/>
      <c r="Z16" s="2710"/>
      <c r="AA16" s="2710"/>
      <c r="AB16" s="2710"/>
      <c r="AC16" s="4493">
        <v>3061.0720000000001</v>
      </c>
      <c r="AD16" s="2710"/>
      <c r="AE16" s="2710"/>
      <c r="AF16" s="2710"/>
      <c r="AG16" s="2710">
        <v>1323</v>
      </c>
      <c r="AH16" s="2710"/>
      <c r="AI16" s="2710"/>
      <c r="AJ16" s="2710"/>
      <c r="AK16" s="4493">
        <v>3761</v>
      </c>
      <c r="AL16" s="2710"/>
      <c r="AM16" s="2710"/>
      <c r="AN16" s="2710"/>
      <c r="AO16" s="2710"/>
      <c r="AP16" s="2710"/>
      <c r="AQ16" s="2710">
        <v>493</v>
      </c>
      <c r="AR16" s="2710"/>
      <c r="AS16" s="2710"/>
      <c r="AT16" s="2710"/>
      <c r="AU16" s="2710"/>
      <c r="AV16" s="2710"/>
      <c r="AW16" s="2710"/>
      <c r="AX16" s="2710"/>
      <c r="AY16" s="2710"/>
      <c r="AZ16" s="2710"/>
      <c r="BA16" s="2710"/>
      <c r="BB16" s="2710">
        <v>1904.7140000000004</v>
      </c>
      <c r="BC16" s="2710"/>
      <c r="BD16" s="2710">
        <v>0</v>
      </c>
      <c r="BE16" s="2710">
        <v>17955.050999999999</v>
      </c>
    </row>
    <row r="17" spans="3:57" ht="15" hidden="1" thickBot="1" x14ac:dyDescent="0.35">
      <c r="C17" s="2596" t="s">
        <v>1244</v>
      </c>
      <c r="D17" s="2596"/>
      <c r="E17" s="2710">
        <v>2320.4390000000003</v>
      </c>
      <c r="F17" s="2710"/>
      <c r="G17" s="2710">
        <v>0</v>
      </c>
      <c r="H17" s="2710"/>
      <c r="I17" s="2710"/>
      <c r="J17" s="2710"/>
      <c r="K17" s="2710">
        <v>1636.8330000000001</v>
      </c>
      <c r="L17" s="2710"/>
      <c r="M17" s="2710"/>
      <c r="N17" s="2710"/>
      <c r="O17" s="2710">
        <v>5010.1799999999994</v>
      </c>
      <c r="P17" s="2710"/>
      <c r="Q17" s="2710"/>
      <c r="R17" s="2710"/>
      <c r="S17" s="2710">
        <v>0</v>
      </c>
      <c r="T17" s="2710"/>
      <c r="U17" s="2710"/>
      <c r="V17" s="2710"/>
      <c r="W17" s="2710">
        <v>2875.04</v>
      </c>
      <c r="X17" s="2710"/>
      <c r="Y17" s="2710"/>
      <c r="Z17" s="2710"/>
      <c r="AA17" s="2710"/>
      <c r="AB17" s="2710"/>
      <c r="AC17" s="4493">
        <v>1329.7059999999999</v>
      </c>
      <c r="AD17" s="2710"/>
      <c r="AE17" s="2710"/>
      <c r="AF17" s="2710"/>
      <c r="AG17" s="2710">
        <v>2649</v>
      </c>
      <c r="AH17" s="2710"/>
      <c r="AI17" s="2710"/>
      <c r="AJ17" s="2710"/>
      <c r="AK17" s="4493">
        <v>3981</v>
      </c>
      <c r="AL17" s="2710"/>
      <c r="AM17" s="2710"/>
      <c r="AN17" s="2710"/>
      <c r="AO17" s="2710"/>
      <c r="AP17" s="2710"/>
      <c r="AQ17" s="2710">
        <v>2397</v>
      </c>
      <c r="AR17" s="2710"/>
      <c r="AS17" s="2710"/>
      <c r="AT17" s="2710"/>
      <c r="AU17" s="2710"/>
      <c r="AV17" s="2710"/>
      <c r="AW17" s="2710"/>
      <c r="AX17" s="2710"/>
      <c r="AY17" s="2710"/>
      <c r="AZ17" s="2710"/>
      <c r="BA17" s="2710"/>
      <c r="BB17" s="2710">
        <v>1560.1320000000001</v>
      </c>
      <c r="BC17" s="2710"/>
      <c r="BD17" s="2710">
        <v>2046</v>
      </c>
      <c r="BE17" s="2710">
        <v>25805.329999999998</v>
      </c>
    </row>
    <row r="18" spans="3:57" ht="15" hidden="1" thickBot="1" x14ac:dyDescent="0.35">
      <c r="C18" s="2596" t="s">
        <v>1278</v>
      </c>
      <c r="D18" s="2596"/>
      <c r="E18" s="2710">
        <v>104.027</v>
      </c>
      <c r="F18" s="2710"/>
      <c r="G18" s="2710">
        <v>0</v>
      </c>
      <c r="H18" s="2710"/>
      <c r="I18" s="2710"/>
      <c r="J18" s="2710"/>
      <c r="K18" s="2710">
        <v>0</v>
      </c>
      <c r="L18" s="2710"/>
      <c r="M18" s="2710"/>
      <c r="N18" s="2710"/>
      <c r="O18" s="2710">
        <v>0</v>
      </c>
      <c r="P18" s="2710"/>
      <c r="Q18" s="2710"/>
      <c r="R18" s="2710"/>
      <c r="S18" s="2710">
        <v>0</v>
      </c>
      <c r="T18" s="2710"/>
      <c r="U18" s="2710"/>
      <c r="V18" s="2710"/>
      <c r="W18" s="2710">
        <v>0</v>
      </c>
      <c r="X18" s="2710"/>
      <c r="Y18" s="2710"/>
      <c r="Z18" s="2710"/>
      <c r="AA18" s="2710"/>
      <c r="AB18" s="2710"/>
      <c r="AC18" s="4493">
        <v>0</v>
      </c>
      <c r="AD18" s="2710"/>
      <c r="AE18" s="2710"/>
      <c r="AF18" s="2710"/>
      <c r="AG18" s="2710">
        <v>0</v>
      </c>
      <c r="AH18" s="2710"/>
      <c r="AI18" s="2710"/>
      <c r="AJ18" s="2710"/>
      <c r="AK18" s="4493">
        <v>0</v>
      </c>
      <c r="AL18" s="2710"/>
      <c r="AM18" s="2710"/>
      <c r="AN18" s="2710"/>
      <c r="AO18" s="2710"/>
      <c r="AP18" s="2710"/>
      <c r="AQ18" s="2710">
        <v>0</v>
      </c>
      <c r="AR18" s="2710"/>
      <c r="AS18" s="2710"/>
      <c r="AT18" s="2710"/>
      <c r="AU18" s="2710"/>
      <c r="AV18" s="2710"/>
      <c r="AW18" s="2710"/>
      <c r="AX18" s="2710"/>
      <c r="AY18" s="2710"/>
      <c r="AZ18" s="2710"/>
      <c r="BA18" s="2710"/>
      <c r="BB18" s="2710">
        <v>0</v>
      </c>
      <c r="BC18" s="2710"/>
      <c r="BD18" s="2710">
        <v>0</v>
      </c>
      <c r="BE18" s="2710">
        <v>104.027</v>
      </c>
    </row>
    <row r="19" spans="3:57" ht="15" hidden="1" thickBot="1" x14ac:dyDescent="0.35">
      <c r="C19" s="2596" t="s">
        <v>1520</v>
      </c>
      <c r="D19" s="2596"/>
      <c r="E19" s="2710">
        <v>0</v>
      </c>
      <c r="F19" s="2710"/>
      <c r="G19" s="2710">
        <v>0</v>
      </c>
      <c r="H19" s="2710"/>
      <c r="I19" s="2710"/>
      <c r="J19" s="2710"/>
      <c r="K19" s="2710">
        <v>0</v>
      </c>
      <c r="L19" s="2710"/>
      <c r="M19" s="2710"/>
      <c r="N19" s="2710"/>
      <c r="O19" s="2710">
        <v>0</v>
      </c>
      <c r="P19" s="2710"/>
      <c r="Q19" s="2710"/>
      <c r="R19" s="2710"/>
      <c r="S19" s="2710">
        <v>849.8280000000002</v>
      </c>
      <c r="T19" s="2710"/>
      <c r="U19" s="2710"/>
      <c r="V19" s="2710"/>
      <c r="W19" s="2710">
        <v>769.49599999999998</v>
      </c>
      <c r="X19" s="2710"/>
      <c r="Y19" s="2710"/>
      <c r="Z19" s="2710"/>
      <c r="AA19" s="2710"/>
      <c r="AB19" s="2710"/>
      <c r="AC19" s="4493">
        <v>2272.5499999999997</v>
      </c>
      <c r="AD19" s="2710"/>
      <c r="AE19" s="2710"/>
      <c r="AF19" s="2710"/>
      <c r="AG19" s="2710">
        <v>1201</v>
      </c>
      <c r="AH19" s="2710"/>
      <c r="AI19" s="2710"/>
      <c r="AJ19" s="2710"/>
      <c r="AK19" s="4493">
        <v>865</v>
      </c>
      <c r="AL19" s="2710"/>
      <c r="AM19" s="2710"/>
      <c r="AN19" s="2710"/>
      <c r="AO19" s="2710"/>
      <c r="AP19" s="2710"/>
      <c r="AQ19" s="2710">
        <v>243</v>
      </c>
      <c r="AR19" s="2710"/>
      <c r="AS19" s="2710"/>
      <c r="AT19" s="2710"/>
      <c r="AU19" s="2710"/>
      <c r="AV19" s="2710"/>
      <c r="AW19" s="2710"/>
      <c r="AX19" s="2710"/>
      <c r="AY19" s="2710"/>
      <c r="AZ19" s="2710"/>
      <c r="BA19" s="2710"/>
      <c r="BB19" s="2710">
        <v>1325.4780000000001</v>
      </c>
      <c r="BC19" s="2710"/>
      <c r="BD19" s="2710">
        <v>839</v>
      </c>
      <c r="BE19" s="2710">
        <v>8365.351999999999</v>
      </c>
    </row>
    <row r="20" spans="3:57" ht="15" hidden="1" thickBot="1" x14ac:dyDescent="0.35">
      <c r="C20" s="2596" t="s">
        <v>1337</v>
      </c>
      <c r="D20" s="2596"/>
      <c r="E20" s="2710">
        <v>0</v>
      </c>
      <c r="F20" s="2710"/>
      <c r="G20" s="2710">
        <v>0</v>
      </c>
      <c r="H20" s="2710"/>
      <c r="I20" s="2710"/>
      <c r="J20" s="2710"/>
      <c r="K20" s="2710">
        <v>0</v>
      </c>
      <c r="L20" s="2710"/>
      <c r="M20" s="2710"/>
      <c r="N20" s="2710"/>
      <c r="O20" s="2710">
        <v>0</v>
      </c>
      <c r="P20" s="2710"/>
      <c r="Q20" s="2710"/>
      <c r="R20" s="2710"/>
      <c r="S20" s="2710">
        <v>0</v>
      </c>
      <c r="T20" s="2710"/>
      <c r="U20" s="2710"/>
      <c r="V20" s="2710"/>
      <c r="W20" s="2710">
        <v>0</v>
      </c>
      <c r="X20" s="2710"/>
      <c r="Y20" s="2710"/>
      <c r="Z20" s="2710"/>
      <c r="AA20" s="2710"/>
      <c r="AB20" s="2710"/>
      <c r="AC20" s="4493">
        <v>0</v>
      </c>
      <c r="AD20" s="2710"/>
      <c r="AE20" s="2710"/>
      <c r="AF20" s="2710"/>
      <c r="AG20" s="2710">
        <v>0</v>
      </c>
      <c r="AH20" s="2710"/>
      <c r="AI20" s="2710"/>
      <c r="AJ20" s="2710"/>
      <c r="AK20" s="4493">
        <v>171</v>
      </c>
      <c r="AL20" s="2710"/>
      <c r="AM20" s="2710"/>
      <c r="AN20" s="2710"/>
      <c r="AO20" s="2710"/>
      <c r="AP20" s="2710"/>
      <c r="AQ20" s="2710">
        <v>0</v>
      </c>
      <c r="AR20" s="2710"/>
      <c r="AS20" s="2710"/>
      <c r="AT20" s="2710"/>
      <c r="AU20" s="2710"/>
      <c r="AV20" s="2710"/>
      <c r="AW20" s="2710"/>
      <c r="AX20" s="2710"/>
      <c r="AY20" s="2710"/>
      <c r="AZ20" s="2710"/>
      <c r="BA20" s="2710"/>
      <c r="BB20" s="2710">
        <v>207.172</v>
      </c>
      <c r="BC20" s="2710"/>
      <c r="BD20" s="2710">
        <v>228</v>
      </c>
      <c r="BE20" s="2710">
        <v>606.17200000000003</v>
      </c>
    </row>
    <row r="21" spans="3:57" ht="15" hidden="1" thickBot="1" x14ac:dyDescent="0.35">
      <c r="C21" s="2596" t="s">
        <v>1389</v>
      </c>
      <c r="D21" s="2596"/>
      <c r="E21" s="2710">
        <v>2012.6040000000003</v>
      </c>
      <c r="F21" s="2710"/>
      <c r="G21" s="2710">
        <v>1305.6450000000002</v>
      </c>
      <c r="H21" s="2710"/>
      <c r="I21" s="2710"/>
      <c r="J21" s="2710"/>
      <c r="K21" s="2710">
        <v>2515.7550000000001</v>
      </c>
      <c r="L21" s="2710"/>
      <c r="M21" s="2710"/>
      <c r="N21" s="2710"/>
      <c r="O21" s="2710">
        <v>0</v>
      </c>
      <c r="P21" s="2710"/>
      <c r="Q21" s="2710"/>
      <c r="R21" s="2710"/>
      <c r="S21" s="2710">
        <v>1678.5159999999998</v>
      </c>
      <c r="T21" s="2710"/>
      <c r="U21" s="2710"/>
      <c r="V21" s="2710"/>
      <c r="W21" s="2710">
        <v>600.37599999999998</v>
      </c>
      <c r="X21" s="2710"/>
      <c r="Y21" s="2710"/>
      <c r="Z21" s="2710"/>
      <c r="AA21" s="2710"/>
      <c r="AB21" s="2710"/>
      <c r="AC21" s="4493">
        <v>1031.6319999999998</v>
      </c>
      <c r="AD21" s="2710"/>
      <c r="AE21" s="2710"/>
      <c r="AF21" s="2710"/>
      <c r="AG21" s="2710">
        <v>888</v>
      </c>
      <c r="AH21" s="2710"/>
      <c r="AI21" s="2710"/>
      <c r="AJ21" s="2710"/>
      <c r="AK21" s="4493">
        <v>1230</v>
      </c>
      <c r="AL21" s="2710"/>
      <c r="AM21" s="2710"/>
      <c r="AN21" s="2710"/>
      <c r="AO21" s="2710"/>
      <c r="AP21" s="2710"/>
      <c r="AQ21" s="2710">
        <v>2594</v>
      </c>
      <c r="AR21" s="2710"/>
      <c r="AS21" s="2710"/>
      <c r="AT21" s="2710"/>
      <c r="AU21" s="2710"/>
      <c r="AV21" s="2710"/>
      <c r="AW21" s="2710"/>
      <c r="AX21" s="2710"/>
      <c r="AY21" s="2710"/>
      <c r="AZ21" s="2710"/>
      <c r="BA21" s="2710"/>
      <c r="BB21" s="2710">
        <v>145.86600000000001</v>
      </c>
      <c r="BC21" s="2710"/>
      <c r="BD21" s="2710">
        <v>1055</v>
      </c>
      <c r="BE21" s="2710">
        <v>15057.394</v>
      </c>
    </row>
    <row r="22" spans="3:57" ht="15" hidden="1" thickBot="1" x14ac:dyDescent="0.35">
      <c r="C22" s="2596" t="s">
        <v>1390</v>
      </c>
      <c r="D22" s="2596"/>
      <c r="E22" s="2710">
        <v>607.17800000000011</v>
      </c>
      <c r="F22" s="2710"/>
      <c r="G22" s="2710">
        <v>0</v>
      </c>
      <c r="H22" s="2710"/>
      <c r="I22" s="2710"/>
      <c r="J22" s="2710"/>
      <c r="K22" s="2710">
        <v>0</v>
      </c>
      <c r="L22" s="2710"/>
      <c r="M22" s="2710"/>
      <c r="N22" s="2710"/>
      <c r="O22" s="2710">
        <v>150.09399999999999</v>
      </c>
      <c r="P22" s="2710"/>
      <c r="Q22" s="2710"/>
      <c r="R22" s="2710"/>
      <c r="S22" s="2710">
        <v>0</v>
      </c>
      <c r="T22" s="2710"/>
      <c r="U22" s="2710"/>
      <c r="V22" s="2710"/>
      <c r="W22" s="2710">
        <v>0</v>
      </c>
      <c r="X22" s="2710"/>
      <c r="Y22" s="2710"/>
      <c r="Z22" s="2710"/>
      <c r="AA22" s="2710"/>
      <c r="AB22" s="2710"/>
      <c r="AC22" s="4493">
        <v>0</v>
      </c>
      <c r="AD22" s="2710"/>
      <c r="AE22" s="2710"/>
      <c r="AF22" s="2710"/>
      <c r="AG22" s="2710">
        <v>131</v>
      </c>
      <c r="AH22" s="2710"/>
      <c r="AI22" s="2710"/>
      <c r="AJ22" s="2710"/>
      <c r="AK22" s="4493">
        <v>0</v>
      </c>
      <c r="AL22" s="2710"/>
      <c r="AM22" s="2710"/>
      <c r="AN22" s="2710"/>
      <c r="AO22" s="2710"/>
      <c r="AP22" s="2710"/>
      <c r="AQ22" s="2710">
        <v>0</v>
      </c>
      <c r="AR22" s="2710"/>
      <c r="AS22" s="2710"/>
      <c r="AT22" s="2710"/>
      <c r="AU22" s="2710"/>
      <c r="AV22" s="2710"/>
      <c r="AW22" s="2710"/>
      <c r="AX22" s="2710"/>
      <c r="AY22" s="2710"/>
      <c r="AZ22" s="2710"/>
      <c r="BA22" s="2710"/>
      <c r="BB22" s="2710">
        <v>0</v>
      </c>
      <c r="BC22" s="2710"/>
      <c r="BD22" s="2710">
        <v>0</v>
      </c>
      <c r="BE22" s="2710">
        <v>888.27200000000016</v>
      </c>
    </row>
    <row r="23" spans="3:57" ht="15" hidden="1" thickBot="1" x14ac:dyDescent="0.35">
      <c r="C23" s="2596" t="s">
        <v>1383</v>
      </c>
      <c r="D23" s="2596"/>
      <c r="E23" s="2710">
        <v>1740.86</v>
      </c>
      <c r="F23" s="2710"/>
      <c r="G23" s="2710">
        <v>1672.924</v>
      </c>
      <c r="H23" s="2710"/>
      <c r="I23" s="2710"/>
      <c r="J23" s="2710"/>
      <c r="K23" s="2710">
        <v>3299.1419999999998</v>
      </c>
      <c r="L23" s="2710"/>
      <c r="M23" s="2710"/>
      <c r="N23" s="2710"/>
      <c r="O23" s="2710">
        <v>3369.7160000000008</v>
      </c>
      <c r="P23" s="2710"/>
      <c r="Q23" s="2710"/>
      <c r="R23" s="2710"/>
      <c r="S23" s="2710">
        <v>3111.808</v>
      </c>
      <c r="T23" s="2710"/>
      <c r="U23" s="2710"/>
      <c r="V23" s="2710"/>
      <c r="W23" s="2710">
        <v>1035.8600000000001</v>
      </c>
      <c r="X23" s="2710"/>
      <c r="Y23" s="2710"/>
      <c r="Z23" s="2710"/>
      <c r="AA23" s="2710"/>
      <c r="AB23" s="2710"/>
      <c r="AC23" s="4493">
        <v>0</v>
      </c>
      <c r="AD23" s="2710"/>
      <c r="AE23" s="2710"/>
      <c r="AF23" s="2710"/>
      <c r="AG23" s="2710">
        <v>1541</v>
      </c>
      <c r="AH23" s="2710"/>
      <c r="AI23" s="2710"/>
      <c r="AJ23" s="2710"/>
      <c r="AK23" s="4493">
        <v>230</v>
      </c>
      <c r="AL23" s="2710"/>
      <c r="AM23" s="2710"/>
      <c r="AN23" s="2710"/>
      <c r="AO23" s="2710"/>
      <c r="AP23" s="2710"/>
      <c r="AQ23" s="2710">
        <v>1605</v>
      </c>
      <c r="AR23" s="2710"/>
      <c r="AS23" s="2710"/>
      <c r="AT23" s="2710"/>
      <c r="AU23" s="2710"/>
      <c r="AV23" s="2710"/>
      <c r="AW23" s="2710"/>
      <c r="AX23" s="2710"/>
      <c r="AY23" s="2710"/>
      <c r="AZ23" s="2710"/>
      <c r="BA23" s="2710"/>
      <c r="BB23" s="2710">
        <v>0</v>
      </c>
      <c r="BC23" s="2710"/>
      <c r="BD23" s="2710">
        <v>738</v>
      </c>
      <c r="BE23" s="2710">
        <v>18344.310000000001</v>
      </c>
    </row>
    <row r="24" spans="3:57" ht="15" hidden="1" thickBot="1" x14ac:dyDescent="0.35">
      <c r="C24" s="2596" t="s">
        <v>1604</v>
      </c>
      <c r="D24" s="2596"/>
      <c r="E24" s="2710">
        <v>0</v>
      </c>
      <c r="F24" s="2710"/>
      <c r="G24" s="2710">
        <v>0</v>
      </c>
      <c r="H24" s="2710"/>
      <c r="I24" s="2710"/>
      <c r="J24" s="2710"/>
      <c r="K24" s="2710">
        <v>0</v>
      </c>
      <c r="L24" s="2710"/>
      <c r="M24" s="2710"/>
      <c r="N24" s="2710"/>
      <c r="O24" s="2710">
        <v>0</v>
      </c>
      <c r="P24" s="2710"/>
      <c r="Q24" s="2710"/>
      <c r="R24" s="2710"/>
      <c r="S24" s="2710">
        <v>0</v>
      </c>
      <c r="T24" s="2710"/>
      <c r="U24" s="2710"/>
      <c r="V24" s="2710"/>
      <c r="W24" s="2710">
        <v>0</v>
      </c>
      <c r="X24" s="2710"/>
      <c r="Y24" s="2710"/>
      <c r="Z24" s="2710"/>
      <c r="AA24" s="2710"/>
      <c r="AB24" s="2710"/>
      <c r="AC24" s="4493">
        <v>0</v>
      </c>
      <c r="AD24" s="2710"/>
      <c r="AE24" s="2710"/>
      <c r="AF24" s="2710"/>
      <c r="AG24" s="2710">
        <v>729</v>
      </c>
      <c r="AH24" s="2710"/>
      <c r="AI24" s="2710"/>
      <c r="AJ24" s="2710"/>
      <c r="AK24" s="4493">
        <v>0</v>
      </c>
      <c r="AL24" s="2710"/>
      <c r="AM24" s="2710"/>
      <c r="AN24" s="2710"/>
      <c r="AO24" s="2710"/>
      <c r="AP24" s="2710"/>
      <c r="AQ24" s="2710">
        <v>0</v>
      </c>
      <c r="AR24" s="2710"/>
      <c r="AS24" s="2710"/>
      <c r="AT24" s="2710"/>
      <c r="AU24" s="2710"/>
      <c r="AV24" s="2710"/>
      <c r="AW24" s="2710"/>
      <c r="AX24" s="2710"/>
      <c r="AY24" s="2710"/>
      <c r="AZ24" s="2710"/>
      <c r="BA24" s="2710"/>
      <c r="BB24" s="2710">
        <v>528.5</v>
      </c>
      <c r="BC24" s="2710"/>
      <c r="BD24" s="2710">
        <v>573</v>
      </c>
      <c r="BE24" s="2710">
        <v>1830.5</v>
      </c>
    </row>
    <row r="25" spans="3:57" ht="15" hidden="1" thickBot="1" x14ac:dyDescent="0.35">
      <c r="C25" s="2596" t="s">
        <v>840</v>
      </c>
      <c r="D25" s="2596"/>
      <c r="E25" s="2710">
        <v>5572.875</v>
      </c>
      <c r="F25" s="2710"/>
      <c r="G25" s="2710">
        <v>4275.7219999999998</v>
      </c>
      <c r="H25" s="2710"/>
      <c r="I25" s="2710"/>
      <c r="J25" s="2710"/>
      <c r="K25" s="2710">
        <v>5165.259</v>
      </c>
      <c r="L25" s="2710"/>
      <c r="M25" s="2710"/>
      <c r="N25" s="2710"/>
      <c r="O25" s="2710">
        <v>4726.5600000000004</v>
      </c>
      <c r="P25" s="2710"/>
      <c r="Q25" s="2710"/>
      <c r="R25" s="2710"/>
      <c r="S25" s="2710">
        <v>8582.84</v>
      </c>
      <c r="T25" s="2710"/>
      <c r="U25" s="2710"/>
      <c r="V25" s="2710"/>
      <c r="W25" s="2710">
        <v>11607.973999999997</v>
      </c>
      <c r="X25" s="2710"/>
      <c r="Y25" s="2710"/>
      <c r="Z25" s="2710"/>
      <c r="AA25" s="2710"/>
      <c r="AB25" s="2710"/>
      <c r="AC25" s="4493">
        <v>13165.992</v>
      </c>
      <c r="AD25" s="2710"/>
      <c r="AE25" s="2710"/>
      <c r="AF25" s="2710"/>
      <c r="AG25" s="2710">
        <v>0</v>
      </c>
      <c r="AH25" s="2710"/>
      <c r="AI25" s="2710"/>
      <c r="AJ25" s="2710"/>
      <c r="AK25" s="4493">
        <v>0</v>
      </c>
      <c r="AL25" s="2710"/>
      <c r="AM25" s="2710"/>
      <c r="AN25" s="2710"/>
      <c r="AO25" s="2710"/>
      <c r="AP25" s="2710"/>
      <c r="AQ25" s="2710">
        <v>5112</v>
      </c>
      <c r="AR25" s="2710"/>
      <c r="AS25" s="2710"/>
      <c r="AT25" s="2710"/>
      <c r="AU25" s="2710"/>
      <c r="AV25" s="2710"/>
      <c r="AW25" s="2710"/>
      <c r="AX25" s="2710"/>
      <c r="AY25" s="2710"/>
      <c r="AZ25" s="2710"/>
      <c r="BA25" s="2710"/>
      <c r="BB25" s="2710">
        <v>6965.63</v>
      </c>
      <c r="BC25" s="2710"/>
      <c r="BD25" s="2710">
        <v>13859</v>
      </c>
      <c r="BE25" s="2710">
        <v>79033.851999999984</v>
      </c>
    </row>
    <row r="26" spans="3:57" ht="15" hidden="1" thickBot="1" x14ac:dyDescent="0.35">
      <c r="C26" s="2596" t="s">
        <v>1640</v>
      </c>
      <c r="D26" s="2596"/>
      <c r="E26" s="2710">
        <v>0</v>
      </c>
      <c r="F26" s="2710"/>
      <c r="G26" s="2710">
        <v>0</v>
      </c>
      <c r="H26" s="2710"/>
      <c r="I26" s="2710"/>
      <c r="J26" s="2710"/>
      <c r="K26" s="2710">
        <v>0</v>
      </c>
      <c r="L26" s="2710"/>
      <c r="M26" s="2710"/>
      <c r="N26" s="2710"/>
      <c r="O26" s="2710">
        <v>0</v>
      </c>
      <c r="P26" s="2710"/>
      <c r="Q26" s="2710"/>
      <c r="R26" s="2710"/>
      <c r="S26" s="2710">
        <v>0</v>
      </c>
      <c r="T26" s="2710"/>
      <c r="U26" s="2710"/>
      <c r="V26" s="2710"/>
      <c r="W26" s="2710">
        <v>0</v>
      </c>
      <c r="X26" s="2710"/>
      <c r="Y26" s="2710"/>
      <c r="Z26" s="2710"/>
      <c r="AA26" s="2710"/>
      <c r="AB26" s="2710"/>
      <c r="AC26" s="4493">
        <v>0</v>
      </c>
      <c r="AD26" s="2710"/>
      <c r="AE26" s="2710"/>
      <c r="AF26" s="2710"/>
      <c r="AG26" s="2710">
        <v>0</v>
      </c>
      <c r="AH26" s="2710"/>
      <c r="AI26" s="2710"/>
      <c r="AJ26" s="2710"/>
      <c r="AK26" s="4493">
        <v>0</v>
      </c>
      <c r="AL26" s="2710"/>
      <c r="AM26" s="2710"/>
      <c r="AN26" s="2710"/>
      <c r="AO26" s="2710"/>
      <c r="AP26" s="2710"/>
      <c r="AQ26" s="2710">
        <v>0</v>
      </c>
      <c r="AR26" s="2710"/>
      <c r="AS26" s="2710"/>
      <c r="AT26" s="2710"/>
      <c r="AU26" s="2710"/>
      <c r="AV26" s="2710"/>
      <c r="AW26" s="2710"/>
      <c r="AX26" s="2710"/>
      <c r="AY26" s="2710"/>
      <c r="AZ26" s="2710"/>
      <c r="BA26" s="2710"/>
      <c r="BB26" s="2710">
        <v>1103.5080000000003</v>
      </c>
      <c r="BC26" s="2710"/>
      <c r="BD26" s="2710">
        <v>884</v>
      </c>
      <c r="BE26" s="2710">
        <v>1987.5080000000003</v>
      </c>
    </row>
    <row r="27" spans="3:57" ht="15" hidden="1" thickBot="1" x14ac:dyDescent="0.35">
      <c r="C27" s="2596" t="s">
        <v>1641</v>
      </c>
      <c r="D27" s="2596"/>
      <c r="E27" s="2710">
        <v>0</v>
      </c>
      <c r="F27" s="2710"/>
      <c r="G27" s="2710">
        <v>0</v>
      </c>
      <c r="H27" s="2710"/>
      <c r="I27" s="2710"/>
      <c r="J27" s="2710"/>
      <c r="K27" s="2710">
        <v>0</v>
      </c>
      <c r="L27" s="2710"/>
      <c r="M27" s="2710"/>
      <c r="N27" s="2710"/>
      <c r="O27" s="2710">
        <v>0</v>
      </c>
      <c r="P27" s="2710"/>
      <c r="Q27" s="2710"/>
      <c r="R27" s="2710"/>
      <c r="S27" s="2710">
        <v>0</v>
      </c>
      <c r="T27" s="2710"/>
      <c r="U27" s="2710"/>
      <c r="V27" s="2710"/>
      <c r="W27" s="2710">
        <v>0</v>
      </c>
      <c r="X27" s="2710"/>
      <c r="Y27" s="2710"/>
      <c r="Z27" s="2710"/>
      <c r="AA27" s="2710"/>
      <c r="AB27" s="2710"/>
      <c r="AC27" s="4493">
        <v>0</v>
      </c>
      <c r="AD27" s="2710"/>
      <c r="AE27" s="2710"/>
      <c r="AF27" s="2710"/>
      <c r="AG27" s="2710">
        <v>0</v>
      </c>
      <c r="AH27" s="2710"/>
      <c r="AI27" s="2710"/>
      <c r="AJ27" s="2710"/>
      <c r="AK27" s="4493">
        <v>0</v>
      </c>
      <c r="AL27" s="2710"/>
      <c r="AM27" s="2710"/>
      <c r="AN27" s="2710"/>
      <c r="AO27" s="2710"/>
      <c r="AP27" s="2710"/>
      <c r="AQ27" s="2710">
        <v>0</v>
      </c>
      <c r="AR27" s="2710"/>
      <c r="AS27" s="2710"/>
      <c r="AT27" s="2710"/>
      <c r="AU27" s="2710"/>
      <c r="AV27" s="2710"/>
      <c r="AW27" s="2710"/>
      <c r="AX27" s="2710"/>
      <c r="AY27" s="2710"/>
      <c r="AZ27" s="2710"/>
      <c r="BA27" s="2710"/>
      <c r="BB27" s="2710">
        <v>613.06000000000006</v>
      </c>
      <c r="BC27" s="2710"/>
      <c r="BD27" s="2710">
        <v>0</v>
      </c>
      <c r="BE27" s="2710">
        <v>613.06000000000006</v>
      </c>
    </row>
    <row r="28" spans="3:57" ht="15" hidden="1" thickBot="1" x14ac:dyDescent="0.35">
      <c r="C28" s="2596" t="s">
        <v>1391</v>
      </c>
      <c r="D28" s="2596"/>
      <c r="E28" s="2710">
        <v>137.995</v>
      </c>
      <c r="F28" s="2710"/>
      <c r="G28" s="2710">
        <v>365.15600000000001</v>
      </c>
      <c r="H28" s="2710"/>
      <c r="I28" s="2710"/>
      <c r="J28" s="2710"/>
      <c r="K28" s="2710">
        <v>0</v>
      </c>
      <c r="L28" s="2710"/>
      <c r="M28" s="2710"/>
      <c r="N28" s="2710"/>
      <c r="O28" s="2710">
        <v>271.74400000000003</v>
      </c>
      <c r="P28" s="2710"/>
      <c r="Q28" s="2710"/>
      <c r="R28" s="2710"/>
      <c r="S28" s="2710">
        <v>0</v>
      </c>
      <c r="T28" s="2710"/>
      <c r="U28" s="2710"/>
      <c r="V28" s="2710"/>
      <c r="W28" s="2710">
        <v>0</v>
      </c>
      <c r="X28" s="2710"/>
      <c r="Y28" s="2710"/>
      <c r="Z28" s="2710"/>
      <c r="AA28" s="2710"/>
      <c r="AB28" s="2710"/>
      <c r="AC28" s="4493">
        <v>0</v>
      </c>
      <c r="AD28" s="2710"/>
      <c r="AE28" s="2710"/>
      <c r="AF28" s="2710"/>
      <c r="AG28" s="2710">
        <v>0</v>
      </c>
      <c r="AH28" s="2710"/>
      <c r="AI28" s="2710"/>
      <c r="AJ28" s="2710"/>
      <c r="AK28" s="4493">
        <v>0</v>
      </c>
      <c r="AL28" s="2710"/>
      <c r="AM28" s="2710"/>
      <c r="AN28" s="2710"/>
      <c r="AO28" s="2710"/>
      <c r="AP28" s="2710"/>
      <c r="AQ28" s="2710">
        <v>0</v>
      </c>
      <c r="AR28" s="2710"/>
      <c r="AS28" s="2710"/>
      <c r="AT28" s="2710"/>
      <c r="AU28" s="2710"/>
      <c r="AV28" s="2710"/>
      <c r="AW28" s="2710"/>
      <c r="AX28" s="2710"/>
      <c r="AY28" s="2710"/>
      <c r="AZ28" s="2710"/>
      <c r="BA28" s="2710"/>
      <c r="BB28" s="2710">
        <v>112.042</v>
      </c>
      <c r="BC28" s="2710"/>
      <c r="BD28" s="2710">
        <v>146</v>
      </c>
      <c r="BE28" s="2710">
        <v>1032.9369999999999</v>
      </c>
    </row>
    <row r="29" spans="3:57" ht="15" hidden="1" thickBot="1" x14ac:dyDescent="0.35">
      <c r="C29" s="2596" t="s">
        <v>1279</v>
      </c>
      <c r="D29" s="2596"/>
      <c r="E29" s="2710">
        <v>0</v>
      </c>
      <c r="F29" s="2710"/>
      <c r="G29" s="2710">
        <v>0</v>
      </c>
      <c r="H29" s="2710"/>
      <c r="I29" s="2710"/>
      <c r="J29" s="2710"/>
      <c r="K29" s="2710">
        <v>881.04499999999996</v>
      </c>
      <c r="L29" s="2710"/>
      <c r="M29" s="2710"/>
      <c r="N29" s="2710"/>
      <c r="O29" s="2710">
        <v>0</v>
      </c>
      <c r="P29" s="2710"/>
      <c r="Q29" s="2710"/>
      <c r="R29" s="2710"/>
      <c r="S29" s="2710">
        <v>0</v>
      </c>
      <c r="T29" s="2710"/>
      <c r="U29" s="2710"/>
      <c r="V29" s="2710"/>
      <c r="W29" s="2710">
        <v>0</v>
      </c>
      <c r="X29" s="2710"/>
      <c r="Y29" s="2710"/>
      <c r="Z29" s="2710"/>
      <c r="AA29" s="2710"/>
      <c r="AB29" s="2710"/>
      <c r="AC29" s="4493">
        <v>336.12599999999998</v>
      </c>
      <c r="AD29" s="2710"/>
      <c r="AE29" s="2710"/>
      <c r="AF29" s="2710"/>
      <c r="AG29" s="2710">
        <v>6202</v>
      </c>
      <c r="AH29" s="2710"/>
      <c r="AI29" s="2710"/>
      <c r="AJ29" s="2710"/>
      <c r="AK29" s="4493">
        <v>6896</v>
      </c>
      <c r="AL29" s="2710"/>
      <c r="AM29" s="2710"/>
      <c r="AN29" s="2710"/>
      <c r="AO29" s="2710"/>
      <c r="AP29" s="2710"/>
      <c r="AQ29" s="2710">
        <v>865</v>
      </c>
      <c r="AR29" s="2710"/>
      <c r="AS29" s="2710"/>
      <c r="AT29" s="2710"/>
      <c r="AU29" s="2710"/>
      <c r="AV29" s="2710"/>
      <c r="AW29" s="2710"/>
      <c r="AX29" s="2710"/>
      <c r="AY29" s="2710"/>
      <c r="AZ29" s="2710"/>
      <c r="BA29" s="2710"/>
      <c r="BB29" s="2710">
        <v>192.374</v>
      </c>
      <c r="BC29" s="2710"/>
      <c r="BD29" s="2710">
        <v>0</v>
      </c>
      <c r="BE29" s="2710">
        <v>15372.545</v>
      </c>
    </row>
    <row r="30" spans="3:57" ht="15" hidden="1" thickBot="1" x14ac:dyDescent="0.35">
      <c r="C30" s="2596" t="s">
        <v>1392</v>
      </c>
      <c r="D30" s="2596"/>
      <c r="E30" s="2710">
        <v>1129.4360000000001</v>
      </c>
      <c r="F30" s="2710"/>
      <c r="G30" s="2710">
        <v>254.96</v>
      </c>
      <c r="H30" s="2710"/>
      <c r="I30" s="2710"/>
      <c r="J30" s="2710"/>
      <c r="K30" s="2710">
        <v>0</v>
      </c>
      <c r="L30" s="2710"/>
      <c r="M30" s="2710"/>
      <c r="N30" s="2710"/>
      <c r="O30" s="2710">
        <v>157.102</v>
      </c>
      <c r="P30" s="2710"/>
      <c r="Q30" s="2710"/>
      <c r="R30" s="2710"/>
      <c r="S30" s="2710">
        <v>350.92400000000004</v>
      </c>
      <c r="T30" s="2710"/>
      <c r="U30" s="2710"/>
      <c r="V30" s="2710"/>
      <c r="W30" s="2710">
        <v>454.51</v>
      </c>
      <c r="X30" s="2710"/>
      <c r="Y30" s="2710"/>
      <c r="Z30" s="2710"/>
      <c r="AA30" s="2710"/>
      <c r="AB30" s="2710"/>
      <c r="AC30" s="4493">
        <v>845.59999999999991</v>
      </c>
      <c r="AD30" s="2710"/>
      <c r="AE30" s="2710"/>
      <c r="AF30" s="2710"/>
      <c r="AG30" s="2710">
        <v>507</v>
      </c>
      <c r="AH30" s="2710"/>
      <c r="AI30" s="2710"/>
      <c r="AJ30" s="2710"/>
      <c r="AK30" s="4493">
        <v>875</v>
      </c>
      <c r="AL30" s="2710"/>
      <c r="AM30" s="2710"/>
      <c r="AN30" s="2710"/>
      <c r="AO30" s="2710"/>
      <c r="AP30" s="2710"/>
      <c r="AQ30" s="2710">
        <v>480</v>
      </c>
      <c r="AR30" s="2710"/>
      <c r="AS30" s="2710"/>
      <c r="AT30" s="2710"/>
      <c r="AU30" s="2710"/>
      <c r="AV30" s="2710"/>
      <c r="AW30" s="2710"/>
      <c r="AX30" s="2710"/>
      <c r="AY30" s="2710"/>
      <c r="AZ30" s="2710"/>
      <c r="BA30" s="2710"/>
      <c r="BB30" s="2710">
        <v>435.48399999999998</v>
      </c>
      <c r="BC30" s="2710"/>
      <c r="BD30" s="2710">
        <v>797</v>
      </c>
      <c r="BE30" s="2710">
        <v>6287.0160000000005</v>
      </c>
    </row>
    <row r="31" spans="3:57" ht="15" hidden="1" thickBot="1" x14ac:dyDescent="0.35">
      <c r="C31" s="2596" t="s">
        <v>1393</v>
      </c>
      <c r="D31" s="2596"/>
      <c r="E31" s="2710">
        <v>0</v>
      </c>
      <c r="F31" s="2710"/>
      <c r="G31" s="2710">
        <v>0</v>
      </c>
      <c r="H31" s="2710"/>
      <c r="I31" s="2710"/>
      <c r="J31" s="2710"/>
      <c r="K31" s="2710">
        <v>99.781000000000006</v>
      </c>
      <c r="L31" s="2710"/>
      <c r="M31" s="2710"/>
      <c r="N31" s="2710"/>
      <c r="O31" s="2710">
        <v>0</v>
      </c>
      <c r="P31" s="2710"/>
      <c r="Q31" s="2710"/>
      <c r="R31" s="2710"/>
      <c r="S31" s="2710">
        <v>0</v>
      </c>
      <c r="T31" s="2710"/>
      <c r="U31" s="2710"/>
      <c r="V31" s="2710"/>
      <c r="W31" s="2710">
        <v>0</v>
      </c>
      <c r="X31" s="2710"/>
      <c r="Y31" s="2710"/>
      <c r="Z31" s="2710"/>
      <c r="AA31" s="2710"/>
      <c r="AB31" s="2710"/>
      <c r="AC31" s="4493">
        <v>0</v>
      </c>
      <c r="AD31" s="2710"/>
      <c r="AE31" s="2710"/>
      <c r="AF31" s="2710"/>
      <c r="AG31" s="2710">
        <v>0</v>
      </c>
      <c r="AH31" s="2710"/>
      <c r="AI31" s="2710"/>
      <c r="AJ31" s="2710"/>
      <c r="AK31" s="4493">
        <v>0</v>
      </c>
      <c r="AL31" s="2710"/>
      <c r="AM31" s="2710"/>
      <c r="AN31" s="2710"/>
      <c r="AO31" s="2710"/>
      <c r="AP31" s="2710"/>
      <c r="AQ31" s="2710">
        <v>0</v>
      </c>
      <c r="AR31" s="2710"/>
      <c r="AS31" s="2710"/>
      <c r="AT31" s="2710"/>
      <c r="AU31" s="2710"/>
      <c r="AV31" s="2710"/>
      <c r="AW31" s="2710"/>
      <c r="AX31" s="2710"/>
      <c r="AY31" s="2710"/>
      <c r="AZ31" s="2710"/>
      <c r="BA31" s="2710"/>
      <c r="BB31" s="2710">
        <v>0</v>
      </c>
      <c r="BC31" s="2710"/>
      <c r="BD31" s="2710">
        <v>0</v>
      </c>
      <c r="BE31" s="2710">
        <v>99.781000000000006</v>
      </c>
    </row>
    <row r="32" spans="3:57" ht="15" hidden="1" thickBot="1" x14ac:dyDescent="0.35">
      <c r="C32" s="2596" t="s">
        <v>1394</v>
      </c>
      <c r="D32" s="2596"/>
      <c r="E32" s="2710">
        <v>1426.6559999999999</v>
      </c>
      <c r="F32" s="2710"/>
      <c r="G32" s="2710">
        <v>0</v>
      </c>
      <c r="H32" s="2710"/>
      <c r="I32" s="2710"/>
      <c r="J32" s="2710"/>
      <c r="K32" s="2710">
        <v>0</v>
      </c>
      <c r="L32" s="2710"/>
      <c r="M32" s="2710"/>
      <c r="N32" s="2710"/>
      <c r="O32" s="2710">
        <v>105.7</v>
      </c>
      <c r="P32" s="2710"/>
      <c r="Q32" s="2710"/>
      <c r="R32" s="2710"/>
      <c r="S32" s="2710">
        <v>0</v>
      </c>
      <c r="T32" s="2710"/>
      <c r="U32" s="2710"/>
      <c r="V32" s="2710"/>
      <c r="W32" s="2710">
        <v>103.586</v>
      </c>
      <c r="X32" s="2710"/>
      <c r="Y32" s="2710"/>
      <c r="Z32" s="2710"/>
      <c r="AA32" s="2710"/>
      <c r="AB32" s="2710"/>
      <c r="AC32" s="4493">
        <v>215.62799999999999</v>
      </c>
      <c r="AD32" s="2710"/>
      <c r="AE32" s="2710"/>
      <c r="AF32" s="2710"/>
      <c r="AG32" s="2710">
        <v>632</v>
      </c>
      <c r="AH32" s="2710"/>
      <c r="AI32" s="2710"/>
      <c r="AJ32" s="2710"/>
      <c r="AK32" s="4493">
        <v>696</v>
      </c>
      <c r="AL32" s="2710"/>
      <c r="AM32" s="2710"/>
      <c r="AN32" s="2710"/>
      <c r="AO32" s="2710"/>
      <c r="AP32" s="2710"/>
      <c r="AQ32" s="2710">
        <v>1723</v>
      </c>
      <c r="AR32" s="2710"/>
      <c r="AS32" s="2710"/>
      <c r="AT32" s="2710"/>
      <c r="AU32" s="2710"/>
      <c r="AV32" s="2710"/>
      <c r="AW32" s="2710"/>
      <c r="AX32" s="2710"/>
      <c r="AY32" s="2710"/>
      <c r="AZ32" s="2710"/>
      <c r="BA32" s="2710"/>
      <c r="BB32" s="2710">
        <v>450.28199999999998</v>
      </c>
      <c r="BC32" s="2710"/>
      <c r="BD32" s="2710">
        <v>708</v>
      </c>
      <c r="BE32" s="2710">
        <v>6060.8519999999999</v>
      </c>
    </row>
    <row r="33" spans="3:57" ht="15" hidden="1" thickBot="1" x14ac:dyDescent="0.35">
      <c r="C33" s="2596" t="s">
        <v>1395</v>
      </c>
      <c r="D33" s="2596"/>
      <c r="E33" s="2710">
        <v>137.995</v>
      </c>
      <c r="F33" s="2710"/>
      <c r="G33" s="2710">
        <v>0</v>
      </c>
      <c r="H33" s="2710"/>
      <c r="I33" s="2710"/>
      <c r="J33" s="2710"/>
      <c r="K33" s="2710">
        <v>0</v>
      </c>
      <c r="L33" s="2710"/>
      <c r="M33" s="2710"/>
      <c r="N33" s="2710"/>
      <c r="O33" s="2710">
        <v>0</v>
      </c>
      <c r="P33" s="2710"/>
      <c r="Q33" s="2710"/>
      <c r="R33" s="2710"/>
      <c r="S33" s="2710">
        <v>0</v>
      </c>
      <c r="T33" s="2710"/>
      <c r="U33" s="2710"/>
      <c r="V33" s="2710"/>
      <c r="W33" s="2710">
        <v>0</v>
      </c>
      <c r="X33" s="2710"/>
      <c r="Y33" s="2710"/>
      <c r="Z33" s="2710"/>
      <c r="AA33" s="2710"/>
      <c r="AB33" s="2710"/>
      <c r="AC33" s="4493">
        <v>0</v>
      </c>
      <c r="AD33" s="2710"/>
      <c r="AE33" s="2710"/>
      <c r="AF33" s="2710"/>
      <c r="AG33" s="2710">
        <v>0</v>
      </c>
      <c r="AH33" s="2710"/>
      <c r="AI33" s="2710"/>
      <c r="AJ33" s="2710"/>
      <c r="AK33" s="4493">
        <v>0</v>
      </c>
      <c r="AL33" s="2710"/>
      <c r="AM33" s="2710"/>
      <c r="AN33" s="2710"/>
      <c r="AO33" s="2710"/>
      <c r="AP33" s="2710"/>
      <c r="AQ33" s="2710">
        <v>0</v>
      </c>
      <c r="AR33" s="2710"/>
      <c r="AS33" s="2710"/>
      <c r="AT33" s="2710"/>
      <c r="AU33" s="2710"/>
      <c r="AV33" s="2710"/>
      <c r="AW33" s="2710"/>
      <c r="AX33" s="2710"/>
      <c r="AY33" s="2710"/>
      <c r="AZ33" s="2710"/>
      <c r="BA33" s="2710"/>
      <c r="BB33" s="2710">
        <v>0</v>
      </c>
      <c r="BC33" s="2710"/>
      <c r="BD33" s="2710">
        <v>0</v>
      </c>
      <c r="BE33" s="2710">
        <v>137.995</v>
      </c>
    </row>
    <row r="34" spans="3:57" ht="15" hidden="1" thickBot="1" x14ac:dyDescent="0.35">
      <c r="C34" s="2596" t="s">
        <v>1592</v>
      </c>
      <c r="D34" s="2596"/>
      <c r="E34" s="2710"/>
      <c r="F34" s="2710"/>
      <c r="G34" s="2710"/>
      <c r="H34" s="2710"/>
      <c r="I34" s="2710"/>
      <c r="J34" s="2710"/>
      <c r="K34" s="2710"/>
      <c r="L34" s="2710"/>
      <c r="M34" s="2710"/>
      <c r="N34" s="2710"/>
      <c r="O34" s="2710"/>
      <c r="P34" s="2710"/>
      <c r="Q34" s="2710"/>
      <c r="R34" s="2710"/>
      <c r="S34" s="2710"/>
      <c r="T34" s="2710"/>
      <c r="U34" s="2710"/>
      <c r="V34" s="2710"/>
      <c r="W34" s="2710"/>
      <c r="X34" s="2710"/>
      <c r="Y34" s="2710"/>
      <c r="Z34" s="2710"/>
      <c r="AA34" s="2710"/>
      <c r="AB34" s="2710"/>
      <c r="AC34" s="4493">
        <v>126.84</v>
      </c>
      <c r="AD34" s="2710"/>
      <c r="AE34" s="2710"/>
      <c r="AF34" s="2710"/>
      <c r="AG34" s="2710">
        <v>0</v>
      </c>
      <c r="AH34" s="2710"/>
      <c r="AI34" s="2710"/>
      <c r="AJ34" s="2710"/>
      <c r="AK34" s="4493">
        <v>0</v>
      </c>
      <c r="AL34" s="2710"/>
      <c r="AM34" s="2710"/>
      <c r="AN34" s="2710"/>
      <c r="AO34" s="2710"/>
      <c r="AP34" s="2710"/>
      <c r="AQ34" s="2710">
        <v>0</v>
      </c>
      <c r="AR34" s="2710"/>
      <c r="AS34" s="2710"/>
      <c r="AT34" s="2710"/>
      <c r="AU34" s="2710"/>
      <c r="AV34" s="2710"/>
      <c r="AW34" s="2710"/>
      <c r="AX34" s="2710"/>
      <c r="AY34" s="2710"/>
      <c r="AZ34" s="2710"/>
      <c r="BA34" s="2710"/>
      <c r="BB34" s="2710">
        <v>0</v>
      </c>
      <c r="BC34" s="2710"/>
      <c r="BD34" s="2710">
        <v>0</v>
      </c>
      <c r="BE34" s="2710">
        <v>126.84</v>
      </c>
    </row>
    <row r="35" spans="3:57" ht="15" hidden="1" thickBot="1" x14ac:dyDescent="0.35">
      <c r="C35" s="2596" t="s">
        <v>1396</v>
      </c>
      <c r="D35" s="2596"/>
      <c r="E35" s="2710">
        <v>0</v>
      </c>
      <c r="F35" s="2710"/>
      <c r="G35" s="2710">
        <v>0</v>
      </c>
      <c r="H35" s="2710"/>
      <c r="I35" s="2710"/>
      <c r="J35" s="2710"/>
      <c r="K35" s="2710">
        <v>0</v>
      </c>
      <c r="L35" s="2710"/>
      <c r="M35" s="2710"/>
      <c r="N35" s="2710"/>
      <c r="O35" s="2710">
        <v>410.11599999999999</v>
      </c>
      <c r="P35" s="2710"/>
      <c r="Q35" s="2710"/>
      <c r="R35" s="2710"/>
      <c r="S35" s="2710">
        <v>0</v>
      </c>
      <c r="T35" s="2710"/>
      <c r="U35" s="2710"/>
      <c r="V35" s="2710"/>
      <c r="W35" s="2710">
        <v>0</v>
      </c>
      <c r="X35" s="2710"/>
      <c r="Y35" s="2710"/>
      <c r="Z35" s="2710"/>
      <c r="AA35" s="2710"/>
      <c r="AB35" s="2710"/>
      <c r="AC35" s="4493">
        <v>1018.9480000000001</v>
      </c>
      <c r="AD35" s="2710"/>
      <c r="AE35" s="2710"/>
      <c r="AF35" s="2710"/>
      <c r="AG35" s="2710">
        <v>112</v>
      </c>
      <c r="AH35" s="2710"/>
      <c r="AI35" s="2710"/>
      <c r="AJ35" s="2710"/>
      <c r="AK35" s="4493">
        <v>550</v>
      </c>
      <c r="AL35" s="2710"/>
      <c r="AM35" s="2710"/>
      <c r="AN35" s="2710"/>
      <c r="AO35" s="2710"/>
      <c r="AP35" s="2710"/>
      <c r="AQ35" s="2710">
        <v>683</v>
      </c>
      <c r="AR35" s="2710"/>
      <c r="AS35" s="2710"/>
      <c r="AT35" s="2710"/>
      <c r="AU35" s="2710"/>
      <c r="AV35" s="2710"/>
      <c r="AW35" s="2710"/>
      <c r="AX35" s="2710"/>
      <c r="AY35" s="2710"/>
      <c r="AZ35" s="2710"/>
      <c r="BA35" s="2710"/>
      <c r="BB35" s="2710">
        <v>272.70600000000002</v>
      </c>
      <c r="BC35" s="2710"/>
      <c r="BD35" s="2710">
        <v>575</v>
      </c>
      <c r="BE35" s="2710">
        <v>3621.7700000000004</v>
      </c>
    </row>
    <row r="36" spans="3:57" ht="15" hidden="1" thickBot="1" x14ac:dyDescent="0.35">
      <c r="C36" s="2596" t="s">
        <v>1438</v>
      </c>
      <c r="D36" s="2596"/>
      <c r="E36" s="2710">
        <v>0</v>
      </c>
      <c r="F36" s="2710"/>
      <c r="G36" s="2710">
        <v>0</v>
      </c>
      <c r="H36" s="2710"/>
      <c r="I36" s="2710"/>
      <c r="J36" s="2710"/>
      <c r="K36" s="2710">
        <v>324.81900000000002</v>
      </c>
      <c r="L36" s="2710"/>
      <c r="M36" s="2710"/>
      <c r="N36" s="2710"/>
      <c r="O36" s="2710">
        <v>922.452</v>
      </c>
      <c r="P36" s="2710"/>
      <c r="Q36" s="2710"/>
      <c r="R36" s="2710"/>
      <c r="S36" s="2710">
        <v>1779.9879999999996</v>
      </c>
      <c r="T36" s="2710"/>
      <c r="U36" s="2710"/>
      <c r="V36" s="2710"/>
      <c r="W36" s="2710">
        <v>0</v>
      </c>
      <c r="X36" s="2710"/>
      <c r="Y36" s="2710"/>
      <c r="Z36" s="2710"/>
      <c r="AA36" s="2710"/>
      <c r="AB36" s="2710"/>
      <c r="AC36" s="4493">
        <v>317.09999999999997</v>
      </c>
      <c r="AD36" s="2710"/>
      <c r="AE36" s="2710"/>
      <c r="AF36" s="2710"/>
      <c r="AG36" s="2710">
        <v>2222</v>
      </c>
      <c r="AH36" s="2710"/>
      <c r="AI36" s="2710"/>
      <c r="AJ36" s="2710"/>
      <c r="AK36" s="4493">
        <v>0</v>
      </c>
      <c r="AL36" s="2710"/>
      <c r="AM36" s="2710"/>
      <c r="AN36" s="2710"/>
      <c r="AO36" s="2710"/>
      <c r="AP36" s="2710"/>
      <c r="AQ36" s="2710">
        <v>252</v>
      </c>
      <c r="AR36" s="2710"/>
      <c r="AS36" s="2710"/>
      <c r="AT36" s="2710"/>
      <c r="AU36" s="2710"/>
      <c r="AV36" s="2710"/>
      <c r="AW36" s="2710"/>
      <c r="AX36" s="2710"/>
      <c r="AY36" s="2710"/>
      <c r="AZ36" s="2710"/>
      <c r="BA36" s="2710"/>
      <c r="BB36" s="2710">
        <v>97.244</v>
      </c>
      <c r="BC36" s="2710"/>
      <c r="BD36" s="2710">
        <v>0</v>
      </c>
      <c r="BE36" s="2710">
        <v>5915.6029999999992</v>
      </c>
    </row>
    <row r="37" spans="3:57" ht="15" hidden="1" thickBot="1" x14ac:dyDescent="0.35">
      <c r="C37" s="2596" t="s">
        <v>1397</v>
      </c>
      <c r="D37" s="2596"/>
      <c r="E37" s="2710">
        <v>592.31700000000001</v>
      </c>
      <c r="F37" s="2710"/>
      <c r="G37" s="2710">
        <v>0</v>
      </c>
      <c r="H37" s="2710"/>
      <c r="I37" s="2710"/>
      <c r="J37" s="2710"/>
      <c r="K37" s="2710">
        <v>0</v>
      </c>
      <c r="L37" s="2710"/>
      <c r="M37" s="2710"/>
      <c r="N37" s="2710"/>
      <c r="O37" s="2710">
        <v>0</v>
      </c>
      <c r="P37" s="2710"/>
      <c r="Q37" s="2710"/>
      <c r="R37" s="2710"/>
      <c r="S37" s="2710">
        <v>1306.4520000000002</v>
      </c>
      <c r="T37" s="2710"/>
      <c r="U37" s="2710"/>
      <c r="V37" s="2710"/>
      <c r="W37" s="2710">
        <v>0</v>
      </c>
      <c r="X37" s="2710"/>
      <c r="Y37" s="2710"/>
      <c r="Z37" s="2710"/>
      <c r="AA37" s="2710"/>
      <c r="AB37" s="2710"/>
      <c r="AC37" s="4493">
        <v>0</v>
      </c>
      <c r="AD37" s="2710"/>
      <c r="AE37" s="2710"/>
      <c r="AF37" s="2710"/>
      <c r="AG37" s="2710">
        <v>873</v>
      </c>
      <c r="AH37" s="2710"/>
      <c r="AI37" s="2710"/>
      <c r="AJ37" s="2710"/>
      <c r="AK37" s="4493">
        <v>0</v>
      </c>
      <c r="AL37" s="2710"/>
      <c r="AM37" s="2710"/>
      <c r="AN37" s="2710"/>
      <c r="AO37" s="2710"/>
      <c r="AP37" s="2710"/>
      <c r="AQ37" s="2710">
        <v>0</v>
      </c>
      <c r="AR37" s="2710"/>
      <c r="AS37" s="2710"/>
      <c r="AT37" s="2710"/>
      <c r="AU37" s="2710"/>
      <c r="AV37" s="2710"/>
      <c r="AW37" s="2710"/>
      <c r="AX37" s="2710"/>
      <c r="AY37" s="2710"/>
      <c r="AZ37" s="2710"/>
      <c r="BA37" s="2710"/>
      <c r="BB37" s="2710">
        <v>433.37</v>
      </c>
      <c r="BC37" s="2710"/>
      <c r="BD37" s="2710">
        <v>0</v>
      </c>
      <c r="BE37" s="2710">
        <v>3205.1390000000001</v>
      </c>
    </row>
    <row r="38" spans="3:57" ht="15" hidden="1" thickBot="1" x14ac:dyDescent="0.35">
      <c r="C38" s="2596" t="s">
        <v>1398</v>
      </c>
      <c r="D38" s="2596"/>
      <c r="E38" s="2710">
        <v>420.35399999999998</v>
      </c>
      <c r="F38" s="2710"/>
      <c r="G38" s="2710">
        <v>0</v>
      </c>
      <c r="H38" s="2710"/>
      <c r="I38" s="2710"/>
      <c r="J38" s="2710"/>
      <c r="K38" s="2710">
        <v>0</v>
      </c>
      <c r="L38" s="2710"/>
      <c r="M38" s="2710"/>
      <c r="N38" s="2710"/>
      <c r="O38" s="2710">
        <v>0</v>
      </c>
      <c r="P38" s="2710"/>
      <c r="Q38" s="2710"/>
      <c r="R38" s="2710"/>
      <c r="S38" s="2710">
        <v>0</v>
      </c>
      <c r="T38" s="2710"/>
      <c r="U38" s="2710"/>
      <c r="V38" s="2710"/>
      <c r="W38" s="2710">
        <v>0</v>
      </c>
      <c r="X38" s="2710"/>
      <c r="Y38" s="2710"/>
      <c r="Z38" s="2710"/>
      <c r="AA38" s="2710"/>
      <c r="AB38" s="2710"/>
      <c r="AC38" s="4493">
        <v>0</v>
      </c>
      <c r="AD38" s="2710"/>
      <c r="AE38" s="2710"/>
      <c r="AF38" s="2710"/>
      <c r="AG38" s="2710">
        <v>0</v>
      </c>
      <c r="AH38" s="2710"/>
      <c r="AI38" s="2710"/>
      <c r="AJ38" s="2710"/>
      <c r="AK38" s="4493">
        <v>0</v>
      </c>
      <c r="AL38" s="2710"/>
      <c r="AM38" s="2710"/>
      <c r="AN38" s="2710"/>
      <c r="AO38" s="2710"/>
      <c r="AP38" s="2710"/>
      <c r="AQ38" s="2710">
        <v>0</v>
      </c>
      <c r="AR38" s="2710"/>
      <c r="AS38" s="2710"/>
      <c r="AT38" s="2710"/>
      <c r="AU38" s="2710"/>
      <c r="AV38" s="2710"/>
      <c r="AW38" s="2710"/>
      <c r="AX38" s="2710"/>
      <c r="AY38" s="2710"/>
      <c r="AZ38" s="2710"/>
      <c r="BA38" s="2710"/>
      <c r="BB38" s="2710">
        <v>363.608</v>
      </c>
      <c r="BC38" s="2710"/>
      <c r="BD38" s="2710">
        <v>0</v>
      </c>
      <c r="BE38" s="2710">
        <v>783.96199999999999</v>
      </c>
    </row>
    <row r="39" spans="3:57" ht="15" hidden="1" thickBot="1" x14ac:dyDescent="0.35">
      <c r="C39" s="2596" t="s">
        <v>1652</v>
      </c>
      <c r="D39" s="2596"/>
      <c r="E39" s="2710">
        <v>0</v>
      </c>
      <c r="F39" s="2710"/>
      <c r="G39" s="2710">
        <v>0</v>
      </c>
      <c r="H39" s="2710"/>
      <c r="I39" s="2710"/>
      <c r="J39" s="2710"/>
      <c r="K39" s="2710">
        <v>0</v>
      </c>
      <c r="L39" s="2710"/>
      <c r="M39" s="2710"/>
      <c r="N39" s="2710"/>
      <c r="O39" s="2710">
        <v>0</v>
      </c>
      <c r="P39" s="2710"/>
      <c r="Q39" s="2710"/>
      <c r="R39" s="2710"/>
      <c r="S39" s="2710">
        <v>0</v>
      </c>
      <c r="T39" s="2710"/>
      <c r="U39" s="2710"/>
      <c r="V39" s="2710"/>
      <c r="W39" s="2710">
        <v>0</v>
      </c>
      <c r="X39" s="2710"/>
      <c r="Y39" s="2710"/>
      <c r="Z39" s="2710"/>
      <c r="AA39" s="2710"/>
      <c r="AB39" s="2710"/>
      <c r="AC39" s="4493">
        <v>0</v>
      </c>
      <c r="AD39" s="2710"/>
      <c r="AE39" s="2710"/>
      <c r="AF39" s="2710"/>
      <c r="AG39" s="2710">
        <v>0</v>
      </c>
      <c r="AH39" s="2710"/>
      <c r="AI39" s="2710"/>
      <c r="AJ39" s="2710"/>
      <c r="AK39" s="4493">
        <v>0</v>
      </c>
      <c r="AL39" s="2710"/>
      <c r="AM39" s="2710"/>
      <c r="AN39" s="2710"/>
      <c r="AO39" s="2710"/>
      <c r="AP39" s="2710"/>
      <c r="AQ39" s="2710">
        <v>0</v>
      </c>
      <c r="AR39" s="2710"/>
      <c r="AS39" s="2710"/>
      <c r="AT39" s="2710"/>
      <c r="AU39" s="2710"/>
      <c r="AV39" s="2710"/>
      <c r="AW39" s="2710"/>
      <c r="AX39" s="2710"/>
      <c r="AY39" s="2710"/>
      <c r="AZ39" s="2710"/>
      <c r="BA39" s="2710"/>
      <c r="BB39" s="2710">
        <v>0</v>
      </c>
      <c r="BC39" s="2710"/>
      <c r="BD39" s="2710">
        <v>541</v>
      </c>
      <c r="BE39" s="2710">
        <v>541</v>
      </c>
    </row>
    <row r="40" spans="3:57" ht="15" hidden="1" thickBot="1" x14ac:dyDescent="0.35">
      <c r="C40" s="2596" t="s">
        <v>1653</v>
      </c>
      <c r="D40" s="2596"/>
      <c r="E40" s="2710">
        <v>0</v>
      </c>
      <c r="F40" s="2710"/>
      <c r="G40" s="2710">
        <v>0</v>
      </c>
      <c r="H40" s="2710"/>
      <c r="I40" s="2710"/>
      <c r="J40" s="2710"/>
      <c r="K40" s="2710">
        <v>0</v>
      </c>
      <c r="L40" s="2710"/>
      <c r="M40" s="2710"/>
      <c r="N40" s="2710"/>
      <c r="O40" s="2710">
        <v>0</v>
      </c>
      <c r="P40" s="2710"/>
      <c r="Q40" s="2710"/>
      <c r="R40" s="2710"/>
      <c r="S40" s="2710">
        <v>0</v>
      </c>
      <c r="T40" s="2710"/>
      <c r="U40" s="2710"/>
      <c r="V40" s="2710"/>
      <c r="W40" s="2710">
        <v>0</v>
      </c>
      <c r="X40" s="2710"/>
      <c r="Y40" s="2710"/>
      <c r="Z40" s="2710"/>
      <c r="AA40" s="2710"/>
      <c r="AB40" s="2710"/>
      <c r="AC40" s="4493">
        <v>0</v>
      </c>
      <c r="AD40" s="2710"/>
      <c r="AE40" s="2710"/>
      <c r="AF40" s="2710"/>
      <c r="AG40" s="2710">
        <v>0</v>
      </c>
      <c r="AH40" s="2710"/>
      <c r="AI40" s="2710"/>
      <c r="AJ40" s="2710"/>
      <c r="AK40" s="4493">
        <v>0</v>
      </c>
      <c r="AL40" s="2710"/>
      <c r="AM40" s="2710"/>
      <c r="AN40" s="2710"/>
      <c r="AO40" s="2710"/>
      <c r="AP40" s="2710"/>
      <c r="AQ40" s="2710">
        <v>0</v>
      </c>
      <c r="AR40" s="2710"/>
      <c r="AS40" s="2710"/>
      <c r="AT40" s="2710"/>
      <c r="AU40" s="2710"/>
      <c r="AV40" s="2710"/>
      <c r="AW40" s="2710"/>
      <c r="AX40" s="2710"/>
      <c r="AY40" s="2710"/>
      <c r="AZ40" s="2710"/>
      <c r="BA40" s="2710"/>
      <c r="BB40" s="2710">
        <v>0</v>
      </c>
      <c r="BC40" s="2710"/>
      <c r="BD40" s="2710">
        <v>264</v>
      </c>
      <c r="BE40" s="2710">
        <v>264</v>
      </c>
    </row>
    <row r="41" spans="3:57" ht="15" hidden="1" thickBot="1" x14ac:dyDescent="0.35">
      <c r="C41" s="2596" t="s">
        <v>1603</v>
      </c>
      <c r="D41" s="2596"/>
      <c r="E41" s="2710">
        <v>0</v>
      </c>
      <c r="F41" s="2710"/>
      <c r="G41" s="2710">
        <v>0</v>
      </c>
      <c r="H41" s="2710"/>
      <c r="I41" s="2710"/>
      <c r="J41" s="2710"/>
      <c r="K41" s="2710">
        <v>0</v>
      </c>
      <c r="L41" s="2710"/>
      <c r="M41" s="2710"/>
      <c r="N41" s="2710"/>
      <c r="O41" s="2710">
        <v>0</v>
      </c>
      <c r="P41" s="2710"/>
      <c r="Q41" s="2710"/>
      <c r="R41" s="2710"/>
      <c r="S41" s="2710">
        <v>0</v>
      </c>
      <c r="T41" s="2710"/>
      <c r="U41" s="2710"/>
      <c r="V41" s="2710"/>
      <c r="W41" s="2710">
        <v>0</v>
      </c>
      <c r="X41" s="2710"/>
      <c r="Y41" s="2710"/>
      <c r="Z41" s="2710"/>
      <c r="AA41" s="2710"/>
      <c r="AB41" s="2710"/>
      <c r="AC41" s="4493">
        <v>0</v>
      </c>
      <c r="AD41" s="2710"/>
      <c r="AE41" s="2710"/>
      <c r="AF41" s="2710"/>
      <c r="AG41" s="2710">
        <v>1492</v>
      </c>
      <c r="AH41" s="2710"/>
      <c r="AI41" s="2710"/>
      <c r="AJ41" s="2710"/>
      <c r="AK41" s="4493">
        <v>0</v>
      </c>
      <c r="AL41" s="2710"/>
      <c r="AM41" s="2710"/>
      <c r="AN41" s="2710"/>
      <c r="AO41" s="2710"/>
      <c r="AP41" s="2710"/>
      <c r="AQ41" s="2710">
        <v>0</v>
      </c>
      <c r="AR41" s="2710"/>
      <c r="AS41" s="2710"/>
      <c r="AT41" s="2710"/>
      <c r="AU41" s="2710"/>
      <c r="AV41" s="2710"/>
      <c r="AW41" s="2710"/>
      <c r="AX41" s="2710"/>
      <c r="AY41" s="2710"/>
      <c r="AZ41" s="2710"/>
      <c r="BA41" s="2710"/>
      <c r="BB41" s="2710">
        <v>0</v>
      </c>
      <c r="BC41" s="2710"/>
      <c r="BD41" s="2710">
        <v>0</v>
      </c>
      <c r="BE41" s="2710">
        <v>1492</v>
      </c>
    </row>
    <row r="42" spans="3:57" ht="15" hidden="1" thickBot="1" x14ac:dyDescent="0.35">
      <c r="C42" s="2596" t="s">
        <v>1399</v>
      </c>
      <c r="D42" s="2596"/>
      <c r="E42" s="2710">
        <v>1689.9079999999999</v>
      </c>
      <c r="F42" s="2710"/>
      <c r="G42" s="2710">
        <v>269.62099999999998</v>
      </c>
      <c r="H42" s="2710"/>
      <c r="I42" s="2710"/>
      <c r="J42" s="2710"/>
      <c r="K42" s="2710">
        <v>1195.249</v>
      </c>
      <c r="L42" s="2710"/>
      <c r="M42" s="2710"/>
      <c r="N42" s="2710"/>
      <c r="O42" s="2710">
        <v>3688.9300000000012</v>
      </c>
      <c r="P42" s="2710"/>
      <c r="Q42" s="2710"/>
      <c r="R42" s="2710"/>
      <c r="S42" s="2710">
        <v>1333.9340000000002</v>
      </c>
      <c r="T42" s="2710"/>
      <c r="U42" s="2710"/>
      <c r="V42" s="2710"/>
      <c r="W42" s="2710">
        <v>1067.5700000000002</v>
      </c>
      <c r="X42" s="2710"/>
      <c r="Y42" s="2710"/>
      <c r="Z42" s="2710"/>
      <c r="AA42" s="2710"/>
      <c r="AB42" s="2710"/>
      <c r="AC42" s="4493">
        <v>2101.3159999999998</v>
      </c>
      <c r="AD42" s="2710"/>
      <c r="AE42" s="2710"/>
      <c r="AF42" s="2710"/>
      <c r="AG42" s="2710">
        <v>0</v>
      </c>
      <c r="AH42" s="2710"/>
      <c r="AI42" s="2710"/>
      <c r="AJ42" s="2710"/>
      <c r="AK42" s="4493">
        <v>4697</v>
      </c>
      <c r="AL42" s="2710"/>
      <c r="AM42" s="2710"/>
      <c r="AN42" s="2710"/>
      <c r="AO42" s="2710"/>
      <c r="AP42" s="2710"/>
      <c r="AQ42" s="2710">
        <v>3232</v>
      </c>
      <c r="AR42" s="2710"/>
      <c r="AS42" s="2710"/>
      <c r="AT42" s="2710"/>
      <c r="AU42" s="2710"/>
      <c r="AV42" s="2710"/>
      <c r="AW42" s="2710"/>
      <c r="AX42" s="2710"/>
      <c r="AY42" s="2710"/>
      <c r="AZ42" s="2710"/>
      <c r="BA42" s="2710"/>
      <c r="BB42" s="2710">
        <v>4488.021999999999</v>
      </c>
      <c r="BC42" s="2710"/>
      <c r="BD42" s="2710">
        <v>2287</v>
      </c>
      <c r="BE42" s="2710">
        <v>26050.550000000003</v>
      </c>
    </row>
    <row r="43" spans="3:57" ht="15" hidden="1" thickBot="1" x14ac:dyDescent="0.35">
      <c r="C43" s="2596" t="s">
        <v>1496</v>
      </c>
      <c r="D43" s="2596"/>
      <c r="E43" s="2710">
        <v>0</v>
      </c>
      <c r="F43" s="2710"/>
      <c r="G43" s="2710">
        <v>0</v>
      </c>
      <c r="H43" s="2710"/>
      <c r="I43" s="2710"/>
      <c r="J43" s="2710"/>
      <c r="K43" s="2710">
        <v>0</v>
      </c>
      <c r="L43" s="2710"/>
      <c r="M43" s="2710"/>
      <c r="N43" s="2710"/>
      <c r="O43" s="2710">
        <v>312.87199999999996</v>
      </c>
      <c r="P43" s="2710"/>
      <c r="Q43" s="2710"/>
      <c r="R43" s="2710"/>
      <c r="S43" s="2710">
        <v>0</v>
      </c>
      <c r="T43" s="2710"/>
      <c r="U43" s="2710"/>
      <c r="V43" s="2710"/>
      <c r="W43" s="2710">
        <v>131.06800000000001</v>
      </c>
      <c r="X43" s="2710"/>
      <c r="Y43" s="2710"/>
      <c r="Z43" s="2710"/>
      <c r="AA43" s="2710"/>
      <c r="AB43" s="2710"/>
      <c r="AC43" s="4493">
        <v>989.35199999999998</v>
      </c>
      <c r="AD43" s="2710"/>
      <c r="AE43" s="2710"/>
      <c r="AF43" s="2710"/>
      <c r="AG43" s="2710">
        <v>710</v>
      </c>
      <c r="AH43" s="2710"/>
      <c r="AI43" s="2710"/>
      <c r="AJ43" s="2710"/>
      <c r="AK43" s="4493">
        <v>0</v>
      </c>
      <c r="AL43" s="2710"/>
      <c r="AM43" s="2710"/>
      <c r="AN43" s="2710"/>
      <c r="AO43" s="2710"/>
      <c r="AP43" s="2710"/>
      <c r="AQ43" s="2710">
        <v>0</v>
      </c>
      <c r="AR43" s="2710"/>
      <c r="AS43" s="2710"/>
      <c r="AT43" s="2710"/>
      <c r="AU43" s="2710"/>
      <c r="AV43" s="2710"/>
      <c r="AW43" s="2710"/>
      <c r="AX43" s="2710"/>
      <c r="AY43" s="2710"/>
      <c r="AZ43" s="2710"/>
      <c r="BA43" s="2710"/>
      <c r="BB43" s="2710">
        <v>0</v>
      </c>
      <c r="BC43" s="2710"/>
      <c r="BD43" s="2710">
        <v>0</v>
      </c>
      <c r="BE43" s="2710">
        <v>2143.2919999999999</v>
      </c>
    </row>
    <row r="44" spans="3:57" ht="15" hidden="1" thickBot="1" x14ac:dyDescent="0.35">
      <c r="C44" s="2596" t="s">
        <v>1245</v>
      </c>
      <c r="D44" s="2596"/>
      <c r="E44" s="2710">
        <v>0</v>
      </c>
      <c r="F44" s="2710"/>
      <c r="G44" s="2710">
        <v>0</v>
      </c>
      <c r="H44" s="2710"/>
      <c r="I44" s="2710"/>
      <c r="J44" s="2710"/>
      <c r="K44" s="2710">
        <v>0</v>
      </c>
      <c r="L44" s="2710"/>
      <c r="M44" s="2710"/>
      <c r="N44" s="2710"/>
      <c r="O44" s="2710">
        <v>0</v>
      </c>
      <c r="P44" s="2710"/>
      <c r="Q44" s="2710"/>
      <c r="R44" s="2710"/>
      <c r="S44" s="2710">
        <v>0</v>
      </c>
      <c r="T44" s="2710"/>
      <c r="U44" s="2710"/>
      <c r="V44" s="2710"/>
      <c r="W44" s="2710">
        <v>0</v>
      </c>
      <c r="X44" s="2710"/>
      <c r="Y44" s="2710"/>
      <c r="Z44" s="2710"/>
      <c r="AA44" s="2710"/>
      <c r="AB44" s="2710"/>
      <c r="AC44" s="4493">
        <v>1959.6780000000001</v>
      </c>
      <c r="AD44" s="2710"/>
      <c r="AE44" s="2710"/>
      <c r="AF44" s="2710"/>
      <c r="AG44" s="2710">
        <v>0</v>
      </c>
      <c r="AH44" s="2710"/>
      <c r="AI44" s="2710"/>
      <c r="AJ44" s="2710"/>
      <c r="AK44" s="4493">
        <v>397</v>
      </c>
      <c r="AL44" s="2710"/>
      <c r="AM44" s="2710"/>
      <c r="AN44" s="2710"/>
      <c r="AO44" s="2710"/>
      <c r="AP44" s="2710"/>
      <c r="AQ44" s="2710">
        <v>560</v>
      </c>
      <c r="AR44" s="2710"/>
      <c r="AS44" s="2710"/>
      <c r="AT44" s="2710"/>
      <c r="AU44" s="2710"/>
      <c r="AV44" s="2710"/>
      <c r="AW44" s="2710"/>
      <c r="AX44" s="2710"/>
      <c r="AY44" s="2710"/>
      <c r="AZ44" s="2710"/>
      <c r="BA44" s="2710"/>
      <c r="BB44" s="2710">
        <v>0</v>
      </c>
      <c r="BC44" s="2710"/>
      <c r="BD44" s="2710">
        <v>0</v>
      </c>
      <c r="BE44" s="2710">
        <v>2916.6779999999999</v>
      </c>
    </row>
    <row r="45" spans="3:57" ht="15" hidden="1" thickBot="1" x14ac:dyDescent="0.35">
      <c r="C45" s="2596" t="s">
        <v>1277</v>
      </c>
      <c r="D45" s="2596"/>
      <c r="E45" s="2710">
        <v>2562.4609999999998</v>
      </c>
      <c r="F45" s="2710"/>
      <c r="G45" s="2710">
        <v>4063.422</v>
      </c>
      <c r="H45" s="2710"/>
      <c r="I45" s="2710"/>
      <c r="J45" s="2710"/>
      <c r="K45" s="2710">
        <v>8160.811999999999</v>
      </c>
      <c r="L45" s="2710"/>
      <c r="M45" s="2710"/>
      <c r="N45" s="2710"/>
      <c r="O45" s="2710">
        <v>5310.884</v>
      </c>
      <c r="P45" s="2710"/>
      <c r="Q45" s="2710"/>
      <c r="R45" s="2710"/>
      <c r="S45" s="2710">
        <v>6625.2760000000017</v>
      </c>
      <c r="T45" s="2710"/>
      <c r="U45" s="2710"/>
      <c r="V45" s="2710"/>
      <c r="W45" s="2710">
        <v>11633.342000000001</v>
      </c>
      <c r="X45" s="2710"/>
      <c r="Y45" s="2710"/>
      <c r="Z45" s="2710"/>
      <c r="AA45" s="2710"/>
      <c r="AB45" s="2710"/>
      <c r="AC45" s="4493">
        <v>5466.8040000000001</v>
      </c>
      <c r="AD45" s="2710"/>
      <c r="AE45" s="2710"/>
      <c r="AF45" s="2710"/>
      <c r="AG45" s="2710">
        <v>2664</v>
      </c>
      <c r="AH45" s="2710"/>
      <c r="AI45" s="2710"/>
      <c r="AJ45" s="2710"/>
      <c r="AK45" s="4493">
        <v>6374</v>
      </c>
      <c r="AL45" s="2710"/>
      <c r="AM45" s="2710"/>
      <c r="AN45" s="2710"/>
      <c r="AO45" s="2710"/>
      <c r="AP45" s="2710"/>
      <c r="AQ45" s="2710">
        <v>6621</v>
      </c>
      <c r="AR45" s="2710"/>
      <c r="AS45" s="2710"/>
      <c r="AT45" s="2710"/>
      <c r="AU45" s="2710"/>
      <c r="AV45" s="2710"/>
      <c r="AW45" s="2710"/>
      <c r="AX45" s="2710"/>
      <c r="AY45" s="2710"/>
      <c r="AZ45" s="2710"/>
      <c r="BA45" s="2710"/>
      <c r="BB45" s="2710">
        <v>2811.62</v>
      </c>
      <c r="BC45" s="2710"/>
      <c r="BD45" s="2710">
        <v>10003</v>
      </c>
      <c r="BE45" s="2710">
        <v>72296.621000000014</v>
      </c>
    </row>
    <row r="46" spans="3:57" ht="15" hidden="1" thickBot="1" x14ac:dyDescent="0.35">
      <c r="C46" s="2596" t="s">
        <v>1200</v>
      </c>
      <c r="D46" s="2596"/>
      <c r="E46" s="2710">
        <v>9428.2430000000004</v>
      </c>
      <c r="F46" s="2710"/>
      <c r="G46" s="2710">
        <v>3657.9290000000001</v>
      </c>
      <c r="H46" s="2710"/>
      <c r="I46" s="2710"/>
      <c r="J46" s="2710"/>
      <c r="K46" s="2710">
        <v>5320.2379999999994</v>
      </c>
      <c r="L46" s="2710"/>
      <c r="M46" s="2710"/>
      <c r="N46" s="2710"/>
      <c r="O46" s="2710">
        <v>7259.8770000000004</v>
      </c>
      <c r="P46" s="2710"/>
      <c r="Q46" s="2710"/>
      <c r="R46" s="2710"/>
      <c r="S46" s="2710">
        <v>8713.9079999999976</v>
      </c>
      <c r="T46" s="2710"/>
      <c r="U46" s="2710"/>
      <c r="V46" s="2710"/>
      <c r="W46" s="2710">
        <v>4633.8880000000008</v>
      </c>
      <c r="X46" s="2710"/>
      <c r="Y46" s="2710"/>
      <c r="Z46" s="2710"/>
      <c r="AA46" s="2710"/>
      <c r="AB46" s="2710"/>
      <c r="AC46" s="4493">
        <v>9367.1339999999982</v>
      </c>
      <c r="AD46" s="2710"/>
      <c r="AE46" s="2710"/>
      <c r="AF46" s="2710"/>
      <c r="AG46" s="2710">
        <v>7078</v>
      </c>
      <c r="AH46" s="2710"/>
      <c r="AI46" s="2710"/>
      <c r="AJ46" s="2710"/>
      <c r="AK46" s="4493">
        <v>13468.4</v>
      </c>
      <c r="AL46" s="2710"/>
      <c r="AM46" s="2710"/>
      <c r="AN46" s="2710"/>
      <c r="AO46" s="2710"/>
      <c r="AP46" s="2710"/>
      <c r="AQ46" s="2710">
        <v>11435</v>
      </c>
      <c r="AR46" s="2710"/>
      <c r="AS46" s="2710"/>
      <c r="AT46" s="2710"/>
      <c r="AU46" s="2710"/>
      <c r="AV46" s="2710"/>
      <c r="AW46" s="2710"/>
      <c r="AX46" s="2710"/>
      <c r="AY46" s="2710"/>
      <c r="AZ46" s="2710"/>
      <c r="BA46" s="2710"/>
      <c r="BB46" s="2710">
        <v>11007.597999999994</v>
      </c>
      <c r="BC46" s="2710"/>
      <c r="BD46" s="2710">
        <v>12682</v>
      </c>
      <c r="BE46" s="2710">
        <v>104052.215</v>
      </c>
    </row>
    <row r="47" spans="3:57" ht="15" hidden="1" thickBot="1" x14ac:dyDescent="0.35">
      <c r="C47" s="2596" t="s">
        <v>1256</v>
      </c>
      <c r="D47" s="2596"/>
      <c r="E47" s="2710">
        <v>0</v>
      </c>
      <c r="F47" s="2710"/>
      <c r="G47" s="2710">
        <v>0</v>
      </c>
      <c r="H47" s="2710"/>
      <c r="I47" s="2710"/>
      <c r="J47" s="2710"/>
      <c r="K47" s="2710">
        <v>713.32800000000009</v>
      </c>
      <c r="L47" s="2710"/>
      <c r="M47" s="2710"/>
      <c r="N47" s="2710"/>
      <c r="O47" s="2710">
        <v>0</v>
      </c>
      <c r="P47" s="2710"/>
      <c r="Q47" s="2710"/>
      <c r="R47" s="2710"/>
      <c r="S47" s="2710">
        <v>0</v>
      </c>
      <c r="T47" s="2710"/>
      <c r="U47" s="2710"/>
      <c r="V47" s="2710"/>
      <c r="W47" s="2710">
        <v>0</v>
      </c>
      <c r="X47" s="2710"/>
      <c r="Y47" s="2710"/>
      <c r="Z47" s="2710"/>
      <c r="AA47" s="2710"/>
      <c r="AB47" s="2710"/>
      <c r="AC47" s="4493">
        <v>0</v>
      </c>
      <c r="AD47" s="2710"/>
      <c r="AE47" s="2710"/>
      <c r="AF47" s="2710"/>
      <c r="AG47" s="2710">
        <v>0</v>
      </c>
      <c r="AH47" s="2710"/>
      <c r="AI47" s="2710"/>
      <c r="AJ47" s="2710"/>
      <c r="AK47" s="4493">
        <v>0</v>
      </c>
      <c r="AL47" s="2710"/>
      <c r="AM47" s="2710"/>
      <c r="AN47" s="2710"/>
      <c r="AO47" s="2710"/>
      <c r="AP47" s="2710"/>
      <c r="AQ47" s="2710">
        <v>0</v>
      </c>
      <c r="AR47" s="2710"/>
      <c r="AS47" s="2710"/>
      <c r="AT47" s="2710"/>
      <c r="AU47" s="2710"/>
      <c r="AV47" s="2710"/>
      <c r="AW47" s="2710"/>
      <c r="AX47" s="2710"/>
      <c r="AY47" s="2710"/>
      <c r="AZ47" s="2710"/>
      <c r="BA47" s="2710"/>
      <c r="BB47" s="2710">
        <v>0</v>
      </c>
      <c r="BC47" s="2710"/>
      <c r="BD47" s="2710">
        <v>0</v>
      </c>
      <c r="BE47" s="2710">
        <v>713.32800000000009</v>
      </c>
    </row>
    <row r="48" spans="3:57" ht="15" hidden="1" thickBot="1" x14ac:dyDescent="0.35">
      <c r="C48" s="2596" t="s">
        <v>1201</v>
      </c>
      <c r="D48" s="2596"/>
      <c r="E48" s="2710">
        <v>600.80900000000008</v>
      </c>
      <c r="F48" s="2710"/>
      <c r="G48" s="2710">
        <v>101.904</v>
      </c>
      <c r="H48" s="2710"/>
      <c r="I48" s="2710"/>
      <c r="J48" s="2710"/>
      <c r="K48" s="2710">
        <v>0</v>
      </c>
      <c r="L48" s="2710"/>
      <c r="M48" s="2710"/>
      <c r="N48" s="2710"/>
      <c r="O48" s="2710">
        <v>0</v>
      </c>
      <c r="P48" s="2710"/>
      <c r="Q48" s="2710"/>
      <c r="R48" s="2710"/>
      <c r="S48" s="2710">
        <v>293.846</v>
      </c>
      <c r="T48" s="2710"/>
      <c r="U48" s="2710"/>
      <c r="V48" s="2710"/>
      <c r="W48" s="2710">
        <v>441.82599999999996</v>
      </c>
      <c r="X48" s="2710"/>
      <c r="Y48" s="2710"/>
      <c r="Z48" s="2710"/>
      <c r="AA48" s="2710"/>
      <c r="AB48" s="2710"/>
      <c r="AC48" s="4493">
        <v>217.74199999999999</v>
      </c>
      <c r="AD48" s="2710"/>
      <c r="AE48" s="2710"/>
      <c r="AF48" s="2710"/>
      <c r="AG48" s="2710">
        <v>2763</v>
      </c>
      <c r="AH48" s="2710"/>
      <c r="AI48" s="2710"/>
      <c r="AJ48" s="2710"/>
      <c r="AK48" s="4493">
        <v>0</v>
      </c>
      <c r="AL48" s="2710"/>
      <c r="AM48" s="2710"/>
      <c r="AN48" s="2710"/>
      <c r="AO48" s="2710"/>
      <c r="AP48" s="2710"/>
      <c r="AQ48" s="2710">
        <v>0</v>
      </c>
      <c r="AR48" s="2710"/>
      <c r="AS48" s="2710"/>
      <c r="AT48" s="2710"/>
      <c r="AU48" s="2710"/>
      <c r="AV48" s="2710"/>
      <c r="AW48" s="2710"/>
      <c r="AX48" s="2710"/>
      <c r="AY48" s="2710"/>
      <c r="AZ48" s="2710"/>
      <c r="BA48" s="2710"/>
      <c r="BB48" s="2710">
        <v>213.51400000000001</v>
      </c>
      <c r="BC48" s="2710"/>
      <c r="BD48" s="2710">
        <v>0</v>
      </c>
      <c r="BE48" s="2710">
        <v>4632.6410000000005</v>
      </c>
    </row>
    <row r="49" spans="3:57" ht="15" hidden="1" thickBot="1" x14ac:dyDescent="0.35">
      <c r="C49" s="2596" t="s">
        <v>1400</v>
      </c>
      <c r="D49" s="2596"/>
      <c r="E49" s="2710">
        <v>721.81999999999994</v>
      </c>
      <c r="F49" s="2710"/>
      <c r="G49" s="2710">
        <v>588.07100000000003</v>
      </c>
      <c r="H49" s="2710"/>
      <c r="I49" s="2710"/>
      <c r="J49" s="2710"/>
      <c r="K49" s="2710">
        <v>1180.3880000000001</v>
      </c>
      <c r="L49" s="2710"/>
      <c r="M49" s="2710"/>
      <c r="N49" s="2710"/>
      <c r="O49" s="2710">
        <v>568.66599999999994</v>
      </c>
      <c r="P49" s="2710"/>
      <c r="Q49" s="2710"/>
      <c r="R49" s="2710"/>
      <c r="S49" s="2710">
        <v>0</v>
      </c>
      <c r="T49" s="2710"/>
      <c r="U49" s="2710"/>
      <c r="V49" s="2710"/>
      <c r="W49" s="2710">
        <v>0</v>
      </c>
      <c r="X49" s="2710"/>
      <c r="Y49" s="2710"/>
      <c r="Z49" s="2710"/>
      <c r="AA49" s="2710"/>
      <c r="AB49" s="2710"/>
      <c r="AC49" s="4493">
        <v>124.726</v>
      </c>
      <c r="AD49" s="2710"/>
      <c r="AE49" s="2710"/>
      <c r="AF49" s="2710"/>
      <c r="AG49" s="2710">
        <v>0</v>
      </c>
      <c r="AH49" s="2710"/>
      <c r="AI49" s="2710"/>
      <c r="AJ49" s="2710"/>
      <c r="AK49" s="4493">
        <v>0</v>
      </c>
      <c r="AL49" s="2710"/>
      <c r="AM49" s="2710"/>
      <c r="AN49" s="2710"/>
      <c r="AO49" s="2710"/>
      <c r="AP49" s="2710"/>
      <c r="AQ49" s="2710">
        <v>0</v>
      </c>
      <c r="AR49" s="2710"/>
      <c r="AS49" s="2710"/>
      <c r="AT49" s="2710"/>
      <c r="AU49" s="2710"/>
      <c r="AV49" s="2710"/>
      <c r="AW49" s="2710"/>
      <c r="AX49" s="2710"/>
      <c r="AY49" s="2710"/>
      <c r="AZ49" s="2710"/>
      <c r="BA49" s="2710"/>
      <c r="BB49" s="2710">
        <v>566.55200000000002</v>
      </c>
      <c r="BC49" s="2710"/>
      <c r="BD49" s="2710">
        <v>0</v>
      </c>
      <c r="BE49" s="2710">
        <v>3750.2230000000009</v>
      </c>
    </row>
    <row r="50" spans="3:57" ht="15" hidden="1" thickBot="1" x14ac:dyDescent="0.35">
      <c r="C50" s="2596" t="s">
        <v>1401</v>
      </c>
      <c r="D50" s="2596"/>
      <c r="E50" s="2710">
        <v>0</v>
      </c>
      <c r="F50" s="2710"/>
      <c r="G50" s="2710">
        <v>0</v>
      </c>
      <c r="H50" s="2710"/>
      <c r="I50" s="2710"/>
      <c r="J50" s="2710"/>
      <c r="K50" s="2710">
        <v>0</v>
      </c>
      <c r="L50" s="2710"/>
      <c r="M50" s="2710"/>
      <c r="N50" s="2710"/>
      <c r="O50" s="2710">
        <v>0</v>
      </c>
      <c r="P50" s="2710"/>
      <c r="Q50" s="2710"/>
      <c r="R50" s="2710"/>
      <c r="S50" s="2710">
        <v>99.358000000000004</v>
      </c>
      <c r="T50" s="2710"/>
      <c r="U50" s="2710"/>
      <c r="V50" s="2710"/>
      <c r="W50" s="2710">
        <v>298.07399999999996</v>
      </c>
      <c r="X50" s="2710"/>
      <c r="Y50" s="2710"/>
      <c r="Z50" s="2710"/>
      <c r="AA50" s="2710"/>
      <c r="AB50" s="2710"/>
      <c r="AC50" s="4493">
        <v>0</v>
      </c>
      <c r="AD50" s="2710"/>
      <c r="AE50" s="2710"/>
      <c r="AF50" s="2710"/>
      <c r="AG50" s="2710">
        <v>0</v>
      </c>
      <c r="AH50" s="2710"/>
      <c r="AI50" s="2710"/>
      <c r="AJ50" s="2710"/>
      <c r="AK50" s="4493">
        <v>0</v>
      </c>
      <c r="AL50" s="2710"/>
      <c r="AM50" s="2710"/>
      <c r="AN50" s="2710"/>
      <c r="AO50" s="2710"/>
      <c r="AP50" s="2710"/>
      <c r="AQ50" s="2710">
        <v>0</v>
      </c>
      <c r="AR50" s="2710"/>
      <c r="AS50" s="2710"/>
      <c r="AT50" s="2710"/>
      <c r="AU50" s="2710"/>
      <c r="AV50" s="2710"/>
      <c r="AW50" s="2710"/>
      <c r="AX50" s="2710"/>
      <c r="AY50" s="2710"/>
      <c r="AZ50" s="2710"/>
      <c r="BA50" s="2710"/>
      <c r="BB50" s="2710">
        <v>120.498</v>
      </c>
      <c r="BC50" s="2710"/>
      <c r="BD50" s="2710">
        <v>0</v>
      </c>
      <c r="BE50" s="2710">
        <v>517.92999999999995</v>
      </c>
    </row>
    <row r="51" spans="3:57" ht="15" hidden="1" thickBot="1" x14ac:dyDescent="0.35">
      <c r="C51" s="2596" t="s">
        <v>1402</v>
      </c>
      <c r="D51" s="2596"/>
      <c r="E51" s="2710">
        <v>630.53099999999995</v>
      </c>
      <c r="F51" s="2710"/>
      <c r="G51" s="2710">
        <v>0</v>
      </c>
      <c r="H51" s="2710"/>
      <c r="I51" s="2710"/>
      <c r="J51" s="2710"/>
      <c r="K51" s="2710">
        <v>0</v>
      </c>
      <c r="L51" s="2710"/>
      <c r="M51" s="2710"/>
      <c r="N51" s="2710"/>
      <c r="O51" s="2710">
        <v>913.24800000000005</v>
      </c>
      <c r="P51" s="2710"/>
      <c r="Q51" s="2710"/>
      <c r="R51" s="2710"/>
      <c r="S51" s="2710">
        <v>587.69200000000012</v>
      </c>
      <c r="T51" s="2710"/>
      <c r="U51" s="2710"/>
      <c r="V51" s="2710"/>
      <c r="W51" s="2710">
        <v>1143.674</v>
      </c>
      <c r="X51" s="2710"/>
      <c r="Y51" s="2710"/>
      <c r="Z51" s="2710"/>
      <c r="AA51" s="2710"/>
      <c r="AB51" s="2710"/>
      <c r="AC51" s="4493">
        <v>0</v>
      </c>
      <c r="AD51" s="2710"/>
      <c r="AE51" s="2710"/>
      <c r="AF51" s="2710"/>
      <c r="AG51" s="2710">
        <v>127</v>
      </c>
      <c r="AH51" s="2710"/>
      <c r="AI51" s="2710"/>
      <c r="AJ51" s="2710"/>
      <c r="AK51" s="4493">
        <v>0</v>
      </c>
      <c r="AL51" s="2710"/>
      <c r="AM51" s="2710"/>
      <c r="AN51" s="2710"/>
      <c r="AO51" s="2710"/>
      <c r="AP51" s="2710"/>
      <c r="AQ51" s="2710">
        <v>0</v>
      </c>
      <c r="AR51" s="2710"/>
      <c r="AS51" s="2710"/>
      <c r="AT51" s="2710"/>
      <c r="AU51" s="2710"/>
      <c r="AV51" s="2710"/>
      <c r="AW51" s="2710"/>
      <c r="AX51" s="2710"/>
      <c r="AY51" s="2710"/>
      <c r="AZ51" s="2710"/>
      <c r="BA51" s="2710"/>
      <c r="BB51" s="2710">
        <v>255.79400000000001</v>
      </c>
      <c r="BC51" s="2710"/>
      <c r="BD51" s="2710">
        <v>345</v>
      </c>
      <c r="BE51" s="2710">
        <v>4002.9389999999999</v>
      </c>
    </row>
    <row r="52" spans="3:57" ht="15" hidden="1" thickBot="1" x14ac:dyDescent="0.35">
      <c r="C52" s="2596" t="s">
        <v>1403</v>
      </c>
      <c r="D52" s="2596"/>
      <c r="E52" s="2710">
        <v>2897.8950000000004</v>
      </c>
      <c r="F52" s="2710"/>
      <c r="G52" s="2710">
        <v>2766.2690000000007</v>
      </c>
      <c r="H52" s="2710"/>
      <c r="I52" s="2710"/>
      <c r="J52" s="2710"/>
      <c r="K52" s="2710">
        <v>3146.2860000000001</v>
      </c>
      <c r="L52" s="2710"/>
      <c r="M52" s="2710"/>
      <c r="N52" s="2710"/>
      <c r="O52" s="2710">
        <v>3143.5219999999999</v>
      </c>
      <c r="P52" s="2710"/>
      <c r="Q52" s="2710"/>
      <c r="R52" s="2710"/>
      <c r="S52" s="2710">
        <v>0</v>
      </c>
      <c r="T52" s="2710"/>
      <c r="U52" s="2710"/>
      <c r="V52" s="2710"/>
      <c r="W52" s="2710">
        <v>0</v>
      </c>
      <c r="X52" s="2710"/>
      <c r="Y52" s="2710"/>
      <c r="Z52" s="2710"/>
      <c r="AA52" s="2710"/>
      <c r="AB52" s="2710"/>
      <c r="AC52" s="4493">
        <v>1268.4000000000001</v>
      </c>
      <c r="AD52" s="2710"/>
      <c r="AE52" s="2710"/>
      <c r="AF52" s="2710"/>
      <c r="AG52" s="2710">
        <v>1222</v>
      </c>
      <c r="AH52" s="2710"/>
      <c r="AI52" s="2710"/>
      <c r="AJ52" s="2710"/>
      <c r="AK52" s="4493">
        <v>0</v>
      </c>
      <c r="AL52" s="2710"/>
      <c r="AM52" s="2710"/>
      <c r="AN52" s="2710"/>
      <c r="AO52" s="2710"/>
      <c r="AP52" s="2710"/>
      <c r="AQ52" s="2710">
        <v>871</v>
      </c>
      <c r="AR52" s="2710"/>
      <c r="AS52" s="2710"/>
      <c r="AT52" s="2710"/>
      <c r="AU52" s="2710"/>
      <c r="AV52" s="2710"/>
      <c r="AW52" s="2710"/>
      <c r="AX52" s="2710"/>
      <c r="AY52" s="2710"/>
      <c r="AZ52" s="2710"/>
      <c r="BA52" s="2710"/>
      <c r="BB52" s="2710">
        <v>536.95600000000002</v>
      </c>
      <c r="BC52" s="2710"/>
      <c r="BD52" s="2710">
        <v>0</v>
      </c>
      <c r="BE52" s="2710">
        <v>15852.328000000001</v>
      </c>
    </row>
    <row r="53" spans="3:57" ht="15" hidden="1" thickBot="1" x14ac:dyDescent="0.35">
      <c r="C53" s="2596" t="s">
        <v>1404</v>
      </c>
      <c r="D53" s="2596"/>
      <c r="E53" s="2710">
        <v>3662.1749999999997</v>
      </c>
      <c r="F53" s="2710"/>
      <c r="G53" s="2710">
        <v>10029.052</v>
      </c>
      <c r="H53" s="2710"/>
      <c r="I53" s="2710"/>
      <c r="J53" s="2710"/>
      <c r="K53" s="2710">
        <v>3953.0259999999998</v>
      </c>
      <c r="L53" s="2710"/>
      <c r="M53" s="2710"/>
      <c r="N53" s="2710"/>
      <c r="O53" s="2710">
        <v>2753.7340000000008</v>
      </c>
      <c r="P53" s="2710"/>
      <c r="Q53" s="2710"/>
      <c r="R53" s="2710"/>
      <c r="S53" s="2710">
        <v>6862.0440000000008</v>
      </c>
      <c r="T53" s="2710"/>
      <c r="U53" s="2710"/>
      <c r="V53" s="2710"/>
      <c r="W53" s="2710">
        <v>2955.3719999999998</v>
      </c>
      <c r="X53" s="2710"/>
      <c r="Y53" s="2710"/>
      <c r="Z53" s="2710"/>
      <c r="AA53" s="2710"/>
      <c r="AB53" s="2710"/>
      <c r="AC53" s="4493">
        <v>2782.0240000000003</v>
      </c>
      <c r="AD53" s="2710"/>
      <c r="AE53" s="2710"/>
      <c r="AF53" s="2710"/>
      <c r="AG53" s="2710">
        <v>4401</v>
      </c>
      <c r="AH53" s="2710"/>
      <c r="AI53" s="2710"/>
      <c r="AJ53" s="2710"/>
      <c r="AK53" s="4493">
        <v>8596.4</v>
      </c>
      <c r="AL53" s="2710"/>
      <c r="AM53" s="2710"/>
      <c r="AN53" s="2710"/>
      <c r="AO53" s="2710"/>
      <c r="AP53" s="2710"/>
      <c r="AQ53" s="2710">
        <v>4232</v>
      </c>
      <c r="AR53" s="2710"/>
      <c r="AS53" s="2710"/>
      <c r="AT53" s="2710"/>
      <c r="AU53" s="2710"/>
      <c r="AV53" s="2710"/>
      <c r="AW53" s="2710"/>
      <c r="AX53" s="2710"/>
      <c r="AY53" s="2710"/>
      <c r="AZ53" s="2710"/>
      <c r="BA53" s="2710"/>
      <c r="BB53" s="2710">
        <v>2638.2720000000004</v>
      </c>
      <c r="BC53" s="2710"/>
      <c r="BD53" s="2710">
        <v>4040</v>
      </c>
      <c r="BE53" s="2710">
        <v>56905.098999999995</v>
      </c>
    </row>
    <row r="54" spans="3:57" ht="15" hidden="1" thickBot="1" x14ac:dyDescent="0.35">
      <c r="C54" s="2596" t="s">
        <v>1405</v>
      </c>
      <c r="D54" s="2596"/>
      <c r="E54" s="2710">
        <v>1494.5920000000001</v>
      </c>
      <c r="F54" s="2710"/>
      <c r="G54" s="2710">
        <v>0</v>
      </c>
      <c r="H54" s="2710"/>
      <c r="I54" s="2710"/>
      <c r="J54" s="2710"/>
      <c r="K54" s="2710">
        <v>0</v>
      </c>
      <c r="L54" s="2710"/>
      <c r="M54" s="2710"/>
      <c r="N54" s="2710"/>
      <c r="O54" s="2710">
        <v>0</v>
      </c>
      <c r="P54" s="2710"/>
      <c r="Q54" s="2710"/>
      <c r="R54" s="2710"/>
      <c r="S54" s="2710">
        <v>0</v>
      </c>
      <c r="T54" s="2710"/>
      <c r="U54" s="2710"/>
      <c r="V54" s="2710"/>
      <c r="W54" s="2710">
        <v>0</v>
      </c>
      <c r="X54" s="2710"/>
      <c r="Y54" s="2710"/>
      <c r="Z54" s="2710"/>
      <c r="AA54" s="2710"/>
      <c r="AB54" s="2710"/>
      <c r="AC54" s="4493">
        <v>0</v>
      </c>
      <c r="AD54" s="2710"/>
      <c r="AE54" s="2710"/>
      <c r="AF54" s="2710"/>
      <c r="AG54" s="2710">
        <v>693</v>
      </c>
      <c r="AH54" s="2710"/>
      <c r="AI54" s="2710"/>
      <c r="AJ54" s="2710"/>
      <c r="AK54" s="4493">
        <v>3097</v>
      </c>
      <c r="AL54" s="2710"/>
      <c r="AM54" s="2710"/>
      <c r="AN54" s="2710"/>
      <c r="AO54" s="2710"/>
      <c r="AP54" s="2710"/>
      <c r="AQ54" s="2710">
        <v>581</v>
      </c>
      <c r="AR54" s="2710"/>
      <c r="AS54" s="2710"/>
      <c r="AT54" s="2710"/>
      <c r="AU54" s="2710"/>
      <c r="AV54" s="2710"/>
      <c r="AW54" s="2710"/>
      <c r="AX54" s="2710"/>
      <c r="AY54" s="2710"/>
      <c r="AZ54" s="2710"/>
      <c r="BA54" s="2710"/>
      <c r="BB54" s="2710">
        <v>731.44400000000007</v>
      </c>
      <c r="BC54" s="2710"/>
      <c r="BD54" s="2710">
        <v>0</v>
      </c>
      <c r="BE54" s="2710">
        <v>6597.036000000001</v>
      </c>
    </row>
    <row r="55" spans="3:57" ht="15" hidden="1" thickBot="1" x14ac:dyDescent="0.35">
      <c r="C55" s="2596" t="s">
        <v>1384</v>
      </c>
      <c r="D55" s="2596"/>
      <c r="E55" s="2710">
        <v>13151.984999999999</v>
      </c>
      <c r="F55" s="2710"/>
      <c r="G55" s="2710">
        <v>15759.029</v>
      </c>
      <c r="H55" s="2710"/>
      <c r="I55" s="2710"/>
      <c r="J55" s="2710"/>
      <c r="K55" s="2710">
        <v>9969.608000000002</v>
      </c>
      <c r="L55" s="2710"/>
      <c r="M55" s="2710"/>
      <c r="N55" s="2710"/>
      <c r="O55" s="2710">
        <v>13321.243000000002</v>
      </c>
      <c r="P55" s="2710"/>
      <c r="Q55" s="2710"/>
      <c r="R55" s="2710"/>
      <c r="S55" s="2710">
        <v>6217.2740000000013</v>
      </c>
      <c r="T55" s="2710"/>
      <c r="U55" s="2710"/>
      <c r="V55" s="2710"/>
      <c r="W55" s="2710">
        <v>4249.1400000000003</v>
      </c>
      <c r="X55" s="2710"/>
      <c r="Y55" s="2710"/>
      <c r="Z55" s="2710"/>
      <c r="AA55" s="2710"/>
      <c r="AB55" s="2710"/>
      <c r="AC55" s="4493">
        <v>11221.111999999997</v>
      </c>
      <c r="AD55" s="2710"/>
      <c r="AE55" s="2710"/>
      <c r="AF55" s="2710"/>
      <c r="AG55" s="2710">
        <v>9972</v>
      </c>
      <c r="AH55" s="2710"/>
      <c r="AI55" s="2710"/>
      <c r="AJ55" s="2710"/>
      <c r="AK55" s="4493">
        <v>9069</v>
      </c>
      <c r="AL55" s="2710"/>
      <c r="AM55" s="2710"/>
      <c r="AN55" s="2710"/>
      <c r="AO55" s="2710"/>
      <c r="AP55" s="2710"/>
      <c r="AQ55" s="2710">
        <v>5758</v>
      </c>
      <c r="AR55" s="2710"/>
      <c r="AS55" s="2710"/>
      <c r="AT55" s="2710"/>
      <c r="AU55" s="2710"/>
      <c r="AV55" s="2710"/>
      <c r="AW55" s="2710"/>
      <c r="AX55" s="2710"/>
      <c r="AY55" s="2710"/>
      <c r="AZ55" s="2710"/>
      <c r="BA55" s="2710"/>
      <c r="BB55" s="2710">
        <v>8713.1600000000017</v>
      </c>
      <c r="BC55" s="2710"/>
      <c r="BD55" s="2710">
        <v>3457</v>
      </c>
      <c r="BE55" s="2710">
        <v>110858.55100000001</v>
      </c>
    </row>
    <row r="56" spans="3:57" ht="15" hidden="1" thickBot="1" x14ac:dyDescent="0.35">
      <c r="C56" s="2596" t="s">
        <v>1202</v>
      </c>
      <c r="D56" s="2596"/>
      <c r="E56" s="2710">
        <v>4895.6380000000008</v>
      </c>
      <c r="F56" s="2710"/>
      <c r="G56" s="2710">
        <v>4526.2360000000008</v>
      </c>
      <c r="H56" s="2710"/>
      <c r="I56" s="2710"/>
      <c r="J56" s="2710"/>
      <c r="K56" s="2710">
        <v>9409.1360000000004</v>
      </c>
      <c r="L56" s="2710"/>
      <c r="M56" s="2710"/>
      <c r="N56" s="2710"/>
      <c r="O56" s="2710">
        <v>4096.9070000000011</v>
      </c>
      <c r="P56" s="2710"/>
      <c r="Q56" s="2710"/>
      <c r="R56" s="2710"/>
      <c r="S56" s="2710">
        <v>6938.1479999999992</v>
      </c>
      <c r="T56" s="2710"/>
      <c r="U56" s="2710"/>
      <c r="V56" s="2710"/>
      <c r="W56" s="2710">
        <v>9345.9940000000024</v>
      </c>
      <c r="X56" s="2710"/>
      <c r="Y56" s="2710"/>
      <c r="Z56" s="2710"/>
      <c r="AA56" s="2710"/>
      <c r="AB56" s="2710"/>
      <c r="AC56" s="4493">
        <v>11536.097999999998</v>
      </c>
      <c r="AD56" s="2710"/>
      <c r="AE56" s="2710"/>
      <c r="AF56" s="2710"/>
      <c r="AG56" s="2710">
        <v>4427</v>
      </c>
      <c r="AH56" s="2710"/>
      <c r="AI56" s="2710"/>
      <c r="AJ56" s="2710"/>
      <c r="AK56" s="4493">
        <v>2714</v>
      </c>
      <c r="AL56" s="2710"/>
      <c r="AM56" s="2710"/>
      <c r="AN56" s="2710"/>
      <c r="AO56" s="2710"/>
      <c r="AP56" s="2710"/>
      <c r="AQ56" s="2710">
        <v>2448</v>
      </c>
      <c r="AR56" s="2710"/>
      <c r="AS56" s="2710"/>
      <c r="AT56" s="2710"/>
      <c r="AU56" s="2710"/>
      <c r="AV56" s="2710"/>
      <c r="AW56" s="2710"/>
      <c r="AX56" s="2710"/>
      <c r="AY56" s="2710"/>
      <c r="AZ56" s="2710"/>
      <c r="BA56" s="2710"/>
      <c r="BB56" s="2710">
        <v>9931.5719999999965</v>
      </c>
      <c r="BC56" s="2710"/>
      <c r="BD56" s="2710">
        <v>6135</v>
      </c>
      <c r="BE56" s="2710">
        <v>76403.729000000007</v>
      </c>
    </row>
    <row r="57" spans="3:57" ht="15" hidden="1" thickBot="1" x14ac:dyDescent="0.35">
      <c r="C57" s="2596" t="s">
        <v>1203</v>
      </c>
      <c r="D57" s="2596"/>
      <c r="E57" s="2710">
        <v>74606.466</v>
      </c>
      <c r="F57" s="2710"/>
      <c r="G57" s="2710">
        <v>62184.792999999976</v>
      </c>
      <c r="H57" s="2710"/>
      <c r="I57" s="2710"/>
      <c r="J57" s="2710"/>
      <c r="K57" s="2710">
        <v>57066.240000000085</v>
      </c>
      <c r="L57" s="2710"/>
      <c r="M57" s="2710"/>
      <c r="N57" s="2710"/>
      <c r="O57" s="2710">
        <v>81044.896000000022</v>
      </c>
      <c r="P57" s="2710"/>
      <c r="Q57" s="2710"/>
      <c r="R57" s="2710"/>
      <c r="S57" s="2710">
        <v>79862.691999999952</v>
      </c>
      <c r="T57" s="2710"/>
      <c r="U57" s="2710"/>
      <c r="V57" s="2710"/>
      <c r="W57" s="2710">
        <v>73550.288000000059</v>
      </c>
      <c r="X57" s="2710"/>
      <c r="Y57" s="2710"/>
      <c r="Z57" s="2710"/>
      <c r="AA57" s="2710"/>
      <c r="AB57" s="2710"/>
      <c r="AC57" s="4493">
        <v>66265.444000000032</v>
      </c>
      <c r="AD57" s="2710"/>
      <c r="AE57" s="2710"/>
      <c r="AF57" s="2710"/>
      <c r="AG57" s="2710">
        <v>60441</v>
      </c>
      <c r="AH57" s="2710"/>
      <c r="AI57" s="2710"/>
      <c r="AJ57" s="2710"/>
      <c r="AK57" s="4493">
        <v>65319.4</v>
      </c>
      <c r="AL57" s="2710"/>
      <c r="AM57" s="2710"/>
      <c r="AN57" s="2710"/>
      <c r="AO57" s="2710"/>
      <c r="AP57" s="2710"/>
      <c r="AQ57" s="2710">
        <v>73720</v>
      </c>
      <c r="AR57" s="2710"/>
      <c r="AS57" s="2710"/>
      <c r="AT57" s="2710"/>
      <c r="AU57" s="2710"/>
      <c r="AV57" s="2710"/>
      <c r="AW57" s="2710"/>
      <c r="AX57" s="2710"/>
      <c r="AY57" s="2710"/>
      <c r="AZ57" s="2710"/>
      <c r="BA57" s="2710"/>
      <c r="BB57" s="2710">
        <v>74292.301999999981</v>
      </c>
      <c r="BC57" s="2710"/>
      <c r="BD57" s="2710">
        <v>76611</v>
      </c>
      <c r="BE57" s="2710">
        <v>844964.52100000018</v>
      </c>
    </row>
    <row r="58" spans="3:57" ht="15" hidden="1" thickBot="1" x14ac:dyDescent="0.35">
      <c r="C58" s="2596" t="s">
        <v>1519</v>
      </c>
      <c r="D58" s="2596"/>
      <c r="E58" s="2710">
        <v>0</v>
      </c>
      <c r="F58" s="2710"/>
      <c r="G58" s="2710">
        <v>0</v>
      </c>
      <c r="H58" s="2710"/>
      <c r="I58" s="2710"/>
      <c r="J58" s="2710"/>
      <c r="K58" s="2710">
        <v>0</v>
      </c>
      <c r="L58" s="2710"/>
      <c r="M58" s="2710"/>
      <c r="N58" s="2710"/>
      <c r="O58" s="2710">
        <v>0</v>
      </c>
      <c r="P58" s="2710"/>
      <c r="Q58" s="2710"/>
      <c r="R58" s="2710"/>
      <c r="S58" s="2710">
        <v>1519.9659999999999</v>
      </c>
      <c r="T58" s="2710"/>
      <c r="U58" s="2710"/>
      <c r="V58" s="2710"/>
      <c r="W58" s="2710">
        <v>1329.7059999999999</v>
      </c>
      <c r="X58" s="2710"/>
      <c r="Y58" s="2710"/>
      <c r="Z58" s="2710"/>
      <c r="AA58" s="2710"/>
      <c r="AB58" s="2710"/>
      <c r="AC58" s="4493">
        <v>0</v>
      </c>
      <c r="AD58" s="2710"/>
      <c r="AE58" s="2710"/>
      <c r="AF58" s="2710"/>
      <c r="AG58" s="2710"/>
      <c r="AH58" s="2710"/>
      <c r="AI58" s="2710"/>
      <c r="AJ58" s="2710"/>
      <c r="AK58" s="4493">
        <v>0</v>
      </c>
      <c r="AL58" s="2710"/>
      <c r="AM58" s="2710"/>
      <c r="AN58" s="2710"/>
      <c r="AO58" s="2710"/>
      <c r="AP58" s="2710"/>
      <c r="AQ58" s="2710">
        <v>0</v>
      </c>
      <c r="AR58" s="2710"/>
      <c r="AS58" s="2710"/>
      <c r="AT58" s="2710"/>
      <c r="AU58" s="2710"/>
      <c r="AV58" s="2710"/>
      <c r="AW58" s="2710"/>
      <c r="AX58" s="2710"/>
      <c r="AY58" s="2710"/>
      <c r="AZ58" s="2710"/>
      <c r="BA58" s="2710"/>
      <c r="BB58" s="2710">
        <v>0</v>
      </c>
      <c r="BC58" s="2710"/>
      <c r="BD58" s="2710">
        <v>0</v>
      </c>
      <c r="BE58" s="2710">
        <v>2849.6719999999996</v>
      </c>
    </row>
    <row r="59" spans="3:57" ht="15" hidden="1" thickBot="1" x14ac:dyDescent="0.35">
      <c r="C59" s="2596" t="s">
        <v>1437</v>
      </c>
      <c r="D59" s="2596"/>
      <c r="E59" s="2710">
        <v>0</v>
      </c>
      <c r="F59" s="2710"/>
      <c r="G59" s="2710">
        <v>0</v>
      </c>
      <c r="H59" s="2710"/>
      <c r="I59" s="2710"/>
      <c r="J59" s="2710"/>
      <c r="K59" s="2710">
        <v>267.49799999999999</v>
      </c>
      <c r="L59" s="2710"/>
      <c r="M59" s="2710"/>
      <c r="N59" s="2710"/>
      <c r="O59" s="2710">
        <v>1533.847</v>
      </c>
      <c r="P59" s="2710"/>
      <c r="Q59" s="2710"/>
      <c r="R59" s="2710"/>
      <c r="S59" s="2710">
        <v>1179.6119999999999</v>
      </c>
      <c r="T59" s="2710"/>
      <c r="U59" s="2710"/>
      <c r="V59" s="2710"/>
      <c r="W59" s="2710">
        <v>1327.5919999999996</v>
      </c>
      <c r="X59" s="2710"/>
      <c r="Y59" s="2710"/>
      <c r="Z59" s="2710"/>
      <c r="AA59" s="2710"/>
      <c r="AB59" s="2710"/>
      <c r="AC59" s="4493">
        <v>1773.646</v>
      </c>
      <c r="AD59" s="2710"/>
      <c r="AE59" s="2710"/>
      <c r="AF59" s="2710"/>
      <c r="AG59" s="2710">
        <v>1753</v>
      </c>
      <c r="AH59" s="2710"/>
      <c r="AI59" s="2710"/>
      <c r="AJ59" s="2710"/>
      <c r="AK59" s="4493">
        <v>744.3</v>
      </c>
      <c r="AL59" s="2710"/>
      <c r="AM59" s="2710"/>
      <c r="AN59" s="2710"/>
      <c r="AO59" s="2710"/>
      <c r="AP59" s="2710"/>
      <c r="AQ59" s="2710">
        <v>879</v>
      </c>
      <c r="AR59" s="2710"/>
      <c r="AS59" s="2710"/>
      <c r="AT59" s="2710"/>
      <c r="AU59" s="2710"/>
      <c r="AV59" s="2710"/>
      <c r="AW59" s="2710"/>
      <c r="AX59" s="2710"/>
      <c r="AY59" s="2710"/>
      <c r="AZ59" s="2710"/>
      <c r="BA59" s="2710"/>
      <c r="BB59" s="2710">
        <v>1902.6000000000004</v>
      </c>
      <c r="BC59" s="2710"/>
      <c r="BD59" s="2710">
        <v>0</v>
      </c>
      <c r="BE59" s="2710">
        <v>11361.094999999999</v>
      </c>
    </row>
    <row r="60" spans="3:57" ht="15" hidden="1" thickBot="1" x14ac:dyDescent="0.35">
      <c r="C60" s="2596" t="s">
        <v>1497</v>
      </c>
      <c r="D60" s="2596"/>
      <c r="E60" s="2710">
        <v>0</v>
      </c>
      <c r="F60" s="2710"/>
      <c r="G60" s="2710">
        <v>0</v>
      </c>
      <c r="H60" s="2710"/>
      <c r="I60" s="2710"/>
      <c r="J60" s="2710"/>
      <c r="K60" s="2710">
        <v>0</v>
      </c>
      <c r="L60" s="2710"/>
      <c r="M60" s="2710"/>
      <c r="N60" s="2710"/>
      <c r="O60" s="2710">
        <v>412.22999999999996</v>
      </c>
      <c r="P60" s="2710"/>
      <c r="Q60" s="2710"/>
      <c r="R60" s="2710"/>
      <c r="S60" s="2710">
        <v>0</v>
      </c>
      <c r="T60" s="2710"/>
      <c r="U60" s="2710"/>
      <c r="V60" s="2710"/>
      <c r="W60" s="2710">
        <v>0</v>
      </c>
      <c r="X60" s="2710"/>
      <c r="Y60" s="2710"/>
      <c r="Z60" s="2710"/>
      <c r="AA60" s="2710"/>
      <c r="AB60" s="2710"/>
      <c r="AC60" s="4493">
        <v>0</v>
      </c>
      <c r="AD60" s="2710"/>
      <c r="AE60" s="2710"/>
      <c r="AF60" s="2710"/>
      <c r="AG60" s="2710">
        <v>0</v>
      </c>
      <c r="AH60" s="2710"/>
      <c r="AI60" s="2710"/>
      <c r="AJ60" s="2710"/>
      <c r="AK60" s="4493">
        <v>0</v>
      </c>
      <c r="AL60" s="2710"/>
      <c r="AM60" s="2710"/>
      <c r="AN60" s="2710"/>
      <c r="AO60" s="2710"/>
      <c r="AP60" s="2710"/>
      <c r="AQ60" s="2710">
        <v>0</v>
      </c>
      <c r="AR60" s="2710"/>
      <c r="AS60" s="2710"/>
      <c r="AT60" s="2710"/>
      <c r="AU60" s="2710"/>
      <c r="AV60" s="2710"/>
      <c r="AW60" s="2710"/>
      <c r="AX60" s="2710"/>
      <c r="AY60" s="2710"/>
      <c r="AZ60" s="2710"/>
      <c r="BA60" s="2710"/>
      <c r="BB60" s="2710">
        <v>0</v>
      </c>
      <c r="BC60" s="2710"/>
      <c r="BD60" s="2710">
        <v>0</v>
      </c>
      <c r="BE60" s="2710">
        <v>412.22999999999996</v>
      </c>
    </row>
    <row r="61" spans="3:57" ht="15" hidden="1" thickBot="1" x14ac:dyDescent="0.35">
      <c r="C61" s="2596" t="s">
        <v>1495</v>
      </c>
      <c r="D61" s="2596"/>
      <c r="E61" s="2710">
        <v>0</v>
      </c>
      <c r="F61" s="2710"/>
      <c r="G61" s="2710">
        <v>0</v>
      </c>
      <c r="H61" s="2710"/>
      <c r="I61" s="2710"/>
      <c r="J61" s="2710"/>
      <c r="K61" s="2710">
        <v>0</v>
      </c>
      <c r="L61" s="2710"/>
      <c r="M61" s="2710"/>
      <c r="N61" s="2710"/>
      <c r="O61" s="2710">
        <v>309.95799999999997</v>
      </c>
      <c r="P61" s="2710"/>
      <c r="Q61" s="2710"/>
      <c r="R61" s="2710"/>
      <c r="S61" s="2710">
        <v>302.30200000000002</v>
      </c>
      <c r="T61" s="2710"/>
      <c r="U61" s="2710"/>
      <c r="V61" s="2710"/>
      <c r="W61" s="2710">
        <v>0</v>
      </c>
      <c r="X61" s="2710"/>
      <c r="Y61" s="2710"/>
      <c r="Z61" s="2710"/>
      <c r="AA61" s="2710"/>
      <c r="AB61" s="2710"/>
      <c r="AC61" s="4493">
        <v>0</v>
      </c>
      <c r="AD61" s="2710"/>
      <c r="AE61" s="2710"/>
      <c r="AF61" s="2710"/>
      <c r="AG61" s="2710">
        <v>0</v>
      </c>
      <c r="AH61" s="2710"/>
      <c r="AI61" s="2710"/>
      <c r="AJ61" s="2710"/>
      <c r="AK61" s="4493">
        <v>0</v>
      </c>
      <c r="AL61" s="2710"/>
      <c r="AM61" s="2710"/>
      <c r="AN61" s="2710"/>
      <c r="AO61" s="2710"/>
      <c r="AP61" s="2710"/>
      <c r="AQ61" s="2710">
        <v>0</v>
      </c>
      <c r="AR61" s="2710"/>
      <c r="AS61" s="2710"/>
      <c r="AT61" s="2710"/>
      <c r="AU61" s="2710"/>
      <c r="AV61" s="2710"/>
      <c r="AW61" s="2710"/>
      <c r="AX61" s="2710"/>
      <c r="AY61" s="2710"/>
      <c r="AZ61" s="2710"/>
      <c r="BA61" s="2710"/>
      <c r="BB61" s="2710">
        <v>0</v>
      </c>
      <c r="BC61" s="2710"/>
      <c r="BD61" s="2710">
        <v>0</v>
      </c>
      <c r="BE61" s="2710">
        <v>612.26</v>
      </c>
    </row>
    <row r="62" spans="3:57" ht="15" hidden="1" thickBot="1" x14ac:dyDescent="0.35">
      <c r="C62" s="2596" t="s">
        <v>1204</v>
      </c>
      <c r="D62" s="2596"/>
      <c r="E62" s="2710">
        <v>2511.5090000000014</v>
      </c>
      <c r="F62" s="2710"/>
      <c r="G62" s="2710">
        <v>978.90300000000002</v>
      </c>
      <c r="H62" s="2710"/>
      <c r="I62" s="2710"/>
      <c r="J62" s="2710"/>
      <c r="K62" s="2710">
        <v>2725.9320000000007</v>
      </c>
      <c r="L62" s="2710"/>
      <c r="M62" s="2710"/>
      <c r="N62" s="2710"/>
      <c r="O62" s="2710">
        <v>2674.2389999999996</v>
      </c>
      <c r="P62" s="2710"/>
      <c r="Q62" s="2710"/>
      <c r="R62" s="2710"/>
      <c r="S62" s="2710">
        <v>1684.8579999999997</v>
      </c>
      <c r="T62" s="2710"/>
      <c r="U62" s="2710"/>
      <c r="V62" s="2710"/>
      <c r="W62" s="2710">
        <v>1492.4840000000002</v>
      </c>
      <c r="X62" s="2710"/>
      <c r="Y62" s="2710"/>
      <c r="Z62" s="2710"/>
      <c r="AA62" s="2710"/>
      <c r="AB62" s="2710"/>
      <c r="AC62" s="4493">
        <v>1291.6540000000005</v>
      </c>
      <c r="AD62" s="2710"/>
      <c r="AE62" s="2710"/>
      <c r="AF62" s="2710"/>
      <c r="AG62" s="2710">
        <v>2182</v>
      </c>
      <c r="AH62" s="2710"/>
      <c r="AI62" s="2710"/>
      <c r="AJ62" s="2710"/>
      <c r="AK62" s="4493">
        <v>2429</v>
      </c>
      <c r="AL62" s="2710"/>
      <c r="AM62" s="2710"/>
      <c r="AN62" s="2710"/>
      <c r="AO62" s="2710"/>
      <c r="AP62" s="2710"/>
      <c r="AQ62" s="2710">
        <v>2216</v>
      </c>
      <c r="AR62" s="2710"/>
      <c r="AS62" s="2710"/>
      <c r="AT62" s="2710"/>
      <c r="AU62" s="2710"/>
      <c r="AV62" s="2710"/>
      <c r="AW62" s="2710"/>
      <c r="AX62" s="2710"/>
      <c r="AY62" s="2710"/>
      <c r="AZ62" s="2710"/>
      <c r="BA62" s="2710"/>
      <c r="BB62" s="2710">
        <v>2449.6199999999994</v>
      </c>
      <c r="BC62" s="2710"/>
      <c r="BD62" s="2710">
        <v>1717</v>
      </c>
      <c r="BE62" s="2710">
        <v>24353.199000000004</v>
      </c>
    </row>
    <row r="63" spans="3:57" ht="15" hidden="1" thickBot="1" x14ac:dyDescent="0.35">
      <c r="C63" s="2596" t="s">
        <v>1205</v>
      </c>
      <c r="D63" s="2596"/>
      <c r="E63" s="2710">
        <v>1053.008</v>
      </c>
      <c r="F63" s="2710"/>
      <c r="G63" s="2710">
        <v>0</v>
      </c>
      <c r="H63" s="2710"/>
      <c r="I63" s="2710"/>
      <c r="J63" s="2710"/>
      <c r="K63" s="2710">
        <v>827.97</v>
      </c>
      <c r="L63" s="2710"/>
      <c r="M63" s="2710"/>
      <c r="N63" s="2710"/>
      <c r="O63" s="2710">
        <v>178.33199999999999</v>
      </c>
      <c r="P63" s="2710"/>
      <c r="Q63" s="2710"/>
      <c r="R63" s="2710"/>
      <c r="S63" s="2710">
        <v>0</v>
      </c>
      <c r="T63" s="2710"/>
      <c r="U63" s="2710"/>
      <c r="V63" s="2710"/>
      <c r="W63" s="2710">
        <v>181.804</v>
      </c>
      <c r="X63" s="2710"/>
      <c r="Y63" s="2710"/>
      <c r="Z63" s="2710"/>
      <c r="AA63" s="2710"/>
      <c r="AB63" s="2710"/>
      <c r="AC63" s="4493">
        <v>338.24</v>
      </c>
      <c r="AD63" s="2710"/>
      <c r="AE63" s="2710"/>
      <c r="AF63" s="2710"/>
      <c r="AG63" s="2710">
        <v>340</v>
      </c>
      <c r="AH63" s="2710"/>
      <c r="AI63" s="2710"/>
      <c r="AJ63" s="2710"/>
      <c r="AK63" s="4493">
        <v>0</v>
      </c>
      <c r="AL63" s="2710"/>
      <c r="AM63" s="2710"/>
      <c r="AN63" s="2710"/>
      <c r="AO63" s="2710"/>
      <c r="AP63" s="2710"/>
      <c r="AQ63" s="2710">
        <v>1214</v>
      </c>
      <c r="AR63" s="2710"/>
      <c r="AS63" s="2710"/>
      <c r="AT63" s="2710"/>
      <c r="AU63" s="2710"/>
      <c r="AV63" s="2710"/>
      <c r="AW63" s="2710"/>
      <c r="AX63" s="2710"/>
      <c r="AY63" s="2710"/>
      <c r="AZ63" s="2710"/>
      <c r="BA63" s="2710"/>
      <c r="BB63" s="2710">
        <v>661.6819999999999</v>
      </c>
      <c r="BC63" s="2710"/>
      <c r="BD63" s="2710">
        <v>178</v>
      </c>
      <c r="BE63" s="2710">
        <v>4973.0360000000001</v>
      </c>
    </row>
    <row r="64" spans="3:57" ht="15" hidden="1" thickBot="1" x14ac:dyDescent="0.35">
      <c r="C64" s="2596" t="s">
        <v>1709</v>
      </c>
      <c r="D64" s="2596"/>
      <c r="E64" s="2710">
        <v>1659.586</v>
      </c>
      <c r="F64" s="2710"/>
      <c r="G64" s="2710">
        <v>694.22099999999978</v>
      </c>
      <c r="H64" s="2710"/>
      <c r="I64" s="2710"/>
      <c r="J64" s="2710"/>
      <c r="K64" s="2710">
        <v>1278.0460000000005</v>
      </c>
      <c r="L64" s="2710"/>
      <c r="M64" s="2710"/>
      <c r="N64" s="2710"/>
      <c r="O64" s="2710">
        <v>1695.4650000000004</v>
      </c>
      <c r="P64" s="2710"/>
      <c r="Q64" s="2710"/>
      <c r="R64" s="2710"/>
      <c r="S64" s="2710">
        <v>1471.3440000000005</v>
      </c>
      <c r="T64" s="2710"/>
      <c r="U64" s="2710"/>
      <c r="V64" s="2710"/>
      <c r="W64" s="2710">
        <v>1340.2760000000007</v>
      </c>
      <c r="X64" s="2710"/>
      <c r="Y64" s="2710"/>
      <c r="Z64" s="2710"/>
      <c r="AA64" s="2710"/>
      <c r="AB64" s="2710"/>
      <c r="AC64" s="4493">
        <v>1555.9040000000009</v>
      </c>
      <c r="AD64" s="2710"/>
      <c r="AE64" s="2710"/>
      <c r="AF64" s="2710"/>
      <c r="AG64" s="2710">
        <v>1742</v>
      </c>
      <c r="AH64" s="2710"/>
      <c r="AI64" s="2710"/>
      <c r="AJ64" s="2710"/>
      <c r="AK64" s="4493">
        <v>1268.6999999999998</v>
      </c>
      <c r="AL64" s="2710"/>
      <c r="AM64" s="2710"/>
      <c r="AN64" s="2710"/>
      <c r="AO64" s="2710"/>
      <c r="AP64" s="2710"/>
      <c r="AQ64" s="2710">
        <v>962</v>
      </c>
      <c r="AR64" s="2710"/>
      <c r="AS64" s="2710"/>
      <c r="AT64" s="2710"/>
      <c r="AU64" s="2710"/>
      <c r="AV64" s="2710"/>
      <c r="AW64" s="2710"/>
      <c r="AX64" s="2710"/>
      <c r="AY64" s="2710"/>
      <c r="AZ64" s="2710"/>
      <c r="BA64" s="2710"/>
      <c r="BB64" s="2710">
        <v>2474.9680000000017</v>
      </c>
      <c r="BC64" s="2710"/>
      <c r="BD64" s="2710">
        <v>1674</v>
      </c>
      <c r="BE64" s="2710">
        <v>17816.510000000002</v>
      </c>
    </row>
    <row r="65" spans="3:57" ht="15" hidden="1" thickBot="1" x14ac:dyDescent="0.35">
      <c r="C65" s="2711" t="s">
        <v>2</v>
      </c>
      <c r="D65" s="2711"/>
      <c r="E65" s="2712">
        <v>163540.45900000003</v>
      </c>
      <c r="F65" s="2712"/>
      <c r="G65" s="2712">
        <v>138084.56599999996</v>
      </c>
      <c r="H65" s="2712"/>
      <c r="I65" s="2712"/>
      <c r="J65" s="2712"/>
      <c r="K65" s="2712">
        <v>141733.60300000009</v>
      </c>
      <c r="L65" s="2712"/>
      <c r="M65" s="2712"/>
      <c r="N65" s="2712"/>
      <c r="O65" s="2712">
        <v>174925.65500000006</v>
      </c>
      <c r="P65" s="2712"/>
      <c r="Q65" s="2712"/>
      <c r="R65" s="2712"/>
      <c r="S65" s="2712">
        <v>173405.07799999992</v>
      </c>
      <c r="T65" s="2712"/>
      <c r="U65" s="2712"/>
      <c r="V65" s="2712"/>
      <c r="W65" s="2712">
        <v>162154.37000000011</v>
      </c>
      <c r="X65" s="2712"/>
      <c r="Y65" s="2712"/>
      <c r="Z65" s="2712"/>
      <c r="AA65" s="2712"/>
      <c r="AB65" s="2712"/>
      <c r="AC65" s="4494">
        <v>167965.75599999999</v>
      </c>
      <c r="AD65" s="2712"/>
      <c r="AE65" s="2712"/>
      <c r="AF65" s="2712"/>
      <c r="AG65" s="2712">
        <v>142793</v>
      </c>
      <c r="AH65" s="2712"/>
      <c r="AI65" s="2712"/>
      <c r="AJ65" s="2712"/>
      <c r="AK65" s="4494">
        <v>164344.19999999998</v>
      </c>
      <c r="AL65" s="2712"/>
      <c r="AM65" s="2712"/>
      <c r="AN65" s="2712"/>
      <c r="AO65" s="2712"/>
      <c r="AP65" s="2712"/>
      <c r="AQ65" s="2712">
        <v>162717</v>
      </c>
      <c r="AR65" s="2712"/>
      <c r="AS65" s="2712"/>
      <c r="AT65" s="2712"/>
      <c r="AU65" s="2712"/>
      <c r="AV65" s="2712"/>
      <c r="AW65" s="2712"/>
      <c r="AX65" s="2712"/>
      <c r="AY65" s="2712"/>
      <c r="AZ65" s="2712"/>
      <c r="BA65" s="2712"/>
      <c r="BB65" s="2712">
        <v>162199.09799999997</v>
      </c>
      <c r="BC65" s="2712"/>
      <c r="BD65" s="2712">
        <v>164513</v>
      </c>
      <c r="BE65" s="2712">
        <v>1918375.7850000004</v>
      </c>
    </row>
    <row r="66" spans="3:57" ht="24" thickBot="1" x14ac:dyDescent="0.5">
      <c r="C66" s="6341" t="s">
        <v>1710</v>
      </c>
      <c r="D66" s="6342"/>
      <c r="E66" s="6342"/>
      <c r="F66" s="6342"/>
      <c r="G66" s="6342"/>
      <c r="H66" s="6342"/>
      <c r="I66" s="6342"/>
      <c r="J66" s="6342"/>
      <c r="K66" s="6342"/>
      <c r="L66" s="6342"/>
      <c r="M66" s="6342"/>
      <c r="N66" s="6342"/>
      <c r="O66" s="6342"/>
      <c r="P66" s="6342"/>
      <c r="Q66" s="6342"/>
      <c r="R66" s="6342"/>
      <c r="S66" s="6342"/>
      <c r="T66" s="6342"/>
      <c r="U66" s="6342"/>
      <c r="V66" s="6342"/>
      <c r="W66" s="6342"/>
      <c r="X66" s="6342"/>
      <c r="Y66" s="6342"/>
      <c r="Z66" s="6342"/>
      <c r="AA66" s="6342"/>
      <c r="AB66" s="6342"/>
      <c r="AC66" s="6342"/>
      <c r="AD66" s="6342"/>
      <c r="AE66" s="6342"/>
      <c r="AF66" s="6342"/>
      <c r="AG66" s="6342"/>
      <c r="AH66" s="6342"/>
      <c r="AI66" s="6342"/>
      <c r="AJ66" s="6342"/>
      <c r="AK66" s="6342"/>
      <c r="AL66" s="6342"/>
      <c r="AM66" s="6342"/>
      <c r="AN66" s="6342"/>
      <c r="AO66" s="6342"/>
      <c r="AP66" s="6342"/>
      <c r="AQ66" s="6342"/>
      <c r="AR66" s="6342"/>
      <c r="AS66" s="6342"/>
      <c r="AT66" s="6342"/>
      <c r="AU66" s="6342"/>
      <c r="AV66" s="6342"/>
      <c r="AW66" s="6342"/>
      <c r="AX66" s="6342"/>
      <c r="AY66" s="6342"/>
      <c r="AZ66" s="6342"/>
      <c r="BA66" s="6342"/>
      <c r="BB66" s="6342"/>
      <c r="BC66" s="6342"/>
      <c r="BD66" s="6342"/>
      <c r="BE66" s="6343"/>
    </row>
    <row r="67" spans="3:57" ht="15.6" x14ac:dyDescent="0.3">
      <c r="C67" s="2713"/>
      <c r="D67" s="2733"/>
      <c r="E67" s="2714" t="s">
        <v>1991</v>
      </c>
      <c r="F67" s="6344" t="s">
        <v>2020</v>
      </c>
      <c r="G67" s="6345"/>
      <c r="H67" s="6344" t="s">
        <v>658</v>
      </c>
      <c r="I67" s="6345"/>
      <c r="J67" s="6344" t="s">
        <v>2030</v>
      </c>
      <c r="K67" s="6345"/>
      <c r="L67" s="6344" t="s">
        <v>637</v>
      </c>
      <c r="M67" s="6345"/>
      <c r="N67" s="6344" t="s">
        <v>2031</v>
      </c>
      <c r="O67" s="6345"/>
      <c r="P67" s="6344" t="s">
        <v>651</v>
      </c>
      <c r="Q67" s="6345"/>
      <c r="R67" s="6344" t="s">
        <v>2032</v>
      </c>
      <c r="S67" s="6345"/>
      <c r="T67" s="6344" t="s">
        <v>830</v>
      </c>
      <c r="U67" s="6345"/>
      <c r="V67" s="6344" t="s">
        <v>2033</v>
      </c>
      <c r="W67" s="6345"/>
      <c r="X67" s="6344" t="s">
        <v>660</v>
      </c>
      <c r="Y67" s="6345"/>
      <c r="Z67" s="6344" t="s">
        <v>657</v>
      </c>
      <c r="AA67" s="6345"/>
      <c r="AB67" s="6344" t="s">
        <v>2034</v>
      </c>
      <c r="AC67" s="6345"/>
      <c r="AD67" s="6344" t="s">
        <v>1090</v>
      </c>
      <c r="AE67" s="6345"/>
      <c r="AF67" s="6344" t="s">
        <v>2035</v>
      </c>
      <c r="AG67" s="6345"/>
      <c r="AH67" s="6344" t="s">
        <v>1599</v>
      </c>
      <c r="AI67" s="6345"/>
      <c r="AJ67" s="6344" t="s">
        <v>2036</v>
      </c>
      <c r="AK67" s="6345"/>
      <c r="AL67" s="6344" t="s">
        <v>662</v>
      </c>
      <c r="AM67" s="6345"/>
      <c r="AN67" s="6344" t="s">
        <v>908</v>
      </c>
      <c r="AO67" s="6345"/>
      <c r="AP67" s="6344" t="s">
        <v>2037</v>
      </c>
      <c r="AQ67" s="6345"/>
      <c r="AR67" s="6344" t="s">
        <v>1631</v>
      </c>
      <c r="AS67" s="6345"/>
      <c r="AT67" s="6344" t="s">
        <v>2038</v>
      </c>
      <c r="AU67" s="6345"/>
      <c r="AV67" s="6344" t="s">
        <v>1637</v>
      </c>
      <c r="AW67" s="6345"/>
      <c r="AX67" s="6344" t="s">
        <v>2039</v>
      </c>
      <c r="AY67" s="6345"/>
      <c r="AZ67" s="6344" t="s">
        <v>663</v>
      </c>
      <c r="BA67" s="6345"/>
      <c r="BB67" s="6344" t="s">
        <v>670</v>
      </c>
      <c r="BC67" s="6345"/>
      <c r="BD67" s="6344" t="s">
        <v>2041</v>
      </c>
      <c r="BE67" s="6345"/>
    </row>
    <row r="68" spans="3:57" x14ac:dyDescent="0.3">
      <c r="C68" s="2" t="s">
        <v>1653</v>
      </c>
      <c r="D68" s="299"/>
      <c r="E68" s="4831">
        <f>+'GRD SUMM RCL 150X150 '!AU9</f>
        <v>0</v>
      </c>
      <c r="F68" s="2710"/>
      <c r="G68" s="4831">
        <f>+'GRD SUMM RCL 150X150 '!AW9</f>
        <v>258</v>
      </c>
      <c r="H68" s="2710"/>
      <c r="I68" s="2710">
        <f>+E68+G68</f>
        <v>258</v>
      </c>
      <c r="J68" s="2710"/>
      <c r="K68" s="4831">
        <f>+'GRD SUMM RCL 150X150 '!BA9</f>
        <v>0</v>
      </c>
      <c r="L68" s="2710"/>
      <c r="M68" s="2710">
        <f>+E68+G68+K68</f>
        <v>258</v>
      </c>
      <c r="N68" s="2710"/>
      <c r="O68" s="4831">
        <f>+'GRD SUMM RCL 150X150 '!BE9</f>
        <v>560</v>
      </c>
      <c r="P68" s="2710"/>
      <c r="Q68" s="2710">
        <f>+O68+K68+G68+E68</f>
        <v>818</v>
      </c>
      <c r="R68" s="2710"/>
      <c r="S68" s="4831">
        <f>+'GRD SUMM RCL 150X150 '!BI9</f>
        <v>0</v>
      </c>
      <c r="T68" s="2710"/>
      <c r="U68" s="2710">
        <f>+S68+O68+K68+G68+E68</f>
        <v>818</v>
      </c>
      <c r="V68" s="2710"/>
      <c r="W68" s="4831">
        <f>+'GRD SUMM RCL 150X150 '!BM9</f>
        <v>0</v>
      </c>
      <c r="X68" s="2710"/>
      <c r="Y68" s="2710">
        <f>+W68+S68+O68</f>
        <v>560</v>
      </c>
      <c r="Z68" s="2710"/>
      <c r="AA68" s="2710">
        <f>+E68+G68+K68+O68+S68+W68</f>
        <v>818</v>
      </c>
      <c r="AB68" s="2710"/>
      <c r="AC68" s="4831">
        <f>+'GRD SUMM RCL 150X150 '!BS9</f>
        <v>0</v>
      </c>
      <c r="AD68" s="2710"/>
      <c r="AE68" s="2710">
        <f>+AC68+W68+S68+O68+K68+G68+E68</f>
        <v>818</v>
      </c>
      <c r="AF68" s="2710"/>
      <c r="AG68" s="4831">
        <f>+'GRD SUMM RCL 150X150 '!BW9</f>
        <v>0</v>
      </c>
      <c r="AH68" s="2710"/>
      <c r="AI68" s="2710">
        <f>+AG68+AC68+W68+S68+O68+K68+G68+E68</f>
        <v>818</v>
      </c>
      <c r="AJ68" s="2710"/>
      <c r="AK68" s="5437">
        <f>+'GRD SUMM RCL 150X150 '!CA9</f>
        <v>436</v>
      </c>
      <c r="AL68" s="2710"/>
      <c r="AM68" s="2710">
        <f>+AK68+AG68+AC68</f>
        <v>436</v>
      </c>
      <c r="AN68" s="2710"/>
      <c r="AO68" s="2710">
        <f>+AK68+AG68+AC68+W68+S68+O68+K68+G68+E68</f>
        <v>1254</v>
      </c>
      <c r="AP68" s="2710"/>
      <c r="AQ68" s="4831">
        <f>+'GRD SUMM RCL 150X150 '!CG9</f>
        <v>0</v>
      </c>
      <c r="AR68" s="2710"/>
      <c r="AS68" s="2710">
        <f>+AO68+AQ68</f>
        <v>1254</v>
      </c>
      <c r="AT68" s="2710"/>
      <c r="AU68" s="4831">
        <f>+'GRD SUMM RCL 150X150 '!CK9</f>
        <v>0</v>
      </c>
      <c r="AV68" s="2710"/>
      <c r="AW68" s="2710">
        <f>+AS68+AU68</f>
        <v>1254</v>
      </c>
      <c r="AX68" s="2710"/>
      <c r="AY68" s="4831">
        <f>+'GRD SUMM RCL 150X150 '!CO9</f>
        <v>0</v>
      </c>
      <c r="AZ68" s="2710"/>
      <c r="BA68" s="4831">
        <f>+AY68+AU68+AQ68</f>
        <v>0</v>
      </c>
      <c r="BB68" s="2710"/>
      <c r="BC68" s="4831">
        <f>+BA68+AM68</f>
        <v>436</v>
      </c>
      <c r="BD68" s="2710"/>
      <c r="BE68" s="4831">
        <f>+E68+G68+K68+O68+S68+W68+AC68+AG68+AK68+AQ68+AU68+AY68</f>
        <v>1254</v>
      </c>
    </row>
    <row r="69" spans="3:57" x14ac:dyDescent="0.3">
      <c r="C69" s="2" t="s">
        <v>1847</v>
      </c>
      <c r="D69" s="299"/>
      <c r="E69" s="4831">
        <f>+'GRD SUMM RCL 150X150 '!AU19</f>
        <v>0</v>
      </c>
      <c r="F69" s="2710"/>
      <c r="G69" s="4831">
        <f>+'GRD SUMM RCL 150X150 '!AW19</f>
        <v>0</v>
      </c>
      <c r="H69" s="2710"/>
      <c r="I69" s="2710">
        <f t="shared" ref="I69:I99" si="0">+E69+G69</f>
        <v>0</v>
      </c>
      <c r="J69" s="2710"/>
      <c r="K69" s="4831">
        <f>+'GRD SUMM RCL 150X150 '!BA19</f>
        <v>0</v>
      </c>
      <c r="L69" s="2710"/>
      <c r="M69" s="2710">
        <f t="shared" ref="M69:M99" si="1">+E69+G69+K69</f>
        <v>0</v>
      </c>
      <c r="N69" s="2710"/>
      <c r="O69" s="4831">
        <f>+'GRD SUMM RCL 150X150 '!BE19</f>
        <v>264</v>
      </c>
      <c r="P69" s="2710"/>
      <c r="Q69" s="2710">
        <f t="shared" ref="Q69:Q99" si="2">+O69+K69+G69+E69</f>
        <v>264</v>
      </c>
      <c r="R69" s="2710"/>
      <c r="S69" s="4831">
        <f>+'GRD SUMM RCL 150X150 '!BI19</f>
        <v>0</v>
      </c>
      <c r="T69" s="2710"/>
      <c r="U69" s="2710">
        <f t="shared" ref="U69:U99" si="3">+S69+O69+K69+G69+E69</f>
        <v>264</v>
      </c>
      <c r="V69" s="2710"/>
      <c r="W69" s="4831">
        <f>+'GRD SUMM RCL 150X150 '!BM19</f>
        <v>0</v>
      </c>
      <c r="X69" s="2710"/>
      <c r="Y69" s="2710">
        <f t="shared" ref="Y69:Y99" si="4">+W69+S69+O69</f>
        <v>264</v>
      </c>
      <c r="Z69" s="2710"/>
      <c r="AA69" s="2710">
        <f t="shared" ref="AA69:AA99" si="5">+E69+G69+K69+O69+S69+W69</f>
        <v>264</v>
      </c>
      <c r="AB69" s="2710"/>
      <c r="AC69" s="4831">
        <f>+'GRD SUMM RCL 150X150 '!BS19</f>
        <v>0</v>
      </c>
      <c r="AD69" s="2710"/>
      <c r="AE69" s="2710">
        <f t="shared" ref="AE69:AE99" si="6">+AC69+W69+S69+O69+K69+G69+E69</f>
        <v>264</v>
      </c>
      <c r="AF69" s="2710"/>
      <c r="AG69" s="4831">
        <f>+'GRD SUMM RCL 150X150 '!BW19</f>
        <v>0</v>
      </c>
      <c r="AH69" s="2710"/>
      <c r="AI69" s="2710">
        <f t="shared" ref="AI69:AI99" si="7">+AG69+AC69+W69+S69+O69+K69+G69+E69</f>
        <v>264</v>
      </c>
      <c r="AJ69" s="2710"/>
      <c r="AK69" s="5437">
        <f>+'GRD SUMM RCL 150X150 '!CA19</f>
        <v>0</v>
      </c>
      <c r="AL69" s="2710"/>
      <c r="AM69" s="2710">
        <f t="shared" ref="AM69:AM99" si="8">+AK69+AG69+AC69</f>
        <v>0</v>
      </c>
      <c r="AN69" s="2710"/>
      <c r="AO69" s="2710">
        <f t="shared" ref="AO69:AO99" si="9">+AK69+AG69+AC69+W69+S69+O69+K69+G69+E69</f>
        <v>264</v>
      </c>
      <c r="AP69" s="2710"/>
      <c r="AQ69" s="4831">
        <f>+'GRD SUMM RCL 150X150 '!CG19</f>
        <v>0</v>
      </c>
      <c r="AR69" s="2710"/>
      <c r="AS69" s="2710">
        <f t="shared" ref="AS69:AS99" si="10">+AO69+AQ69</f>
        <v>264</v>
      </c>
      <c r="AT69" s="2710"/>
      <c r="AU69" s="4831">
        <f>+'GRD SUMM RCL 150X150 '!CK19</f>
        <v>0</v>
      </c>
      <c r="AV69" s="2710"/>
      <c r="AW69" s="2710">
        <f t="shared" ref="AW69:AW99" si="11">+AS69+AU69</f>
        <v>264</v>
      </c>
      <c r="AX69" s="2710"/>
      <c r="AY69" s="4831">
        <f>+'GRD SUMM RCL 150X150 '!CO19</f>
        <v>0</v>
      </c>
      <c r="AZ69" s="2710"/>
      <c r="BA69" s="4831">
        <f t="shared" ref="BA69:BA101" si="12">+AY69+AU69+AQ69</f>
        <v>0</v>
      </c>
      <c r="BB69" s="2710"/>
      <c r="BC69" s="4831">
        <f t="shared" ref="BC69:BC101" si="13">+BA69+AM69</f>
        <v>0</v>
      </c>
      <c r="BD69" s="2710"/>
      <c r="BE69" s="4831">
        <f t="shared" ref="BE69:BE101" si="14">+E69+G69+K69+O69+S69+W69+AC69+AG69+AK69+AQ69+AU69+AY69</f>
        <v>264</v>
      </c>
    </row>
    <row r="70" spans="3:57" x14ac:dyDescent="0.3">
      <c r="C70" s="2" t="s">
        <v>2040</v>
      </c>
      <c r="D70" s="299"/>
      <c r="E70" s="4831">
        <f>+'GRD SUMM RCL 150X150 '!AU20</f>
        <v>685</v>
      </c>
      <c r="F70" s="2710"/>
      <c r="G70" s="4831">
        <f>+'GRD SUMM RCL 150X150 '!AW20</f>
        <v>480</v>
      </c>
      <c r="H70" s="2710"/>
      <c r="I70" s="2710">
        <f t="shared" si="0"/>
        <v>1165</v>
      </c>
      <c r="J70" s="2710"/>
      <c r="K70" s="4831">
        <f>+'GRD SUMM RCL 150X150 '!BA20</f>
        <v>613</v>
      </c>
      <c r="L70" s="2710"/>
      <c r="M70" s="2710">
        <f t="shared" si="1"/>
        <v>1778</v>
      </c>
      <c r="N70" s="2710"/>
      <c r="O70" s="4831">
        <f>+'GRD SUMM RCL 150X150 '!BE20</f>
        <v>0</v>
      </c>
      <c r="P70" s="2710"/>
      <c r="Q70" s="2710">
        <f t="shared" si="2"/>
        <v>1778</v>
      </c>
      <c r="R70" s="2710"/>
      <c r="S70" s="4831">
        <f>+'GRD SUMM RCL 150X150 '!BI20</f>
        <v>0</v>
      </c>
      <c r="T70" s="2710"/>
      <c r="U70" s="2710">
        <f t="shared" si="3"/>
        <v>1778</v>
      </c>
      <c r="V70" s="2710"/>
      <c r="W70" s="4831">
        <f>+'GRD SUMM RCL 150X150 '!BM20</f>
        <v>0</v>
      </c>
      <c r="X70" s="2710"/>
      <c r="Y70" s="2710">
        <f t="shared" si="4"/>
        <v>0</v>
      </c>
      <c r="Z70" s="2710"/>
      <c r="AA70" s="2710">
        <f t="shared" si="5"/>
        <v>1778</v>
      </c>
      <c r="AB70" s="2710"/>
      <c r="AC70" s="4831">
        <f>+'GRD SUMM RCL 150X150 '!BS20</f>
        <v>292</v>
      </c>
      <c r="AD70" s="2710"/>
      <c r="AE70" s="2710">
        <f t="shared" si="6"/>
        <v>2070</v>
      </c>
      <c r="AF70" s="2710"/>
      <c r="AG70" s="4831">
        <f>+'GRD SUMM RCL 150X150 '!BW20</f>
        <v>0</v>
      </c>
      <c r="AH70" s="2710"/>
      <c r="AI70" s="2710">
        <f t="shared" si="7"/>
        <v>2070</v>
      </c>
      <c r="AJ70" s="2710"/>
      <c r="AK70" s="5437">
        <f>+'GRD SUMM RCL 150X150 '!CA20</f>
        <v>153</v>
      </c>
      <c r="AL70" s="2710"/>
      <c r="AM70" s="2710">
        <f t="shared" si="8"/>
        <v>445</v>
      </c>
      <c r="AN70" s="2710"/>
      <c r="AO70" s="2710">
        <f t="shared" si="9"/>
        <v>2223</v>
      </c>
      <c r="AP70" s="2710"/>
      <c r="AQ70" s="4831">
        <f>+'GRD SUMM RCL 150X150 '!CG20</f>
        <v>2353</v>
      </c>
      <c r="AR70" s="2710"/>
      <c r="AS70" s="2710">
        <f t="shared" si="10"/>
        <v>4576</v>
      </c>
      <c r="AT70" s="2710"/>
      <c r="AU70" s="4831">
        <f>+'GRD SUMM RCL 150X150 '!CK20</f>
        <v>0</v>
      </c>
      <c r="AV70" s="2710"/>
      <c r="AW70" s="2710">
        <f t="shared" si="11"/>
        <v>4576</v>
      </c>
      <c r="AX70" s="2710"/>
      <c r="AY70" s="4831">
        <f>+'GRD SUMM RCL 150X150 '!CO20</f>
        <v>89.292000000000002</v>
      </c>
      <c r="AZ70" s="2710"/>
      <c r="BA70" s="4831">
        <f t="shared" si="12"/>
        <v>2442.2919999999999</v>
      </c>
      <c r="BB70" s="2710"/>
      <c r="BC70" s="4831">
        <f t="shared" si="13"/>
        <v>2887.2919999999999</v>
      </c>
      <c r="BD70" s="2710"/>
      <c r="BE70" s="4831">
        <f t="shared" si="14"/>
        <v>4665.2920000000004</v>
      </c>
    </row>
    <row r="71" spans="3:57" x14ac:dyDescent="0.3">
      <c r="C71" s="2" t="s">
        <v>1993</v>
      </c>
      <c r="D71" s="299"/>
      <c r="E71" s="4831">
        <f>+'GRD SUMM RCL 150X150 '!AU21</f>
        <v>1636</v>
      </c>
      <c r="F71" s="2710"/>
      <c r="G71" s="4831">
        <f>+'GRD SUMM RCL 150X150 '!AW21</f>
        <v>0</v>
      </c>
      <c r="H71" s="2710"/>
      <c r="I71" s="2710">
        <f t="shared" si="0"/>
        <v>1636</v>
      </c>
      <c r="J71" s="2710"/>
      <c r="K71" s="4831">
        <f>+'GRD SUMM RCL 150X150 '!BA21</f>
        <v>0</v>
      </c>
      <c r="L71" s="2710"/>
      <c r="M71" s="2710">
        <f t="shared" si="1"/>
        <v>1636</v>
      </c>
      <c r="N71" s="2710"/>
      <c r="O71" s="4831">
        <f>+'GRD SUMM RCL 150X150 '!BE21</f>
        <v>0</v>
      </c>
      <c r="P71" s="2710"/>
      <c r="Q71" s="2710">
        <f t="shared" si="2"/>
        <v>1636</v>
      </c>
      <c r="R71" s="2710"/>
      <c r="S71" s="4831">
        <f>+'GRD SUMM RCL 150X150 '!BI21</f>
        <v>0</v>
      </c>
      <c r="T71" s="2710"/>
      <c r="U71" s="2710">
        <f t="shared" si="3"/>
        <v>1636</v>
      </c>
      <c r="V71" s="2710"/>
      <c r="W71" s="4831">
        <f>+'GRD SUMM RCL 150X150 '!BM21</f>
        <v>0</v>
      </c>
      <c r="X71" s="2710"/>
      <c r="Y71" s="2710">
        <f t="shared" si="4"/>
        <v>0</v>
      </c>
      <c r="Z71" s="2710"/>
      <c r="AA71" s="2710">
        <f t="shared" si="5"/>
        <v>1636</v>
      </c>
      <c r="AB71" s="2710"/>
      <c r="AC71" s="4831">
        <f>+'GRD SUMM RCL 150X150 '!BS21</f>
        <v>0</v>
      </c>
      <c r="AD71" s="2710"/>
      <c r="AE71" s="2710">
        <f t="shared" si="6"/>
        <v>1636</v>
      </c>
      <c r="AF71" s="2710"/>
      <c r="AG71" s="4831">
        <f>+'GRD SUMM RCL 150X150 '!BW21</f>
        <v>112.678</v>
      </c>
      <c r="AH71" s="2710"/>
      <c r="AI71" s="2710">
        <f t="shared" si="7"/>
        <v>1748.6779999999999</v>
      </c>
      <c r="AJ71" s="2710"/>
      <c r="AK71" s="5437">
        <f>+'GRD SUMM RCL 150X150 '!CA21</f>
        <v>0</v>
      </c>
      <c r="AL71" s="2710"/>
      <c r="AM71" s="2710">
        <f t="shared" si="8"/>
        <v>112.678</v>
      </c>
      <c r="AN71" s="2710"/>
      <c r="AO71" s="2710">
        <f t="shared" si="9"/>
        <v>1748.6779999999999</v>
      </c>
      <c r="AP71" s="2710"/>
      <c r="AQ71" s="4831">
        <f>+'GRD SUMM RCL 150X150 '!CG21</f>
        <v>0</v>
      </c>
      <c r="AR71" s="2710"/>
      <c r="AS71" s="2710">
        <f t="shared" si="10"/>
        <v>1748.6779999999999</v>
      </c>
      <c r="AT71" s="2710"/>
      <c r="AU71" s="4831">
        <f>+'GRD SUMM RCL 150X150 '!CK21</f>
        <v>0</v>
      </c>
      <c r="AV71" s="2710"/>
      <c r="AW71" s="2710">
        <f t="shared" si="11"/>
        <v>1748.6779999999999</v>
      </c>
      <c r="AX71" s="2710"/>
      <c r="AY71" s="4831">
        <f>+'GRD SUMM RCL 150X150 '!CO21</f>
        <v>0</v>
      </c>
      <c r="AZ71" s="2710"/>
      <c r="BA71" s="4831">
        <f t="shared" si="12"/>
        <v>0</v>
      </c>
      <c r="BB71" s="2710"/>
      <c r="BC71" s="4831">
        <f t="shared" si="13"/>
        <v>112.678</v>
      </c>
      <c r="BD71" s="2710"/>
      <c r="BE71" s="4831">
        <f t="shared" si="14"/>
        <v>1748.6779999999999</v>
      </c>
    </row>
    <row r="72" spans="3:57" x14ac:dyDescent="0.3">
      <c r="C72" s="2" t="s">
        <v>1921</v>
      </c>
      <c r="D72" s="299"/>
      <c r="E72" s="4831">
        <f>+'GRD SUMM RCL 150X150 '!AU22</f>
        <v>2361</v>
      </c>
      <c r="F72" s="2710"/>
      <c r="G72" s="4831">
        <f>+'GRD SUMM RCL 150X150 '!AW22</f>
        <v>4082</v>
      </c>
      <c r="H72" s="2710"/>
      <c r="I72" s="2710">
        <f t="shared" si="0"/>
        <v>6443</v>
      </c>
      <c r="J72" s="2710"/>
      <c r="K72" s="4831">
        <f>+'GRD SUMM RCL 150X150 '!BA22</f>
        <v>5864</v>
      </c>
      <c r="L72" s="2710"/>
      <c r="M72" s="2710">
        <f t="shared" si="1"/>
        <v>12307</v>
      </c>
      <c r="N72" s="2710"/>
      <c r="O72" s="4831">
        <f>+'GRD SUMM RCL 150X150 '!BE22</f>
        <v>8179</v>
      </c>
      <c r="P72" s="2710"/>
      <c r="Q72" s="2710">
        <f t="shared" si="2"/>
        <v>20486</v>
      </c>
      <c r="R72" s="2710"/>
      <c r="S72" s="4831">
        <f>+'GRD SUMM RCL 150X150 '!BI22</f>
        <v>6747.8880000000008</v>
      </c>
      <c r="T72" s="2710"/>
      <c r="U72" s="2710">
        <f t="shared" si="3"/>
        <v>27233.887999999999</v>
      </c>
      <c r="V72" s="2710"/>
      <c r="W72" s="4831">
        <f>+'GRD SUMM RCL 150X150 '!BM22</f>
        <v>6553</v>
      </c>
      <c r="X72" s="2710"/>
      <c r="Y72" s="2710">
        <f t="shared" si="4"/>
        <v>21479.887999999999</v>
      </c>
      <c r="Z72" s="2710"/>
      <c r="AA72" s="2710">
        <f t="shared" si="5"/>
        <v>33786.887999999999</v>
      </c>
      <c r="AB72" s="2710"/>
      <c r="AC72" s="4831">
        <f>+'GRD SUMM RCL 150X150 '!BS22</f>
        <v>1913</v>
      </c>
      <c r="AD72" s="2710"/>
      <c r="AE72" s="2710">
        <f t="shared" si="6"/>
        <v>35699.887999999999</v>
      </c>
      <c r="AF72" s="2710"/>
      <c r="AG72" s="4831">
        <f>+'GRD SUMM RCL 150X150 '!BW22</f>
        <v>3328.1819999999998</v>
      </c>
      <c r="AH72" s="2710"/>
      <c r="AI72" s="2710">
        <f t="shared" si="7"/>
        <v>39028.07</v>
      </c>
      <c r="AJ72" s="2710"/>
      <c r="AK72" s="5437">
        <f>+'GRD SUMM RCL 150X150 '!CA22</f>
        <v>3132</v>
      </c>
      <c r="AL72" s="2710"/>
      <c r="AM72" s="2710">
        <f t="shared" si="8"/>
        <v>8373.1820000000007</v>
      </c>
      <c r="AN72" s="2710"/>
      <c r="AO72" s="2710">
        <f t="shared" si="9"/>
        <v>42160.07</v>
      </c>
      <c r="AP72" s="2710"/>
      <c r="AQ72" s="4831">
        <f>+'GRD SUMM RCL 150X150 '!CG22</f>
        <v>376</v>
      </c>
      <c r="AR72" s="2710"/>
      <c r="AS72" s="2710">
        <f t="shared" si="10"/>
        <v>42536.07</v>
      </c>
      <c r="AT72" s="2710"/>
      <c r="AU72" s="4831">
        <f>+'GRD SUMM RCL 150X150 '!CK22</f>
        <v>0</v>
      </c>
      <c r="AV72" s="2710"/>
      <c r="AW72" s="2710">
        <f t="shared" si="11"/>
        <v>42536.07</v>
      </c>
      <c r="AX72" s="2710"/>
      <c r="AY72" s="4831">
        <f>+'GRD SUMM RCL 150X150 '!CO22</f>
        <v>2306.71</v>
      </c>
      <c r="AZ72" s="2710"/>
      <c r="BA72" s="4831">
        <f t="shared" si="12"/>
        <v>2682.71</v>
      </c>
      <c r="BB72" s="2710"/>
      <c r="BC72" s="4831">
        <f t="shared" si="13"/>
        <v>11055.892</v>
      </c>
      <c r="BD72" s="2710"/>
      <c r="BE72" s="4831">
        <f t="shared" si="14"/>
        <v>44842.78</v>
      </c>
    </row>
    <row r="73" spans="3:57" x14ac:dyDescent="0.3">
      <c r="C73" s="2" t="s">
        <v>1920</v>
      </c>
      <c r="D73" s="299"/>
      <c r="E73" s="4831">
        <f>+'GRD SUMM RCL 150X150 '!AU26</f>
        <v>442</v>
      </c>
      <c r="F73" s="2710"/>
      <c r="G73" s="4831">
        <f>+'GRD SUMM RCL 150X150 '!AW26</f>
        <v>104</v>
      </c>
      <c r="H73" s="2710"/>
      <c r="I73" s="2710">
        <f t="shared" si="0"/>
        <v>546</v>
      </c>
      <c r="J73" s="2710"/>
      <c r="K73" s="4831">
        <f>+'GRD SUMM RCL 150X150 '!BA26</f>
        <v>235</v>
      </c>
      <c r="L73" s="2710"/>
      <c r="M73" s="2710">
        <f t="shared" si="1"/>
        <v>781</v>
      </c>
      <c r="N73" s="2710"/>
      <c r="O73" s="4831">
        <f>+'GRD SUMM RCL 150X150 '!BE26</f>
        <v>116</v>
      </c>
      <c r="P73" s="2710"/>
      <c r="Q73" s="2710">
        <f t="shared" si="2"/>
        <v>897</v>
      </c>
      <c r="R73" s="2710"/>
      <c r="S73" s="4831">
        <f>+'GRD SUMM RCL 150X150 '!BI26</f>
        <v>0</v>
      </c>
      <c r="T73" s="2710"/>
      <c r="U73" s="2710">
        <f t="shared" si="3"/>
        <v>897</v>
      </c>
      <c r="V73" s="2710"/>
      <c r="W73" s="4831">
        <f>+'GRD SUMM RCL 150X150 '!BM26</f>
        <v>0</v>
      </c>
      <c r="X73" s="2710"/>
      <c r="Y73" s="2710">
        <f t="shared" si="4"/>
        <v>116</v>
      </c>
      <c r="Z73" s="2710"/>
      <c r="AA73" s="2710">
        <f t="shared" si="5"/>
        <v>897</v>
      </c>
      <c r="AB73" s="2710"/>
      <c r="AC73" s="4831">
        <f>+'GRD SUMM RCL 150X150 '!BS26</f>
        <v>0</v>
      </c>
      <c r="AD73" s="2710"/>
      <c r="AE73" s="2710">
        <f t="shared" si="6"/>
        <v>897</v>
      </c>
      <c r="AF73" s="2710"/>
      <c r="AG73" s="4831">
        <f>+'GRD SUMM RCL 150X150 '!BW26</f>
        <v>0</v>
      </c>
      <c r="AH73" s="2710"/>
      <c r="AI73" s="2710">
        <f t="shared" si="7"/>
        <v>897</v>
      </c>
      <c r="AJ73" s="2710"/>
      <c r="AK73" s="5437">
        <f>+'GRD SUMM RCL 150X150 '!CA26</f>
        <v>0</v>
      </c>
      <c r="AL73" s="2710"/>
      <c r="AM73" s="2710">
        <f t="shared" si="8"/>
        <v>0</v>
      </c>
      <c r="AN73" s="2710"/>
      <c r="AO73" s="2710">
        <f t="shared" si="9"/>
        <v>897</v>
      </c>
      <c r="AP73" s="2710"/>
      <c r="AQ73" s="4831">
        <f>+'GRD SUMM RCL 150X150 '!CG26</f>
        <v>0</v>
      </c>
      <c r="AR73" s="2710"/>
      <c r="AS73" s="2710">
        <f t="shared" si="10"/>
        <v>897</v>
      </c>
      <c r="AT73" s="2710"/>
      <c r="AU73" s="4831">
        <f>+'GRD SUMM RCL 150X150 '!CK26</f>
        <v>0</v>
      </c>
      <c r="AV73" s="2710"/>
      <c r="AW73" s="2710">
        <f t="shared" si="11"/>
        <v>897</v>
      </c>
      <c r="AX73" s="2710"/>
      <c r="AY73" s="4831">
        <f>+'GRD SUMM RCL 150X150 '!CO26</f>
        <v>0</v>
      </c>
      <c r="AZ73" s="2710"/>
      <c r="BA73" s="4831">
        <f t="shared" si="12"/>
        <v>0</v>
      </c>
      <c r="BB73" s="2710"/>
      <c r="BC73" s="4831">
        <f t="shared" si="13"/>
        <v>0</v>
      </c>
      <c r="BD73" s="2710"/>
      <c r="BE73" s="4831">
        <f t="shared" si="14"/>
        <v>897</v>
      </c>
    </row>
    <row r="74" spans="3:57" x14ac:dyDescent="0.3">
      <c r="C74" s="2" t="s">
        <v>1520</v>
      </c>
      <c r="D74" s="299"/>
      <c r="E74" s="4831">
        <f>+'GRD SUMM RCL 150X150 '!AU37</f>
        <v>723</v>
      </c>
      <c r="F74" s="2710"/>
      <c r="G74" s="4831">
        <f>+'GRD SUMM RCL 150X150 '!AW37</f>
        <v>590</v>
      </c>
      <c r="H74" s="2710"/>
      <c r="I74" s="2710">
        <f t="shared" si="0"/>
        <v>1313</v>
      </c>
      <c r="J74" s="2710"/>
      <c r="K74" s="4831">
        <f>+'GRD SUMM RCL 150X150 '!BA37</f>
        <v>619</v>
      </c>
      <c r="L74" s="2710"/>
      <c r="M74" s="2710">
        <f t="shared" si="1"/>
        <v>1932</v>
      </c>
      <c r="N74" s="2710"/>
      <c r="O74" s="4831">
        <f>+'GRD SUMM RCL 150X150 '!BE37</f>
        <v>583</v>
      </c>
      <c r="P74" s="2710"/>
      <c r="Q74" s="2710">
        <f t="shared" si="2"/>
        <v>2515</v>
      </c>
      <c r="R74" s="2710"/>
      <c r="S74" s="4831">
        <f>+'GRD SUMM RCL 150X150 '!BI37</f>
        <v>112.042</v>
      </c>
      <c r="T74" s="2710"/>
      <c r="U74" s="2710">
        <f t="shared" si="3"/>
        <v>2627.0419999999999</v>
      </c>
      <c r="V74" s="2710"/>
      <c r="W74" s="4831">
        <f>+'GRD SUMM RCL 150X150 '!BM37</f>
        <v>674</v>
      </c>
      <c r="X74" s="2710"/>
      <c r="Y74" s="2710">
        <f t="shared" si="4"/>
        <v>1369.0419999999999</v>
      </c>
      <c r="Z74" s="2710"/>
      <c r="AA74" s="2710">
        <f t="shared" si="5"/>
        <v>3301.0419999999999</v>
      </c>
      <c r="AB74" s="2710"/>
      <c r="AC74" s="4831">
        <f>+'GRD SUMM RCL 150X150 '!BS37</f>
        <v>543</v>
      </c>
      <c r="AD74" s="2710"/>
      <c r="AE74" s="2710">
        <f t="shared" si="6"/>
        <v>3844.0419999999999</v>
      </c>
      <c r="AF74" s="2710"/>
      <c r="AG74" s="4831">
        <f>+'GRD SUMM RCL 150X150 '!BW37</f>
        <v>722.36599999999999</v>
      </c>
      <c r="AH74" s="2710"/>
      <c r="AI74" s="2710">
        <f t="shared" si="7"/>
        <v>4566.4079999999994</v>
      </c>
      <c r="AJ74" s="2710"/>
      <c r="AK74" s="5437">
        <f>+'GRD SUMM RCL 150X150 '!CA37</f>
        <v>412</v>
      </c>
      <c r="AL74" s="2710"/>
      <c r="AM74" s="2710">
        <f t="shared" si="8"/>
        <v>1677.366</v>
      </c>
      <c r="AN74" s="2710"/>
      <c r="AO74" s="2710">
        <f t="shared" si="9"/>
        <v>4978.4079999999994</v>
      </c>
      <c r="AP74" s="2710"/>
      <c r="AQ74" s="4831">
        <f>+'GRD SUMM RCL 150X150 '!CG37</f>
        <v>0</v>
      </c>
      <c r="AR74" s="2710"/>
      <c r="AS74" s="2710">
        <f t="shared" si="10"/>
        <v>4978.4079999999994</v>
      </c>
      <c r="AT74" s="2710"/>
      <c r="AU74" s="4831">
        <f>+'GRD SUMM RCL 150X150 '!CK37</f>
        <v>0</v>
      </c>
      <c r="AV74" s="2710"/>
      <c r="AW74" s="2710">
        <f t="shared" si="11"/>
        <v>4978.4079999999994</v>
      </c>
      <c r="AX74" s="2710"/>
      <c r="AY74" s="4831">
        <f>+'GRD SUMM RCL 150X150 '!CO37</f>
        <v>0</v>
      </c>
      <c r="AZ74" s="2710"/>
      <c r="BA74" s="4831">
        <f t="shared" si="12"/>
        <v>0</v>
      </c>
      <c r="BB74" s="2710"/>
      <c r="BC74" s="4831">
        <f t="shared" si="13"/>
        <v>1677.366</v>
      </c>
      <c r="BD74" s="2710"/>
      <c r="BE74" s="4831">
        <f t="shared" si="14"/>
        <v>4978.4079999999994</v>
      </c>
    </row>
    <row r="75" spans="3:57" x14ac:dyDescent="0.3">
      <c r="C75" s="2" t="s">
        <v>1401</v>
      </c>
      <c r="D75" s="299"/>
      <c r="E75" s="4831">
        <v>0</v>
      </c>
      <c r="F75" s="2710"/>
      <c r="G75" s="4831">
        <v>0</v>
      </c>
      <c r="H75" s="4831">
        <v>0</v>
      </c>
      <c r="I75" s="4831">
        <v>0</v>
      </c>
      <c r="J75" s="4831">
        <v>0</v>
      </c>
      <c r="K75" s="4831">
        <v>0</v>
      </c>
      <c r="L75" s="4831">
        <v>0</v>
      </c>
      <c r="M75" s="4831">
        <v>0</v>
      </c>
      <c r="N75" s="4831">
        <v>0</v>
      </c>
      <c r="O75" s="4831">
        <v>0</v>
      </c>
      <c r="P75" s="4831">
        <v>0</v>
      </c>
      <c r="Q75" s="4831">
        <v>0</v>
      </c>
      <c r="R75" s="4831">
        <v>0</v>
      </c>
      <c r="S75" s="4831">
        <v>0</v>
      </c>
      <c r="T75" s="4831">
        <v>0</v>
      </c>
      <c r="U75" s="4831">
        <v>0</v>
      </c>
      <c r="V75" s="4831">
        <v>0</v>
      </c>
      <c r="W75" s="4831">
        <v>0</v>
      </c>
      <c r="X75" s="4831">
        <v>0</v>
      </c>
      <c r="Y75" s="4831">
        <v>0</v>
      </c>
      <c r="Z75" s="4831">
        <v>0</v>
      </c>
      <c r="AA75" s="4831">
        <v>0</v>
      </c>
      <c r="AB75" s="4831">
        <v>0</v>
      </c>
      <c r="AC75" s="4831">
        <v>0</v>
      </c>
      <c r="AD75" s="4831">
        <v>0</v>
      </c>
      <c r="AE75" s="4831">
        <v>0</v>
      </c>
      <c r="AF75" s="4831">
        <v>0</v>
      </c>
      <c r="AG75" s="4831">
        <v>0</v>
      </c>
      <c r="AH75" s="2710"/>
      <c r="AI75" s="2710">
        <f t="shared" si="7"/>
        <v>0</v>
      </c>
      <c r="AJ75" s="2710"/>
      <c r="AK75" s="5437">
        <v>0</v>
      </c>
      <c r="AL75" s="2710"/>
      <c r="AM75" s="2710">
        <f t="shared" si="8"/>
        <v>0</v>
      </c>
      <c r="AN75" s="2710"/>
      <c r="AO75" s="2710">
        <f t="shared" si="9"/>
        <v>0</v>
      </c>
      <c r="AP75" s="2710"/>
      <c r="AQ75" s="4831">
        <v>0</v>
      </c>
      <c r="AR75" s="2710"/>
      <c r="AS75" s="2710">
        <f t="shared" si="10"/>
        <v>0</v>
      </c>
      <c r="AT75" s="2710"/>
      <c r="AU75" s="4831">
        <v>0</v>
      </c>
      <c r="AV75" s="2710"/>
      <c r="AW75" s="2710">
        <f t="shared" si="11"/>
        <v>0</v>
      </c>
      <c r="AX75" s="2710"/>
      <c r="AY75" s="4831">
        <v>0</v>
      </c>
      <c r="AZ75" s="2710"/>
      <c r="BA75" s="4831">
        <f t="shared" si="12"/>
        <v>0</v>
      </c>
      <c r="BB75" s="2710"/>
      <c r="BC75" s="4831">
        <f t="shared" si="13"/>
        <v>0</v>
      </c>
      <c r="BD75" s="2710"/>
      <c r="BE75" s="4831">
        <f t="shared" si="14"/>
        <v>0</v>
      </c>
    </row>
    <row r="76" spans="3:57" x14ac:dyDescent="0.3">
      <c r="C76" s="2" t="s">
        <v>1925</v>
      </c>
      <c r="D76" s="299"/>
      <c r="E76" s="4831">
        <f>+'GRD SUMM RCL 150X150 '!AU41</f>
        <v>442</v>
      </c>
      <c r="F76" s="2710"/>
      <c r="G76" s="4831">
        <f>+'GRD SUMM RCL 150X150 '!AW41</f>
        <v>1461</v>
      </c>
      <c r="H76" s="2710"/>
      <c r="I76" s="2710">
        <f t="shared" si="0"/>
        <v>1903</v>
      </c>
      <c r="J76" s="2710"/>
      <c r="K76" s="4831">
        <f>+'GRD SUMM RCL 150X150 '!BA41</f>
        <v>3839</v>
      </c>
      <c r="L76" s="2710"/>
      <c r="M76" s="2710">
        <f t="shared" si="1"/>
        <v>5742</v>
      </c>
      <c r="N76" s="2710"/>
      <c r="O76" s="4831">
        <f>+'GRD SUMM RCL 150X150 '!BE41</f>
        <v>3196</v>
      </c>
      <c r="P76" s="2710"/>
      <c r="Q76" s="2710">
        <f t="shared" si="2"/>
        <v>8938</v>
      </c>
      <c r="R76" s="2710"/>
      <c r="S76" s="4831">
        <f>+'GRD SUMM RCL 150X150 '!BI41</f>
        <v>0</v>
      </c>
      <c r="T76" s="2710"/>
      <c r="U76" s="2710">
        <f t="shared" si="3"/>
        <v>8938</v>
      </c>
      <c r="V76" s="2710"/>
      <c r="W76" s="4831">
        <f>+'GRD SUMM RCL 150X150 '!BM41</f>
        <v>0</v>
      </c>
      <c r="X76" s="2710"/>
      <c r="Y76" s="2710">
        <f t="shared" si="4"/>
        <v>3196</v>
      </c>
      <c r="Z76" s="2710"/>
      <c r="AA76" s="2710">
        <f t="shared" si="5"/>
        <v>8938</v>
      </c>
      <c r="AB76" s="2710"/>
      <c r="AC76" s="4831">
        <f>+'GRD SUMM RCL 150X150 '!BS41</f>
        <v>583</v>
      </c>
      <c r="AD76" s="2710"/>
      <c r="AE76" s="2710">
        <f t="shared" si="6"/>
        <v>9521</v>
      </c>
      <c r="AF76" s="2710"/>
      <c r="AG76" s="4831">
        <f>+'GRD SUMM RCL 150X150 '!BW41</f>
        <v>0</v>
      </c>
      <c r="AH76" s="2710"/>
      <c r="AI76" s="2710">
        <f t="shared" si="7"/>
        <v>9521</v>
      </c>
      <c r="AJ76" s="2710"/>
      <c r="AK76" s="5437">
        <f>+'GRD SUMM RCL 150X150 '!CA41</f>
        <v>0</v>
      </c>
      <c r="AL76" s="2710"/>
      <c r="AM76" s="2710">
        <f t="shared" si="8"/>
        <v>583</v>
      </c>
      <c r="AN76" s="2710"/>
      <c r="AO76" s="2710">
        <f t="shared" si="9"/>
        <v>9521</v>
      </c>
      <c r="AP76" s="2710"/>
      <c r="AQ76" s="4831">
        <f>+'GRD SUMM RCL 150X150 '!CG41</f>
        <v>0</v>
      </c>
      <c r="AR76" s="2710"/>
      <c r="AS76" s="2710">
        <f t="shared" si="10"/>
        <v>9521</v>
      </c>
      <c r="AT76" s="2710"/>
      <c r="AU76" s="4831">
        <f>+'GRD SUMM RCL 150X150 '!CK41</f>
        <v>0</v>
      </c>
      <c r="AV76" s="2710"/>
      <c r="AW76" s="2710">
        <f t="shared" si="11"/>
        <v>9521</v>
      </c>
      <c r="AX76" s="2710"/>
      <c r="AY76" s="4831">
        <f>+'GRD SUMM RCL 150X150 '!CO41</f>
        <v>0</v>
      </c>
      <c r="AZ76" s="2710"/>
      <c r="BA76" s="4831">
        <f t="shared" si="12"/>
        <v>0</v>
      </c>
      <c r="BB76" s="2710"/>
      <c r="BC76" s="4831">
        <f t="shared" si="13"/>
        <v>583</v>
      </c>
      <c r="BD76" s="2710"/>
      <c r="BE76" s="4831">
        <f t="shared" si="14"/>
        <v>9521</v>
      </c>
    </row>
    <row r="77" spans="3:57" x14ac:dyDescent="0.3">
      <c r="C77" s="2" t="s">
        <v>1201</v>
      </c>
      <c r="D77" s="299"/>
      <c r="E77" s="4831">
        <f>+'GRD SUMM RCL 150X150 '!AU42</f>
        <v>178</v>
      </c>
      <c r="F77" s="2710"/>
      <c r="G77" s="4831">
        <f>+'GRD SUMM RCL 150X150 '!AW42</f>
        <v>0</v>
      </c>
      <c r="H77" s="2710"/>
      <c r="I77" s="2710">
        <f t="shared" si="0"/>
        <v>178</v>
      </c>
      <c r="J77" s="2710"/>
      <c r="K77" s="4831">
        <f>+'GRD SUMM RCL 150X150 '!BA42</f>
        <v>0</v>
      </c>
      <c r="L77" s="2710"/>
      <c r="M77" s="2710">
        <f t="shared" si="1"/>
        <v>178</v>
      </c>
      <c r="N77" s="2710"/>
      <c r="O77" s="4831">
        <f>+'GRD SUMM RCL 150X150 '!BE42</f>
        <v>116</v>
      </c>
      <c r="P77" s="2710"/>
      <c r="Q77" s="2710">
        <f t="shared" si="2"/>
        <v>294</v>
      </c>
      <c r="R77" s="2710"/>
      <c r="S77" s="4831">
        <f>+'GRD SUMM RCL 150X150 '!BI42</f>
        <v>268.47800000000001</v>
      </c>
      <c r="T77" s="2710"/>
      <c r="U77" s="2710">
        <f t="shared" si="3"/>
        <v>562.47800000000007</v>
      </c>
      <c r="V77" s="2710"/>
      <c r="W77" s="4831">
        <f>+'GRD SUMM RCL 150X150 '!BM42</f>
        <v>0</v>
      </c>
      <c r="X77" s="2710"/>
      <c r="Y77" s="2710">
        <f t="shared" si="4"/>
        <v>384.47800000000001</v>
      </c>
      <c r="Z77" s="2710"/>
      <c r="AA77" s="2710">
        <f t="shared" si="5"/>
        <v>562.47800000000007</v>
      </c>
      <c r="AB77" s="2710"/>
      <c r="AC77" s="4831">
        <f>+'GRD SUMM RCL 150X150 '!BS42</f>
        <v>0</v>
      </c>
      <c r="AD77" s="2710"/>
      <c r="AE77" s="2710">
        <f t="shared" si="6"/>
        <v>562.47800000000007</v>
      </c>
      <c r="AF77" s="2710"/>
      <c r="AG77" s="4831">
        <f>+'GRD SUMM RCL 150X150 '!BW42</f>
        <v>8262.737000000001</v>
      </c>
      <c r="AH77" s="2710"/>
      <c r="AI77" s="2710">
        <f t="shared" si="7"/>
        <v>8825.2150000000001</v>
      </c>
      <c r="AJ77" s="2710"/>
      <c r="AK77" s="5437">
        <f>+'GRD SUMM RCL 150X150 '!CA42</f>
        <v>15390</v>
      </c>
      <c r="AL77" s="2710"/>
      <c r="AM77" s="2710">
        <f t="shared" si="8"/>
        <v>23652.737000000001</v>
      </c>
      <c r="AN77" s="2710"/>
      <c r="AO77" s="2710">
        <f t="shared" si="9"/>
        <v>24215.215</v>
      </c>
      <c r="AP77" s="2710"/>
      <c r="AQ77" s="4831">
        <f>+'GRD SUMM RCL 150X150 '!CG42</f>
        <v>4637</v>
      </c>
      <c r="AR77" s="2710"/>
      <c r="AS77" s="2710">
        <f t="shared" si="10"/>
        <v>28852.215</v>
      </c>
      <c r="AT77" s="2710"/>
      <c r="AU77" s="4831">
        <f>+'GRD SUMM RCL 150X150 '!CK42</f>
        <v>0</v>
      </c>
      <c r="AV77" s="2710"/>
      <c r="AW77" s="2710">
        <f t="shared" si="11"/>
        <v>28852.215</v>
      </c>
      <c r="AX77" s="2710"/>
      <c r="AY77" s="4831">
        <f>+'GRD SUMM RCL 150X150 '!CO42</f>
        <v>9403.2980000000007</v>
      </c>
      <c r="AZ77" s="2710"/>
      <c r="BA77" s="4831">
        <f t="shared" si="12"/>
        <v>14040.298000000001</v>
      </c>
      <c r="BB77" s="2710"/>
      <c r="BC77" s="4831">
        <f t="shared" si="13"/>
        <v>37693.035000000003</v>
      </c>
      <c r="BD77" s="2710"/>
      <c r="BE77" s="4831">
        <f t="shared" si="14"/>
        <v>38255.512999999999</v>
      </c>
    </row>
    <row r="78" spans="3:57" x14ac:dyDescent="0.3">
      <c r="C78" s="2" t="s">
        <v>1200</v>
      </c>
      <c r="D78" s="299"/>
      <c r="E78" s="4831">
        <f>+'GRD SUMM RCL 150X150 '!AU44</f>
        <v>12536</v>
      </c>
      <c r="F78" s="2710"/>
      <c r="G78" s="4831">
        <f>+'GRD SUMM RCL 150X150 '!AW44</f>
        <v>0</v>
      </c>
      <c r="H78" s="2710"/>
      <c r="I78" s="2710">
        <f t="shared" si="0"/>
        <v>12536</v>
      </c>
      <c r="J78" s="2710"/>
      <c r="K78" s="4831">
        <f>+'GRD SUMM RCL 150X150 '!BA44</f>
        <v>11350</v>
      </c>
      <c r="L78" s="2710"/>
      <c r="M78" s="2710">
        <f t="shared" si="1"/>
        <v>23886</v>
      </c>
      <c r="N78" s="2710"/>
      <c r="O78" s="4831">
        <f>+'GRD SUMM RCL 150X150 '!BE44</f>
        <v>13705</v>
      </c>
      <c r="P78" s="2710"/>
      <c r="Q78" s="2710">
        <f t="shared" si="2"/>
        <v>37591</v>
      </c>
      <c r="R78" s="2710"/>
      <c r="S78" s="4831">
        <f>+'GRD SUMM RCL 150X150 '!BI44</f>
        <v>6337.7719999999999</v>
      </c>
      <c r="T78" s="2710"/>
      <c r="U78" s="2710">
        <f t="shared" si="3"/>
        <v>43928.771999999997</v>
      </c>
      <c r="V78" s="2710"/>
      <c r="W78" s="4831">
        <f>+'GRD SUMM RCL 150X150 '!BM44</f>
        <v>10684</v>
      </c>
      <c r="X78" s="2710"/>
      <c r="Y78" s="2710">
        <f t="shared" si="4"/>
        <v>30726.772000000001</v>
      </c>
      <c r="Z78" s="2710"/>
      <c r="AA78" s="2710">
        <f t="shared" si="5"/>
        <v>54612.771999999997</v>
      </c>
      <c r="AB78" s="2710"/>
      <c r="AC78" s="4831">
        <f>+'GRD SUMM RCL 150X150 '!BS44</f>
        <v>13635</v>
      </c>
      <c r="AD78" s="2710"/>
      <c r="AE78" s="2710">
        <f t="shared" si="6"/>
        <v>68247.771999999997</v>
      </c>
      <c r="AF78" s="2710"/>
      <c r="AG78" s="4831">
        <f>+'GRD SUMM RCL 150X150 '!BW44</f>
        <v>6350.99</v>
      </c>
      <c r="AH78" s="2710"/>
      <c r="AI78" s="2710">
        <f t="shared" si="7"/>
        <v>74598.761999999988</v>
      </c>
      <c r="AJ78" s="2710"/>
      <c r="AK78" s="5437">
        <f>+'GRD SUMM RCL 150X150 '!CA44</f>
        <v>0</v>
      </c>
      <c r="AL78" s="2710"/>
      <c r="AM78" s="2710">
        <f t="shared" si="8"/>
        <v>19985.989999999998</v>
      </c>
      <c r="AN78" s="2710"/>
      <c r="AO78" s="2710">
        <f t="shared" si="9"/>
        <v>74598.761999999988</v>
      </c>
      <c r="AP78" s="2710"/>
      <c r="AQ78" s="4831">
        <f>+'GRD SUMM RCL 150X150 '!CG44</f>
        <v>0</v>
      </c>
      <c r="AR78" s="2710"/>
      <c r="AS78" s="2710">
        <f t="shared" si="10"/>
        <v>74598.761999999988</v>
      </c>
      <c r="AT78" s="2710"/>
      <c r="AU78" s="4831">
        <f>+'GRD SUMM RCL 150X150 '!CK44</f>
        <v>0</v>
      </c>
      <c r="AV78" s="2710"/>
      <c r="AW78" s="2710">
        <f t="shared" si="11"/>
        <v>74598.761999999988</v>
      </c>
      <c r="AX78" s="2710"/>
      <c r="AY78" s="4831">
        <f>+'GRD SUMM RCL 150X150 '!CO44</f>
        <v>0</v>
      </c>
      <c r="AZ78" s="2710"/>
      <c r="BA78" s="4831">
        <f t="shared" si="12"/>
        <v>0</v>
      </c>
      <c r="BB78" s="2710"/>
      <c r="BC78" s="4831">
        <f t="shared" si="13"/>
        <v>19985.989999999998</v>
      </c>
      <c r="BD78" s="2710"/>
      <c r="BE78" s="4831">
        <f t="shared" si="14"/>
        <v>74598.762000000002</v>
      </c>
    </row>
    <row r="79" spans="3:57" x14ac:dyDescent="0.3">
      <c r="C79" s="2" t="s">
        <v>1919</v>
      </c>
      <c r="D79" s="299"/>
      <c r="E79" s="4831">
        <f>+'GRD SUMM RCL 150X150 '!AU46</f>
        <v>0</v>
      </c>
      <c r="F79" s="2710"/>
      <c r="G79" s="4831">
        <f>+'GRD SUMM RCL 150X150 '!AW46</f>
        <v>268</v>
      </c>
      <c r="H79" s="2710"/>
      <c r="I79" s="2710">
        <f t="shared" si="0"/>
        <v>268</v>
      </c>
      <c r="J79" s="2710"/>
      <c r="K79" s="4831">
        <f>+'GRD SUMM RCL 150X150 '!BA46</f>
        <v>0</v>
      </c>
      <c r="L79" s="2710"/>
      <c r="M79" s="2710">
        <f t="shared" si="1"/>
        <v>268</v>
      </c>
      <c r="N79" s="2710"/>
      <c r="O79" s="4831">
        <f>+'GRD SUMM RCL 150X150 '!BE46</f>
        <v>0</v>
      </c>
      <c r="P79" s="2710"/>
      <c r="Q79" s="2710">
        <f t="shared" si="2"/>
        <v>268</v>
      </c>
      <c r="R79" s="2710"/>
      <c r="S79" s="4831">
        <f>+'GRD SUMM RCL 150X150 '!BI46</f>
        <v>353.03800000000001</v>
      </c>
      <c r="T79" s="2710"/>
      <c r="U79" s="2710">
        <f t="shared" si="3"/>
        <v>621.03800000000001</v>
      </c>
      <c r="V79" s="2710"/>
      <c r="W79" s="4831">
        <f>+'GRD SUMM RCL 150X150 '!BM46</f>
        <v>114</v>
      </c>
      <c r="X79" s="2710"/>
      <c r="Y79" s="2710">
        <f t="shared" si="4"/>
        <v>467.03800000000001</v>
      </c>
      <c r="Z79" s="2710"/>
      <c r="AA79" s="2710">
        <f t="shared" si="5"/>
        <v>735.03800000000001</v>
      </c>
      <c r="AB79" s="2710"/>
      <c r="AC79" s="4831">
        <f>+'GRD SUMM RCL 150X150 '!BS46</f>
        <v>114</v>
      </c>
      <c r="AD79" s="2710"/>
      <c r="AE79" s="2710">
        <f t="shared" si="6"/>
        <v>849.03800000000001</v>
      </c>
      <c r="AF79" s="2710"/>
      <c r="AG79" s="4831">
        <f>+'GRD SUMM RCL 150X150 '!BW46</f>
        <v>114.804</v>
      </c>
      <c r="AH79" s="2710"/>
      <c r="AI79" s="2710">
        <f t="shared" si="7"/>
        <v>963.84199999999998</v>
      </c>
      <c r="AJ79" s="2710"/>
      <c r="AK79" s="5437">
        <f>+'GRD SUMM RCL 150X150 '!CA46</f>
        <v>249</v>
      </c>
      <c r="AL79" s="2710"/>
      <c r="AM79" s="2710">
        <f t="shared" si="8"/>
        <v>477.80399999999997</v>
      </c>
      <c r="AN79" s="2710"/>
      <c r="AO79" s="2710">
        <f t="shared" si="9"/>
        <v>1212.8420000000001</v>
      </c>
      <c r="AP79" s="2710"/>
      <c r="AQ79" s="4831">
        <f>+'GRD SUMM RCL 150X150 '!CG46</f>
        <v>203</v>
      </c>
      <c r="AR79" s="2710"/>
      <c r="AS79" s="2710">
        <f t="shared" si="10"/>
        <v>1415.8420000000001</v>
      </c>
      <c r="AT79" s="2710"/>
      <c r="AU79" s="4831">
        <f>+'GRD SUMM RCL 150X150 '!CK46</f>
        <v>82.914000000000001</v>
      </c>
      <c r="AV79" s="2710"/>
      <c r="AW79" s="2710">
        <f t="shared" si="11"/>
        <v>1498.7560000000001</v>
      </c>
      <c r="AX79" s="2710"/>
      <c r="AY79" s="4831">
        <f>+'GRD SUMM RCL 150X150 '!CO46</f>
        <v>150.946</v>
      </c>
      <c r="AZ79" s="2710"/>
      <c r="BA79" s="4831">
        <f t="shared" si="12"/>
        <v>436.86</v>
      </c>
      <c r="BB79" s="2710"/>
      <c r="BC79" s="4831">
        <f t="shared" si="13"/>
        <v>914.66399999999999</v>
      </c>
      <c r="BD79" s="2710"/>
      <c r="BE79" s="4831">
        <f t="shared" si="14"/>
        <v>1649.702</v>
      </c>
    </row>
    <row r="80" spans="3:57" x14ac:dyDescent="0.3">
      <c r="C80" s="2" t="s">
        <v>1200</v>
      </c>
      <c r="D80" s="299"/>
      <c r="E80" s="4831">
        <f>+'GRD SUMM RCL 150X150 '!AU47</f>
        <v>0</v>
      </c>
      <c r="F80" s="2710"/>
      <c r="G80" s="4831">
        <f>+'GRD SUMM RCL 150X150 '!AW47</f>
        <v>11786</v>
      </c>
      <c r="H80" s="2710"/>
      <c r="I80" s="2710">
        <f t="shared" si="0"/>
        <v>11786</v>
      </c>
      <c r="J80" s="2710"/>
      <c r="K80" s="4831">
        <f>+'GRD SUMM RCL 150X150 '!BA47</f>
        <v>0</v>
      </c>
      <c r="L80" s="2710"/>
      <c r="M80" s="2710">
        <f t="shared" si="1"/>
        <v>11786</v>
      </c>
      <c r="N80" s="2710"/>
      <c r="O80" s="4831">
        <f>+'GRD SUMM RCL 150X150 '!BE47</f>
        <v>0</v>
      </c>
      <c r="P80" s="2710"/>
      <c r="Q80" s="2710">
        <f t="shared" si="2"/>
        <v>11786</v>
      </c>
      <c r="R80" s="2710"/>
      <c r="S80" s="4831">
        <f>+'GRD SUMM RCL 150X150 '!BI47</f>
        <v>8141.0140000000001</v>
      </c>
      <c r="T80" s="2710"/>
      <c r="U80" s="2710">
        <f t="shared" si="3"/>
        <v>19927.013999999999</v>
      </c>
      <c r="V80" s="2710"/>
      <c r="W80" s="4831">
        <f>+'GRD SUMM RCL 150X150 '!BM47</f>
        <v>0</v>
      </c>
      <c r="X80" s="2710"/>
      <c r="Y80" s="2710">
        <f t="shared" si="4"/>
        <v>8141.0140000000001</v>
      </c>
      <c r="Z80" s="2710"/>
      <c r="AA80" s="2710">
        <f t="shared" si="5"/>
        <v>19927.013999999999</v>
      </c>
      <c r="AB80" s="2710"/>
      <c r="AC80" s="4831">
        <f>+'GRD SUMM RCL 150X150 '!BS47</f>
        <v>0</v>
      </c>
      <c r="AD80" s="2710"/>
      <c r="AE80" s="2710">
        <f t="shared" si="6"/>
        <v>19927.013999999999</v>
      </c>
      <c r="AF80" s="2710"/>
      <c r="AG80" s="4831">
        <f>+'GRD SUMM RCL 150X150 '!BW47</f>
        <v>0</v>
      </c>
      <c r="AH80" s="2710"/>
      <c r="AI80" s="2710">
        <f t="shared" si="7"/>
        <v>19927.013999999999</v>
      </c>
      <c r="AJ80" s="2710"/>
      <c r="AK80" s="5437">
        <f>+'GRD SUMM RCL 150X150 '!CA47</f>
        <v>0</v>
      </c>
      <c r="AL80" s="2710"/>
      <c r="AM80" s="2710">
        <f t="shared" si="8"/>
        <v>0</v>
      </c>
      <c r="AN80" s="2710"/>
      <c r="AO80" s="2710">
        <f t="shared" si="9"/>
        <v>19927.013999999999</v>
      </c>
      <c r="AP80" s="2710"/>
      <c r="AQ80" s="4831">
        <f>+'GRD SUMM RCL 150X150 '!CG47</f>
        <v>0</v>
      </c>
      <c r="AR80" s="2710"/>
      <c r="AS80" s="2710">
        <f t="shared" si="10"/>
        <v>19927.013999999999</v>
      </c>
      <c r="AT80" s="2710"/>
      <c r="AU80" s="4831">
        <f>+'GRD SUMM RCL 150X150 '!CK47</f>
        <v>0</v>
      </c>
      <c r="AV80" s="2710"/>
      <c r="AW80" s="2710">
        <f t="shared" si="11"/>
        <v>19927.013999999999</v>
      </c>
      <c r="AX80" s="2710"/>
      <c r="AY80" s="4831">
        <f>+'GRD SUMM RCL 150X150 '!CO47</f>
        <v>0</v>
      </c>
      <c r="AZ80" s="2710"/>
      <c r="BA80" s="4831">
        <f t="shared" si="12"/>
        <v>0</v>
      </c>
      <c r="BB80" s="2710"/>
      <c r="BC80" s="4831">
        <f t="shared" si="13"/>
        <v>0</v>
      </c>
      <c r="BD80" s="2710"/>
      <c r="BE80" s="4831">
        <f t="shared" si="14"/>
        <v>19927.013999999999</v>
      </c>
    </row>
    <row r="81" spans="3:57" x14ac:dyDescent="0.3">
      <c r="C81" s="2" t="s">
        <v>1924</v>
      </c>
      <c r="D81" s="299"/>
      <c r="E81" s="4831">
        <f>+'GRD SUMM RCL 150X150 '!AU48</f>
        <v>0</v>
      </c>
      <c r="F81" s="2710"/>
      <c r="G81" s="4831">
        <f>+'GRD SUMM RCL 150X150 '!AW48</f>
        <v>0</v>
      </c>
      <c r="H81" s="2710"/>
      <c r="I81" s="2710">
        <f t="shared" si="0"/>
        <v>0</v>
      </c>
      <c r="J81" s="2710"/>
      <c r="K81" s="4831">
        <f>+'GRD SUMM RCL 150X150 '!BA48</f>
        <v>3911</v>
      </c>
      <c r="L81" s="2710"/>
      <c r="M81" s="2710">
        <f t="shared" si="1"/>
        <v>3911</v>
      </c>
      <c r="N81" s="2710"/>
      <c r="O81" s="4831">
        <f>+'GRD SUMM RCL 150X150 '!BE48</f>
        <v>0</v>
      </c>
      <c r="P81" s="2710"/>
      <c r="Q81" s="2710">
        <f t="shared" si="2"/>
        <v>3911</v>
      </c>
      <c r="R81" s="2710"/>
      <c r="S81" s="4831">
        <f>+'GRD SUMM RCL 150X150 '!BI48</f>
        <v>0</v>
      </c>
      <c r="T81" s="2710"/>
      <c r="U81" s="2710">
        <f t="shared" si="3"/>
        <v>3911</v>
      </c>
      <c r="V81" s="2710"/>
      <c r="W81" s="4831">
        <f>+'GRD SUMM RCL 150X150 '!BM48</f>
        <v>1778</v>
      </c>
      <c r="X81" s="2710"/>
      <c r="Y81" s="2710">
        <f t="shared" si="4"/>
        <v>1778</v>
      </c>
      <c r="Z81" s="2710"/>
      <c r="AA81" s="2710">
        <f t="shared" si="5"/>
        <v>5689</v>
      </c>
      <c r="AB81" s="2710"/>
      <c r="AC81" s="4831">
        <f>+'GRD SUMM RCL 150X150 '!BS48</f>
        <v>6209</v>
      </c>
      <c r="AD81" s="2710"/>
      <c r="AE81" s="2710">
        <f t="shared" si="6"/>
        <v>11898</v>
      </c>
      <c r="AF81" s="2710"/>
      <c r="AG81" s="4831">
        <f>+'GRD SUMM RCL 150X150 '!BW48</f>
        <v>3737.4479999999999</v>
      </c>
      <c r="AH81" s="2710"/>
      <c r="AI81" s="2710">
        <f t="shared" si="7"/>
        <v>15635.448</v>
      </c>
      <c r="AJ81" s="2710"/>
      <c r="AK81" s="5437">
        <f>+'GRD SUMM RCL 150X150 '!CA48</f>
        <v>3995</v>
      </c>
      <c r="AL81" s="2710"/>
      <c r="AM81" s="2710">
        <f t="shared" si="8"/>
        <v>13941.448</v>
      </c>
      <c r="AN81" s="2710"/>
      <c r="AO81" s="2710">
        <f t="shared" si="9"/>
        <v>19630.448</v>
      </c>
      <c r="AP81" s="2710"/>
      <c r="AQ81" s="4831">
        <f>+'GRD SUMM RCL 150X150 '!CG48</f>
        <v>3115</v>
      </c>
      <c r="AR81" s="2710"/>
      <c r="AS81" s="2710">
        <f t="shared" si="10"/>
        <v>22745.448</v>
      </c>
      <c r="AT81" s="2710"/>
      <c r="AU81" s="4831">
        <f>+'GRD SUMM RCL 150X150 '!CK48</f>
        <v>1894.2660000000001</v>
      </c>
      <c r="AV81" s="2710"/>
      <c r="AW81" s="2710">
        <f t="shared" si="11"/>
        <v>24639.714</v>
      </c>
      <c r="AX81" s="2710"/>
      <c r="AY81" s="4831">
        <f>+'GRD SUMM RCL 150X150 '!CO48</f>
        <v>4694.2079999999996</v>
      </c>
      <c r="AZ81" s="2710"/>
      <c r="BA81" s="4831">
        <f t="shared" si="12"/>
        <v>9703.4740000000002</v>
      </c>
      <c r="BB81" s="2710"/>
      <c r="BC81" s="4831">
        <f t="shared" si="13"/>
        <v>23644.921999999999</v>
      </c>
      <c r="BD81" s="2710"/>
      <c r="BE81" s="4831">
        <f t="shared" si="14"/>
        <v>29333.921999999999</v>
      </c>
    </row>
    <row r="82" spans="3:57" x14ac:dyDescent="0.3">
      <c r="C82" s="2" t="s">
        <v>1866</v>
      </c>
      <c r="D82" s="299"/>
      <c r="E82" s="4831">
        <f>+'GRD SUMM RCL 150X150 '!AU49</f>
        <v>256</v>
      </c>
      <c r="F82" s="2710"/>
      <c r="G82" s="4831">
        <f>+'GRD SUMM RCL 150X150 '!AW49</f>
        <v>750</v>
      </c>
      <c r="H82" s="2710"/>
      <c r="I82" s="2710">
        <f t="shared" si="0"/>
        <v>1006</v>
      </c>
      <c r="J82" s="2710"/>
      <c r="K82" s="4831">
        <f>+'GRD SUMM RCL 150X150 '!BA49</f>
        <v>131</v>
      </c>
      <c r="L82" s="2710"/>
      <c r="M82" s="2710">
        <f t="shared" si="1"/>
        <v>1137</v>
      </c>
      <c r="N82" s="2710"/>
      <c r="O82" s="4831">
        <f>+'GRD SUMM RCL 150X150 '!BE49</f>
        <v>685</v>
      </c>
      <c r="P82" s="2710"/>
      <c r="Q82" s="2710">
        <f t="shared" si="2"/>
        <v>1822</v>
      </c>
      <c r="R82" s="2710"/>
      <c r="S82" s="4831">
        <f>+'GRD SUMM RCL 150X150 '!BI49</f>
        <v>410.11599999999999</v>
      </c>
      <c r="T82" s="2710"/>
      <c r="U82" s="2710">
        <f t="shared" si="3"/>
        <v>2232.116</v>
      </c>
      <c r="V82" s="2710"/>
      <c r="W82" s="4831">
        <f>+'GRD SUMM RCL 150X150 '!BM49</f>
        <v>5355</v>
      </c>
      <c r="X82" s="2710"/>
      <c r="Y82" s="2710">
        <f t="shared" si="4"/>
        <v>6450.116</v>
      </c>
      <c r="Z82" s="2710"/>
      <c r="AA82" s="2710">
        <f t="shared" si="5"/>
        <v>7587.116</v>
      </c>
      <c r="AB82" s="2710"/>
      <c r="AC82" s="4831">
        <f>+'GRD SUMM RCL 150X150 '!BS49</f>
        <v>21</v>
      </c>
      <c r="AD82" s="2710"/>
      <c r="AE82" s="2710">
        <f t="shared" si="6"/>
        <v>7608.116</v>
      </c>
      <c r="AF82" s="2710"/>
      <c r="AG82" s="4831">
        <f>+'GRD SUMM RCL 150X150 '!BW49</f>
        <v>5500.2509999999993</v>
      </c>
      <c r="AH82" s="2710"/>
      <c r="AI82" s="2710">
        <f t="shared" si="7"/>
        <v>13108.367</v>
      </c>
      <c r="AJ82" s="2710"/>
      <c r="AK82" s="5437">
        <f>+'GRD SUMM RCL 150X150 '!CA49</f>
        <v>4033</v>
      </c>
      <c r="AL82" s="2710"/>
      <c r="AM82" s="2710">
        <f t="shared" si="8"/>
        <v>9554.2510000000002</v>
      </c>
      <c r="AN82" s="2710"/>
      <c r="AO82" s="2710">
        <f t="shared" si="9"/>
        <v>17141.366999999998</v>
      </c>
      <c r="AP82" s="2710"/>
      <c r="AQ82" s="4831">
        <f>+'GRD SUMM RCL 150X150 '!CG49</f>
        <v>38</v>
      </c>
      <c r="AR82" s="2710"/>
      <c r="AS82" s="2710">
        <f t="shared" si="10"/>
        <v>17179.366999999998</v>
      </c>
      <c r="AT82" s="2710"/>
      <c r="AU82" s="4831">
        <f>+'GRD SUMM RCL 150X150 '!CK49</f>
        <v>3165.614</v>
      </c>
      <c r="AV82" s="2710"/>
      <c r="AW82" s="2710">
        <f t="shared" si="11"/>
        <v>20344.981</v>
      </c>
      <c r="AX82" s="2710"/>
      <c r="AY82" s="4831">
        <f>+'GRD SUMM RCL 150X150 '!CO49</f>
        <v>2130.252</v>
      </c>
      <c r="AZ82" s="2710"/>
      <c r="BA82" s="4831">
        <f t="shared" si="12"/>
        <v>5333.866</v>
      </c>
      <c r="BB82" s="2710"/>
      <c r="BC82" s="4831">
        <f t="shared" si="13"/>
        <v>14888.117</v>
      </c>
      <c r="BD82" s="2710"/>
      <c r="BE82" s="4831">
        <f t="shared" si="14"/>
        <v>22475.233</v>
      </c>
    </row>
    <row r="83" spans="3:57" x14ac:dyDescent="0.3">
      <c r="C83" s="2" t="s">
        <v>1202</v>
      </c>
      <c r="D83" s="299"/>
      <c r="E83" s="4831">
        <f>+'GRD SUMM RCL 150X150 '!AU50</f>
        <v>15200</v>
      </c>
      <c r="F83" s="2710"/>
      <c r="G83" s="4831">
        <f>+'GRD SUMM RCL 150X150 '!AW50</f>
        <v>17368</v>
      </c>
      <c r="H83" s="2710"/>
      <c r="I83" s="2710">
        <f t="shared" si="0"/>
        <v>32568</v>
      </c>
      <c r="J83" s="2710"/>
      <c r="K83" s="4831">
        <f>+'GRD SUMM RCL 150X150 '!BA50</f>
        <v>12849</v>
      </c>
      <c r="L83" s="2710"/>
      <c r="M83" s="2710">
        <f t="shared" si="1"/>
        <v>45417</v>
      </c>
      <c r="N83" s="2710"/>
      <c r="O83" s="4831">
        <f>+'GRD SUMM RCL 150X150 '!BE50</f>
        <v>18517</v>
      </c>
      <c r="P83" s="2710"/>
      <c r="Q83" s="2710">
        <f t="shared" si="2"/>
        <v>63934</v>
      </c>
      <c r="R83" s="2710"/>
      <c r="S83" s="4831">
        <f>+'GRD SUMM RCL 150X150 '!BI50</f>
        <v>14098.266</v>
      </c>
      <c r="T83" s="2710"/>
      <c r="U83" s="2710">
        <f t="shared" si="3"/>
        <v>78032.266000000003</v>
      </c>
      <c r="V83" s="2710"/>
      <c r="W83" s="4831">
        <f>+'GRD SUMM RCL 150X150 '!BM50</f>
        <v>17181</v>
      </c>
      <c r="X83" s="2710"/>
      <c r="Y83" s="2710">
        <f t="shared" si="4"/>
        <v>49796.266000000003</v>
      </c>
      <c r="Z83" s="2710"/>
      <c r="AA83" s="2710">
        <f t="shared" si="5"/>
        <v>95213.266000000003</v>
      </c>
      <c r="AB83" s="2710"/>
      <c r="AC83" s="4831">
        <f>+'GRD SUMM RCL 150X150 '!BS50</f>
        <v>21466</v>
      </c>
      <c r="AD83" s="2710"/>
      <c r="AE83" s="2710">
        <f t="shared" si="6"/>
        <v>116679.266</v>
      </c>
      <c r="AF83" s="2710"/>
      <c r="AG83" s="4831">
        <f>+'GRD SUMM RCL 150X150 '!BW50</f>
        <v>25111.692000000003</v>
      </c>
      <c r="AH83" s="2710"/>
      <c r="AI83" s="2710">
        <f t="shared" si="7"/>
        <v>141790.95799999998</v>
      </c>
      <c r="AJ83" s="2710"/>
      <c r="AK83" s="5437">
        <f>+'GRD SUMM RCL 150X150 '!CA50</f>
        <v>9723</v>
      </c>
      <c r="AL83" s="2710"/>
      <c r="AM83" s="2710">
        <f t="shared" si="8"/>
        <v>56300.692000000003</v>
      </c>
      <c r="AN83" s="2710"/>
      <c r="AO83" s="2710">
        <f t="shared" si="9"/>
        <v>151513.95800000001</v>
      </c>
      <c r="AP83" s="2710"/>
      <c r="AQ83" s="4831">
        <f>+'GRD SUMM RCL 150X150 '!CG50</f>
        <v>11151</v>
      </c>
      <c r="AR83" s="2710"/>
      <c r="AS83" s="2710">
        <f t="shared" si="10"/>
        <v>162664.95800000001</v>
      </c>
      <c r="AT83" s="2710"/>
      <c r="AU83" s="4831">
        <f>+'GRD SUMM RCL 150X150 '!CK50</f>
        <v>3937.3519999999999</v>
      </c>
      <c r="AV83" s="2710"/>
      <c r="AW83" s="2710">
        <f t="shared" si="11"/>
        <v>166602.31000000003</v>
      </c>
      <c r="AX83" s="2710"/>
      <c r="AY83" s="4831">
        <f>+'GRD SUMM RCL 150X150 '!CO50</f>
        <v>10396.14</v>
      </c>
      <c r="AZ83" s="2710"/>
      <c r="BA83" s="4831">
        <f t="shared" si="12"/>
        <v>25484.491999999998</v>
      </c>
      <c r="BB83" s="2710"/>
      <c r="BC83" s="4831">
        <f t="shared" si="13"/>
        <v>81785.184000000008</v>
      </c>
      <c r="BD83" s="2710"/>
      <c r="BE83" s="4831">
        <f t="shared" si="14"/>
        <v>176998.45</v>
      </c>
    </row>
    <row r="84" spans="3:57" x14ac:dyDescent="0.3">
      <c r="C84" s="2" t="s">
        <v>2021</v>
      </c>
      <c r="D84" s="299"/>
      <c r="E84" s="4831">
        <f>+'GRD SUMM RCL 150X150 '!AU54</f>
        <v>0</v>
      </c>
      <c r="F84" s="2710"/>
      <c r="G84" s="4831">
        <f>+'GRD SUMM RCL 150X150 '!AW54</f>
        <v>302</v>
      </c>
      <c r="H84" s="2710"/>
      <c r="I84" s="2710">
        <f t="shared" si="0"/>
        <v>302</v>
      </c>
      <c r="J84" s="2710"/>
      <c r="K84" s="4831">
        <f>+'GRD SUMM RCL 150X150 '!BA54</f>
        <v>108</v>
      </c>
      <c r="L84" s="2710"/>
      <c r="M84" s="2710">
        <f t="shared" si="1"/>
        <v>410</v>
      </c>
      <c r="N84" s="2710"/>
      <c r="O84" s="4831">
        <f>+'GRD SUMM RCL 150X150 '!BE54</f>
        <v>1552</v>
      </c>
      <c r="P84" s="2710"/>
      <c r="Q84" s="2710">
        <f t="shared" si="2"/>
        <v>1962</v>
      </c>
      <c r="R84" s="2710"/>
      <c r="S84" s="4831">
        <f>+'GRD SUMM RCL 150X150 '!BI54</f>
        <v>0</v>
      </c>
      <c r="T84" s="2710"/>
      <c r="U84" s="2710">
        <f t="shared" si="3"/>
        <v>1962</v>
      </c>
      <c r="V84" s="2710"/>
      <c r="W84" s="4831">
        <f>+'GRD SUMM RCL 150X150 '!BM54</f>
        <v>0</v>
      </c>
      <c r="X84" s="2710"/>
      <c r="Y84" s="2710">
        <f t="shared" si="4"/>
        <v>1552</v>
      </c>
      <c r="Z84" s="2710"/>
      <c r="AA84" s="2710">
        <f t="shared" si="5"/>
        <v>1962</v>
      </c>
      <c r="AB84" s="2710"/>
      <c r="AC84" s="4831">
        <f>+'GRD SUMM RCL 150X150 '!BS54</f>
        <v>0</v>
      </c>
      <c r="AD84" s="2710"/>
      <c r="AE84" s="2710">
        <f t="shared" si="6"/>
        <v>1962</v>
      </c>
      <c r="AF84" s="2710"/>
      <c r="AG84" s="4831">
        <f>+'GRD SUMM RCL 150X150 '!BW54</f>
        <v>0</v>
      </c>
      <c r="AH84" s="2710"/>
      <c r="AI84" s="2710">
        <f t="shared" si="7"/>
        <v>1962</v>
      </c>
      <c r="AJ84" s="2710"/>
      <c r="AK84" s="5437">
        <f>+'GRD SUMM RCL 150X150 '!CA54</f>
        <v>0</v>
      </c>
      <c r="AL84" s="2710"/>
      <c r="AM84" s="2710">
        <f t="shared" si="8"/>
        <v>0</v>
      </c>
      <c r="AN84" s="2710"/>
      <c r="AO84" s="2710">
        <f t="shared" si="9"/>
        <v>1962</v>
      </c>
      <c r="AP84" s="2710"/>
      <c r="AQ84" s="4831">
        <f>+'GRD SUMM RCL 150X150 '!CG54</f>
        <v>0</v>
      </c>
      <c r="AR84" s="2710"/>
      <c r="AS84" s="2710">
        <f t="shared" si="10"/>
        <v>1962</v>
      </c>
      <c r="AT84" s="2710"/>
      <c r="AU84" s="4831">
        <f>+'GRD SUMM RCL 150X150 '!CK54</f>
        <v>0</v>
      </c>
      <c r="AV84" s="2710"/>
      <c r="AW84" s="2710">
        <f t="shared" si="11"/>
        <v>1962</v>
      </c>
      <c r="AX84" s="2710"/>
      <c r="AY84" s="4831">
        <f>+'GRD SUMM RCL 150X150 '!CO54</f>
        <v>0</v>
      </c>
      <c r="AZ84" s="2710"/>
      <c r="BA84" s="4831">
        <f t="shared" si="12"/>
        <v>0</v>
      </c>
      <c r="BB84" s="2710"/>
      <c r="BC84" s="4831">
        <f t="shared" si="13"/>
        <v>0</v>
      </c>
      <c r="BD84" s="2710"/>
      <c r="BE84" s="4831">
        <f t="shared" si="14"/>
        <v>1962</v>
      </c>
    </row>
    <row r="85" spans="3:57" x14ac:dyDescent="0.3">
      <c r="C85" s="4968" t="s">
        <v>2118</v>
      </c>
      <c r="D85" s="4969"/>
      <c r="E85" s="4970">
        <f>'GRD SUMM RCL 150X150 '!AU56</f>
        <v>0</v>
      </c>
      <c r="F85" s="4971"/>
      <c r="G85" s="4970">
        <f>'GRD SUMM RCL 150X150 '!AW56</f>
        <v>0</v>
      </c>
      <c r="H85" s="4971"/>
      <c r="I85" s="4971"/>
      <c r="J85" s="4971"/>
      <c r="K85" s="4970">
        <f>'GRD SUMM RCL 150X150 '!BA56</f>
        <v>0</v>
      </c>
      <c r="L85" s="4971"/>
      <c r="M85" s="4971"/>
      <c r="N85" s="4971"/>
      <c r="O85" s="4970">
        <f>'GRD SUMM RCL 150X150 '!BE56</f>
        <v>0</v>
      </c>
      <c r="P85" s="4971"/>
      <c r="Q85" s="4971"/>
      <c r="R85" s="4971"/>
      <c r="S85" s="4970">
        <f>'GRD SUMM RCL 150X150 '!BI56</f>
        <v>0</v>
      </c>
      <c r="T85" s="4971"/>
      <c r="U85" s="2710">
        <f t="shared" si="3"/>
        <v>0</v>
      </c>
      <c r="V85" s="4971"/>
      <c r="W85" s="4970">
        <f>'GRD SUMM RCL 150X150 '!BM56</f>
        <v>374</v>
      </c>
      <c r="X85" s="4971"/>
      <c r="Y85" s="2710">
        <f t="shared" si="4"/>
        <v>374</v>
      </c>
      <c r="Z85" s="4971"/>
      <c r="AA85" s="2710">
        <f t="shared" si="5"/>
        <v>374</v>
      </c>
      <c r="AB85" s="4971"/>
      <c r="AC85" s="4970">
        <f>'GRD SUMM RCL 150X150 '!BS56</f>
        <v>0</v>
      </c>
      <c r="AD85" s="4971"/>
      <c r="AE85" s="2710">
        <f t="shared" ref="AE85" si="15">+AC85+W85+S85+O85+K85+G85+E85</f>
        <v>374</v>
      </c>
      <c r="AF85" s="2710"/>
      <c r="AG85" s="4970">
        <f>'GRD SUMM RCL 150X150 '!BW56</f>
        <v>229.608</v>
      </c>
      <c r="AH85" s="2710"/>
      <c r="AI85" s="2710">
        <f t="shared" ref="AI85" si="16">+AG85+AC85+W85+S85+O85+K85+G85+E85</f>
        <v>603.60799999999995</v>
      </c>
      <c r="AJ85" s="2710"/>
      <c r="AK85" s="5438">
        <f>'GRD SUMM RCL 150X150 '!CA56</f>
        <v>0</v>
      </c>
      <c r="AL85" s="2710"/>
      <c r="AM85" s="2710">
        <f t="shared" ref="AM85" si="17">+AK85+AG85+AC85</f>
        <v>229.608</v>
      </c>
      <c r="AN85" s="2710"/>
      <c r="AO85" s="2710">
        <f t="shared" ref="AO85" si="18">+AK85+AG85+AC85+W85+S85+O85+K85+G85+E85</f>
        <v>603.60799999999995</v>
      </c>
      <c r="AP85" s="2710"/>
      <c r="AQ85" s="4970">
        <f>'GRD SUMM RCL 150X150 '!CG56</f>
        <v>0</v>
      </c>
      <c r="AR85" s="2710"/>
      <c r="AS85" s="2710">
        <f t="shared" ref="AS85" si="19">+AO85+AQ85</f>
        <v>603.60799999999995</v>
      </c>
      <c r="AT85" s="2710"/>
      <c r="AU85" s="4970">
        <f>'GRD SUMM RCL 150X150 '!CK56</f>
        <v>0</v>
      </c>
      <c r="AV85" s="2710"/>
      <c r="AW85" s="2710">
        <f t="shared" ref="AW85" si="20">+AS85+AU85</f>
        <v>603.60799999999995</v>
      </c>
      <c r="AX85" s="2710"/>
      <c r="AY85" s="4970">
        <f>'GRD SUMM RCL 150X150 '!CO56</f>
        <v>0</v>
      </c>
      <c r="AZ85" s="2710"/>
      <c r="BA85" s="4970">
        <f t="shared" si="12"/>
        <v>0</v>
      </c>
      <c r="BB85" s="2710"/>
      <c r="BC85" s="4970">
        <f t="shared" si="13"/>
        <v>229.608</v>
      </c>
      <c r="BD85" s="2710"/>
      <c r="BE85" s="4970">
        <f t="shared" si="14"/>
        <v>603.60799999999995</v>
      </c>
    </row>
    <row r="86" spans="3:57" x14ac:dyDescent="0.3">
      <c r="C86" s="2" t="s">
        <v>1923</v>
      </c>
      <c r="D86" s="299"/>
      <c r="E86" s="4831">
        <f>+'GRD SUMM RCL 150X150 '!AU57</f>
        <v>1670</v>
      </c>
      <c r="F86" s="2710"/>
      <c r="G86" s="4831">
        <f>+'GRD SUMM RCL 150X150 '!AW57</f>
        <v>3414</v>
      </c>
      <c r="H86" s="2710"/>
      <c r="I86" s="2710">
        <f t="shared" si="0"/>
        <v>5084</v>
      </c>
      <c r="J86" s="2710"/>
      <c r="K86" s="4831">
        <f>+'GRD SUMM RCL 150X150 '!BA57</f>
        <v>2771</v>
      </c>
      <c r="L86" s="2710"/>
      <c r="M86" s="2710">
        <f t="shared" si="1"/>
        <v>7855</v>
      </c>
      <c r="N86" s="2710"/>
      <c r="O86" s="4831">
        <f>+'GRD SUMM RCL 150X150 '!BE57</f>
        <v>2319</v>
      </c>
      <c r="P86" s="2710"/>
      <c r="Q86" s="2710">
        <f t="shared" si="2"/>
        <v>10174</v>
      </c>
      <c r="R86" s="2710"/>
      <c r="S86" s="4831">
        <f>+'GRD SUMM RCL 150X150 '!BI57</f>
        <v>3579.002</v>
      </c>
      <c r="T86" s="2710"/>
      <c r="U86" s="2710">
        <f t="shared" si="3"/>
        <v>13753.002</v>
      </c>
      <c r="V86" s="2710"/>
      <c r="W86" s="4831">
        <f>+'GRD SUMM RCL 150X150 '!BM57</f>
        <v>1932</v>
      </c>
      <c r="X86" s="2710"/>
      <c r="Y86" s="2710">
        <f t="shared" si="4"/>
        <v>7830.0020000000004</v>
      </c>
      <c r="Z86" s="2710"/>
      <c r="AA86" s="2710">
        <f t="shared" si="5"/>
        <v>15685.002</v>
      </c>
      <c r="AB86" s="2710"/>
      <c r="AC86" s="4831">
        <f>+'GRD SUMM RCL 150X150 '!BS57</f>
        <v>2725</v>
      </c>
      <c r="AD86" s="2710"/>
      <c r="AE86" s="2710">
        <f t="shared" si="6"/>
        <v>18410.002</v>
      </c>
      <c r="AF86" s="2710"/>
      <c r="AG86" s="4831">
        <f>+'GRD SUMM RCL 150X150 '!BW57</f>
        <v>2608.7059999999997</v>
      </c>
      <c r="AH86" s="2710"/>
      <c r="AI86" s="2710">
        <f t="shared" si="7"/>
        <v>21018.707999999999</v>
      </c>
      <c r="AJ86" s="2710"/>
      <c r="AK86" s="5437">
        <f>+'GRD SUMM RCL 150X150 '!CA57</f>
        <v>1839</v>
      </c>
      <c r="AL86" s="2710"/>
      <c r="AM86" s="2710">
        <f t="shared" si="8"/>
        <v>7172.7060000000001</v>
      </c>
      <c r="AN86" s="2710"/>
      <c r="AO86" s="2710">
        <f t="shared" si="9"/>
        <v>22857.707999999999</v>
      </c>
      <c r="AP86" s="2710"/>
      <c r="AQ86" s="4831">
        <f>+'GRD SUMM RCL 150X150 '!CG57</f>
        <v>1646</v>
      </c>
      <c r="AR86" s="2710"/>
      <c r="AS86" s="2710">
        <f t="shared" si="10"/>
        <v>24503.707999999999</v>
      </c>
      <c r="AT86" s="2710"/>
      <c r="AU86" s="4831">
        <f>+'GRD SUMM RCL 150X150 '!CK57</f>
        <v>1422.2940000000001</v>
      </c>
      <c r="AV86" s="2710"/>
      <c r="AW86" s="2710">
        <f t="shared" si="11"/>
        <v>25926.002</v>
      </c>
      <c r="AX86" s="2710"/>
      <c r="AY86" s="4831">
        <f>+'GRD SUMM RCL 150X150 '!CO57</f>
        <v>2236.5519999999997</v>
      </c>
      <c r="AZ86" s="2710"/>
      <c r="BA86" s="4831">
        <f t="shared" si="12"/>
        <v>5304.8459999999995</v>
      </c>
      <c r="BB86" s="2710"/>
      <c r="BC86" s="4831">
        <f t="shared" si="13"/>
        <v>12477.552</v>
      </c>
      <c r="BD86" s="2710"/>
      <c r="BE86" s="4831">
        <f t="shared" si="14"/>
        <v>28162.554</v>
      </c>
    </row>
    <row r="87" spans="3:57" x14ac:dyDescent="0.3">
      <c r="C87" s="2" t="s">
        <v>1326</v>
      </c>
      <c r="D87" s="299"/>
      <c r="E87" s="4831">
        <f>+'GRD SUMM RCL 150X150 '!AU58</f>
        <v>3034</v>
      </c>
      <c r="F87" s="2710"/>
      <c r="G87" s="4831">
        <f>+'GRD SUMM RCL 150X150 '!AW58</f>
        <v>3348</v>
      </c>
      <c r="H87" s="2710"/>
      <c r="I87" s="2710">
        <f t="shared" si="0"/>
        <v>6382</v>
      </c>
      <c r="J87" s="2710"/>
      <c r="K87" s="4831">
        <f>+'GRD SUMM RCL 150X150 '!BA58</f>
        <v>2101</v>
      </c>
      <c r="L87" s="2710"/>
      <c r="M87" s="2710">
        <f t="shared" si="1"/>
        <v>8483</v>
      </c>
      <c r="N87" s="2710"/>
      <c r="O87" s="4831">
        <f>+'GRD SUMM RCL 150X150 '!BE58</f>
        <v>1795</v>
      </c>
      <c r="P87" s="2710"/>
      <c r="Q87" s="2710">
        <f t="shared" si="2"/>
        <v>10278</v>
      </c>
      <c r="R87" s="2710"/>
      <c r="S87" s="4831">
        <f>+'GRD SUMM RCL 150X150 '!BI58</f>
        <v>1887.8020000000001</v>
      </c>
      <c r="T87" s="2710"/>
      <c r="U87" s="2710">
        <f t="shared" si="3"/>
        <v>12165.802</v>
      </c>
      <c r="V87" s="2710"/>
      <c r="W87" s="4831">
        <f>+'GRD SUMM RCL 150X150 '!BM58</f>
        <v>2519</v>
      </c>
      <c r="X87" s="2710"/>
      <c r="Y87" s="2710">
        <f t="shared" si="4"/>
        <v>6201.8019999999997</v>
      </c>
      <c r="Z87" s="2710"/>
      <c r="AA87" s="2710">
        <f t="shared" si="5"/>
        <v>14684.802</v>
      </c>
      <c r="AB87" s="2710"/>
      <c r="AC87" s="4831">
        <f>+'GRD SUMM RCL 150X150 '!BS58</f>
        <v>1199</v>
      </c>
      <c r="AD87" s="2710"/>
      <c r="AE87" s="2710">
        <f t="shared" si="6"/>
        <v>15883.802</v>
      </c>
      <c r="AF87" s="2710"/>
      <c r="AG87" s="4831">
        <f>+'GRD SUMM RCL 150X150 '!BW58</f>
        <v>1456.4299999999998</v>
      </c>
      <c r="AH87" s="2710"/>
      <c r="AI87" s="2710">
        <f t="shared" si="7"/>
        <v>17340.232</v>
      </c>
      <c r="AJ87" s="2710"/>
      <c r="AK87" s="5437">
        <f>+'GRD SUMM RCL 150X150 '!CA58</f>
        <v>1962</v>
      </c>
      <c r="AL87" s="2710"/>
      <c r="AM87" s="2710">
        <f t="shared" si="8"/>
        <v>4617.43</v>
      </c>
      <c r="AN87" s="2710"/>
      <c r="AO87" s="2710">
        <f t="shared" si="9"/>
        <v>19302.232</v>
      </c>
      <c r="AP87" s="2710"/>
      <c r="AQ87" s="4831">
        <f>+'GRD SUMM RCL 150X150 '!CG58</f>
        <v>2447</v>
      </c>
      <c r="AR87" s="2710"/>
      <c r="AS87" s="2710">
        <f t="shared" si="10"/>
        <v>21749.232</v>
      </c>
      <c r="AT87" s="2710"/>
      <c r="AU87" s="4831">
        <f>+'GRD SUMM RCL 150X150 '!CK58</f>
        <v>1690.1699999999998</v>
      </c>
      <c r="AV87" s="2710"/>
      <c r="AW87" s="2710">
        <f t="shared" si="11"/>
        <v>23439.401999999998</v>
      </c>
      <c r="AX87" s="2710"/>
      <c r="AY87" s="4831">
        <f>+'GRD SUMM RCL 150X150 '!CO58</f>
        <v>1983.558</v>
      </c>
      <c r="AZ87" s="2710"/>
      <c r="BA87" s="4831">
        <f t="shared" si="12"/>
        <v>6120.7280000000001</v>
      </c>
      <c r="BB87" s="2710"/>
      <c r="BC87" s="4831">
        <f t="shared" si="13"/>
        <v>10738.157999999999</v>
      </c>
      <c r="BD87" s="2710"/>
      <c r="BE87" s="4831">
        <f t="shared" si="14"/>
        <v>25422.959999999999</v>
      </c>
    </row>
    <row r="88" spans="3:57" ht="15.6" x14ac:dyDescent="0.3">
      <c r="C88" s="2715" t="s">
        <v>2</v>
      </c>
      <c r="D88" s="2734"/>
      <c r="E88" s="2716">
        <f>SUM(E68:E87)</f>
        <v>39163</v>
      </c>
      <c r="F88" s="2716"/>
      <c r="G88" s="2716">
        <f>+SUM(G68:G87)</f>
        <v>44211</v>
      </c>
      <c r="H88" s="2716"/>
      <c r="I88" s="2716">
        <f t="shared" si="0"/>
        <v>83374</v>
      </c>
      <c r="J88" s="2716"/>
      <c r="K88" s="2716">
        <f>+SUM(K68:K87)</f>
        <v>44391</v>
      </c>
      <c r="L88" s="2716"/>
      <c r="M88" s="2716">
        <f t="shared" si="1"/>
        <v>127765</v>
      </c>
      <c r="N88" s="2716"/>
      <c r="O88" s="2716">
        <f>+SUM(O68:O87)</f>
        <v>51587</v>
      </c>
      <c r="P88" s="2716"/>
      <c r="Q88" s="2716">
        <f t="shared" si="2"/>
        <v>179352</v>
      </c>
      <c r="R88" s="2716"/>
      <c r="S88" s="2716">
        <f>+SUM(S68:S87)</f>
        <v>41935.418000000005</v>
      </c>
      <c r="T88" s="2716"/>
      <c r="U88" s="2716">
        <f t="shared" si="3"/>
        <v>221287.41800000001</v>
      </c>
      <c r="V88" s="2716"/>
      <c r="W88" s="2716">
        <f>+SUM(W68:W87)</f>
        <v>47164</v>
      </c>
      <c r="X88" s="2716"/>
      <c r="Y88" s="2716">
        <f t="shared" si="4"/>
        <v>140686.41800000001</v>
      </c>
      <c r="Z88" s="2716"/>
      <c r="AA88" s="2716">
        <f t="shared" si="5"/>
        <v>268451.41800000001</v>
      </c>
      <c r="AB88" s="2716"/>
      <c r="AC88" s="2716">
        <f>+SUM(AC68:AC87)</f>
        <v>48700</v>
      </c>
      <c r="AD88" s="2716"/>
      <c r="AE88" s="2716">
        <f t="shared" si="6"/>
        <v>317151.41800000001</v>
      </c>
      <c r="AF88" s="2716"/>
      <c r="AG88" s="2716">
        <f>+SUM(AG68:AG87)</f>
        <v>57535.892</v>
      </c>
      <c r="AH88" s="2716"/>
      <c r="AI88" s="2716">
        <f t="shared" si="7"/>
        <v>374687.31</v>
      </c>
      <c r="AJ88" s="2716"/>
      <c r="AK88" s="5439">
        <f>+SUM(AK68:AK87)</f>
        <v>41324</v>
      </c>
      <c r="AL88" s="2716"/>
      <c r="AM88" s="2716">
        <f t="shared" si="8"/>
        <v>147559.89199999999</v>
      </c>
      <c r="AN88" s="2716"/>
      <c r="AO88" s="2716">
        <f t="shared" si="9"/>
        <v>416011.31</v>
      </c>
      <c r="AP88" s="2716"/>
      <c r="AQ88" s="2716">
        <f>+SUM(AQ68:AQ87)</f>
        <v>25966</v>
      </c>
      <c r="AR88" s="2716"/>
      <c r="AS88" s="2716">
        <f t="shared" si="10"/>
        <v>441977.31</v>
      </c>
      <c r="AT88" s="2716"/>
      <c r="AU88" s="2716">
        <f>+SUM(AU68:AU87)</f>
        <v>12192.61</v>
      </c>
      <c r="AV88" s="2716"/>
      <c r="AW88" s="2716">
        <f t="shared" si="11"/>
        <v>454169.92</v>
      </c>
      <c r="AX88" s="2716"/>
      <c r="AY88" s="2716">
        <f>+SUM(AY68:AY87)</f>
        <v>33390.955999999998</v>
      </c>
      <c r="AZ88" s="2716"/>
      <c r="BA88" s="2716">
        <f t="shared" si="12"/>
        <v>71549.565999999992</v>
      </c>
      <c r="BB88" s="2716"/>
      <c r="BC88" s="2716">
        <f t="shared" si="13"/>
        <v>219109.45799999998</v>
      </c>
      <c r="BD88" s="2716"/>
      <c r="BE88" s="2716">
        <f t="shared" si="14"/>
        <v>487560.87599999999</v>
      </c>
    </row>
    <row r="89" spans="3:57" x14ac:dyDescent="0.3">
      <c r="C89" s="2717" t="s">
        <v>1482</v>
      </c>
      <c r="D89" s="2735"/>
      <c r="E89" s="2544">
        <f>+SMS!F36</f>
        <v>144</v>
      </c>
      <c r="F89" s="2544"/>
      <c r="G89" s="2544">
        <f>+SMS!H36</f>
        <v>154</v>
      </c>
      <c r="H89" s="2544"/>
      <c r="I89" s="2544">
        <f t="shared" si="0"/>
        <v>298</v>
      </c>
      <c r="J89" s="2544"/>
      <c r="K89" s="2544">
        <f>+SMS!L36</f>
        <v>56</v>
      </c>
      <c r="L89" s="2544"/>
      <c r="M89" s="2544">
        <f t="shared" si="1"/>
        <v>354</v>
      </c>
      <c r="N89" s="2544"/>
      <c r="O89" s="2544">
        <f>+SMS!P36</f>
        <v>26</v>
      </c>
      <c r="P89" s="2544"/>
      <c r="Q89" s="2544">
        <f t="shared" si="2"/>
        <v>380</v>
      </c>
      <c r="R89" s="2544"/>
      <c r="S89" s="2544">
        <f>+SMS!T36</f>
        <v>66</v>
      </c>
      <c r="T89" s="2544"/>
      <c r="U89" s="2544">
        <f t="shared" si="3"/>
        <v>446</v>
      </c>
      <c r="V89" s="2544"/>
      <c r="W89" s="2544">
        <f>+SMS!X36</f>
        <v>260</v>
      </c>
      <c r="X89" s="2544"/>
      <c r="Y89" s="2544">
        <f t="shared" si="4"/>
        <v>352</v>
      </c>
      <c r="Z89" s="2544"/>
      <c r="AA89" s="2544">
        <f t="shared" si="5"/>
        <v>706</v>
      </c>
      <c r="AB89" s="2544"/>
      <c r="AC89" s="2544">
        <f>+SMS!AD36</f>
        <v>95</v>
      </c>
      <c r="AD89" s="2544"/>
      <c r="AE89" s="2544">
        <f t="shared" si="6"/>
        <v>801</v>
      </c>
      <c r="AF89" s="2544"/>
      <c r="AG89" s="2544">
        <f>+SMS!AH36</f>
        <v>0</v>
      </c>
      <c r="AH89" s="2544"/>
      <c r="AI89" s="2544">
        <f t="shared" si="7"/>
        <v>801</v>
      </c>
      <c r="AJ89" s="2544"/>
      <c r="AK89" s="5440">
        <f>+SMS!AL36</f>
        <v>38</v>
      </c>
      <c r="AL89" s="2544"/>
      <c r="AM89" s="2544">
        <f t="shared" si="8"/>
        <v>133</v>
      </c>
      <c r="AN89" s="2544"/>
      <c r="AO89" s="2544">
        <f t="shared" si="9"/>
        <v>839</v>
      </c>
      <c r="AP89" s="2544"/>
      <c r="AQ89" s="2544">
        <f>+SMS!AR36</f>
        <v>367</v>
      </c>
      <c r="AR89" s="2544"/>
      <c r="AS89" s="2544">
        <f t="shared" si="10"/>
        <v>1206</v>
      </c>
      <c r="AT89" s="2544"/>
      <c r="AU89" s="2544">
        <f>+SMS!AV36</f>
        <v>256</v>
      </c>
      <c r="AV89" s="2544"/>
      <c r="AW89" s="2544">
        <f t="shared" si="11"/>
        <v>1462</v>
      </c>
      <c r="AX89" s="2544"/>
      <c r="AY89" s="2544">
        <f>+SMS!AZ36</f>
        <v>104</v>
      </c>
      <c r="AZ89" s="2544"/>
      <c r="BA89" s="2544">
        <f t="shared" si="12"/>
        <v>727</v>
      </c>
      <c r="BB89" s="2544"/>
      <c r="BC89" s="2544">
        <f t="shared" si="13"/>
        <v>860</v>
      </c>
      <c r="BD89" s="2544"/>
      <c r="BE89" s="2544">
        <f t="shared" si="14"/>
        <v>1566</v>
      </c>
    </row>
    <row r="90" spans="3:57" x14ac:dyDescent="0.3">
      <c r="C90" s="4497" t="s">
        <v>1711</v>
      </c>
      <c r="D90" s="4498"/>
      <c r="E90" s="4499">
        <f>+SUM(E91:E94)</f>
        <v>5926</v>
      </c>
      <c r="F90" s="4499"/>
      <c r="G90" s="4499">
        <f>+SUM(G91:G94)</f>
        <v>7640</v>
      </c>
      <c r="H90" s="4499"/>
      <c r="I90" s="4499">
        <f t="shared" si="0"/>
        <v>13566</v>
      </c>
      <c r="J90" s="4499"/>
      <c r="K90" s="4499">
        <f>+SUM(K91:K94)</f>
        <v>6752</v>
      </c>
      <c r="L90" s="4499"/>
      <c r="M90" s="4499">
        <f t="shared" si="1"/>
        <v>20318</v>
      </c>
      <c r="N90" s="4499"/>
      <c r="O90" s="4499">
        <f>+SUM(O91:O94)</f>
        <v>5864</v>
      </c>
      <c r="P90" s="4499"/>
      <c r="Q90" s="4499">
        <f t="shared" si="2"/>
        <v>26182</v>
      </c>
      <c r="R90" s="4499"/>
      <c r="S90" s="4499">
        <f>+SUM(S91:S94)</f>
        <v>6517.4620000000004</v>
      </c>
      <c r="T90" s="4499"/>
      <c r="U90" s="4499">
        <f t="shared" si="3"/>
        <v>32699.462</v>
      </c>
      <c r="V90" s="4499"/>
      <c r="W90" s="4499">
        <f>+SUM(W91:W94)</f>
        <v>8118</v>
      </c>
      <c r="X90" s="4499"/>
      <c r="Y90" s="4499">
        <f t="shared" si="4"/>
        <v>20499.462</v>
      </c>
      <c r="Z90" s="4499"/>
      <c r="AA90" s="4499">
        <f t="shared" si="5"/>
        <v>40817.462</v>
      </c>
      <c r="AB90" s="4499"/>
      <c r="AC90" s="4499">
        <f>+SUM(AC91:AC94)</f>
        <v>2680.55</v>
      </c>
      <c r="AD90" s="4499"/>
      <c r="AE90" s="4499">
        <f t="shared" si="6"/>
        <v>43498.012000000002</v>
      </c>
      <c r="AF90" s="4499"/>
      <c r="AG90" s="4499">
        <f>+SUM(AG91:AG94)</f>
        <v>4501.1049999999996</v>
      </c>
      <c r="AH90" s="4499"/>
      <c r="AI90" s="4499">
        <f t="shared" si="7"/>
        <v>47999.116999999998</v>
      </c>
      <c r="AJ90" s="4499"/>
      <c r="AK90" s="5441">
        <f>+SUM(AK91:AK94)</f>
        <v>7125.1909999999998</v>
      </c>
      <c r="AL90" s="4499"/>
      <c r="AM90" s="4499">
        <f t="shared" si="8"/>
        <v>14306.845999999998</v>
      </c>
      <c r="AN90" s="4499"/>
      <c r="AO90" s="4499">
        <f t="shared" si="9"/>
        <v>55124.307999999997</v>
      </c>
      <c r="AP90" s="4499"/>
      <c r="AQ90" s="4499">
        <f>+SUM(AQ91:AQ94)</f>
        <v>5258.3330000000005</v>
      </c>
      <c r="AR90" s="4499"/>
      <c r="AS90" s="4499">
        <f t="shared" si="10"/>
        <v>60382.640999999996</v>
      </c>
      <c r="AT90" s="4499"/>
      <c r="AU90" s="4499">
        <f>+SUM(AU91:AU94)</f>
        <v>2960.277</v>
      </c>
      <c r="AV90" s="4499"/>
      <c r="AW90" s="4499">
        <f t="shared" si="11"/>
        <v>63342.917999999998</v>
      </c>
      <c r="AX90" s="4499"/>
      <c r="AY90" s="4499">
        <f>+SUM(AY91:AY94)</f>
        <v>3075.6949999999997</v>
      </c>
      <c r="AZ90" s="4499"/>
      <c r="BA90" s="4499">
        <f t="shared" si="12"/>
        <v>11294.305</v>
      </c>
      <c r="BB90" s="4499"/>
      <c r="BC90" s="4499">
        <f t="shared" si="13"/>
        <v>25601.150999999998</v>
      </c>
      <c r="BD90" s="4499"/>
      <c r="BE90" s="4499">
        <f t="shared" si="14"/>
        <v>66418.612999999998</v>
      </c>
    </row>
    <row r="91" spans="3:57" x14ac:dyDescent="0.3">
      <c r="C91" s="2718" t="s">
        <v>1712</v>
      </c>
      <c r="D91" s="2736"/>
      <c r="E91" s="2632">
        <v>11</v>
      </c>
      <c r="F91" s="2632"/>
      <c r="G91" s="2632">
        <v>2</v>
      </c>
      <c r="H91" s="2632"/>
      <c r="I91" s="2632">
        <f t="shared" si="0"/>
        <v>13</v>
      </c>
      <c r="J91" s="2632"/>
      <c r="K91" s="2632">
        <v>0</v>
      </c>
      <c r="L91" s="2632"/>
      <c r="M91" s="2632">
        <f t="shared" si="1"/>
        <v>13</v>
      </c>
      <c r="N91" s="2632"/>
      <c r="O91" s="2632">
        <v>2</v>
      </c>
      <c r="P91" s="2632"/>
      <c r="Q91" s="2632">
        <f t="shared" si="2"/>
        <v>15</v>
      </c>
      <c r="R91" s="2632"/>
      <c r="S91" s="2632">
        <v>0</v>
      </c>
      <c r="T91" s="2632"/>
      <c r="U91" s="2632">
        <f t="shared" si="3"/>
        <v>15</v>
      </c>
      <c r="V91" s="2632"/>
      <c r="W91" s="2632">
        <v>0</v>
      </c>
      <c r="X91" s="2632"/>
      <c r="Y91" s="2632">
        <f t="shared" si="4"/>
        <v>2</v>
      </c>
      <c r="Z91" s="2632"/>
      <c r="AA91" s="2632">
        <f t="shared" si="5"/>
        <v>15</v>
      </c>
      <c r="AB91" s="2632"/>
      <c r="AC91" s="2632">
        <v>0</v>
      </c>
      <c r="AD91" s="2632"/>
      <c r="AE91" s="2632">
        <f t="shared" si="6"/>
        <v>15</v>
      </c>
      <c r="AF91" s="2632"/>
      <c r="AG91" s="2632">
        <v>0</v>
      </c>
      <c r="AH91" s="2632"/>
      <c r="AI91" s="2632">
        <f t="shared" si="7"/>
        <v>15</v>
      </c>
      <c r="AJ91" s="2632"/>
      <c r="AK91" s="2632">
        <v>0</v>
      </c>
      <c r="AL91" s="2632"/>
      <c r="AM91" s="2632">
        <f t="shared" si="8"/>
        <v>0</v>
      </c>
      <c r="AN91" s="2632"/>
      <c r="AO91" s="2632">
        <f t="shared" si="9"/>
        <v>15</v>
      </c>
      <c r="AP91" s="2632"/>
      <c r="AQ91" s="2632">
        <v>0</v>
      </c>
      <c r="AR91" s="2632"/>
      <c r="AS91" s="2632">
        <f t="shared" si="10"/>
        <v>15</v>
      </c>
      <c r="AT91" s="2632"/>
      <c r="AU91" s="2632">
        <v>0</v>
      </c>
      <c r="AV91" s="2632"/>
      <c r="AW91" s="2632">
        <f t="shared" si="11"/>
        <v>15</v>
      </c>
      <c r="AX91" s="2632"/>
      <c r="AY91" s="2632">
        <v>0</v>
      </c>
      <c r="AZ91" s="2632"/>
      <c r="BA91" s="2632">
        <f t="shared" si="12"/>
        <v>0</v>
      </c>
      <c r="BB91" s="2632"/>
      <c r="BC91" s="2632">
        <f t="shared" si="13"/>
        <v>0</v>
      </c>
      <c r="BD91" s="2632"/>
      <c r="BE91" s="2632">
        <f t="shared" si="14"/>
        <v>15</v>
      </c>
    </row>
    <row r="92" spans="3:57" ht="15" hidden="1" customHeight="1" x14ac:dyDescent="0.3">
      <c r="C92" s="2718" t="s">
        <v>1713</v>
      </c>
      <c r="D92" s="2736"/>
      <c r="E92" s="2632"/>
      <c r="F92" s="2632"/>
      <c r="G92" s="2632"/>
      <c r="H92" s="2632"/>
      <c r="I92" s="2632">
        <f t="shared" si="0"/>
        <v>0</v>
      </c>
      <c r="J92" s="2632"/>
      <c r="K92" s="2632"/>
      <c r="L92" s="2632"/>
      <c r="M92" s="2632">
        <f t="shared" si="1"/>
        <v>0</v>
      </c>
      <c r="N92" s="2632"/>
      <c r="O92" s="2632"/>
      <c r="P92" s="2632"/>
      <c r="Q92" s="2632">
        <f t="shared" si="2"/>
        <v>0</v>
      </c>
      <c r="R92" s="2632"/>
      <c r="S92" s="2632"/>
      <c r="T92" s="2632"/>
      <c r="U92" s="2632">
        <f t="shared" si="3"/>
        <v>0</v>
      </c>
      <c r="V92" s="2632"/>
      <c r="W92" s="2632"/>
      <c r="X92" s="2632"/>
      <c r="Y92" s="2632">
        <f t="shared" si="4"/>
        <v>0</v>
      </c>
      <c r="Z92" s="2632"/>
      <c r="AA92" s="2632">
        <f t="shared" si="5"/>
        <v>0</v>
      </c>
      <c r="AB92" s="2632"/>
      <c r="AC92" s="2632"/>
      <c r="AD92" s="2632"/>
      <c r="AE92" s="2632">
        <f t="shared" si="6"/>
        <v>0</v>
      </c>
      <c r="AF92" s="2632"/>
      <c r="AG92" s="2632"/>
      <c r="AH92" s="2632"/>
      <c r="AI92" s="2632">
        <f t="shared" si="7"/>
        <v>0</v>
      </c>
      <c r="AJ92" s="2632"/>
      <c r="AK92" s="2632"/>
      <c r="AL92" s="2632"/>
      <c r="AM92" s="2632">
        <f t="shared" si="8"/>
        <v>0</v>
      </c>
      <c r="AN92" s="2632"/>
      <c r="AO92" s="2632">
        <f t="shared" si="9"/>
        <v>0</v>
      </c>
      <c r="AP92" s="2632"/>
      <c r="AQ92" s="2632"/>
      <c r="AR92" s="2632"/>
      <c r="AS92" s="2632">
        <f t="shared" si="10"/>
        <v>0</v>
      </c>
      <c r="AT92" s="2632"/>
      <c r="AU92" s="2632"/>
      <c r="AV92" s="2632"/>
      <c r="AW92" s="2632">
        <f t="shared" si="11"/>
        <v>0</v>
      </c>
      <c r="AX92" s="2632"/>
      <c r="AY92" s="2632"/>
      <c r="AZ92" s="2632"/>
      <c r="BA92" s="2632">
        <f t="shared" si="12"/>
        <v>0</v>
      </c>
      <c r="BB92" s="2632"/>
      <c r="BC92" s="2632">
        <f t="shared" si="13"/>
        <v>0</v>
      </c>
      <c r="BD92" s="2632"/>
      <c r="BE92" s="2632">
        <f t="shared" si="14"/>
        <v>0</v>
      </c>
    </row>
    <row r="93" spans="3:57" x14ac:dyDescent="0.3">
      <c r="C93" s="4490" t="s">
        <v>1913</v>
      </c>
      <c r="D93" s="4491"/>
      <c r="E93" s="4501">
        <v>5915</v>
      </c>
      <c r="F93" s="4501"/>
      <c r="G93" s="4501">
        <v>7638</v>
      </c>
      <c r="H93" s="4501"/>
      <c r="I93" s="2632">
        <f t="shared" si="0"/>
        <v>13553</v>
      </c>
      <c r="J93" s="4501"/>
      <c r="K93" s="4501">
        <v>6752</v>
      </c>
      <c r="L93" s="4501"/>
      <c r="M93" s="2632">
        <f t="shared" si="1"/>
        <v>20305</v>
      </c>
      <c r="N93" s="4501"/>
      <c r="O93" s="4501">
        <v>5862</v>
      </c>
      <c r="P93" s="4501"/>
      <c r="Q93" s="2632">
        <f t="shared" si="2"/>
        <v>26167</v>
      </c>
      <c r="R93" s="4501"/>
      <c r="S93" s="4501">
        <v>6517.4620000000004</v>
      </c>
      <c r="T93" s="4501"/>
      <c r="U93" s="2632">
        <f t="shared" si="3"/>
        <v>32684.462</v>
      </c>
      <c r="V93" s="4501"/>
      <c r="W93" s="4501">
        <v>7401</v>
      </c>
      <c r="X93" s="4501"/>
      <c r="Y93" s="2632">
        <f t="shared" si="4"/>
        <v>19780.462</v>
      </c>
      <c r="Z93" s="4501"/>
      <c r="AA93" s="2632">
        <f t="shared" si="5"/>
        <v>40085.462</v>
      </c>
      <c r="AB93" s="4501"/>
      <c r="AC93" s="4501">
        <v>2680.55</v>
      </c>
      <c r="AD93" s="4501"/>
      <c r="AE93" s="2632">
        <f t="shared" si="6"/>
        <v>42766.012000000002</v>
      </c>
      <c r="AF93" s="4501"/>
      <c r="AG93" s="4501">
        <v>4501.1049999999996</v>
      </c>
      <c r="AH93" s="4501"/>
      <c r="AI93" s="2632">
        <f>+AG93+AC93+W93+S93+O93+K93+G93+E93</f>
        <v>47267.116999999998</v>
      </c>
      <c r="AJ93" s="4501"/>
      <c r="AK93" s="4501">
        <v>5860.241</v>
      </c>
      <c r="AL93" s="4501"/>
      <c r="AM93" s="2632">
        <f t="shared" si="8"/>
        <v>13041.896000000001</v>
      </c>
      <c r="AN93" s="4501"/>
      <c r="AO93" s="2632">
        <f t="shared" si="9"/>
        <v>53127.358</v>
      </c>
      <c r="AP93" s="4501"/>
      <c r="AQ93" s="4501">
        <v>4443.1850000000004</v>
      </c>
      <c r="AR93" s="4501"/>
      <c r="AS93" s="2632">
        <f t="shared" si="10"/>
        <v>57570.542999999998</v>
      </c>
      <c r="AT93" s="4501"/>
      <c r="AU93" s="4501">
        <v>2371.7429999999999</v>
      </c>
      <c r="AV93" s="4501"/>
      <c r="AW93" s="2632">
        <f t="shared" si="11"/>
        <v>59942.286</v>
      </c>
      <c r="AX93" s="4501"/>
      <c r="AY93" s="4501">
        <v>2984.5819999999999</v>
      </c>
      <c r="AZ93" s="4501"/>
      <c r="BA93" s="4501">
        <f t="shared" si="12"/>
        <v>9799.51</v>
      </c>
      <c r="BB93" s="4501"/>
      <c r="BC93" s="4501">
        <f t="shared" si="13"/>
        <v>22841.406000000003</v>
      </c>
      <c r="BD93" s="4501"/>
      <c r="BE93" s="4501">
        <f t="shared" si="14"/>
        <v>62926.868000000002</v>
      </c>
    </row>
    <row r="94" spans="3:57" x14ac:dyDescent="0.3">
      <c r="C94" s="2718" t="s">
        <v>2150</v>
      </c>
      <c r="D94" s="2736"/>
      <c r="E94" s="2632"/>
      <c r="F94" s="2632"/>
      <c r="G94" s="2632"/>
      <c r="H94" s="2632"/>
      <c r="I94" s="2632">
        <f t="shared" si="0"/>
        <v>0</v>
      </c>
      <c r="J94" s="2632"/>
      <c r="K94" s="2632"/>
      <c r="L94" s="2632"/>
      <c r="M94" s="2632">
        <f t="shared" si="1"/>
        <v>0</v>
      </c>
      <c r="N94" s="2632"/>
      <c r="O94" s="2632"/>
      <c r="P94" s="2632"/>
      <c r="Q94" s="2632">
        <f t="shared" si="2"/>
        <v>0</v>
      </c>
      <c r="R94" s="2632"/>
      <c r="S94" s="2632"/>
      <c r="T94" s="2632"/>
      <c r="U94" s="2632">
        <f t="shared" si="3"/>
        <v>0</v>
      </c>
      <c r="V94" s="2632"/>
      <c r="W94" s="2632">
        <v>717</v>
      </c>
      <c r="X94" s="2632"/>
      <c r="Y94" s="2632">
        <f t="shared" si="4"/>
        <v>717</v>
      </c>
      <c r="Z94" s="2632"/>
      <c r="AA94" s="2632">
        <f t="shared" si="5"/>
        <v>717</v>
      </c>
      <c r="AB94" s="2632"/>
      <c r="AC94" s="2632">
        <v>0</v>
      </c>
      <c r="AD94" s="2632"/>
      <c r="AE94" s="2632">
        <f t="shared" si="6"/>
        <v>717</v>
      </c>
      <c r="AF94" s="2632"/>
      <c r="AG94" s="2632">
        <v>0</v>
      </c>
      <c r="AH94" s="2632"/>
      <c r="AI94" s="2632">
        <f t="shared" si="7"/>
        <v>717</v>
      </c>
      <c r="AJ94" s="2632"/>
      <c r="AK94" s="2632">
        <v>1264.95</v>
      </c>
      <c r="AL94" s="2632"/>
      <c r="AM94" s="2632">
        <f t="shared" si="8"/>
        <v>1264.95</v>
      </c>
      <c r="AN94" s="2632"/>
      <c r="AO94" s="2632">
        <f t="shared" si="9"/>
        <v>1981.95</v>
      </c>
      <c r="AP94" s="2632"/>
      <c r="AQ94" s="2632">
        <v>815.14800000000002</v>
      </c>
      <c r="AR94" s="2632"/>
      <c r="AS94" s="2632">
        <f t="shared" si="10"/>
        <v>2797.098</v>
      </c>
      <c r="AT94" s="2632"/>
      <c r="AU94" s="2632">
        <v>588.53399999999999</v>
      </c>
      <c r="AV94" s="2632"/>
      <c r="AW94" s="2632">
        <f t="shared" si="11"/>
        <v>3385.6320000000001</v>
      </c>
      <c r="AX94" s="2632"/>
      <c r="AY94" s="2632">
        <v>91.113</v>
      </c>
      <c r="AZ94" s="2632"/>
      <c r="BA94" s="2632">
        <f t="shared" si="12"/>
        <v>1494.7950000000001</v>
      </c>
      <c r="BB94" s="2632"/>
      <c r="BC94" s="2632">
        <f t="shared" si="13"/>
        <v>2759.7449999999999</v>
      </c>
      <c r="BD94" s="2632"/>
      <c r="BE94" s="2632">
        <f t="shared" si="14"/>
        <v>3476.7449999999999</v>
      </c>
    </row>
    <row r="95" spans="3:57" ht="16.2" thickBot="1" x14ac:dyDescent="0.35">
      <c r="C95" s="2719" t="s">
        <v>1714</v>
      </c>
      <c r="D95" s="2737"/>
      <c r="E95" s="2720">
        <f>+E88+E89+E90</f>
        <v>45233</v>
      </c>
      <c r="F95" s="2720"/>
      <c r="G95" s="2720">
        <f>+G88+G89+G90</f>
        <v>52005</v>
      </c>
      <c r="H95" s="2720"/>
      <c r="I95" s="2720">
        <f t="shared" si="0"/>
        <v>97238</v>
      </c>
      <c r="J95" s="2720"/>
      <c r="K95" s="2720">
        <f>+K88+K89+K90</f>
        <v>51199</v>
      </c>
      <c r="L95" s="2720"/>
      <c r="M95" s="2720">
        <f t="shared" si="1"/>
        <v>148437</v>
      </c>
      <c r="N95" s="2720"/>
      <c r="O95" s="2720">
        <f>+O88+O89+O90</f>
        <v>57477</v>
      </c>
      <c r="P95" s="2720"/>
      <c r="Q95" s="2720">
        <f t="shared" si="2"/>
        <v>205914</v>
      </c>
      <c r="R95" s="2720"/>
      <c r="S95" s="2720">
        <f>+S88+S89+S90</f>
        <v>48518.880000000005</v>
      </c>
      <c r="T95" s="2720"/>
      <c r="U95" s="2720">
        <f t="shared" si="3"/>
        <v>254432.88</v>
      </c>
      <c r="V95" s="2720"/>
      <c r="W95" s="2720">
        <f>+W88+W89+W90</f>
        <v>55542</v>
      </c>
      <c r="X95" s="2720"/>
      <c r="Y95" s="2720">
        <f t="shared" si="4"/>
        <v>161537.88</v>
      </c>
      <c r="Z95" s="2720"/>
      <c r="AA95" s="2720">
        <f t="shared" si="5"/>
        <v>309974.88</v>
      </c>
      <c r="AB95" s="2720"/>
      <c r="AC95" s="2720">
        <f>+AC88+AC89+AC90</f>
        <v>51475.55</v>
      </c>
      <c r="AD95" s="2720"/>
      <c r="AE95" s="2720">
        <f t="shared" si="6"/>
        <v>361450.43</v>
      </c>
      <c r="AF95" s="2720"/>
      <c r="AG95" s="2720">
        <f>+AG88+AG89+AG90</f>
        <v>62036.997000000003</v>
      </c>
      <c r="AH95" s="2720"/>
      <c r="AI95" s="2720">
        <f t="shared" si="7"/>
        <v>423487.42700000003</v>
      </c>
      <c r="AJ95" s="2720"/>
      <c r="AK95" s="2720">
        <f>+AK88+AK89+AK90</f>
        <v>48487.190999999999</v>
      </c>
      <c r="AL95" s="2720"/>
      <c r="AM95" s="2720">
        <f t="shared" si="8"/>
        <v>161999.73800000001</v>
      </c>
      <c r="AN95" s="2720"/>
      <c r="AO95" s="2720">
        <f t="shared" si="9"/>
        <v>471974.61800000002</v>
      </c>
      <c r="AP95" s="2720"/>
      <c r="AQ95" s="2720">
        <f>+AQ88+AQ89+AQ90</f>
        <v>31591.332999999999</v>
      </c>
      <c r="AR95" s="2720"/>
      <c r="AS95" s="2720">
        <f t="shared" si="10"/>
        <v>503565.951</v>
      </c>
      <c r="AT95" s="2720"/>
      <c r="AU95" s="2720">
        <f>+AU88+AU89+AU90</f>
        <v>15408.887000000001</v>
      </c>
      <c r="AV95" s="2720"/>
      <c r="AW95" s="2720">
        <f t="shared" si="11"/>
        <v>518974.83799999999</v>
      </c>
      <c r="AX95" s="2720"/>
      <c r="AY95" s="2720">
        <f>+AY88+AY89+AY90</f>
        <v>36570.650999999998</v>
      </c>
      <c r="AZ95" s="2720"/>
      <c r="BA95" s="2720">
        <f t="shared" si="12"/>
        <v>83570.870999999999</v>
      </c>
      <c r="BB95" s="2720"/>
      <c r="BC95" s="2720">
        <f t="shared" si="13"/>
        <v>245570.609</v>
      </c>
      <c r="BD95" s="2720"/>
      <c r="BE95" s="2720">
        <f t="shared" si="14"/>
        <v>555545.48899999994</v>
      </c>
    </row>
    <row r="96" spans="3:57" x14ac:dyDescent="0.3">
      <c r="C96" s="2721"/>
      <c r="AC96"/>
      <c r="AK96"/>
    </row>
    <row r="97" spans="3:57" ht="15" hidden="1" customHeight="1" x14ac:dyDescent="0.3">
      <c r="C97" s="2722" t="s">
        <v>1404</v>
      </c>
      <c r="D97" s="2738"/>
      <c r="E97" s="2723">
        <v>3662.1749999999997</v>
      </c>
      <c r="F97" s="2723"/>
      <c r="G97" s="2723">
        <v>3662.1749999999997</v>
      </c>
      <c r="H97" s="2723"/>
      <c r="I97" s="2723">
        <f t="shared" si="0"/>
        <v>7324.3499999999995</v>
      </c>
      <c r="J97" s="2723"/>
      <c r="K97" s="2723">
        <v>3662.1749999999997</v>
      </c>
      <c r="L97" s="2723"/>
      <c r="M97" s="2723">
        <f t="shared" si="1"/>
        <v>10986.525</v>
      </c>
      <c r="N97" s="2723"/>
      <c r="O97" s="2723">
        <v>3662.1749999999997</v>
      </c>
      <c r="P97" s="2723"/>
      <c r="Q97" s="2723">
        <f t="shared" si="2"/>
        <v>14648.699999999999</v>
      </c>
      <c r="R97" s="2723"/>
      <c r="S97" s="2723">
        <v>3662.1749999999997</v>
      </c>
      <c r="T97" s="2723"/>
      <c r="U97" s="2723">
        <f t="shared" si="3"/>
        <v>18310.875</v>
      </c>
      <c r="V97" s="2723"/>
      <c r="W97" s="2723">
        <v>3662.1749999999997</v>
      </c>
      <c r="X97" s="2723"/>
      <c r="Y97" s="2723">
        <f t="shared" si="4"/>
        <v>10986.525</v>
      </c>
      <c r="Z97" s="2723"/>
      <c r="AA97" s="2723">
        <f t="shared" si="5"/>
        <v>21973.05</v>
      </c>
      <c r="AB97" s="2723"/>
      <c r="AC97" s="2723">
        <v>3662.1749999999997</v>
      </c>
      <c r="AD97" s="2723"/>
      <c r="AE97" s="2723">
        <f t="shared" si="6"/>
        <v>25635.224999999999</v>
      </c>
      <c r="AF97" s="2723"/>
      <c r="AG97" s="2723">
        <v>3662.1749999999997</v>
      </c>
      <c r="AH97" s="2723"/>
      <c r="AI97" s="2723">
        <f t="shared" si="7"/>
        <v>29297.399999999998</v>
      </c>
      <c r="AJ97" s="2723"/>
      <c r="AK97" s="2723">
        <v>3662.1749999999997</v>
      </c>
      <c r="AL97" s="2723"/>
      <c r="AM97" s="2723">
        <f t="shared" si="8"/>
        <v>10986.525</v>
      </c>
      <c r="AN97" s="2723"/>
      <c r="AO97" s="2723">
        <f t="shared" si="9"/>
        <v>32959.574999999997</v>
      </c>
      <c r="AP97" s="2723"/>
      <c r="AQ97" s="2723">
        <v>3662.1749999999997</v>
      </c>
      <c r="AR97" s="2723"/>
      <c r="AS97" s="2723">
        <f t="shared" si="10"/>
        <v>36621.75</v>
      </c>
      <c r="AT97" s="2723"/>
      <c r="AU97" s="2723">
        <v>3662.1749999999997</v>
      </c>
      <c r="AV97" s="2723"/>
      <c r="AW97" s="2723">
        <f t="shared" si="11"/>
        <v>40283.925000000003</v>
      </c>
      <c r="AX97" s="2723"/>
      <c r="AY97" s="2723">
        <v>3662.1749999999997</v>
      </c>
      <c r="AZ97" s="2723"/>
      <c r="BA97" s="2723">
        <f t="shared" si="12"/>
        <v>10986.525</v>
      </c>
      <c r="BB97" s="2723"/>
      <c r="BC97" s="2723">
        <f t="shared" si="13"/>
        <v>21973.05</v>
      </c>
      <c r="BD97" s="2723"/>
      <c r="BE97" s="2723">
        <f t="shared" si="14"/>
        <v>43946.100000000006</v>
      </c>
    </row>
    <row r="98" spans="3:57" ht="15" hidden="1" customHeight="1" x14ac:dyDescent="0.3">
      <c r="C98" s="2722" t="s">
        <v>1203</v>
      </c>
      <c r="D98" s="2738"/>
      <c r="E98" s="2723">
        <v>74606.466</v>
      </c>
      <c r="F98" s="2723"/>
      <c r="G98" s="2723">
        <v>74606.466</v>
      </c>
      <c r="H98" s="2723"/>
      <c r="I98" s="2723">
        <f t="shared" si="0"/>
        <v>149212.932</v>
      </c>
      <c r="J98" s="2723"/>
      <c r="K98" s="2723">
        <v>74606.466</v>
      </c>
      <c r="L98" s="2723"/>
      <c r="M98" s="2723">
        <f t="shared" si="1"/>
        <v>223819.39799999999</v>
      </c>
      <c r="N98" s="2723"/>
      <c r="O98" s="2723">
        <v>74606.466</v>
      </c>
      <c r="P98" s="2723"/>
      <c r="Q98" s="2723">
        <f t="shared" si="2"/>
        <v>298425.864</v>
      </c>
      <c r="R98" s="2723"/>
      <c r="S98" s="2723">
        <v>74606.466</v>
      </c>
      <c r="T98" s="2723"/>
      <c r="U98" s="2723">
        <f t="shared" si="3"/>
        <v>373032.33</v>
      </c>
      <c r="V98" s="2723"/>
      <c r="W98" s="2723">
        <v>74606.466</v>
      </c>
      <c r="X98" s="2723"/>
      <c r="Y98" s="2723">
        <f t="shared" si="4"/>
        <v>223819.39799999999</v>
      </c>
      <c r="Z98" s="2723"/>
      <c r="AA98" s="2723">
        <f t="shared" si="5"/>
        <v>447638.79600000003</v>
      </c>
      <c r="AB98" s="2723"/>
      <c r="AC98" s="2723">
        <v>74606.466</v>
      </c>
      <c r="AD98" s="2723"/>
      <c r="AE98" s="2723">
        <f t="shared" si="6"/>
        <v>522245.26200000005</v>
      </c>
      <c r="AF98" s="2723"/>
      <c r="AG98" s="2723">
        <v>74606.466</v>
      </c>
      <c r="AH98" s="2723"/>
      <c r="AI98" s="2723">
        <f t="shared" si="7"/>
        <v>596851.728</v>
      </c>
      <c r="AJ98" s="2723"/>
      <c r="AK98" s="2723">
        <v>74606.466</v>
      </c>
      <c r="AL98" s="2723"/>
      <c r="AM98" s="2723">
        <f t="shared" si="8"/>
        <v>223819.39799999999</v>
      </c>
      <c r="AN98" s="2723"/>
      <c r="AO98" s="2723">
        <f t="shared" si="9"/>
        <v>671458.19400000002</v>
      </c>
      <c r="AP98" s="2723"/>
      <c r="AQ98" s="2723">
        <v>74606.466</v>
      </c>
      <c r="AR98" s="2723"/>
      <c r="AS98" s="2723">
        <f t="shared" si="10"/>
        <v>746064.66</v>
      </c>
      <c r="AT98" s="2723"/>
      <c r="AU98" s="2723">
        <v>74606.466</v>
      </c>
      <c r="AV98" s="2723"/>
      <c r="AW98" s="2723">
        <f t="shared" si="11"/>
        <v>820671.12600000005</v>
      </c>
      <c r="AX98" s="2723"/>
      <c r="AY98" s="2723">
        <v>74606.466</v>
      </c>
      <c r="AZ98" s="2723"/>
      <c r="BA98" s="2723">
        <f t="shared" si="12"/>
        <v>223819.39799999999</v>
      </c>
      <c r="BB98" s="2723"/>
      <c r="BC98" s="2723">
        <f t="shared" si="13"/>
        <v>447638.79599999997</v>
      </c>
      <c r="BD98" s="2723"/>
      <c r="BE98" s="2723">
        <f t="shared" si="14"/>
        <v>895277.59200000006</v>
      </c>
    </row>
    <row r="99" spans="3:57" ht="16.2" thickBot="1" x14ac:dyDescent="0.35">
      <c r="C99" s="2719" t="s">
        <v>1715</v>
      </c>
      <c r="D99" s="2737"/>
      <c r="E99" s="2720">
        <f>+'Maj Production Summ'!F34</f>
        <v>45616.58799999996</v>
      </c>
      <c r="F99" s="2720"/>
      <c r="G99" s="2720">
        <f>+'Maj Production Summ'!H34</f>
        <v>52556</v>
      </c>
      <c r="H99" s="2720"/>
      <c r="I99" s="2720">
        <f t="shared" si="0"/>
        <v>98172.58799999996</v>
      </c>
      <c r="J99" s="2720"/>
      <c r="K99" s="2720">
        <f>+'Maj Production Summ'!L34</f>
        <v>56218</v>
      </c>
      <c r="L99" s="2720"/>
      <c r="M99" s="2720">
        <f t="shared" si="1"/>
        <v>154390.58799999996</v>
      </c>
      <c r="N99" s="2720"/>
      <c r="O99" s="2720">
        <f>+'Maj Production Summ'!P34</f>
        <v>50303</v>
      </c>
      <c r="P99" s="2720"/>
      <c r="Q99" s="2720">
        <f t="shared" si="2"/>
        <v>204693.58799999996</v>
      </c>
      <c r="R99" s="2720"/>
      <c r="S99" s="2720">
        <f>+'Maj Production Summ'!T34</f>
        <v>51235.42</v>
      </c>
      <c r="T99" s="2720"/>
      <c r="U99" s="2720">
        <f t="shared" si="3"/>
        <v>255929.00799999994</v>
      </c>
      <c r="V99" s="2720"/>
      <c r="W99" s="2720">
        <f>+'Maj Production Summ'!X34</f>
        <v>54076</v>
      </c>
      <c r="X99" s="2720"/>
      <c r="Y99" s="2720">
        <f t="shared" si="4"/>
        <v>155614.41999999998</v>
      </c>
      <c r="Z99" s="2720"/>
      <c r="AA99" s="2720">
        <f t="shared" si="5"/>
        <v>310005.00799999997</v>
      </c>
      <c r="AB99" s="2720"/>
      <c r="AC99" s="2720">
        <f>+'Maj Production Summ'!AD34</f>
        <v>54595</v>
      </c>
      <c r="AD99" s="2720"/>
      <c r="AE99" s="2720">
        <f t="shared" si="6"/>
        <v>364600.00799999991</v>
      </c>
      <c r="AF99" s="2720"/>
      <c r="AG99" s="2720">
        <f>+'Maj Production Summ'!AH34</f>
        <v>61080</v>
      </c>
      <c r="AH99" s="2720"/>
      <c r="AI99" s="2720">
        <f t="shared" si="7"/>
        <v>425680.00799999991</v>
      </c>
      <c r="AJ99" s="2720"/>
      <c r="AK99" s="2720">
        <f>+'Maj Production Summ'!AL34</f>
        <v>52347.66</v>
      </c>
      <c r="AL99" s="2720"/>
      <c r="AM99" s="2720">
        <f t="shared" si="8"/>
        <v>168022.66</v>
      </c>
      <c r="AN99" s="2720"/>
      <c r="AO99" s="2720">
        <f t="shared" si="9"/>
        <v>478027.66799999995</v>
      </c>
      <c r="AP99" s="2720"/>
      <c r="AQ99" s="2720">
        <f>+'Maj Production Summ'!AR34</f>
        <v>30958</v>
      </c>
      <c r="AR99" s="2720"/>
      <c r="AS99" s="2720">
        <f t="shared" si="10"/>
        <v>508985.66799999995</v>
      </c>
      <c r="AT99" s="2720"/>
      <c r="AU99" s="2720">
        <f>+'Maj Production Summ'!AV34</f>
        <v>16550</v>
      </c>
      <c r="AV99" s="2720"/>
      <c r="AW99" s="2720">
        <f t="shared" si="11"/>
        <v>525535.66799999995</v>
      </c>
      <c r="AX99" s="2720"/>
      <c r="AY99" s="2720">
        <f>+'Maj Production Summ'!AZ34</f>
        <v>38028.639000000003</v>
      </c>
      <c r="AZ99" s="2720"/>
      <c r="BA99" s="2720">
        <f t="shared" si="12"/>
        <v>85536.638999999996</v>
      </c>
      <c r="BB99" s="2720"/>
      <c r="BC99" s="2720">
        <f t="shared" si="13"/>
        <v>253559.299</v>
      </c>
      <c r="BD99" s="2720"/>
      <c r="BE99" s="2720">
        <f t="shared" si="14"/>
        <v>563564.30699999991</v>
      </c>
    </row>
    <row r="100" spans="3:57" x14ac:dyDescent="0.3">
      <c r="AC100"/>
    </row>
    <row r="101" spans="3:57" ht="18" x14ac:dyDescent="0.3">
      <c r="C101" s="2724" t="s">
        <v>1716</v>
      </c>
      <c r="D101" s="2724"/>
      <c r="E101" s="2725">
        <f>+E99-E95</f>
        <v>383.58799999995972</v>
      </c>
      <c r="F101" s="2725">
        <f t="shared" ref="F101:BD101" si="21">+F99-F95</f>
        <v>0</v>
      </c>
      <c r="G101" s="2725">
        <f t="shared" si="21"/>
        <v>551</v>
      </c>
      <c r="H101" s="2725">
        <f t="shared" si="21"/>
        <v>0</v>
      </c>
      <c r="I101" s="2725">
        <f t="shared" si="21"/>
        <v>934.58799999995972</v>
      </c>
      <c r="J101" s="2725">
        <f t="shared" si="21"/>
        <v>0</v>
      </c>
      <c r="K101" s="2725">
        <f t="shared" si="21"/>
        <v>5019</v>
      </c>
      <c r="L101" s="2725">
        <f t="shared" si="21"/>
        <v>0</v>
      </c>
      <c r="M101" s="2725">
        <f t="shared" si="21"/>
        <v>5953.5879999999597</v>
      </c>
      <c r="N101" s="2725">
        <f t="shared" si="21"/>
        <v>0</v>
      </c>
      <c r="O101" s="2725">
        <f t="shared" si="21"/>
        <v>-7174</v>
      </c>
      <c r="P101" s="2725">
        <f t="shared" si="21"/>
        <v>0</v>
      </c>
      <c r="Q101" s="2725">
        <f t="shared" si="21"/>
        <v>-1220.4120000000403</v>
      </c>
      <c r="R101" s="2725">
        <f t="shared" si="21"/>
        <v>0</v>
      </c>
      <c r="S101" s="2725">
        <f t="shared" ref="S101" si="22">+S99-S95</f>
        <v>2716.5399999999936</v>
      </c>
      <c r="T101" s="2725">
        <f t="shared" si="21"/>
        <v>0</v>
      </c>
      <c r="U101" s="2725">
        <f t="shared" si="21"/>
        <v>1496.1279999999388</v>
      </c>
      <c r="V101" s="2725">
        <f t="shared" si="21"/>
        <v>0</v>
      </c>
      <c r="W101" s="2725">
        <f t="shared" si="21"/>
        <v>-1466</v>
      </c>
      <c r="X101" s="2725">
        <f t="shared" si="21"/>
        <v>0</v>
      </c>
      <c r="Y101" s="2725">
        <f t="shared" si="21"/>
        <v>-5923.460000000021</v>
      </c>
      <c r="Z101" s="2725">
        <f t="shared" si="21"/>
        <v>0</v>
      </c>
      <c r="AA101" s="2725">
        <f t="shared" si="21"/>
        <v>30.127999999967869</v>
      </c>
      <c r="AB101" s="2725">
        <f t="shared" si="21"/>
        <v>0</v>
      </c>
      <c r="AC101" s="2725">
        <f t="shared" ref="AC101" si="23">+AC99-AC95</f>
        <v>3119.4499999999971</v>
      </c>
      <c r="AD101" s="2725">
        <f t="shared" si="21"/>
        <v>0</v>
      </c>
      <c r="AE101" s="2725">
        <f t="shared" si="21"/>
        <v>3149.5779999999213</v>
      </c>
      <c r="AF101" s="2725">
        <f t="shared" si="21"/>
        <v>0</v>
      </c>
      <c r="AG101" s="2725">
        <f t="shared" si="21"/>
        <v>-956.99700000000303</v>
      </c>
      <c r="AH101" s="2725">
        <f t="shared" si="21"/>
        <v>0</v>
      </c>
      <c r="AI101" s="2725">
        <f t="shared" si="21"/>
        <v>2192.5809999998892</v>
      </c>
      <c r="AJ101" s="2725">
        <f t="shared" si="21"/>
        <v>0</v>
      </c>
      <c r="AK101" s="2725">
        <f t="shared" si="21"/>
        <v>3860.4690000000046</v>
      </c>
      <c r="AL101" s="2725">
        <f t="shared" si="21"/>
        <v>0</v>
      </c>
      <c r="AM101" s="2725">
        <f t="shared" si="21"/>
        <v>6022.9219999999914</v>
      </c>
      <c r="AN101" s="2725">
        <f t="shared" si="21"/>
        <v>0</v>
      </c>
      <c r="AO101" s="2725">
        <f t="shared" si="21"/>
        <v>6053.0499999999302</v>
      </c>
      <c r="AP101" s="2725">
        <f t="shared" si="21"/>
        <v>0</v>
      </c>
      <c r="AQ101" s="2725">
        <f t="shared" si="21"/>
        <v>-633.33299999999872</v>
      </c>
      <c r="AR101" s="2725">
        <f t="shared" si="21"/>
        <v>0</v>
      </c>
      <c r="AS101" s="2725">
        <f t="shared" si="21"/>
        <v>5419.716999999946</v>
      </c>
      <c r="AT101" s="2725">
        <f t="shared" si="21"/>
        <v>0</v>
      </c>
      <c r="AU101" s="2725">
        <f t="shared" si="21"/>
        <v>1141.1129999999994</v>
      </c>
      <c r="AV101" s="2725">
        <f t="shared" si="21"/>
        <v>0</v>
      </c>
      <c r="AW101" s="2725">
        <f t="shared" si="21"/>
        <v>6560.8299999999581</v>
      </c>
      <c r="AX101" s="2725">
        <f t="shared" si="21"/>
        <v>0</v>
      </c>
      <c r="AY101" s="2725">
        <f t="shared" si="21"/>
        <v>1457.9880000000048</v>
      </c>
      <c r="AZ101" s="2725">
        <f t="shared" si="21"/>
        <v>0</v>
      </c>
      <c r="BA101" s="2725">
        <f t="shared" si="12"/>
        <v>1965.7680000000055</v>
      </c>
      <c r="BB101" s="2725">
        <f t="shared" si="21"/>
        <v>0</v>
      </c>
      <c r="BC101" s="2725">
        <f t="shared" si="13"/>
        <v>7988.6899999999969</v>
      </c>
      <c r="BD101" s="2725">
        <f t="shared" si="21"/>
        <v>0</v>
      </c>
      <c r="BE101" s="2725">
        <f t="shared" si="14"/>
        <v>8018.8179999999575</v>
      </c>
    </row>
    <row r="103" spans="3:57" ht="15" thickBot="1" x14ac:dyDescent="0.35"/>
    <row r="104" spans="3:57" ht="24" thickBot="1" x14ac:dyDescent="0.5">
      <c r="C104" s="4488" t="s">
        <v>1717</v>
      </c>
      <c r="D104" s="4489"/>
      <c r="E104" s="4489"/>
      <c r="F104" s="4489"/>
      <c r="G104" s="4489"/>
      <c r="H104" s="4489"/>
      <c r="I104" s="4489"/>
      <c r="J104" s="4489"/>
      <c r="K104" s="4489"/>
      <c r="L104" s="4489"/>
      <c r="M104" s="4489"/>
      <c r="N104" s="4489"/>
      <c r="O104" s="4489"/>
      <c r="P104" s="4489"/>
      <c r="Q104" s="4489"/>
      <c r="R104" s="4489"/>
      <c r="S104" s="4489"/>
      <c r="T104" s="4489"/>
      <c r="U104" s="4489"/>
      <c r="V104" s="4489"/>
      <c r="W104" s="4489"/>
      <c r="X104" s="4489"/>
      <c r="Y104" s="4489"/>
      <c r="Z104" s="4489"/>
      <c r="AA104" s="4489"/>
      <c r="AB104" s="4489"/>
      <c r="AC104" s="4495"/>
      <c r="AD104" s="4489"/>
      <c r="AE104" s="4489"/>
      <c r="AF104" s="4489"/>
      <c r="AG104" s="4489"/>
      <c r="AH104" s="4489"/>
      <c r="AI104" s="4489"/>
      <c r="AJ104" s="4489"/>
      <c r="AK104" s="4495"/>
      <c r="AL104" s="4489"/>
      <c r="AM104" s="4489"/>
      <c r="AN104" s="4489"/>
      <c r="AO104" s="4489"/>
      <c r="AP104" s="4489"/>
      <c r="AQ104" s="4489"/>
      <c r="AR104" s="4489"/>
      <c r="AS104" s="4489"/>
      <c r="AT104" s="4489"/>
      <c r="AU104" s="4489"/>
      <c r="AV104" s="4489"/>
      <c r="AW104" s="4489"/>
      <c r="AX104" s="4489"/>
      <c r="AY104" s="4489"/>
      <c r="AZ104" s="4489"/>
      <c r="BA104" s="4489"/>
      <c r="BB104" s="4489"/>
      <c r="BC104" s="4489"/>
      <c r="BD104" s="4489"/>
      <c r="BE104" s="4489"/>
    </row>
    <row r="105" spans="3:57" ht="15.6" x14ac:dyDescent="0.3">
      <c r="C105" s="2726"/>
      <c r="D105" s="2726"/>
      <c r="E105" s="2714" t="str">
        <f t="shared" ref="E105:AJ105" si="24">+E67</f>
        <v>APR'25</v>
      </c>
      <c r="F105" s="6344" t="str">
        <f t="shared" si="24"/>
        <v>MAY'25</v>
      </c>
      <c r="G105" s="6345">
        <f t="shared" si="24"/>
        <v>0</v>
      </c>
      <c r="H105" s="6344" t="str">
        <f t="shared" si="24"/>
        <v>2 M</v>
      </c>
      <c r="I105" s="6345">
        <f t="shared" si="24"/>
        <v>0</v>
      </c>
      <c r="J105" s="6344" t="str">
        <f t="shared" si="24"/>
        <v>JUN'25</v>
      </c>
      <c r="K105" s="6345">
        <f t="shared" si="24"/>
        <v>0</v>
      </c>
      <c r="L105" s="6344" t="str">
        <f t="shared" si="24"/>
        <v>QTR-1</v>
      </c>
      <c r="M105" s="6345">
        <f t="shared" si="24"/>
        <v>0</v>
      </c>
      <c r="N105" s="6344" t="str">
        <f t="shared" si="24"/>
        <v>JUL'25</v>
      </c>
      <c r="O105" s="6345">
        <f t="shared" si="24"/>
        <v>0</v>
      </c>
      <c r="P105" s="6344" t="str">
        <f t="shared" si="24"/>
        <v>4 M</v>
      </c>
      <c r="Q105" s="6345">
        <f t="shared" si="24"/>
        <v>0</v>
      </c>
      <c r="R105" s="6344" t="str">
        <f t="shared" si="24"/>
        <v>AUG'25</v>
      </c>
      <c r="S105" s="6345">
        <f t="shared" si="24"/>
        <v>0</v>
      </c>
      <c r="T105" s="6344" t="str">
        <f t="shared" si="24"/>
        <v>5 M</v>
      </c>
      <c r="U105" s="6345">
        <f t="shared" si="24"/>
        <v>0</v>
      </c>
      <c r="V105" s="6344" t="str">
        <f t="shared" si="24"/>
        <v>SEP'25</v>
      </c>
      <c r="W105" s="6345">
        <f t="shared" si="24"/>
        <v>0</v>
      </c>
      <c r="X105" s="6344" t="str">
        <f t="shared" si="24"/>
        <v>QTR-2</v>
      </c>
      <c r="Y105" s="6345">
        <f t="shared" si="24"/>
        <v>0</v>
      </c>
      <c r="Z105" s="6344" t="str">
        <f t="shared" si="24"/>
        <v>H1</v>
      </c>
      <c r="AA105" s="6345">
        <f t="shared" si="24"/>
        <v>0</v>
      </c>
      <c r="AB105" s="6344" t="str">
        <f t="shared" si="24"/>
        <v>OCT'25</v>
      </c>
      <c r="AC105" s="6345">
        <f t="shared" si="24"/>
        <v>0</v>
      </c>
      <c r="AD105" s="6344" t="str">
        <f t="shared" si="24"/>
        <v>7 M</v>
      </c>
      <c r="AE105" s="6345">
        <f t="shared" si="24"/>
        <v>0</v>
      </c>
      <c r="AF105" s="6344" t="str">
        <f t="shared" si="24"/>
        <v>NOV'25</v>
      </c>
      <c r="AG105" s="6345">
        <f t="shared" si="24"/>
        <v>0</v>
      </c>
      <c r="AH105" s="6344" t="str">
        <f t="shared" si="24"/>
        <v>8 M</v>
      </c>
      <c r="AI105" s="6345">
        <f t="shared" si="24"/>
        <v>0</v>
      </c>
      <c r="AJ105" s="6344" t="str">
        <f t="shared" si="24"/>
        <v>DEC'25</v>
      </c>
      <c r="AK105" s="6345">
        <f t="shared" ref="AK105:BE105" si="25">+AK67</f>
        <v>0</v>
      </c>
      <c r="AL105" s="6344" t="str">
        <f t="shared" si="25"/>
        <v>QTR-3</v>
      </c>
      <c r="AM105" s="6345">
        <f t="shared" si="25"/>
        <v>0</v>
      </c>
      <c r="AN105" s="6344" t="str">
        <f t="shared" si="25"/>
        <v>9 M</v>
      </c>
      <c r="AO105" s="6345">
        <f t="shared" si="25"/>
        <v>0</v>
      </c>
      <c r="AP105" s="6344" t="str">
        <f t="shared" si="25"/>
        <v>JAN'26</v>
      </c>
      <c r="AQ105" s="6345">
        <f t="shared" si="25"/>
        <v>0</v>
      </c>
      <c r="AR105" s="6344" t="str">
        <f t="shared" si="25"/>
        <v>10 M</v>
      </c>
      <c r="AS105" s="6345">
        <f t="shared" si="25"/>
        <v>0</v>
      </c>
      <c r="AT105" s="6344" t="str">
        <f t="shared" si="25"/>
        <v>FEB'26</v>
      </c>
      <c r="AU105" s="6345">
        <f t="shared" si="25"/>
        <v>0</v>
      </c>
      <c r="AV105" s="6344" t="str">
        <f t="shared" si="25"/>
        <v>11 M</v>
      </c>
      <c r="AW105" s="6345">
        <f t="shared" si="25"/>
        <v>0</v>
      </c>
      <c r="AX105" s="6344" t="str">
        <f t="shared" si="25"/>
        <v>MAR'26</v>
      </c>
      <c r="AY105" s="6345">
        <f t="shared" si="25"/>
        <v>0</v>
      </c>
      <c r="AZ105" s="6344" t="str">
        <f t="shared" si="25"/>
        <v>QTR-4</v>
      </c>
      <c r="BA105" s="6345">
        <f t="shared" si="25"/>
        <v>0</v>
      </c>
      <c r="BB105" s="6344" t="str">
        <f t="shared" si="25"/>
        <v>H2</v>
      </c>
      <c r="BC105" s="6345">
        <f t="shared" si="25"/>
        <v>0</v>
      </c>
      <c r="BD105" s="6344" t="str">
        <f t="shared" si="25"/>
        <v>2025-26</v>
      </c>
      <c r="BE105" s="6345">
        <f t="shared" si="25"/>
        <v>0</v>
      </c>
    </row>
    <row r="106" spans="3:57" ht="18" x14ac:dyDescent="0.3">
      <c r="C106" s="2728" t="str">
        <f>+'GRD SUMM RCL CASTER 3'!A7</f>
        <v>BLOOM CB C20 MMNC 200*280</v>
      </c>
      <c r="D106" s="2727"/>
      <c r="E106" s="2710">
        <f>+'GRD SUMM RCL CASTER 3'!C7</f>
        <v>0</v>
      </c>
      <c r="F106" s="2710">
        <f>+'GRD SUMM RCL CASTER 3'!D7</f>
        <v>0</v>
      </c>
      <c r="G106" s="2710">
        <f>+'GRD SUMM RCL CASTER 3'!E7</f>
        <v>0</v>
      </c>
      <c r="H106" s="2710">
        <f>+'GRD SUMM RCL CASTER 3'!F7</f>
        <v>0</v>
      </c>
      <c r="I106" s="2710">
        <f>+'GRD SUMM RCL CASTER 3'!G7</f>
        <v>0</v>
      </c>
      <c r="J106" s="2710">
        <f>+'GRD SUMM RCL CASTER 3'!H7</f>
        <v>0</v>
      </c>
      <c r="K106" s="2710">
        <f>+'GRD SUMM RCL CASTER 3'!I7</f>
        <v>0</v>
      </c>
      <c r="L106" s="2710">
        <f>+'GRD SUMM RCL CASTER 3'!J7</f>
        <v>0</v>
      </c>
      <c r="M106" s="2710">
        <f>+'GRD SUMM RCL CASTER 3'!K7</f>
        <v>0</v>
      </c>
      <c r="N106" s="2710">
        <f>+'GRD SUMM RCL CASTER 3'!L7</f>
        <v>0</v>
      </c>
      <c r="O106" s="2710">
        <f>+'GRD SUMM RCL CASTER 3'!M7</f>
        <v>0</v>
      </c>
      <c r="P106" s="2710">
        <f>+'GRD SUMM RCL CASTER 3'!N7</f>
        <v>0</v>
      </c>
      <c r="Q106" s="2710">
        <f>+'GRD SUMM RCL CASTER 3'!O7</f>
        <v>0</v>
      </c>
      <c r="R106" s="2710">
        <f>+'GRD SUMM RCL CASTER 3'!P7</f>
        <v>0</v>
      </c>
      <c r="S106" s="2710">
        <f>+'GRD SUMM RCL CASTER 3'!Q7</f>
        <v>0</v>
      </c>
      <c r="T106" s="2710">
        <f>+'GRD SUMM RCL CASTER 3'!R7</f>
        <v>0</v>
      </c>
      <c r="U106" s="2710">
        <f>+'GRD SUMM RCL CASTER 3'!S7</f>
        <v>0</v>
      </c>
      <c r="V106" s="2710">
        <f>+'GRD SUMM RCL CASTER 3'!T7</f>
        <v>0</v>
      </c>
      <c r="W106" s="2710">
        <f>+'GRD SUMM RCL CASTER 3'!U7</f>
        <v>0</v>
      </c>
      <c r="X106" s="2710">
        <f>+'GRD SUMM RCL CASTER 3'!V7</f>
        <v>0</v>
      </c>
      <c r="Y106" s="2710">
        <f>+'GRD SUMM RCL CASTER 3'!W7</f>
        <v>0</v>
      </c>
      <c r="Z106" s="2710">
        <f>+'GRD SUMM RCL CASTER 3'!X7</f>
        <v>0</v>
      </c>
      <c r="AA106" s="2710">
        <f>+'GRD SUMM RCL CASTER 3'!Y7</f>
        <v>0</v>
      </c>
      <c r="AB106" s="2710">
        <f>+'GRD SUMM RCL CASTER 3'!Z7</f>
        <v>0</v>
      </c>
      <c r="AC106" s="2710">
        <f>+'GRD SUMM RCL CASTER 3'!AA7</f>
        <v>0</v>
      </c>
      <c r="AD106" s="2710">
        <f>+'GRD SUMM RCL CASTER 3'!AB7</f>
        <v>0</v>
      </c>
      <c r="AE106" s="2710">
        <f>+'GRD SUMM RCL CASTER 3'!AC7</f>
        <v>0</v>
      </c>
      <c r="AF106" s="2710">
        <f>+'GRD SUMM RCL CASTER 3'!AD7</f>
        <v>0</v>
      </c>
      <c r="AG106" s="2710">
        <f>+'GRD SUMM RCL CASTER 3'!AE7</f>
        <v>0</v>
      </c>
      <c r="AH106" s="2710">
        <f>+'GRD SUMM RCL CASTER 3'!AF7</f>
        <v>0</v>
      </c>
      <c r="AI106" s="2710">
        <f>+'GRD SUMM RCL CASTER 3'!AG7</f>
        <v>0</v>
      </c>
      <c r="AJ106" s="2710">
        <f>+'GRD SUMM RCL CASTER 3'!AH7</f>
        <v>0</v>
      </c>
      <c r="AK106" s="2710">
        <f>+'GRD SUMM RCL CASTER 3'!AI7</f>
        <v>0</v>
      </c>
      <c r="AL106" s="2710">
        <f>+'GRD SUMM RCL CASTER 3'!AJ7</f>
        <v>0</v>
      </c>
      <c r="AM106" s="2710">
        <f>+'GRD SUMM RCL CASTER 3'!AK7</f>
        <v>0</v>
      </c>
      <c r="AN106" s="2710">
        <f>+'GRD SUMM RCL CASTER 3'!AL7</f>
        <v>0</v>
      </c>
      <c r="AO106" s="2710">
        <f>+'GRD SUMM RCL CASTER 3'!AM7</f>
        <v>0</v>
      </c>
      <c r="AP106" s="2710">
        <f>+'GRD SUMM RCL CASTER 3'!AN7</f>
        <v>0</v>
      </c>
      <c r="AQ106" s="2710">
        <f>+'GRD SUMM RCL CASTER 3'!AO7</f>
        <v>895</v>
      </c>
      <c r="AR106" s="2710">
        <f>+'GRD SUMM RCL CASTER 3'!AP7</f>
        <v>0</v>
      </c>
      <c r="AS106" s="2710">
        <f>+'GRD SUMM RCL CASTER 3'!AQ7</f>
        <v>895</v>
      </c>
      <c r="AT106" s="2710">
        <f>+'GRD SUMM RCL CASTER 3'!AR7</f>
        <v>0</v>
      </c>
      <c r="AU106" s="2710">
        <f>+'GRD SUMM RCL CASTER 3'!AS7</f>
        <v>0</v>
      </c>
      <c r="AV106" s="2710">
        <f>+'GRD SUMM RCL CASTER 3'!AT7</f>
        <v>0</v>
      </c>
      <c r="AW106" s="2710">
        <f>+'GRD SUMM RCL CASTER 3'!AU7</f>
        <v>895</v>
      </c>
      <c r="AX106" s="2710">
        <f>+'GRD SUMM RCL CASTER 3'!AV7</f>
        <v>0</v>
      </c>
      <c r="AY106" s="2710">
        <f>+'GRD SUMM RCL CASTER 3'!AW7</f>
        <v>0</v>
      </c>
      <c r="AZ106" s="2710">
        <f>+'GRD SUMM RCL CASTER 3'!AX7</f>
        <v>0</v>
      </c>
      <c r="BA106" s="2710">
        <f t="shared" ref="BA106:BA129" si="26">+AY106+AU106+AQ106</f>
        <v>895</v>
      </c>
      <c r="BB106" s="2710">
        <f>+'GRD SUMM RCL CASTER 3'!AZ7</f>
        <v>0</v>
      </c>
      <c r="BC106" s="2710">
        <f t="shared" ref="BC106:BC129" si="27">+BA106+AM106</f>
        <v>895</v>
      </c>
      <c r="BD106" s="2710">
        <f>+'GRD SUMM RCL CASTER 3'!BB7</f>
        <v>0</v>
      </c>
      <c r="BE106" s="2710">
        <f t="shared" ref="BE106:BE129" si="28">+E106+G106+K106+O106+S106+W106+AC106+AG106+AK106+AQ106+AU106+AY106</f>
        <v>895</v>
      </c>
    </row>
    <row r="107" spans="3:57" ht="18" x14ac:dyDescent="0.3">
      <c r="C107" s="2728" t="str">
        <f>+'GRD SUMM RCL CASTER 3'!A8</f>
        <v>BLOOM CB C25 HMN 200*280</v>
      </c>
      <c r="D107" s="5435"/>
      <c r="E107" s="2710">
        <f>+'GRD SUMM RCL CASTER 3'!C8</f>
        <v>0</v>
      </c>
      <c r="F107" s="2710">
        <f>+'GRD SUMM RCL CASTER 3'!D8</f>
        <v>0</v>
      </c>
      <c r="G107" s="2710">
        <f>+'GRD SUMM RCL CASTER 3'!E8</f>
        <v>8</v>
      </c>
      <c r="H107" s="2710">
        <f>+'GRD SUMM RCL CASTER 3'!F8</f>
        <v>0</v>
      </c>
      <c r="I107" s="2710">
        <f>+'GRD SUMM RCL CASTER 3'!G8</f>
        <v>8</v>
      </c>
      <c r="J107" s="2710">
        <f>+'GRD SUMM RCL CASTER 3'!H8</f>
        <v>0</v>
      </c>
      <c r="K107" s="2710">
        <f>+'GRD SUMM RCL CASTER 3'!I8</f>
        <v>0</v>
      </c>
      <c r="L107" s="2710">
        <f>+'GRD SUMM RCL CASTER 3'!J8</f>
        <v>0</v>
      </c>
      <c r="M107" s="2710">
        <f>+'GRD SUMM RCL CASTER 3'!K8</f>
        <v>8</v>
      </c>
      <c r="N107" s="2710">
        <f>+'GRD SUMM RCL CASTER 3'!L8</f>
        <v>0</v>
      </c>
      <c r="O107" s="2710">
        <f>+'GRD SUMM RCL CASTER 3'!M8</f>
        <v>0</v>
      </c>
      <c r="P107" s="2710">
        <f>+'GRD SUMM RCL CASTER 3'!N8</f>
        <v>0</v>
      </c>
      <c r="Q107" s="2710">
        <f>+'GRD SUMM RCL CASTER 3'!O8</f>
        <v>8</v>
      </c>
      <c r="R107" s="2710">
        <f>+'GRD SUMM RCL CASTER 3'!P8</f>
        <v>0</v>
      </c>
      <c r="S107" s="2710">
        <f>+'GRD SUMM RCL CASTER 3'!Q8</f>
        <v>307.10399999999998</v>
      </c>
      <c r="T107" s="2710">
        <f>+'GRD SUMM RCL CASTER 3'!R8</f>
        <v>0</v>
      </c>
      <c r="U107" s="2710">
        <f>+'GRD SUMM RCL CASTER 3'!S8</f>
        <v>315.10399999999998</v>
      </c>
      <c r="V107" s="2710">
        <f>+'GRD SUMM RCL CASTER 3'!T8</f>
        <v>0</v>
      </c>
      <c r="W107" s="2710">
        <f>+'GRD SUMM RCL CASTER 3'!U8</f>
        <v>0</v>
      </c>
      <c r="X107" s="2710">
        <f>+'GRD SUMM RCL CASTER 3'!V8</f>
        <v>0</v>
      </c>
      <c r="Y107" s="2710">
        <f>+'GRD SUMM RCL CASTER 3'!W8</f>
        <v>307.10399999999998</v>
      </c>
      <c r="Z107" s="2710">
        <f>+'GRD SUMM RCL CASTER 3'!X8</f>
        <v>0</v>
      </c>
      <c r="AA107" s="2710">
        <f>+'GRD SUMM RCL CASTER 3'!Y8</f>
        <v>315.10399999999998</v>
      </c>
      <c r="AB107" s="2710">
        <f>+'GRD SUMM RCL CASTER 3'!Z8</f>
        <v>0</v>
      </c>
      <c r="AC107" s="2710">
        <f>+'GRD SUMM RCL CASTER 3'!AA8</f>
        <v>34</v>
      </c>
      <c r="AD107" s="2710">
        <f>+'GRD SUMM RCL CASTER 3'!AB8</f>
        <v>0</v>
      </c>
      <c r="AE107" s="2710">
        <f>+'GRD SUMM RCL CASTER 3'!AC8</f>
        <v>349.10399999999998</v>
      </c>
      <c r="AF107" s="2710">
        <f>+'GRD SUMM RCL CASTER 3'!AD8</f>
        <v>0</v>
      </c>
      <c r="AG107" s="2710">
        <f>+'GRD SUMM RCL CASTER 3'!AE8</f>
        <v>0</v>
      </c>
      <c r="AH107" s="2710">
        <f>+'GRD SUMM RCL CASTER 3'!AF8</f>
        <v>0</v>
      </c>
      <c r="AI107" s="2710">
        <f>+'GRD SUMM RCL CASTER 3'!AG8</f>
        <v>349.10399999999998</v>
      </c>
      <c r="AJ107" s="2710">
        <f>+'GRD SUMM RCL CASTER 3'!AH8</f>
        <v>0</v>
      </c>
      <c r="AK107" s="2710">
        <f>+'GRD SUMM RCL CASTER 3'!AI8</f>
        <v>0</v>
      </c>
      <c r="AL107" s="2710">
        <f>+'GRD SUMM RCL CASTER 3'!AJ8</f>
        <v>0</v>
      </c>
      <c r="AM107" s="2710">
        <f>+'GRD SUMM RCL CASTER 3'!AK8</f>
        <v>34</v>
      </c>
      <c r="AN107" s="2710">
        <f>+'GRD SUMM RCL CASTER 3'!AL8</f>
        <v>0</v>
      </c>
      <c r="AO107" s="2710">
        <f>+'GRD SUMM RCL CASTER 3'!AM8</f>
        <v>349.10399999999998</v>
      </c>
      <c r="AP107" s="2710">
        <f>+'GRD SUMM RCL CASTER 3'!AN8</f>
        <v>0</v>
      </c>
      <c r="AQ107" s="2710">
        <f>+'GRD SUMM RCL CASTER 3'!AO8</f>
        <v>32</v>
      </c>
      <c r="AR107" s="2710">
        <f>+'GRD SUMM RCL CASTER 3'!AP8</f>
        <v>0</v>
      </c>
      <c r="AS107" s="2710">
        <f>+'GRD SUMM RCL CASTER 3'!AQ8</f>
        <v>381.10399999999998</v>
      </c>
      <c r="AT107" s="2710">
        <f>+'GRD SUMM RCL CASTER 3'!AR8</f>
        <v>0</v>
      </c>
      <c r="AU107" s="2710">
        <f>+'GRD SUMM RCL CASTER 3'!AS8</f>
        <v>75.492000000000004</v>
      </c>
      <c r="AV107" s="2710">
        <f>+'GRD SUMM RCL CASTER 3'!AT8</f>
        <v>0</v>
      </c>
      <c r="AW107" s="2710">
        <f>+'GRD SUMM RCL CASTER 3'!AU8</f>
        <v>456.596</v>
      </c>
      <c r="AX107" s="2710">
        <f>+'GRD SUMM RCL CASTER 3'!AV8</f>
        <v>0</v>
      </c>
      <c r="AY107" s="2710">
        <f>+'GRD SUMM RCL CASTER 3'!AW8</f>
        <v>5.2160000000000002</v>
      </c>
      <c r="AZ107" s="2710">
        <f>+'GRD SUMM RCL CASTER 3'!AX8</f>
        <v>0</v>
      </c>
      <c r="BA107" s="2710">
        <f t="shared" si="26"/>
        <v>112.708</v>
      </c>
      <c r="BB107" s="2710">
        <f>+'GRD SUMM RCL CASTER 3'!AZ8</f>
        <v>0</v>
      </c>
      <c r="BC107" s="2710">
        <f t="shared" si="27"/>
        <v>146.708</v>
      </c>
      <c r="BD107" s="2710">
        <f>+'GRD SUMM RCL CASTER 3'!BB8</f>
        <v>0</v>
      </c>
      <c r="BE107" s="2710">
        <f t="shared" si="28"/>
        <v>461.81200000000001</v>
      </c>
    </row>
    <row r="108" spans="3:57" ht="18" x14ac:dyDescent="0.3">
      <c r="C108" s="2728" t="str">
        <f>+'GRD SUMM RCL CASTER 3'!A9</f>
        <v>BLOOM CB 45C8 ALK(VD) 200*280</v>
      </c>
      <c r="D108" s="5435"/>
      <c r="E108" s="2710">
        <f>+'GRD SUMM RCL CASTER 3'!C9</f>
        <v>0</v>
      </c>
      <c r="F108" s="2710">
        <f>+'GRD SUMM RCL CASTER 3'!D9</f>
        <v>0</v>
      </c>
      <c r="G108" s="2710">
        <f>+'GRD SUMM RCL CASTER 3'!E9</f>
        <v>0</v>
      </c>
      <c r="H108" s="2710">
        <f>+'GRD SUMM RCL CASTER 3'!F9</f>
        <v>0</v>
      </c>
      <c r="I108" s="2710">
        <f>+'GRD SUMM RCL CASTER 3'!G9</f>
        <v>0</v>
      </c>
      <c r="J108" s="2710">
        <f>+'GRD SUMM RCL CASTER 3'!H9</f>
        <v>0</v>
      </c>
      <c r="K108" s="2710">
        <f>+'GRD SUMM RCL CASTER 3'!I9</f>
        <v>0</v>
      </c>
      <c r="L108" s="2710">
        <f>+'GRD SUMM RCL CASTER 3'!J9</f>
        <v>0</v>
      </c>
      <c r="M108" s="2710">
        <f>+'GRD SUMM RCL CASTER 3'!K9</f>
        <v>0</v>
      </c>
      <c r="N108" s="2710">
        <f>+'GRD SUMM RCL CASTER 3'!L9</f>
        <v>0</v>
      </c>
      <c r="O108" s="2710">
        <f>+'GRD SUMM RCL CASTER 3'!M9</f>
        <v>0</v>
      </c>
      <c r="P108" s="2710">
        <f>+'GRD SUMM RCL CASTER 3'!N9</f>
        <v>0</v>
      </c>
      <c r="Q108" s="2710">
        <f>+'GRD SUMM RCL CASTER 3'!O9</f>
        <v>0</v>
      </c>
      <c r="R108" s="2710">
        <f>+'GRD SUMM RCL CASTER 3'!P9</f>
        <v>0</v>
      </c>
      <c r="S108" s="2710">
        <f>+'GRD SUMM RCL CASTER 3'!Q9</f>
        <v>0</v>
      </c>
      <c r="T108" s="2710">
        <f>+'GRD SUMM RCL CASTER 3'!R9</f>
        <v>0</v>
      </c>
      <c r="U108" s="2710">
        <f>+'GRD SUMM RCL CASTER 3'!S9</f>
        <v>0</v>
      </c>
      <c r="V108" s="2710">
        <f>+'GRD SUMM RCL CASTER 3'!T9</f>
        <v>0</v>
      </c>
      <c r="W108" s="2710">
        <f>+'GRD SUMM RCL CASTER 3'!U9</f>
        <v>0</v>
      </c>
      <c r="X108" s="2710">
        <f>+'GRD SUMM RCL CASTER 3'!V9</f>
        <v>0</v>
      </c>
      <c r="Y108" s="2710">
        <f>+'GRD SUMM RCL CASTER 3'!W9</f>
        <v>0</v>
      </c>
      <c r="Z108" s="2710">
        <f>+'GRD SUMM RCL CASTER 3'!X9</f>
        <v>0</v>
      </c>
      <c r="AA108" s="2710">
        <f>+'GRD SUMM RCL CASTER 3'!Y9</f>
        <v>0</v>
      </c>
      <c r="AB108" s="2710">
        <f>+'GRD SUMM RCL CASTER 3'!Z9</f>
        <v>0</v>
      </c>
      <c r="AC108" s="2710">
        <f>+'GRD SUMM RCL CASTER 3'!AA9</f>
        <v>0</v>
      </c>
      <c r="AD108" s="2710">
        <f>+'GRD SUMM RCL CASTER 3'!AB9</f>
        <v>0</v>
      </c>
      <c r="AE108" s="2710">
        <f>+'GRD SUMM RCL CASTER 3'!AC9</f>
        <v>0</v>
      </c>
      <c r="AF108" s="2710">
        <f>+'GRD SUMM RCL CASTER 3'!AD9</f>
        <v>0</v>
      </c>
      <c r="AG108" s="2710">
        <f>+'GRD SUMM RCL CASTER 3'!AE9</f>
        <v>0</v>
      </c>
      <c r="AH108" s="2710">
        <f>+'GRD SUMM RCL CASTER 3'!AF9</f>
        <v>0</v>
      </c>
      <c r="AI108" s="2710">
        <f>+'GRD SUMM RCL CASTER 3'!AG9</f>
        <v>0</v>
      </c>
      <c r="AJ108" s="2710">
        <f>+'GRD SUMM RCL CASTER 3'!AH9</f>
        <v>0</v>
      </c>
      <c r="AK108" s="2710">
        <f>+'GRD SUMM RCL CASTER 3'!AI9</f>
        <v>0</v>
      </c>
      <c r="AL108" s="2710">
        <f>+'GRD SUMM RCL CASTER 3'!AJ9</f>
        <v>0</v>
      </c>
      <c r="AM108" s="2710">
        <f>+'GRD SUMM RCL CASTER 3'!AK9</f>
        <v>0</v>
      </c>
      <c r="AN108" s="2710">
        <f>+'GRD SUMM RCL CASTER 3'!AL9</f>
        <v>0</v>
      </c>
      <c r="AO108" s="2710">
        <f>+'GRD SUMM RCL CASTER 3'!AM9</f>
        <v>0</v>
      </c>
      <c r="AP108" s="2710">
        <f>+'GRD SUMM RCL CASTER 3'!AN9</f>
        <v>0</v>
      </c>
      <c r="AQ108" s="2710">
        <f>+'GRD SUMM RCL CASTER 3'!AO9</f>
        <v>1655</v>
      </c>
      <c r="AR108" s="2710">
        <f>+'GRD SUMM RCL CASTER 3'!AP9</f>
        <v>0</v>
      </c>
      <c r="AS108" s="2710">
        <f>+'GRD SUMM RCL CASTER 3'!AQ9</f>
        <v>1655</v>
      </c>
      <c r="AT108" s="2710">
        <f>+'GRD SUMM RCL CASTER 3'!AR9</f>
        <v>0</v>
      </c>
      <c r="AU108" s="2710">
        <f>+'GRD SUMM RCL CASTER 3'!AS9</f>
        <v>0</v>
      </c>
      <c r="AV108" s="2710">
        <f>+'GRD SUMM RCL CASTER 3'!AT9</f>
        <v>0</v>
      </c>
      <c r="AW108" s="2710">
        <f>+'GRD SUMM RCL CASTER 3'!AU9</f>
        <v>1655</v>
      </c>
      <c r="AX108" s="2710">
        <f>+'GRD SUMM RCL CASTER 3'!AV9</f>
        <v>0</v>
      </c>
      <c r="AY108" s="2710">
        <f>+'GRD SUMM RCL CASTER 3'!AW9</f>
        <v>2258.1779999999999</v>
      </c>
      <c r="AZ108" s="2710">
        <f>+'GRD SUMM RCL CASTER 3'!AX9</f>
        <v>0</v>
      </c>
      <c r="BA108" s="2710">
        <f t="shared" si="26"/>
        <v>3913.1779999999999</v>
      </c>
      <c r="BB108" s="2710">
        <f>+'GRD SUMM RCL CASTER 3'!AZ9</f>
        <v>0</v>
      </c>
      <c r="BC108" s="2710">
        <f t="shared" si="27"/>
        <v>3913.1779999999999</v>
      </c>
      <c r="BD108" s="2710">
        <f>+'GRD SUMM RCL CASTER 3'!BB9</f>
        <v>0</v>
      </c>
      <c r="BE108" s="2710">
        <f t="shared" si="28"/>
        <v>3913.1779999999999</v>
      </c>
    </row>
    <row r="109" spans="3:57" ht="18" x14ac:dyDescent="0.3">
      <c r="C109" s="2728" t="str">
        <f>+'GRD SUMM RCL CASTER 3'!A10</f>
        <v>BLOOM CB 45 C8 (ROLLING) 200*280</v>
      </c>
      <c r="D109" s="5435"/>
      <c r="E109" s="2710">
        <f>+'GRD SUMM RCL CASTER 3'!C10</f>
        <v>0</v>
      </c>
      <c r="F109" s="2710">
        <f>+'GRD SUMM RCL CASTER 3'!D10</f>
        <v>0</v>
      </c>
      <c r="G109" s="2710">
        <f>+'GRD SUMM RCL CASTER 3'!E10</f>
        <v>0</v>
      </c>
      <c r="H109" s="2710">
        <f>+'GRD SUMM RCL CASTER 3'!F10</f>
        <v>0</v>
      </c>
      <c r="I109" s="2710">
        <f>+'GRD SUMM RCL CASTER 3'!G10</f>
        <v>0</v>
      </c>
      <c r="J109" s="2710">
        <f>+'GRD SUMM RCL CASTER 3'!H10</f>
        <v>0</v>
      </c>
      <c r="K109" s="2710">
        <f>+'GRD SUMM RCL CASTER 3'!I10</f>
        <v>0</v>
      </c>
      <c r="L109" s="2710">
        <f>+'GRD SUMM RCL CASTER 3'!J10</f>
        <v>0</v>
      </c>
      <c r="M109" s="2710">
        <f>+'GRD SUMM RCL CASTER 3'!K10</f>
        <v>0</v>
      </c>
      <c r="N109" s="2710">
        <f>+'GRD SUMM RCL CASTER 3'!L10</f>
        <v>0</v>
      </c>
      <c r="O109" s="2710">
        <f>+'GRD SUMM RCL CASTER 3'!M10</f>
        <v>0</v>
      </c>
      <c r="P109" s="2710">
        <f>+'GRD SUMM RCL CASTER 3'!N10</f>
        <v>0</v>
      </c>
      <c r="Q109" s="2710">
        <f>+'GRD SUMM RCL CASTER 3'!O10</f>
        <v>0</v>
      </c>
      <c r="R109" s="2710">
        <f>+'GRD SUMM RCL CASTER 3'!P10</f>
        <v>0</v>
      </c>
      <c r="S109" s="2710">
        <f>+'GRD SUMM RCL CASTER 3'!Q10</f>
        <v>0</v>
      </c>
      <c r="T109" s="2710">
        <f>+'GRD SUMM RCL CASTER 3'!R10</f>
        <v>0</v>
      </c>
      <c r="U109" s="2710">
        <f>+'GRD SUMM RCL CASTER 3'!S10</f>
        <v>0</v>
      </c>
      <c r="V109" s="2710">
        <f>+'GRD SUMM RCL CASTER 3'!T10</f>
        <v>0</v>
      </c>
      <c r="W109" s="2710">
        <f>+'GRD SUMM RCL CASTER 3'!U10</f>
        <v>0</v>
      </c>
      <c r="X109" s="2710">
        <f>+'GRD SUMM RCL CASTER 3'!V10</f>
        <v>0</v>
      </c>
      <c r="Y109" s="2710">
        <f>+'GRD SUMM RCL CASTER 3'!W10</f>
        <v>0</v>
      </c>
      <c r="Z109" s="2710">
        <f>+'GRD SUMM RCL CASTER 3'!X10</f>
        <v>0</v>
      </c>
      <c r="AA109" s="2710">
        <f>+'GRD SUMM RCL CASTER 3'!Y10</f>
        <v>0</v>
      </c>
      <c r="AB109" s="2710">
        <f>+'GRD SUMM RCL CASTER 3'!Z10</f>
        <v>0</v>
      </c>
      <c r="AC109" s="2710">
        <f>+'GRD SUMM RCL CASTER 3'!AA10</f>
        <v>0</v>
      </c>
      <c r="AD109" s="2710">
        <f>+'GRD SUMM RCL CASTER 3'!AB10</f>
        <v>0</v>
      </c>
      <c r="AE109" s="2710">
        <f>+'GRD SUMM RCL CASTER 3'!AC10</f>
        <v>0</v>
      </c>
      <c r="AF109" s="2710">
        <f>+'GRD SUMM RCL CASTER 3'!AD10</f>
        <v>0</v>
      </c>
      <c r="AG109" s="2710">
        <f>+'GRD SUMM RCL CASTER 3'!AE10</f>
        <v>0</v>
      </c>
      <c r="AH109" s="2710">
        <f>+'GRD SUMM RCL CASTER 3'!AF10</f>
        <v>0</v>
      </c>
      <c r="AI109" s="2710">
        <f>+'GRD SUMM RCL CASTER 3'!AG10</f>
        <v>0</v>
      </c>
      <c r="AJ109" s="2710">
        <f>+'GRD SUMM RCL CASTER 3'!AH10</f>
        <v>0</v>
      </c>
      <c r="AK109" s="2710">
        <f>+'GRD SUMM RCL CASTER 3'!AI10</f>
        <v>0</v>
      </c>
      <c r="AL109" s="2710">
        <f>+'GRD SUMM RCL CASTER 3'!AJ10</f>
        <v>0</v>
      </c>
      <c r="AM109" s="2710">
        <f>+'GRD SUMM RCL CASTER 3'!AK10</f>
        <v>0</v>
      </c>
      <c r="AN109" s="2710">
        <f>+'GRD SUMM RCL CASTER 3'!AL10</f>
        <v>0</v>
      </c>
      <c r="AO109" s="2710">
        <f>+'GRD SUMM RCL CASTER 3'!AM10</f>
        <v>0</v>
      </c>
      <c r="AP109" s="2710">
        <f>+'GRD SUMM RCL CASTER 3'!AN10</f>
        <v>0</v>
      </c>
      <c r="AQ109" s="2710">
        <f>+'GRD SUMM RCL CASTER 3'!AO10</f>
        <v>573</v>
      </c>
      <c r="AR109" s="2710">
        <f>+'GRD SUMM RCL CASTER 3'!AP10</f>
        <v>0</v>
      </c>
      <c r="AS109" s="2710">
        <f>+'GRD SUMM RCL CASTER 3'!AQ10</f>
        <v>573</v>
      </c>
      <c r="AT109" s="2710">
        <f>+'GRD SUMM RCL CASTER 3'!AR10</f>
        <v>0</v>
      </c>
      <c r="AU109" s="2710">
        <f>+'GRD SUMM RCL CASTER 3'!AS10</f>
        <v>0</v>
      </c>
      <c r="AV109" s="2710">
        <f>+'GRD SUMM RCL CASTER 3'!AT10</f>
        <v>0</v>
      </c>
      <c r="AW109" s="2710">
        <f>+'GRD SUMM RCL CASTER 3'!AU10</f>
        <v>573</v>
      </c>
      <c r="AX109" s="2710">
        <f>+'GRD SUMM RCL CASTER 3'!AV10</f>
        <v>0</v>
      </c>
      <c r="AY109" s="2710">
        <f>+'GRD SUMM RCL CASTER 3'!AW10</f>
        <v>372.60599999999999</v>
      </c>
      <c r="AZ109" s="2710">
        <f>+'GRD SUMM RCL CASTER 3'!AX10</f>
        <v>0</v>
      </c>
      <c r="BA109" s="2710">
        <f t="shared" si="26"/>
        <v>945.60599999999999</v>
      </c>
      <c r="BB109" s="2710">
        <f>+'GRD SUMM RCL CASTER 3'!AZ10</f>
        <v>0</v>
      </c>
      <c r="BC109" s="2710">
        <f t="shared" si="27"/>
        <v>945.60599999999999</v>
      </c>
      <c r="BD109" s="2710">
        <f>+'GRD SUMM RCL CASTER 3'!BB10</f>
        <v>0</v>
      </c>
      <c r="BE109" s="2710">
        <f t="shared" si="28"/>
        <v>945.60599999999999</v>
      </c>
    </row>
    <row r="110" spans="3:57" ht="18" x14ac:dyDescent="0.3">
      <c r="C110" s="2728" t="str">
        <f>+'GRD SUMM RCL CASTER 3'!A11</f>
        <v>BLOOM CB SAILTOWER6 V 200*280</v>
      </c>
      <c r="D110" s="5435"/>
      <c r="E110" s="2710">
        <f>+'GRD SUMM RCL CASTER 3'!C11</f>
        <v>0</v>
      </c>
      <c r="F110" s="2710">
        <f>+'GRD SUMM RCL CASTER 3'!D11</f>
        <v>0</v>
      </c>
      <c r="G110" s="2710">
        <f>+'GRD SUMM RCL CASTER 3'!E11</f>
        <v>0</v>
      </c>
      <c r="H110" s="2710">
        <f>+'GRD SUMM RCL CASTER 3'!F11</f>
        <v>0</v>
      </c>
      <c r="I110" s="2710">
        <f>+'GRD SUMM RCL CASTER 3'!G11</f>
        <v>0</v>
      </c>
      <c r="J110" s="2710">
        <f>+'GRD SUMM RCL CASTER 3'!H11</f>
        <v>0</v>
      </c>
      <c r="K110" s="2710">
        <f>+'GRD SUMM RCL CASTER 3'!I11</f>
        <v>0</v>
      </c>
      <c r="L110" s="2710">
        <f>+'GRD SUMM RCL CASTER 3'!J11</f>
        <v>0</v>
      </c>
      <c r="M110" s="2710">
        <f>+'GRD SUMM RCL CASTER 3'!K11</f>
        <v>0</v>
      </c>
      <c r="N110" s="2710">
        <f>+'GRD SUMM RCL CASTER 3'!L11</f>
        <v>0</v>
      </c>
      <c r="O110" s="2710">
        <f>+'GRD SUMM RCL CASTER 3'!M11</f>
        <v>0</v>
      </c>
      <c r="P110" s="2710">
        <f>+'GRD SUMM RCL CASTER 3'!N11</f>
        <v>0</v>
      </c>
      <c r="Q110" s="2710">
        <f>+'GRD SUMM RCL CASTER 3'!O11</f>
        <v>0</v>
      </c>
      <c r="R110" s="2710">
        <f>+'GRD SUMM RCL CASTER 3'!P11</f>
        <v>0</v>
      </c>
      <c r="S110" s="2710">
        <f>+'GRD SUMM RCL CASTER 3'!Q11</f>
        <v>0</v>
      </c>
      <c r="T110" s="2710">
        <f>+'GRD SUMM RCL CASTER 3'!R11</f>
        <v>0</v>
      </c>
      <c r="U110" s="2710">
        <f>+'GRD SUMM RCL CASTER 3'!S11</f>
        <v>0</v>
      </c>
      <c r="V110" s="2710">
        <f>+'GRD SUMM RCL CASTER 3'!T11</f>
        <v>0</v>
      </c>
      <c r="W110" s="2710">
        <f>+'GRD SUMM RCL CASTER 3'!U11</f>
        <v>0</v>
      </c>
      <c r="X110" s="2710">
        <f>+'GRD SUMM RCL CASTER 3'!V11</f>
        <v>0</v>
      </c>
      <c r="Y110" s="2710">
        <f>+'GRD SUMM RCL CASTER 3'!W11</f>
        <v>0</v>
      </c>
      <c r="Z110" s="2710">
        <f>+'GRD SUMM RCL CASTER 3'!X11</f>
        <v>0</v>
      </c>
      <c r="AA110" s="2710">
        <f>+'GRD SUMM RCL CASTER 3'!Y11</f>
        <v>0</v>
      </c>
      <c r="AB110" s="2710">
        <f>+'GRD SUMM RCL CASTER 3'!Z11</f>
        <v>0</v>
      </c>
      <c r="AC110" s="2710">
        <f>+'GRD SUMM RCL CASTER 3'!AA11</f>
        <v>0</v>
      </c>
      <c r="AD110" s="2710">
        <f>+'GRD SUMM RCL CASTER 3'!AB11</f>
        <v>0</v>
      </c>
      <c r="AE110" s="2710">
        <f>+'GRD SUMM RCL CASTER 3'!AC11</f>
        <v>0</v>
      </c>
      <c r="AF110" s="2710">
        <f>+'GRD SUMM RCL CASTER 3'!AD11</f>
        <v>0</v>
      </c>
      <c r="AG110" s="2710">
        <f>+'GRD SUMM RCL CASTER 3'!AE11</f>
        <v>0</v>
      </c>
      <c r="AH110" s="2710">
        <f>+'GRD SUMM RCL CASTER 3'!AF11</f>
        <v>0</v>
      </c>
      <c r="AI110" s="2710">
        <f>+'GRD SUMM RCL CASTER 3'!AG11</f>
        <v>0</v>
      </c>
      <c r="AJ110" s="2710">
        <f>+'GRD SUMM RCL CASTER 3'!AH11</f>
        <v>0</v>
      </c>
      <c r="AK110" s="2710">
        <f>+'GRD SUMM RCL CASTER 3'!AI11</f>
        <v>0</v>
      </c>
      <c r="AL110" s="2710">
        <f>+'GRD SUMM RCL CASTER 3'!AJ11</f>
        <v>0</v>
      </c>
      <c r="AM110" s="2710">
        <f>+'GRD SUMM RCL CASTER 3'!AK11</f>
        <v>0</v>
      </c>
      <c r="AN110" s="2710">
        <f>+'GRD SUMM RCL CASTER 3'!AL11</f>
        <v>0</v>
      </c>
      <c r="AO110" s="2710">
        <f>+'GRD SUMM RCL CASTER 3'!AM11</f>
        <v>0</v>
      </c>
      <c r="AP110" s="2710">
        <f>+'GRD SUMM RCL CASTER 3'!AN11</f>
        <v>0</v>
      </c>
      <c r="AQ110" s="2710">
        <f>+'GRD SUMM RCL CASTER 3'!AO11</f>
        <v>1882</v>
      </c>
      <c r="AR110" s="2710">
        <f>+'GRD SUMM RCL CASTER 3'!AP11</f>
        <v>0</v>
      </c>
      <c r="AS110" s="2710">
        <f>+'GRD SUMM RCL CASTER 3'!AQ11</f>
        <v>1882</v>
      </c>
      <c r="AT110" s="2710">
        <f>+'GRD SUMM RCL CASTER 3'!AR11</f>
        <v>0</v>
      </c>
      <c r="AU110" s="2710">
        <f>+'GRD SUMM RCL CASTER 3'!AS11</f>
        <v>1221.2460000000001</v>
      </c>
      <c r="AV110" s="2710">
        <f>+'GRD SUMM RCL CASTER 3'!AT11</f>
        <v>0</v>
      </c>
      <c r="AW110" s="2710">
        <f>+'GRD SUMM RCL CASTER 3'!AU11</f>
        <v>3103.2460000000001</v>
      </c>
      <c r="AX110" s="2710">
        <f>+'GRD SUMM RCL CASTER 3'!AV11</f>
        <v>0</v>
      </c>
      <c r="AY110" s="2710">
        <f>+'GRD SUMM RCL CASTER 3'!AW11</f>
        <v>0</v>
      </c>
      <c r="AZ110" s="2710">
        <f>+'GRD SUMM RCL CASTER 3'!AX11</f>
        <v>0</v>
      </c>
      <c r="BA110" s="2710">
        <f t="shared" si="26"/>
        <v>3103.2460000000001</v>
      </c>
      <c r="BB110" s="2710">
        <f>+'GRD SUMM RCL CASTER 3'!AZ11</f>
        <v>0</v>
      </c>
      <c r="BC110" s="2710">
        <f t="shared" si="27"/>
        <v>3103.2460000000001</v>
      </c>
      <c r="BD110" s="2710">
        <f>+'GRD SUMM RCL CASTER 3'!BB11</f>
        <v>0</v>
      </c>
      <c r="BE110" s="2710">
        <f t="shared" si="28"/>
        <v>3103.2460000000001</v>
      </c>
    </row>
    <row r="111" spans="3:57" ht="18" x14ac:dyDescent="0.3">
      <c r="C111" s="2728" t="str">
        <f>+'GRD SUMM RCL CASTER 3'!A12</f>
        <v>BLOOM CB SAILTOWER6 NB 200*280</v>
      </c>
      <c r="D111" s="5435"/>
      <c r="E111" s="2710">
        <f>+'GRD SUMM RCL CASTER 3'!C12</f>
        <v>0</v>
      </c>
      <c r="F111" s="2710">
        <f>+'GRD SUMM RCL CASTER 3'!D12</f>
        <v>0</v>
      </c>
      <c r="G111" s="2710">
        <f>+'GRD SUMM RCL CASTER 3'!E12</f>
        <v>2204</v>
      </c>
      <c r="H111" s="2710">
        <f>+'GRD SUMM RCL CASTER 3'!F12</f>
        <v>0</v>
      </c>
      <c r="I111" s="2710">
        <f>+'GRD SUMM RCL CASTER 3'!G12</f>
        <v>2204</v>
      </c>
      <c r="J111" s="2710">
        <f>+'GRD SUMM RCL CASTER 3'!H12</f>
        <v>0</v>
      </c>
      <c r="K111" s="2710">
        <f>+'GRD SUMM RCL CASTER 3'!I12</f>
        <v>0</v>
      </c>
      <c r="L111" s="2710">
        <f>+'GRD SUMM RCL CASTER 3'!J12</f>
        <v>0</v>
      </c>
      <c r="M111" s="2710">
        <f>+'GRD SUMM RCL CASTER 3'!K12</f>
        <v>2204</v>
      </c>
      <c r="N111" s="2710">
        <f>+'GRD SUMM RCL CASTER 3'!L12</f>
        <v>0</v>
      </c>
      <c r="O111" s="2710">
        <f>+'GRD SUMM RCL CASTER 3'!M12</f>
        <v>0</v>
      </c>
      <c r="P111" s="2710">
        <f>+'GRD SUMM RCL CASTER 3'!N12</f>
        <v>0</v>
      </c>
      <c r="Q111" s="2710">
        <f>+'GRD SUMM RCL CASTER 3'!O12</f>
        <v>2204</v>
      </c>
      <c r="R111" s="2710">
        <f>+'GRD SUMM RCL CASTER 3'!P12</f>
        <v>0</v>
      </c>
      <c r="S111" s="2710">
        <f>+'GRD SUMM RCL CASTER 3'!Q12</f>
        <v>5899.3739999999998</v>
      </c>
      <c r="T111" s="2710">
        <f>+'GRD SUMM RCL CASTER 3'!R12</f>
        <v>0</v>
      </c>
      <c r="U111" s="2710">
        <f>+'GRD SUMM RCL CASTER 3'!S12</f>
        <v>8103.3739999999998</v>
      </c>
      <c r="V111" s="2710">
        <f>+'GRD SUMM RCL CASTER 3'!T12</f>
        <v>0</v>
      </c>
      <c r="W111" s="2710">
        <f>+'GRD SUMM RCL CASTER 3'!U12</f>
        <v>0</v>
      </c>
      <c r="X111" s="2710">
        <f>+'GRD SUMM RCL CASTER 3'!V12</f>
        <v>0</v>
      </c>
      <c r="Y111" s="2710">
        <f>+'GRD SUMM RCL CASTER 3'!W12</f>
        <v>5899.3739999999998</v>
      </c>
      <c r="Z111" s="2710">
        <f>+'GRD SUMM RCL CASTER 3'!X12</f>
        <v>0</v>
      </c>
      <c r="AA111" s="2710">
        <f>+'GRD SUMM RCL CASTER 3'!Y12</f>
        <v>8103.3739999999998</v>
      </c>
      <c r="AB111" s="2710">
        <f>+'GRD SUMM RCL CASTER 3'!Z12</f>
        <v>0</v>
      </c>
      <c r="AC111" s="2710">
        <f>+'GRD SUMM RCL CASTER 3'!AA12</f>
        <v>9050</v>
      </c>
      <c r="AD111" s="2710">
        <f>+'GRD SUMM RCL CASTER 3'!AB12</f>
        <v>0</v>
      </c>
      <c r="AE111" s="2710">
        <f>+'GRD SUMM RCL CASTER 3'!AC12</f>
        <v>17153.374</v>
      </c>
      <c r="AF111" s="2710">
        <f>+'GRD SUMM RCL CASTER 3'!AD12</f>
        <v>0</v>
      </c>
      <c r="AG111" s="2710">
        <f>+'GRD SUMM RCL CASTER 3'!AE12</f>
        <v>0</v>
      </c>
      <c r="AH111" s="2710">
        <f>+'GRD SUMM RCL CASTER 3'!AF12</f>
        <v>0</v>
      </c>
      <c r="AI111" s="2710">
        <f>+'GRD SUMM RCL CASTER 3'!AG12</f>
        <v>17153.374</v>
      </c>
      <c r="AJ111" s="2710">
        <f>+'GRD SUMM RCL CASTER 3'!AH12</f>
        <v>0</v>
      </c>
      <c r="AK111" s="2710">
        <f>+'GRD SUMM RCL CASTER 3'!AI12</f>
        <v>0</v>
      </c>
      <c r="AL111" s="2710">
        <f>+'GRD SUMM RCL CASTER 3'!AJ12</f>
        <v>0</v>
      </c>
      <c r="AM111" s="2710">
        <f>+'GRD SUMM RCL CASTER 3'!AK12</f>
        <v>9050</v>
      </c>
      <c r="AN111" s="2710">
        <f>+'GRD SUMM RCL CASTER 3'!AL12</f>
        <v>0</v>
      </c>
      <c r="AO111" s="2710">
        <f>+'GRD SUMM RCL CASTER 3'!AM12</f>
        <v>17153.374</v>
      </c>
      <c r="AP111" s="2710">
        <f>+'GRD SUMM RCL CASTER 3'!AN12</f>
        <v>0</v>
      </c>
      <c r="AQ111" s="2710">
        <f>+'GRD SUMM RCL CASTER 3'!AO12</f>
        <v>0</v>
      </c>
      <c r="AR111" s="2710">
        <f>+'GRD SUMM RCL CASTER 3'!AP12</f>
        <v>0</v>
      </c>
      <c r="AS111" s="2710">
        <f>+'GRD SUMM RCL CASTER 3'!AQ12</f>
        <v>17153.374</v>
      </c>
      <c r="AT111" s="2710">
        <f>+'GRD SUMM RCL CASTER 3'!AR12</f>
        <v>0</v>
      </c>
      <c r="AU111" s="2710">
        <f>+'GRD SUMM RCL CASTER 3'!AS12</f>
        <v>0</v>
      </c>
      <c r="AV111" s="2710">
        <f>+'GRD SUMM RCL CASTER 3'!AT12</f>
        <v>0</v>
      </c>
      <c r="AW111" s="2710">
        <f>+'GRD SUMM RCL CASTER 3'!AU12</f>
        <v>17153.374</v>
      </c>
      <c r="AX111" s="2710">
        <f>+'GRD SUMM RCL CASTER 3'!AV12</f>
        <v>0</v>
      </c>
      <c r="AY111" s="2710">
        <f>+'GRD SUMM RCL CASTER 3'!AW12</f>
        <v>0</v>
      </c>
      <c r="AZ111" s="2710">
        <f>+'GRD SUMM RCL CASTER 3'!AX12</f>
        <v>0</v>
      </c>
      <c r="BA111" s="2710">
        <f t="shared" si="26"/>
        <v>0</v>
      </c>
      <c r="BB111" s="2710">
        <f>+'GRD SUMM RCL CASTER 3'!AZ12</f>
        <v>0</v>
      </c>
      <c r="BC111" s="2710">
        <f t="shared" si="27"/>
        <v>9050</v>
      </c>
      <c r="BD111" s="2710">
        <f>+'GRD SUMM RCL CASTER 3'!BB12</f>
        <v>0</v>
      </c>
      <c r="BE111" s="2710">
        <f t="shared" si="28"/>
        <v>17153.374</v>
      </c>
    </row>
    <row r="112" spans="3:57" x14ac:dyDescent="0.3">
      <c r="C112" s="2728" t="str">
        <f>+'GRD SUMM RCL CASTER 3'!A13</f>
        <v>BLOOM CB SAILTOWER-GR6-NB(A) 200*280</v>
      </c>
      <c r="D112" s="2728"/>
      <c r="E112" s="2710">
        <f>+'GRD SUMM RCL CASTER 3'!C13</f>
        <v>0</v>
      </c>
      <c r="F112" s="2710">
        <f>+'GRD SUMM RCL CASTER 3'!D13</f>
        <v>0</v>
      </c>
      <c r="G112" s="2710">
        <f>+'GRD SUMM RCL CASTER 3'!E13</f>
        <v>0</v>
      </c>
      <c r="H112" s="2710">
        <f>+'GRD SUMM RCL CASTER 3'!F13</f>
        <v>0</v>
      </c>
      <c r="I112" s="2710">
        <f>+'GRD SUMM RCL CASTER 3'!G13</f>
        <v>0</v>
      </c>
      <c r="J112" s="2710">
        <f>+'GRD SUMM RCL CASTER 3'!H13</f>
        <v>0</v>
      </c>
      <c r="K112" s="2710">
        <f>+'GRD SUMM RCL CASTER 3'!I13</f>
        <v>0</v>
      </c>
      <c r="L112" s="2710">
        <f>+'GRD SUMM RCL CASTER 3'!J13</f>
        <v>0</v>
      </c>
      <c r="M112" s="2710">
        <f>+'GRD SUMM RCL CASTER 3'!K13</f>
        <v>0</v>
      </c>
      <c r="N112" s="2710">
        <f>+'GRD SUMM RCL CASTER 3'!L13</f>
        <v>0</v>
      </c>
      <c r="O112" s="2710">
        <f>+'GRD SUMM RCL CASTER 3'!M13</f>
        <v>0</v>
      </c>
      <c r="P112" s="2710">
        <f>+'GRD SUMM RCL CASTER 3'!N13</f>
        <v>0</v>
      </c>
      <c r="Q112" s="2710">
        <f>+'GRD SUMM RCL CASTER 3'!O13</f>
        <v>0</v>
      </c>
      <c r="R112" s="2710">
        <f>+'GRD SUMM RCL CASTER 3'!P13</f>
        <v>0</v>
      </c>
      <c r="S112" s="2710">
        <f>+'GRD SUMM RCL CASTER 3'!Q13</f>
        <v>0</v>
      </c>
      <c r="T112" s="2710">
        <f>+'GRD SUMM RCL CASTER 3'!R13</f>
        <v>0</v>
      </c>
      <c r="U112" s="2710">
        <f>+'GRD SUMM RCL CASTER 3'!S13</f>
        <v>0</v>
      </c>
      <c r="V112" s="2710">
        <f>+'GRD SUMM RCL CASTER 3'!T13</f>
        <v>0</v>
      </c>
      <c r="W112" s="2710">
        <f>+'GRD SUMM RCL CASTER 3'!U13</f>
        <v>0</v>
      </c>
      <c r="X112" s="2710">
        <f>+'GRD SUMM RCL CASTER 3'!V13</f>
        <v>0</v>
      </c>
      <c r="Y112" s="2710">
        <f>+'GRD SUMM RCL CASTER 3'!W13</f>
        <v>0</v>
      </c>
      <c r="Z112" s="2710">
        <f>+'GRD SUMM RCL CASTER 3'!X13</f>
        <v>0</v>
      </c>
      <c r="AA112" s="2710">
        <f>+'GRD SUMM RCL CASTER 3'!Y13</f>
        <v>0</v>
      </c>
      <c r="AB112" s="2710">
        <f>+'GRD SUMM RCL CASTER 3'!Z13</f>
        <v>0</v>
      </c>
      <c r="AC112" s="2710">
        <f>+'GRD SUMM RCL CASTER 3'!AA13</f>
        <v>0</v>
      </c>
      <c r="AD112" s="2710">
        <f>+'GRD SUMM RCL CASTER 3'!AB13</f>
        <v>0</v>
      </c>
      <c r="AE112" s="2710">
        <f>+'GRD SUMM RCL CASTER 3'!AC13</f>
        <v>0</v>
      </c>
      <c r="AF112" s="2710">
        <f>+'GRD SUMM RCL CASTER 3'!AD13</f>
        <v>0</v>
      </c>
      <c r="AG112" s="2710">
        <f>+'GRD SUMM RCL CASTER 3'!AE13</f>
        <v>0</v>
      </c>
      <c r="AH112" s="2710">
        <f>+'GRD SUMM RCL CASTER 3'!AF13</f>
        <v>0</v>
      </c>
      <c r="AI112" s="2710">
        <f>+'GRD SUMM RCL CASTER 3'!AG13</f>
        <v>0</v>
      </c>
      <c r="AJ112" s="2710">
        <f>+'GRD SUMM RCL CASTER 3'!AH13</f>
        <v>0</v>
      </c>
      <c r="AK112" s="2710">
        <f>+'GRD SUMM RCL CASTER 3'!AI13</f>
        <v>0</v>
      </c>
      <c r="AL112" s="2710">
        <f>+'GRD SUMM RCL CASTER 3'!AJ13</f>
        <v>0</v>
      </c>
      <c r="AM112" s="2710">
        <f>+'GRD SUMM RCL CASTER 3'!AK13</f>
        <v>0</v>
      </c>
      <c r="AN112" s="2710">
        <f>+'GRD SUMM RCL CASTER 3'!AL13</f>
        <v>0</v>
      </c>
      <c r="AO112" s="2710">
        <f>+'GRD SUMM RCL CASTER 3'!AM13</f>
        <v>0</v>
      </c>
      <c r="AP112" s="2710">
        <f>+'GRD SUMM RCL CASTER 3'!AN13</f>
        <v>0</v>
      </c>
      <c r="AQ112" s="2710">
        <f>+'GRD SUMM RCL CASTER 3'!AO13</f>
        <v>0</v>
      </c>
      <c r="AR112" s="2710">
        <f>+'GRD SUMM RCL CASTER 3'!AP13</f>
        <v>0</v>
      </c>
      <c r="AS112" s="2710">
        <f>+'GRD SUMM RCL CASTER 3'!AQ13</f>
        <v>0</v>
      </c>
      <c r="AT112" s="2710">
        <f>+'GRD SUMM RCL CASTER 3'!AR13</f>
        <v>0</v>
      </c>
      <c r="AU112" s="2710">
        <f>+'GRD SUMM RCL CASTER 3'!AS13</f>
        <v>0</v>
      </c>
      <c r="AV112" s="2710">
        <f>+'GRD SUMM RCL CASTER 3'!AT13</f>
        <v>0</v>
      </c>
      <c r="AW112" s="2710">
        <f>+'GRD SUMM RCL CASTER 3'!AU13</f>
        <v>0</v>
      </c>
      <c r="AX112" s="2710">
        <f>+'GRD SUMM RCL CASTER 3'!AV13</f>
        <v>0</v>
      </c>
      <c r="AY112" s="2710">
        <f>+'GRD SUMM RCL CASTER 3'!AW13</f>
        <v>0</v>
      </c>
      <c r="AZ112" s="2710">
        <f>+'GRD SUMM RCL CASTER 3'!AX13</f>
        <v>0</v>
      </c>
      <c r="BA112" s="2710">
        <f t="shared" si="26"/>
        <v>0</v>
      </c>
      <c r="BB112" s="2710">
        <f>+'GRD SUMM RCL CASTER 3'!AZ13</f>
        <v>0</v>
      </c>
      <c r="BC112" s="2710">
        <f t="shared" si="27"/>
        <v>0</v>
      </c>
      <c r="BD112" s="2710">
        <f>+'GRD SUMM RCL CASTER 3'!BB13</f>
        <v>0</v>
      </c>
      <c r="BE112" s="2710">
        <f t="shared" si="28"/>
        <v>0</v>
      </c>
    </row>
    <row r="113" spans="2:57" x14ac:dyDescent="0.3">
      <c r="C113" s="2728" t="str">
        <f>+'GRD SUMM RCL CASTER 3'!A14</f>
        <v>BLOOM CB SWR 14 200*280</v>
      </c>
      <c r="D113" s="2728"/>
      <c r="E113" s="2710">
        <f>+'GRD SUMM RCL CASTER 3'!C14</f>
        <v>0</v>
      </c>
      <c r="F113" s="2710">
        <f>+'GRD SUMM RCL CASTER 3'!D14</f>
        <v>0</v>
      </c>
      <c r="G113" s="2710">
        <f>+'GRD SUMM RCL CASTER 3'!E14</f>
        <v>0</v>
      </c>
      <c r="H113" s="2710">
        <f>+'GRD SUMM RCL CASTER 3'!F14</f>
        <v>0</v>
      </c>
      <c r="I113" s="2710">
        <f>+'GRD SUMM RCL CASTER 3'!G14</f>
        <v>0</v>
      </c>
      <c r="J113" s="2710">
        <f>+'GRD SUMM RCL CASTER 3'!H14</f>
        <v>0</v>
      </c>
      <c r="K113" s="2710">
        <f>+'GRD SUMM RCL CASTER 3'!I14</f>
        <v>0</v>
      </c>
      <c r="L113" s="2710">
        <f>+'GRD SUMM RCL CASTER 3'!J14</f>
        <v>0</v>
      </c>
      <c r="M113" s="2710">
        <f>+'GRD SUMM RCL CASTER 3'!K14</f>
        <v>0</v>
      </c>
      <c r="N113" s="2710">
        <f>+'GRD SUMM RCL CASTER 3'!L14</f>
        <v>0</v>
      </c>
      <c r="O113" s="2710">
        <f>+'GRD SUMM RCL CASTER 3'!M14</f>
        <v>0</v>
      </c>
      <c r="P113" s="2710">
        <f>+'GRD SUMM RCL CASTER 3'!N14</f>
        <v>0</v>
      </c>
      <c r="Q113" s="2710">
        <f>+'GRD SUMM RCL CASTER 3'!O14</f>
        <v>0</v>
      </c>
      <c r="R113" s="2710">
        <f>+'GRD SUMM RCL CASTER 3'!P14</f>
        <v>0</v>
      </c>
      <c r="S113" s="2710">
        <f>+'GRD SUMM RCL CASTER 3'!Q14</f>
        <v>0</v>
      </c>
      <c r="T113" s="2710">
        <f>+'GRD SUMM RCL CASTER 3'!R14</f>
        <v>0</v>
      </c>
      <c r="U113" s="2710">
        <f>+'GRD SUMM RCL CASTER 3'!S14</f>
        <v>0</v>
      </c>
      <c r="V113" s="2710">
        <f>+'GRD SUMM RCL CASTER 3'!T14</f>
        <v>0</v>
      </c>
      <c r="W113" s="2710">
        <f>+'GRD SUMM RCL CASTER 3'!U14</f>
        <v>0</v>
      </c>
      <c r="X113" s="2710">
        <f>+'GRD SUMM RCL CASTER 3'!V14</f>
        <v>0</v>
      </c>
      <c r="Y113" s="2710">
        <f>+'GRD SUMM RCL CASTER 3'!W14</f>
        <v>0</v>
      </c>
      <c r="Z113" s="2710">
        <f>+'GRD SUMM RCL CASTER 3'!X14</f>
        <v>0</v>
      </c>
      <c r="AA113" s="2710">
        <f>+'GRD SUMM RCL CASTER 3'!Y14</f>
        <v>0</v>
      </c>
      <c r="AB113" s="2710">
        <f>+'GRD SUMM RCL CASTER 3'!Z14</f>
        <v>0</v>
      </c>
      <c r="AC113" s="2710">
        <f>+'GRD SUMM RCL CASTER 3'!AA14</f>
        <v>0</v>
      </c>
      <c r="AD113" s="2710">
        <f>+'GRD SUMM RCL CASTER 3'!AB14</f>
        <v>0</v>
      </c>
      <c r="AE113" s="2710">
        <f>+'GRD SUMM RCL CASTER 3'!AC14</f>
        <v>0</v>
      </c>
      <c r="AF113" s="2710">
        <f>+'GRD SUMM RCL CASTER 3'!AD14</f>
        <v>0</v>
      </c>
      <c r="AG113" s="2710">
        <f>+'GRD SUMM RCL CASTER 3'!AE14</f>
        <v>0</v>
      </c>
      <c r="AH113" s="2710">
        <f>+'GRD SUMM RCL CASTER 3'!AF14</f>
        <v>0</v>
      </c>
      <c r="AI113" s="2710">
        <f>+'GRD SUMM RCL CASTER 3'!AG14</f>
        <v>0</v>
      </c>
      <c r="AJ113" s="2710">
        <f>+'GRD SUMM RCL CASTER 3'!AH14</f>
        <v>0</v>
      </c>
      <c r="AK113" s="2710">
        <f>+'GRD SUMM RCL CASTER 3'!AI14</f>
        <v>0</v>
      </c>
      <c r="AL113" s="2710">
        <f>+'GRD SUMM RCL CASTER 3'!AJ14</f>
        <v>0</v>
      </c>
      <c r="AM113" s="2710">
        <f>+'GRD SUMM RCL CASTER 3'!AK14</f>
        <v>0</v>
      </c>
      <c r="AN113" s="2710">
        <f>+'GRD SUMM RCL CASTER 3'!AL14</f>
        <v>0</v>
      </c>
      <c r="AO113" s="2710">
        <f>+'GRD SUMM RCL CASTER 3'!AM14</f>
        <v>0</v>
      </c>
      <c r="AP113" s="2710">
        <f>+'GRD SUMM RCL CASTER 3'!AN14</f>
        <v>0</v>
      </c>
      <c r="AQ113" s="2710">
        <f>+'GRD SUMM RCL CASTER 3'!AO14</f>
        <v>0</v>
      </c>
      <c r="AR113" s="2710">
        <f>+'GRD SUMM RCL CASTER 3'!AP14</f>
        <v>0</v>
      </c>
      <c r="AS113" s="2710">
        <f>+'GRD SUMM RCL CASTER 3'!AQ14</f>
        <v>0</v>
      </c>
      <c r="AT113" s="2710">
        <f>+'GRD SUMM RCL CASTER 3'!AR14</f>
        <v>0</v>
      </c>
      <c r="AU113" s="2710">
        <f>+'GRD SUMM RCL CASTER 3'!AS14</f>
        <v>0</v>
      </c>
      <c r="AV113" s="2710">
        <f>+'GRD SUMM RCL CASTER 3'!AT14</f>
        <v>0</v>
      </c>
      <c r="AW113" s="2710">
        <f>+'GRD SUMM RCL CASTER 3'!AU14</f>
        <v>0</v>
      </c>
      <c r="AX113" s="2710">
        <f>+'GRD SUMM RCL CASTER 3'!AV14</f>
        <v>0</v>
      </c>
      <c r="AY113" s="2710">
        <f>+'GRD SUMM RCL CASTER 3'!AW14</f>
        <v>0</v>
      </c>
      <c r="AZ113" s="2710">
        <f>+'GRD SUMM RCL CASTER 3'!AX14</f>
        <v>0</v>
      </c>
      <c r="BA113" s="2710">
        <f t="shared" si="26"/>
        <v>0</v>
      </c>
      <c r="BB113" s="2710">
        <f>+'GRD SUMM RCL CASTER 3'!AZ14</f>
        <v>0</v>
      </c>
      <c r="BC113" s="2710">
        <f t="shared" si="27"/>
        <v>0</v>
      </c>
      <c r="BD113" s="2710">
        <f>+'GRD SUMM RCL CASTER 3'!BB14</f>
        <v>0</v>
      </c>
      <c r="BE113" s="2710">
        <f t="shared" si="28"/>
        <v>0</v>
      </c>
    </row>
    <row r="114" spans="2:57" x14ac:dyDescent="0.3">
      <c r="C114" s="2728" t="str">
        <f>+'GRD SUMM RCL CASTER 3'!A17</f>
        <v>ASSORTED CC BLOOM 200*280</v>
      </c>
      <c r="D114" s="2728"/>
      <c r="E114" s="2710">
        <f>+'GRD SUMM RCL CASTER 3'!C17</f>
        <v>0</v>
      </c>
      <c r="F114" s="2710">
        <f>+'GRD SUMM RCL CASTER 3'!D17</f>
        <v>0</v>
      </c>
      <c r="G114" s="2710">
        <f>+'GRD SUMM RCL CASTER 3'!E17</f>
        <v>69</v>
      </c>
      <c r="H114" s="2710">
        <f>+'GRD SUMM RCL CASTER 3'!F17</f>
        <v>0</v>
      </c>
      <c r="I114" s="2710">
        <f>+'GRD SUMM RCL CASTER 3'!G17</f>
        <v>69</v>
      </c>
      <c r="J114" s="2710">
        <f>+'GRD SUMM RCL CASTER 3'!H17</f>
        <v>0</v>
      </c>
      <c r="K114" s="2710">
        <f>+'GRD SUMM RCL CASTER 3'!I17</f>
        <v>0</v>
      </c>
      <c r="L114" s="2710">
        <f>+'GRD SUMM RCL CASTER 3'!J17</f>
        <v>0</v>
      </c>
      <c r="M114" s="2710">
        <f>+'GRD SUMM RCL CASTER 3'!K17</f>
        <v>69</v>
      </c>
      <c r="N114" s="2710">
        <f>+'GRD SUMM RCL CASTER 3'!L17</f>
        <v>0</v>
      </c>
      <c r="O114" s="2710">
        <f>+'GRD SUMM RCL CASTER 3'!M17</f>
        <v>0</v>
      </c>
      <c r="P114" s="2710">
        <f>+'GRD SUMM RCL CASTER 3'!N17</f>
        <v>0</v>
      </c>
      <c r="Q114" s="2710">
        <f>+'GRD SUMM RCL CASTER 3'!O17</f>
        <v>69</v>
      </c>
      <c r="R114" s="2710">
        <f>+'GRD SUMM RCL CASTER 3'!P17</f>
        <v>0</v>
      </c>
      <c r="S114" s="2710">
        <f>+'GRD SUMM RCL CASTER 3'!Q17</f>
        <v>274.29000000000002</v>
      </c>
      <c r="T114" s="2710">
        <f>+'GRD SUMM RCL CASTER 3'!R17</f>
        <v>0</v>
      </c>
      <c r="U114" s="2710">
        <f>+'GRD SUMM RCL CASTER 3'!S17</f>
        <v>343.29</v>
      </c>
      <c r="V114" s="2710">
        <f>+'GRD SUMM RCL CASTER 3'!T17</f>
        <v>0</v>
      </c>
      <c r="W114" s="2710">
        <f>+'GRD SUMM RCL CASTER 3'!U17</f>
        <v>0</v>
      </c>
      <c r="X114" s="2710">
        <f>+'GRD SUMM RCL CASTER 3'!V17</f>
        <v>0</v>
      </c>
      <c r="Y114" s="2710">
        <f>+'GRD SUMM RCL CASTER 3'!W17</f>
        <v>274.29000000000002</v>
      </c>
      <c r="Z114" s="2710">
        <f>+'GRD SUMM RCL CASTER 3'!X17</f>
        <v>0</v>
      </c>
      <c r="AA114" s="2710">
        <f>+'GRD SUMM RCL CASTER 3'!Y17</f>
        <v>343.29</v>
      </c>
      <c r="AB114" s="2710">
        <f>+'GRD SUMM RCL CASTER 3'!Z17</f>
        <v>0</v>
      </c>
      <c r="AC114" s="2710">
        <f>+'GRD SUMM RCL CASTER 3'!AA17</f>
        <v>107</v>
      </c>
      <c r="AD114" s="2710">
        <f>+'GRD SUMM RCL CASTER 3'!AB17</f>
        <v>0</v>
      </c>
      <c r="AE114" s="2710">
        <f>+'GRD SUMM RCL CASTER 3'!AC17</f>
        <v>450.29</v>
      </c>
      <c r="AF114" s="2710">
        <f>+'GRD SUMM RCL CASTER 3'!AD17</f>
        <v>0</v>
      </c>
      <c r="AG114" s="2710">
        <f>+'GRD SUMM RCL CASTER 3'!AE17</f>
        <v>0</v>
      </c>
      <c r="AH114" s="2710">
        <f>+'GRD SUMM RCL CASTER 3'!AF17</f>
        <v>0</v>
      </c>
      <c r="AI114" s="2710">
        <f>+'GRD SUMM RCL CASTER 3'!AG17</f>
        <v>450.29</v>
      </c>
      <c r="AJ114" s="2710">
        <f>+'GRD SUMM RCL CASTER 3'!AH17</f>
        <v>0</v>
      </c>
      <c r="AK114" s="2710">
        <f>+'GRD SUMM RCL CASTER 3'!AI17</f>
        <v>0</v>
      </c>
      <c r="AL114" s="2710">
        <f>+'GRD SUMM RCL CASTER 3'!AJ17</f>
        <v>0</v>
      </c>
      <c r="AM114" s="2710">
        <f>+'GRD SUMM RCL CASTER 3'!AK17</f>
        <v>107</v>
      </c>
      <c r="AN114" s="2710">
        <f>+'GRD SUMM RCL CASTER 3'!AL17</f>
        <v>0</v>
      </c>
      <c r="AO114" s="2710">
        <f>+'GRD SUMM RCL CASTER 3'!AM17</f>
        <v>450.29</v>
      </c>
      <c r="AP114" s="2710">
        <f>+'GRD SUMM RCL CASTER 3'!AN17</f>
        <v>0</v>
      </c>
      <c r="AQ114" s="2710">
        <f>+'GRD SUMM RCL CASTER 3'!AO17</f>
        <v>199</v>
      </c>
      <c r="AR114" s="2710">
        <f>+'GRD SUMM RCL CASTER 3'!AP17</f>
        <v>0</v>
      </c>
      <c r="AS114" s="2710">
        <f>+'GRD SUMM RCL CASTER 3'!AQ17</f>
        <v>649.29</v>
      </c>
      <c r="AT114" s="2710">
        <f>+'GRD SUMM RCL CASTER 3'!AR17</f>
        <v>0</v>
      </c>
      <c r="AU114" s="2710">
        <f>+'GRD SUMM RCL CASTER 3'!AS17</f>
        <v>89.55</v>
      </c>
      <c r="AV114" s="2710">
        <f>+'GRD SUMM RCL CASTER 3'!AT17</f>
        <v>0</v>
      </c>
      <c r="AW114" s="2710">
        <f>+'GRD SUMM RCL CASTER 3'!AU17</f>
        <v>738.83999999999992</v>
      </c>
      <c r="AX114" s="2710">
        <f>+'GRD SUMM RCL CASTER 3'!AV17</f>
        <v>0</v>
      </c>
      <c r="AY114" s="2710">
        <f>+'GRD SUMM RCL CASTER 3'!AW17</f>
        <v>111.07899999999999</v>
      </c>
      <c r="AZ114" s="2710">
        <f>+'GRD SUMM RCL CASTER 3'!AX17</f>
        <v>0</v>
      </c>
      <c r="BA114" s="2710">
        <f t="shared" si="26"/>
        <v>399.62900000000002</v>
      </c>
      <c r="BB114" s="2710">
        <f>+'GRD SUMM RCL CASTER 3'!AZ17</f>
        <v>0</v>
      </c>
      <c r="BC114" s="2710">
        <f t="shared" si="27"/>
        <v>506.62900000000002</v>
      </c>
      <c r="BD114" s="2710">
        <f>+'GRD SUMM RCL CASTER 3'!BB17</f>
        <v>0</v>
      </c>
      <c r="BE114" s="2710">
        <f t="shared" si="28"/>
        <v>849.91899999999987</v>
      </c>
    </row>
    <row r="115" spans="2:57" ht="16.2" thickBot="1" x14ac:dyDescent="0.35">
      <c r="B115" s="274"/>
      <c r="C115" s="2719" t="s">
        <v>1718</v>
      </c>
      <c r="D115" s="2737"/>
      <c r="E115" s="2720">
        <f>SUM(E106:E114)</f>
        <v>0</v>
      </c>
      <c r="F115" s="2720"/>
      <c r="G115" s="2720">
        <f>SUM(G106:G114)</f>
        <v>2281</v>
      </c>
      <c r="H115" s="2720"/>
      <c r="I115" s="2720">
        <f t="shared" ref="I115:I120" si="29">+E115+G115</f>
        <v>2281</v>
      </c>
      <c r="J115" s="2720"/>
      <c r="K115" s="2720">
        <f>SUM(K106:K114)</f>
        <v>0</v>
      </c>
      <c r="L115" s="2720"/>
      <c r="M115" s="2720">
        <f t="shared" ref="M115:M127" si="30">+E115+G115+K115</f>
        <v>2281</v>
      </c>
      <c r="N115" s="2720"/>
      <c r="O115" s="2720">
        <f>SUM(O106:O114)</f>
        <v>0</v>
      </c>
      <c r="P115" s="2720"/>
      <c r="Q115" s="2720">
        <f t="shared" ref="Q115:Q127" si="31">+O115+K115+G115+E115</f>
        <v>2281</v>
      </c>
      <c r="R115" s="2720"/>
      <c r="S115" s="2720">
        <f>SUM(S106:S114)</f>
        <v>6480.768</v>
      </c>
      <c r="T115" s="2720"/>
      <c r="U115" s="2720">
        <f t="shared" ref="U115:U127" si="32">+S115+O115+K115+G115+E115</f>
        <v>8761.768</v>
      </c>
      <c r="V115" s="2720"/>
      <c r="W115" s="2720">
        <f>SUM(W106:W114)</f>
        <v>0</v>
      </c>
      <c r="X115" s="2720"/>
      <c r="Y115" s="2720">
        <f t="shared" ref="Y115:Y127" si="33">+W115+S115+O115</f>
        <v>6480.768</v>
      </c>
      <c r="Z115" s="2720"/>
      <c r="AA115" s="2720">
        <f t="shared" ref="AA115:AA127" si="34">+E115+G115+K115+O115+S115+W115</f>
        <v>8761.768</v>
      </c>
      <c r="AB115" s="2720"/>
      <c r="AC115" s="2720">
        <f>SUM(AC106:AC114)</f>
        <v>9191</v>
      </c>
      <c r="AD115" s="2720"/>
      <c r="AE115" s="2720">
        <f t="shared" ref="AE115:AE127" si="35">+AC115+W115+S115+O115+K115+G115+E115</f>
        <v>17952.768</v>
      </c>
      <c r="AF115" s="2720"/>
      <c r="AG115" s="2720">
        <f>SUM(AG106:AG114)</f>
        <v>0</v>
      </c>
      <c r="AH115" s="2720"/>
      <c r="AI115" s="2720">
        <f t="shared" ref="AI115:AI127" si="36">+AG115+AC115+W115+S115+O115+K115+G115+E115</f>
        <v>17952.768</v>
      </c>
      <c r="AJ115" s="2720"/>
      <c r="AK115" s="2720">
        <f>SUM(AK106:AK114)</f>
        <v>0</v>
      </c>
      <c r="AL115" s="2720"/>
      <c r="AM115" s="2720">
        <f t="shared" ref="AM115:AM127" si="37">+AK115+AG115+AC115</f>
        <v>9191</v>
      </c>
      <c r="AN115" s="2720"/>
      <c r="AO115" s="2720">
        <f t="shared" ref="AO115:AO127" si="38">+AK115+AG115+AC115+W115+S115+O115+K115+G115+E115</f>
        <v>17952.768</v>
      </c>
      <c r="AP115" s="2720"/>
      <c r="AQ115" s="2720">
        <f>SUM(AQ106:AQ114)</f>
        <v>5236</v>
      </c>
      <c r="AR115" s="2720"/>
      <c r="AS115" s="2720">
        <f t="shared" ref="AS115:AS127" si="39">+AO115+AQ115</f>
        <v>23188.768</v>
      </c>
      <c r="AT115" s="2720"/>
      <c r="AU115" s="2720">
        <f>SUM(AU106:AU114)</f>
        <v>1386.288</v>
      </c>
      <c r="AV115" s="2720"/>
      <c r="AW115" s="2720">
        <f t="shared" ref="AW115:AW127" si="40">+AS115+AU115</f>
        <v>24575.056</v>
      </c>
      <c r="AX115" s="2720"/>
      <c r="AY115" s="2720">
        <f>SUM(AY106:AY114)</f>
        <v>2747.0790000000002</v>
      </c>
      <c r="AZ115" s="2720"/>
      <c r="BA115" s="2720">
        <f t="shared" si="26"/>
        <v>9369.3670000000002</v>
      </c>
      <c r="BB115" s="2720"/>
      <c r="BC115" s="2720">
        <f t="shared" si="27"/>
        <v>18560.366999999998</v>
      </c>
      <c r="BD115" s="2720"/>
      <c r="BE115" s="2720">
        <f t="shared" si="28"/>
        <v>27322.135000000002</v>
      </c>
    </row>
    <row r="116" spans="2:57" x14ac:dyDescent="0.3">
      <c r="B116" s="275"/>
      <c r="C116" s="256"/>
      <c r="D116" s="25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  <c r="AC116" s="146"/>
      <c r="AD116" s="146"/>
      <c r="AE116" s="146"/>
      <c r="AF116" s="146"/>
      <c r="AG116" s="146"/>
      <c r="AH116" s="146"/>
      <c r="AI116" s="146"/>
      <c r="AJ116" s="146"/>
      <c r="AK116" s="1527"/>
      <c r="AL116" s="146"/>
      <c r="AM116" s="146"/>
      <c r="AN116" s="146"/>
      <c r="AO116" s="146"/>
      <c r="AP116" s="146"/>
      <c r="AQ116" s="146"/>
      <c r="AR116" s="146"/>
      <c r="AS116" s="146"/>
      <c r="AT116" s="146"/>
      <c r="AU116" s="146"/>
      <c r="AV116" s="146"/>
      <c r="AW116" s="146"/>
      <c r="AX116" s="146"/>
      <c r="AY116" s="146"/>
      <c r="AZ116" s="146"/>
      <c r="BA116" s="146"/>
      <c r="BB116" s="146"/>
      <c r="BC116" s="146"/>
      <c r="BD116" s="146"/>
      <c r="BE116" s="146"/>
    </row>
    <row r="117" spans="2:57" x14ac:dyDescent="0.3">
      <c r="B117" s="275"/>
      <c r="C117" s="2729" t="s">
        <v>1719</v>
      </c>
      <c r="D117" s="2729"/>
      <c r="E117" s="2544">
        <f>+SMS!F42</f>
        <v>0</v>
      </c>
      <c r="F117" s="2544">
        <f>+SMS!G42</f>
        <v>0</v>
      </c>
      <c r="G117" s="2544">
        <f>+SMS!H42</f>
        <v>0</v>
      </c>
      <c r="H117" s="2544">
        <f>+SMS!I42</f>
        <v>0</v>
      </c>
      <c r="I117" s="2544">
        <f>+SMS!J42</f>
        <v>0</v>
      </c>
      <c r="J117" s="2544">
        <f>+SMS!K42</f>
        <v>0</v>
      </c>
      <c r="K117" s="2544">
        <f>+SMS!L42</f>
        <v>0</v>
      </c>
      <c r="L117" s="2544">
        <f>+SMS!M42</f>
        <v>0</v>
      </c>
      <c r="M117" s="2544">
        <f>+SMS!N42</f>
        <v>0</v>
      </c>
      <c r="N117" s="2544">
        <f>+SMS!O42</f>
        <v>0</v>
      </c>
      <c r="O117" s="2544">
        <f>+SMS!P42</f>
        <v>0</v>
      </c>
      <c r="P117" s="2544">
        <f>+SMS!Q42</f>
        <v>0</v>
      </c>
      <c r="Q117" s="2544">
        <f>+SMS!R42</f>
        <v>0</v>
      </c>
      <c r="R117" s="2544">
        <f>+SMS!S42</f>
        <v>0</v>
      </c>
      <c r="S117" s="2544">
        <f>+SMS!T42</f>
        <v>0</v>
      </c>
      <c r="T117" s="2544">
        <f>+SMS!U42</f>
        <v>0</v>
      </c>
      <c r="U117" s="2544">
        <f>+SMS!V42</f>
        <v>0</v>
      </c>
      <c r="V117" s="2544">
        <f>+SMS!W42</f>
        <v>0</v>
      </c>
      <c r="W117" s="2544">
        <f>+SMS!X42</f>
        <v>0</v>
      </c>
      <c r="X117" s="2544">
        <f>+SMS!Y42</f>
        <v>0</v>
      </c>
      <c r="Y117" s="2544">
        <f>+SMS!Z42</f>
        <v>0</v>
      </c>
      <c r="Z117" s="2544">
        <f>+SMS!AA42</f>
        <v>0</v>
      </c>
      <c r="AA117" s="2544">
        <f>+SMS!AB42</f>
        <v>0</v>
      </c>
      <c r="AB117" s="2544">
        <f>+SMS!AC42</f>
        <v>0</v>
      </c>
      <c r="AC117" s="2544">
        <f>+SMS!AD42</f>
        <v>17</v>
      </c>
      <c r="AD117" s="2544">
        <f>+SMS!AE42</f>
        <v>0</v>
      </c>
      <c r="AE117" s="2544">
        <f>+SMS!AF42</f>
        <v>17</v>
      </c>
      <c r="AF117" s="2544">
        <f>+SMS!AG42</f>
        <v>0</v>
      </c>
      <c r="AG117" s="2544">
        <f>+SMS!AH42</f>
        <v>0</v>
      </c>
      <c r="AH117" s="2544">
        <f>+SMS!AI42</f>
        <v>0</v>
      </c>
      <c r="AI117" s="2544">
        <f>+SMS!AJ42</f>
        <v>17</v>
      </c>
      <c r="AJ117" s="2544">
        <f>+SMS!AK42</f>
        <v>0</v>
      </c>
      <c r="AK117" s="2544">
        <f>+SMS!AL42</f>
        <v>0</v>
      </c>
      <c r="AL117" s="2544">
        <f>+SMS!AM42</f>
        <v>0</v>
      </c>
      <c r="AM117" s="2544">
        <f>+SMS!AN42</f>
        <v>17</v>
      </c>
      <c r="AN117" s="2544">
        <f>+SMS!AO42</f>
        <v>0</v>
      </c>
      <c r="AO117" s="2544">
        <f>+SMS!AP42</f>
        <v>17</v>
      </c>
      <c r="AP117" s="2544">
        <f>+SMS!AQ42</f>
        <v>0</v>
      </c>
      <c r="AQ117" s="2544">
        <f>+SMS!AR42</f>
        <v>35</v>
      </c>
      <c r="AR117" s="2544">
        <f>+SMS!AS42</f>
        <v>0</v>
      </c>
      <c r="AS117" s="2544">
        <f>+SMS!AT42</f>
        <v>52</v>
      </c>
      <c r="AT117" s="2544">
        <f>+SMS!AU42</f>
        <v>0</v>
      </c>
      <c r="AU117" s="2544">
        <f>+SMS!AV42</f>
        <v>22</v>
      </c>
      <c r="AV117" s="2544">
        <f>+SMS!AW42</f>
        <v>0</v>
      </c>
      <c r="AW117" s="2544">
        <f>+SMS!AX42</f>
        <v>74</v>
      </c>
      <c r="AX117" s="2544"/>
      <c r="AY117" s="2544">
        <f>+SMS!AZ42</f>
        <v>0</v>
      </c>
      <c r="AZ117" s="2544"/>
      <c r="BA117" s="2544">
        <f t="shared" si="26"/>
        <v>57</v>
      </c>
      <c r="BB117" s="2544"/>
      <c r="BC117" s="2544">
        <f t="shared" si="27"/>
        <v>74</v>
      </c>
      <c r="BD117" s="2544"/>
      <c r="BE117" s="2544">
        <f t="shared" si="28"/>
        <v>74</v>
      </c>
    </row>
    <row r="118" spans="2:57" x14ac:dyDescent="0.3">
      <c r="B118" s="275"/>
      <c r="C118" s="2729" t="s">
        <v>1720</v>
      </c>
      <c r="D118" s="2729"/>
      <c r="E118" s="2544">
        <f>+'Direct sales IPT details'!E16</f>
        <v>0</v>
      </c>
      <c r="F118" s="2544">
        <f>+'Direct sales IPT details'!F16</f>
        <v>0</v>
      </c>
      <c r="G118" s="2544">
        <f>+'Direct sales IPT details'!G16</f>
        <v>640.46</v>
      </c>
      <c r="H118" s="2544">
        <f>+'Direct sales IPT details'!H16</f>
        <v>0</v>
      </c>
      <c r="I118" s="2544">
        <f>+'Direct sales IPT details'!I16</f>
        <v>640.46</v>
      </c>
      <c r="J118" s="2544">
        <f>+'Direct sales IPT details'!J16</f>
        <v>0</v>
      </c>
      <c r="K118" s="2544">
        <f>+'Direct sales IPT details'!K16</f>
        <v>1065.5999999999999</v>
      </c>
      <c r="L118" s="2544">
        <f>+'Direct sales IPT details'!L16</f>
        <v>0</v>
      </c>
      <c r="M118" s="2544">
        <f>+'Direct sales IPT details'!M16</f>
        <v>1706.06</v>
      </c>
      <c r="N118" s="2544">
        <f>+'Direct sales IPT details'!N16</f>
        <v>0</v>
      </c>
      <c r="O118" s="2544">
        <f>+'Direct sales IPT details'!O16</f>
        <v>463.1</v>
      </c>
      <c r="P118" s="2544">
        <f>+'Direct sales IPT details'!P16</f>
        <v>0</v>
      </c>
      <c r="Q118" s="2544">
        <f>+'Direct sales IPT details'!Q16</f>
        <v>2169.16</v>
      </c>
      <c r="R118" s="2544">
        <f>+'Direct sales IPT details'!R16</f>
        <v>0</v>
      </c>
      <c r="S118" s="2544">
        <f>+'Direct sales IPT details'!S16</f>
        <v>2248.92</v>
      </c>
      <c r="T118" s="2544">
        <f>+'Direct sales IPT details'!T16</f>
        <v>0</v>
      </c>
      <c r="U118" s="2544">
        <f>+'Direct sales IPT details'!U16</f>
        <v>4418.08</v>
      </c>
      <c r="V118" s="2544">
        <f>+'Direct sales IPT details'!V16</f>
        <v>0</v>
      </c>
      <c r="W118" s="2544">
        <f>+'Direct sales IPT details'!W16</f>
        <v>1413.7700000000002</v>
      </c>
      <c r="X118" s="2544">
        <f>+'Direct sales IPT details'!X16</f>
        <v>0</v>
      </c>
      <c r="Y118" s="2544">
        <f>+'Direct sales IPT details'!Y16</f>
        <v>4125.79</v>
      </c>
      <c r="Z118" s="2544">
        <f>+'Direct sales IPT details'!Z16</f>
        <v>0</v>
      </c>
      <c r="AA118" s="2544">
        <f>+'Direct sales IPT details'!AA16</f>
        <v>5831.85</v>
      </c>
      <c r="AB118" s="2544">
        <f>+'Direct sales IPT details'!AB16</f>
        <v>0</v>
      </c>
      <c r="AC118" s="2544">
        <f>+'Direct sales IPT details'!AC16</f>
        <v>2004.1</v>
      </c>
      <c r="AD118" s="2544">
        <f>+'Direct sales IPT details'!AD16</f>
        <v>0</v>
      </c>
      <c r="AE118" s="2544">
        <f>+'Direct sales IPT details'!AE16</f>
        <v>7835.9500000000007</v>
      </c>
      <c r="AF118" s="2544">
        <f>+'Direct sales IPT details'!AF16</f>
        <v>0</v>
      </c>
      <c r="AG118" s="2544">
        <f>+'Direct sales IPT details'!AG16</f>
        <v>0</v>
      </c>
      <c r="AH118" s="2544">
        <f>+'Direct sales IPT details'!AH16</f>
        <v>0</v>
      </c>
      <c r="AI118" s="2544">
        <f>+'Direct sales IPT details'!AI16</f>
        <v>7835.9500000000007</v>
      </c>
      <c r="AJ118" s="2544">
        <f>+'Direct sales IPT details'!AJ16</f>
        <v>0</v>
      </c>
      <c r="AK118" s="2544">
        <f>+'Direct sales IPT details'!AK16</f>
        <v>703.34</v>
      </c>
      <c r="AL118" s="2544">
        <f>+'Direct sales IPT details'!AL16</f>
        <v>0</v>
      </c>
      <c r="AM118" s="2544">
        <f>+'Direct sales IPT details'!AM16</f>
        <v>2707.44</v>
      </c>
      <c r="AN118" s="2544">
        <f>+'Direct sales IPT details'!AN16</f>
        <v>0</v>
      </c>
      <c r="AO118" s="2544">
        <f>+'Direct sales IPT details'!AO16</f>
        <v>8539.2900000000009</v>
      </c>
      <c r="AP118" s="2544">
        <f>+'Direct sales IPT details'!AP16</f>
        <v>0</v>
      </c>
      <c r="AQ118" s="2544">
        <f>+'Direct sales IPT details'!AQ16</f>
        <v>1589.84</v>
      </c>
      <c r="AR118" s="2544">
        <f>+'Direct sales IPT details'!AR16</f>
        <v>0</v>
      </c>
      <c r="AS118" s="2544">
        <f>+'Direct sales IPT details'!AS16</f>
        <v>10129.130000000001</v>
      </c>
      <c r="AT118" s="2544">
        <f>+'Direct sales IPT details'!AT16</f>
        <v>0</v>
      </c>
      <c r="AU118" s="2544">
        <f>+'Direct sales IPT details'!AU16</f>
        <v>481.34000000000003</v>
      </c>
      <c r="AV118" s="2544">
        <f>+'Direct sales IPT details'!AV16</f>
        <v>0</v>
      </c>
      <c r="AW118" s="2544">
        <f>+'Direct sales IPT details'!AW16</f>
        <v>10610.470000000001</v>
      </c>
      <c r="AX118" s="2544"/>
      <c r="AY118" s="2544">
        <f>+'Direct sales IPT details'!AY16</f>
        <v>1544.2600000000002</v>
      </c>
      <c r="AZ118" s="2544"/>
      <c r="BA118" s="2544">
        <f t="shared" si="26"/>
        <v>3615.4400000000005</v>
      </c>
      <c r="BB118" s="2544"/>
      <c r="BC118" s="2544">
        <f t="shared" si="27"/>
        <v>6322.880000000001</v>
      </c>
      <c r="BD118" s="2544"/>
      <c r="BE118" s="2544">
        <f t="shared" si="28"/>
        <v>12154.730000000001</v>
      </c>
    </row>
    <row r="119" spans="2:57" x14ac:dyDescent="0.3">
      <c r="C119" s="2730"/>
      <c r="D119" s="2730"/>
      <c r="E119" s="2596"/>
      <c r="F119" s="2596"/>
      <c r="G119" s="2596"/>
      <c r="H119" s="2596"/>
      <c r="I119" s="2596"/>
      <c r="J119" s="2596"/>
      <c r="K119" s="2596"/>
      <c r="L119" s="2596"/>
      <c r="M119" s="2596"/>
      <c r="N119" s="2596"/>
      <c r="O119" s="2596"/>
      <c r="P119" s="2596"/>
      <c r="Q119" s="2596"/>
      <c r="R119" s="2596"/>
      <c r="S119" s="2596"/>
      <c r="T119" s="2596"/>
      <c r="U119" s="2596"/>
      <c r="V119" s="2596"/>
      <c r="W119" s="2596"/>
      <c r="X119" s="2596"/>
      <c r="Y119" s="2596"/>
      <c r="Z119" s="2596"/>
      <c r="AA119" s="2596"/>
      <c r="AB119" s="2596"/>
      <c r="AC119" s="2596"/>
      <c r="AD119" s="2596"/>
      <c r="AE119" s="2596"/>
      <c r="AF119" s="2596"/>
      <c r="AG119" s="2596"/>
      <c r="AH119" s="2596"/>
      <c r="AI119" s="2596"/>
      <c r="AJ119" s="2596"/>
      <c r="AK119" s="4496"/>
      <c r="AL119" s="2596"/>
      <c r="AM119" s="2596"/>
      <c r="AN119" s="2596"/>
      <c r="AO119" s="2596"/>
      <c r="AP119" s="2596"/>
      <c r="AQ119" s="2596"/>
      <c r="AR119" s="2596"/>
      <c r="AS119" s="2596"/>
      <c r="AT119" s="2596"/>
      <c r="AU119" s="2596"/>
      <c r="AV119" s="2596"/>
      <c r="AW119" s="2596"/>
      <c r="AX119" s="2596"/>
      <c r="AY119" s="2596"/>
      <c r="AZ119" s="2596"/>
      <c r="BA119" s="2596"/>
      <c r="BB119" s="2596"/>
      <c r="BC119" s="2596"/>
      <c r="BD119" s="2596"/>
      <c r="BE119" s="2596"/>
    </row>
    <row r="120" spans="2:57" ht="16.2" thickBot="1" x14ac:dyDescent="0.35">
      <c r="C120" s="2719" t="s">
        <v>1721</v>
      </c>
      <c r="D120" s="2737"/>
      <c r="E120" s="2720">
        <f>+E115+E117+E118</f>
        <v>0</v>
      </c>
      <c r="F120" s="2720"/>
      <c r="G120" s="2720">
        <f>+G115+G117+G118</f>
        <v>2921.46</v>
      </c>
      <c r="H120" s="2720"/>
      <c r="I120" s="2720">
        <f t="shared" si="29"/>
        <v>2921.46</v>
      </c>
      <c r="J120" s="2720"/>
      <c r="K120" s="2720">
        <f>+K115+K117+K118</f>
        <v>1065.5999999999999</v>
      </c>
      <c r="L120" s="2720"/>
      <c r="M120" s="2720">
        <f t="shared" si="30"/>
        <v>3987.06</v>
      </c>
      <c r="N120" s="2720"/>
      <c r="O120" s="2720">
        <f>+O115+O117+O118</f>
        <v>463.1</v>
      </c>
      <c r="P120" s="2720"/>
      <c r="Q120" s="2720">
        <f t="shared" si="31"/>
        <v>4450.16</v>
      </c>
      <c r="R120" s="2720"/>
      <c r="S120" s="2720">
        <f>+S115+S117+S118</f>
        <v>8729.6880000000001</v>
      </c>
      <c r="T120" s="2720"/>
      <c r="U120" s="2720">
        <f t="shared" si="32"/>
        <v>13179.848000000002</v>
      </c>
      <c r="V120" s="2720"/>
      <c r="W120" s="2720">
        <f>+W115+W117+W118</f>
        <v>1413.7700000000002</v>
      </c>
      <c r="X120" s="2720"/>
      <c r="Y120" s="2720">
        <f t="shared" si="33"/>
        <v>10606.558000000001</v>
      </c>
      <c r="Z120" s="2720"/>
      <c r="AA120" s="2720">
        <f t="shared" si="34"/>
        <v>14593.618</v>
      </c>
      <c r="AB120" s="2720"/>
      <c r="AC120" s="2720">
        <f>+AC115+AC117+AC118</f>
        <v>11212.1</v>
      </c>
      <c r="AD120" s="2720"/>
      <c r="AE120" s="2720">
        <f t="shared" si="35"/>
        <v>25805.717999999997</v>
      </c>
      <c r="AF120" s="2720"/>
      <c r="AG120" s="2720">
        <f>+AG115+AG117+AG118</f>
        <v>0</v>
      </c>
      <c r="AH120" s="2720"/>
      <c r="AI120" s="2720">
        <f t="shared" si="36"/>
        <v>25805.717999999997</v>
      </c>
      <c r="AJ120" s="2720"/>
      <c r="AK120" s="5436">
        <f>+AK115+AK117+AK118</f>
        <v>703.34</v>
      </c>
      <c r="AL120" s="2720"/>
      <c r="AM120" s="2720">
        <f t="shared" si="37"/>
        <v>11915.44</v>
      </c>
      <c r="AN120" s="2720"/>
      <c r="AO120" s="2720">
        <f t="shared" si="38"/>
        <v>26509.057999999997</v>
      </c>
      <c r="AP120" s="2720"/>
      <c r="AQ120" s="2720">
        <f>+AQ115+AQ117+AQ118</f>
        <v>6860.84</v>
      </c>
      <c r="AR120" s="2720"/>
      <c r="AS120" s="2720">
        <f t="shared" si="39"/>
        <v>33369.898000000001</v>
      </c>
      <c r="AT120" s="2720"/>
      <c r="AU120" s="2720">
        <f>+AU115+AU117+AU118</f>
        <v>1889.6280000000002</v>
      </c>
      <c r="AV120" s="2720"/>
      <c r="AW120" s="2720">
        <f t="shared" si="40"/>
        <v>35259.525999999998</v>
      </c>
      <c r="AX120" s="2720"/>
      <c r="AY120" s="2720">
        <f>+AY115+AY117+AY118</f>
        <v>4291.3389999999999</v>
      </c>
      <c r="AZ120" s="2720"/>
      <c r="BA120" s="2720">
        <f t="shared" si="26"/>
        <v>13041.807000000001</v>
      </c>
      <c r="BB120" s="2720"/>
      <c r="BC120" s="2720">
        <f t="shared" si="27"/>
        <v>24957.247000000003</v>
      </c>
      <c r="BD120" s="2720"/>
      <c r="BE120" s="2720">
        <f t="shared" si="28"/>
        <v>39550.864999999998</v>
      </c>
    </row>
    <row r="121" spans="2:57" x14ac:dyDescent="0.3">
      <c r="C121" s="256"/>
      <c r="D121" s="256"/>
      <c r="AC121"/>
      <c r="AK121" s="92"/>
    </row>
    <row r="122" spans="2:57" ht="16.2" thickBot="1" x14ac:dyDescent="0.35">
      <c r="C122" s="2719" t="s">
        <v>1722</v>
      </c>
      <c r="D122" s="2737"/>
      <c r="E122" s="2720">
        <f>+'Maj Production Summ'!F35</f>
        <v>0</v>
      </c>
      <c r="F122" s="2720">
        <f>+'Maj Production Summ'!G35</f>
        <v>0</v>
      </c>
      <c r="G122" s="2720">
        <f>+'Maj Production Summ'!H35</f>
        <v>3000</v>
      </c>
      <c r="H122" s="2720">
        <f>+'Maj Production Summ'!I35</f>
        <v>0</v>
      </c>
      <c r="I122" s="2720">
        <f>+'Maj Production Summ'!J35</f>
        <v>3000</v>
      </c>
      <c r="J122" s="2720">
        <f>+'Maj Production Summ'!K35</f>
        <v>0</v>
      </c>
      <c r="K122" s="2720">
        <f>+'Maj Production Summ'!L35</f>
        <v>1066</v>
      </c>
      <c r="L122" s="2720">
        <f>+'Maj Production Summ'!M35</f>
        <v>0</v>
      </c>
      <c r="M122" s="2720">
        <f>+'Maj Production Summ'!N35</f>
        <v>4066</v>
      </c>
      <c r="N122" s="2720">
        <f>+'Maj Production Summ'!O35</f>
        <v>0</v>
      </c>
      <c r="O122" s="2720">
        <f>+'Maj Production Summ'!P35</f>
        <v>463</v>
      </c>
      <c r="P122" s="2720">
        <f>+'Maj Production Summ'!Q35</f>
        <v>0</v>
      </c>
      <c r="Q122" s="2720">
        <f>+'Maj Production Summ'!R35</f>
        <v>4529</v>
      </c>
      <c r="R122" s="2720">
        <f>+'Maj Production Summ'!S35</f>
        <v>0</v>
      </c>
      <c r="S122" s="2720">
        <f>+'Maj Production Summ'!T35</f>
        <v>8811.77</v>
      </c>
      <c r="T122" s="2720">
        <f>+'Maj Production Summ'!U35</f>
        <v>0</v>
      </c>
      <c r="U122" s="2720">
        <f>+'Maj Production Summ'!V35</f>
        <v>13340.77</v>
      </c>
      <c r="V122" s="2720">
        <f>+'Maj Production Summ'!W35</f>
        <v>0</v>
      </c>
      <c r="W122" s="2720">
        <f>+'Maj Production Summ'!X35</f>
        <v>1414</v>
      </c>
      <c r="X122" s="2720">
        <f>+'Maj Production Summ'!Y35</f>
        <v>0</v>
      </c>
      <c r="Y122" s="2720">
        <f>+'Maj Production Summ'!Z35</f>
        <v>10688.77</v>
      </c>
      <c r="Z122" s="2720">
        <f>+'Maj Production Summ'!AA35</f>
        <v>0</v>
      </c>
      <c r="AA122" s="2720">
        <f>+'Maj Production Summ'!AB35</f>
        <v>14754.77</v>
      </c>
      <c r="AB122" s="2720">
        <f>+'Maj Production Summ'!AC35</f>
        <v>0</v>
      </c>
      <c r="AC122" s="2720">
        <f>+'Maj Production Summ'!AD35</f>
        <v>11212</v>
      </c>
      <c r="AD122" s="2720">
        <f>+'Maj Production Summ'!AE35</f>
        <v>0</v>
      </c>
      <c r="AE122" s="2720">
        <f>+'Maj Production Summ'!AF35</f>
        <v>25966.77</v>
      </c>
      <c r="AF122" s="2720">
        <f>+'Maj Production Summ'!AG35</f>
        <v>0</v>
      </c>
      <c r="AG122" s="2720">
        <f>+'Maj Production Summ'!AH35</f>
        <v>0</v>
      </c>
      <c r="AH122" s="2720">
        <f>+'Maj Production Summ'!AI35</f>
        <v>0</v>
      </c>
      <c r="AI122" s="2720">
        <f>+'Maj Production Summ'!AJ35</f>
        <v>25966.77</v>
      </c>
      <c r="AJ122" s="2720">
        <f>+'Maj Production Summ'!AK35</f>
        <v>0</v>
      </c>
      <c r="AK122" s="2720">
        <f>+'Maj Production Summ'!AL35</f>
        <v>703.34</v>
      </c>
      <c r="AL122" s="2720">
        <f>+'Maj Production Summ'!AM35</f>
        <v>0</v>
      </c>
      <c r="AM122" s="2720">
        <f>+'Maj Production Summ'!AN35</f>
        <v>11915.34</v>
      </c>
      <c r="AN122" s="2720">
        <f>+'Maj Production Summ'!AO35</f>
        <v>0</v>
      </c>
      <c r="AO122" s="2720">
        <f>+'Maj Production Summ'!AP35</f>
        <v>26670.11</v>
      </c>
      <c r="AP122" s="2720">
        <f>+'Maj Production Summ'!AQ35</f>
        <v>0</v>
      </c>
      <c r="AQ122" s="2720">
        <f>+'Maj Production Summ'!AR35</f>
        <v>7040</v>
      </c>
      <c r="AR122" s="2720">
        <f>+'Maj Production Summ'!AS35</f>
        <v>0</v>
      </c>
      <c r="AS122" s="2720">
        <f>+'Maj Production Summ'!AT35</f>
        <v>33710.11</v>
      </c>
      <c r="AT122" s="2720">
        <f>+'Maj Production Summ'!AU35</f>
        <v>0</v>
      </c>
      <c r="AU122" s="2720">
        <f>+'Maj Production Summ'!AV35</f>
        <v>1892</v>
      </c>
      <c r="AV122" s="2720">
        <f>+'Maj Production Summ'!AW35</f>
        <v>0</v>
      </c>
      <c r="AW122" s="2720">
        <f>+'Maj Production Summ'!AX35</f>
        <v>35602.11</v>
      </c>
      <c r="AX122" s="2720">
        <f>+'Maj Production Summ'!AY35</f>
        <v>0</v>
      </c>
      <c r="AY122" s="2720">
        <f>+'Maj Production Summ'!AZ35</f>
        <v>4291.26</v>
      </c>
      <c r="AZ122" s="2720">
        <f>+'Maj Production Summ'!BA35</f>
        <v>0</v>
      </c>
      <c r="BA122" s="2720">
        <f t="shared" si="26"/>
        <v>13223.26</v>
      </c>
      <c r="BB122" s="2720">
        <f>+'Maj Production Summ'!BC35</f>
        <v>0</v>
      </c>
      <c r="BC122" s="2720">
        <f t="shared" si="27"/>
        <v>25138.6</v>
      </c>
      <c r="BD122" s="2720">
        <f>+'Maj Production Summ'!BE35</f>
        <v>0</v>
      </c>
      <c r="BE122" s="2720">
        <f t="shared" si="28"/>
        <v>39893.370000000003</v>
      </c>
    </row>
    <row r="123" spans="2:57" x14ac:dyDescent="0.3">
      <c r="C123" s="256"/>
      <c r="D123" s="256"/>
      <c r="AC123"/>
    </row>
    <row r="124" spans="2:57" ht="18" x14ac:dyDescent="0.3">
      <c r="C124" s="2724" t="s">
        <v>1716</v>
      </c>
      <c r="D124" s="2724"/>
      <c r="E124" s="2725">
        <f>+E122-E120</f>
        <v>0</v>
      </c>
      <c r="F124" s="2725">
        <f t="shared" ref="F124:BD124" si="41">+F122-F120</f>
        <v>0</v>
      </c>
      <c r="G124" s="2725">
        <f t="shared" si="41"/>
        <v>78.539999999999964</v>
      </c>
      <c r="H124" s="2725">
        <f t="shared" si="41"/>
        <v>0</v>
      </c>
      <c r="I124" s="2725">
        <f t="shared" si="41"/>
        <v>78.539999999999964</v>
      </c>
      <c r="J124" s="2725">
        <f t="shared" si="41"/>
        <v>0</v>
      </c>
      <c r="K124" s="2725">
        <f t="shared" si="41"/>
        <v>0.40000000000009095</v>
      </c>
      <c r="L124" s="2725">
        <f t="shared" si="41"/>
        <v>0</v>
      </c>
      <c r="M124" s="2725">
        <f t="shared" si="41"/>
        <v>78.940000000000055</v>
      </c>
      <c r="N124" s="2725">
        <f t="shared" si="41"/>
        <v>0</v>
      </c>
      <c r="O124" s="2725">
        <f t="shared" si="41"/>
        <v>-0.10000000000002274</v>
      </c>
      <c r="P124" s="2725">
        <f t="shared" si="41"/>
        <v>0</v>
      </c>
      <c r="Q124" s="2725">
        <f t="shared" si="41"/>
        <v>78.840000000000146</v>
      </c>
      <c r="R124" s="2725">
        <f t="shared" si="41"/>
        <v>0</v>
      </c>
      <c r="S124" s="2725">
        <f t="shared" ref="S124" si="42">+S122-S120</f>
        <v>82.082000000000335</v>
      </c>
      <c r="T124" s="2725">
        <f t="shared" si="41"/>
        <v>0</v>
      </c>
      <c r="U124" s="2725">
        <f t="shared" si="41"/>
        <v>160.92199999999866</v>
      </c>
      <c r="V124" s="2725">
        <f t="shared" si="41"/>
        <v>0</v>
      </c>
      <c r="W124" s="2725">
        <f t="shared" si="41"/>
        <v>0.22999999999979082</v>
      </c>
      <c r="X124" s="2725">
        <f t="shared" si="41"/>
        <v>0</v>
      </c>
      <c r="Y124" s="2725">
        <f t="shared" si="41"/>
        <v>82.211999999999534</v>
      </c>
      <c r="Z124" s="2725">
        <f t="shared" si="41"/>
        <v>0</v>
      </c>
      <c r="AA124" s="2725">
        <f t="shared" si="41"/>
        <v>161.15200000000004</v>
      </c>
      <c r="AB124" s="2725">
        <f t="shared" si="41"/>
        <v>0</v>
      </c>
      <c r="AC124" s="2725">
        <f t="shared" ref="AC124" si="43">+AC122-AC120</f>
        <v>-0.1000000000003638</v>
      </c>
      <c r="AD124" s="2725">
        <f t="shared" si="41"/>
        <v>0</v>
      </c>
      <c r="AE124" s="2725">
        <f t="shared" si="41"/>
        <v>161.05200000000332</v>
      </c>
      <c r="AF124" s="2725">
        <f t="shared" si="41"/>
        <v>0</v>
      </c>
      <c r="AG124" s="2725">
        <f t="shared" si="41"/>
        <v>0</v>
      </c>
      <c r="AH124" s="2725">
        <f t="shared" si="41"/>
        <v>0</v>
      </c>
      <c r="AI124" s="2725">
        <f t="shared" si="41"/>
        <v>161.05200000000332</v>
      </c>
      <c r="AJ124" s="2725">
        <f t="shared" si="41"/>
        <v>0</v>
      </c>
      <c r="AK124" s="2725">
        <f t="shared" si="41"/>
        <v>0</v>
      </c>
      <c r="AL124" s="2725">
        <f t="shared" si="41"/>
        <v>0</v>
      </c>
      <c r="AM124" s="2725">
        <f t="shared" si="41"/>
        <v>-0.1000000000003638</v>
      </c>
      <c r="AN124" s="2725">
        <f t="shared" si="41"/>
        <v>0</v>
      </c>
      <c r="AO124" s="2725">
        <f t="shared" si="41"/>
        <v>161.05200000000332</v>
      </c>
      <c r="AP124" s="2725">
        <f t="shared" si="41"/>
        <v>0</v>
      </c>
      <c r="AQ124" s="2725">
        <f t="shared" si="41"/>
        <v>179.15999999999985</v>
      </c>
      <c r="AR124" s="2725">
        <f t="shared" si="41"/>
        <v>0</v>
      </c>
      <c r="AS124" s="2725">
        <f t="shared" si="41"/>
        <v>340.21199999999953</v>
      </c>
      <c r="AT124" s="2725">
        <f t="shared" si="41"/>
        <v>0</v>
      </c>
      <c r="AU124" s="2725">
        <f t="shared" si="41"/>
        <v>2.3719999999998436</v>
      </c>
      <c r="AV124" s="2725">
        <f t="shared" si="41"/>
        <v>0</v>
      </c>
      <c r="AW124" s="2725">
        <f t="shared" si="41"/>
        <v>342.58400000000256</v>
      </c>
      <c r="AX124" s="2725">
        <f t="shared" si="41"/>
        <v>0</v>
      </c>
      <c r="AY124" s="2725">
        <f t="shared" ref="AY124" si="44">+AY122-AY120</f>
        <v>-7.8999999999723514E-2</v>
      </c>
      <c r="AZ124" s="2725">
        <f t="shared" si="41"/>
        <v>0</v>
      </c>
      <c r="BA124" s="2725">
        <f t="shared" si="26"/>
        <v>181.45299999999997</v>
      </c>
      <c r="BB124" s="2725">
        <f t="shared" si="41"/>
        <v>0</v>
      </c>
      <c r="BC124" s="2725">
        <f t="shared" si="27"/>
        <v>181.35299999999961</v>
      </c>
      <c r="BD124" s="2725">
        <f t="shared" si="41"/>
        <v>0</v>
      </c>
      <c r="BE124" s="2725">
        <f t="shared" si="28"/>
        <v>342.50499999999977</v>
      </c>
    </row>
    <row r="125" spans="2:57" x14ac:dyDescent="0.3">
      <c r="AC125"/>
    </row>
    <row r="126" spans="2:57" ht="18" x14ac:dyDescent="0.3">
      <c r="C126" s="2731" t="s">
        <v>1723</v>
      </c>
      <c r="D126" s="2731"/>
      <c r="E126" s="4500">
        <f>+E95+E120</f>
        <v>45233</v>
      </c>
      <c r="F126" s="4500"/>
      <c r="G126" s="4500">
        <f>+G95+G120</f>
        <v>54926.46</v>
      </c>
      <c r="H126" s="4500"/>
      <c r="I126" s="4500">
        <f t="shared" ref="I126:I127" si="45">+E126+G126</f>
        <v>100159.45999999999</v>
      </c>
      <c r="J126" s="4500"/>
      <c r="K126" s="4500">
        <f>+K95+K120</f>
        <v>52264.6</v>
      </c>
      <c r="L126" s="2732"/>
      <c r="M126" s="2732">
        <f t="shared" si="30"/>
        <v>152424.06</v>
      </c>
      <c r="N126" s="2732"/>
      <c r="O126" s="4500">
        <f>+O95+O120</f>
        <v>57940.1</v>
      </c>
      <c r="P126" s="2732"/>
      <c r="Q126" s="2732">
        <f t="shared" si="31"/>
        <v>210364.16</v>
      </c>
      <c r="R126" s="2732"/>
      <c r="S126" s="4500">
        <f>+S95+S120</f>
        <v>57248.568000000007</v>
      </c>
      <c r="T126" s="2732"/>
      <c r="U126" s="2732">
        <f t="shared" si="32"/>
        <v>267612.728</v>
      </c>
      <c r="V126" s="2732"/>
      <c r="W126" s="4500">
        <f>+W95+W120</f>
        <v>56955.77</v>
      </c>
      <c r="X126" s="2732"/>
      <c r="Y126" s="2732">
        <f t="shared" si="33"/>
        <v>172144.43799999999</v>
      </c>
      <c r="Z126" s="2732"/>
      <c r="AA126" s="2732">
        <f t="shared" si="34"/>
        <v>324568.49800000002</v>
      </c>
      <c r="AB126" s="2732"/>
      <c r="AC126" s="4500">
        <f>+AC95+AC120</f>
        <v>62687.65</v>
      </c>
      <c r="AD126" s="2732"/>
      <c r="AE126" s="2732">
        <f t="shared" si="35"/>
        <v>387256.14800000004</v>
      </c>
      <c r="AF126" s="2732"/>
      <c r="AG126" s="4500">
        <f>+AG95+AG120</f>
        <v>62036.997000000003</v>
      </c>
      <c r="AH126" s="2732"/>
      <c r="AI126" s="2732">
        <f t="shared" si="36"/>
        <v>449293.14499999996</v>
      </c>
      <c r="AJ126" s="2732"/>
      <c r="AK126" s="2732">
        <f>+AK95+AK120</f>
        <v>49190.530999999995</v>
      </c>
      <c r="AL126" s="2732"/>
      <c r="AM126" s="2732">
        <f t="shared" si="37"/>
        <v>173915.17799999999</v>
      </c>
      <c r="AN126" s="2732"/>
      <c r="AO126" s="2732">
        <f t="shared" si="38"/>
        <v>498483.67599999998</v>
      </c>
      <c r="AP126" s="2732"/>
      <c r="AQ126" s="2732">
        <f>+AQ95+AQ120</f>
        <v>38452.172999999995</v>
      </c>
      <c r="AR126" s="2732"/>
      <c r="AS126" s="2732">
        <f t="shared" si="39"/>
        <v>536935.84899999993</v>
      </c>
      <c r="AT126" s="2732"/>
      <c r="AU126" s="2732">
        <f>+AU95+AU120</f>
        <v>17298.514999999999</v>
      </c>
      <c r="AV126" s="2732"/>
      <c r="AW126" s="2732">
        <f t="shared" si="40"/>
        <v>554234.36399999994</v>
      </c>
      <c r="AX126" s="2732"/>
      <c r="AY126" s="2732">
        <f>+AY95+AY120</f>
        <v>40861.99</v>
      </c>
      <c r="AZ126" s="2732"/>
      <c r="BA126" s="2732">
        <f t="shared" si="26"/>
        <v>96612.677999999985</v>
      </c>
      <c r="BB126" s="2732"/>
      <c r="BC126" s="2732">
        <f t="shared" si="27"/>
        <v>270527.85599999997</v>
      </c>
      <c r="BD126" s="2732"/>
      <c r="BE126" s="2732">
        <f t="shared" si="28"/>
        <v>595096.35400000005</v>
      </c>
    </row>
    <row r="127" spans="2:57" ht="18" x14ac:dyDescent="0.3">
      <c r="C127" s="2731" t="s">
        <v>1724</v>
      </c>
      <c r="D127" s="2731"/>
      <c r="E127" s="4500">
        <f>+E99+E122</f>
        <v>45616.58799999996</v>
      </c>
      <c r="F127" s="2732"/>
      <c r="G127" s="2732">
        <f>+G99+G122</f>
        <v>55556</v>
      </c>
      <c r="H127" s="2732"/>
      <c r="I127" s="2732">
        <f t="shared" si="45"/>
        <v>101172.58799999996</v>
      </c>
      <c r="J127" s="2732"/>
      <c r="K127" s="2732">
        <f>+K99+K122</f>
        <v>57284</v>
      </c>
      <c r="L127" s="2732"/>
      <c r="M127" s="2732">
        <f t="shared" si="30"/>
        <v>158456.58799999996</v>
      </c>
      <c r="N127" s="2732"/>
      <c r="O127" s="2732">
        <f>+O99+O122</f>
        <v>50766</v>
      </c>
      <c r="P127" s="2732"/>
      <c r="Q127" s="2732">
        <f t="shared" si="31"/>
        <v>209222.58799999996</v>
      </c>
      <c r="R127" s="2732"/>
      <c r="S127" s="4500">
        <f>+S99+S122</f>
        <v>60047.19</v>
      </c>
      <c r="T127" s="2732"/>
      <c r="U127" s="2732">
        <f t="shared" si="32"/>
        <v>269269.77799999993</v>
      </c>
      <c r="V127" s="2732"/>
      <c r="W127" s="4500">
        <f>+W99+W122</f>
        <v>55490</v>
      </c>
      <c r="X127" s="2732"/>
      <c r="Y127" s="2732">
        <f t="shared" si="33"/>
        <v>166303.19</v>
      </c>
      <c r="Z127" s="2732"/>
      <c r="AA127" s="2732">
        <f t="shared" si="34"/>
        <v>324759.77799999993</v>
      </c>
      <c r="AB127" s="2732"/>
      <c r="AC127" s="4500">
        <f>+AC99+AC122</f>
        <v>65807</v>
      </c>
      <c r="AD127" s="2732"/>
      <c r="AE127" s="2732">
        <f t="shared" si="35"/>
        <v>390566.77799999993</v>
      </c>
      <c r="AF127" s="2732"/>
      <c r="AG127" s="4500">
        <f>+AG99+AG122</f>
        <v>61080</v>
      </c>
      <c r="AH127" s="2732"/>
      <c r="AI127" s="2732">
        <f t="shared" si="36"/>
        <v>451646.77799999993</v>
      </c>
      <c r="AJ127" s="2732"/>
      <c r="AK127" s="2732">
        <f>+AK99+AK122</f>
        <v>53051</v>
      </c>
      <c r="AL127" s="2732"/>
      <c r="AM127" s="2732">
        <f t="shared" si="37"/>
        <v>179938</v>
      </c>
      <c r="AN127" s="2732"/>
      <c r="AO127" s="2732">
        <f t="shared" si="38"/>
        <v>504697.77799999993</v>
      </c>
      <c r="AP127" s="2732"/>
      <c r="AQ127" s="2732">
        <f>+AQ99+AQ122</f>
        <v>37998</v>
      </c>
      <c r="AR127" s="2732"/>
      <c r="AS127" s="2732">
        <f t="shared" si="39"/>
        <v>542695.77799999993</v>
      </c>
      <c r="AT127" s="2732"/>
      <c r="AU127" s="2732">
        <f>+AU99+AU122</f>
        <v>18442</v>
      </c>
      <c r="AV127" s="2732"/>
      <c r="AW127" s="2732">
        <f t="shared" si="40"/>
        <v>561137.77799999993</v>
      </c>
      <c r="AX127" s="2732"/>
      <c r="AY127" s="2732">
        <f>+AY99+AY122</f>
        <v>42319.899000000005</v>
      </c>
      <c r="AZ127" s="2732"/>
      <c r="BA127" s="2732">
        <f t="shared" si="26"/>
        <v>98759.899000000005</v>
      </c>
      <c r="BB127" s="2732"/>
      <c r="BC127" s="2732">
        <f t="shared" si="27"/>
        <v>278697.89899999998</v>
      </c>
      <c r="BD127" s="2732"/>
      <c r="BE127" s="2732">
        <f t="shared" si="28"/>
        <v>603457.67699999991</v>
      </c>
    </row>
    <row r="128" spans="2:57" x14ac:dyDescent="0.3">
      <c r="AC128"/>
    </row>
    <row r="129" spans="3:57" ht="18" x14ac:dyDescent="0.3">
      <c r="C129" s="2724" t="s">
        <v>1716</v>
      </c>
      <c r="D129" s="2724"/>
      <c r="E129" s="2725">
        <f>+E127-E126</f>
        <v>383.58799999995972</v>
      </c>
      <c r="F129" s="2725">
        <f t="shared" ref="F129:BD129" si="46">+F127-F126</f>
        <v>0</v>
      </c>
      <c r="G129" s="2725">
        <f t="shared" si="46"/>
        <v>629.54000000000087</v>
      </c>
      <c r="H129" s="2725">
        <f t="shared" si="46"/>
        <v>0</v>
      </c>
      <c r="I129" s="2725">
        <f t="shared" si="46"/>
        <v>1013.1279999999679</v>
      </c>
      <c r="J129" s="2725">
        <f t="shared" si="46"/>
        <v>0</v>
      </c>
      <c r="K129" s="2725">
        <f t="shared" si="46"/>
        <v>5019.4000000000015</v>
      </c>
      <c r="L129" s="2725">
        <f t="shared" si="46"/>
        <v>0</v>
      </c>
      <c r="M129" s="2725">
        <f t="shared" si="46"/>
        <v>6032.527999999962</v>
      </c>
      <c r="N129" s="2725">
        <f t="shared" si="46"/>
        <v>0</v>
      </c>
      <c r="O129" s="2725">
        <f t="shared" si="46"/>
        <v>-7174.0999999999985</v>
      </c>
      <c r="P129" s="2725">
        <f t="shared" si="46"/>
        <v>0</v>
      </c>
      <c r="Q129" s="2725">
        <f t="shared" si="46"/>
        <v>-1141.5720000000438</v>
      </c>
      <c r="R129" s="2725">
        <f t="shared" si="46"/>
        <v>0</v>
      </c>
      <c r="S129" s="2725">
        <f t="shared" ref="S129" si="47">+S127-S126</f>
        <v>2798.6219999999958</v>
      </c>
      <c r="T129" s="2725">
        <f t="shared" si="46"/>
        <v>0</v>
      </c>
      <c r="U129" s="2725">
        <f t="shared" si="46"/>
        <v>1657.0499999999302</v>
      </c>
      <c r="V129" s="2725">
        <f t="shared" si="46"/>
        <v>0</v>
      </c>
      <c r="W129" s="2725">
        <f t="shared" si="46"/>
        <v>-1465.7699999999968</v>
      </c>
      <c r="X129" s="2725">
        <f t="shared" si="46"/>
        <v>0</v>
      </c>
      <c r="Y129" s="2725">
        <f t="shared" si="46"/>
        <v>-5841.2479999999923</v>
      </c>
      <c r="Z129" s="2725">
        <f t="shared" si="46"/>
        <v>0</v>
      </c>
      <c r="AA129" s="2725">
        <f t="shared" si="46"/>
        <v>191.27999999991152</v>
      </c>
      <c r="AB129" s="2725">
        <f t="shared" si="46"/>
        <v>0</v>
      </c>
      <c r="AC129" s="2725">
        <f t="shared" ref="AC129" si="48">+AC127-AC126</f>
        <v>3119.3499999999985</v>
      </c>
      <c r="AD129" s="2725">
        <f t="shared" si="46"/>
        <v>0</v>
      </c>
      <c r="AE129" s="2725">
        <f t="shared" si="46"/>
        <v>3310.6299999998882</v>
      </c>
      <c r="AF129" s="2725">
        <f t="shared" si="46"/>
        <v>0</v>
      </c>
      <c r="AG129" s="2725">
        <f t="shared" si="46"/>
        <v>-956.99700000000303</v>
      </c>
      <c r="AH129" s="2725">
        <f t="shared" si="46"/>
        <v>0</v>
      </c>
      <c r="AI129" s="2725">
        <f t="shared" si="46"/>
        <v>2353.6329999999725</v>
      </c>
      <c r="AJ129" s="2725">
        <f t="shared" si="46"/>
        <v>0</v>
      </c>
      <c r="AK129" s="2725">
        <f t="shared" si="46"/>
        <v>3860.4690000000046</v>
      </c>
      <c r="AL129" s="2725">
        <f t="shared" si="46"/>
        <v>0</v>
      </c>
      <c r="AM129" s="2725">
        <f t="shared" si="46"/>
        <v>6022.8220000000147</v>
      </c>
      <c r="AN129" s="2725">
        <f t="shared" si="46"/>
        <v>0</v>
      </c>
      <c r="AO129" s="2725">
        <f t="shared" si="46"/>
        <v>6214.1019999999553</v>
      </c>
      <c r="AP129" s="2725">
        <f t="shared" si="46"/>
        <v>0</v>
      </c>
      <c r="AQ129" s="2725">
        <f t="shared" si="46"/>
        <v>-454.17299999999523</v>
      </c>
      <c r="AR129" s="2725">
        <f t="shared" si="46"/>
        <v>0</v>
      </c>
      <c r="AS129" s="2725">
        <f t="shared" si="46"/>
        <v>5759.9290000000037</v>
      </c>
      <c r="AT129" s="2725">
        <f t="shared" si="46"/>
        <v>0</v>
      </c>
      <c r="AU129" s="2725">
        <f t="shared" si="46"/>
        <v>1143.4850000000006</v>
      </c>
      <c r="AV129" s="2725">
        <f t="shared" si="46"/>
        <v>0</v>
      </c>
      <c r="AW129" s="2725">
        <f t="shared" si="46"/>
        <v>6903.4139999999898</v>
      </c>
      <c r="AX129" s="2725">
        <f t="shared" si="46"/>
        <v>0</v>
      </c>
      <c r="AY129" s="2725">
        <f t="shared" ref="AY129" si="49">+AY127-AY126</f>
        <v>1457.9090000000069</v>
      </c>
      <c r="AZ129" s="2725">
        <f t="shared" si="46"/>
        <v>0</v>
      </c>
      <c r="BA129" s="2725">
        <f t="shared" si="26"/>
        <v>2147.2210000000123</v>
      </c>
      <c r="BB129" s="2725">
        <f t="shared" si="46"/>
        <v>0</v>
      </c>
      <c r="BC129" s="2725">
        <f t="shared" si="27"/>
        <v>8170.043000000027</v>
      </c>
      <c r="BD129" s="2725">
        <f t="shared" si="46"/>
        <v>0</v>
      </c>
      <c r="BE129" s="2725">
        <f t="shared" si="28"/>
        <v>8361.3229999999749</v>
      </c>
    </row>
  </sheetData>
  <mergeCells count="53">
    <mergeCell ref="AZ105:BA105"/>
    <mergeCell ref="BB105:BC105"/>
    <mergeCell ref="BD105:BE105"/>
    <mergeCell ref="AP105:AQ105"/>
    <mergeCell ref="AR105:AS105"/>
    <mergeCell ref="AT105:AU105"/>
    <mergeCell ref="AV105:AW105"/>
    <mergeCell ref="AX105:AY105"/>
    <mergeCell ref="AF105:AG105"/>
    <mergeCell ref="AH105:AI105"/>
    <mergeCell ref="AJ105:AK105"/>
    <mergeCell ref="AL105:AM105"/>
    <mergeCell ref="AN105:AO105"/>
    <mergeCell ref="BB67:BC67"/>
    <mergeCell ref="BD67:BE67"/>
    <mergeCell ref="F105:G105"/>
    <mergeCell ref="H105:I105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Z105:AA105"/>
    <mergeCell ref="AB105:AC105"/>
    <mergeCell ref="AD105:AE105"/>
    <mergeCell ref="AR67:AS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</mergeCells>
  <printOptions horizontalCentered="1" verticalCentered="1"/>
  <pageMargins left="0" right="0" top="0" bottom="0" header="0" footer="0"/>
  <pageSetup scale="83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>
    <tabColor rgb="FFFFC000"/>
    <pageSetUpPr fitToPage="1"/>
  </sheetPr>
  <dimension ref="A1:BJ187"/>
  <sheetViews>
    <sheetView zoomScaleNormal="100" workbookViewId="0">
      <pane xSplit="6" ySplit="1" topLeftCell="Y2" activePane="bottomRight" state="frozen"/>
      <selection pane="topRight" activeCell="G1" sqref="G1"/>
      <selection pane="bottomLeft" activeCell="A2" sqref="A2"/>
      <selection pane="bottomRight" activeCell="AW58" sqref="AW58"/>
    </sheetView>
  </sheetViews>
  <sheetFormatPr defaultRowHeight="14.4" x14ac:dyDescent="0.3"/>
  <cols>
    <col min="1" max="1" width="3.5546875" customWidth="1"/>
    <col min="2" max="2" width="4.44140625" customWidth="1"/>
    <col min="3" max="3" width="16.5546875" bestFit="1" customWidth="1"/>
    <col min="4" max="4" width="67.88671875" bestFit="1" customWidth="1"/>
    <col min="5" max="5" width="7.5546875" style="274" customWidth="1"/>
    <col min="6" max="6" width="15.44140625" hidden="1" customWidth="1"/>
    <col min="7" max="7" width="10.5546875" customWidth="1"/>
    <col min="8" max="8" width="9.88671875" hidden="1" customWidth="1"/>
    <col min="9" max="9" width="10.44140625" customWidth="1"/>
    <col min="10" max="10" width="10.109375" hidden="1" customWidth="1"/>
    <col min="11" max="11" width="10.109375" style="623" hidden="1" customWidth="1"/>
    <col min="12" max="12" width="10.109375" hidden="1" customWidth="1"/>
    <col min="13" max="13" width="10.44140625" customWidth="1"/>
    <col min="14" max="14" width="10.109375" hidden="1" customWidth="1"/>
    <col min="15" max="15" width="13.33203125" style="4181" customWidth="1"/>
    <col min="16" max="16" width="10" hidden="1" customWidth="1"/>
    <col min="17" max="17" width="10.88671875" customWidth="1"/>
    <col min="18" max="18" width="7.88671875" hidden="1" customWidth="1"/>
    <col min="19" max="19" width="9" style="623" hidden="1" customWidth="1"/>
    <col min="20" max="20" width="10" hidden="1" customWidth="1"/>
    <col min="21" max="21" width="12" customWidth="1"/>
    <col min="22" max="22" width="14.88671875" hidden="1" customWidth="1"/>
    <col min="23" max="23" width="17.109375" style="623" hidden="1" customWidth="1"/>
    <col min="24" max="24" width="17.109375" style="146" hidden="1" customWidth="1"/>
    <col min="25" max="25" width="12.44140625" style="146" customWidth="1"/>
    <col min="26" max="26" width="10.109375" hidden="1" customWidth="1"/>
    <col min="27" max="27" width="9.88671875" style="4181" customWidth="1"/>
    <col min="28" max="28" width="9.88671875" style="448" hidden="1" customWidth="1"/>
    <col min="29" max="29" width="14.5546875" style="448" customWidth="1"/>
    <col min="30" max="30" width="11.33203125" hidden="1" customWidth="1"/>
    <col min="31" max="31" width="11.33203125" customWidth="1"/>
    <col min="32" max="32" width="9.109375" hidden="1" customWidth="1"/>
    <col min="33" max="33" width="11.33203125" style="623" hidden="1" customWidth="1"/>
    <col min="34" max="34" width="11.33203125" hidden="1" customWidth="1"/>
    <col min="35" max="35" width="10.44140625" customWidth="1"/>
    <col min="36" max="36" width="9.109375" hidden="1" customWidth="1"/>
    <col min="37" max="37" width="10.33203125" style="623" hidden="1" customWidth="1"/>
    <col min="38" max="38" width="9.109375" hidden="1" customWidth="1"/>
    <col min="39" max="39" width="9.109375" customWidth="1"/>
    <col min="40" max="40" width="9.109375" hidden="1" customWidth="1"/>
    <col min="41" max="41" width="9.109375" customWidth="1"/>
    <col min="42" max="42" width="10.5546875" hidden="1" customWidth="1"/>
    <col min="43" max="43" width="10.33203125" hidden="1" customWidth="1"/>
    <col min="44" max="44" width="9.109375" hidden="1" customWidth="1"/>
    <col min="45" max="45" width="10.5546875" customWidth="1"/>
    <col min="46" max="46" width="9.109375" hidden="1" customWidth="1"/>
    <col min="47" max="47" width="10.5546875" hidden="1" customWidth="1"/>
    <col min="48" max="48" width="9.109375" hidden="1" customWidth="1"/>
    <col min="49" max="49" width="9.109375" customWidth="1"/>
    <col min="50" max="50" width="9.109375" hidden="1" customWidth="1"/>
    <col min="51" max="51" width="10.33203125" hidden="1" customWidth="1"/>
    <col min="52" max="52" width="9.109375" hidden="1" customWidth="1"/>
    <col min="53" max="53" width="9.109375" customWidth="1"/>
    <col min="54" max="54" width="9.109375" hidden="1" customWidth="1"/>
    <col min="55" max="55" width="9.109375" customWidth="1"/>
    <col min="56" max="56" width="9.109375" hidden="1" customWidth="1"/>
    <col min="57" max="57" width="10.33203125" customWidth="1"/>
    <col min="58" max="58" width="9.109375" hidden="1" customWidth="1"/>
    <col min="59" max="59" width="10.33203125" customWidth="1"/>
    <col min="60" max="60" width="9.109375" hidden="1" customWidth="1"/>
    <col min="61" max="61" width="14.109375" customWidth="1"/>
  </cols>
  <sheetData>
    <row r="1" spans="3:61" s="146" customFormat="1" ht="23.4" x14ac:dyDescent="0.45">
      <c r="C1" s="6362" t="s">
        <v>1908</v>
      </c>
      <c r="D1" s="6362"/>
      <c r="E1" s="6362"/>
      <c r="F1" s="6362"/>
      <c r="G1" s="6362"/>
      <c r="H1" s="6362"/>
      <c r="I1" s="6362"/>
      <c r="J1" s="6362"/>
      <c r="K1" s="6362"/>
      <c r="L1" s="6362"/>
      <c r="M1" s="6362"/>
      <c r="N1" s="6362"/>
      <c r="O1" s="6362"/>
      <c r="P1" s="6362"/>
      <c r="Q1" s="6362"/>
      <c r="R1" s="6362"/>
      <c r="S1" s="6362"/>
      <c r="T1" s="6362"/>
      <c r="U1" s="6362"/>
      <c r="V1" s="6362"/>
      <c r="W1" s="6362"/>
      <c r="X1" s="6362"/>
      <c r="Y1" s="6362"/>
      <c r="Z1" s="6362"/>
      <c r="AA1" s="6362"/>
      <c r="AB1" s="6362"/>
      <c r="AC1" s="6362"/>
      <c r="AD1" s="6362"/>
      <c r="AE1" s="6362"/>
      <c r="AF1" s="6362"/>
      <c r="AG1" s="6362"/>
      <c r="AH1" s="6362"/>
      <c r="AI1" s="6362"/>
      <c r="AJ1" s="6362"/>
      <c r="AK1" s="6362"/>
      <c r="AL1" s="6362"/>
      <c r="AM1" s="6362"/>
      <c r="AN1" s="6362"/>
      <c r="AO1" s="6362"/>
      <c r="AP1" s="6362"/>
      <c r="AQ1" s="6362"/>
    </row>
    <row r="2" spans="3:61" x14ac:dyDescent="0.3">
      <c r="E2"/>
      <c r="K2"/>
      <c r="O2"/>
      <c r="S2"/>
      <c r="W2"/>
      <c r="X2"/>
      <c r="Y2"/>
      <c r="AA2"/>
      <c r="AB2"/>
      <c r="AC2"/>
      <c r="AG2"/>
      <c r="AK2"/>
    </row>
    <row r="3" spans="3:61" s="274" customFormat="1" ht="16.8" x14ac:dyDescent="0.3">
      <c r="C3" s="4182" t="s">
        <v>956</v>
      </c>
      <c r="D3" s="4182" t="s">
        <v>844</v>
      </c>
      <c r="E3" s="4182" t="s">
        <v>172</v>
      </c>
      <c r="F3" s="6358" t="s">
        <v>1998</v>
      </c>
      <c r="G3" s="6359"/>
      <c r="H3" s="6358" t="s">
        <v>2013</v>
      </c>
      <c r="I3" s="6359"/>
      <c r="J3" s="6370" t="s">
        <v>658</v>
      </c>
      <c r="K3" s="6371"/>
      <c r="L3" s="6358" t="s">
        <v>2043</v>
      </c>
      <c r="M3" s="6359"/>
      <c r="N3" s="6353" t="s">
        <v>637</v>
      </c>
      <c r="O3" s="6354"/>
      <c r="P3" s="6347" t="s">
        <v>2065</v>
      </c>
      <c r="Q3" s="6347"/>
      <c r="R3" s="6348" t="s">
        <v>651</v>
      </c>
      <c r="S3" s="6348"/>
      <c r="T3" s="6347" t="s">
        <v>2068</v>
      </c>
      <c r="U3" s="6347"/>
      <c r="V3" s="6348" t="s">
        <v>830</v>
      </c>
      <c r="W3" s="6348"/>
      <c r="X3" s="4250"/>
      <c r="Y3" s="4239" t="s">
        <v>2110</v>
      </c>
      <c r="Z3" s="6353" t="s">
        <v>660</v>
      </c>
      <c r="AA3" s="6354"/>
      <c r="AB3" s="4251"/>
      <c r="AC3" s="4183" t="s">
        <v>512</v>
      </c>
      <c r="AD3" s="6347" t="s">
        <v>2135</v>
      </c>
      <c r="AE3" s="6347"/>
      <c r="AF3" s="6348" t="s">
        <v>1090</v>
      </c>
      <c r="AG3" s="6348"/>
      <c r="AH3" s="6347" t="s">
        <v>2238</v>
      </c>
      <c r="AI3" s="6347"/>
      <c r="AJ3" s="6348" t="s">
        <v>1599</v>
      </c>
      <c r="AK3" s="6348"/>
      <c r="AL3" s="6347" t="s">
        <v>2262</v>
      </c>
      <c r="AM3" s="6347"/>
      <c r="AN3" s="6349" t="s">
        <v>1859</v>
      </c>
      <c r="AO3" s="6350"/>
      <c r="AP3" s="6348" t="s">
        <v>908</v>
      </c>
      <c r="AQ3" s="6348"/>
      <c r="AR3" s="6347" t="s">
        <v>2274</v>
      </c>
      <c r="AS3" s="6347"/>
      <c r="AT3" s="6348" t="s">
        <v>1631</v>
      </c>
      <c r="AU3" s="6348"/>
      <c r="AV3" s="6347" t="s">
        <v>2311</v>
      </c>
      <c r="AW3" s="6347"/>
      <c r="AX3" s="6348" t="s">
        <v>1637</v>
      </c>
      <c r="AY3" s="6348"/>
      <c r="AZ3" s="6346">
        <v>46082</v>
      </c>
      <c r="BA3" s="6347"/>
      <c r="BB3" s="6349" t="s">
        <v>1901</v>
      </c>
      <c r="BC3" s="6350"/>
      <c r="BD3" s="4251"/>
      <c r="BE3" s="4183" t="s">
        <v>550</v>
      </c>
      <c r="BF3" s="6348" t="s">
        <v>2041</v>
      </c>
      <c r="BG3" s="6348"/>
    </row>
    <row r="4" spans="3:61" ht="16.8" x14ac:dyDescent="0.3">
      <c r="C4" s="4184" t="s">
        <v>16</v>
      </c>
      <c r="D4" s="4185" t="s">
        <v>1353</v>
      </c>
      <c r="E4" s="6360"/>
      <c r="F4" s="4184"/>
      <c r="G4" s="4186">
        <f>+SUMIF(WRM!$C$7:$C$127,$D4,WRM!$F$7:$F$127)</f>
        <v>475.60000000000008</v>
      </c>
      <c r="H4" s="4186"/>
      <c r="I4" s="4186">
        <f>+SUMIF(WRM!$C$7:$C$127,$D4,WRM!$H$7:$H$127)</f>
        <v>1963.9</v>
      </c>
      <c r="J4" s="4187"/>
      <c r="K4" s="4187">
        <f>+G4+I4</f>
        <v>2439.5</v>
      </c>
      <c r="L4" s="4186"/>
      <c r="M4" s="4186">
        <f>+SUMIF(WRM!$C$7:$C$127,$D4,WRM!$L$7:$L$127)</f>
        <v>301.34999999999997</v>
      </c>
      <c r="N4" s="4188"/>
      <c r="O4" s="4188">
        <f>+G4+I4+M4</f>
        <v>2740.85</v>
      </c>
      <c r="P4" s="4186"/>
      <c r="Q4" s="4186">
        <f>+SUMIF(WRM!$C$7:$C$127,$D4,WRM!$P$7:$P$127)</f>
        <v>990.15000000000009</v>
      </c>
      <c r="R4" s="4189"/>
      <c r="S4" s="4187">
        <f>O4+Q4</f>
        <v>3731</v>
      </c>
      <c r="T4" s="4186"/>
      <c r="U4" s="4186">
        <f>+SUMIF(WRM!$C$7:$C$127,$D4,WRM!$T$7:$T$127)</f>
        <v>303.39999999999998</v>
      </c>
      <c r="V4" s="4189"/>
      <c r="W4" s="4187">
        <f>S4+U4</f>
        <v>4034.4</v>
      </c>
      <c r="X4" s="4190"/>
      <c r="Y4" s="4204">
        <f>+SUMIF(WRM!$C$7:$C$127,$D4,WRM!$X$7:$X$127)</f>
        <v>1195.1500000000001</v>
      </c>
      <c r="Z4" s="4188"/>
      <c r="AA4" s="4188">
        <f>Q4+U4+Y4</f>
        <v>2488.7000000000003</v>
      </c>
      <c r="AB4" s="4191"/>
      <c r="AC4" s="4192">
        <f>O4+AA4</f>
        <v>5229.55</v>
      </c>
      <c r="AD4" s="4186"/>
      <c r="AE4" s="4186">
        <f>+SUMIF(WRM!$C$7:$C$127,$D4,WRM!$AD$7:$AD$127)</f>
        <v>442.79999999999995</v>
      </c>
      <c r="AF4" s="4189"/>
      <c r="AG4" s="4187">
        <f>+AC4+AE4</f>
        <v>5672.35</v>
      </c>
      <c r="AH4" s="4186"/>
      <c r="AI4" s="4186">
        <f>+SUMIF(WRM!$C$7:$C$127,$D4,WRM!$AH$7:$AH$127)</f>
        <v>1070.1000000000001</v>
      </c>
      <c r="AJ4" s="4189"/>
      <c r="AK4" s="4187">
        <f>+AG4+AI4</f>
        <v>6742.4500000000007</v>
      </c>
      <c r="AL4" s="4186"/>
      <c r="AM4" s="4186">
        <f>+SUMIF(WRM!$C$7:$C$127,$D4,WRM!$AL$7:$AL$127)</f>
        <v>918.4</v>
      </c>
      <c r="AN4" s="4321"/>
      <c r="AO4" s="4188">
        <f>AE4+AI4+AM4</f>
        <v>2431.3000000000002</v>
      </c>
      <c r="AP4" s="4189"/>
      <c r="AQ4" s="4187">
        <f t="shared" ref="AQ4:AQ31" si="0">+AK4+AM4</f>
        <v>7660.85</v>
      </c>
      <c r="AR4" s="4186"/>
      <c r="AS4" s="4186">
        <f>+SUMIF(WRM!$C$7:$C$127,$D4,WRM!$AR$7:$AR$127)</f>
        <v>0</v>
      </c>
      <c r="AT4" s="4189"/>
      <c r="AU4" s="4187">
        <f>+AQ4+AS4</f>
        <v>7660.85</v>
      </c>
      <c r="AV4" s="4186"/>
      <c r="AW4" s="4186">
        <f>+SUMIF(WRM!$C$7:$C$127,$D4,WRM!$AV$7:$AV$127)</f>
        <v>1353</v>
      </c>
      <c r="AX4" s="4189"/>
      <c r="AY4" s="4187">
        <f>+AU4+AW4</f>
        <v>9013.85</v>
      </c>
      <c r="AZ4" s="4186"/>
      <c r="BA4" s="4186">
        <f>+SUMIF(WRM!$C$7:$C$127,$D4,WRM!$AZ$7:$AZ$127)</f>
        <v>5303.3500000000031</v>
      </c>
      <c r="BB4" s="4321"/>
      <c r="BC4" s="4188">
        <f>AS4+AW4+BA4</f>
        <v>6656.3500000000031</v>
      </c>
      <c r="BD4" s="4191"/>
      <c r="BE4" s="4192">
        <f>AO4+BC4</f>
        <v>9087.6500000000033</v>
      </c>
      <c r="BF4" s="4189"/>
      <c r="BG4" s="4187">
        <f>+AY4+BA4</f>
        <v>14317.200000000004</v>
      </c>
      <c r="BH4" s="26">
        <f>BA4++AW4+AS4+AM4+AI4+AE4+Y4+U4+Q4+M4+I4+G4-BG4</f>
        <v>0</v>
      </c>
      <c r="BI4" s="26"/>
    </row>
    <row r="5" spans="3:61" ht="16.8" x14ac:dyDescent="0.3">
      <c r="C5" s="4184" t="s">
        <v>16</v>
      </c>
      <c r="D5" s="4185" t="s">
        <v>1830</v>
      </c>
      <c r="E5" s="6360"/>
      <c r="F5" s="4184"/>
      <c r="G5" s="4186">
        <f>+SUMIF(WRM!$C$7:$C$127,$D5,WRM!$F$7:$F$127)</f>
        <v>1262.8000000000002</v>
      </c>
      <c r="H5" s="4186"/>
      <c r="I5" s="4186">
        <f>+SUMIF(WRM!$C$7:$C$127,$D5,WRM!$H$7:$H$127)</f>
        <v>0</v>
      </c>
      <c r="J5" s="4187"/>
      <c r="K5" s="4187">
        <f t="shared" ref="K5:K24" si="1">+G5+I5</f>
        <v>1262.8000000000002</v>
      </c>
      <c r="L5" s="4186"/>
      <c r="M5" s="4186">
        <f>+SUMIF(WRM!$C$7:$C$127,$D5,WRM!$L$7:$L$127)</f>
        <v>0</v>
      </c>
      <c r="N5" s="4188"/>
      <c r="O5" s="4188">
        <f t="shared" ref="O5:O75" si="2">+G5+I5+M5</f>
        <v>1262.8000000000002</v>
      </c>
      <c r="P5" s="4186"/>
      <c r="Q5" s="4186">
        <f>+SUMIF(WRM!$C$7:$C$127,$D5,WRM!$P$7:$P$127)</f>
        <v>0</v>
      </c>
      <c r="R5" s="4189"/>
      <c r="S5" s="4187">
        <f t="shared" ref="S5:S75" si="3">O5+Q5</f>
        <v>1262.8000000000002</v>
      </c>
      <c r="T5" s="4186"/>
      <c r="U5" s="4186">
        <f>+SUMIF(WRM!$C$7:$C$127,$D5,WRM!$T$7:$T$127)</f>
        <v>0</v>
      </c>
      <c r="V5" s="4189"/>
      <c r="W5" s="4187">
        <f t="shared" ref="W5:W75" si="4">S5+U5</f>
        <v>1262.8000000000002</v>
      </c>
      <c r="X5" s="4190"/>
      <c r="Y5" s="4204">
        <f>+SUMIF(WRM!$C$7:$C$127,$D5,WRM!$X$7:$X$127)</f>
        <v>0</v>
      </c>
      <c r="Z5" s="4188"/>
      <c r="AA5" s="4188">
        <f t="shared" ref="AA5:AA75" si="5">Q5+U5+Y5</f>
        <v>0</v>
      </c>
      <c r="AB5" s="4191"/>
      <c r="AC5" s="4192">
        <f t="shared" ref="AC5:AC75" si="6">O5+AA5</f>
        <v>1262.8000000000002</v>
      </c>
      <c r="AD5" s="4186"/>
      <c r="AE5" s="4204">
        <f>+SUMIF(WRM!$C$7:$C$127,$D5,WRM!$AD$7:$AD$127)</f>
        <v>0</v>
      </c>
      <c r="AF5" s="4189"/>
      <c r="AG5" s="4187">
        <f t="shared" ref="AG5:AG75" si="7">+AC5+AE5</f>
        <v>1262.8000000000002</v>
      </c>
      <c r="AH5" s="4186"/>
      <c r="AI5" s="4186">
        <f>+SUMIF(WRM!$C$7:$C$127,$D5,WRM!$AH$7:$AH$127)</f>
        <v>0</v>
      </c>
      <c r="AJ5" s="4189"/>
      <c r="AK5" s="4187">
        <f t="shared" ref="AK5:AK37" si="8">+AG5+AI5</f>
        <v>1262.8000000000002</v>
      </c>
      <c r="AL5" s="4186"/>
      <c r="AM5" s="4186">
        <f>+SUMIF(WRM!$C$7:$C$127,$D5,WRM!$AL$7:$AL$127)</f>
        <v>0</v>
      </c>
      <c r="AN5" s="4321"/>
      <c r="AO5" s="4188">
        <f t="shared" ref="AO5:AO75" si="9">AE5+AI5+AM5</f>
        <v>0</v>
      </c>
      <c r="AP5" s="4189"/>
      <c r="AQ5" s="4187">
        <f t="shared" si="0"/>
        <v>1262.8000000000002</v>
      </c>
      <c r="AR5" s="4186"/>
      <c r="AS5" s="4186">
        <f>+SUMIF(WRM!$C$7:$C$127,$D5,WRM!$AR$7:$AR$127)</f>
        <v>0</v>
      </c>
      <c r="AT5" s="4189"/>
      <c r="AU5" s="4187">
        <f t="shared" ref="AU5:AU31" si="10">+AQ5+AS5</f>
        <v>1262.8000000000002</v>
      </c>
      <c r="AV5" s="4186"/>
      <c r="AW5" s="4186">
        <f>+SUMIF(WRM!$C$7:$C$127,$D5,WRM!$AV$7:$AV$127)</f>
        <v>0</v>
      </c>
      <c r="AX5" s="4189"/>
      <c r="AY5" s="4187">
        <f t="shared" ref="AY5:AY37" si="11">+AU5+AW5</f>
        <v>1262.8000000000002</v>
      </c>
      <c r="AZ5" s="4186"/>
      <c r="BA5" s="4186">
        <f>+SUMIF(WRM!$C$7:$C$127,$D5,WRM!$AZ$7:$AZ$127)</f>
        <v>0</v>
      </c>
      <c r="BB5" s="4321"/>
      <c r="BC5" s="4188">
        <f t="shared" ref="BC5:BC37" si="12">AS5+AW5+BA5</f>
        <v>0</v>
      </c>
      <c r="BD5" s="4191"/>
      <c r="BE5" s="4192">
        <f t="shared" ref="BE5:BE71" si="13">AO5+BC5</f>
        <v>0</v>
      </c>
      <c r="BF5" s="4189"/>
      <c r="BG5" s="4187">
        <f t="shared" ref="BG5:BG37" si="14">+AY5+BA5</f>
        <v>1262.8000000000002</v>
      </c>
      <c r="BH5" s="26">
        <f t="shared" ref="BH5:BH67" si="15">BA5++AW5+AS5+AM5+AI5+AE5+Y5+U5+Q5+M5+I5+G5-BG5</f>
        <v>0</v>
      </c>
      <c r="BI5" s="26"/>
    </row>
    <row r="6" spans="3:61" ht="16.8" x14ac:dyDescent="0.3">
      <c r="C6" s="4184" t="s">
        <v>16</v>
      </c>
      <c r="D6" s="4185" t="s">
        <v>1311</v>
      </c>
      <c r="E6" s="6360"/>
      <c r="F6" s="4184"/>
      <c r="G6" s="4186">
        <f>+SUMIF(WRM!$C$7:$C$127,$D6,WRM!$F$7:$F$127)</f>
        <v>0</v>
      </c>
      <c r="H6" s="4186"/>
      <c r="I6" s="4186">
        <f>+SUMIF(WRM!$C$7:$C$127,$D6,WRM!$H$7:$H$127)</f>
        <v>0</v>
      </c>
      <c r="J6" s="4187"/>
      <c r="K6" s="4187">
        <f t="shared" si="1"/>
        <v>0</v>
      </c>
      <c r="L6" s="4186"/>
      <c r="M6" s="4186">
        <f>+SUMIF(WRM!$C$7:$C$127,$D6,WRM!$L$7:$L$127)</f>
        <v>161.95000000000002</v>
      </c>
      <c r="N6" s="4188"/>
      <c r="O6" s="4188">
        <f t="shared" si="2"/>
        <v>161.95000000000002</v>
      </c>
      <c r="P6" s="4186"/>
      <c r="Q6" s="4186">
        <f>+SUMIF(WRM!$C$7:$C$127,$D6,WRM!$P$7:$P$127)</f>
        <v>676.5</v>
      </c>
      <c r="R6" s="4189"/>
      <c r="S6" s="4187">
        <f t="shared" si="3"/>
        <v>838.45</v>
      </c>
      <c r="T6" s="4186"/>
      <c r="U6" s="4186">
        <f>+SUMIF(WRM!$C$7:$C$127,$D6,WRM!$T$7:$T$127)</f>
        <v>211.14999999999998</v>
      </c>
      <c r="V6" s="4189"/>
      <c r="W6" s="4187">
        <f t="shared" si="4"/>
        <v>1049.5999999999999</v>
      </c>
      <c r="X6" s="4190"/>
      <c r="Y6" s="4204">
        <f>+SUMIF(WRM!$C$7:$C$127,$D6,WRM!$X$7:$X$127)</f>
        <v>1326.3500000000001</v>
      </c>
      <c r="Z6" s="4188"/>
      <c r="AA6" s="4188">
        <f t="shared" si="5"/>
        <v>2214</v>
      </c>
      <c r="AB6" s="4191"/>
      <c r="AC6" s="4192">
        <f t="shared" si="6"/>
        <v>2375.9499999999998</v>
      </c>
      <c r="AD6" s="4186"/>
      <c r="AE6" s="4204">
        <f>+SUMIF(WRM!$C$7:$C$127,$D6,WRM!$AD$7:$AD$127)</f>
        <v>0</v>
      </c>
      <c r="AF6" s="4189"/>
      <c r="AG6" s="4187">
        <f t="shared" si="7"/>
        <v>2375.9499999999998</v>
      </c>
      <c r="AH6" s="4186"/>
      <c r="AI6" s="4186">
        <f>+SUMIF(WRM!$C$7:$C$127,$D6,WRM!$AH$7:$AH$127)</f>
        <v>0</v>
      </c>
      <c r="AJ6" s="4189"/>
      <c r="AK6" s="4187">
        <f t="shared" si="8"/>
        <v>2375.9499999999998</v>
      </c>
      <c r="AL6" s="4186"/>
      <c r="AM6" s="4186">
        <f>+SUMIF(WRM!$C$7:$C$127,$D6,WRM!$AL$7:$AL$127)</f>
        <v>0</v>
      </c>
      <c r="AN6" s="4321"/>
      <c r="AO6" s="4188">
        <f t="shared" si="9"/>
        <v>0</v>
      </c>
      <c r="AP6" s="4189"/>
      <c r="AQ6" s="4187">
        <f t="shared" si="0"/>
        <v>2375.9499999999998</v>
      </c>
      <c r="AR6" s="4186"/>
      <c r="AS6" s="4186">
        <f>+SUMIF(WRM!$C$7:$C$127,$D6,WRM!$AR$7:$AR$127)</f>
        <v>670.35</v>
      </c>
      <c r="AT6" s="4189"/>
      <c r="AU6" s="4187">
        <f t="shared" si="10"/>
        <v>3046.2999999999997</v>
      </c>
      <c r="AV6" s="4186"/>
      <c r="AW6" s="4186">
        <f>+SUMIF(WRM!$C$7:$C$127,$D6,WRM!$AV$7:$AV$127)</f>
        <v>0</v>
      </c>
      <c r="AX6" s="4189"/>
      <c r="AY6" s="4187">
        <f t="shared" si="11"/>
        <v>3046.2999999999997</v>
      </c>
      <c r="AZ6" s="4186"/>
      <c r="BA6" s="4186">
        <f>+SUMIF(WRM!$C$7:$C$127,$D6,WRM!$AZ$7:$AZ$127)</f>
        <v>0</v>
      </c>
      <c r="BB6" s="4321"/>
      <c r="BC6" s="4188">
        <f t="shared" si="12"/>
        <v>670.35</v>
      </c>
      <c r="BD6" s="4191"/>
      <c r="BE6" s="4192">
        <f t="shared" si="13"/>
        <v>670.35</v>
      </c>
      <c r="BF6" s="4189"/>
      <c r="BG6" s="4187">
        <f t="shared" si="14"/>
        <v>3046.2999999999997</v>
      </c>
      <c r="BH6" s="26">
        <f t="shared" si="15"/>
        <v>0</v>
      </c>
      <c r="BI6" s="26"/>
    </row>
    <row r="7" spans="3:61" ht="16.8" x14ac:dyDescent="0.3">
      <c r="C7" s="4184" t="s">
        <v>16</v>
      </c>
      <c r="D7" s="4185" t="s">
        <v>941</v>
      </c>
      <c r="E7" s="6360"/>
      <c r="F7" s="4184"/>
      <c r="G7" s="4186">
        <f>+SUMIF(WRM!$C$7:$C$127,$D7,WRM!$F$7:$F$127)</f>
        <v>0</v>
      </c>
      <c r="H7" s="4186"/>
      <c r="I7" s="4186">
        <f>+SUMIF(WRM!$C$7:$C$127,$D7,WRM!$H$7:$H$127)</f>
        <v>104.55</v>
      </c>
      <c r="J7" s="4187"/>
      <c r="K7" s="4187">
        <f t="shared" si="1"/>
        <v>104.55</v>
      </c>
      <c r="L7" s="4186"/>
      <c r="M7" s="4186">
        <f>+SUMIF(WRM!$C$7:$C$127,$D7,WRM!$L$7:$L$127)</f>
        <v>0</v>
      </c>
      <c r="N7" s="4188"/>
      <c r="O7" s="4188">
        <f t="shared" si="2"/>
        <v>104.55</v>
      </c>
      <c r="P7" s="4186"/>
      <c r="Q7" s="4186">
        <f>+SUMIF(WRM!$C$7:$C$127,$D7,WRM!$P$7:$P$127)</f>
        <v>0</v>
      </c>
      <c r="R7" s="4189"/>
      <c r="S7" s="4187">
        <f t="shared" si="3"/>
        <v>104.55</v>
      </c>
      <c r="T7" s="4186"/>
      <c r="U7" s="4186">
        <f>+SUMIF(WRM!$C$7:$C$127,$D7,WRM!$T$7:$T$127)</f>
        <v>0</v>
      </c>
      <c r="V7" s="4189"/>
      <c r="W7" s="4187">
        <f t="shared" si="4"/>
        <v>104.55</v>
      </c>
      <c r="X7" s="4190"/>
      <c r="Y7" s="4204">
        <f>+SUMIF(WRM!$C$7:$C$127,$D7,WRM!$X$7:$X$127)</f>
        <v>0</v>
      </c>
      <c r="Z7" s="4188"/>
      <c r="AA7" s="4188">
        <f t="shared" si="5"/>
        <v>0</v>
      </c>
      <c r="AB7" s="4191"/>
      <c r="AC7" s="4192">
        <f t="shared" si="6"/>
        <v>104.55</v>
      </c>
      <c r="AD7" s="4186"/>
      <c r="AE7" s="4204">
        <f>+SUMIF(WRM!$C$7:$C$127,$D7,WRM!$AD$7:$AD$127)</f>
        <v>0</v>
      </c>
      <c r="AF7" s="4189"/>
      <c r="AG7" s="4187">
        <f t="shared" si="7"/>
        <v>104.55</v>
      </c>
      <c r="AH7" s="4186"/>
      <c r="AI7" s="4186">
        <f>+SUMIF(WRM!$C$7:$C$127,$D7,WRM!$AH$7:$AH$127)</f>
        <v>0</v>
      </c>
      <c r="AJ7" s="4189"/>
      <c r="AK7" s="4187">
        <f t="shared" si="8"/>
        <v>104.55</v>
      </c>
      <c r="AL7" s="4186"/>
      <c r="AM7" s="4186">
        <f>+SUMIF(WRM!$C$7:$C$127,$D7,WRM!$AL$7:$AL$127)</f>
        <v>0</v>
      </c>
      <c r="AN7" s="4321"/>
      <c r="AO7" s="4188">
        <f t="shared" si="9"/>
        <v>0</v>
      </c>
      <c r="AP7" s="4189"/>
      <c r="AQ7" s="4187">
        <f t="shared" si="0"/>
        <v>104.55</v>
      </c>
      <c r="AR7" s="4186"/>
      <c r="AS7" s="4186">
        <f>+SUMIF(WRM!$C$7:$C$127,$D7,WRM!$AR$7:$AR$127)</f>
        <v>0</v>
      </c>
      <c r="AT7" s="4189"/>
      <c r="AU7" s="4187">
        <f t="shared" si="10"/>
        <v>104.55</v>
      </c>
      <c r="AV7" s="4186"/>
      <c r="AW7" s="4186">
        <f>+SUMIF(WRM!$C$7:$C$127,$D7,WRM!$AV$7:$AV$127)</f>
        <v>0</v>
      </c>
      <c r="AX7" s="4189"/>
      <c r="AY7" s="4187">
        <f t="shared" si="11"/>
        <v>104.55</v>
      </c>
      <c r="AZ7" s="4186"/>
      <c r="BA7" s="4186">
        <f>+SUMIF(WRM!$C$7:$C$127,$D7,WRM!$AZ$7:$AZ$127)</f>
        <v>0</v>
      </c>
      <c r="BB7" s="4321"/>
      <c r="BC7" s="4188">
        <f t="shared" si="12"/>
        <v>0</v>
      </c>
      <c r="BD7" s="4191"/>
      <c r="BE7" s="4192">
        <f t="shared" si="13"/>
        <v>0</v>
      </c>
      <c r="BF7" s="4189"/>
      <c r="BG7" s="4187">
        <f t="shared" si="14"/>
        <v>104.55</v>
      </c>
      <c r="BH7" s="26">
        <f t="shared" si="15"/>
        <v>0</v>
      </c>
      <c r="BI7" s="26"/>
    </row>
    <row r="8" spans="3:61" ht="16.8" x14ac:dyDescent="0.3">
      <c r="C8" s="4184" t="s">
        <v>16</v>
      </c>
      <c r="D8" s="4185" t="s">
        <v>1354</v>
      </c>
      <c r="E8" s="6360"/>
      <c r="F8" s="4184"/>
      <c r="G8" s="4186">
        <f>+SUMIF(WRM!$C$7:$C$127,$D8,WRM!$F$7:$F$127)</f>
        <v>0</v>
      </c>
      <c r="H8" s="4186"/>
      <c r="I8" s="4186">
        <f>+SUMIF(WRM!$C$7:$C$127,$D8,WRM!$H$7:$H$127)</f>
        <v>0</v>
      </c>
      <c r="J8" s="4187"/>
      <c r="K8" s="4187">
        <f t="shared" si="1"/>
        <v>0</v>
      </c>
      <c r="L8" s="4186"/>
      <c r="M8" s="4186">
        <f>+SUMIF(WRM!$C$7:$C$127,$D8,WRM!$L$7:$L$127)</f>
        <v>0</v>
      </c>
      <c r="N8" s="4188"/>
      <c r="O8" s="4188">
        <f t="shared" si="2"/>
        <v>0</v>
      </c>
      <c r="P8" s="4186"/>
      <c r="Q8" s="4186">
        <f>+SUMIF(WRM!$C$7:$C$127,$D8,WRM!$P$7:$P$127)</f>
        <v>0</v>
      </c>
      <c r="R8" s="4189"/>
      <c r="S8" s="4187">
        <f t="shared" si="3"/>
        <v>0</v>
      </c>
      <c r="T8" s="4186"/>
      <c r="U8" s="4186">
        <f>+SUMIF(WRM!$C$7:$C$127,$D8,WRM!$T$7:$T$127)</f>
        <v>0</v>
      </c>
      <c r="V8" s="4189"/>
      <c r="W8" s="4187">
        <f t="shared" si="4"/>
        <v>0</v>
      </c>
      <c r="X8" s="4190"/>
      <c r="Y8" s="4204">
        <f>+SUMIF(WRM!$C$7:$C$127,$D8,WRM!$X$7:$X$127)</f>
        <v>0</v>
      </c>
      <c r="Z8" s="4188"/>
      <c r="AA8" s="4188">
        <f t="shared" si="5"/>
        <v>0</v>
      </c>
      <c r="AB8" s="4191"/>
      <c r="AC8" s="4192">
        <f t="shared" si="6"/>
        <v>0</v>
      </c>
      <c r="AD8" s="4186"/>
      <c r="AE8" s="4204">
        <f>+SUMIF(WRM!$C$7:$C$127,$D8,WRM!$AD$7:$AD$127)</f>
        <v>0</v>
      </c>
      <c r="AF8" s="4189"/>
      <c r="AG8" s="4187">
        <f t="shared" si="7"/>
        <v>0</v>
      </c>
      <c r="AH8" s="4186"/>
      <c r="AI8" s="4186">
        <f>+SUMIF(WRM!$C$7:$C$127,$D8,WRM!$AH$7:$AH$127)</f>
        <v>0</v>
      </c>
      <c r="AJ8" s="4189"/>
      <c r="AK8" s="4187">
        <f t="shared" si="8"/>
        <v>0</v>
      </c>
      <c r="AL8" s="4186"/>
      <c r="AM8" s="4186">
        <f>+SUMIF(WRM!$C$7:$C$127,$D8,WRM!$AL$7:$AL$127)</f>
        <v>0</v>
      </c>
      <c r="AN8" s="4321"/>
      <c r="AO8" s="4188">
        <f t="shared" si="9"/>
        <v>0</v>
      </c>
      <c r="AP8" s="4189"/>
      <c r="AQ8" s="4187">
        <f t="shared" si="0"/>
        <v>0</v>
      </c>
      <c r="AR8" s="4186"/>
      <c r="AS8" s="4186">
        <f>+SUMIF(WRM!$C$7:$C$127,$D8,WRM!$AR$7:$AR$127)</f>
        <v>0</v>
      </c>
      <c r="AT8" s="4189"/>
      <c r="AU8" s="4187">
        <f t="shared" si="10"/>
        <v>0</v>
      </c>
      <c r="AV8" s="4186"/>
      <c r="AW8" s="4186">
        <f>+SUMIF(WRM!$C$7:$C$127,$D8,WRM!$AV$7:$AV$127)</f>
        <v>0</v>
      </c>
      <c r="AX8" s="4189"/>
      <c r="AY8" s="4187">
        <f t="shared" si="11"/>
        <v>0</v>
      </c>
      <c r="AZ8" s="4186"/>
      <c r="BA8" s="4186">
        <f>+SUMIF(WRM!$C$7:$C$127,$D8,WRM!$AZ$7:$AZ$127)</f>
        <v>0</v>
      </c>
      <c r="BB8" s="4321"/>
      <c r="BC8" s="4188">
        <f t="shared" si="12"/>
        <v>0</v>
      </c>
      <c r="BD8" s="4191"/>
      <c r="BE8" s="4192">
        <f t="shared" si="13"/>
        <v>0</v>
      </c>
      <c r="BF8" s="4189"/>
      <c r="BG8" s="4187">
        <f t="shared" si="14"/>
        <v>0</v>
      </c>
      <c r="BH8" s="26">
        <f t="shared" si="15"/>
        <v>0</v>
      </c>
      <c r="BI8" s="26"/>
    </row>
    <row r="9" spans="3:61" ht="16.8" x14ac:dyDescent="0.3">
      <c r="C9" s="4184" t="s">
        <v>16</v>
      </c>
      <c r="D9" s="4185" t="s">
        <v>868</v>
      </c>
      <c r="E9" s="6360"/>
      <c r="F9" s="4184"/>
      <c r="G9" s="4186">
        <f>+SUMIF(WRM!$C$7:$C$127,$D9,WRM!$F$7:$F$127)</f>
        <v>4233.3500000000004</v>
      </c>
      <c r="H9" s="4186"/>
      <c r="I9" s="4186">
        <f>+SUMIF(WRM!$C$7:$C$127,$D9,WRM!$H$7:$H$127)</f>
        <v>9491.5</v>
      </c>
      <c r="J9" s="4187"/>
      <c r="K9" s="4187">
        <f t="shared" si="1"/>
        <v>13724.85</v>
      </c>
      <c r="L9" s="4186"/>
      <c r="M9" s="4186">
        <f>+SUMIF(WRM!$C$7:$C$127,$D9,WRM!$L$7:$L$127)</f>
        <v>4954.8500000000004</v>
      </c>
      <c r="N9" s="4188"/>
      <c r="O9" s="4188">
        <f t="shared" si="2"/>
        <v>18679.7</v>
      </c>
      <c r="P9" s="4186"/>
      <c r="Q9" s="4186">
        <f>+SUMIF(WRM!$C$7:$C$127,$D9,WRM!$P$7:$P$127)</f>
        <v>7790.0000000000009</v>
      </c>
      <c r="R9" s="4189"/>
      <c r="S9" s="4187">
        <f t="shared" si="3"/>
        <v>26469.7</v>
      </c>
      <c r="T9" s="4186"/>
      <c r="U9" s="4186">
        <f>+SUMIF(WRM!$C$7:$C$127,$D9,WRM!$T$7:$T$127)</f>
        <v>6562.05</v>
      </c>
      <c r="V9" s="4189"/>
      <c r="W9" s="4187">
        <f t="shared" si="4"/>
        <v>33031.75</v>
      </c>
      <c r="X9" s="4190"/>
      <c r="Y9" s="4204">
        <f>+SUMIF(WRM!$C$7:$C$127,$D9,WRM!$X$7:$X$127)</f>
        <v>8247.15</v>
      </c>
      <c r="Z9" s="4188"/>
      <c r="AA9" s="4188">
        <f t="shared" si="5"/>
        <v>22599.200000000001</v>
      </c>
      <c r="AB9" s="4191"/>
      <c r="AC9" s="4192">
        <f t="shared" si="6"/>
        <v>41278.9</v>
      </c>
      <c r="AD9" s="4186"/>
      <c r="AE9" s="4204">
        <f>+SUMIF(WRM!$C$7:$C$127,$D9,WRM!$AD$7:$AD$127)</f>
        <v>5110.6499999999996</v>
      </c>
      <c r="AF9" s="4189"/>
      <c r="AG9" s="4187">
        <f t="shared" si="7"/>
        <v>46389.55</v>
      </c>
      <c r="AH9" s="4186"/>
      <c r="AI9" s="4186">
        <f>+SUMIF(WRM!$C$7:$C$127,$D9,WRM!$AH$7:$AH$127)</f>
        <v>9261.9000000000051</v>
      </c>
      <c r="AJ9" s="4189"/>
      <c r="AK9" s="4187">
        <f t="shared" si="8"/>
        <v>55651.450000000012</v>
      </c>
      <c r="AL9" s="4186"/>
      <c r="AM9" s="4186">
        <f>+SUMIF(WRM!$C$7:$C$127,$D9,WRM!$AL$7:$AL$127)</f>
        <v>5922.4500000000007</v>
      </c>
      <c r="AN9" s="4321"/>
      <c r="AO9" s="4188">
        <f t="shared" si="9"/>
        <v>20295.000000000007</v>
      </c>
      <c r="AP9" s="4189"/>
      <c r="AQ9" s="4187">
        <f t="shared" si="0"/>
        <v>61573.900000000009</v>
      </c>
      <c r="AR9" s="4186"/>
      <c r="AS9" s="4186">
        <f>+SUMIF(WRM!$C$7:$C$127,$D9,WRM!$AR$7:$AR$127)</f>
        <v>5807.65</v>
      </c>
      <c r="AT9" s="4189"/>
      <c r="AU9" s="4187">
        <f t="shared" si="10"/>
        <v>67381.55</v>
      </c>
      <c r="AV9" s="4186"/>
      <c r="AW9" s="4186">
        <f>+SUMIF(WRM!$C$7:$C$127,$D9,WRM!$AV$7:$AV$127)</f>
        <v>9950.7000000000098</v>
      </c>
      <c r="AX9" s="4189"/>
      <c r="AY9" s="4187">
        <f t="shared" si="11"/>
        <v>77332.250000000015</v>
      </c>
      <c r="AZ9" s="4186"/>
      <c r="BA9" s="4186">
        <f>+SUMIF(WRM!$C$7:$C$127,$D9,WRM!$AZ$7:$AZ$127)</f>
        <v>9653.4499999999989</v>
      </c>
      <c r="BB9" s="4321"/>
      <c r="BC9" s="4188">
        <f t="shared" si="12"/>
        <v>25411.80000000001</v>
      </c>
      <c r="BD9" s="4191"/>
      <c r="BE9" s="4192">
        <f t="shared" si="13"/>
        <v>45706.800000000017</v>
      </c>
      <c r="BF9" s="4189"/>
      <c r="BG9" s="4187">
        <f t="shared" si="14"/>
        <v>86985.700000000012</v>
      </c>
      <c r="BH9" s="26">
        <f t="shared" si="15"/>
        <v>0</v>
      </c>
      <c r="BI9" s="26"/>
    </row>
    <row r="10" spans="3:61" ht="16.8" x14ac:dyDescent="0.3">
      <c r="C10" s="4184" t="s">
        <v>16</v>
      </c>
      <c r="D10" s="4185" t="s">
        <v>2045</v>
      </c>
      <c r="E10" s="6360"/>
      <c r="F10" s="4184"/>
      <c r="G10" s="4186">
        <f>+SUMIF(WRM!$C$7:$C$127,$D10,WRM!$F$7:$F$127)</f>
        <v>0</v>
      </c>
      <c r="H10" s="4186"/>
      <c r="I10" s="4186">
        <f>+SUMIF(WRM!$C$7:$C$127,$D10,WRM!$H$7:$H$127)</f>
        <v>0</v>
      </c>
      <c r="J10" s="4187"/>
      <c r="K10" s="4187">
        <f t="shared" si="1"/>
        <v>0</v>
      </c>
      <c r="L10" s="4186"/>
      <c r="M10" s="4186">
        <f>+SUMIF(WRM!$C$7:$C$127,$D10,WRM!$L$7:$L$127)</f>
        <v>3761.75</v>
      </c>
      <c r="N10" s="4188"/>
      <c r="O10" s="4188">
        <f t="shared" si="2"/>
        <v>3761.75</v>
      </c>
      <c r="P10" s="4186"/>
      <c r="Q10" s="4186">
        <f>+SUMIF(WRM!$C$7:$C$127,$D10,WRM!$P$7:$P$127)</f>
        <v>9542.7500000000018</v>
      </c>
      <c r="R10" s="4189"/>
      <c r="S10" s="4187">
        <f t="shared" si="3"/>
        <v>13304.500000000002</v>
      </c>
      <c r="T10" s="4186"/>
      <c r="U10" s="4186">
        <f>+SUMIF(WRM!$C$7:$C$127,$D10,WRM!$T$7:$T$127)</f>
        <v>0</v>
      </c>
      <c r="V10" s="4189"/>
      <c r="W10" s="4187">
        <f t="shared" si="4"/>
        <v>13304.500000000002</v>
      </c>
      <c r="X10" s="4190"/>
      <c r="Y10" s="4204">
        <f>+SUMIF(WRM!$C$7:$C$127,$D10,WRM!$X$7:$X$127)</f>
        <v>0</v>
      </c>
      <c r="Z10" s="4188"/>
      <c r="AA10" s="4188">
        <f t="shared" si="5"/>
        <v>9542.7500000000018</v>
      </c>
      <c r="AB10" s="4191"/>
      <c r="AC10" s="4192">
        <f t="shared" si="6"/>
        <v>13304.500000000002</v>
      </c>
      <c r="AD10" s="4186"/>
      <c r="AE10" s="4204">
        <f>+SUMIF(WRM!$C$7:$C$127,$D10,WRM!$AD$7:$AD$127)</f>
        <v>0</v>
      </c>
      <c r="AF10" s="4189"/>
      <c r="AG10" s="4187">
        <f t="shared" si="7"/>
        <v>13304.500000000002</v>
      </c>
      <c r="AH10" s="4186"/>
      <c r="AI10" s="4186">
        <f>+SUMIF(WRM!$C$7:$C$127,$D10,WRM!$AH$7:$AH$127)</f>
        <v>0</v>
      </c>
      <c r="AJ10" s="4189"/>
      <c r="AK10" s="4187">
        <f t="shared" si="8"/>
        <v>13304.500000000002</v>
      </c>
      <c r="AL10" s="4186"/>
      <c r="AM10" s="4186">
        <f>+SUMIF(WRM!$C$7:$C$127,$D10,WRM!$AL$7:$AL$127)</f>
        <v>0</v>
      </c>
      <c r="AN10" s="4321"/>
      <c r="AO10" s="4188">
        <f t="shared" si="9"/>
        <v>0</v>
      </c>
      <c r="AP10" s="4189"/>
      <c r="AQ10" s="4187">
        <f t="shared" si="0"/>
        <v>13304.500000000002</v>
      </c>
      <c r="AR10" s="4186"/>
      <c r="AS10" s="4186">
        <f>+SUMIF(WRM!$C$7:$C$127,$D10,WRM!$AR$7:$AR$127)</f>
        <v>0</v>
      </c>
      <c r="AT10" s="4189"/>
      <c r="AU10" s="4187">
        <f t="shared" si="10"/>
        <v>13304.500000000002</v>
      </c>
      <c r="AV10" s="4186"/>
      <c r="AW10" s="4186">
        <f>+SUMIF(WRM!$C$7:$C$127,$D10,WRM!$AV$7:$AV$127)</f>
        <v>0</v>
      </c>
      <c r="AX10" s="4189"/>
      <c r="AY10" s="4187">
        <f t="shared" si="11"/>
        <v>13304.500000000002</v>
      </c>
      <c r="AZ10" s="4186"/>
      <c r="BA10" s="4186">
        <f>+SUMIF(WRM!$C$7:$C$127,$D10,WRM!$AZ$7:$AZ$127)</f>
        <v>0</v>
      </c>
      <c r="BB10" s="4321"/>
      <c r="BC10" s="4188">
        <f t="shared" si="12"/>
        <v>0</v>
      </c>
      <c r="BD10" s="4191"/>
      <c r="BE10" s="4192">
        <f t="shared" si="13"/>
        <v>0</v>
      </c>
      <c r="BF10" s="4189"/>
      <c r="BG10" s="4187">
        <f t="shared" si="14"/>
        <v>13304.500000000002</v>
      </c>
      <c r="BH10" s="26">
        <f t="shared" si="15"/>
        <v>0</v>
      </c>
      <c r="BI10" s="26"/>
    </row>
    <row r="11" spans="3:61" ht="16.8" x14ac:dyDescent="0.3">
      <c r="C11" s="4184" t="s">
        <v>16</v>
      </c>
      <c r="D11" s="4185" t="s">
        <v>1258</v>
      </c>
      <c r="E11" s="6360"/>
      <c r="F11" s="4184"/>
      <c r="G11" s="4186">
        <f>+SUMIF(WRM!$C$7:$C$127,$D11,WRM!$F$7:$F$127)</f>
        <v>0</v>
      </c>
      <c r="H11" s="4186"/>
      <c r="I11" s="4186">
        <f>+SUMIF(WRM!$C$7:$C$127,$D11,WRM!$H$7:$H$127)</f>
        <v>0</v>
      </c>
      <c r="J11" s="4187"/>
      <c r="K11" s="4187">
        <f t="shared" si="1"/>
        <v>0</v>
      </c>
      <c r="L11" s="4186"/>
      <c r="M11" s="4186">
        <f>+SUMIF(WRM!$C$7:$C$127,$D11,WRM!$L$7:$L$127)</f>
        <v>5600</v>
      </c>
      <c r="N11" s="4188"/>
      <c r="O11" s="4188">
        <f t="shared" si="2"/>
        <v>5600</v>
      </c>
      <c r="P11" s="4186"/>
      <c r="Q11" s="4186">
        <f>+SUMIF(WRM!$C$7:$C$127,$D11,WRM!$P$7:$P$127)</f>
        <v>1705.6</v>
      </c>
      <c r="R11" s="4189"/>
      <c r="S11" s="4187">
        <f t="shared" si="3"/>
        <v>7305.6</v>
      </c>
      <c r="T11" s="4186"/>
      <c r="U11" s="4186">
        <f>+SUMIF(WRM!$C$7:$C$127,$D11,WRM!$T$7:$T$127)</f>
        <v>0</v>
      </c>
      <c r="V11" s="4189"/>
      <c r="W11" s="4187">
        <f t="shared" si="4"/>
        <v>7305.6</v>
      </c>
      <c r="X11" s="4190"/>
      <c r="Y11" s="4204">
        <f>+SUMIF(WRM!$C$7:$C$127,$D11,WRM!$X$7:$X$127)</f>
        <v>0</v>
      </c>
      <c r="Z11" s="4188"/>
      <c r="AA11" s="4188">
        <f t="shared" si="5"/>
        <v>1705.6</v>
      </c>
      <c r="AB11" s="4191"/>
      <c r="AC11" s="4192">
        <f t="shared" si="6"/>
        <v>7305.6</v>
      </c>
      <c r="AD11" s="4186"/>
      <c r="AE11" s="4204">
        <f>+SUMIF(WRM!$C$7:$C$127,$D11,WRM!$AD$7:$AD$127)</f>
        <v>0</v>
      </c>
      <c r="AF11" s="4189"/>
      <c r="AG11" s="4187">
        <f t="shared" si="7"/>
        <v>7305.6</v>
      </c>
      <c r="AH11" s="4186"/>
      <c r="AI11" s="4186">
        <f>+SUMIF(WRM!$C$7:$C$127,$D11,WRM!$AH$7:$AH$127)</f>
        <v>0</v>
      </c>
      <c r="AJ11" s="4189"/>
      <c r="AK11" s="4187">
        <f t="shared" si="8"/>
        <v>7305.6</v>
      </c>
      <c r="AL11" s="4186"/>
      <c r="AM11" s="4186">
        <f>+SUMIF(WRM!$C$7:$C$127,$D11,WRM!$AL$7:$AL$127)</f>
        <v>0</v>
      </c>
      <c r="AN11" s="4321"/>
      <c r="AO11" s="4188">
        <f t="shared" si="9"/>
        <v>0</v>
      </c>
      <c r="AP11" s="4189"/>
      <c r="AQ11" s="4187">
        <f t="shared" si="0"/>
        <v>7305.6</v>
      </c>
      <c r="AR11" s="4186"/>
      <c r="AS11" s="4186">
        <f>+SUMIF(WRM!$C$7:$C$127,$D11,WRM!$AR$7:$AR$127)</f>
        <v>0</v>
      </c>
      <c r="AT11" s="4189"/>
      <c r="AU11" s="4187">
        <f t="shared" si="10"/>
        <v>7305.6</v>
      </c>
      <c r="AV11" s="4186"/>
      <c r="AW11" s="4186">
        <f>+SUMIF(WRM!$C$7:$C$127,$D11,WRM!$AV$7:$AV$127)</f>
        <v>0</v>
      </c>
      <c r="AX11" s="4189"/>
      <c r="AY11" s="4187">
        <f t="shared" si="11"/>
        <v>7305.6</v>
      </c>
      <c r="AZ11" s="4186"/>
      <c r="BA11" s="4186">
        <f>+SUMIF(WRM!$C$7:$C$127,$D11,WRM!$AZ$7:$AZ$127)</f>
        <v>0</v>
      </c>
      <c r="BB11" s="4321"/>
      <c r="BC11" s="4188">
        <f t="shared" si="12"/>
        <v>0</v>
      </c>
      <c r="BD11" s="4191"/>
      <c r="BE11" s="4192">
        <f t="shared" si="13"/>
        <v>0</v>
      </c>
      <c r="BF11" s="4189"/>
      <c r="BG11" s="4187">
        <f t="shared" si="14"/>
        <v>7305.6</v>
      </c>
      <c r="BH11" s="26">
        <f t="shared" si="15"/>
        <v>0</v>
      </c>
      <c r="BI11" s="26"/>
    </row>
    <row r="12" spans="3:61" ht="16.8" x14ac:dyDescent="0.3">
      <c r="C12" s="4184" t="s">
        <v>16</v>
      </c>
      <c r="D12" s="4185" t="s">
        <v>962</v>
      </c>
      <c r="E12" s="6360"/>
      <c r="F12" s="4184"/>
      <c r="G12" s="4186">
        <f>+SUMIF(WRM!$C$7:$C$127,$D12,WRM!$F$7:$F$127)</f>
        <v>1096.75</v>
      </c>
      <c r="H12" s="4186"/>
      <c r="I12" s="4186">
        <f>+SUMIF(WRM!$C$7:$C$127,$D12,WRM!$H$7:$H$127)</f>
        <v>223.45000000000002</v>
      </c>
      <c r="J12" s="4187"/>
      <c r="K12" s="4187">
        <f t="shared" si="1"/>
        <v>1320.2</v>
      </c>
      <c r="L12" s="4186"/>
      <c r="M12" s="4186">
        <f>+SUMIF(WRM!$C$7:$C$127,$D12,WRM!$L$7:$L$127)</f>
        <v>699.05000000000007</v>
      </c>
      <c r="N12" s="4188"/>
      <c r="O12" s="4188">
        <f t="shared" si="2"/>
        <v>2019.25</v>
      </c>
      <c r="P12" s="4186"/>
      <c r="Q12" s="4186">
        <f>+SUMIF(WRM!$C$7:$C$127,$D12,WRM!$P$7:$P$127)</f>
        <v>455.09999999999997</v>
      </c>
      <c r="R12" s="4189"/>
      <c r="S12" s="4187">
        <f t="shared" si="3"/>
        <v>2474.35</v>
      </c>
      <c r="T12" s="4186"/>
      <c r="U12" s="4186">
        <f>+SUMIF(WRM!$C$7:$C$127,$D12,WRM!$T$7:$T$127)</f>
        <v>1242.3</v>
      </c>
      <c r="V12" s="4189"/>
      <c r="W12" s="4187">
        <f t="shared" si="4"/>
        <v>3716.6499999999996</v>
      </c>
      <c r="X12" s="4190"/>
      <c r="Y12" s="4204">
        <f>+SUMIF(WRM!$C$7:$C$127,$D12,WRM!$X$7:$X$127)</f>
        <v>742.1</v>
      </c>
      <c r="Z12" s="4188"/>
      <c r="AA12" s="4188">
        <f t="shared" si="5"/>
        <v>2439.5</v>
      </c>
      <c r="AB12" s="4191"/>
      <c r="AC12" s="4192">
        <f t="shared" si="6"/>
        <v>4458.75</v>
      </c>
      <c r="AD12" s="4186"/>
      <c r="AE12" s="4204">
        <f>+SUMIF(WRM!$C$7:$C$127,$D12,WRM!$AD$7:$AD$127)</f>
        <v>0</v>
      </c>
      <c r="AF12" s="4189"/>
      <c r="AG12" s="4187">
        <f t="shared" si="7"/>
        <v>4458.75</v>
      </c>
      <c r="AH12" s="4186"/>
      <c r="AI12" s="4186">
        <f>+SUMIF(WRM!$C$7:$C$127,$D12,WRM!$AH$7:$AH$127)</f>
        <v>1869.6</v>
      </c>
      <c r="AJ12" s="4189"/>
      <c r="AK12" s="4187">
        <f t="shared" si="8"/>
        <v>6328.35</v>
      </c>
      <c r="AL12" s="4186"/>
      <c r="AM12" s="4186">
        <f>+SUMIF(WRM!$C$7:$C$127,$D12,WRM!$AL$7:$AL$127)</f>
        <v>399.75</v>
      </c>
      <c r="AN12" s="4321"/>
      <c r="AO12" s="4188">
        <f t="shared" si="9"/>
        <v>2269.35</v>
      </c>
      <c r="AP12" s="4189"/>
      <c r="AQ12" s="4187">
        <f t="shared" si="0"/>
        <v>6728.1</v>
      </c>
      <c r="AR12" s="4186"/>
      <c r="AS12" s="4186">
        <f>+SUMIF(WRM!$C$7:$C$127,$D12,WRM!$AR$7:$AR$127)</f>
        <v>655.99999999999989</v>
      </c>
      <c r="AT12" s="4189"/>
      <c r="AU12" s="4187">
        <f t="shared" si="10"/>
        <v>7384.1</v>
      </c>
      <c r="AV12" s="4186"/>
      <c r="AW12" s="4186">
        <f>+SUMIF(WRM!$C$7:$C$127,$D12,WRM!$AV$7:$AV$127)</f>
        <v>979.90000000000009</v>
      </c>
      <c r="AX12" s="4189"/>
      <c r="AY12" s="4187">
        <f t="shared" si="11"/>
        <v>8364</v>
      </c>
      <c r="AZ12" s="4186"/>
      <c r="BA12" s="4186">
        <f>+SUMIF(WRM!$C$7:$C$127,$D12,WRM!$AZ$7:$AZ$127)</f>
        <v>186.55</v>
      </c>
      <c r="BB12" s="4321"/>
      <c r="BC12" s="4188">
        <f t="shared" si="12"/>
        <v>1822.45</v>
      </c>
      <c r="BD12" s="4191"/>
      <c r="BE12" s="4192">
        <f t="shared" si="13"/>
        <v>4091.8</v>
      </c>
      <c r="BF12" s="4189"/>
      <c r="BG12" s="4187">
        <f t="shared" si="14"/>
        <v>8550.5499999999993</v>
      </c>
      <c r="BH12" s="26">
        <f t="shared" si="15"/>
        <v>0</v>
      </c>
      <c r="BI12" s="26"/>
    </row>
    <row r="13" spans="3:61" ht="16.8" x14ac:dyDescent="0.3">
      <c r="C13" s="4184" t="s">
        <v>16</v>
      </c>
      <c r="D13" s="4185" t="s">
        <v>1582</v>
      </c>
      <c r="E13" s="6360"/>
      <c r="F13" s="4184"/>
      <c r="G13" s="4186">
        <f>+SUMIF(WRM!$C$7:$C$127,$D13,WRM!$F$7:$F$127)</f>
        <v>0</v>
      </c>
      <c r="H13" s="4186"/>
      <c r="I13" s="4186">
        <f>+SUMIF(WRM!$C$7:$C$127,$D13,WRM!$H$7:$H$127)</f>
        <v>0</v>
      </c>
      <c r="J13" s="4187"/>
      <c r="K13" s="4187">
        <f t="shared" si="1"/>
        <v>0</v>
      </c>
      <c r="L13" s="4186"/>
      <c r="M13" s="4186">
        <f>+SUMIF(WRM!$C$7:$C$127,$D13,WRM!$L$7:$L$127)</f>
        <v>0</v>
      </c>
      <c r="N13" s="4188"/>
      <c r="O13" s="4188">
        <f t="shared" si="2"/>
        <v>0</v>
      </c>
      <c r="P13" s="4186"/>
      <c r="Q13" s="4186">
        <f>+SUMIF(WRM!$C$7:$C$127,$D13,WRM!$P$7:$P$127)</f>
        <v>0</v>
      </c>
      <c r="R13" s="4189"/>
      <c r="S13" s="4187">
        <f t="shared" si="3"/>
        <v>0</v>
      </c>
      <c r="T13" s="4186"/>
      <c r="U13" s="4186">
        <f>+SUMIF(WRM!$C$7:$C$127,$D13,WRM!$T$7:$T$127)</f>
        <v>0</v>
      </c>
      <c r="V13" s="4189"/>
      <c r="W13" s="4187">
        <f t="shared" si="4"/>
        <v>0</v>
      </c>
      <c r="X13" s="4190"/>
      <c r="Y13" s="4204">
        <f>+SUMIF(WRM!$C$7:$C$127,$D13,WRM!$X$7:$X$127)</f>
        <v>0</v>
      </c>
      <c r="Z13" s="4188"/>
      <c r="AA13" s="4188">
        <f t="shared" si="5"/>
        <v>0</v>
      </c>
      <c r="AB13" s="4191"/>
      <c r="AC13" s="4192">
        <f t="shared" si="6"/>
        <v>0</v>
      </c>
      <c r="AD13" s="4186"/>
      <c r="AE13" s="4204">
        <f>+SUMIF(WRM!$C$7:$C$127,$D13,WRM!$AD$7:$AD$127)</f>
        <v>0</v>
      </c>
      <c r="AF13" s="4189"/>
      <c r="AG13" s="4187">
        <f t="shared" si="7"/>
        <v>0</v>
      </c>
      <c r="AH13" s="4186"/>
      <c r="AI13" s="4186">
        <f>+SUMIF(WRM!$C$7:$C$127,$D13,WRM!$AH$7:$AH$127)</f>
        <v>0</v>
      </c>
      <c r="AJ13" s="4189"/>
      <c r="AK13" s="4187">
        <f t="shared" si="8"/>
        <v>0</v>
      </c>
      <c r="AL13" s="4186"/>
      <c r="AM13" s="4186">
        <f>+SUMIF(WRM!$C$7:$C$127,$D13,WRM!$AL$7:$AL$127)</f>
        <v>0</v>
      </c>
      <c r="AN13" s="4321"/>
      <c r="AO13" s="4188">
        <f t="shared" si="9"/>
        <v>0</v>
      </c>
      <c r="AP13" s="4189"/>
      <c r="AQ13" s="4187">
        <f t="shared" si="0"/>
        <v>0</v>
      </c>
      <c r="AR13" s="4186"/>
      <c r="AS13" s="4186">
        <f>+SUMIF(WRM!$C$7:$C$127,$D13,WRM!$AR$7:$AR$127)</f>
        <v>0</v>
      </c>
      <c r="AT13" s="4189"/>
      <c r="AU13" s="4187">
        <f t="shared" si="10"/>
        <v>0</v>
      </c>
      <c r="AV13" s="4186"/>
      <c r="AW13" s="4186">
        <f>+SUMIF(WRM!$C$7:$C$127,$D13,WRM!$AV$7:$AV$127)</f>
        <v>0</v>
      </c>
      <c r="AX13" s="4189"/>
      <c r="AY13" s="4187">
        <f t="shared" si="11"/>
        <v>0</v>
      </c>
      <c r="AZ13" s="4186"/>
      <c r="BA13" s="4186">
        <f>+SUMIF(WRM!$C$7:$C$127,$D13,WRM!$AZ$7:$AZ$127)</f>
        <v>0</v>
      </c>
      <c r="BB13" s="4321"/>
      <c r="BC13" s="4188">
        <f t="shared" si="12"/>
        <v>0</v>
      </c>
      <c r="BD13" s="4191"/>
      <c r="BE13" s="4192">
        <f t="shared" si="13"/>
        <v>0</v>
      </c>
      <c r="BF13" s="4189"/>
      <c r="BG13" s="4187">
        <f t="shared" si="14"/>
        <v>0</v>
      </c>
      <c r="BH13" s="26">
        <f t="shared" si="15"/>
        <v>0</v>
      </c>
      <c r="BI13" s="26"/>
    </row>
    <row r="14" spans="3:61" ht="16.8" x14ac:dyDescent="0.3">
      <c r="C14" s="4193" t="s">
        <v>16</v>
      </c>
      <c r="D14" s="4194" t="s">
        <v>965</v>
      </c>
      <c r="E14" s="6360"/>
      <c r="F14" s="4193"/>
      <c r="G14" s="4186">
        <f>+SUMIF(WRM!$C$7:$C$127,$D14,WRM!$F$7:$F$127)</f>
        <v>559.65</v>
      </c>
      <c r="H14" s="4195"/>
      <c r="I14" s="4186">
        <f>+SUMIF(WRM!$C$7:$C$127,$D14,WRM!$H$7:$H$127)</f>
        <v>565.79999999999995</v>
      </c>
      <c r="J14" s="4197"/>
      <c r="K14" s="4187">
        <f t="shared" si="1"/>
        <v>1125.4499999999998</v>
      </c>
      <c r="L14" s="4195"/>
      <c r="M14" s="4186">
        <f>+SUMIF(WRM!$C$7:$C$127,$D14,WRM!$L$7:$L$127)</f>
        <v>502.24999999999994</v>
      </c>
      <c r="N14" s="4196"/>
      <c r="O14" s="4188">
        <f t="shared" si="2"/>
        <v>1627.6999999999998</v>
      </c>
      <c r="P14" s="4195"/>
      <c r="Q14" s="4186">
        <f>+SUMIF(WRM!$C$7:$C$127,$D14,WRM!$P$7:$P$127)</f>
        <v>338.25</v>
      </c>
      <c r="R14" s="4189"/>
      <c r="S14" s="4187">
        <f t="shared" si="3"/>
        <v>1965.9499999999998</v>
      </c>
      <c r="T14" s="4195"/>
      <c r="U14" s="4186">
        <f>+SUMIF(WRM!$C$7:$C$127,$D14,WRM!$T$7:$T$127)</f>
        <v>338.25</v>
      </c>
      <c r="V14" s="4189"/>
      <c r="W14" s="4187">
        <f t="shared" si="4"/>
        <v>2304.1999999999998</v>
      </c>
      <c r="X14" s="4190"/>
      <c r="Y14" s="4204">
        <f>+SUMIF(WRM!$C$7:$C$127,$D14,WRM!$X$7:$X$127)</f>
        <v>319.8</v>
      </c>
      <c r="Z14" s="4196"/>
      <c r="AA14" s="4188">
        <f t="shared" si="5"/>
        <v>996.3</v>
      </c>
      <c r="AB14" s="4191"/>
      <c r="AC14" s="4192">
        <f t="shared" si="6"/>
        <v>2624</v>
      </c>
      <c r="AD14" s="4195"/>
      <c r="AE14" s="4204">
        <f>+SUMIF(WRM!$C$7:$C$127,$D14,WRM!$AD$7:$AD$127)</f>
        <v>0</v>
      </c>
      <c r="AF14" s="4189"/>
      <c r="AG14" s="4187">
        <f t="shared" si="7"/>
        <v>2624</v>
      </c>
      <c r="AH14" s="4195"/>
      <c r="AI14" s="4186">
        <f>+SUMIF(WRM!$C$7:$C$127,$D14,WRM!$AH$7:$AH$127)</f>
        <v>0</v>
      </c>
      <c r="AJ14" s="4189"/>
      <c r="AK14" s="4187">
        <f t="shared" si="8"/>
        <v>2624</v>
      </c>
      <c r="AL14" s="4195"/>
      <c r="AM14" s="4186">
        <f>+SUMIF(WRM!$C$7:$C$127,$D14,WRM!$AL$7:$AL$127)</f>
        <v>709.30000000000007</v>
      </c>
      <c r="AN14" s="4321"/>
      <c r="AO14" s="4188">
        <f t="shared" si="9"/>
        <v>709.30000000000007</v>
      </c>
      <c r="AP14" s="4189"/>
      <c r="AQ14" s="4187">
        <f t="shared" si="0"/>
        <v>3333.3</v>
      </c>
      <c r="AR14" s="4195"/>
      <c r="AS14" s="4186">
        <f>+SUMIF(WRM!$C$7:$C$127,$D14,WRM!$AR$7:$AR$127)</f>
        <v>699.05</v>
      </c>
      <c r="AT14" s="4189"/>
      <c r="AU14" s="4187">
        <f t="shared" si="10"/>
        <v>4032.3500000000004</v>
      </c>
      <c r="AV14" s="4195"/>
      <c r="AW14" s="4186">
        <f>+SUMIF(WRM!$C$7:$C$127,$D14,WRM!$AV$7:$AV$127)</f>
        <v>0</v>
      </c>
      <c r="AX14" s="4189"/>
      <c r="AY14" s="4187">
        <f t="shared" si="11"/>
        <v>4032.3500000000004</v>
      </c>
      <c r="AZ14" s="4195"/>
      <c r="BA14" s="4186">
        <f>+SUMIF(WRM!$C$7:$C$127,$D14,WRM!$AZ$7:$AZ$127)</f>
        <v>120.95</v>
      </c>
      <c r="BB14" s="4321"/>
      <c r="BC14" s="4188">
        <f t="shared" si="12"/>
        <v>820</v>
      </c>
      <c r="BD14" s="4191"/>
      <c r="BE14" s="4192">
        <f t="shared" si="13"/>
        <v>1529.3000000000002</v>
      </c>
      <c r="BF14" s="4189"/>
      <c r="BG14" s="4187">
        <f t="shared" si="14"/>
        <v>4153.3</v>
      </c>
      <c r="BH14" s="26">
        <f t="shared" si="15"/>
        <v>0</v>
      </c>
      <c r="BI14" s="26"/>
    </row>
    <row r="15" spans="3:61" ht="16.8" x14ac:dyDescent="0.3">
      <c r="C15" s="4184" t="s">
        <v>16</v>
      </c>
      <c r="D15" s="4185" t="s">
        <v>964</v>
      </c>
      <c r="E15" s="6360"/>
      <c r="F15" s="4184"/>
      <c r="G15" s="4186">
        <f>+SUMIF(WRM!$C$7:$C$127,$D15,WRM!$F$7:$F$127)</f>
        <v>596.54999999999995</v>
      </c>
      <c r="H15" s="4186"/>
      <c r="I15" s="4186">
        <f>+SUMIF(WRM!$C$7:$C$127,$D15,WRM!$H$7:$H$127)</f>
        <v>906.1</v>
      </c>
      <c r="J15" s="4187"/>
      <c r="K15" s="4187">
        <f t="shared" si="1"/>
        <v>1502.65</v>
      </c>
      <c r="L15" s="4186"/>
      <c r="M15" s="4186">
        <f>+SUMIF(WRM!$C$7:$C$127,$D15,WRM!$L$7:$L$127)</f>
        <v>1012.7</v>
      </c>
      <c r="N15" s="4188"/>
      <c r="O15" s="4188">
        <f t="shared" si="2"/>
        <v>2515.3500000000004</v>
      </c>
      <c r="P15" s="4186"/>
      <c r="Q15" s="4186">
        <f>+SUMIF(WRM!$C$7:$C$127,$D15,WRM!$P$7:$P$127)</f>
        <v>1246.3999999999999</v>
      </c>
      <c r="R15" s="4189"/>
      <c r="S15" s="4187">
        <f t="shared" si="3"/>
        <v>3761.75</v>
      </c>
      <c r="T15" s="4186"/>
      <c r="U15" s="4186">
        <f>+SUMIF(WRM!$C$7:$C$127,$D15,WRM!$T$7:$T$127)</f>
        <v>1609.25</v>
      </c>
      <c r="V15" s="4189"/>
      <c r="W15" s="4187">
        <f t="shared" si="4"/>
        <v>5371</v>
      </c>
      <c r="X15" s="4190"/>
      <c r="Y15" s="4204">
        <f>+SUMIF(WRM!$C$7:$C$127,$D15,WRM!$X$7:$X$127)</f>
        <v>1783.5</v>
      </c>
      <c r="Z15" s="4188"/>
      <c r="AA15" s="4188">
        <f t="shared" si="5"/>
        <v>4639.1499999999996</v>
      </c>
      <c r="AB15" s="4191"/>
      <c r="AC15" s="4192">
        <f t="shared" si="6"/>
        <v>7154.5</v>
      </c>
      <c r="AD15" s="4186"/>
      <c r="AE15" s="4204">
        <f>+SUMIF(WRM!$C$7:$C$127,$D15,WRM!$AD$7:$AD$127)</f>
        <v>813.85</v>
      </c>
      <c r="AF15" s="4189"/>
      <c r="AG15" s="4187">
        <f t="shared" si="7"/>
        <v>7968.35</v>
      </c>
      <c r="AH15" s="4186"/>
      <c r="AI15" s="4186">
        <f>+SUMIF(WRM!$C$7:$C$127,$D15,WRM!$AH$7:$AH$127)</f>
        <v>1603.1000000000001</v>
      </c>
      <c r="AJ15" s="4189"/>
      <c r="AK15" s="4187">
        <f t="shared" si="8"/>
        <v>9571.4500000000007</v>
      </c>
      <c r="AL15" s="4186"/>
      <c r="AM15" s="4186">
        <f>+SUMIF(WRM!$C$7:$C$127,$D15,WRM!$AL$7:$AL$127)</f>
        <v>1227.9500000000003</v>
      </c>
      <c r="AN15" s="4321"/>
      <c r="AO15" s="4188">
        <f t="shared" si="9"/>
        <v>3644.9000000000005</v>
      </c>
      <c r="AP15" s="4189"/>
      <c r="AQ15" s="4187">
        <f t="shared" si="0"/>
        <v>10799.400000000001</v>
      </c>
      <c r="AR15" s="4186"/>
      <c r="AS15" s="4186">
        <f>+SUMIF(WRM!$C$7:$C$127,$D15,WRM!$AR$7:$AR$127)</f>
        <v>2457.9500000000003</v>
      </c>
      <c r="AT15" s="4189"/>
      <c r="AU15" s="4187">
        <f t="shared" si="10"/>
        <v>13257.350000000002</v>
      </c>
      <c r="AV15" s="4186"/>
      <c r="AW15" s="4186">
        <f>+SUMIF(WRM!$C$7:$C$127,$D15,WRM!$AV$7:$AV$127)</f>
        <v>1457.5500000000004</v>
      </c>
      <c r="AX15" s="4189"/>
      <c r="AY15" s="4187">
        <f t="shared" si="11"/>
        <v>14714.900000000003</v>
      </c>
      <c r="AZ15" s="4186"/>
      <c r="BA15" s="4186">
        <f>+SUMIF(WRM!$C$7:$C$127,$D15,WRM!$AZ$7:$AZ$127)</f>
        <v>1371.4499999999998</v>
      </c>
      <c r="BB15" s="4321"/>
      <c r="BC15" s="4188">
        <f t="shared" si="12"/>
        <v>5286.9500000000007</v>
      </c>
      <c r="BD15" s="4191"/>
      <c r="BE15" s="4192">
        <f t="shared" si="13"/>
        <v>8931.8500000000022</v>
      </c>
      <c r="BF15" s="4189"/>
      <c r="BG15" s="4187">
        <f t="shared" si="14"/>
        <v>16086.350000000002</v>
      </c>
      <c r="BH15" s="26">
        <f t="shared" si="15"/>
        <v>0</v>
      </c>
      <c r="BI15" s="26"/>
    </row>
    <row r="16" spans="3:61" ht="16.8" x14ac:dyDescent="0.3">
      <c r="C16" s="4184" t="s">
        <v>16</v>
      </c>
      <c r="D16" s="4185" t="s">
        <v>1126</v>
      </c>
      <c r="E16" s="6360"/>
      <c r="F16" s="4184"/>
      <c r="G16" s="4186">
        <f>+SUMIF(WRM!$C$7:$C$127,$D16,WRM!$F$7:$F$127)</f>
        <v>252.14999999999998</v>
      </c>
      <c r="H16" s="4186"/>
      <c r="I16" s="4186">
        <f>+SUMIF(WRM!$C$7:$C$127,$D16,WRM!$H$7:$H$127)</f>
        <v>243.95000000000002</v>
      </c>
      <c r="J16" s="4187"/>
      <c r="K16" s="4187">
        <f t="shared" si="1"/>
        <v>496.1</v>
      </c>
      <c r="L16" s="4186"/>
      <c r="M16" s="4186">
        <f>+SUMIF(WRM!$C$7:$C$127,$D16,WRM!$L$7:$L$127)</f>
        <v>0</v>
      </c>
      <c r="N16" s="4188"/>
      <c r="O16" s="4188">
        <f t="shared" si="2"/>
        <v>496.1</v>
      </c>
      <c r="P16" s="4186"/>
      <c r="Q16" s="4186">
        <f>+SUMIF(WRM!$C$7:$C$127,$D16,WRM!$P$7:$P$127)</f>
        <v>202.95</v>
      </c>
      <c r="R16" s="4189"/>
      <c r="S16" s="4187">
        <f t="shared" si="3"/>
        <v>699.05</v>
      </c>
      <c r="T16" s="4186"/>
      <c r="U16" s="4186">
        <f>+SUMIF(WRM!$C$7:$C$127,$D16,WRM!$T$7:$T$127)</f>
        <v>399.74999999999994</v>
      </c>
      <c r="V16" s="4189"/>
      <c r="W16" s="4187">
        <f t="shared" si="4"/>
        <v>1098.8</v>
      </c>
      <c r="X16" s="4190"/>
      <c r="Y16" s="4204">
        <f>+SUMIF(WRM!$C$7:$C$127,$D16,WRM!$X$7:$X$127)</f>
        <v>0</v>
      </c>
      <c r="Z16" s="4188"/>
      <c r="AA16" s="4188">
        <f t="shared" si="5"/>
        <v>602.69999999999993</v>
      </c>
      <c r="AB16" s="4191"/>
      <c r="AC16" s="4192">
        <f t="shared" si="6"/>
        <v>1098.8</v>
      </c>
      <c r="AD16" s="4186"/>
      <c r="AE16" s="4204">
        <f>+SUMIF(WRM!$C$7:$C$127,$D16,WRM!$AD$7:$AD$127)</f>
        <v>0</v>
      </c>
      <c r="AF16" s="4189"/>
      <c r="AG16" s="4187">
        <f t="shared" si="7"/>
        <v>1098.8</v>
      </c>
      <c r="AH16" s="4186"/>
      <c r="AI16" s="4186">
        <f>+SUMIF(WRM!$C$7:$C$127,$D16,WRM!$AH$7:$AH$127)</f>
        <v>0</v>
      </c>
      <c r="AJ16" s="4189"/>
      <c r="AK16" s="4187">
        <f t="shared" si="8"/>
        <v>1098.8</v>
      </c>
      <c r="AL16" s="4186"/>
      <c r="AM16" s="4186">
        <f>+SUMIF(WRM!$C$7:$C$127,$D16,WRM!$AL$7:$AL$127)</f>
        <v>340.3</v>
      </c>
      <c r="AN16" s="4321"/>
      <c r="AO16" s="4188">
        <f t="shared" si="9"/>
        <v>340.3</v>
      </c>
      <c r="AP16" s="4189"/>
      <c r="AQ16" s="4187">
        <f t="shared" si="0"/>
        <v>1439.1</v>
      </c>
      <c r="AR16" s="4186"/>
      <c r="AS16" s="4186">
        <f>+SUMIF(WRM!$C$7:$C$127,$D16,WRM!$AR$7:$AR$127)</f>
        <v>594.5</v>
      </c>
      <c r="AT16" s="4189"/>
      <c r="AU16" s="4187">
        <f t="shared" si="10"/>
        <v>2033.6</v>
      </c>
      <c r="AV16" s="4186"/>
      <c r="AW16" s="4186">
        <f>+SUMIF(WRM!$C$7:$C$127,$D16,WRM!$AV$7:$AV$127)</f>
        <v>291.10000000000002</v>
      </c>
      <c r="AX16" s="4189"/>
      <c r="AY16" s="4187">
        <f t="shared" si="11"/>
        <v>2324.6999999999998</v>
      </c>
      <c r="AZ16" s="4186"/>
      <c r="BA16" s="4186">
        <f>+SUMIF(WRM!$C$7:$C$127,$D16,WRM!$AZ$7:$AZ$127)</f>
        <v>0</v>
      </c>
      <c r="BB16" s="4321"/>
      <c r="BC16" s="4188">
        <f t="shared" si="12"/>
        <v>885.6</v>
      </c>
      <c r="BD16" s="4191"/>
      <c r="BE16" s="4192">
        <f t="shared" si="13"/>
        <v>1225.9000000000001</v>
      </c>
      <c r="BF16" s="4189"/>
      <c r="BG16" s="4187">
        <f t="shared" si="14"/>
        <v>2324.6999999999998</v>
      </c>
      <c r="BH16" s="26">
        <f t="shared" si="15"/>
        <v>0</v>
      </c>
      <c r="BI16" s="26"/>
    </row>
    <row r="17" spans="3:61" ht="16.8" x14ac:dyDescent="0.3">
      <c r="C17" s="4184" t="s">
        <v>16</v>
      </c>
      <c r="D17" s="4185" t="s">
        <v>966</v>
      </c>
      <c r="E17" s="6360"/>
      <c r="F17" s="4184"/>
      <c r="G17" s="4186">
        <f>+SUMIF(WRM!$C$7:$C$127,$D17,WRM!$F$7:$F$127)</f>
        <v>1332.4999999999995</v>
      </c>
      <c r="H17" s="4186"/>
      <c r="I17" s="4186">
        <f>+SUMIF(WRM!$C$7:$C$127,$D17,WRM!$H$7:$H$127)</f>
        <v>2177.1</v>
      </c>
      <c r="J17" s="4187"/>
      <c r="K17" s="4187">
        <f t="shared" si="1"/>
        <v>3509.5999999999995</v>
      </c>
      <c r="L17" s="4186"/>
      <c r="M17" s="4186">
        <f>+SUMIF(WRM!$C$7:$C$127,$D17,WRM!$L$7:$L$127)</f>
        <v>1922.8999999999994</v>
      </c>
      <c r="N17" s="4188"/>
      <c r="O17" s="4188">
        <f t="shared" si="2"/>
        <v>5432.4999999999991</v>
      </c>
      <c r="P17" s="4186"/>
      <c r="Q17" s="4186">
        <f>+SUMIF(WRM!$C$7:$C$127,$D17,WRM!$P$7:$P$127)</f>
        <v>1215.6499999999999</v>
      </c>
      <c r="R17" s="4189"/>
      <c r="S17" s="4187">
        <f t="shared" si="3"/>
        <v>6648.1499999999987</v>
      </c>
      <c r="T17" s="4186"/>
      <c r="U17" s="4186">
        <f>+SUMIF(WRM!$C$7:$C$127,$D17,WRM!$T$7:$T$127)</f>
        <v>2285.7500000000005</v>
      </c>
      <c r="V17" s="4189"/>
      <c r="W17" s="4187">
        <f t="shared" si="4"/>
        <v>8933.9</v>
      </c>
      <c r="X17" s="4190"/>
      <c r="Y17" s="4204">
        <f>+SUMIF(WRM!$C$7:$C$127,$D17,WRM!$X$7:$X$127)</f>
        <v>1029.0999999999999</v>
      </c>
      <c r="Z17" s="4188"/>
      <c r="AA17" s="4188">
        <f t="shared" si="5"/>
        <v>4530.5</v>
      </c>
      <c r="AB17" s="4191"/>
      <c r="AC17" s="4192">
        <f t="shared" si="6"/>
        <v>9963</v>
      </c>
      <c r="AD17" s="4186"/>
      <c r="AE17" s="4204">
        <f>+SUMIF(WRM!$C$7:$C$127,$D17,WRM!$AD$7:$AD$127)</f>
        <v>861.00000000000023</v>
      </c>
      <c r="AF17" s="4189"/>
      <c r="AG17" s="4187">
        <f t="shared" si="7"/>
        <v>10824</v>
      </c>
      <c r="AH17" s="4186"/>
      <c r="AI17" s="4186">
        <f>+SUMIF(WRM!$C$7:$C$127,$D17,WRM!$AH$7:$AH$127)</f>
        <v>2410.8000000000002</v>
      </c>
      <c r="AJ17" s="4189"/>
      <c r="AK17" s="4187">
        <f t="shared" si="8"/>
        <v>13234.8</v>
      </c>
      <c r="AL17" s="4186"/>
      <c r="AM17" s="4186">
        <f>+SUMIF(WRM!$C$7:$C$127,$D17,WRM!$AL$7:$AL$127)</f>
        <v>711.34999999999991</v>
      </c>
      <c r="AN17" s="4321"/>
      <c r="AO17" s="4188">
        <f t="shared" si="9"/>
        <v>3983.15</v>
      </c>
      <c r="AP17" s="4189"/>
      <c r="AQ17" s="4187">
        <f t="shared" si="0"/>
        <v>13946.15</v>
      </c>
      <c r="AR17" s="4186"/>
      <c r="AS17" s="4186">
        <f>+SUMIF(WRM!$C$7:$C$127,$D17,WRM!$AR$7:$AR$127)</f>
        <v>2103.3000000000002</v>
      </c>
      <c r="AT17" s="4189"/>
      <c r="AU17" s="4187">
        <f t="shared" si="10"/>
        <v>16049.45</v>
      </c>
      <c r="AV17" s="4186"/>
      <c r="AW17" s="4186">
        <f>+SUMIF(WRM!$C$7:$C$127,$D17,WRM!$AV$7:$AV$127)</f>
        <v>1033.1999999999998</v>
      </c>
      <c r="AX17" s="4189"/>
      <c r="AY17" s="4187">
        <f t="shared" si="11"/>
        <v>17082.650000000001</v>
      </c>
      <c r="AZ17" s="4186"/>
      <c r="BA17" s="4186">
        <f>+SUMIF(WRM!$C$7:$C$127,$D17,WRM!$AZ$7:$AZ$127)</f>
        <v>2339.0499999999997</v>
      </c>
      <c r="BB17" s="4321"/>
      <c r="BC17" s="4188">
        <f t="shared" si="12"/>
        <v>5475.5499999999993</v>
      </c>
      <c r="BD17" s="4191"/>
      <c r="BE17" s="4192">
        <f t="shared" si="13"/>
        <v>9458.6999999999989</v>
      </c>
      <c r="BF17" s="4189"/>
      <c r="BG17" s="4187">
        <f t="shared" si="14"/>
        <v>19421.7</v>
      </c>
      <c r="BH17" s="26">
        <f t="shared" si="15"/>
        <v>0</v>
      </c>
      <c r="BI17" s="26"/>
    </row>
    <row r="18" spans="3:61" ht="16.8" x14ac:dyDescent="0.3">
      <c r="C18" s="4184" t="s">
        <v>16</v>
      </c>
      <c r="D18" s="4185" t="s">
        <v>1130</v>
      </c>
      <c r="E18" s="6360"/>
      <c r="F18" s="4184"/>
      <c r="G18" s="4186">
        <f>+SUMIF(WRM!$C$7:$C$127,$D18,WRM!$F$7:$F$127)</f>
        <v>18.45</v>
      </c>
      <c r="H18" s="4186"/>
      <c r="I18" s="4186">
        <f>+SUMIF(WRM!$C$7:$C$127,$D18,WRM!$H$7:$H$127)</f>
        <v>4.0999999999999996</v>
      </c>
      <c r="J18" s="4187"/>
      <c r="K18" s="4187">
        <f t="shared" si="1"/>
        <v>22.549999999999997</v>
      </c>
      <c r="L18" s="4186"/>
      <c r="M18" s="4186">
        <f>+SUMIF(WRM!$C$7:$C$127,$D18,WRM!$L$7:$L$127)</f>
        <v>98.4</v>
      </c>
      <c r="N18" s="4188"/>
      <c r="O18" s="4188">
        <f t="shared" si="2"/>
        <v>120.95</v>
      </c>
      <c r="P18" s="4186"/>
      <c r="Q18" s="4186">
        <f>+SUMIF(WRM!$C$7:$C$127,$D18,WRM!$P$7:$P$127)</f>
        <v>6.1499999999999995</v>
      </c>
      <c r="R18" s="4189"/>
      <c r="S18" s="4187">
        <f t="shared" si="3"/>
        <v>127.10000000000001</v>
      </c>
      <c r="T18" s="4186"/>
      <c r="U18" s="4186">
        <f>+SUMIF(WRM!$C$7:$C$127,$D18,WRM!$T$7:$T$127)</f>
        <v>6.15</v>
      </c>
      <c r="V18" s="4189"/>
      <c r="W18" s="4187">
        <f t="shared" si="4"/>
        <v>133.25</v>
      </c>
      <c r="X18" s="4190"/>
      <c r="Y18" s="4204">
        <f>+SUMIF(WRM!$C$7:$C$127,$D18,WRM!$X$7:$X$127)</f>
        <v>0</v>
      </c>
      <c r="Z18" s="4188"/>
      <c r="AA18" s="4188">
        <f t="shared" si="5"/>
        <v>12.3</v>
      </c>
      <c r="AB18" s="4191"/>
      <c r="AC18" s="4192">
        <f t="shared" si="6"/>
        <v>133.25</v>
      </c>
      <c r="AD18" s="4186"/>
      <c r="AE18" s="4204">
        <f>+SUMIF(WRM!$C$7:$C$127,$D18,WRM!$AD$7:$AD$127)</f>
        <v>94.3</v>
      </c>
      <c r="AF18" s="4189"/>
      <c r="AG18" s="4187">
        <f t="shared" si="7"/>
        <v>227.55</v>
      </c>
      <c r="AH18" s="4186"/>
      <c r="AI18" s="4186">
        <f>+SUMIF(WRM!$C$7:$C$127,$D18,WRM!$AH$7:$AH$127)</f>
        <v>2.0499999999999998</v>
      </c>
      <c r="AJ18" s="4189"/>
      <c r="AK18" s="4187">
        <f t="shared" si="8"/>
        <v>229.60000000000002</v>
      </c>
      <c r="AL18" s="4186"/>
      <c r="AM18" s="4186">
        <f>+SUMIF(WRM!$C$7:$C$127,$D18,WRM!$AL$7:$AL$127)</f>
        <v>92.25</v>
      </c>
      <c r="AN18" s="4321"/>
      <c r="AO18" s="4188">
        <f t="shared" si="9"/>
        <v>188.6</v>
      </c>
      <c r="AP18" s="4189"/>
      <c r="AQ18" s="4187">
        <f t="shared" si="0"/>
        <v>321.85000000000002</v>
      </c>
      <c r="AR18" s="4186"/>
      <c r="AS18" s="4186">
        <f>+SUMIF(WRM!$C$7:$C$127,$D18,WRM!$AR$7:$AR$127)</f>
        <v>0</v>
      </c>
      <c r="AT18" s="4189"/>
      <c r="AU18" s="4187">
        <f t="shared" si="10"/>
        <v>321.85000000000002</v>
      </c>
      <c r="AV18" s="4186"/>
      <c r="AW18" s="4186">
        <f>+SUMIF(WRM!$C$7:$C$127,$D18,WRM!$AV$7:$AV$127)</f>
        <v>225.5</v>
      </c>
      <c r="AX18" s="4189"/>
      <c r="AY18" s="4187">
        <f t="shared" si="11"/>
        <v>547.35</v>
      </c>
      <c r="AZ18" s="4186"/>
      <c r="BA18" s="4186">
        <f>+SUMIF(WRM!$C$7:$C$127,$D18,WRM!$AZ$7:$AZ$127)</f>
        <v>53.3</v>
      </c>
      <c r="BB18" s="4321"/>
      <c r="BC18" s="4188">
        <f t="shared" si="12"/>
        <v>278.8</v>
      </c>
      <c r="BD18" s="4191"/>
      <c r="BE18" s="4192">
        <f t="shared" si="13"/>
        <v>467.4</v>
      </c>
      <c r="BF18" s="4189"/>
      <c r="BG18" s="4187">
        <f t="shared" si="14"/>
        <v>600.65</v>
      </c>
      <c r="BH18" s="26">
        <f t="shared" si="15"/>
        <v>0</v>
      </c>
      <c r="BI18" s="26"/>
    </row>
    <row r="19" spans="3:61" ht="16.8" x14ac:dyDescent="0.3">
      <c r="C19" s="4184" t="s">
        <v>16</v>
      </c>
      <c r="D19" s="4185" t="s">
        <v>967</v>
      </c>
      <c r="E19" s="6360"/>
      <c r="F19" s="4184"/>
      <c r="G19" s="4186">
        <f>+SUMIF(WRM!$C$7:$C$127,$D19,WRM!$F$7:$F$127)</f>
        <v>108.65</v>
      </c>
      <c r="H19" s="4186"/>
      <c r="I19" s="4186">
        <f>+SUMIF(WRM!$C$7:$C$127,$D19,WRM!$H$7:$H$127)</f>
        <v>0</v>
      </c>
      <c r="J19" s="4187"/>
      <c r="K19" s="4187">
        <f t="shared" si="1"/>
        <v>108.65</v>
      </c>
      <c r="L19" s="4186"/>
      <c r="M19" s="4186">
        <f>+SUMIF(WRM!$C$7:$C$127,$D19,WRM!$L$7:$L$127)</f>
        <v>0</v>
      </c>
      <c r="N19" s="4188"/>
      <c r="O19" s="4188">
        <f t="shared" si="2"/>
        <v>108.65</v>
      </c>
      <c r="P19" s="4186"/>
      <c r="Q19" s="4186">
        <f>+SUMIF(WRM!$C$7:$C$127,$D19,WRM!$P$7:$P$127)</f>
        <v>0</v>
      </c>
      <c r="R19" s="4189"/>
      <c r="S19" s="4187">
        <f t="shared" si="3"/>
        <v>108.65</v>
      </c>
      <c r="T19" s="4186"/>
      <c r="U19" s="4186">
        <f>+SUMIF(WRM!$C$7:$C$127,$D19,WRM!$T$7:$T$127)</f>
        <v>0</v>
      </c>
      <c r="V19" s="4189"/>
      <c r="W19" s="4187">
        <f t="shared" si="4"/>
        <v>108.65</v>
      </c>
      <c r="X19" s="4190"/>
      <c r="Y19" s="4204">
        <f>+SUMIF(WRM!$C$7:$C$127,$D19,WRM!$X$7:$X$127)</f>
        <v>0</v>
      </c>
      <c r="Z19" s="4188"/>
      <c r="AA19" s="4188">
        <f t="shared" si="5"/>
        <v>0</v>
      </c>
      <c r="AB19" s="4191"/>
      <c r="AC19" s="4192">
        <f t="shared" si="6"/>
        <v>108.65</v>
      </c>
      <c r="AD19" s="4186"/>
      <c r="AE19" s="4204">
        <f>+SUMIF(WRM!$C$7:$C$127,$D19,WRM!$AD$7:$AD$127)</f>
        <v>0</v>
      </c>
      <c r="AF19" s="4189"/>
      <c r="AG19" s="4187">
        <f t="shared" si="7"/>
        <v>108.65</v>
      </c>
      <c r="AH19" s="4186"/>
      <c r="AI19" s="4186">
        <f>+SUMIF(WRM!$C$7:$C$127,$D19,WRM!$AH$7:$AH$127)</f>
        <v>0</v>
      </c>
      <c r="AJ19" s="4189"/>
      <c r="AK19" s="4187">
        <f t="shared" si="8"/>
        <v>108.65</v>
      </c>
      <c r="AL19" s="4186"/>
      <c r="AM19" s="4186">
        <f>+SUMIF(WRM!$C$7:$C$127,$D19,WRM!$AL$7:$AL$127)</f>
        <v>82</v>
      </c>
      <c r="AN19" s="4321"/>
      <c r="AO19" s="4188">
        <f t="shared" si="9"/>
        <v>82</v>
      </c>
      <c r="AP19" s="4189"/>
      <c r="AQ19" s="4187">
        <f t="shared" si="0"/>
        <v>190.65</v>
      </c>
      <c r="AR19" s="4186"/>
      <c r="AS19" s="4186">
        <f>+SUMIF(WRM!$C$7:$C$127,$D19,WRM!$AR$7:$AR$127)</f>
        <v>0</v>
      </c>
      <c r="AT19" s="4189"/>
      <c r="AU19" s="4187">
        <f t="shared" si="10"/>
        <v>190.65</v>
      </c>
      <c r="AV19" s="4186"/>
      <c r="AW19" s="4186">
        <f>+SUMIF(WRM!$C$7:$C$127,$D19,WRM!$AV$7:$AV$127)</f>
        <v>375.15</v>
      </c>
      <c r="AX19" s="4189"/>
      <c r="AY19" s="4187">
        <f t="shared" si="11"/>
        <v>565.79999999999995</v>
      </c>
      <c r="AZ19" s="4186"/>
      <c r="BA19" s="4186">
        <f>+SUMIF(WRM!$C$7:$C$127,$D19,WRM!$AZ$7:$AZ$127)</f>
        <v>0</v>
      </c>
      <c r="BB19" s="4321"/>
      <c r="BC19" s="4188">
        <f t="shared" si="12"/>
        <v>375.15</v>
      </c>
      <c r="BD19" s="4191"/>
      <c r="BE19" s="4192">
        <f t="shared" si="13"/>
        <v>457.15</v>
      </c>
      <c r="BF19" s="4189"/>
      <c r="BG19" s="4187">
        <f t="shared" si="14"/>
        <v>565.79999999999995</v>
      </c>
      <c r="BH19" s="26">
        <f t="shared" si="15"/>
        <v>0</v>
      </c>
      <c r="BI19" s="26"/>
    </row>
    <row r="20" spans="3:61" ht="16.8" x14ac:dyDescent="0.3">
      <c r="C20" s="4184" t="s">
        <v>16</v>
      </c>
      <c r="D20" s="4285" t="s">
        <v>1844</v>
      </c>
      <c r="E20" s="6360"/>
      <c r="F20" s="4273"/>
      <c r="G20" s="4186">
        <f>+SUMIF(WRM!$C$7:$C$127,$D20,WRM!$F$7:$F$127)</f>
        <v>0</v>
      </c>
      <c r="H20" s="4307"/>
      <c r="I20" s="4186">
        <f>+SUMIF(WRM!$C$7:$C$127,$D20,WRM!$H$7:$H$127)</f>
        <v>0</v>
      </c>
      <c r="J20" s="4275"/>
      <c r="K20" s="4187">
        <f t="shared" si="1"/>
        <v>0</v>
      </c>
      <c r="L20" s="4307"/>
      <c r="M20" s="4186">
        <f>+SUMIF(WRM!$C$7:$C$127,$D20,WRM!$L$7:$L$127)</f>
        <v>79.95</v>
      </c>
      <c r="N20" s="4276"/>
      <c r="O20" s="4188">
        <f t="shared" si="2"/>
        <v>79.95</v>
      </c>
      <c r="P20" s="4307"/>
      <c r="Q20" s="4186">
        <f>+SUMIF(WRM!$C$7:$C$127,$D20,WRM!$P$7:$P$127)</f>
        <v>0</v>
      </c>
      <c r="R20" s="4189"/>
      <c r="S20" s="4187">
        <f t="shared" si="3"/>
        <v>79.95</v>
      </c>
      <c r="T20" s="4307"/>
      <c r="U20" s="4186">
        <f>+SUMIF(WRM!$C$7:$C$127,$D20,WRM!$T$7:$T$127)</f>
        <v>0</v>
      </c>
      <c r="V20" s="4189"/>
      <c r="W20" s="4187">
        <f t="shared" si="4"/>
        <v>79.95</v>
      </c>
      <c r="X20" s="4308"/>
      <c r="Y20" s="4204">
        <f>+SUMIF(WRM!$C$7:$C$127,$D20,WRM!$X$7:$X$127)</f>
        <v>0</v>
      </c>
      <c r="Z20" s="4276"/>
      <c r="AA20" s="4188">
        <f t="shared" si="5"/>
        <v>0</v>
      </c>
      <c r="AB20" s="4277"/>
      <c r="AC20" s="4192">
        <f t="shared" si="6"/>
        <v>79.95</v>
      </c>
      <c r="AD20" s="4307"/>
      <c r="AE20" s="4204">
        <f>+SUMIF(WRM!$C$7:$C$127,$D20,WRM!$AD$7:$AD$127)</f>
        <v>0</v>
      </c>
      <c r="AF20" s="4189"/>
      <c r="AG20" s="4187">
        <f t="shared" si="7"/>
        <v>79.95</v>
      </c>
      <c r="AH20" s="4307"/>
      <c r="AI20" s="4186">
        <f>+SUMIF(WRM!$C$7:$C$127,$D20,WRM!$AH$7:$AH$127)</f>
        <v>0</v>
      </c>
      <c r="AJ20" s="4189"/>
      <c r="AK20" s="4187">
        <f t="shared" si="8"/>
        <v>79.95</v>
      </c>
      <c r="AL20" s="4307"/>
      <c r="AM20" s="4186">
        <f>+SUMIF(WRM!$C$7:$C$127,$D20,WRM!$AL$7:$AL$127)</f>
        <v>0</v>
      </c>
      <c r="AN20" s="4321"/>
      <c r="AO20" s="4188">
        <f t="shared" si="9"/>
        <v>0</v>
      </c>
      <c r="AP20" s="4189"/>
      <c r="AQ20" s="4187">
        <f t="shared" si="0"/>
        <v>79.95</v>
      </c>
      <c r="AR20" s="4307"/>
      <c r="AS20" s="4186">
        <f>+SUMIF(WRM!$C$7:$C$127,$D20,WRM!$AR$7:$AR$127)</f>
        <v>0</v>
      </c>
      <c r="AT20" s="4189"/>
      <c r="AU20" s="4187">
        <f t="shared" si="10"/>
        <v>79.95</v>
      </c>
      <c r="AV20" s="4307"/>
      <c r="AW20" s="4186">
        <f>+SUMIF(WRM!$C$7:$C$127,$D20,WRM!$AV$7:$AV$127)</f>
        <v>0</v>
      </c>
      <c r="AX20" s="4189"/>
      <c r="AY20" s="4187">
        <f t="shared" si="11"/>
        <v>79.95</v>
      </c>
      <c r="AZ20" s="4307"/>
      <c r="BA20" s="4186">
        <f>+SUMIF(WRM!$C$7:$C$127,$D20,WRM!$AZ$7:$AZ$127)</f>
        <v>0</v>
      </c>
      <c r="BB20" s="4321"/>
      <c r="BC20" s="4188">
        <f t="shared" si="12"/>
        <v>0</v>
      </c>
      <c r="BD20" s="4277"/>
      <c r="BE20" s="4192">
        <f t="shared" si="13"/>
        <v>0</v>
      </c>
      <c r="BF20" s="4189"/>
      <c r="BG20" s="4187">
        <f t="shared" si="14"/>
        <v>79.95</v>
      </c>
      <c r="BH20" s="26">
        <f t="shared" si="15"/>
        <v>0</v>
      </c>
      <c r="BI20" s="26"/>
    </row>
    <row r="21" spans="3:61" ht="16.8" x14ac:dyDescent="0.3">
      <c r="C21" s="4184" t="s">
        <v>16</v>
      </c>
      <c r="D21" s="4285" t="s">
        <v>1845</v>
      </c>
      <c r="E21" s="6360"/>
      <c r="F21" s="4309"/>
      <c r="G21" s="4186">
        <f>+SUMIF(WRM!$C$7:$C$127,$D21,WRM!$F$7:$F$127)</f>
        <v>498.15000000000003</v>
      </c>
      <c r="H21" s="4310"/>
      <c r="I21" s="4186">
        <f>+SUMIF(WRM!$C$7:$C$127,$D21,WRM!$H$7:$H$127)</f>
        <v>578.1</v>
      </c>
      <c r="J21" s="4311"/>
      <c r="K21" s="4187">
        <f t="shared" si="1"/>
        <v>1076.25</v>
      </c>
      <c r="L21" s="4310"/>
      <c r="M21" s="4186">
        <f>+SUMIF(WRM!$C$7:$C$127,$D21,WRM!$L$7:$L$127)</f>
        <v>434.6</v>
      </c>
      <c r="N21" s="4312"/>
      <c r="O21" s="4188">
        <f t="shared" si="2"/>
        <v>1510.85</v>
      </c>
      <c r="P21" s="4310"/>
      <c r="Q21" s="4186">
        <f>+SUMIF(WRM!$C$7:$C$127,$D21,WRM!$P$7:$P$127)</f>
        <v>0</v>
      </c>
      <c r="R21" s="4189"/>
      <c r="S21" s="4187">
        <f t="shared" si="3"/>
        <v>1510.85</v>
      </c>
      <c r="T21" s="4310"/>
      <c r="U21" s="4186">
        <f>+SUMIF(WRM!$C$7:$C$127,$D21,WRM!$T$7:$T$127)</f>
        <v>0</v>
      </c>
      <c r="V21" s="4189"/>
      <c r="W21" s="4187">
        <f t="shared" si="4"/>
        <v>1510.85</v>
      </c>
      <c r="X21" s="4313"/>
      <c r="Y21" s="4204">
        <f>+SUMIF(WRM!$C$7:$C$127,$D21,WRM!$X$7:$X$127)</f>
        <v>0</v>
      </c>
      <c r="Z21" s="4312"/>
      <c r="AA21" s="4188">
        <f t="shared" si="5"/>
        <v>0</v>
      </c>
      <c r="AB21" s="4314"/>
      <c r="AC21" s="4192">
        <f t="shared" si="6"/>
        <v>1510.85</v>
      </c>
      <c r="AD21" s="4310"/>
      <c r="AE21" s="4204">
        <f>+SUMIF(WRM!$C$7:$C$127,$D21,WRM!$AD$7:$AD$127)</f>
        <v>0</v>
      </c>
      <c r="AF21" s="4189"/>
      <c r="AG21" s="4187">
        <f t="shared" si="7"/>
        <v>1510.85</v>
      </c>
      <c r="AH21" s="4310"/>
      <c r="AI21" s="4186">
        <f>+SUMIF(WRM!$C$7:$C$127,$D21,WRM!$AH$7:$AH$127)</f>
        <v>0</v>
      </c>
      <c r="AJ21" s="4189"/>
      <c r="AK21" s="4187">
        <f t="shared" si="8"/>
        <v>1510.85</v>
      </c>
      <c r="AL21" s="4310"/>
      <c r="AM21" s="4186">
        <f>+SUMIF(WRM!$C$7:$C$127,$D21,WRM!$AL$7:$AL$127)</f>
        <v>0</v>
      </c>
      <c r="AN21" s="4321"/>
      <c r="AO21" s="4188">
        <f t="shared" si="9"/>
        <v>0</v>
      </c>
      <c r="AP21" s="4189"/>
      <c r="AQ21" s="4187">
        <f t="shared" si="0"/>
        <v>1510.85</v>
      </c>
      <c r="AR21" s="4310"/>
      <c r="AS21" s="4186">
        <f>+SUMIF(WRM!$C$7:$C$127,$D21,WRM!$AR$7:$AR$127)</f>
        <v>0</v>
      </c>
      <c r="AT21" s="4189"/>
      <c r="AU21" s="4187">
        <f t="shared" si="10"/>
        <v>1510.85</v>
      </c>
      <c r="AV21" s="4310"/>
      <c r="AW21" s="4186">
        <f>+SUMIF(WRM!$C$7:$C$127,$D21,WRM!$AV$7:$AV$127)</f>
        <v>0</v>
      </c>
      <c r="AX21" s="4189"/>
      <c r="AY21" s="4187">
        <f t="shared" si="11"/>
        <v>1510.85</v>
      </c>
      <c r="AZ21" s="4310"/>
      <c r="BA21" s="4186">
        <f>+SUMIF(WRM!$C$7:$C$127,$D21,WRM!$AZ$7:$AZ$127)</f>
        <v>0</v>
      </c>
      <c r="BB21" s="4321"/>
      <c r="BC21" s="4188">
        <f t="shared" si="12"/>
        <v>0</v>
      </c>
      <c r="BD21" s="4314"/>
      <c r="BE21" s="4192">
        <f t="shared" si="13"/>
        <v>0</v>
      </c>
      <c r="BF21" s="4189"/>
      <c r="BG21" s="4187">
        <f t="shared" si="14"/>
        <v>1510.85</v>
      </c>
      <c r="BH21" s="26">
        <f t="shared" si="15"/>
        <v>0</v>
      </c>
      <c r="BI21" s="26"/>
    </row>
    <row r="22" spans="3:61" ht="16.8" x14ac:dyDescent="0.3">
      <c r="C22" s="4184" t="s">
        <v>16</v>
      </c>
      <c r="D22" s="4285" t="s">
        <v>1808</v>
      </c>
      <c r="E22" s="6360"/>
      <c r="F22" s="4273"/>
      <c r="G22" s="4186">
        <f>+SUMIF(WRM!$C$7:$C$127,$D22,WRM!$F$7:$F$127)</f>
        <v>0</v>
      </c>
      <c r="H22" s="4307"/>
      <c r="I22" s="4186">
        <f>+SUMIF(WRM!$C$7:$C$127,$D22,WRM!$H$7:$H$127)</f>
        <v>0</v>
      </c>
      <c r="J22" s="4275"/>
      <c r="K22" s="4187">
        <f t="shared" si="1"/>
        <v>0</v>
      </c>
      <c r="L22" s="4307"/>
      <c r="M22" s="4186">
        <f>+SUMIF(WRM!$C$7:$C$127,$D22,WRM!$L$7:$L$127)</f>
        <v>0</v>
      </c>
      <c r="N22" s="4276"/>
      <c r="O22" s="4188">
        <f t="shared" si="2"/>
        <v>0</v>
      </c>
      <c r="P22" s="4307"/>
      <c r="Q22" s="4186">
        <f>+SUMIF(WRM!$C$7:$C$127,$D22,WRM!$P$7:$P$127)</f>
        <v>0</v>
      </c>
      <c r="R22" s="4189"/>
      <c r="S22" s="4187">
        <f t="shared" si="3"/>
        <v>0</v>
      </c>
      <c r="T22" s="4307"/>
      <c r="U22" s="4186">
        <f>+SUMIF(WRM!$C$7:$C$127,$D22,WRM!$T$7:$T$127)</f>
        <v>0</v>
      </c>
      <c r="V22" s="4189"/>
      <c r="W22" s="4187">
        <f t="shared" si="4"/>
        <v>0</v>
      </c>
      <c r="X22" s="4308"/>
      <c r="Y22" s="4204">
        <f>+SUMIF(WRM!$C$7:$C$127,$D22,WRM!$X$7:$X$127)</f>
        <v>0</v>
      </c>
      <c r="Z22" s="4276"/>
      <c r="AA22" s="4188">
        <f t="shared" si="5"/>
        <v>0</v>
      </c>
      <c r="AB22" s="4277"/>
      <c r="AC22" s="4192">
        <f t="shared" si="6"/>
        <v>0</v>
      </c>
      <c r="AD22" s="4307"/>
      <c r="AE22" s="4204">
        <f>+SUMIF(WRM!$C$7:$C$127,$D22,WRM!$AD$7:$AD$127)</f>
        <v>0</v>
      </c>
      <c r="AF22" s="4189"/>
      <c r="AG22" s="4187">
        <f t="shared" si="7"/>
        <v>0</v>
      </c>
      <c r="AH22" s="4307"/>
      <c r="AI22" s="4186">
        <f>+SUMIF(WRM!$C$7:$C$127,$D22,WRM!$AH$7:$AH$127)</f>
        <v>0</v>
      </c>
      <c r="AJ22" s="4189"/>
      <c r="AK22" s="4187">
        <f t="shared" si="8"/>
        <v>0</v>
      </c>
      <c r="AL22" s="4307"/>
      <c r="AM22" s="4186">
        <f>+SUMIF(WRM!$C$7:$C$127,$D22,WRM!$AL$7:$AL$127)</f>
        <v>0</v>
      </c>
      <c r="AN22" s="4321"/>
      <c r="AO22" s="4188">
        <f t="shared" si="9"/>
        <v>0</v>
      </c>
      <c r="AP22" s="4189"/>
      <c r="AQ22" s="4187">
        <f t="shared" si="0"/>
        <v>0</v>
      </c>
      <c r="AR22" s="4307"/>
      <c r="AS22" s="4186">
        <f>+SUMIF(WRM!$C$7:$C$127,$D22,WRM!$AR$7:$AR$127)</f>
        <v>0</v>
      </c>
      <c r="AT22" s="4189"/>
      <c r="AU22" s="4187">
        <f t="shared" si="10"/>
        <v>0</v>
      </c>
      <c r="AV22" s="4307"/>
      <c r="AW22" s="4186">
        <f>+SUMIF(WRM!$C$7:$C$127,$D22,WRM!$AV$7:$AV$127)</f>
        <v>0</v>
      </c>
      <c r="AX22" s="4189"/>
      <c r="AY22" s="4187">
        <f t="shared" si="11"/>
        <v>0</v>
      </c>
      <c r="AZ22" s="4307"/>
      <c r="BA22" s="4186">
        <f>+SUMIF(WRM!$C$7:$C$127,$D22,WRM!$AZ$7:$AZ$127)</f>
        <v>0</v>
      </c>
      <c r="BB22" s="4321"/>
      <c r="BC22" s="4188">
        <f t="shared" si="12"/>
        <v>0</v>
      </c>
      <c r="BD22" s="4277"/>
      <c r="BE22" s="4192">
        <f t="shared" si="13"/>
        <v>0</v>
      </c>
      <c r="BF22" s="4189"/>
      <c r="BG22" s="4187">
        <f t="shared" si="14"/>
        <v>0</v>
      </c>
      <c r="BH22" s="26">
        <f t="shared" si="15"/>
        <v>0</v>
      </c>
      <c r="BI22" s="26"/>
    </row>
    <row r="23" spans="3:61" ht="16.8" x14ac:dyDescent="0.3">
      <c r="C23" s="4184" t="s">
        <v>16</v>
      </c>
      <c r="D23" s="4185" t="s">
        <v>1565</v>
      </c>
      <c r="E23" s="6360"/>
      <c r="F23" s="4184"/>
      <c r="G23" s="4186">
        <f>+SUMIF(WRM!$C$7:$C$127,$D23,WRM!$F$7:$F$127)</f>
        <v>627.29999999999995</v>
      </c>
      <c r="H23" s="4186"/>
      <c r="I23" s="4186">
        <f>+SUMIF(WRM!$C$7:$C$127,$D23,WRM!$H$7:$H$127)</f>
        <v>0</v>
      </c>
      <c r="J23" s="4187"/>
      <c r="K23" s="4187">
        <f t="shared" si="1"/>
        <v>627.29999999999995</v>
      </c>
      <c r="L23" s="4186"/>
      <c r="M23" s="4186">
        <f>+SUMIF(WRM!$C$7:$C$127,$D23,WRM!$L$7:$L$127)</f>
        <v>0</v>
      </c>
      <c r="N23" s="4188"/>
      <c r="O23" s="4188">
        <f t="shared" si="2"/>
        <v>627.29999999999995</v>
      </c>
      <c r="P23" s="4186"/>
      <c r="Q23" s="4186">
        <f>+SUMIF(WRM!$C$7:$C$127,$D23,WRM!$P$7:$P$127)</f>
        <v>0</v>
      </c>
      <c r="R23" s="4189"/>
      <c r="S23" s="4187">
        <f t="shared" si="3"/>
        <v>627.29999999999995</v>
      </c>
      <c r="T23" s="4186"/>
      <c r="U23" s="4186">
        <f>+SUMIF(WRM!$C$7:$C$127,$D23,WRM!$T$7:$T$127)</f>
        <v>0</v>
      </c>
      <c r="V23" s="4189"/>
      <c r="W23" s="4187">
        <f t="shared" si="4"/>
        <v>627.29999999999995</v>
      </c>
      <c r="X23" s="4190"/>
      <c r="Y23" s="4204">
        <f>+SUMIF(WRM!$C$7:$C$127,$D23,WRM!$X$7:$X$127)</f>
        <v>0</v>
      </c>
      <c r="Z23" s="4188"/>
      <c r="AA23" s="4188">
        <f t="shared" si="5"/>
        <v>0</v>
      </c>
      <c r="AB23" s="4191"/>
      <c r="AC23" s="4192">
        <f t="shared" si="6"/>
        <v>627.29999999999995</v>
      </c>
      <c r="AD23" s="4186"/>
      <c r="AE23" s="4204">
        <f>+SUMIF(WRM!$C$7:$C$127,$D23,WRM!$AD$7:$AD$127)</f>
        <v>0</v>
      </c>
      <c r="AF23" s="4189"/>
      <c r="AG23" s="4187">
        <f t="shared" si="7"/>
        <v>627.29999999999995</v>
      </c>
      <c r="AH23" s="4186"/>
      <c r="AI23" s="4186">
        <f>+SUMIF(WRM!$C$7:$C$127,$D23,WRM!$AH$7:$AH$127)</f>
        <v>149.65</v>
      </c>
      <c r="AJ23" s="4189"/>
      <c r="AK23" s="4187">
        <f t="shared" si="8"/>
        <v>776.94999999999993</v>
      </c>
      <c r="AL23" s="4186"/>
      <c r="AM23" s="4186">
        <f>+SUMIF(WRM!$C$7:$C$127,$D23,WRM!$AL$7:$AL$127)</f>
        <v>0</v>
      </c>
      <c r="AN23" s="4321"/>
      <c r="AO23" s="4188">
        <f t="shared" si="9"/>
        <v>149.65</v>
      </c>
      <c r="AP23" s="4189"/>
      <c r="AQ23" s="4187">
        <f t="shared" si="0"/>
        <v>776.94999999999993</v>
      </c>
      <c r="AR23" s="4186"/>
      <c r="AS23" s="4186">
        <f>+SUMIF(WRM!$C$7:$C$127,$D23,WRM!$AR$7:$AR$127)</f>
        <v>512.5</v>
      </c>
      <c r="AT23" s="4189"/>
      <c r="AU23" s="4187">
        <f t="shared" si="10"/>
        <v>1289.4499999999998</v>
      </c>
      <c r="AV23" s="4186"/>
      <c r="AW23" s="4186">
        <f>+SUMIF(WRM!$C$7:$C$127,$D23,WRM!$AV$7:$AV$127)</f>
        <v>629.35</v>
      </c>
      <c r="AX23" s="4189"/>
      <c r="AY23" s="4187">
        <f t="shared" si="11"/>
        <v>1918.7999999999997</v>
      </c>
      <c r="AZ23" s="4186"/>
      <c r="BA23" s="4186">
        <f>+SUMIF(WRM!$C$7:$C$127,$D23,WRM!$AZ$7:$AZ$127)</f>
        <v>0</v>
      </c>
      <c r="BB23" s="4321"/>
      <c r="BC23" s="4188">
        <f t="shared" si="12"/>
        <v>1141.8499999999999</v>
      </c>
      <c r="BD23" s="4191"/>
      <c r="BE23" s="4192">
        <f t="shared" si="13"/>
        <v>1291.5</v>
      </c>
      <c r="BF23" s="4189"/>
      <c r="BG23" s="4187">
        <f t="shared" si="14"/>
        <v>1918.7999999999997</v>
      </c>
      <c r="BH23" s="26">
        <f t="shared" si="15"/>
        <v>0</v>
      </c>
      <c r="BI23" s="26"/>
    </row>
    <row r="24" spans="3:61" ht="16.8" x14ac:dyDescent="0.3">
      <c r="C24" s="4184" t="s">
        <v>16</v>
      </c>
      <c r="D24" s="4185" t="s">
        <v>1131</v>
      </c>
      <c r="E24" s="6360"/>
      <c r="F24" s="4184"/>
      <c r="G24" s="4186">
        <f>+SUMIF(WRM!$C$7:$C$127,$D24,WRM!$F$7:$F$127)</f>
        <v>6219.7</v>
      </c>
      <c r="H24" s="4186"/>
      <c r="I24" s="4186">
        <f>+SUMIF(WRM!$C$7:$C$127,$D24,WRM!$H$7:$H$127)</f>
        <v>3847.85</v>
      </c>
      <c r="J24" s="4187"/>
      <c r="K24" s="4187">
        <f t="shared" si="1"/>
        <v>10067.549999999999</v>
      </c>
      <c r="L24" s="4186"/>
      <c r="M24" s="4186">
        <f>+SUMIF(WRM!$C$7:$C$127,$D24,WRM!$L$7:$L$127)</f>
        <v>6943.3499999999995</v>
      </c>
      <c r="N24" s="4188"/>
      <c r="O24" s="4188">
        <f t="shared" si="2"/>
        <v>17010.899999999998</v>
      </c>
      <c r="P24" s="4186"/>
      <c r="Q24" s="4186">
        <f>+SUMIF(WRM!$C$7:$C$127,$D24,WRM!$P$7:$P$127)</f>
        <v>6264.8</v>
      </c>
      <c r="R24" s="4189"/>
      <c r="S24" s="4187">
        <f t="shared" si="3"/>
        <v>23275.699999999997</v>
      </c>
      <c r="T24" s="4186"/>
      <c r="U24" s="4186">
        <f>+SUMIF(WRM!$C$7:$C$127,$D24,WRM!$T$7:$T$127)</f>
        <v>4844.1500000000005</v>
      </c>
      <c r="V24" s="4189"/>
      <c r="W24" s="4187">
        <f t="shared" si="4"/>
        <v>28119.85</v>
      </c>
      <c r="X24" s="4190"/>
      <c r="Y24" s="4204">
        <f>+SUMIF(WRM!$C$7:$C$127,$D24,WRM!$X$7:$X$127)</f>
        <v>6642</v>
      </c>
      <c r="Z24" s="4188"/>
      <c r="AA24" s="4188">
        <f t="shared" si="5"/>
        <v>17750.95</v>
      </c>
      <c r="AB24" s="4191"/>
      <c r="AC24" s="4192">
        <f t="shared" si="6"/>
        <v>34761.85</v>
      </c>
      <c r="AD24" s="4186"/>
      <c r="AE24" s="4204">
        <f>+SUMIF(WRM!$C$7:$C$127,$D24,WRM!$AD$7:$AD$127)</f>
        <v>9739.5499999999993</v>
      </c>
      <c r="AF24" s="4189"/>
      <c r="AG24" s="4187">
        <f t="shared" si="7"/>
        <v>44501.399999999994</v>
      </c>
      <c r="AH24" s="4186"/>
      <c r="AI24" s="4186">
        <f>+SUMIF(WRM!$C$7:$C$127,$D24,WRM!$AH$7:$AH$127)</f>
        <v>5760.5</v>
      </c>
      <c r="AJ24" s="4189"/>
      <c r="AK24" s="4187">
        <f t="shared" si="8"/>
        <v>50261.899999999994</v>
      </c>
      <c r="AL24" s="4186"/>
      <c r="AM24" s="4186">
        <f>+SUMIF(WRM!$C$7:$C$127,$D24,WRM!$AL$7:$AL$127)</f>
        <v>8384.5</v>
      </c>
      <c r="AN24" s="4321"/>
      <c r="AO24" s="4188">
        <f t="shared" si="9"/>
        <v>23884.55</v>
      </c>
      <c r="AP24" s="4189"/>
      <c r="AQ24" s="4187">
        <f t="shared" si="0"/>
        <v>58646.399999999994</v>
      </c>
      <c r="AR24" s="4186"/>
      <c r="AS24" s="4186">
        <f>+SUMIF(WRM!$C$7:$C$127,$D24,WRM!$AR$7:$AR$127)</f>
        <v>11320.100000000002</v>
      </c>
      <c r="AT24" s="4189"/>
      <c r="AU24" s="4187">
        <f t="shared" si="10"/>
        <v>69966.5</v>
      </c>
      <c r="AV24" s="4186"/>
      <c r="AW24" s="4186">
        <f>+SUMIF(WRM!$C$7:$C$127,$D24,WRM!$AV$7:$AV$127)</f>
        <v>8419.35</v>
      </c>
      <c r="AX24" s="4189"/>
      <c r="AY24" s="4187">
        <f t="shared" si="11"/>
        <v>78385.850000000006</v>
      </c>
      <c r="AZ24" s="4186"/>
      <c r="BA24" s="4186">
        <f>+SUMIF(WRM!$C$7:$C$127,$D24,WRM!$AZ$7:$AZ$127)</f>
        <v>9930.1999999999916</v>
      </c>
      <c r="BB24" s="4321"/>
      <c r="BC24" s="4188">
        <f t="shared" si="12"/>
        <v>29669.649999999994</v>
      </c>
      <c r="BD24" s="4191"/>
      <c r="BE24" s="4192">
        <f t="shared" si="13"/>
        <v>53554.2</v>
      </c>
      <c r="BF24" s="4189"/>
      <c r="BG24" s="4187">
        <f t="shared" si="14"/>
        <v>88316.05</v>
      </c>
      <c r="BH24" s="26">
        <f t="shared" si="15"/>
        <v>0</v>
      </c>
      <c r="BI24" s="26"/>
    </row>
    <row r="25" spans="3:61" ht="16.8" x14ac:dyDescent="0.3">
      <c r="C25" s="4184" t="s">
        <v>16</v>
      </c>
      <c r="D25" s="4185" t="s">
        <v>869</v>
      </c>
      <c r="E25" s="6360"/>
      <c r="F25" s="4184"/>
      <c r="G25" s="4186">
        <f>+SUMIF(WRM!$C$7:$C$127,$D25,WRM!$F$7:$F$127)</f>
        <v>522.75</v>
      </c>
      <c r="H25" s="4186"/>
      <c r="I25" s="4186">
        <f>+SUMIF(WRM!$C$7:$C$127,$D25,WRM!$H$7:$H$127)</f>
        <v>485.84999999999997</v>
      </c>
      <c r="J25" s="4187"/>
      <c r="K25" s="4187">
        <f t="shared" ref="K25:K75" si="16">+G25+I25</f>
        <v>1008.5999999999999</v>
      </c>
      <c r="L25" s="4186"/>
      <c r="M25" s="4186">
        <f>+SUMIF(WRM!$C$7:$C$127,$D25,WRM!$L$7:$L$127)</f>
        <v>508.40000000000003</v>
      </c>
      <c r="N25" s="4188"/>
      <c r="O25" s="4188">
        <f t="shared" si="2"/>
        <v>1517</v>
      </c>
      <c r="P25" s="4186"/>
      <c r="Q25" s="4186">
        <f>+SUMIF(WRM!$C$7:$C$127,$D25,WRM!$P$7:$P$127)</f>
        <v>0</v>
      </c>
      <c r="R25" s="4189"/>
      <c r="S25" s="4187">
        <f t="shared" si="3"/>
        <v>1517</v>
      </c>
      <c r="T25" s="4186"/>
      <c r="U25" s="4186">
        <f>+SUMIF(WRM!$C$7:$C$127,$D25,WRM!$T$7:$T$127)</f>
        <v>0</v>
      </c>
      <c r="V25" s="4189"/>
      <c r="W25" s="4187">
        <f t="shared" si="4"/>
        <v>1517</v>
      </c>
      <c r="X25" s="4190"/>
      <c r="Y25" s="4204">
        <f>+SUMIF(WRM!$C$7:$C$127,$D25,WRM!$X$7:$X$127)</f>
        <v>0</v>
      </c>
      <c r="Z25" s="4188"/>
      <c r="AA25" s="4188">
        <f t="shared" si="5"/>
        <v>0</v>
      </c>
      <c r="AB25" s="4191"/>
      <c r="AC25" s="4192">
        <f t="shared" si="6"/>
        <v>1517</v>
      </c>
      <c r="AD25" s="4186"/>
      <c r="AE25" s="4204">
        <f>+SUMIF(WRM!$C$7:$C$127,$D25,WRM!$AD$7:$AD$127)</f>
        <v>0</v>
      </c>
      <c r="AF25" s="4189"/>
      <c r="AG25" s="4187">
        <f t="shared" si="7"/>
        <v>1517</v>
      </c>
      <c r="AH25" s="4186"/>
      <c r="AI25" s="4186">
        <f>+SUMIF(WRM!$C$7:$C$127,$D25,WRM!$AH$7:$AH$127)</f>
        <v>166.04999999999998</v>
      </c>
      <c r="AJ25" s="4189"/>
      <c r="AK25" s="4187">
        <f t="shared" si="8"/>
        <v>1683.05</v>
      </c>
      <c r="AL25" s="4186"/>
      <c r="AM25" s="4186">
        <f>+SUMIF(WRM!$C$7:$C$127,$D25,WRM!$AL$7:$AL$127)</f>
        <v>0</v>
      </c>
      <c r="AN25" s="4321"/>
      <c r="AO25" s="4188">
        <f t="shared" si="9"/>
        <v>166.04999999999998</v>
      </c>
      <c r="AP25" s="4189"/>
      <c r="AQ25" s="4187">
        <f t="shared" si="0"/>
        <v>1683.05</v>
      </c>
      <c r="AR25" s="4186"/>
      <c r="AS25" s="4186">
        <f>+SUMIF(WRM!$C$7:$C$127,$D25,WRM!$AR$7:$AR$127)</f>
        <v>0</v>
      </c>
      <c r="AT25" s="4189"/>
      <c r="AU25" s="4187">
        <f t="shared" si="10"/>
        <v>1683.05</v>
      </c>
      <c r="AV25" s="4186"/>
      <c r="AW25" s="4186">
        <f>+SUMIF(WRM!$C$7:$C$127,$D25,WRM!$AV$7:$AV$127)</f>
        <v>379.25000000000006</v>
      </c>
      <c r="AX25" s="4189"/>
      <c r="AY25" s="4187">
        <f t="shared" si="11"/>
        <v>2062.3000000000002</v>
      </c>
      <c r="AZ25" s="4186"/>
      <c r="BA25" s="4186">
        <f>+SUMIF(WRM!$C$7:$C$127,$D25,WRM!$AZ$7:$AZ$127)</f>
        <v>373.1</v>
      </c>
      <c r="BB25" s="4321"/>
      <c r="BC25" s="4188">
        <f t="shared" si="12"/>
        <v>752.35000000000014</v>
      </c>
      <c r="BD25" s="4191"/>
      <c r="BE25" s="4192">
        <f t="shared" si="13"/>
        <v>918.40000000000009</v>
      </c>
      <c r="BF25" s="4189"/>
      <c r="BG25" s="4187">
        <f t="shared" si="14"/>
        <v>2435.4</v>
      </c>
      <c r="BH25" s="26">
        <f t="shared" si="15"/>
        <v>0</v>
      </c>
      <c r="BI25" s="26"/>
    </row>
    <row r="26" spans="3:61" ht="16.8" x14ac:dyDescent="0.3">
      <c r="C26" s="4184" t="s">
        <v>16</v>
      </c>
      <c r="D26" s="4315" t="s">
        <v>1842</v>
      </c>
      <c r="E26" s="6360"/>
      <c r="F26" s="4309"/>
      <c r="G26" s="4186">
        <f>+SUMIF(WRM!$C$7:$C$127,$D26,WRM!$F$7:$F$127)</f>
        <v>116.85000000000001</v>
      </c>
      <c r="H26" s="4310"/>
      <c r="I26" s="4186">
        <f>+SUMIF(WRM!$C$7:$C$127,$D26,WRM!$H$7:$H$127)</f>
        <v>0</v>
      </c>
      <c r="J26" s="4311"/>
      <c r="K26" s="4187">
        <f t="shared" si="16"/>
        <v>116.85000000000001</v>
      </c>
      <c r="L26" s="4310"/>
      <c r="M26" s="4186">
        <f>+SUMIF(WRM!$C$7:$C$127,$D26,WRM!$L$7:$L$127)</f>
        <v>0</v>
      </c>
      <c r="N26" s="4312"/>
      <c r="O26" s="4188">
        <f t="shared" si="2"/>
        <v>116.85000000000001</v>
      </c>
      <c r="P26" s="4310"/>
      <c r="Q26" s="4186">
        <f>+SUMIF(WRM!$C$7:$C$127,$D26,WRM!$P$7:$P$127)</f>
        <v>0</v>
      </c>
      <c r="R26" s="4189"/>
      <c r="S26" s="4187">
        <f t="shared" si="3"/>
        <v>116.85000000000001</v>
      </c>
      <c r="T26" s="4310"/>
      <c r="U26" s="4186">
        <f>+SUMIF(WRM!$C$7:$C$127,$D26,WRM!$T$7:$T$127)</f>
        <v>0</v>
      </c>
      <c r="V26" s="4189"/>
      <c r="W26" s="4187">
        <f t="shared" si="4"/>
        <v>116.85000000000001</v>
      </c>
      <c r="X26" s="4313"/>
      <c r="Y26" s="4204">
        <f>+SUMIF(WRM!$C$7:$C$127,$D26,WRM!$X$7:$X$127)</f>
        <v>0</v>
      </c>
      <c r="Z26" s="4312"/>
      <c r="AA26" s="4188">
        <f t="shared" si="5"/>
        <v>0</v>
      </c>
      <c r="AB26" s="4314"/>
      <c r="AC26" s="4192">
        <f t="shared" si="6"/>
        <v>116.85000000000001</v>
      </c>
      <c r="AD26" s="4310"/>
      <c r="AE26" s="4204">
        <f>+SUMIF(WRM!$C$7:$C$127,$D26,WRM!$AD$7:$AD$127)</f>
        <v>0</v>
      </c>
      <c r="AF26" s="4189"/>
      <c r="AG26" s="4187">
        <f t="shared" si="7"/>
        <v>116.85000000000001</v>
      </c>
      <c r="AH26" s="4310"/>
      <c r="AI26" s="4186">
        <f>+SUMIF(WRM!$C$7:$C$127,$D26,WRM!$AH$7:$AH$127)</f>
        <v>0</v>
      </c>
      <c r="AJ26" s="4189"/>
      <c r="AK26" s="4187">
        <f t="shared" si="8"/>
        <v>116.85000000000001</v>
      </c>
      <c r="AL26" s="4310"/>
      <c r="AM26" s="4186">
        <f>+SUMIF(WRM!$C$7:$C$127,$D26,WRM!$AL$7:$AL$127)</f>
        <v>0</v>
      </c>
      <c r="AN26" s="4321"/>
      <c r="AO26" s="4188">
        <f t="shared" si="9"/>
        <v>0</v>
      </c>
      <c r="AP26" s="4189"/>
      <c r="AQ26" s="4187">
        <f t="shared" si="0"/>
        <v>116.85000000000001</v>
      </c>
      <c r="AR26" s="4310"/>
      <c r="AS26" s="4186">
        <f>+SUMIF(WRM!$C$7:$C$127,$D26,WRM!$AR$7:$AR$127)</f>
        <v>0</v>
      </c>
      <c r="AT26" s="4189"/>
      <c r="AU26" s="4187">
        <f t="shared" si="10"/>
        <v>116.85000000000001</v>
      </c>
      <c r="AV26" s="4310"/>
      <c r="AW26" s="4186">
        <f>+SUMIF(WRM!$C$7:$C$127,$D26,WRM!$AV$7:$AV$127)</f>
        <v>0</v>
      </c>
      <c r="AX26" s="4189"/>
      <c r="AY26" s="4187">
        <f t="shared" si="11"/>
        <v>116.85000000000001</v>
      </c>
      <c r="AZ26" s="4310"/>
      <c r="BA26" s="4186">
        <f>+SUMIF(WRM!$C$7:$C$127,$D26,WRM!$AZ$7:$AZ$127)</f>
        <v>0</v>
      </c>
      <c r="BB26" s="4321"/>
      <c r="BC26" s="4188">
        <f t="shared" si="12"/>
        <v>0</v>
      </c>
      <c r="BD26" s="4314"/>
      <c r="BE26" s="4192">
        <f t="shared" si="13"/>
        <v>0</v>
      </c>
      <c r="BF26" s="4189"/>
      <c r="BG26" s="4187">
        <f t="shared" si="14"/>
        <v>116.85000000000001</v>
      </c>
      <c r="BH26" s="26">
        <f t="shared" si="15"/>
        <v>0</v>
      </c>
      <c r="BI26" s="26"/>
    </row>
    <row r="27" spans="3:61" ht="16.8" x14ac:dyDescent="0.3">
      <c r="C27" s="4184" t="s">
        <v>16</v>
      </c>
      <c r="D27" s="4185" t="s">
        <v>961</v>
      </c>
      <c r="E27" s="6360"/>
      <c r="F27" s="4184"/>
      <c r="G27" s="4186">
        <f>+SUMIF(WRM!$C$7:$C$127,$D27,WRM!$F$7:$F$127)</f>
        <v>4930.2300000000005</v>
      </c>
      <c r="H27" s="4186"/>
      <c r="I27" s="4186">
        <f>+SUMIF(WRM!$C$7:$C$127,$D27,WRM!$H$7:$H$127)</f>
        <v>5530.9</v>
      </c>
      <c r="J27" s="4187"/>
      <c r="K27" s="4187">
        <f t="shared" si="16"/>
        <v>10461.130000000001</v>
      </c>
      <c r="L27" s="4186"/>
      <c r="M27" s="4186">
        <f>+SUMIF(WRM!$C$7:$C$127,$D27,WRM!$L$7:$L$127)</f>
        <v>4950.75</v>
      </c>
      <c r="N27" s="4188"/>
      <c r="O27" s="4188">
        <f t="shared" si="2"/>
        <v>15411.880000000001</v>
      </c>
      <c r="P27" s="4186"/>
      <c r="Q27" s="4186">
        <f>+SUMIF(WRM!$C$7:$C$127,$D27,WRM!$P$7:$P$127)</f>
        <v>9462.7999999999993</v>
      </c>
      <c r="R27" s="4189"/>
      <c r="S27" s="4187">
        <f t="shared" si="3"/>
        <v>24874.68</v>
      </c>
      <c r="T27" s="4186"/>
      <c r="U27" s="4186">
        <f>+SUMIF(WRM!$C$7:$C$127,$D27,WRM!$T$7:$T$127)</f>
        <v>10547.25</v>
      </c>
      <c r="V27" s="4189"/>
      <c r="W27" s="4187">
        <f t="shared" si="4"/>
        <v>35421.93</v>
      </c>
      <c r="X27" s="4190"/>
      <c r="Y27" s="4204">
        <f>+SUMIF(WRM!$C$7:$C$127,$D27,WRM!$X$7:$X$127)</f>
        <v>10947</v>
      </c>
      <c r="Z27" s="4188"/>
      <c r="AA27" s="4188">
        <f t="shared" si="5"/>
        <v>30957.05</v>
      </c>
      <c r="AB27" s="4191"/>
      <c r="AC27" s="4192">
        <f t="shared" si="6"/>
        <v>46368.93</v>
      </c>
      <c r="AD27" s="4186"/>
      <c r="AE27" s="4204">
        <f>+SUMIF(WRM!$C$7:$C$127,$D27,WRM!$AD$7:$AD$127)</f>
        <v>7306.2000000000007</v>
      </c>
      <c r="AF27" s="4189"/>
      <c r="AG27" s="4187">
        <f t="shared" si="7"/>
        <v>53675.130000000005</v>
      </c>
      <c r="AH27" s="4186"/>
      <c r="AI27" s="4186">
        <f>+SUMIF(WRM!$C$7:$C$127,$D27,WRM!$AH$7:$AH$127)</f>
        <v>7740.8</v>
      </c>
      <c r="AJ27" s="4189"/>
      <c r="AK27" s="4187">
        <f t="shared" si="8"/>
        <v>61415.930000000008</v>
      </c>
      <c r="AL27" s="4186"/>
      <c r="AM27" s="4186">
        <f>+SUMIF(WRM!$C$7:$C$127,$D27,WRM!$AL$7:$AL$127)</f>
        <v>8146.7</v>
      </c>
      <c r="AN27" s="4321"/>
      <c r="AO27" s="4188">
        <f t="shared" si="9"/>
        <v>23193.7</v>
      </c>
      <c r="AP27" s="4189"/>
      <c r="AQ27" s="4187">
        <f t="shared" si="0"/>
        <v>69562.63</v>
      </c>
      <c r="AR27" s="4186"/>
      <c r="AS27" s="4186">
        <f>+SUMIF(WRM!$C$7:$C$127,$D27,WRM!$AR$7:$AR$127)</f>
        <v>7150.4000000000096</v>
      </c>
      <c r="AT27" s="4189"/>
      <c r="AU27" s="4187">
        <f t="shared" si="10"/>
        <v>76713.030000000013</v>
      </c>
      <c r="AV27" s="4186"/>
      <c r="AW27" s="4186">
        <f>+SUMIF(WRM!$C$7:$C$127,$D27,WRM!$AV$7:$AV$127)</f>
        <v>8312.7500000000036</v>
      </c>
      <c r="AX27" s="4189"/>
      <c r="AY27" s="4187">
        <f t="shared" si="11"/>
        <v>85025.780000000013</v>
      </c>
      <c r="AZ27" s="4186"/>
      <c r="BA27" s="4186">
        <f>+SUMIF(WRM!$C$7:$C$127,$D27,WRM!$AZ$7:$AZ$127)</f>
        <v>0</v>
      </c>
      <c r="BB27" s="4321"/>
      <c r="BC27" s="4188">
        <f t="shared" si="12"/>
        <v>15463.150000000012</v>
      </c>
      <c r="BD27" s="4191"/>
      <c r="BE27" s="4192">
        <f t="shared" si="13"/>
        <v>38656.850000000013</v>
      </c>
      <c r="BF27" s="4189"/>
      <c r="BG27" s="4187">
        <f t="shared" si="14"/>
        <v>85025.780000000013</v>
      </c>
      <c r="BH27" s="26">
        <f t="shared" si="15"/>
        <v>0</v>
      </c>
      <c r="BI27" s="26"/>
    </row>
    <row r="28" spans="3:61" ht="16.8" x14ac:dyDescent="0.3">
      <c r="C28" s="4954" t="s">
        <v>16</v>
      </c>
      <c r="D28" s="4955" t="s">
        <v>2115</v>
      </c>
      <c r="E28" s="6360"/>
      <c r="F28" s="4954"/>
      <c r="G28" s="4186">
        <f>+SUMIF(WRM!$C$7:$C$127,$D28,WRM!$F$7:$F$127)</f>
        <v>0</v>
      </c>
      <c r="H28" s="4186"/>
      <c r="I28" s="4186">
        <f>+SUMIF(WRM!$C$7:$C$127,$D28,WRM!$H$7:$H$127)</f>
        <v>0</v>
      </c>
      <c r="J28" s="4187"/>
      <c r="K28" s="4187">
        <f t="shared" ref="K28" si="17">+G28+I28</f>
        <v>0</v>
      </c>
      <c r="L28" s="4186"/>
      <c r="M28" s="4186">
        <f>+SUMIF(WRM!$C$7:$C$127,$D28,WRM!$L$7:$L$127)</f>
        <v>0</v>
      </c>
      <c r="N28" s="4188"/>
      <c r="O28" s="4188">
        <f t="shared" ref="O28" si="18">+G28+I28+M28</f>
        <v>0</v>
      </c>
      <c r="P28" s="4186"/>
      <c r="Q28" s="4186">
        <f>+SUMIF(WRM!$C$7:$C$127,$D28,WRM!$P$7:$P$127)</f>
        <v>0</v>
      </c>
      <c r="R28" s="4189"/>
      <c r="S28" s="4187">
        <f t="shared" ref="S28" si="19">O28+Q28</f>
        <v>0</v>
      </c>
      <c r="T28" s="4186"/>
      <c r="U28" s="4186">
        <f>+SUMIF(WRM!$C$7:$C$127,$D28,WRM!$T$7:$T$127)</f>
        <v>0</v>
      </c>
      <c r="V28" s="4189"/>
      <c r="W28" s="4187">
        <f t="shared" ref="W28" si="20">S28+U28</f>
        <v>0</v>
      </c>
      <c r="X28" s="4190"/>
      <c r="Y28" s="4204">
        <f>+SUMIF(WRM!$C$7:$C$127,$D28,WRM!$X$7:$X$127)</f>
        <v>94.3</v>
      </c>
      <c r="Z28" s="4188"/>
      <c r="AA28" s="4188">
        <f t="shared" ref="AA28" si="21">Q28+U28+Y28</f>
        <v>94.3</v>
      </c>
      <c r="AB28" s="4191"/>
      <c r="AC28" s="4192">
        <f t="shared" ref="AC28" si="22">O28+AA28</f>
        <v>94.3</v>
      </c>
      <c r="AD28" s="4186"/>
      <c r="AE28" s="4204">
        <f>+SUMIF(WRM!$C$7:$C$127,$D28,WRM!$AD$7:$AD$127)</f>
        <v>0</v>
      </c>
      <c r="AF28" s="4189"/>
      <c r="AG28" s="4187">
        <f t="shared" ref="AG28" si="23">+AC28+AE28</f>
        <v>94.3</v>
      </c>
      <c r="AH28" s="4186"/>
      <c r="AI28" s="4186">
        <f>+SUMIF(WRM!$C$7:$C$127,$D28,WRM!$AH$7:$AH$127)</f>
        <v>0</v>
      </c>
      <c r="AJ28" s="4189"/>
      <c r="AK28" s="4187">
        <f t="shared" si="8"/>
        <v>94.3</v>
      </c>
      <c r="AL28" s="4186"/>
      <c r="AM28" s="4186">
        <f>+SUMIF(WRM!$C$7:$C$127,$D28,WRM!$AL$7:$AL$127)</f>
        <v>0</v>
      </c>
      <c r="AN28" s="4321"/>
      <c r="AO28" s="4188">
        <f t="shared" ref="AO28" si="24">AE28+AI28+AM28</f>
        <v>0</v>
      </c>
      <c r="AP28" s="4189"/>
      <c r="AQ28" s="4187">
        <f t="shared" ref="AQ28" si="25">+AK28+AM28</f>
        <v>94.3</v>
      </c>
      <c r="AR28" s="4186"/>
      <c r="AS28" s="4186">
        <f>+SUMIF(WRM!$C$7:$C$127,$D28,WRM!$AR$7:$AR$127)</f>
        <v>0</v>
      </c>
      <c r="AT28" s="4189"/>
      <c r="AU28" s="4187">
        <f t="shared" ref="AU28" si="26">+AQ28+AS28</f>
        <v>94.3</v>
      </c>
      <c r="AV28" s="4186"/>
      <c r="AW28" s="4186">
        <f>+SUMIF(WRM!$C$7:$C$127,$D28,WRM!$AV$7:$AV$127)</f>
        <v>0</v>
      </c>
      <c r="AX28" s="4189"/>
      <c r="AY28" s="4187">
        <f t="shared" ref="AY28" si="27">+AU28+AW28</f>
        <v>94.3</v>
      </c>
      <c r="AZ28" s="4186"/>
      <c r="BA28" s="4186">
        <f>+SUMIF(WRM!$C$7:$C$127,$D28,WRM!$AZ$7:$AZ$127)</f>
        <v>0</v>
      </c>
      <c r="BB28" s="4321"/>
      <c r="BC28" s="4188">
        <f t="shared" ref="BC28" si="28">AS28+AW28+BA28</f>
        <v>0</v>
      </c>
      <c r="BD28" s="4191"/>
      <c r="BE28" s="4192">
        <f t="shared" ref="BE28" si="29">AO28+BC28</f>
        <v>0</v>
      </c>
      <c r="BF28" s="4189"/>
      <c r="BG28" s="4187">
        <f t="shared" ref="BG28" si="30">+AY28+BA28</f>
        <v>94.3</v>
      </c>
      <c r="BH28" s="26">
        <f t="shared" si="15"/>
        <v>0</v>
      </c>
      <c r="BI28" s="26"/>
    </row>
    <row r="29" spans="3:61" ht="16.8" x14ac:dyDescent="0.3">
      <c r="C29" s="4184" t="s">
        <v>16</v>
      </c>
      <c r="D29" s="4185" t="s">
        <v>963</v>
      </c>
      <c r="E29" s="6360"/>
      <c r="F29" s="4184"/>
      <c r="G29" s="4186">
        <f>+SUMIF(WRM!$C$7:$C$127,$D29,WRM!$F$7:$F$127)</f>
        <v>2039.65</v>
      </c>
      <c r="H29" s="4186"/>
      <c r="I29" s="4186">
        <f>+SUMIF(WRM!$C$7:$C$127,$D29,WRM!$H$7:$H$127)</f>
        <v>2564.5499999999997</v>
      </c>
      <c r="J29" s="4187"/>
      <c r="K29" s="4187">
        <f t="shared" si="16"/>
        <v>4604.2</v>
      </c>
      <c r="L29" s="4186"/>
      <c r="M29" s="4186">
        <f>+SUMIF(WRM!$C$7:$C$127,$D29,WRM!$L$7:$L$127)</f>
        <v>1920.8500000000001</v>
      </c>
      <c r="N29" s="4188"/>
      <c r="O29" s="4188">
        <f t="shared" si="2"/>
        <v>6525.05</v>
      </c>
      <c r="P29" s="4186"/>
      <c r="Q29" s="4186">
        <f>+SUMIF(WRM!$C$7:$C$127,$D29,WRM!$P$7:$P$127)</f>
        <v>2345.1999999999985</v>
      </c>
      <c r="R29" s="4189"/>
      <c r="S29" s="4187">
        <f t="shared" si="3"/>
        <v>8870.2499999999982</v>
      </c>
      <c r="T29" s="4186"/>
      <c r="U29" s="4186">
        <f>+SUMIF(WRM!$C$7:$C$127,$D29,WRM!$T$7:$T$127)</f>
        <v>1430.9</v>
      </c>
      <c r="V29" s="4189"/>
      <c r="W29" s="4187">
        <f t="shared" si="4"/>
        <v>10301.149999999998</v>
      </c>
      <c r="X29" s="4190"/>
      <c r="Y29" s="4204">
        <f>+SUMIF(WRM!$C$7:$C$127,$D29,WRM!$X$7:$X$127)</f>
        <v>1492.4</v>
      </c>
      <c r="Z29" s="4188"/>
      <c r="AA29" s="4188">
        <f t="shared" si="5"/>
        <v>5268.4999999999982</v>
      </c>
      <c r="AB29" s="4191"/>
      <c r="AC29" s="4192">
        <f t="shared" si="6"/>
        <v>11793.55</v>
      </c>
      <c r="AD29" s="4186"/>
      <c r="AE29" s="4204">
        <f>+SUMIF(WRM!$C$7:$C$127,$D29,WRM!$AD$7:$AD$127)</f>
        <v>535.04999999999995</v>
      </c>
      <c r="AF29" s="4189"/>
      <c r="AG29" s="4187">
        <f t="shared" si="7"/>
        <v>12328.599999999999</v>
      </c>
      <c r="AH29" s="4186"/>
      <c r="AI29" s="4186">
        <f>+SUMIF(WRM!$C$7:$C$127,$D29,WRM!$AH$7:$AH$127)</f>
        <v>2060.25</v>
      </c>
      <c r="AJ29" s="4189"/>
      <c r="AK29" s="4187">
        <f t="shared" si="8"/>
        <v>14388.849999999999</v>
      </c>
      <c r="AL29" s="4186"/>
      <c r="AM29" s="4186">
        <f>+SUMIF(WRM!$C$7:$C$127,$D29,WRM!$AL$7:$AL$127)</f>
        <v>4034.4</v>
      </c>
      <c r="AN29" s="4321"/>
      <c r="AO29" s="4188">
        <f t="shared" si="9"/>
        <v>6629.7000000000007</v>
      </c>
      <c r="AP29" s="4189"/>
      <c r="AQ29" s="4187">
        <f t="shared" si="0"/>
        <v>18423.25</v>
      </c>
      <c r="AR29" s="4186"/>
      <c r="AS29" s="4186">
        <f>+SUMIF(WRM!$C$7:$C$127,$D29,WRM!$AR$7:$AR$127)</f>
        <v>994.25</v>
      </c>
      <c r="AT29" s="4189"/>
      <c r="AU29" s="4187">
        <f t="shared" si="10"/>
        <v>19417.5</v>
      </c>
      <c r="AV29" s="4186"/>
      <c r="AW29" s="4186">
        <f>+SUMIF(WRM!$C$7:$C$127,$D29,WRM!$AV$7:$AV$127)</f>
        <v>1908.55</v>
      </c>
      <c r="AX29" s="4189"/>
      <c r="AY29" s="4187">
        <f t="shared" si="11"/>
        <v>21326.05</v>
      </c>
      <c r="AZ29" s="4186"/>
      <c r="BA29" s="4186">
        <f>+SUMIF(WRM!$C$7:$C$127,$D29,WRM!$AZ$7:$AZ$127)</f>
        <v>1076.2499999999998</v>
      </c>
      <c r="BB29" s="4321"/>
      <c r="BC29" s="4188">
        <f t="shared" si="12"/>
        <v>3979.05</v>
      </c>
      <c r="BD29" s="4191"/>
      <c r="BE29" s="4192">
        <f t="shared" si="13"/>
        <v>10608.75</v>
      </c>
      <c r="BF29" s="4189"/>
      <c r="BG29" s="4187">
        <f t="shared" si="14"/>
        <v>22402.3</v>
      </c>
      <c r="BH29" s="26">
        <f t="shared" si="15"/>
        <v>0</v>
      </c>
      <c r="BI29" s="26"/>
    </row>
    <row r="30" spans="3:61" ht="16.8" x14ac:dyDescent="0.3">
      <c r="C30" s="4184" t="s">
        <v>16</v>
      </c>
      <c r="D30" s="4185" t="s">
        <v>1112</v>
      </c>
      <c r="E30" s="6360"/>
      <c r="F30" s="4184"/>
      <c r="G30" s="4186">
        <f>+SUMIF(WRM!$C$7:$C$127,$D30,WRM!$F$7:$F$127)</f>
        <v>1906.5</v>
      </c>
      <c r="H30" s="4186"/>
      <c r="I30" s="4186">
        <f>+SUMIF(WRM!$C$7:$C$127,$D30,WRM!$H$7:$H$127)</f>
        <v>2402.5999999999995</v>
      </c>
      <c r="J30" s="4187"/>
      <c r="K30" s="4187">
        <f t="shared" si="16"/>
        <v>4309.0999999999995</v>
      </c>
      <c r="L30" s="4186"/>
      <c r="M30" s="4186">
        <f>+SUMIF(WRM!$C$7:$C$127,$D30,WRM!$L$7:$L$127)</f>
        <v>0</v>
      </c>
      <c r="N30" s="4188"/>
      <c r="O30" s="4188">
        <f t="shared" si="2"/>
        <v>4309.0999999999995</v>
      </c>
      <c r="P30" s="4186"/>
      <c r="Q30" s="4186">
        <f>+SUMIF(WRM!$C$7:$C$127,$D30,WRM!$P$7:$P$127)</f>
        <v>0</v>
      </c>
      <c r="R30" s="4189"/>
      <c r="S30" s="4187">
        <f t="shared" si="3"/>
        <v>4309.0999999999995</v>
      </c>
      <c r="T30" s="4186"/>
      <c r="U30" s="4186">
        <f>+SUMIF(WRM!$C$7:$C$127,$D30,WRM!$T$7:$T$127)</f>
        <v>940.95000000000016</v>
      </c>
      <c r="V30" s="4189"/>
      <c r="W30" s="4187">
        <f t="shared" si="4"/>
        <v>5250.0499999999993</v>
      </c>
      <c r="X30" s="4190"/>
      <c r="Y30" s="4204">
        <f>+SUMIF(WRM!$C$7:$C$127,$D30,WRM!$X$7:$X$127)</f>
        <v>1281.25</v>
      </c>
      <c r="Z30" s="4188"/>
      <c r="AA30" s="4188">
        <f t="shared" si="5"/>
        <v>2222.2000000000003</v>
      </c>
      <c r="AB30" s="4191"/>
      <c r="AC30" s="4192">
        <f t="shared" si="6"/>
        <v>6531.2999999999993</v>
      </c>
      <c r="AD30" s="4186"/>
      <c r="AE30" s="4204">
        <f>+SUMIF(WRM!$C$7:$C$127,$D30,WRM!$AD$7:$AD$127)</f>
        <v>219.35</v>
      </c>
      <c r="AF30" s="4189"/>
      <c r="AG30" s="4187">
        <f t="shared" si="7"/>
        <v>6750.65</v>
      </c>
      <c r="AH30" s="4186"/>
      <c r="AI30" s="4186">
        <f>+SUMIF(WRM!$C$7:$C$127,$D30,WRM!$AH$7:$AH$127)</f>
        <v>1051.6500000000001</v>
      </c>
      <c r="AJ30" s="4189"/>
      <c r="AK30" s="4187">
        <f t="shared" si="8"/>
        <v>7802.2999999999993</v>
      </c>
      <c r="AL30" s="4186"/>
      <c r="AM30" s="4186">
        <f>+SUMIF(WRM!$C$7:$C$127,$D30,WRM!$AL$7:$AL$127)</f>
        <v>1389.9</v>
      </c>
      <c r="AN30" s="4321"/>
      <c r="AO30" s="4188">
        <f t="shared" si="9"/>
        <v>2660.9</v>
      </c>
      <c r="AP30" s="4189"/>
      <c r="AQ30" s="4187">
        <f t="shared" si="0"/>
        <v>9192.1999999999989</v>
      </c>
      <c r="AR30" s="4186"/>
      <c r="AS30" s="4186">
        <f>+SUMIF(WRM!$C$7:$C$127,$D30,WRM!$AR$7:$AR$127)</f>
        <v>1799.9</v>
      </c>
      <c r="AT30" s="4189"/>
      <c r="AU30" s="4187">
        <f t="shared" si="10"/>
        <v>10992.099999999999</v>
      </c>
      <c r="AV30" s="4186"/>
      <c r="AW30" s="4186">
        <f>+SUMIF(WRM!$C$7:$C$127,$D30,WRM!$AV$7:$AV$127)</f>
        <v>1605.15</v>
      </c>
      <c r="AX30" s="4189"/>
      <c r="AY30" s="4187">
        <f t="shared" si="11"/>
        <v>12597.249999999998</v>
      </c>
      <c r="AZ30" s="4186"/>
      <c r="BA30" s="4186">
        <f>+SUMIF(WRM!$C$7:$C$127,$D30,WRM!$AZ$7:$AZ$127)</f>
        <v>2865.9</v>
      </c>
      <c r="BB30" s="4321"/>
      <c r="BC30" s="4188">
        <f t="shared" si="12"/>
        <v>6270.9500000000007</v>
      </c>
      <c r="BD30" s="4191"/>
      <c r="BE30" s="4192">
        <f t="shared" si="13"/>
        <v>8931.85</v>
      </c>
      <c r="BF30" s="4189"/>
      <c r="BG30" s="4187">
        <f t="shared" si="14"/>
        <v>15463.149999999998</v>
      </c>
      <c r="BH30" s="26">
        <f t="shared" si="15"/>
        <v>0</v>
      </c>
      <c r="BI30" s="26"/>
    </row>
    <row r="31" spans="3:61" ht="16.8" x14ac:dyDescent="0.3">
      <c r="C31" s="4184" t="s">
        <v>16</v>
      </c>
      <c r="D31" s="4185" t="s">
        <v>1566</v>
      </c>
      <c r="E31" s="6360"/>
      <c r="F31" s="4184"/>
      <c r="G31" s="4186">
        <f>+SUMIF(WRM!$C$7:$C$127,$D31,WRM!$F$7:$F$127)</f>
        <v>0</v>
      </c>
      <c r="H31" s="4186"/>
      <c r="I31" s="4186">
        <f>+SUMIF(WRM!$C$7:$C$127,$D31,WRM!$H$7:$H$127)</f>
        <v>0</v>
      </c>
      <c r="J31" s="4187"/>
      <c r="K31" s="4187">
        <f t="shared" si="16"/>
        <v>0</v>
      </c>
      <c r="L31" s="4186"/>
      <c r="M31" s="4186">
        <f>+SUMIF(WRM!$C$7:$C$127,$D31,WRM!$L$7:$L$127)</f>
        <v>0</v>
      </c>
      <c r="N31" s="4188"/>
      <c r="O31" s="4188">
        <f t="shared" si="2"/>
        <v>0</v>
      </c>
      <c r="P31" s="4186"/>
      <c r="Q31" s="4186">
        <f>+SUMIF(WRM!$C$7:$C$127,$D31,WRM!$P$7:$P$127)</f>
        <v>0</v>
      </c>
      <c r="R31" s="4189"/>
      <c r="S31" s="4187">
        <f t="shared" si="3"/>
        <v>0</v>
      </c>
      <c r="T31" s="4186"/>
      <c r="U31" s="4186">
        <f>+SUMIF(WRM!$C$7:$C$127,$D31,WRM!$T$7:$T$127)</f>
        <v>0</v>
      </c>
      <c r="V31" s="4189"/>
      <c r="W31" s="4187">
        <f t="shared" si="4"/>
        <v>0</v>
      </c>
      <c r="X31" s="4190"/>
      <c r="Y31" s="4204">
        <f>+SUMIF(WRM!$C$7:$C$127,$D31,WRM!$X$7:$X$127)</f>
        <v>0</v>
      </c>
      <c r="Z31" s="4188"/>
      <c r="AA31" s="4188">
        <f t="shared" si="5"/>
        <v>0</v>
      </c>
      <c r="AB31" s="4191"/>
      <c r="AC31" s="4192">
        <f t="shared" si="6"/>
        <v>0</v>
      </c>
      <c r="AD31" s="4186"/>
      <c r="AE31" s="4204">
        <f>+SUMIF(WRM!$C$7:$C$127,$D31,WRM!$AD$7:$AD$127)</f>
        <v>0</v>
      </c>
      <c r="AF31" s="4189"/>
      <c r="AG31" s="4187">
        <f t="shared" si="7"/>
        <v>0</v>
      </c>
      <c r="AH31" s="4186"/>
      <c r="AI31" s="4186">
        <f>+SUMIF(WRM!$C$7:$C$127,$D31,WRM!$AH$7:$AH$127)</f>
        <v>0</v>
      </c>
      <c r="AJ31" s="4189"/>
      <c r="AK31" s="4187">
        <f t="shared" si="8"/>
        <v>0</v>
      </c>
      <c r="AL31" s="4186"/>
      <c r="AM31" s="4186">
        <f>+SUMIF(WRM!$C$7:$C$127,$D31,WRM!$AL$7:$AL$127)</f>
        <v>0</v>
      </c>
      <c r="AN31" s="4321"/>
      <c r="AO31" s="4188">
        <f t="shared" si="9"/>
        <v>0</v>
      </c>
      <c r="AP31" s="4189"/>
      <c r="AQ31" s="4187">
        <f t="shared" si="0"/>
        <v>0</v>
      </c>
      <c r="AR31" s="4186"/>
      <c r="AS31" s="4186">
        <f>+SUMIF(WRM!$C$7:$C$127,$D31,WRM!$AR$7:$AR$127)</f>
        <v>0</v>
      </c>
      <c r="AT31" s="4189"/>
      <c r="AU31" s="4187">
        <f t="shared" si="10"/>
        <v>0</v>
      </c>
      <c r="AV31" s="4186"/>
      <c r="AW31" s="4186">
        <f>+SUMIF(WRM!$C$7:$C$127,$D31,WRM!$AV$7:$AV$127)</f>
        <v>0</v>
      </c>
      <c r="AX31" s="4189"/>
      <c r="AY31" s="4187">
        <f t="shared" si="11"/>
        <v>0</v>
      </c>
      <c r="AZ31" s="4186"/>
      <c r="BA31" s="4186">
        <f>+SUMIF(WRM!$C$7:$C$127,$D31,WRM!$AZ$7:$AZ$127)</f>
        <v>0</v>
      </c>
      <c r="BB31" s="4321"/>
      <c r="BC31" s="4188">
        <f t="shared" si="12"/>
        <v>0</v>
      </c>
      <c r="BD31" s="4191"/>
      <c r="BE31" s="4192">
        <f t="shared" si="13"/>
        <v>0</v>
      </c>
      <c r="BF31" s="4189"/>
      <c r="BG31" s="4187">
        <f t="shared" si="14"/>
        <v>0</v>
      </c>
      <c r="BH31" s="26">
        <f t="shared" si="15"/>
        <v>0</v>
      </c>
      <c r="BI31" s="26"/>
    </row>
    <row r="32" spans="3:61" ht="16.8" x14ac:dyDescent="0.3">
      <c r="C32" s="4184" t="s">
        <v>16</v>
      </c>
      <c r="D32" s="4185" t="s">
        <v>1028</v>
      </c>
      <c r="E32" s="6360"/>
      <c r="F32" s="4184"/>
      <c r="G32" s="4186">
        <f>+SUMIF(WRM!$C$7:$C$127,$D32,WRM!$F$7:$F$127)</f>
        <v>3593.6499999999996</v>
      </c>
      <c r="H32" s="4186"/>
      <c r="I32" s="4186">
        <f>+SUMIF(WRM!$C$7:$C$127,$D32,WRM!$H$7:$H$127)</f>
        <v>2585.0500000000002</v>
      </c>
      <c r="J32" s="4187"/>
      <c r="K32" s="4187">
        <f t="shared" ref="K32:K37" si="31">+G32+I32</f>
        <v>6178.7</v>
      </c>
      <c r="L32" s="4186"/>
      <c r="M32" s="4186">
        <f>+SUMIF(WRM!$C$7:$C$127,$D32,WRM!$L$7:$L$127)</f>
        <v>1785.55</v>
      </c>
      <c r="N32" s="4188"/>
      <c r="O32" s="4188">
        <f t="shared" ref="O32:O37" si="32">+G32+I32+M32</f>
        <v>7964.25</v>
      </c>
      <c r="P32" s="4186"/>
      <c r="Q32" s="4186">
        <f>+SUMIF(WRM!$C$7:$C$127,$D32,WRM!$P$7:$P$127)</f>
        <v>820</v>
      </c>
      <c r="R32" s="4189"/>
      <c r="S32" s="4187">
        <f t="shared" ref="S32:S37" si="33">O32+Q32</f>
        <v>8784.25</v>
      </c>
      <c r="T32" s="4186"/>
      <c r="U32" s="4186">
        <f>+SUMIF(WRM!$C$7:$C$127,$D32,WRM!$T$7:$T$127)</f>
        <v>578.1</v>
      </c>
      <c r="V32" s="4189"/>
      <c r="W32" s="4187">
        <f t="shared" si="4"/>
        <v>9362.35</v>
      </c>
      <c r="X32" s="4190"/>
      <c r="Y32" s="4204">
        <f>+SUMIF(WRM!$C$7:$C$127,$D32,WRM!$X$7:$X$127)</f>
        <v>0</v>
      </c>
      <c r="Z32" s="4188"/>
      <c r="AA32" s="4188">
        <f t="shared" ref="AA32:AA37" si="34">Q32+U32+Y32</f>
        <v>1398.1</v>
      </c>
      <c r="AB32" s="4191"/>
      <c r="AC32" s="4192">
        <f t="shared" ref="AC32:AC37" si="35">O32+AA32</f>
        <v>9362.35</v>
      </c>
      <c r="AD32" s="4186"/>
      <c r="AE32" s="4204">
        <f>+SUMIF(WRM!$C$7:$C$127,$D32,WRM!$AD$7:$AD$127)</f>
        <v>1053.6999999999998</v>
      </c>
      <c r="AF32" s="4189"/>
      <c r="AG32" s="4187">
        <f t="shared" ref="AG32:AG37" si="36">+AC32+AE32</f>
        <v>10416.049999999999</v>
      </c>
      <c r="AH32" s="4186"/>
      <c r="AI32" s="4186">
        <f>+SUMIF(WRM!$C$7:$C$127,$D32,WRM!$AH$7:$AH$127)</f>
        <v>172.2</v>
      </c>
      <c r="AJ32" s="4189"/>
      <c r="AK32" s="4187">
        <f t="shared" si="8"/>
        <v>10588.25</v>
      </c>
      <c r="AL32" s="4186"/>
      <c r="AM32" s="4186">
        <f>+SUMIF(WRM!$C$7:$C$127,$D32,WRM!$AL$7:$AL$127)</f>
        <v>2509.2000000000007</v>
      </c>
      <c r="AN32" s="4321"/>
      <c r="AO32" s="4188">
        <f t="shared" ref="AO32:AO37" si="37">AE32+AI32+AM32</f>
        <v>3735.1000000000004</v>
      </c>
      <c r="AP32" s="4189"/>
      <c r="AQ32" s="4187">
        <f t="shared" ref="AQ32:AQ37" si="38">+AK32+AM32</f>
        <v>13097.45</v>
      </c>
      <c r="AR32" s="4186"/>
      <c r="AS32" s="4186">
        <f>+SUMIF(WRM!$C$7:$C$127,$D32,WRM!$AR$7:$AR$127)</f>
        <v>774.9</v>
      </c>
      <c r="AT32" s="4189"/>
      <c r="AU32" s="4187">
        <f t="shared" ref="AU32:AU37" si="39">+AQ32+AS32</f>
        <v>13872.35</v>
      </c>
      <c r="AV32" s="4186"/>
      <c r="AW32" s="4186">
        <f>+SUMIF(WRM!$C$7:$C$127,$D32,WRM!$AV$7:$AV$127)</f>
        <v>0</v>
      </c>
      <c r="AX32" s="4189"/>
      <c r="AY32" s="4187">
        <f t="shared" si="11"/>
        <v>13872.35</v>
      </c>
      <c r="AZ32" s="4186"/>
      <c r="BA32" s="4186">
        <f>+SUMIF(WRM!$C$7:$C$127,$D32,WRM!$AZ$7:$AZ$127)</f>
        <v>3372.25</v>
      </c>
      <c r="BB32" s="4321"/>
      <c r="BC32" s="4188">
        <f t="shared" si="12"/>
        <v>4147.1499999999996</v>
      </c>
      <c r="BD32" s="4191"/>
      <c r="BE32" s="4192">
        <f t="shared" si="13"/>
        <v>7882.25</v>
      </c>
      <c r="BF32" s="4189"/>
      <c r="BG32" s="4187">
        <f t="shared" si="14"/>
        <v>17244.599999999999</v>
      </c>
      <c r="BH32" s="26">
        <f t="shared" si="15"/>
        <v>0</v>
      </c>
      <c r="BI32" s="26"/>
    </row>
    <row r="33" spans="3:62" ht="16.8" x14ac:dyDescent="0.3">
      <c r="C33" s="4184" t="s">
        <v>16</v>
      </c>
      <c r="D33" s="4185" t="s">
        <v>1029</v>
      </c>
      <c r="E33" s="6360"/>
      <c r="F33" s="4184"/>
      <c r="G33" s="4186">
        <f>+SUMIF(WRM!$C$7:$C$127,$D33,WRM!$F$7:$F$127)</f>
        <v>4366.5</v>
      </c>
      <c r="H33" s="4186"/>
      <c r="I33" s="4186">
        <f>+SUMIF(WRM!$C$7:$C$127,$D33,WRM!$H$7:$H$127)</f>
        <v>2457.9500000000003</v>
      </c>
      <c r="J33" s="4187"/>
      <c r="K33" s="4187">
        <f t="shared" si="31"/>
        <v>6824.4500000000007</v>
      </c>
      <c r="L33" s="4186"/>
      <c r="M33" s="4186">
        <f>+SUMIF(WRM!$C$7:$C$127,$D33,WRM!$L$7:$L$127)</f>
        <v>1814.25</v>
      </c>
      <c r="N33" s="4188"/>
      <c r="O33" s="4188">
        <f t="shared" si="32"/>
        <v>8638.7000000000007</v>
      </c>
      <c r="P33" s="4186"/>
      <c r="Q33" s="4186">
        <f>+SUMIF(WRM!$C$7:$C$127,$D33,WRM!$P$7:$P$127)</f>
        <v>1137.75</v>
      </c>
      <c r="R33" s="4189"/>
      <c r="S33" s="4187">
        <f t="shared" si="33"/>
        <v>9776.4500000000007</v>
      </c>
      <c r="T33" s="4186"/>
      <c r="U33" s="4186">
        <f>+SUMIF(WRM!$C$7:$C$127,$D33,WRM!$T$7:$T$127)</f>
        <v>2359.5500000000002</v>
      </c>
      <c r="V33" s="4189"/>
      <c r="W33" s="4187">
        <f t="shared" ref="W33:W37" si="40">S33+U33</f>
        <v>12136</v>
      </c>
      <c r="X33" s="4190"/>
      <c r="Y33" s="4204">
        <f>+SUMIF(WRM!$C$7:$C$127,$D33,WRM!$X$7:$X$127)</f>
        <v>2312.3999999999996</v>
      </c>
      <c r="Z33" s="4188"/>
      <c r="AA33" s="4188">
        <f t="shared" si="34"/>
        <v>5809.7</v>
      </c>
      <c r="AB33" s="4191"/>
      <c r="AC33" s="4192">
        <f t="shared" si="35"/>
        <v>14448.400000000001</v>
      </c>
      <c r="AD33" s="4186"/>
      <c r="AE33" s="4204">
        <f>+SUMIF(WRM!$C$7:$C$127,$D33,WRM!$AD$7:$AD$127)</f>
        <v>1941.3499999999997</v>
      </c>
      <c r="AF33" s="4189"/>
      <c r="AG33" s="4187">
        <f t="shared" si="36"/>
        <v>16389.75</v>
      </c>
      <c r="AH33" s="4186"/>
      <c r="AI33" s="4186">
        <f>+SUMIF(WRM!$C$7:$C$127,$D33,WRM!$AH$7:$AH$127)</f>
        <v>672.39999999999986</v>
      </c>
      <c r="AJ33" s="4189"/>
      <c r="AK33" s="4187">
        <f t="shared" si="8"/>
        <v>17062.150000000001</v>
      </c>
      <c r="AL33" s="4186"/>
      <c r="AM33" s="4186">
        <f>+SUMIF(WRM!$C$7:$C$127,$D33,WRM!$AL$7:$AL$127)</f>
        <v>4637.1000000000004</v>
      </c>
      <c r="AN33" s="4321"/>
      <c r="AO33" s="4188">
        <f t="shared" si="37"/>
        <v>7250.85</v>
      </c>
      <c r="AP33" s="4189"/>
      <c r="AQ33" s="4187">
        <f t="shared" si="38"/>
        <v>21699.25</v>
      </c>
      <c r="AR33" s="4186"/>
      <c r="AS33" s="4186">
        <f>+SUMIF(WRM!$C$7:$C$127,$D33,WRM!$AR$7:$AR$127)</f>
        <v>3862.2</v>
      </c>
      <c r="AT33" s="4189"/>
      <c r="AU33" s="4187">
        <f t="shared" si="39"/>
        <v>25561.45</v>
      </c>
      <c r="AV33" s="4186"/>
      <c r="AW33" s="4186">
        <f>+SUMIF(WRM!$C$7:$C$127,$D33,WRM!$AV$7:$AV$127)</f>
        <v>0</v>
      </c>
      <c r="AX33" s="4189"/>
      <c r="AY33" s="4187">
        <f t="shared" si="11"/>
        <v>25561.45</v>
      </c>
      <c r="AZ33" s="4186"/>
      <c r="BA33" s="4186">
        <f>+SUMIF(WRM!$C$7:$C$127,$D33,WRM!$AZ$7:$AZ$127)</f>
        <v>9263.9499999999989</v>
      </c>
      <c r="BB33" s="4321"/>
      <c r="BC33" s="4188">
        <f t="shared" si="12"/>
        <v>13126.149999999998</v>
      </c>
      <c r="BD33" s="4191"/>
      <c r="BE33" s="4192">
        <f t="shared" si="13"/>
        <v>20377</v>
      </c>
      <c r="BF33" s="4189"/>
      <c r="BG33" s="4187">
        <f t="shared" si="14"/>
        <v>34825.4</v>
      </c>
      <c r="BH33" s="26">
        <f t="shared" si="15"/>
        <v>0</v>
      </c>
      <c r="BI33" s="26">
        <v>450445.88</v>
      </c>
    </row>
    <row r="34" spans="3:62" ht="16.8" x14ac:dyDescent="0.3">
      <c r="C34" s="4184" t="s">
        <v>16</v>
      </c>
      <c r="D34" s="4185" t="s">
        <v>1382</v>
      </c>
      <c r="E34" s="6360"/>
      <c r="F34" s="4184"/>
      <c r="G34" s="4186">
        <f>+SUMIF(WRM!$C$7:$C$127,$D34,WRM!$F$7:$F$127)</f>
        <v>0</v>
      </c>
      <c r="H34" s="4186"/>
      <c r="I34" s="4186">
        <f>+SUMIF(WRM!$C$7:$C$127,$D34,WRM!$H$7:$H$127)</f>
        <v>0</v>
      </c>
      <c r="J34" s="4187"/>
      <c r="K34" s="4187">
        <f t="shared" si="31"/>
        <v>0</v>
      </c>
      <c r="L34" s="4186"/>
      <c r="M34" s="4186">
        <f>+SUMIF(WRM!$C$7:$C$127,$D34,WRM!$L$7:$L$127)</f>
        <v>0</v>
      </c>
      <c r="N34" s="4188"/>
      <c r="O34" s="4188">
        <f t="shared" si="32"/>
        <v>0</v>
      </c>
      <c r="P34" s="4186"/>
      <c r="Q34" s="4186">
        <f>+SUMIF(WRM!$C$7:$C$127,$D34,WRM!$P$7:$P$127)</f>
        <v>0</v>
      </c>
      <c r="R34" s="4189"/>
      <c r="S34" s="4187">
        <f t="shared" si="33"/>
        <v>0</v>
      </c>
      <c r="T34" s="4186"/>
      <c r="U34" s="4186">
        <f>+SUMIF(WRM!$C$7:$C$127,$D34,WRM!$T$7:$T$127)</f>
        <v>0</v>
      </c>
      <c r="V34" s="4189"/>
      <c r="W34" s="4187">
        <f t="shared" si="40"/>
        <v>0</v>
      </c>
      <c r="X34" s="4190"/>
      <c r="Y34" s="4204">
        <f>+SUMIF(WRM!$C$7:$C$127,$D34,WRM!$X$7:$X$127)</f>
        <v>0</v>
      </c>
      <c r="Z34" s="4188"/>
      <c r="AA34" s="4188">
        <f t="shared" si="34"/>
        <v>0</v>
      </c>
      <c r="AB34" s="4191"/>
      <c r="AC34" s="4192">
        <f t="shared" si="35"/>
        <v>0</v>
      </c>
      <c r="AD34" s="4186"/>
      <c r="AE34" s="4204">
        <f>+SUMIF(WRM!$C$7:$C$127,$D34,WRM!$AD$7:$AD$127)</f>
        <v>0</v>
      </c>
      <c r="AF34" s="4189"/>
      <c r="AG34" s="4187">
        <f t="shared" si="36"/>
        <v>0</v>
      </c>
      <c r="AH34" s="4186"/>
      <c r="AI34" s="4186">
        <f>+SUMIF(WRM!$C$7:$C$127,$D34,WRM!$AH$7:$AH$127)</f>
        <v>0</v>
      </c>
      <c r="AJ34" s="4189"/>
      <c r="AK34" s="4187">
        <f t="shared" si="8"/>
        <v>0</v>
      </c>
      <c r="AL34" s="4186"/>
      <c r="AM34" s="4186">
        <f>+SUMIF(WRM!$C$7:$C$127,$D34,WRM!$AL$7:$AL$127)</f>
        <v>0</v>
      </c>
      <c r="AN34" s="4321"/>
      <c r="AO34" s="4188">
        <f t="shared" si="37"/>
        <v>0</v>
      </c>
      <c r="AP34" s="4189"/>
      <c r="AQ34" s="4187">
        <f t="shared" si="38"/>
        <v>0</v>
      </c>
      <c r="AR34" s="4186"/>
      <c r="AS34" s="4186">
        <f>+SUMIF(WRM!$C$7:$C$127,$D34,WRM!$AR$7:$AR$127)</f>
        <v>0</v>
      </c>
      <c r="AT34" s="4189"/>
      <c r="AU34" s="4187">
        <f t="shared" si="39"/>
        <v>0</v>
      </c>
      <c r="AV34" s="4186"/>
      <c r="AW34" s="4186">
        <f>+SUMIF(WRM!$C$7:$C$127,$D34,WRM!$AV$7:$AV$127)</f>
        <v>0</v>
      </c>
      <c r="AX34" s="4189"/>
      <c r="AY34" s="4187">
        <f t="shared" si="11"/>
        <v>0</v>
      </c>
      <c r="AZ34" s="4186"/>
      <c r="BA34" s="4186">
        <f>+SUMIF(WRM!$C$7:$C$127,$D34,WRM!$AZ$7:$AZ$127)</f>
        <v>0</v>
      </c>
      <c r="BB34" s="4321"/>
      <c r="BC34" s="4188">
        <f t="shared" si="12"/>
        <v>0</v>
      </c>
      <c r="BD34" s="4191"/>
      <c r="BE34" s="4192">
        <f t="shared" si="13"/>
        <v>0</v>
      </c>
      <c r="BF34" s="4189"/>
      <c r="BG34" s="4187">
        <f t="shared" si="14"/>
        <v>0</v>
      </c>
      <c r="BH34" s="26">
        <f t="shared" si="15"/>
        <v>0</v>
      </c>
      <c r="BI34" s="26"/>
    </row>
    <row r="35" spans="3:62" ht="16.8" x14ac:dyDescent="0.3">
      <c r="C35" s="4184" t="s">
        <v>16</v>
      </c>
      <c r="D35" s="4185" t="s">
        <v>1432</v>
      </c>
      <c r="E35" s="6360"/>
      <c r="F35" s="4184"/>
      <c r="G35" s="4186">
        <f>+SUMIF(WRM!$C$7:$C$127,$D35,WRM!$F$7:$F$127)</f>
        <v>229.6</v>
      </c>
      <c r="H35" s="4186"/>
      <c r="I35" s="4186">
        <f>+SUMIF(WRM!$C$7:$C$127,$D35,WRM!$H$7:$H$127)</f>
        <v>0</v>
      </c>
      <c r="J35" s="4187"/>
      <c r="K35" s="4187">
        <f t="shared" si="31"/>
        <v>229.6</v>
      </c>
      <c r="L35" s="4186"/>
      <c r="M35" s="4186">
        <f>+SUMIF(WRM!$C$7:$C$127,$D35,WRM!$L$7:$L$127)</f>
        <v>0</v>
      </c>
      <c r="N35" s="4188"/>
      <c r="O35" s="4188">
        <f t="shared" si="32"/>
        <v>229.6</v>
      </c>
      <c r="P35" s="4186"/>
      <c r="Q35" s="4186">
        <f>+SUMIF(WRM!$C$7:$C$127,$D35,WRM!$P$7:$P$127)</f>
        <v>0</v>
      </c>
      <c r="R35" s="4189"/>
      <c r="S35" s="4187">
        <f t="shared" si="33"/>
        <v>229.6</v>
      </c>
      <c r="T35" s="4186"/>
      <c r="U35" s="4186">
        <f>+SUMIF(WRM!$C$7:$C$127,$D35,WRM!$T$7:$T$127)</f>
        <v>0</v>
      </c>
      <c r="V35" s="4189"/>
      <c r="W35" s="4187">
        <f t="shared" si="40"/>
        <v>229.6</v>
      </c>
      <c r="X35" s="4190"/>
      <c r="Y35" s="4204">
        <f>+SUMIF(WRM!$C$7:$C$127,$D35,WRM!$X$7:$X$127)</f>
        <v>0</v>
      </c>
      <c r="Z35" s="4188"/>
      <c r="AA35" s="4188">
        <f t="shared" si="34"/>
        <v>0</v>
      </c>
      <c r="AB35" s="4191"/>
      <c r="AC35" s="4192">
        <f t="shared" si="35"/>
        <v>229.6</v>
      </c>
      <c r="AD35" s="4186"/>
      <c r="AE35" s="4204">
        <f>+SUMIF(WRM!$C$7:$C$127,$D35,WRM!$AD$7:$AD$127)</f>
        <v>0</v>
      </c>
      <c r="AF35" s="4189"/>
      <c r="AG35" s="4187">
        <f t="shared" si="36"/>
        <v>229.6</v>
      </c>
      <c r="AH35" s="4186"/>
      <c r="AI35" s="4186">
        <f>+SUMIF(WRM!$C$7:$C$127,$D35,WRM!$AH$7:$AH$127)</f>
        <v>0</v>
      </c>
      <c r="AJ35" s="4189"/>
      <c r="AK35" s="4187">
        <f t="shared" si="8"/>
        <v>229.6</v>
      </c>
      <c r="AL35" s="4186"/>
      <c r="AM35" s="4186">
        <f>+SUMIF(WRM!$C$7:$C$127,$D35,WRM!$AL$7:$AL$127)</f>
        <v>0</v>
      </c>
      <c r="AN35" s="4321"/>
      <c r="AO35" s="4188">
        <f t="shared" si="37"/>
        <v>0</v>
      </c>
      <c r="AP35" s="4189"/>
      <c r="AQ35" s="4187">
        <f t="shared" si="38"/>
        <v>229.6</v>
      </c>
      <c r="AR35" s="4186"/>
      <c r="AS35" s="4186">
        <f>+SUMIF(WRM!$C$7:$C$127,$D35,WRM!$AR$7:$AR$127)</f>
        <v>0</v>
      </c>
      <c r="AT35" s="4189"/>
      <c r="AU35" s="4187">
        <f t="shared" si="39"/>
        <v>229.6</v>
      </c>
      <c r="AV35" s="4186"/>
      <c r="AW35" s="4186">
        <f>+SUMIF(WRM!$C$7:$C$127,$D35,WRM!$AV$7:$AV$127)</f>
        <v>0</v>
      </c>
      <c r="AX35" s="4189"/>
      <c r="AY35" s="4187">
        <f t="shared" si="11"/>
        <v>229.6</v>
      </c>
      <c r="AZ35" s="4186"/>
      <c r="BA35" s="4186">
        <f>+SUMIF(WRM!$C$7:$C$127,$D35,WRM!$AZ$7:$AZ$127)</f>
        <v>0</v>
      </c>
      <c r="BB35" s="4321"/>
      <c r="BC35" s="4188">
        <f t="shared" si="12"/>
        <v>0</v>
      </c>
      <c r="BD35" s="4191"/>
      <c r="BE35" s="4192">
        <f t="shared" si="13"/>
        <v>0</v>
      </c>
      <c r="BF35" s="4189"/>
      <c r="BG35" s="4187">
        <f t="shared" si="14"/>
        <v>229.6</v>
      </c>
      <c r="BH35" s="26">
        <f t="shared" si="15"/>
        <v>0</v>
      </c>
      <c r="BI35" s="26"/>
    </row>
    <row r="36" spans="3:62" ht="16.8" x14ac:dyDescent="0.3">
      <c r="C36" s="4184" t="s">
        <v>16</v>
      </c>
      <c r="D36" s="4185" t="s">
        <v>1488</v>
      </c>
      <c r="E36" s="6360"/>
      <c r="F36" s="4184"/>
      <c r="G36" s="4186">
        <f>+SUMIF(WRM!$C$7:$C$127,$D36,WRM!$F$7:$F$127)</f>
        <v>0</v>
      </c>
      <c r="H36" s="4186"/>
      <c r="I36" s="4186">
        <f>+SUMIF(WRM!$C$7:$C$127,$D36,WRM!$H$7:$H$127)</f>
        <v>0</v>
      </c>
      <c r="J36" s="4187"/>
      <c r="K36" s="4187">
        <f t="shared" si="31"/>
        <v>0</v>
      </c>
      <c r="L36" s="4186"/>
      <c r="M36" s="4186">
        <f>+SUMIF(WRM!$C$7:$C$127,$D36,WRM!$L$7:$L$127)</f>
        <v>0</v>
      </c>
      <c r="N36" s="4188"/>
      <c r="O36" s="4188">
        <f t="shared" si="32"/>
        <v>0</v>
      </c>
      <c r="P36" s="4186"/>
      <c r="Q36" s="4186">
        <f>+SUMIF(WRM!$C$7:$C$127,$D36,WRM!$P$7:$P$127)</f>
        <v>0</v>
      </c>
      <c r="R36" s="4189"/>
      <c r="S36" s="4187">
        <f t="shared" si="33"/>
        <v>0</v>
      </c>
      <c r="T36" s="4186"/>
      <c r="U36" s="4186">
        <f>+SUMIF(WRM!$C$7:$C$127,$D36,WRM!$T$7:$T$127)</f>
        <v>0</v>
      </c>
      <c r="V36" s="4189"/>
      <c r="W36" s="4187">
        <f t="shared" si="40"/>
        <v>0</v>
      </c>
      <c r="X36" s="4190"/>
      <c r="Y36" s="4204">
        <f>+SUMIF(WRM!$C$7:$C$127,$D36,WRM!$X$7:$X$127)</f>
        <v>0</v>
      </c>
      <c r="Z36" s="4188"/>
      <c r="AA36" s="4188">
        <f t="shared" si="34"/>
        <v>0</v>
      </c>
      <c r="AB36" s="4191"/>
      <c r="AC36" s="4192">
        <f t="shared" si="35"/>
        <v>0</v>
      </c>
      <c r="AD36" s="4186"/>
      <c r="AE36" s="4204">
        <f>+SUMIF(WRM!$C$7:$C$127,$D36,WRM!$AD$7:$AD$127)</f>
        <v>0</v>
      </c>
      <c r="AF36" s="4189"/>
      <c r="AG36" s="4187">
        <f t="shared" si="36"/>
        <v>0</v>
      </c>
      <c r="AH36" s="4186"/>
      <c r="AI36" s="4186">
        <f>+SUMIF(WRM!$C$7:$C$127,$D36,WRM!$AH$7:$AH$127)</f>
        <v>0</v>
      </c>
      <c r="AJ36" s="4189"/>
      <c r="AK36" s="4187">
        <f t="shared" si="8"/>
        <v>0</v>
      </c>
      <c r="AL36" s="4186"/>
      <c r="AM36" s="4186">
        <f>+SUMIF(WRM!$C$7:$C$127,$D36,WRM!$AL$7:$AL$127)</f>
        <v>0</v>
      </c>
      <c r="AN36" s="4321"/>
      <c r="AO36" s="4188">
        <f t="shared" si="37"/>
        <v>0</v>
      </c>
      <c r="AP36" s="4189"/>
      <c r="AQ36" s="4187">
        <f t="shared" si="38"/>
        <v>0</v>
      </c>
      <c r="AR36" s="4186"/>
      <c r="AS36" s="4186">
        <f>+SUMIF(WRM!$C$7:$C$127,$D36,WRM!$AR$7:$AR$127)</f>
        <v>0</v>
      </c>
      <c r="AT36" s="4189"/>
      <c r="AU36" s="4187">
        <f t="shared" si="39"/>
        <v>0</v>
      </c>
      <c r="AV36" s="4186"/>
      <c r="AW36" s="4186">
        <f>+SUMIF(WRM!$C$7:$C$127,$D36,WRM!$AV$7:$AV$127)</f>
        <v>0</v>
      </c>
      <c r="AX36" s="4189"/>
      <c r="AY36" s="4187">
        <f t="shared" si="11"/>
        <v>0</v>
      </c>
      <c r="AZ36" s="4186"/>
      <c r="BA36" s="4186">
        <f>+SUMIF(WRM!$C$7:$C$127,$D36,WRM!$AZ$7:$AZ$127)</f>
        <v>0</v>
      </c>
      <c r="BB36" s="4321"/>
      <c r="BC36" s="4188">
        <f t="shared" si="12"/>
        <v>0</v>
      </c>
      <c r="BD36" s="4191"/>
      <c r="BE36" s="4192">
        <f t="shared" si="13"/>
        <v>0</v>
      </c>
      <c r="BF36" s="4189"/>
      <c r="BG36" s="4187">
        <f t="shared" si="14"/>
        <v>0</v>
      </c>
      <c r="BH36" s="26">
        <f t="shared" si="15"/>
        <v>0</v>
      </c>
      <c r="BI36" s="26"/>
    </row>
    <row r="37" spans="3:62" ht="16.8" x14ac:dyDescent="0.3">
      <c r="C37" s="4184" t="s">
        <v>16</v>
      </c>
      <c r="D37" s="4185" t="s">
        <v>1434</v>
      </c>
      <c r="E37" s="6360"/>
      <c r="F37" s="4184"/>
      <c r="G37" s="4186">
        <f>+SUMIF(WRM!$C$7:$C$127,$D37,WRM!$F$7:$F$127)</f>
        <v>412.05</v>
      </c>
      <c r="H37" s="4186"/>
      <c r="I37" s="4186">
        <f>+SUMIF(WRM!$C$7:$C$127,$D37,WRM!$H$7:$H$127)</f>
        <v>200.89999999999998</v>
      </c>
      <c r="J37" s="4187"/>
      <c r="K37" s="4187">
        <f t="shared" si="31"/>
        <v>612.95000000000005</v>
      </c>
      <c r="L37" s="4186"/>
      <c r="M37" s="4186">
        <f>+SUMIF(WRM!$C$7:$C$127,$D37,WRM!$L$7:$L$127)</f>
        <v>0</v>
      </c>
      <c r="N37" s="4188"/>
      <c r="O37" s="4188">
        <f t="shared" si="32"/>
        <v>612.95000000000005</v>
      </c>
      <c r="P37" s="4186"/>
      <c r="Q37" s="4186">
        <f>+SUMIF(WRM!$C$7:$C$127,$D37,WRM!$P$7:$P$127)</f>
        <v>0</v>
      </c>
      <c r="R37" s="4189"/>
      <c r="S37" s="4187">
        <f t="shared" si="33"/>
        <v>612.95000000000005</v>
      </c>
      <c r="T37" s="4186"/>
      <c r="U37" s="4186">
        <f>+SUMIF(WRM!$C$7:$C$127,$D37,WRM!$T$7:$T$127)</f>
        <v>0</v>
      </c>
      <c r="V37" s="4189"/>
      <c r="W37" s="4187">
        <f t="shared" si="40"/>
        <v>612.95000000000005</v>
      </c>
      <c r="X37" s="4190"/>
      <c r="Y37" s="4204">
        <f>+SUMIF(WRM!$C$7:$C$127,$D37,WRM!$X$7:$X$127)</f>
        <v>0</v>
      </c>
      <c r="Z37" s="4188"/>
      <c r="AA37" s="4188">
        <f t="shared" si="34"/>
        <v>0</v>
      </c>
      <c r="AB37" s="4191"/>
      <c r="AC37" s="4192">
        <f t="shared" si="35"/>
        <v>612.95000000000005</v>
      </c>
      <c r="AD37" s="4186"/>
      <c r="AE37" s="4204">
        <f>+SUMIF(WRM!$C$7:$C$127,$D37,WRM!$AD$7:$AD$127)</f>
        <v>0</v>
      </c>
      <c r="AF37" s="4189"/>
      <c r="AG37" s="4187">
        <f t="shared" si="36"/>
        <v>612.95000000000005</v>
      </c>
      <c r="AH37" s="4186"/>
      <c r="AI37" s="4186">
        <f>+SUMIF(WRM!$C$7:$C$127,$D37,WRM!$AH$7:$AH$127)</f>
        <v>0</v>
      </c>
      <c r="AJ37" s="4189"/>
      <c r="AK37" s="4187">
        <f t="shared" si="8"/>
        <v>612.95000000000005</v>
      </c>
      <c r="AL37" s="4186"/>
      <c r="AM37" s="4186">
        <f>+SUMIF(WRM!$C$7:$C$127,$D37,WRM!$AL$7:$AL$127)</f>
        <v>20.5</v>
      </c>
      <c r="AN37" s="4321"/>
      <c r="AO37" s="4188">
        <f t="shared" si="37"/>
        <v>20.5</v>
      </c>
      <c r="AP37" s="4189"/>
      <c r="AQ37" s="4187">
        <f t="shared" si="38"/>
        <v>633.45000000000005</v>
      </c>
      <c r="AR37" s="4186"/>
      <c r="AS37" s="4186">
        <f>+SUMIF(WRM!$C$7:$C$127,$D37,WRM!$AR$7:$AR$127)</f>
        <v>182.45</v>
      </c>
      <c r="AT37" s="4189"/>
      <c r="AU37" s="4187">
        <f t="shared" si="39"/>
        <v>815.90000000000009</v>
      </c>
      <c r="AV37" s="4186"/>
      <c r="AW37" s="4186">
        <f>+SUMIF(WRM!$C$7:$C$127,$D37,WRM!$AV$7:$AV$127)</f>
        <v>20.5</v>
      </c>
      <c r="AX37" s="4189"/>
      <c r="AY37" s="4187">
        <f t="shared" si="11"/>
        <v>836.40000000000009</v>
      </c>
      <c r="AZ37" s="4186"/>
      <c r="BA37" s="4186">
        <f>+SUMIF(WRM!$C$7:$C$127,$D37,WRM!$AZ$7:$AZ$127)</f>
        <v>137.35000000000002</v>
      </c>
      <c r="BB37" s="4321"/>
      <c r="BC37" s="4188">
        <f t="shared" si="12"/>
        <v>340.3</v>
      </c>
      <c r="BD37" s="4191"/>
      <c r="BE37" s="4192">
        <f t="shared" si="13"/>
        <v>360.8</v>
      </c>
      <c r="BF37" s="4189"/>
      <c r="BG37" s="4187">
        <f t="shared" si="14"/>
        <v>973.75000000000011</v>
      </c>
      <c r="BH37" s="26">
        <f t="shared" si="15"/>
        <v>0</v>
      </c>
      <c r="BI37" s="26"/>
    </row>
    <row r="38" spans="3:62" ht="16.8" x14ac:dyDescent="0.3">
      <c r="C38" s="6356" t="s">
        <v>958</v>
      </c>
      <c r="D38" s="6356"/>
      <c r="E38" s="6360"/>
      <c r="F38" s="4199"/>
      <c r="G38" s="4200">
        <f t="shared" ref="G38:AM38" si="41">SUM(G4:G37)</f>
        <v>35399.379999999997</v>
      </c>
      <c r="H38" s="4200">
        <f t="shared" si="41"/>
        <v>0</v>
      </c>
      <c r="I38" s="4200">
        <f t="shared" si="41"/>
        <v>36334.199999999997</v>
      </c>
      <c r="J38" s="4200">
        <f t="shared" si="41"/>
        <v>0</v>
      </c>
      <c r="K38" s="4201">
        <f t="shared" si="41"/>
        <v>71733.58</v>
      </c>
      <c r="L38" s="4200">
        <f t="shared" si="41"/>
        <v>0</v>
      </c>
      <c r="M38" s="4200">
        <f t="shared" si="41"/>
        <v>37452.9</v>
      </c>
      <c r="N38" s="4200">
        <f t="shared" si="41"/>
        <v>0</v>
      </c>
      <c r="O38" s="4202">
        <f t="shared" si="41"/>
        <v>109186.48</v>
      </c>
      <c r="P38" s="4200">
        <f t="shared" si="41"/>
        <v>0</v>
      </c>
      <c r="Q38" s="4200">
        <f t="shared" si="41"/>
        <v>44200.05</v>
      </c>
      <c r="R38" s="4200">
        <f t="shared" si="41"/>
        <v>0</v>
      </c>
      <c r="S38" s="4201">
        <f t="shared" si="41"/>
        <v>153386.53000000003</v>
      </c>
      <c r="T38" s="4200">
        <f t="shared" si="41"/>
        <v>0</v>
      </c>
      <c r="U38" s="4200">
        <f t="shared" si="41"/>
        <v>33658.950000000004</v>
      </c>
      <c r="V38" s="4200">
        <f t="shared" si="41"/>
        <v>0</v>
      </c>
      <c r="W38" s="4201">
        <f t="shared" si="41"/>
        <v>187045.48</v>
      </c>
      <c r="X38" s="4200">
        <f t="shared" si="41"/>
        <v>0</v>
      </c>
      <c r="Y38" s="4200">
        <f t="shared" si="41"/>
        <v>37412.5</v>
      </c>
      <c r="Z38" s="4200">
        <f t="shared" si="41"/>
        <v>0</v>
      </c>
      <c r="AA38" s="4202">
        <f t="shared" si="41"/>
        <v>115271.50000000001</v>
      </c>
      <c r="AB38" s="4200">
        <f t="shared" si="41"/>
        <v>0</v>
      </c>
      <c r="AC38" s="4203">
        <f t="shared" si="41"/>
        <v>224457.97999999998</v>
      </c>
      <c r="AD38" s="4200">
        <f t="shared" si="41"/>
        <v>0</v>
      </c>
      <c r="AE38" s="4200">
        <f t="shared" si="41"/>
        <v>28117.8</v>
      </c>
      <c r="AF38" s="4200">
        <f t="shared" si="41"/>
        <v>0</v>
      </c>
      <c r="AG38" s="4201">
        <f t="shared" si="41"/>
        <v>252575.78000000003</v>
      </c>
      <c r="AH38" s="4200">
        <f t="shared" si="41"/>
        <v>0</v>
      </c>
      <c r="AI38" s="4200">
        <f t="shared" si="41"/>
        <v>33991.050000000003</v>
      </c>
      <c r="AJ38" s="4200">
        <f t="shared" si="41"/>
        <v>0</v>
      </c>
      <c r="AK38" s="4201">
        <f t="shared" si="41"/>
        <v>286566.83</v>
      </c>
      <c r="AL38" s="4200">
        <f t="shared" si="41"/>
        <v>0</v>
      </c>
      <c r="AM38" s="4200">
        <f t="shared" si="41"/>
        <v>39526.050000000003</v>
      </c>
      <c r="AN38" s="4322"/>
      <c r="AO38" s="4202">
        <f t="shared" ref="AO38:BA38" si="42">SUM(AO4:AO37)</f>
        <v>101634.90000000001</v>
      </c>
      <c r="AP38" s="4200">
        <f t="shared" si="42"/>
        <v>0</v>
      </c>
      <c r="AQ38" s="4201">
        <f t="shared" si="42"/>
        <v>326092.88</v>
      </c>
      <c r="AR38" s="4200">
        <f t="shared" si="42"/>
        <v>0</v>
      </c>
      <c r="AS38" s="4200">
        <f t="shared" si="42"/>
        <v>39585.500000000007</v>
      </c>
      <c r="AT38" s="4200">
        <f t="shared" si="42"/>
        <v>0</v>
      </c>
      <c r="AU38" s="4201">
        <f t="shared" si="42"/>
        <v>365678.38</v>
      </c>
      <c r="AV38" s="4200">
        <f t="shared" si="42"/>
        <v>0</v>
      </c>
      <c r="AW38" s="4200">
        <f t="shared" si="42"/>
        <v>36941.000000000022</v>
      </c>
      <c r="AX38" s="4200">
        <f t="shared" si="42"/>
        <v>0</v>
      </c>
      <c r="AY38" s="4201">
        <f t="shared" si="42"/>
        <v>402619.38</v>
      </c>
      <c r="AZ38" s="4200">
        <f t="shared" si="42"/>
        <v>0</v>
      </c>
      <c r="BA38" s="4200">
        <f t="shared" si="42"/>
        <v>46047.099999999991</v>
      </c>
      <c r="BB38" s="4322"/>
      <c r="BC38" s="4202">
        <f>SUM(BC4:BC37)</f>
        <v>122573.6</v>
      </c>
      <c r="BD38" s="4200">
        <f>SUM(BD4:BD37)</f>
        <v>0</v>
      </c>
      <c r="BE38" s="4203">
        <f>SUM(BE4:BE37)</f>
        <v>224208.5</v>
      </c>
      <c r="BF38" s="4200">
        <f>SUM(BF4:BF37)</f>
        <v>0</v>
      </c>
      <c r="BG38" s="4201">
        <f>SUM(BG4:BG37)</f>
        <v>448666.48000000004</v>
      </c>
      <c r="BH38" s="26">
        <f t="shared" si="15"/>
        <v>0</v>
      </c>
      <c r="BI38" s="26">
        <f>BG38+BG114+BG113</f>
        <v>450445.88</v>
      </c>
    </row>
    <row r="39" spans="3:62" ht="16.8" x14ac:dyDescent="0.3">
      <c r="C39" s="4184" t="s">
        <v>91</v>
      </c>
      <c r="D39" s="4184" t="s">
        <v>1033</v>
      </c>
      <c r="E39" s="6360"/>
      <c r="F39" s="4184"/>
      <c r="G39" s="4186">
        <f>+SUMIF(BM!$C$7:$C$42,$D39,BM!$F$7:$F$42)</f>
        <v>8938.2249999999985</v>
      </c>
      <c r="H39" s="4186"/>
      <c r="I39" s="4186">
        <f>+SUMIF(BM!$C$7:$C$42,$D39,BM!$H$7:$H$42)</f>
        <v>19895.290000000015</v>
      </c>
      <c r="J39" s="4187"/>
      <c r="K39" s="4187">
        <f t="shared" si="16"/>
        <v>28833.515000000014</v>
      </c>
      <c r="L39" s="4186"/>
      <c r="M39" s="4186">
        <f>+SUMIF(BM!$C$7:$C$42,$D39,BM!$L$7:$L$42)</f>
        <v>13893.16</v>
      </c>
      <c r="N39" s="4188"/>
      <c r="O39" s="4188">
        <f t="shared" si="2"/>
        <v>42726.675000000017</v>
      </c>
      <c r="P39" s="4186"/>
      <c r="Q39" s="4186">
        <f>+SUMIF(BM!$C$7:$C$42,$D39,BM!$P$7:$P$42)</f>
        <v>22964.860000000015</v>
      </c>
      <c r="R39" s="4189"/>
      <c r="S39" s="4187">
        <f t="shared" si="3"/>
        <v>65691.535000000033</v>
      </c>
      <c r="T39" s="4186"/>
      <c r="U39" s="4186">
        <f>+SUMIF(BM!$C$7:$C$42,$D39,BM!$T$7:$T$42)</f>
        <v>5623.75</v>
      </c>
      <c r="V39" s="4189"/>
      <c r="W39" s="4187">
        <f t="shared" si="4"/>
        <v>71315.285000000033</v>
      </c>
      <c r="X39" s="4190"/>
      <c r="Y39" s="4186">
        <f>+SUMIF(BM!$C$7:$C$42,$D39,BM!$X$7:$X$42)</f>
        <v>7496.6249999999991</v>
      </c>
      <c r="Z39" s="4188"/>
      <c r="AA39" s="4188">
        <f t="shared" si="5"/>
        <v>36085.235000000015</v>
      </c>
      <c r="AB39" s="4191"/>
      <c r="AC39" s="4192">
        <f t="shared" si="6"/>
        <v>78811.910000000033</v>
      </c>
      <c r="AD39" s="4186"/>
      <c r="AE39" s="4186">
        <f>+SUMIF(BM!$C$7:$C$42,$D39,BM!$AD$7:$AD$42)</f>
        <v>1136.0549999999998</v>
      </c>
      <c r="AF39" s="4189"/>
      <c r="AG39" s="4187">
        <f t="shared" si="7"/>
        <v>79947.965000000026</v>
      </c>
      <c r="AH39" s="4186"/>
      <c r="AI39" s="4186">
        <f>+SUMIF(BM!$C$7:$C$42,$D39,BM!$AH$7:$AH$42)</f>
        <v>0</v>
      </c>
      <c r="AJ39" s="4189"/>
      <c r="AK39" s="4187">
        <f t="shared" ref="AK39:AK75" si="43">+AG39+AI39</f>
        <v>79947.965000000026</v>
      </c>
      <c r="AL39" s="4186"/>
      <c r="AM39" s="4186">
        <f>+SUMIF(BM!$C$7:$C$42,$D39,BM!$AL$7:$AL$42)</f>
        <v>2696.335</v>
      </c>
      <c r="AN39" s="4321"/>
      <c r="AO39" s="4188">
        <f t="shared" si="9"/>
        <v>3832.39</v>
      </c>
      <c r="AP39" s="4189"/>
      <c r="AQ39" s="4187">
        <f t="shared" ref="AQ39:AQ45" si="44">+AK39+AM39</f>
        <v>82644.300000000032</v>
      </c>
      <c r="AR39" s="4186"/>
      <c r="AS39" s="4186">
        <f>+SUMIF(BM!$C$7:$C$42,$D39,BM!$AR$7:$AR$42)</f>
        <v>6561.7749999999996</v>
      </c>
      <c r="AT39" s="4189"/>
      <c r="AU39" s="4187">
        <f t="shared" ref="AU39:AU45" si="45">+AQ39+AS39</f>
        <v>89206.075000000026</v>
      </c>
      <c r="AV39" s="4186"/>
      <c r="AW39" s="4186">
        <f>+SUMIF(BM!$C$7:$C$42,$D39,BM!$AV$7:$AV$42)</f>
        <v>8664.6650000000009</v>
      </c>
      <c r="AX39" s="4189"/>
      <c r="AY39" s="4187">
        <f t="shared" ref="AY39:AY45" si="46">+AU39+AW39</f>
        <v>97870.74000000002</v>
      </c>
      <c r="AZ39" s="4186"/>
      <c r="BA39" s="4186">
        <f>+SUMIF(BM!$C$7:$C$42,$D39,BM!$AZ$7:$AZ$42)</f>
        <v>9169.8310753426213</v>
      </c>
      <c r="BB39" s="4321"/>
      <c r="BC39" s="4188">
        <f t="shared" ref="BC39:BC45" si="47">AS39+AW39+BA39</f>
        <v>24396.271075342622</v>
      </c>
      <c r="BD39" s="4191"/>
      <c r="BE39" s="4192">
        <f t="shared" si="13"/>
        <v>28228.661075342621</v>
      </c>
      <c r="BF39" s="4189"/>
      <c r="BG39" s="4187">
        <f t="shared" ref="BG39:BG45" si="48">+AY39+BA39</f>
        <v>107040.57107534264</v>
      </c>
      <c r="BH39" s="26">
        <f t="shared" si="15"/>
        <v>0</v>
      </c>
      <c r="BI39" s="26"/>
      <c r="BJ39" s="26"/>
    </row>
    <row r="40" spans="3:62" ht="16.8" x14ac:dyDescent="0.3">
      <c r="C40" s="4184" t="s">
        <v>91</v>
      </c>
      <c r="D40" s="4184" t="s">
        <v>1034</v>
      </c>
      <c r="E40" s="6360"/>
      <c r="F40" s="4184"/>
      <c r="G40" s="4186">
        <f>+SUMIF(BM!$C$7:$C$42,$D40,BM!$F$7:$F$42)</f>
        <v>23478.605000000014</v>
      </c>
      <c r="H40" s="4186"/>
      <c r="I40" s="4186">
        <f>+SUMIF(BM!$C$7:$C$42,$D40,BM!$H$7:$H$42)</f>
        <v>26257.105000000018</v>
      </c>
      <c r="J40" s="4187"/>
      <c r="K40" s="4187">
        <f t="shared" si="16"/>
        <v>49735.710000000036</v>
      </c>
      <c r="L40" s="4186"/>
      <c r="M40" s="4186">
        <f>+SUMIF(BM!$C$7:$C$42,$D40,BM!$L$7:$L$42)</f>
        <v>24809.215000000015</v>
      </c>
      <c r="N40" s="4188"/>
      <c r="O40" s="4188">
        <f t="shared" si="2"/>
        <v>74544.925000000047</v>
      </c>
      <c r="P40" s="4186"/>
      <c r="Q40" s="4186">
        <f>+SUMIF(BM!$C$7:$C$42,$D40,BM!$P$7:$P$42)</f>
        <v>46228.605000000076</v>
      </c>
      <c r="R40" s="4189"/>
      <c r="S40" s="4187">
        <f t="shared" si="3"/>
        <v>120773.53000000012</v>
      </c>
      <c r="T40" s="4186"/>
      <c r="U40" s="4186">
        <f>+SUMIF(BM!$C$7:$C$42,$D40,BM!$T$7:$T$42)</f>
        <v>36993.745000000017</v>
      </c>
      <c r="V40" s="4189"/>
      <c r="W40" s="4187">
        <f t="shared" si="4"/>
        <v>157767.27500000014</v>
      </c>
      <c r="X40" s="4190"/>
      <c r="Y40" s="4186">
        <f>+SUMIF(BM!$C$7:$C$42,$D40,BM!$X$7:$X$42)</f>
        <v>36854.330000000053</v>
      </c>
      <c r="Z40" s="4188"/>
      <c r="AA40" s="4188">
        <f t="shared" si="5"/>
        <v>120076.68000000014</v>
      </c>
      <c r="AB40" s="4191"/>
      <c r="AC40" s="4192">
        <f t="shared" si="6"/>
        <v>194621.60500000019</v>
      </c>
      <c r="AD40" s="4186"/>
      <c r="AE40" s="4186">
        <f>+SUMIF(BM!$C$7:$C$42,$D40,BM!$AD$7:$AD$42)</f>
        <v>39236.38000000007</v>
      </c>
      <c r="AF40" s="4189"/>
      <c r="AG40" s="4187">
        <f t="shared" si="7"/>
        <v>233857.98500000025</v>
      </c>
      <c r="AH40" s="4186"/>
      <c r="AI40" s="4186">
        <f>+SUMIF(BM!$C$7:$C$42,$D40,BM!$AH$7:$AH$42)</f>
        <v>40296.170000000035</v>
      </c>
      <c r="AJ40" s="4189"/>
      <c r="AK40" s="4187">
        <f t="shared" si="43"/>
        <v>274154.15500000026</v>
      </c>
      <c r="AL40" s="4186"/>
      <c r="AM40" s="4186">
        <f>+SUMIF(BM!$C$7:$C$42,$D40,BM!$AL$7:$AL$42)</f>
        <v>42591.195000000109</v>
      </c>
      <c r="AN40" s="4321"/>
      <c r="AO40" s="4188">
        <f t="shared" si="9"/>
        <v>122123.74500000021</v>
      </c>
      <c r="AP40" s="4189"/>
      <c r="AQ40" s="4187">
        <f t="shared" si="44"/>
        <v>316745.35000000038</v>
      </c>
      <c r="AR40" s="4186"/>
      <c r="AS40" s="4186">
        <f>+SUMIF(BM!$C$7:$C$42,$D40,BM!$AR$7:$AR$42)</f>
        <v>48889.360000000073</v>
      </c>
      <c r="AT40" s="4189"/>
      <c r="AU40" s="4187">
        <f t="shared" si="45"/>
        <v>365634.71000000043</v>
      </c>
      <c r="AV40" s="4186"/>
      <c r="AW40" s="4186">
        <f>+SUMIF(BM!$C$7:$C$42,$D40,BM!$AV$7:$AV$42)</f>
        <v>23043.060000000005</v>
      </c>
      <c r="AX40" s="4189"/>
      <c r="AY40" s="4187">
        <f t="shared" si="46"/>
        <v>388677.77000000043</v>
      </c>
      <c r="AZ40" s="4186"/>
      <c r="BA40" s="4186">
        <f>+SUMIF(BM!$C$7:$C$42,$D40,BM!$AZ$7:$AZ$42)</f>
        <v>47438.358295731814</v>
      </c>
      <c r="BB40" s="4321"/>
      <c r="BC40" s="4188">
        <f t="shared" si="47"/>
        <v>119370.77829573189</v>
      </c>
      <c r="BD40" s="4191"/>
      <c r="BE40" s="4192">
        <f t="shared" si="13"/>
        <v>241494.5232957321</v>
      </c>
      <c r="BF40" s="4189"/>
      <c r="BG40" s="4187">
        <f t="shared" si="48"/>
        <v>436116.12829573225</v>
      </c>
      <c r="BH40" s="26">
        <f t="shared" si="15"/>
        <v>0</v>
      </c>
      <c r="BI40" s="26"/>
    </row>
    <row r="41" spans="3:62" ht="16.8" x14ac:dyDescent="0.3">
      <c r="C41" s="4184" t="s">
        <v>91</v>
      </c>
      <c r="D41" s="4184" t="s">
        <v>1137</v>
      </c>
      <c r="E41" s="6360"/>
      <c r="F41" s="4184"/>
      <c r="G41" s="4186">
        <f>+SUMIF(BM!$C$7:$C$42,$D41,BM!$F$7:$F$42)</f>
        <v>31546.220000000012</v>
      </c>
      <c r="H41" s="4186"/>
      <c r="I41" s="4186">
        <f>+SUMIF(BM!$C$7:$C$42,$D41,BM!$H$7:$H$42)</f>
        <v>29282.950000000026</v>
      </c>
      <c r="J41" s="4187"/>
      <c r="K41" s="4187">
        <f t="shared" si="16"/>
        <v>60829.170000000042</v>
      </c>
      <c r="L41" s="4186"/>
      <c r="M41" s="4186">
        <f>+SUMIF(BM!$C$7:$C$42,$D41,BM!$L$7:$L$42)</f>
        <v>32011.095000000038</v>
      </c>
      <c r="N41" s="4188"/>
      <c r="O41" s="4188">
        <f t="shared" si="2"/>
        <v>92840.265000000072</v>
      </c>
      <c r="P41" s="4186"/>
      <c r="Q41" s="4186">
        <f>+SUMIF(BM!$C$7:$C$42,$D41,BM!$P$7:$P$42)</f>
        <v>18863.025000000012</v>
      </c>
      <c r="R41" s="4189"/>
      <c r="S41" s="4187">
        <f t="shared" si="3"/>
        <v>111703.29000000008</v>
      </c>
      <c r="T41" s="4186"/>
      <c r="U41" s="4186">
        <f>+SUMIF(BM!$C$7:$C$42,$D41,BM!$T$7:$T$42)</f>
        <v>28986.125000000029</v>
      </c>
      <c r="V41" s="4189"/>
      <c r="W41" s="4187">
        <f t="shared" si="4"/>
        <v>140689.4150000001</v>
      </c>
      <c r="X41" s="4190"/>
      <c r="Y41" s="4186">
        <f>+SUMIF(BM!$C$7:$C$42,$D41,BM!$X$7:$X$42)</f>
        <v>29188.925000000021</v>
      </c>
      <c r="Z41" s="4188"/>
      <c r="AA41" s="4188">
        <f t="shared" si="5"/>
        <v>77038.075000000055</v>
      </c>
      <c r="AB41" s="4191"/>
      <c r="AC41" s="4192">
        <f t="shared" si="6"/>
        <v>169878.34000000014</v>
      </c>
      <c r="AD41" s="4186"/>
      <c r="AE41" s="4186">
        <f>+SUMIF(BM!$C$7:$C$42,$D41,BM!$AD$7:$AD$42)</f>
        <v>10577.840000000002</v>
      </c>
      <c r="AF41" s="4189"/>
      <c r="AG41" s="4187">
        <f t="shared" si="7"/>
        <v>180456.18000000014</v>
      </c>
      <c r="AH41" s="4186"/>
      <c r="AI41" s="4186">
        <f>+SUMIF(BM!$C$7:$C$42,$D41,BM!$AH$7:$AH$42)</f>
        <v>25310.055000000022</v>
      </c>
      <c r="AJ41" s="4189"/>
      <c r="AK41" s="4187">
        <f t="shared" si="43"/>
        <v>205766.23500000016</v>
      </c>
      <c r="AL41" s="4186"/>
      <c r="AM41" s="4186">
        <f>+SUMIF(BM!$C$7:$C$42,$D41,BM!$AL$7:$AL$42)</f>
        <v>31272.44500000004</v>
      </c>
      <c r="AN41" s="4321"/>
      <c r="AO41" s="4188">
        <f t="shared" si="9"/>
        <v>67160.340000000069</v>
      </c>
      <c r="AP41" s="4189"/>
      <c r="AQ41" s="4187">
        <f t="shared" si="44"/>
        <v>237038.6800000002</v>
      </c>
      <c r="AR41" s="4186"/>
      <c r="AS41" s="4186">
        <f>+SUMIF(BM!$C$7:$C$42,$D41,BM!$AR$7:$AR$42)</f>
        <v>28699.930000000048</v>
      </c>
      <c r="AT41" s="4189"/>
      <c r="AU41" s="4187">
        <f t="shared" si="45"/>
        <v>265738.61000000022</v>
      </c>
      <c r="AV41" s="4186"/>
      <c r="AW41" s="4186">
        <f>+SUMIF(BM!$C$7:$C$42,$D41,BM!$AV$7:$AV$42)</f>
        <v>42350.595000000088</v>
      </c>
      <c r="AX41" s="4189"/>
      <c r="AY41" s="4187">
        <f t="shared" si="46"/>
        <v>308089.20500000031</v>
      </c>
      <c r="AZ41" s="4186"/>
      <c r="BA41" s="4186">
        <f>+SUMIF(BM!$C$7:$C$42,$D41,BM!$AZ$7:$AZ$42)</f>
        <v>24591.810628925559</v>
      </c>
      <c r="BB41" s="4321"/>
      <c r="BC41" s="4188">
        <f t="shared" si="47"/>
        <v>95642.335628925706</v>
      </c>
      <c r="BD41" s="4191"/>
      <c r="BE41" s="4192">
        <f t="shared" si="13"/>
        <v>162802.67562892579</v>
      </c>
      <c r="BF41" s="4189"/>
      <c r="BG41" s="4187">
        <f t="shared" si="48"/>
        <v>332681.01562892587</v>
      </c>
      <c r="BH41" s="26">
        <f t="shared" si="15"/>
        <v>0</v>
      </c>
      <c r="BI41" s="26"/>
    </row>
    <row r="42" spans="3:62" ht="16.8" x14ac:dyDescent="0.3">
      <c r="C42" s="4184" t="s">
        <v>91</v>
      </c>
      <c r="D42" s="4184" t="s">
        <v>1489</v>
      </c>
      <c r="E42" s="6360"/>
      <c r="F42" s="4184"/>
      <c r="G42" s="4186">
        <f>+SUMIF(BM!$C$7:$C$42,$D42,BM!$F$7:$F$42)</f>
        <v>0</v>
      </c>
      <c r="H42" s="4186"/>
      <c r="I42" s="4186">
        <f>+SUMIF(BM!$C$7:$C$42,$D42,BM!$H$7:$H$42)</f>
        <v>0</v>
      </c>
      <c r="J42" s="4187"/>
      <c r="K42" s="4187">
        <f t="shared" si="16"/>
        <v>0</v>
      </c>
      <c r="L42" s="4186"/>
      <c r="M42" s="4186">
        <f>+SUMIF(BM!$C$7:$C$42,$D42,BM!$L$7:$L$42)</f>
        <v>0</v>
      </c>
      <c r="N42" s="4188"/>
      <c r="O42" s="4188">
        <f t="shared" si="2"/>
        <v>0</v>
      </c>
      <c r="P42" s="4186"/>
      <c r="Q42" s="4186">
        <f>+SUMIF(BM!$C$7:$C$42,$D42,BM!$P$7:$P$42)</f>
        <v>0</v>
      </c>
      <c r="R42" s="4189"/>
      <c r="S42" s="4187">
        <f t="shared" si="3"/>
        <v>0</v>
      </c>
      <c r="T42" s="4186"/>
      <c r="U42" s="4186">
        <f>+SUMIF(BM!$C$7:$C$42,$D42,BM!$T$7:$T$42)</f>
        <v>0</v>
      </c>
      <c r="V42" s="4189"/>
      <c r="W42" s="4187">
        <f t="shared" si="4"/>
        <v>0</v>
      </c>
      <c r="X42" s="4190"/>
      <c r="Y42" s="4186">
        <f>+SUMIF(BM!$C$7:$C$42,$D42,BM!$X$7:$X$42)</f>
        <v>0</v>
      </c>
      <c r="Z42" s="4188"/>
      <c r="AA42" s="4188">
        <f t="shared" si="5"/>
        <v>0</v>
      </c>
      <c r="AB42" s="4191"/>
      <c r="AC42" s="4192">
        <f t="shared" si="6"/>
        <v>0</v>
      </c>
      <c r="AD42" s="4186"/>
      <c r="AE42" s="4186">
        <f>+SUMIF(BM!$C$7:$C$42,$D42,BM!$AD$7:$AD$42)</f>
        <v>0</v>
      </c>
      <c r="AF42" s="4189"/>
      <c r="AG42" s="4187">
        <f t="shared" si="7"/>
        <v>0</v>
      </c>
      <c r="AH42" s="4186"/>
      <c r="AI42" s="4186">
        <f>+SUMIF(BM!$C$7:$C$42,$D42,BM!$AH$7:$AH$42)</f>
        <v>0</v>
      </c>
      <c r="AJ42" s="4189"/>
      <c r="AK42" s="4187">
        <f t="shared" si="43"/>
        <v>0</v>
      </c>
      <c r="AL42" s="4186"/>
      <c r="AM42" s="4186">
        <f>+SUMIF(BM!$C$7:$C$42,$D42,BM!$AL$7:$AL$42)</f>
        <v>0</v>
      </c>
      <c r="AN42" s="4321"/>
      <c r="AO42" s="4188">
        <f t="shared" si="9"/>
        <v>0</v>
      </c>
      <c r="AP42" s="4189"/>
      <c r="AQ42" s="4187">
        <f t="shared" si="44"/>
        <v>0</v>
      </c>
      <c r="AR42" s="4186"/>
      <c r="AS42" s="4186">
        <f>+SUMIF(BM!$C$7:$C$42,$D42,BM!$AR$7:$AR$42)</f>
        <v>0</v>
      </c>
      <c r="AT42" s="4189"/>
      <c r="AU42" s="4187">
        <f t="shared" si="45"/>
        <v>0</v>
      </c>
      <c r="AV42" s="4186"/>
      <c r="AW42" s="4186">
        <f>+SUMIF(BM!$C$7:$C$42,$D42,BM!$AV$7:$AV$42)</f>
        <v>0</v>
      </c>
      <c r="AX42" s="4189"/>
      <c r="AY42" s="4187">
        <f t="shared" si="46"/>
        <v>0</v>
      </c>
      <c r="AZ42" s="4186"/>
      <c r="BA42" s="4186">
        <f>+SUMIF(BM!$C$7:$C$42,$D42,BM!$AZ$7:$AZ$42)</f>
        <v>0</v>
      </c>
      <c r="BB42" s="4321"/>
      <c r="BC42" s="4188">
        <f t="shared" si="47"/>
        <v>0</v>
      </c>
      <c r="BD42" s="4191"/>
      <c r="BE42" s="4192">
        <f t="shared" si="13"/>
        <v>0</v>
      </c>
      <c r="BF42" s="4189"/>
      <c r="BG42" s="4187">
        <f t="shared" si="48"/>
        <v>0</v>
      </c>
      <c r="BH42" s="26">
        <f t="shared" si="15"/>
        <v>0</v>
      </c>
      <c r="BI42" s="26"/>
    </row>
    <row r="43" spans="3:62" ht="16.8" x14ac:dyDescent="0.3">
      <c r="C43" s="4184" t="s">
        <v>91</v>
      </c>
      <c r="D43" s="4184" t="s">
        <v>1115</v>
      </c>
      <c r="E43" s="6360"/>
      <c r="F43" s="4184"/>
      <c r="G43" s="4186">
        <f>+SUMIF(BM!$C$7:$C$42,$D43,BM!$F$7:$F$42)</f>
        <v>0</v>
      </c>
      <c r="H43" s="4186"/>
      <c r="I43" s="4186">
        <f>+SUMIF(BM!$C$7:$C$42,$D43,BM!$H$7:$H$42)</f>
        <v>137.01500000000001</v>
      </c>
      <c r="J43" s="4187"/>
      <c r="K43" s="4187">
        <f t="shared" si="16"/>
        <v>137.01500000000001</v>
      </c>
      <c r="L43" s="4186"/>
      <c r="M43" s="4186">
        <f>+SUMIF(BM!$C$7:$C$42,$D43,BM!$L$7:$L$42)</f>
        <v>1015.7500000000002</v>
      </c>
      <c r="N43" s="4188"/>
      <c r="O43" s="4188">
        <f t="shared" si="2"/>
        <v>1152.7650000000003</v>
      </c>
      <c r="P43" s="4186"/>
      <c r="Q43" s="4186">
        <f>+SUMIF(BM!$C$7:$C$42,$D43,BM!$P$7:$P$42)</f>
        <v>0</v>
      </c>
      <c r="R43" s="4189"/>
      <c r="S43" s="4187">
        <f t="shared" si="3"/>
        <v>1152.7650000000003</v>
      </c>
      <c r="T43" s="4186"/>
      <c r="U43" s="4186">
        <f>+SUMIF(BM!$C$7:$C$42,$D43,BM!$T$7:$T$42)</f>
        <v>0</v>
      </c>
      <c r="V43" s="4189"/>
      <c r="W43" s="4187">
        <f t="shared" si="4"/>
        <v>1152.7650000000003</v>
      </c>
      <c r="X43" s="4190"/>
      <c r="Y43" s="4186">
        <f>+SUMIF(BM!$C$7:$C$42,$D43,BM!$X$7:$X$42)</f>
        <v>0</v>
      </c>
      <c r="Z43" s="4188"/>
      <c r="AA43" s="4188">
        <f t="shared" si="5"/>
        <v>0</v>
      </c>
      <c r="AB43" s="4191"/>
      <c r="AC43" s="4192">
        <f t="shared" si="6"/>
        <v>1152.7650000000003</v>
      </c>
      <c r="AD43" s="4186"/>
      <c r="AE43" s="4186">
        <f>+SUMIF(BM!$C$7:$C$42,$D43,BM!$AD$7:$AD$42)</f>
        <v>0</v>
      </c>
      <c r="AF43" s="4189"/>
      <c r="AG43" s="4187">
        <f t="shared" si="7"/>
        <v>1152.7650000000003</v>
      </c>
      <c r="AH43" s="4186"/>
      <c r="AI43" s="4186">
        <f>+SUMIF(BM!$C$7:$C$42,$D43,BM!$AH$7:$AH$42)</f>
        <v>0</v>
      </c>
      <c r="AJ43" s="4189"/>
      <c r="AK43" s="4187">
        <f t="shared" si="43"/>
        <v>1152.7650000000003</v>
      </c>
      <c r="AL43" s="4186"/>
      <c r="AM43" s="4186">
        <f>+SUMIF(BM!$C$7:$C$42,$D43,BM!$AL$7:$AL$42)</f>
        <v>0</v>
      </c>
      <c r="AN43" s="4321"/>
      <c r="AO43" s="4188">
        <f t="shared" si="9"/>
        <v>0</v>
      </c>
      <c r="AP43" s="4189"/>
      <c r="AQ43" s="4187">
        <f t="shared" si="44"/>
        <v>1152.7650000000003</v>
      </c>
      <c r="AR43" s="4186"/>
      <c r="AS43" s="4186">
        <f>+SUMIF(BM!$C$7:$C$42,$D43,BM!$AR$7:$AR$42)</f>
        <v>0</v>
      </c>
      <c r="AT43" s="4189"/>
      <c r="AU43" s="4187">
        <f t="shared" si="45"/>
        <v>1152.7650000000003</v>
      </c>
      <c r="AV43" s="4186"/>
      <c r="AW43" s="4186">
        <f>+SUMIF(BM!$C$7:$C$42,$D43,BM!$AV$7:$AV$42)</f>
        <v>0</v>
      </c>
      <c r="AX43" s="4189"/>
      <c r="AY43" s="4187">
        <f t="shared" si="46"/>
        <v>1152.7650000000003</v>
      </c>
      <c r="AZ43" s="4186"/>
      <c r="BA43" s="4186">
        <f>+SUMIF(BM!$C$7:$C$42,$D43,BM!$AZ$7:$AZ$42)</f>
        <v>0</v>
      </c>
      <c r="BB43" s="4321"/>
      <c r="BC43" s="4188">
        <f t="shared" si="47"/>
        <v>0</v>
      </c>
      <c r="BD43" s="4191"/>
      <c r="BE43" s="4192">
        <f t="shared" si="13"/>
        <v>0</v>
      </c>
      <c r="BF43" s="4189"/>
      <c r="BG43" s="4187">
        <f t="shared" si="48"/>
        <v>1152.7650000000003</v>
      </c>
      <c r="BH43" s="26">
        <f t="shared" si="15"/>
        <v>0</v>
      </c>
      <c r="BI43" s="26"/>
    </row>
    <row r="44" spans="3:62" ht="16.8" x14ac:dyDescent="0.3">
      <c r="C44" s="4184" t="s">
        <v>91</v>
      </c>
      <c r="D44" s="4184" t="s">
        <v>1035</v>
      </c>
      <c r="E44" s="6360"/>
      <c r="F44" s="4184"/>
      <c r="G44" s="4186">
        <f>+SUMIF(BM!$C$7:$C$42,$D44,BM!$F$7:$F$42)</f>
        <v>2932.4049999999997</v>
      </c>
      <c r="H44" s="4186"/>
      <c r="I44" s="4186">
        <f>+SUMIF(BM!$C$7:$C$42,$D44,BM!$H$7:$H$42)</f>
        <v>603.27499999999998</v>
      </c>
      <c r="J44" s="4187"/>
      <c r="K44" s="4187">
        <f t="shared" si="16"/>
        <v>3535.68</v>
      </c>
      <c r="L44" s="4186"/>
      <c r="M44" s="4186">
        <f>+SUMIF(BM!$C$7:$C$42,$D44,BM!$L$7:$L$42)</f>
        <v>1914.7949999999998</v>
      </c>
      <c r="N44" s="4188"/>
      <c r="O44" s="4188">
        <f t="shared" si="2"/>
        <v>5450.4749999999995</v>
      </c>
      <c r="P44" s="4186"/>
      <c r="Q44" s="4186">
        <f>+SUMIF(BM!$C$7:$C$42,$D44,BM!$P$7:$P$42)</f>
        <v>0</v>
      </c>
      <c r="R44" s="4189"/>
      <c r="S44" s="4187">
        <f t="shared" si="3"/>
        <v>5450.4749999999995</v>
      </c>
      <c r="T44" s="4186"/>
      <c r="U44" s="4186">
        <f>+SUMIF(BM!$C$7:$C$42,$D44,BM!$T$7:$T$42)</f>
        <v>4250.0749999999998</v>
      </c>
      <c r="V44" s="4189"/>
      <c r="W44" s="4187">
        <f t="shared" si="4"/>
        <v>9700.5499999999993</v>
      </c>
      <c r="X44" s="4190"/>
      <c r="Y44" s="4186">
        <f>+SUMIF(BM!$C$7:$C$42,$D44,BM!$X$7:$X$42)</f>
        <v>2779.1549999999997</v>
      </c>
      <c r="Z44" s="4188"/>
      <c r="AA44" s="4188">
        <f t="shared" si="5"/>
        <v>7029.23</v>
      </c>
      <c r="AB44" s="4191"/>
      <c r="AC44" s="4192">
        <f t="shared" si="6"/>
        <v>12479.704999999998</v>
      </c>
      <c r="AD44" s="4186"/>
      <c r="AE44" s="4186">
        <f>+SUMIF(BM!$C$7:$C$42,$D44,BM!$AD$7:$AD$42)</f>
        <v>0</v>
      </c>
      <c r="AF44" s="4189"/>
      <c r="AG44" s="4187">
        <f t="shared" si="7"/>
        <v>12479.704999999998</v>
      </c>
      <c r="AH44" s="4186"/>
      <c r="AI44" s="4186">
        <f>+SUMIF(BM!$C$7:$C$42,$D44,BM!$AH$7:$AH$42)</f>
        <v>4114.5399999999991</v>
      </c>
      <c r="AJ44" s="4189"/>
      <c r="AK44" s="4187">
        <f t="shared" si="43"/>
        <v>16594.244999999995</v>
      </c>
      <c r="AL44" s="4186"/>
      <c r="AM44" s="4186">
        <f>+SUMIF(BM!$C$7:$C$42,$D44,BM!$AL$7:$AL$42)</f>
        <v>5056.7899999999991</v>
      </c>
      <c r="AN44" s="4321"/>
      <c r="AO44" s="4188">
        <f t="shared" si="9"/>
        <v>9171.3299999999981</v>
      </c>
      <c r="AP44" s="4189"/>
      <c r="AQ44" s="4187">
        <f t="shared" si="44"/>
        <v>21651.034999999996</v>
      </c>
      <c r="AR44" s="4186"/>
      <c r="AS44" s="4186">
        <f>+SUMIF(BM!$C$7:$C$42,$D44,BM!$AR$7:$AR$42)</f>
        <v>1653.5350000000001</v>
      </c>
      <c r="AT44" s="4189"/>
      <c r="AU44" s="4187">
        <f t="shared" si="45"/>
        <v>23304.569999999996</v>
      </c>
      <c r="AV44" s="4186"/>
      <c r="AW44" s="4186">
        <f>+SUMIF(BM!$C$7:$C$42,$D44,BM!$AV$7:$AV$42)</f>
        <v>0</v>
      </c>
      <c r="AX44" s="4189"/>
      <c r="AY44" s="4187">
        <f t="shared" si="46"/>
        <v>23304.569999999996</v>
      </c>
      <c r="AZ44" s="4186"/>
      <c r="BA44" s="4186">
        <f>+SUMIF(BM!$C$7:$C$42,$D44,BM!$AZ$7:$AZ$42)</f>
        <v>0</v>
      </c>
      <c r="BB44" s="4321"/>
      <c r="BC44" s="4188">
        <f t="shared" si="47"/>
        <v>1653.5350000000001</v>
      </c>
      <c r="BD44" s="4191"/>
      <c r="BE44" s="4192">
        <f t="shared" si="13"/>
        <v>10824.864999999998</v>
      </c>
      <c r="BF44" s="4189"/>
      <c r="BG44" s="4187">
        <f t="shared" si="48"/>
        <v>23304.569999999996</v>
      </c>
      <c r="BH44" s="26">
        <f t="shared" si="15"/>
        <v>0</v>
      </c>
      <c r="BI44" s="26"/>
    </row>
    <row r="45" spans="3:62" ht="16.8" x14ac:dyDescent="0.3">
      <c r="C45" s="4184" t="s">
        <v>91</v>
      </c>
      <c r="D45" s="4184" t="s">
        <v>1003</v>
      </c>
      <c r="E45" s="6360"/>
      <c r="F45" s="4184"/>
      <c r="G45" s="4186">
        <f>+SUMIF(BM!$C$7:$C$42,$D45,BM!$F$7:$F$42)</f>
        <v>0</v>
      </c>
      <c r="H45" s="4186"/>
      <c r="I45" s="4186">
        <f>+SUMIF(BM!$C$7:$C$42,$D45,BM!$H$7:$H$42)</f>
        <v>0</v>
      </c>
      <c r="J45" s="4187"/>
      <c r="K45" s="4187">
        <f t="shared" si="16"/>
        <v>0</v>
      </c>
      <c r="L45" s="4186"/>
      <c r="M45" s="4186">
        <f>+SUMIF(BM!$C$7:$C$42,$D45,BM!$L$7:$L$42)</f>
        <v>0</v>
      </c>
      <c r="N45" s="4188"/>
      <c r="O45" s="4188">
        <f t="shared" si="2"/>
        <v>0</v>
      </c>
      <c r="P45" s="4186"/>
      <c r="Q45" s="4186">
        <f>+SUMIF(BM!$C$7:$C$42,$D45,BM!$P$7:$P$42)</f>
        <v>0</v>
      </c>
      <c r="R45" s="4189"/>
      <c r="S45" s="4187">
        <f t="shared" si="3"/>
        <v>0</v>
      </c>
      <c r="T45" s="4186"/>
      <c r="U45" s="4186">
        <f>+SUMIF(BM!$C$7:$C$42,$D45,BM!$T$7:$T$42)</f>
        <v>0</v>
      </c>
      <c r="V45" s="4189"/>
      <c r="W45" s="4187">
        <f t="shared" si="4"/>
        <v>0</v>
      </c>
      <c r="X45" s="4190"/>
      <c r="Y45" s="4186">
        <f>+SUMIF(BM!$C$7:$C$42,$D45,BM!$X$7:$X$42)</f>
        <v>0</v>
      </c>
      <c r="Z45" s="4188"/>
      <c r="AA45" s="4188">
        <f t="shared" si="5"/>
        <v>0</v>
      </c>
      <c r="AB45" s="4191"/>
      <c r="AC45" s="4192">
        <f t="shared" si="6"/>
        <v>0</v>
      </c>
      <c r="AD45" s="4186"/>
      <c r="AE45" s="4186">
        <f>+SUMIF(BM!$C$7:$C$42,$D45,BM!$AD$7:$AD$42)</f>
        <v>0</v>
      </c>
      <c r="AF45" s="4189"/>
      <c r="AG45" s="4187">
        <f t="shared" si="7"/>
        <v>0</v>
      </c>
      <c r="AH45" s="4186"/>
      <c r="AI45" s="4186">
        <f>+SUMIF(BM!$C$7:$C$42,$D45,BM!$AH$7:$AH$42)</f>
        <v>0</v>
      </c>
      <c r="AJ45" s="4189"/>
      <c r="AK45" s="4187">
        <f t="shared" si="43"/>
        <v>0</v>
      </c>
      <c r="AL45" s="4186"/>
      <c r="AM45" s="4186">
        <f>+SUMIF(BM!$C$7:$C$42,$D45,BM!$AL$7:$AL$42)</f>
        <v>0</v>
      </c>
      <c r="AN45" s="4321"/>
      <c r="AO45" s="4188">
        <f t="shared" si="9"/>
        <v>0</v>
      </c>
      <c r="AP45" s="4189"/>
      <c r="AQ45" s="4187">
        <f t="shared" si="44"/>
        <v>0</v>
      </c>
      <c r="AR45" s="4186"/>
      <c r="AS45" s="4186">
        <f>+SUMIF(BM!$C$7:$C$42,$D45,BM!$AR$7:$AR$42)</f>
        <v>0</v>
      </c>
      <c r="AT45" s="4189"/>
      <c r="AU45" s="4187">
        <f t="shared" si="45"/>
        <v>0</v>
      </c>
      <c r="AV45" s="4186"/>
      <c r="AW45" s="4186">
        <f>+SUMIF(BM!$C$7:$C$42,$D45,BM!$AV$7:$AV$42)</f>
        <v>0</v>
      </c>
      <c r="AX45" s="4189"/>
      <c r="AY45" s="4187">
        <f t="shared" si="46"/>
        <v>0</v>
      </c>
      <c r="AZ45" s="4186"/>
      <c r="BA45" s="4186">
        <f>+SUMIF(BM!$C$7:$C$42,$D45,BM!$AZ$7:$AZ$42)</f>
        <v>0</v>
      </c>
      <c r="BB45" s="4321"/>
      <c r="BC45" s="4188">
        <f t="shared" si="47"/>
        <v>0</v>
      </c>
      <c r="BD45" s="4191"/>
      <c r="BE45" s="4192">
        <f t="shared" si="13"/>
        <v>0</v>
      </c>
      <c r="BF45" s="4189"/>
      <c r="BG45" s="4187">
        <f t="shared" si="48"/>
        <v>0</v>
      </c>
      <c r="BH45" s="26">
        <f t="shared" si="15"/>
        <v>0</v>
      </c>
      <c r="BI45" s="26"/>
    </row>
    <row r="46" spans="3:62" ht="16.8" x14ac:dyDescent="0.3">
      <c r="C46" s="6356" t="s">
        <v>959</v>
      </c>
      <c r="D46" s="6356"/>
      <c r="E46" s="6360"/>
      <c r="F46" s="4199"/>
      <c r="G46" s="4200">
        <f>SUM(G39:G45)</f>
        <v>66895.455000000031</v>
      </c>
      <c r="H46" s="4200">
        <f t="shared" ref="H46:AK46" si="49">SUM(H39:H45)</f>
        <v>0</v>
      </c>
      <c r="I46" s="4200">
        <f t="shared" si="49"/>
        <v>76175.635000000053</v>
      </c>
      <c r="J46" s="4200">
        <f t="shared" si="49"/>
        <v>0</v>
      </c>
      <c r="K46" s="4201">
        <f t="shared" si="49"/>
        <v>143071.09000000008</v>
      </c>
      <c r="L46" s="4200">
        <f t="shared" si="49"/>
        <v>0</v>
      </c>
      <c r="M46" s="4200">
        <f t="shared" si="49"/>
        <v>73644.015000000058</v>
      </c>
      <c r="N46" s="4200">
        <f t="shared" si="49"/>
        <v>0</v>
      </c>
      <c r="O46" s="4202">
        <f t="shared" si="49"/>
        <v>216715.10500000016</v>
      </c>
      <c r="P46" s="4200">
        <f t="shared" si="49"/>
        <v>0</v>
      </c>
      <c r="Q46" s="4200">
        <f t="shared" si="49"/>
        <v>88056.490000000093</v>
      </c>
      <c r="R46" s="4200">
        <f t="shared" si="49"/>
        <v>0</v>
      </c>
      <c r="S46" s="4201">
        <f t="shared" si="49"/>
        <v>304771.5950000002</v>
      </c>
      <c r="T46" s="4200">
        <f t="shared" si="49"/>
        <v>0</v>
      </c>
      <c r="U46" s="4200">
        <f t="shared" si="49"/>
        <v>75853.695000000051</v>
      </c>
      <c r="V46" s="4200">
        <f t="shared" si="49"/>
        <v>0</v>
      </c>
      <c r="W46" s="4201">
        <f t="shared" si="49"/>
        <v>380625.29000000027</v>
      </c>
      <c r="X46" s="4200">
        <f t="shared" si="49"/>
        <v>0</v>
      </c>
      <c r="Y46" s="4200">
        <f t="shared" si="49"/>
        <v>76319.035000000076</v>
      </c>
      <c r="Z46" s="4200">
        <f t="shared" si="49"/>
        <v>0</v>
      </c>
      <c r="AA46" s="4202">
        <f t="shared" si="49"/>
        <v>240229.22000000023</v>
      </c>
      <c r="AB46" s="4200">
        <f t="shared" si="49"/>
        <v>0</v>
      </c>
      <c r="AC46" s="4203">
        <f t="shared" si="49"/>
        <v>456944.32500000042</v>
      </c>
      <c r="AD46" s="4200">
        <f t="shared" si="49"/>
        <v>0</v>
      </c>
      <c r="AE46" s="4200">
        <f>SUM(AE39:AE45)</f>
        <v>50950.275000000074</v>
      </c>
      <c r="AF46" s="4200">
        <f t="shared" si="49"/>
        <v>0</v>
      </c>
      <c r="AG46" s="4201">
        <f t="shared" si="49"/>
        <v>507894.6000000005</v>
      </c>
      <c r="AH46" s="4200">
        <f t="shared" si="49"/>
        <v>0</v>
      </c>
      <c r="AI46" s="4200">
        <f t="shared" si="49"/>
        <v>69720.765000000058</v>
      </c>
      <c r="AJ46" s="4200">
        <f t="shared" si="49"/>
        <v>0</v>
      </c>
      <c r="AK46" s="4201">
        <f t="shared" si="49"/>
        <v>577615.36500000046</v>
      </c>
      <c r="AL46" s="4200">
        <f t="shared" ref="AL46:AQ46" si="50">SUM(AL39:AL45)</f>
        <v>0</v>
      </c>
      <c r="AM46" s="4200">
        <f t="shared" si="50"/>
        <v>81616.765000000145</v>
      </c>
      <c r="AN46" s="4322"/>
      <c r="AO46" s="4202">
        <f t="shared" ref="AO46" si="51">SUM(AO39:AO45)</f>
        <v>202287.80500000025</v>
      </c>
      <c r="AP46" s="4200">
        <f t="shared" si="50"/>
        <v>0</v>
      </c>
      <c r="AQ46" s="4201">
        <f t="shared" si="50"/>
        <v>659232.1300000007</v>
      </c>
      <c r="AR46" s="4200">
        <f t="shared" ref="AR46:AU46" si="52">SUM(AR39:AR45)</f>
        <v>0</v>
      </c>
      <c r="AS46" s="4200">
        <f t="shared" si="52"/>
        <v>85804.600000000122</v>
      </c>
      <c r="AT46" s="4200">
        <f t="shared" si="52"/>
        <v>0</v>
      </c>
      <c r="AU46" s="4201">
        <f t="shared" si="52"/>
        <v>745036.73000000068</v>
      </c>
      <c r="AV46" s="4200">
        <f t="shared" ref="AV46:AY46" si="53">SUM(AV39:AV45)</f>
        <v>0</v>
      </c>
      <c r="AW46" s="4200">
        <f t="shared" si="53"/>
        <v>74058.320000000094</v>
      </c>
      <c r="AX46" s="4200">
        <f t="shared" si="53"/>
        <v>0</v>
      </c>
      <c r="AY46" s="4201">
        <f t="shared" si="53"/>
        <v>819095.05000000075</v>
      </c>
      <c r="AZ46" s="4200">
        <f t="shared" ref="AZ46:BG46" si="54">SUM(AZ39:AZ45)</f>
        <v>0</v>
      </c>
      <c r="BA46" s="4200">
        <f t="shared" si="54"/>
        <v>81200</v>
      </c>
      <c r="BB46" s="4322"/>
      <c r="BC46" s="4202">
        <f t="shared" ref="BC46:BE46" si="55">SUM(BC39:BC45)</f>
        <v>241062.92000000022</v>
      </c>
      <c r="BD46" s="4200">
        <f t="shared" si="55"/>
        <v>0</v>
      </c>
      <c r="BE46" s="4203">
        <f t="shared" si="55"/>
        <v>443350.7250000005</v>
      </c>
      <c r="BF46" s="4200">
        <f t="shared" si="54"/>
        <v>0</v>
      </c>
      <c r="BG46" s="4201">
        <f t="shared" si="54"/>
        <v>900295.05000000075</v>
      </c>
      <c r="BH46" s="26">
        <f t="shared" si="15"/>
        <v>0</v>
      </c>
      <c r="BI46" s="26"/>
    </row>
    <row r="47" spans="3:62" ht="16.8" x14ac:dyDescent="0.3">
      <c r="C47" s="4184" t="s">
        <v>109</v>
      </c>
      <c r="D47" s="4184" t="s">
        <v>1004</v>
      </c>
      <c r="E47" s="6360"/>
      <c r="F47" s="4184"/>
      <c r="G47" s="4186">
        <f>SUMIF(USM!$C$8:$C$102,$D47,USM!G$8:G$102)</f>
        <v>33310.241000000009</v>
      </c>
      <c r="H47" s="4186"/>
      <c r="I47" s="4186">
        <f>SUMIF(USM!$C$8:$C$102,$D47,USM!I$8:I$102)</f>
        <v>41379.888999999996</v>
      </c>
      <c r="J47" s="4187"/>
      <c r="K47" s="4187">
        <f t="shared" si="16"/>
        <v>74690.13</v>
      </c>
      <c r="L47" s="4186"/>
      <c r="M47" s="4186">
        <f>SUMIF(USM!$C$8:$C$102,$D47,USM!M$8:M$102)</f>
        <v>37591.116999999998</v>
      </c>
      <c r="N47" s="4188"/>
      <c r="O47" s="4188">
        <f t="shared" si="2"/>
        <v>112281.247</v>
      </c>
      <c r="P47" s="4186"/>
      <c r="Q47" s="4186">
        <f>SUMIF(USM!$C$8:$C$102,$D47,USM!Q$8:Q$102)</f>
        <v>37515.043000000005</v>
      </c>
      <c r="R47" s="4189"/>
      <c r="S47" s="4187">
        <f t="shared" si="3"/>
        <v>149796.29</v>
      </c>
      <c r="T47" s="4186"/>
      <c r="U47" s="4186">
        <f>SUMIF(USM!$C$8:$C$102,$D47,USM!U$8:U$102)</f>
        <v>36064.487999999998</v>
      </c>
      <c r="V47" s="4189"/>
      <c r="W47" s="4187">
        <f t="shared" si="4"/>
        <v>185860.77799999999</v>
      </c>
      <c r="X47" s="4190"/>
      <c r="Y47" s="4186">
        <f>SUMIF(USM!$C$8:$C$102,$D47,USM!Y$8:Y$102)</f>
        <v>36027.360000000001</v>
      </c>
      <c r="Z47" s="4188"/>
      <c r="AA47" s="4188">
        <f t="shared" si="5"/>
        <v>109606.891</v>
      </c>
      <c r="AB47" s="4191"/>
      <c r="AC47" s="4192">
        <f t="shared" si="6"/>
        <v>221888.13800000001</v>
      </c>
      <c r="AD47" s="4186"/>
      <c r="AE47" s="4186">
        <f>SUMIF(USM!$C$8:$C$102,$D47,USM!AE$8:AE$102)</f>
        <v>21398.575000000004</v>
      </c>
      <c r="AF47" s="4189"/>
      <c r="AG47" s="4187">
        <f t="shared" si="7"/>
        <v>243286.71300000002</v>
      </c>
      <c r="AH47" s="4186"/>
      <c r="AI47" s="4186">
        <f>SUMIF(USM!$C$8:$C$102,$D47,USM!AI$8:AI$102)</f>
        <v>36895.741999999991</v>
      </c>
      <c r="AJ47" s="4189"/>
      <c r="AK47" s="4187">
        <f t="shared" si="43"/>
        <v>280182.45500000002</v>
      </c>
      <c r="AL47" s="4186"/>
      <c r="AM47" s="4186">
        <f>SUMIF(USM!$C$8:$C$102,$D47,USM!AM$8:AM$102)</f>
        <v>42720.680999999997</v>
      </c>
      <c r="AN47" s="4321"/>
      <c r="AO47" s="4188">
        <f t="shared" si="9"/>
        <v>101014.99799999999</v>
      </c>
      <c r="AP47" s="4189"/>
      <c r="AQ47" s="4187">
        <f t="shared" ref="AQ47:AQ53" si="56">+AK47+AM47</f>
        <v>322903.136</v>
      </c>
      <c r="AR47" s="4186"/>
      <c r="AS47" s="4186">
        <f>SUMIF(USM!$C$8:$C$102,$D47,USM!AS$8:AS$102)</f>
        <v>38285.017999999996</v>
      </c>
      <c r="AT47" s="4189"/>
      <c r="AU47" s="4187">
        <f t="shared" ref="AU47:AU53" si="57">+AQ47+AS47</f>
        <v>361188.15399999998</v>
      </c>
      <c r="AV47" s="4186"/>
      <c r="AW47" s="4186">
        <f>SUMIF(USM!$C$8:$C$102,$D47,USM!AW$8:AW$102)</f>
        <v>47132.118000000009</v>
      </c>
      <c r="AX47" s="4189"/>
      <c r="AY47" s="4187">
        <f t="shared" ref="AY47:AY53" si="58">+AU47+AW47</f>
        <v>408320.272</v>
      </c>
      <c r="AZ47" s="4186"/>
      <c r="BA47" s="4186">
        <f>SUMIF(USM!$C$8:$C$102,$D47,USM!BA$8:BA$102)</f>
        <v>50708.168999999994</v>
      </c>
      <c r="BB47" s="4321"/>
      <c r="BC47" s="4188">
        <f t="shared" ref="BC47:BC53" si="59">AS47+AW47+BA47</f>
        <v>136125.30499999999</v>
      </c>
      <c r="BD47" s="4191"/>
      <c r="BE47" s="4192">
        <f t="shared" si="13"/>
        <v>237140.30299999999</v>
      </c>
      <c r="BF47" s="4189"/>
      <c r="BG47" s="4187">
        <f t="shared" ref="BG47:BG53" si="60">+AY47+BA47</f>
        <v>459028.44099999999</v>
      </c>
      <c r="BH47" s="26">
        <f t="shared" si="15"/>
        <v>0</v>
      </c>
      <c r="BI47" s="26"/>
    </row>
    <row r="48" spans="3:62" ht="16.8" x14ac:dyDescent="0.3">
      <c r="C48" s="4184" t="s">
        <v>109</v>
      </c>
      <c r="D48" s="4184" t="s">
        <v>1336</v>
      </c>
      <c r="E48" s="6360"/>
      <c r="F48" s="4184"/>
      <c r="G48" s="4186">
        <f>SUMIF(USM!$C$8:$C$102,$D48,USM!G$8:G$102)</f>
        <v>2807.8309999999992</v>
      </c>
      <c r="H48" s="4186"/>
      <c r="I48" s="4186">
        <f>SUMIF(USM!$C$8:$C$102,$D48,USM!I$8:I$102)</f>
        <v>3069.2429999999995</v>
      </c>
      <c r="J48" s="4187"/>
      <c r="K48" s="4187">
        <f t="shared" si="16"/>
        <v>5877.0739999999987</v>
      </c>
      <c r="L48" s="4186"/>
      <c r="M48" s="4186">
        <f>SUMIF(USM!$C$8:$C$102,$D48,USM!M$8:M$102)</f>
        <v>2518.1869999999999</v>
      </c>
      <c r="N48" s="4188"/>
      <c r="O48" s="4188">
        <f t="shared" si="2"/>
        <v>8395.2609999999986</v>
      </c>
      <c r="P48" s="4186"/>
      <c r="Q48" s="4186">
        <f>SUMIF(USM!$C$8:$C$102,$D48,USM!Q$8:Q$102)</f>
        <v>2855.9759999999992</v>
      </c>
      <c r="R48" s="4189"/>
      <c r="S48" s="4187">
        <f t="shared" si="3"/>
        <v>11251.236999999997</v>
      </c>
      <c r="T48" s="4186"/>
      <c r="U48" s="4186">
        <f>SUMIF(USM!$C$8:$C$102,$D48,USM!U$8:U$102)</f>
        <v>1438.2529999999997</v>
      </c>
      <c r="V48" s="4189"/>
      <c r="W48" s="4187">
        <f t="shared" si="4"/>
        <v>12689.489999999998</v>
      </c>
      <c r="X48" s="4190"/>
      <c r="Y48" s="4186">
        <f>SUMIF(USM!$C$8:$C$102,$D48,USM!Y$8:Y$102)</f>
        <v>57.984000000000009</v>
      </c>
      <c r="Z48" s="4188"/>
      <c r="AA48" s="4188">
        <f t="shared" si="5"/>
        <v>4352.2129999999997</v>
      </c>
      <c r="AB48" s="4191"/>
      <c r="AC48" s="4192">
        <f t="shared" si="6"/>
        <v>12747.473999999998</v>
      </c>
      <c r="AD48" s="4186"/>
      <c r="AE48" s="4186">
        <f>SUMIF(USM!$C$8:$C$102,$D48,USM!AE$8:AE$102)</f>
        <v>215.73599999999999</v>
      </c>
      <c r="AF48" s="4189"/>
      <c r="AG48" s="4187">
        <f t="shared" si="7"/>
        <v>12963.21</v>
      </c>
      <c r="AH48" s="4186"/>
      <c r="AI48" s="4186">
        <f>SUMIF(USM!$C$8:$C$102,$D48,USM!AI$8:AI$102)</f>
        <v>2549.181</v>
      </c>
      <c r="AJ48" s="4189"/>
      <c r="AK48" s="4187">
        <f t="shared" si="43"/>
        <v>15512.391</v>
      </c>
      <c r="AL48" s="4186"/>
      <c r="AM48" s="4186">
        <f>SUMIF(USM!$C$8:$C$102,$D48,USM!AM$8:AM$102)</f>
        <v>0</v>
      </c>
      <c r="AN48" s="4321"/>
      <c r="AO48" s="4188">
        <f t="shared" si="9"/>
        <v>2764.9169999999999</v>
      </c>
      <c r="AP48" s="4189"/>
      <c r="AQ48" s="4187">
        <f t="shared" si="56"/>
        <v>15512.391</v>
      </c>
      <c r="AR48" s="4186"/>
      <c r="AS48" s="4186">
        <f>SUMIF(USM!$C$8:$C$102,$D48,USM!AS$8:AS$102)</f>
        <v>3795.9500000000007</v>
      </c>
      <c r="AT48" s="4189"/>
      <c r="AU48" s="4187">
        <f t="shared" si="57"/>
        <v>19308.341</v>
      </c>
      <c r="AV48" s="4186"/>
      <c r="AW48" s="4186">
        <f>SUMIF(USM!$C$8:$C$102,$D48,USM!AW$8:AW$102)</f>
        <v>0</v>
      </c>
      <c r="AX48" s="4189"/>
      <c r="AY48" s="4187">
        <f t="shared" si="58"/>
        <v>19308.341</v>
      </c>
      <c r="AZ48" s="4186"/>
      <c r="BA48" s="4186">
        <f>SUMIF(USM!$C$8:$C$102,$D48,USM!BA$8:BA$102)</f>
        <v>1738.6020000000001</v>
      </c>
      <c r="BB48" s="4321"/>
      <c r="BC48" s="4188">
        <f t="shared" si="59"/>
        <v>5534.5520000000006</v>
      </c>
      <c r="BD48" s="4191"/>
      <c r="BE48" s="4192">
        <f t="shared" si="13"/>
        <v>8299.469000000001</v>
      </c>
      <c r="BF48" s="4189"/>
      <c r="BG48" s="4187">
        <f t="shared" si="60"/>
        <v>21046.942999999999</v>
      </c>
      <c r="BH48" s="26">
        <f t="shared" si="15"/>
        <v>0</v>
      </c>
      <c r="BI48" s="26"/>
    </row>
    <row r="49" spans="3:62" ht="16.8" x14ac:dyDescent="0.3">
      <c r="C49" s="4184" t="s">
        <v>109</v>
      </c>
      <c r="D49" s="4184" t="s">
        <v>1569</v>
      </c>
      <c r="E49" s="6360"/>
      <c r="F49" s="4184"/>
      <c r="G49" s="4186">
        <f>SUMIF(USM!$C$8:$C$102,$D49,USM!G$8:G$102)</f>
        <v>0</v>
      </c>
      <c r="H49" s="4186"/>
      <c r="I49" s="4186">
        <f>SUMIF(USM!$C$8:$C$102,$D49,USM!I$8:I$102)</f>
        <v>332.20299999999997</v>
      </c>
      <c r="J49" s="4187"/>
      <c r="K49" s="4187">
        <f t="shared" si="16"/>
        <v>332.20299999999997</v>
      </c>
      <c r="L49" s="4186"/>
      <c r="M49" s="4186">
        <f>SUMIF(USM!$C$8:$C$102,$D49,USM!M$8:M$102)</f>
        <v>700.48399999999992</v>
      </c>
      <c r="N49" s="4188"/>
      <c r="O49" s="4188">
        <f t="shared" si="2"/>
        <v>1032.6869999999999</v>
      </c>
      <c r="P49" s="4186"/>
      <c r="Q49" s="4186">
        <f>SUMIF(USM!$C$8:$C$102,$D49,USM!Q$8:Q$102)</f>
        <v>934.69800000000009</v>
      </c>
      <c r="R49" s="4189"/>
      <c r="S49" s="4187">
        <f t="shared" si="3"/>
        <v>1967.385</v>
      </c>
      <c r="T49" s="4186"/>
      <c r="U49" s="4186">
        <f>SUMIF(USM!$C$8:$C$102,$D49,USM!U$8:U$102)</f>
        <v>84.19</v>
      </c>
      <c r="V49" s="4189"/>
      <c r="W49" s="4187">
        <f t="shared" si="4"/>
        <v>2051.5749999999998</v>
      </c>
      <c r="X49" s="4190"/>
      <c r="Y49" s="4186">
        <f>SUMIF(USM!$C$8:$C$102,$D49,USM!Y$8:Y$102)</f>
        <v>471.18099999999998</v>
      </c>
      <c r="Z49" s="4188"/>
      <c r="AA49" s="4188">
        <f t="shared" si="5"/>
        <v>1490.0690000000002</v>
      </c>
      <c r="AB49" s="4191"/>
      <c r="AC49" s="4192">
        <f t="shared" si="6"/>
        <v>2522.7560000000003</v>
      </c>
      <c r="AD49" s="4186"/>
      <c r="AE49" s="4186">
        <f>SUMIF(USM!$C$8:$C$102,$D49,USM!AE$8:AE$102)</f>
        <v>0</v>
      </c>
      <c r="AF49" s="4189"/>
      <c r="AG49" s="4187">
        <f t="shared" si="7"/>
        <v>2522.7560000000003</v>
      </c>
      <c r="AH49" s="4186"/>
      <c r="AI49" s="4186">
        <f>SUMIF(USM!$C$8:$C$102,$D49,USM!AI$8:AI$102)</f>
        <v>368.22899999999998</v>
      </c>
      <c r="AJ49" s="4189"/>
      <c r="AK49" s="4187">
        <f t="shared" si="43"/>
        <v>2890.9850000000001</v>
      </c>
      <c r="AL49" s="4186"/>
      <c r="AM49" s="4186">
        <f>SUMIF(USM!$C$8:$C$102,$D49,USM!AM$8:AM$102)</f>
        <v>34.414000000000001</v>
      </c>
      <c r="AN49" s="4321"/>
      <c r="AO49" s="4188">
        <f t="shared" si="9"/>
        <v>402.64299999999997</v>
      </c>
      <c r="AP49" s="4189"/>
      <c r="AQ49" s="4187">
        <f t="shared" si="56"/>
        <v>2925.3990000000003</v>
      </c>
      <c r="AR49" s="4186"/>
      <c r="AS49" s="4186">
        <f>SUMIF(USM!$C$8:$C$102,$D49,USM!AS$8:AS$102)</f>
        <v>0</v>
      </c>
      <c r="AT49" s="4189"/>
      <c r="AU49" s="4187">
        <f t="shared" si="57"/>
        <v>2925.3990000000003</v>
      </c>
      <c r="AV49" s="4186"/>
      <c r="AW49" s="4186">
        <f>SUMIF(USM!$C$8:$C$102,$D49,USM!AW$8:AW$102)</f>
        <v>112.935</v>
      </c>
      <c r="AX49" s="4189"/>
      <c r="AY49" s="4187">
        <f t="shared" si="58"/>
        <v>3038.3340000000003</v>
      </c>
      <c r="AZ49" s="4186"/>
      <c r="BA49" s="4186">
        <f>SUMIF(USM!$C$8:$C$102,$D49,USM!BA$8:BA$102)</f>
        <v>360.86999999999995</v>
      </c>
      <c r="BB49" s="4321"/>
      <c r="BC49" s="4188">
        <f t="shared" si="59"/>
        <v>473.80499999999995</v>
      </c>
      <c r="BD49" s="4191"/>
      <c r="BE49" s="4192">
        <f t="shared" si="13"/>
        <v>876.44799999999987</v>
      </c>
      <c r="BF49" s="4189"/>
      <c r="BG49" s="4187">
        <f t="shared" si="60"/>
        <v>3399.2040000000002</v>
      </c>
      <c r="BH49" s="26">
        <f t="shared" si="15"/>
        <v>0</v>
      </c>
      <c r="BI49" s="26"/>
      <c r="BJ49" s="26"/>
    </row>
    <row r="50" spans="3:62" ht="16.8" x14ac:dyDescent="0.3">
      <c r="C50" s="4184" t="s">
        <v>109</v>
      </c>
      <c r="D50" s="4184" t="s">
        <v>938</v>
      </c>
      <c r="E50" s="6360"/>
      <c r="F50" s="4184"/>
      <c r="G50" s="4186">
        <f>SUMIF(USM!$C$8:$C$102,$D50,USM!G$8:G$102)</f>
        <v>13213.612999999999</v>
      </c>
      <c r="H50" s="4186"/>
      <c r="I50" s="4186">
        <f>SUMIF(USM!$C$8:$C$102,$D50,USM!I$8:I$102)</f>
        <v>12437.809000000001</v>
      </c>
      <c r="J50" s="4187"/>
      <c r="K50" s="4187">
        <f t="shared" si="16"/>
        <v>25651.421999999999</v>
      </c>
      <c r="L50" s="4186"/>
      <c r="M50" s="4186">
        <f>SUMIF(USM!$C$8:$C$102,$D50,USM!M$8:M$102)</f>
        <v>15766.755000000001</v>
      </c>
      <c r="N50" s="4188"/>
      <c r="O50" s="4188">
        <f t="shared" si="2"/>
        <v>41418.176999999996</v>
      </c>
      <c r="P50" s="4186"/>
      <c r="Q50" s="4186">
        <f>SUMIF(USM!$C$8:$C$102,$D50,USM!Q$8:Q$102)</f>
        <v>11945.610999999999</v>
      </c>
      <c r="R50" s="4189"/>
      <c r="S50" s="4187">
        <f t="shared" si="3"/>
        <v>53363.787999999993</v>
      </c>
      <c r="T50" s="4186"/>
      <c r="U50" s="4186">
        <f>SUMIF(USM!$C$8:$C$102,$D50,USM!U$8:U$102)</f>
        <v>5801.0050000000001</v>
      </c>
      <c r="V50" s="4189"/>
      <c r="W50" s="4187">
        <f t="shared" si="4"/>
        <v>59164.792999999991</v>
      </c>
      <c r="X50" s="4190"/>
      <c r="Y50" s="4186">
        <f>SUMIF(USM!$C$8:$C$102,$D50,USM!Y$8:Y$102)</f>
        <v>11476.604000000001</v>
      </c>
      <c r="Z50" s="4188"/>
      <c r="AA50" s="4188">
        <f t="shared" si="5"/>
        <v>29223.22</v>
      </c>
      <c r="AB50" s="4191"/>
      <c r="AC50" s="4192">
        <f t="shared" si="6"/>
        <v>70641.396999999997</v>
      </c>
      <c r="AD50" s="4186"/>
      <c r="AE50" s="4186">
        <f>SUMIF(USM!$C$8:$C$102,$D50,USM!AE$8:AE$102)</f>
        <v>5961.8090000000002</v>
      </c>
      <c r="AF50" s="4189"/>
      <c r="AG50" s="4187">
        <f t="shared" si="7"/>
        <v>76603.205999999991</v>
      </c>
      <c r="AH50" s="4186"/>
      <c r="AI50" s="4186">
        <f>SUMIF(USM!$C$8:$C$102,$D50,USM!AI$8:AI$102)</f>
        <v>6030.4699999999993</v>
      </c>
      <c r="AJ50" s="4189"/>
      <c r="AK50" s="4187">
        <f t="shared" si="43"/>
        <v>82633.675999999992</v>
      </c>
      <c r="AL50" s="4186"/>
      <c r="AM50" s="4186">
        <f>SUMIF(USM!$C$8:$C$102,$D50,USM!AM$8:AM$102)</f>
        <v>9293.3559999999979</v>
      </c>
      <c r="AN50" s="4321"/>
      <c r="AO50" s="4188">
        <f t="shared" si="9"/>
        <v>21285.634999999995</v>
      </c>
      <c r="AP50" s="4189"/>
      <c r="AQ50" s="4187">
        <f t="shared" si="56"/>
        <v>91927.031999999992</v>
      </c>
      <c r="AR50" s="4186"/>
      <c r="AS50" s="4186">
        <f>SUMIF(USM!$C$8:$C$102,$D50,USM!AS$8:AS$102)</f>
        <v>13085.248000000001</v>
      </c>
      <c r="AT50" s="4189"/>
      <c r="AU50" s="4187">
        <f t="shared" si="57"/>
        <v>105012.28</v>
      </c>
      <c r="AV50" s="4186"/>
      <c r="AW50" s="4186">
        <f>SUMIF(USM!$C$8:$C$102,$D50,USM!AW$8:AW$102)</f>
        <v>6516.0370000000003</v>
      </c>
      <c r="AX50" s="4189"/>
      <c r="AY50" s="4187">
        <f t="shared" si="58"/>
        <v>111528.317</v>
      </c>
      <c r="AZ50" s="4186"/>
      <c r="BA50" s="4186">
        <f>SUMIF(USM!$C$8:$C$102,$D50,USM!BA$8:BA$102)</f>
        <v>10155.597999999998</v>
      </c>
      <c r="BB50" s="4321"/>
      <c r="BC50" s="4188">
        <f t="shared" si="59"/>
        <v>29756.883000000002</v>
      </c>
      <c r="BD50" s="4191"/>
      <c r="BE50" s="4192">
        <f t="shared" si="13"/>
        <v>51042.517999999996</v>
      </c>
      <c r="BF50" s="4189"/>
      <c r="BG50" s="4187">
        <f t="shared" si="60"/>
        <v>121683.91499999999</v>
      </c>
      <c r="BH50" s="26">
        <f t="shared" si="15"/>
        <v>0</v>
      </c>
      <c r="BI50" s="26"/>
    </row>
    <row r="51" spans="3:62" ht="16.8" x14ac:dyDescent="0.3">
      <c r="C51" s="4184" t="s">
        <v>109</v>
      </c>
      <c r="D51" s="4184" t="s">
        <v>1583</v>
      </c>
      <c r="E51" s="6360"/>
      <c r="F51" s="4184"/>
      <c r="G51" s="4186">
        <f>SUMIF(USM!$C$8:$C$102,$D51,USM!G$8:G$102)</f>
        <v>212.09199999999998</v>
      </c>
      <c r="H51" s="4186"/>
      <c r="I51" s="4186">
        <f>SUMIF(USM!$C$8:$C$102,$D51,USM!I$8:I$102)</f>
        <v>0</v>
      </c>
      <c r="J51" s="4187"/>
      <c r="K51" s="4187">
        <f t="shared" si="16"/>
        <v>212.09199999999998</v>
      </c>
      <c r="L51" s="4186"/>
      <c r="M51" s="4186">
        <f>SUMIF(USM!$C$8:$C$102,$D51,USM!M$8:M$102)</f>
        <v>1868.2280000000001</v>
      </c>
      <c r="N51" s="4188"/>
      <c r="O51" s="4188">
        <f t="shared" si="2"/>
        <v>2080.3200000000002</v>
      </c>
      <c r="P51" s="4186"/>
      <c r="Q51" s="4186">
        <f>SUMIF(USM!$C$8:$C$102,$D51,USM!Q$8:Q$102)</f>
        <v>3775.3629999999994</v>
      </c>
      <c r="R51" s="4189"/>
      <c r="S51" s="4187">
        <f t="shared" si="3"/>
        <v>5855.6829999999991</v>
      </c>
      <c r="T51" s="4186"/>
      <c r="U51" s="4186">
        <f>SUMIF(USM!$C$8:$C$102,$D51,USM!U$8:U$102)</f>
        <v>225.51100000000002</v>
      </c>
      <c r="V51" s="4189"/>
      <c r="W51" s="4187">
        <f t="shared" si="4"/>
        <v>6081.1939999999995</v>
      </c>
      <c r="X51" s="4190"/>
      <c r="Y51" s="4186">
        <f>SUMIF(USM!$C$8:$C$102,$D51,USM!Y$8:Y$102)</f>
        <v>1963.587</v>
      </c>
      <c r="Z51" s="4188"/>
      <c r="AA51" s="4188">
        <f t="shared" si="5"/>
        <v>5964.4609999999993</v>
      </c>
      <c r="AB51" s="4191"/>
      <c r="AC51" s="4192">
        <f t="shared" si="6"/>
        <v>8044.780999999999</v>
      </c>
      <c r="AD51" s="4186"/>
      <c r="AE51" s="4186">
        <f>SUMIF(USM!$C$8:$C$102,$D51,USM!AE$8:AE$102)</f>
        <v>2083.777</v>
      </c>
      <c r="AF51" s="4189"/>
      <c r="AG51" s="4187">
        <f t="shared" si="7"/>
        <v>10128.557999999999</v>
      </c>
      <c r="AH51" s="4186"/>
      <c r="AI51" s="4186">
        <f>SUMIF(USM!$C$8:$C$102,$D51,USM!AI$8:AI$102)</f>
        <v>2886.4169999999999</v>
      </c>
      <c r="AJ51" s="4189"/>
      <c r="AK51" s="4187">
        <f t="shared" si="43"/>
        <v>13014.974999999999</v>
      </c>
      <c r="AL51" s="4186"/>
      <c r="AM51" s="4186">
        <f>SUMIF(USM!$C$8:$C$102,$D51,USM!AM$8:AM$102)</f>
        <v>134.703</v>
      </c>
      <c r="AN51" s="4321"/>
      <c r="AO51" s="4188">
        <f t="shared" si="9"/>
        <v>5104.8969999999999</v>
      </c>
      <c r="AP51" s="4189"/>
      <c r="AQ51" s="4187">
        <f t="shared" si="56"/>
        <v>13149.677999999998</v>
      </c>
      <c r="AR51" s="4186"/>
      <c r="AS51" s="4186">
        <f>SUMIF(USM!$C$8:$C$102,$D51,USM!AS$8:AS$102)</f>
        <v>344.72500000000002</v>
      </c>
      <c r="AT51" s="4189"/>
      <c r="AU51" s="4187">
        <f t="shared" si="57"/>
        <v>13494.402999999998</v>
      </c>
      <c r="AV51" s="4186"/>
      <c r="AW51" s="4186">
        <f>SUMIF(USM!$C$8:$C$102,$D51,USM!AW$8:AW$102)</f>
        <v>518.30800000000011</v>
      </c>
      <c r="AX51" s="4189"/>
      <c r="AY51" s="4187">
        <f t="shared" si="58"/>
        <v>14012.710999999999</v>
      </c>
      <c r="AZ51" s="4186"/>
      <c r="BA51" s="4186">
        <f>SUMIF(USM!$C$8:$C$102,$D51,USM!BA$8:BA$102)</f>
        <v>156.90700000000001</v>
      </c>
      <c r="BB51" s="4321"/>
      <c r="BC51" s="4188">
        <f t="shared" si="59"/>
        <v>1019.9400000000002</v>
      </c>
      <c r="BD51" s="4191"/>
      <c r="BE51" s="4192">
        <f t="shared" si="13"/>
        <v>6124.8370000000004</v>
      </c>
      <c r="BF51" s="4189"/>
      <c r="BG51" s="4187">
        <f t="shared" si="60"/>
        <v>14169.617999999999</v>
      </c>
      <c r="BH51" s="26">
        <f t="shared" si="15"/>
        <v>0</v>
      </c>
      <c r="BI51" s="26"/>
      <c r="BJ51" s="26"/>
    </row>
    <row r="52" spans="3:62" ht="16.8" x14ac:dyDescent="0.3">
      <c r="C52" s="4856" t="s">
        <v>109</v>
      </c>
      <c r="D52" s="4856" t="s">
        <v>2048</v>
      </c>
      <c r="E52" s="6360"/>
      <c r="F52" s="4856"/>
      <c r="G52" s="4186">
        <f>SUMIF(USM!$C$8:$C$102,$D52,USM!G$8:G$102)</f>
        <v>0</v>
      </c>
      <c r="H52" s="4186"/>
      <c r="I52" s="4186">
        <f>SUMIF(USM!$C$8:$C$102,$D52,USM!I$8:I$102)</f>
        <v>0</v>
      </c>
      <c r="J52" s="4187"/>
      <c r="K52" s="4187">
        <f t="shared" ref="K52" si="61">+G52+I52</f>
        <v>0</v>
      </c>
      <c r="L52" s="4186"/>
      <c r="M52" s="4186">
        <f>SUMIF(USM!$C$8:$C$102,$D52,USM!M$8:M$102)</f>
        <v>229.86200000000002</v>
      </c>
      <c r="N52" s="4188"/>
      <c r="O52" s="4188">
        <f t="shared" ref="O52" si="62">+G52+I52+M52</f>
        <v>229.86200000000002</v>
      </c>
      <c r="P52" s="4186"/>
      <c r="Q52" s="4186">
        <f>SUMIF(USM!$C$8:$C$102,$D52,USM!Q$8:Q$102)</f>
        <v>0</v>
      </c>
      <c r="R52" s="4189"/>
      <c r="S52" s="4187">
        <f t="shared" ref="S52" si="63">O52+Q52</f>
        <v>229.86200000000002</v>
      </c>
      <c r="T52" s="4186"/>
      <c r="U52" s="4186">
        <f>SUMIF(USM!$C$8:$C$102,$D52,USM!U$8:U$102)</f>
        <v>0</v>
      </c>
      <c r="V52" s="4189"/>
      <c r="W52" s="4187">
        <f t="shared" ref="W52" si="64">S52+U52</f>
        <v>229.86200000000002</v>
      </c>
      <c r="X52" s="4190"/>
      <c r="Y52" s="4186">
        <f>SUMIF(USM!$C$8:$C$102,$D52,USM!Y$8:Y$102)</f>
        <v>0</v>
      </c>
      <c r="Z52" s="4188"/>
      <c r="AA52" s="4188">
        <f t="shared" ref="AA52" si="65">Q52+U52+Y52</f>
        <v>0</v>
      </c>
      <c r="AB52" s="4191"/>
      <c r="AC52" s="4192">
        <f t="shared" ref="AC52" si="66">O52+AA52</f>
        <v>229.86200000000002</v>
      </c>
      <c r="AD52" s="4186"/>
      <c r="AE52" s="4186">
        <f>SUMIF(USM!$C$8:$C$102,$D52,USM!AE$8:AE$102)</f>
        <v>0</v>
      </c>
      <c r="AF52" s="4189"/>
      <c r="AG52" s="4187">
        <f t="shared" ref="AG52" si="67">+AC52+AE52</f>
        <v>229.86200000000002</v>
      </c>
      <c r="AH52" s="4186"/>
      <c r="AI52" s="4186">
        <f>SUMIF(USM!$C$8:$C$102,$D52,USM!AI$8:AI$102)</f>
        <v>0</v>
      </c>
      <c r="AJ52" s="4189"/>
      <c r="AK52" s="4187">
        <f t="shared" ref="AK52" si="68">+AG52+AI52</f>
        <v>229.86200000000002</v>
      </c>
      <c r="AL52" s="4186"/>
      <c r="AM52" s="4186">
        <f>SUMIF(USM!$C$8:$C$102,$D52,USM!AM$8:AM$102)</f>
        <v>0</v>
      </c>
      <c r="AN52" s="4321"/>
      <c r="AO52" s="4188">
        <f t="shared" ref="AO52" si="69">AE52+AI52+AM52</f>
        <v>0</v>
      </c>
      <c r="AP52" s="4189"/>
      <c r="AQ52" s="4187">
        <f t="shared" ref="AQ52" si="70">+AK52+AM52</f>
        <v>229.86200000000002</v>
      </c>
      <c r="AR52" s="4186"/>
      <c r="AS52" s="4186">
        <f>SUMIF(USM!$C$8:$C$102,$D52,USM!AS$8:AS$102)</f>
        <v>0</v>
      </c>
      <c r="AT52" s="4189"/>
      <c r="AU52" s="4187">
        <f t="shared" ref="AU52" si="71">+AQ52+AS52</f>
        <v>229.86200000000002</v>
      </c>
      <c r="AV52" s="4186"/>
      <c r="AW52" s="4186">
        <f>SUMIF(USM!$C$8:$C$102,$D52,USM!AW$8:AW$102)</f>
        <v>0</v>
      </c>
      <c r="AX52" s="4189"/>
      <c r="AY52" s="4187">
        <f t="shared" ref="AY52" si="72">+AU52+AW52</f>
        <v>229.86200000000002</v>
      </c>
      <c r="AZ52" s="4186"/>
      <c r="BA52" s="4186">
        <f>SUMIF(USM!$C$8:$C$102,$D52,USM!BA$8:BA$102)</f>
        <v>0</v>
      </c>
      <c r="BB52" s="4321"/>
      <c r="BC52" s="4188">
        <f t="shared" ref="BC52" si="73">AS52+AW52+BA52</f>
        <v>0</v>
      </c>
      <c r="BD52" s="4191"/>
      <c r="BE52" s="4192">
        <f t="shared" ref="BE52" si="74">AO52+BC52</f>
        <v>0</v>
      </c>
      <c r="BF52" s="4189"/>
      <c r="BG52" s="4187">
        <f t="shared" ref="BG52" si="75">+AY52+BA52</f>
        <v>229.86200000000002</v>
      </c>
      <c r="BH52" s="26">
        <f t="shared" si="15"/>
        <v>0</v>
      </c>
      <c r="BI52" s="26"/>
    </row>
    <row r="53" spans="3:62" ht="16.8" x14ac:dyDescent="0.3">
      <c r="C53" s="4184" t="s">
        <v>109</v>
      </c>
      <c r="D53" s="4184" t="s">
        <v>1584</v>
      </c>
      <c r="E53" s="6360"/>
      <c r="F53" s="4184"/>
      <c r="G53" s="4186">
        <f>SUMIF(USM!$C$8:$C$102,$D53,USM!G$8:G$102)</f>
        <v>0</v>
      </c>
      <c r="H53" s="4186"/>
      <c r="I53" s="4186">
        <f>SUMIF(USM!$C$8:$C$102,$D53,USM!I$8:I$102)</f>
        <v>0</v>
      </c>
      <c r="J53" s="4187"/>
      <c r="K53" s="4187">
        <f t="shared" si="16"/>
        <v>0</v>
      </c>
      <c r="L53" s="4186"/>
      <c r="M53" s="4186">
        <f>SUMIF(USM!$C$8:$C$102,$D53,USM!M$8:M$102)</f>
        <v>0</v>
      </c>
      <c r="N53" s="4188"/>
      <c r="O53" s="4188">
        <f t="shared" si="2"/>
        <v>0</v>
      </c>
      <c r="P53" s="4186"/>
      <c r="Q53" s="4186">
        <f>SUMIF(USM!$C$8:$C$102,$D53,USM!Q$8:Q$102)</f>
        <v>300.69599999999997</v>
      </c>
      <c r="R53" s="4189"/>
      <c r="S53" s="4187">
        <f t="shared" si="3"/>
        <v>300.69599999999997</v>
      </c>
      <c r="T53" s="4186"/>
      <c r="U53" s="4186">
        <f>SUMIF(USM!$C$8:$C$102,$D53,USM!U$8:U$102)</f>
        <v>792.84600000000012</v>
      </c>
      <c r="V53" s="4189"/>
      <c r="W53" s="4187">
        <f t="shared" si="4"/>
        <v>1093.5420000000001</v>
      </c>
      <c r="X53" s="4190"/>
      <c r="Y53" s="4186">
        <f>SUMIF(USM!$C$8:$C$102,$D53,USM!Y$8:Y$102)</f>
        <v>0</v>
      </c>
      <c r="Z53" s="4188"/>
      <c r="AA53" s="4188">
        <f t="shared" si="5"/>
        <v>1093.5420000000001</v>
      </c>
      <c r="AB53" s="4191"/>
      <c r="AC53" s="4192">
        <f t="shared" si="6"/>
        <v>1093.5420000000001</v>
      </c>
      <c r="AD53" s="4186"/>
      <c r="AE53" s="4186">
        <f>SUMIF(USM!$C$8:$C$102,$D53,USM!AE$8:AE$102)</f>
        <v>0</v>
      </c>
      <c r="AF53" s="4189"/>
      <c r="AG53" s="4187">
        <f t="shared" si="7"/>
        <v>1093.5420000000001</v>
      </c>
      <c r="AH53" s="4186"/>
      <c r="AI53" s="4186">
        <f>SUMIF(USM!$C$8:$C$102,$D53,USM!AI$8:AI$102)</f>
        <v>330.005</v>
      </c>
      <c r="AJ53" s="4189"/>
      <c r="AK53" s="4187">
        <f t="shared" si="43"/>
        <v>1423.547</v>
      </c>
      <c r="AL53" s="4186"/>
      <c r="AM53" s="4186">
        <f>SUMIF(USM!$C$8:$C$102,$D53,USM!AM$8:AM$102)</f>
        <v>804.02599999999995</v>
      </c>
      <c r="AN53" s="4321"/>
      <c r="AO53" s="4188">
        <f t="shared" si="9"/>
        <v>1134.0309999999999</v>
      </c>
      <c r="AP53" s="4189"/>
      <c r="AQ53" s="4187">
        <f t="shared" si="56"/>
        <v>2227.5729999999999</v>
      </c>
      <c r="AR53" s="4186"/>
      <c r="AS53" s="4186">
        <f>SUMIF(USM!$C$8:$C$102,$D53,USM!AS$8:AS$102)</f>
        <v>659.03700000000003</v>
      </c>
      <c r="AT53" s="4189"/>
      <c r="AU53" s="4187">
        <f t="shared" si="57"/>
        <v>2886.6099999999997</v>
      </c>
      <c r="AV53" s="4186"/>
      <c r="AW53" s="4186">
        <f>SUMIF(USM!$C$8:$C$102,$D53,USM!AW$8:AW$102)</f>
        <v>0</v>
      </c>
      <c r="AX53" s="4189"/>
      <c r="AY53" s="4187">
        <f t="shared" si="58"/>
        <v>2886.6099999999997</v>
      </c>
      <c r="AZ53" s="4186"/>
      <c r="BA53" s="4186">
        <f>SUMIF(USM!$C$8:$C$102,$D53,USM!BA$8:BA$102)</f>
        <v>0</v>
      </c>
      <c r="BB53" s="4321"/>
      <c r="BC53" s="4188">
        <f t="shared" si="59"/>
        <v>659.03700000000003</v>
      </c>
      <c r="BD53" s="4191"/>
      <c r="BE53" s="4192">
        <f t="shared" si="13"/>
        <v>1793.068</v>
      </c>
      <c r="BF53" s="4189"/>
      <c r="BG53" s="4187">
        <f t="shared" si="60"/>
        <v>2886.6099999999997</v>
      </c>
      <c r="BH53" s="26">
        <f t="shared" si="15"/>
        <v>0</v>
      </c>
      <c r="BI53" s="26"/>
    </row>
    <row r="54" spans="3:62" ht="16.8" x14ac:dyDescent="0.3">
      <c r="C54" s="6356" t="s">
        <v>960</v>
      </c>
      <c r="D54" s="6356"/>
      <c r="E54" s="6360"/>
      <c r="F54" s="4199"/>
      <c r="G54" s="4200">
        <f t="shared" ref="G54:AM54" si="76">SUM(G47:G53)</f>
        <v>49543.777000000002</v>
      </c>
      <c r="H54" s="4200">
        <f t="shared" si="76"/>
        <v>0</v>
      </c>
      <c r="I54" s="4200">
        <f t="shared" si="76"/>
        <v>57219.144</v>
      </c>
      <c r="J54" s="4200">
        <f t="shared" si="76"/>
        <v>0</v>
      </c>
      <c r="K54" s="4201">
        <f t="shared" si="76"/>
        <v>106762.921</v>
      </c>
      <c r="L54" s="4200">
        <f t="shared" si="76"/>
        <v>0</v>
      </c>
      <c r="M54" s="4200">
        <f t="shared" si="76"/>
        <v>58674.632999999994</v>
      </c>
      <c r="N54" s="4200">
        <f t="shared" si="76"/>
        <v>0</v>
      </c>
      <c r="O54" s="4202">
        <f t="shared" si="76"/>
        <v>165437.554</v>
      </c>
      <c r="P54" s="4200">
        <f t="shared" si="76"/>
        <v>0</v>
      </c>
      <c r="Q54" s="4200">
        <f t="shared" si="76"/>
        <v>57327.387000000002</v>
      </c>
      <c r="R54" s="4200">
        <f t="shared" si="76"/>
        <v>0</v>
      </c>
      <c r="S54" s="4201">
        <f t="shared" si="76"/>
        <v>222764.94099999999</v>
      </c>
      <c r="T54" s="4200">
        <f t="shared" si="76"/>
        <v>0</v>
      </c>
      <c r="U54" s="4200">
        <f t="shared" si="76"/>
        <v>44406.292999999991</v>
      </c>
      <c r="V54" s="4200">
        <f t="shared" si="76"/>
        <v>0</v>
      </c>
      <c r="W54" s="4201">
        <f t="shared" si="76"/>
        <v>267171.23400000005</v>
      </c>
      <c r="X54" s="4200">
        <f t="shared" si="76"/>
        <v>0</v>
      </c>
      <c r="Y54" s="4200">
        <f t="shared" si="76"/>
        <v>49996.715999999993</v>
      </c>
      <c r="Z54" s="4200">
        <f t="shared" si="76"/>
        <v>0</v>
      </c>
      <c r="AA54" s="4202">
        <f t="shared" si="76"/>
        <v>151730.39600000001</v>
      </c>
      <c r="AB54" s="4200">
        <f t="shared" si="76"/>
        <v>0</v>
      </c>
      <c r="AC54" s="4203">
        <f t="shared" si="76"/>
        <v>317167.95000000007</v>
      </c>
      <c r="AD54" s="4200">
        <f t="shared" si="76"/>
        <v>0</v>
      </c>
      <c r="AE54" s="4200">
        <f t="shared" si="76"/>
        <v>29659.897000000004</v>
      </c>
      <c r="AF54" s="4200">
        <f t="shared" si="76"/>
        <v>0</v>
      </c>
      <c r="AG54" s="4201">
        <f t="shared" si="76"/>
        <v>346827.84700000007</v>
      </c>
      <c r="AH54" s="4200">
        <f t="shared" si="76"/>
        <v>0</v>
      </c>
      <c r="AI54" s="4200">
        <f t="shared" si="76"/>
        <v>49060.043999999987</v>
      </c>
      <c r="AJ54" s="4200">
        <f t="shared" si="76"/>
        <v>0</v>
      </c>
      <c r="AK54" s="4201">
        <f t="shared" si="76"/>
        <v>395887.891</v>
      </c>
      <c r="AL54" s="4200">
        <f t="shared" si="76"/>
        <v>0</v>
      </c>
      <c r="AM54" s="4200">
        <f t="shared" si="76"/>
        <v>52987.179999999993</v>
      </c>
      <c r="AN54" s="4322"/>
      <c r="AO54" s="4202">
        <f t="shared" ref="AO54:BA54" si="77">SUM(AO47:AO53)</f>
        <v>131707.12099999998</v>
      </c>
      <c r="AP54" s="4200">
        <f t="shared" si="77"/>
        <v>0</v>
      </c>
      <c r="AQ54" s="4201">
        <f t="shared" si="77"/>
        <v>448875.071</v>
      </c>
      <c r="AR54" s="4200">
        <f t="shared" si="77"/>
        <v>0</v>
      </c>
      <c r="AS54" s="4200">
        <f t="shared" si="77"/>
        <v>56169.977999999988</v>
      </c>
      <c r="AT54" s="4200">
        <f t="shared" si="77"/>
        <v>0</v>
      </c>
      <c r="AU54" s="4201">
        <f t="shared" si="77"/>
        <v>505045.049</v>
      </c>
      <c r="AV54" s="4200">
        <f t="shared" si="77"/>
        <v>0</v>
      </c>
      <c r="AW54" s="4200">
        <f t="shared" si="77"/>
        <v>54279.398000000008</v>
      </c>
      <c r="AX54" s="4200">
        <f t="shared" si="77"/>
        <v>0</v>
      </c>
      <c r="AY54" s="4201">
        <f t="shared" si="77"/>
        <v>559324.44699999993</v>
      </c>
      <c r="AZ54" s="4200">
        <f t="shared" si="77"/>
        <v>0</v>
      </c>
      <c r="BA54" s="4200">
        <f t="shared" si="77"/>
        <v>63120.145999999993</v>
      </c>
      <c r="BB54" s="4322"/>
      <c r="BC54" s="4202">
        <f>SUM(BC47:BC53)</f>
        <v>173569.522</v>
      </c>
      <c r="BD54" s="4200">
        <f>SUM(BD47:BD53)</f>
        <v>0</v>
      </c>
      <c r="BE54" s="4203">
        <f>SUM(BE47:BE53)</f>
        <v>305276.64300000004</v>
      </c>
      <c r="BF54" s="4200">
        <f>SUM(BF47:BF53)</f>
        <v>0</v>
      </c>
      <c r="BG54" s="4201">
        <f>SUM(BG47:BG53)</f>
        <v>622444.59299999999</v>
      </c>
      <c r="BH54" s="26">
        <f t="shared" si="15"/>
        <v>0</v>
      </c>
      <c r="BI54" s="26"/>
    </row>
    <row r="55" spans="3:62" ht="18" x14ac:dyDescent="0.35">
      <c r="C55" s="4184" t="s">
        <v>969</v>
      </c>
      <c r="D55" s="4184" t="s">
        <v>642</v>
      </c>
      <c r="E55" s="6360"/>
      <c r="F55" s="4184"/>
      <c r="G55" s="4204">
        <f>6895.58799999996-1636-256</f>
        <v>5003.5879999999597</v>
      </c>
      <c r="H55" s="4204"/>
      <c r="I55" s="4204">
        <f>9133-750</f>
        <v>8383</v>
      </c>
      <c r="J55" s="4187"/>
      <c r="K55" s="4187">
        <f t="shared" si="16"/>
        <v>13386.58799999996</v>
      </c>
      <c r="L55" s="4204"/>
      <c r="M55" s="4204">
        <f>12010-131</f>
        <v>11879</v>
      </c>
      <c r="N55" s="4188"/>
      <c r="O55" s="4188">
        <f t="shared" si="2"/>
        <v>25265.58799999996</v>
      </c>
      <c r="P55" s="4204"/>
      <c r="Q55" s="4204">
        <f>927-685</f>
        <v>242</v>
      </c>
      <c r="R55" s="4189"/>
      <c r="S55" s="4187">
        <f t="shared" si="3"/>
        <v>25507.58799999996</v>
      </c>
      <c r="T55" s="4204"/>
      <c r="U55" s="4204">
        <f>9644.118-410.116</f>
        <v>9234.0020000000004</v>
      </c>
      <c r="V55" s="4189"/>
      <c r="W55" s="4187">
        <f t="shared" si="4"/>
        <v>34741.58999999996</v>
      </c>
      <c r="X55" s="4190"/>
      <c r="Y55" s="4204">
        <f>12381-5355</f>
        <v>7026</v>
      </c>
      <c r="Z55" s="4188"/>
      <c r="AA55" s="4188">
        <f t="shared" si="5"/>
        <v>16502.002</v>
      </c>
      <c r="AB55" s="4191"/>
      <c r="AC55" s="4192">
        <f t="shared" si="6"/>
        <v>41767.58999999996</v>
      </c>
      <c r="AD55" s="4204"/>
      <c r="AE55" s="4204">
        <f>5821-21</f>
        <v>5800</v>
      </c>
      <c r="AF55" s="4189"/>
      <c r="AG55" s="4187">
        <f t="shared" si="7"/>
        <v>47567.58999999996</v>
      </c>
      <c r="AH55" s="4204"/>
      <c r="AI55" s="4204">
        <f>9273.96400000001-5500.251</f>
        <v>3773.7130000000107</v>
      </c>
      <c r="AJ55" s="4189"/>
      <c r="AK55" s="4187">
        <f t="shared" si="43"/>
        <v>51341.302999999971</v>
      </c>
      <c r="AL55" s="4204"/>
      <c r="AM55" s="4204">
        <f>11166.66-4033</f>
        <v>7133.66</v>
      </c>
      <c r="AN55" s="4323"/>
      <c r="AO55" s="4188">
        <f t="shared" si="9"/>
        <v>16707.373000000011</v>
      </c>
      <c r="AP55" s="4189"/>
      <c r="AQ55" s="4187">
        <f t="shared" ref="AQ55:AQ78" si="78">+AK55+AM55</f>
        <v>58474.962999999974</v>
      </c>
      <c r="AR55" s="4204"/>
      <c r="AS55" s="4204">
        <v>4013</v>
      </c>
      <c r="AT55" s="4189"/>
      <c r="AU55" s="4187">
        <f t="shared" ref="AU55:AU78" si="79">+AQ55+AS55</f>
        <v>62487.962999999974</v>
      </c>
      <c r="AV55" s="4204"/>
      <c r="AW55" s="4204">
        <v>4184.3040000000001</v>
      </c>
      <c r="AX55" s="4189"/>
      <c r="AY55" s="4187">
        <f t="shared" ref="AY55:AY78" si="80">+AU55+AW55</f>
        <v>66672.266999999978</v>
      </c>
      <c r="AZ55" s="4204"/>
      <c r="BA55" s="4204">
        <f>3075.691-111</f>
        <v>2964.6909999999998</v>
      </c>
      <c r="BB55" s="4323"/>
      <c r="BC55" s="4188">
        <f t="shared" ref="BC55:BC78" si="81">AS55+AW55+BA55</f>
        <v>11161.994999999999</v>
      </c>
      <c r="BD55" s="4191"/>
      <c r="BE55" s="4192">
        <f t="shared" si="13"/>
        <v>27869.368000000009</v>
      </c>
      <c r="BF55" s="4189"/>
      <c r="BG55" s="4187">
        <f t="shared" ref="BG55:BG78" si="82">+AY55+BA55</f>
        <v>69636.957999999984</v>
      </c>
      <c r="BH55" s="26">
        <f t="shared" si="15"/>
        <v>0</v>
      </c>
      <c r="BI55" s="580"/>
    </row>
    <row r="56" spans="3:62" ht="18" x14ac:dyDescent="0.35">
      <c r="C56" s="4184" t="s">
        <v>969</v>
      </c>
      <c r="D56" s="4193" t="s">
        <v>1820</v>
      </c>
      <c r="E56" s="6360"/>
      <c r="F56" s="4193"/>
      <c r="G56" s="4190"/>
      <c r="H56" s="4190"/>
      <c r="I56" s="4190"/>
      <c r="J56" s="4197"/>
      <c r="K56" s="4187">
        <f t="shared" si="16"/>
        <v>0</v>
      </c>
      <c r="L56" s="4190"/>
      <c r="M56" s="4190"/>
      <c r="N56" s="4196"/>
      <c r="O56" s="4188">
        <f t="shared" si="2"/>
        <v>0</v>
      </c>
      <c r="P56" s="4190"/>
      <c r="Q56" s="4190"/>
      <c r="R56" s="4189"/>
      <c r="S56" s="4187">
        <f t="shared" si="3"/>
        <v>0</v>
      </c>
      <c r="T56" s="4190"/>
      <c r="U56" s="4190"/>
      <c r="V56" s="4189"/>
      <c r="W56" s="4187">
        <f t="shared" si="4"/>
        <v>0</v>
      </c>
      <c r="X56" s="4190"/>
      <c r="Y56" s="4190"/>
      <c r="Z56" s="4196"/>
      <c r="AA56" s="4188">
        <f t="shared" si="5"/>
        <v>0</v>
      </c>
      <c r="AB56" s="4191"/>
      <c r="AC56" s="4192">
        <f t="shared" si="6"/>
        <v>0</v>
      </c>
      <c r="AD56" s="4190"/>
      <c r="AE56" s="4190"/>
      <c r="AF56" s="4189"/>
      <c r="AG56" s="4187">
        <f t="shared" si="7"/>
        <v>0</v>
      </c>
      <c r="AH56" s="4190"/>
      <c r="AI56" s="4190"/>
      <c r="AJ56" s="4189"/>
      <c r="AK56" s="4187">
        <f t="shared" si="43"/>
        <v>0</v>
      </c>
      <c r="AL56" s="4190"/>
      <c r="AM56" s="4190"/>
      <c r="AN56" s="4323"/>
      <c r="AO56" s="4188">
        <f t="shared" si="9"/>
        <v>0</v>
      </c>
      <c r="AP56" s="4189"/>
      <c r="AQ56" s="4187">
        <f t="shared" si="78"/>
        <v>0</v>
      </c>
      <c r="AR56" s="4190"/>
      <c r="AS56" s="4190"/>
      <c r="AT56" s="4189"/>
      <c r="AU56" s="4187">
        <f t="shared" si="79"/>
        <v>0</v>
      </c>
      <c r="AV56" s="4190"/>
      <c r="AW56" s="4190"/>
      <c r="AX56" s="4189"/>
      <c r="AY56" s="4187">
        <f t="shared" si="80"/>
        <v>0</v>
      </c>
      <c r="AZ56" s="4190"/>
      <c r="BA56" s="4190"/>
      <c r="BB56" s="4323"/>
      <c r="BC56" s="4188">
        <f t="shared" si="81"/>
        <v>0</v>
      </c>
      <c r="BD56" s="4191"/>
      <c r="BE56" s="4192">
        <f t="shared" si="13"/>
        <v>0</v>
      </c>
      <c r="BF56" s="4189"/>
      <c r="BG56" s="4187">
        <f t="shared" si="82"/>
        <v>0</v>
      </c>
      <c r="BH56" s="26">
        <f t="shared" si="15"/>
        <v>0</v>
      </c>
      <c r="BI56" s="580"/>
    </row>
    <row r="57" spans="3:62" ht="18" x14ac:dyDescent="0.35">
      <c r="C57" s="4184" t="s">
        <v>969</v>
      </c>
      <c r="D57" s="4184" t="s">
        <v>1896</v>
      </c>
      <c r="E57" s="6360"/>
      <c r="F57" s="4184"/>
      <c r="G57" s="4204"/>
      <c r="H57" s="4204"/>
      <c r="I57" s="4204"/>
      <c r="J57" s="4187"/>
      <c r="K57" s="4187">
        <f t="shared" si="16"/>
        <v>0</v>
      </c>
      <c r="L57" s="4204"/>
      <c r="M57" s="4204"/>
      <c r="N57" s="4188"/>
      <c r="O57" s="4188">
        <f t="shared" si="2"/>
        <v>0</v>
      </c>
      <c r="P57" s="4204"/>
      <c r="Q57" s="4204"/>
      <c r="R57" s="4189"/>
      <c r="S57" s="4187">
        <f t="shared" si="3"/>
        <v>0</v>
      </c>
      <c r="T57" s="4204"/>
      <c r="U57" s="4204"/>
      <c r="V57" s="4189"/>
      <c r="W57" s="4187">
        <f t="shared" si="4"/>
        <v>0</v>
      </c>
      <c r="X57" s="4190"/>
      <c r="Y57" s="4204"/>
      <c r="Z57" s="4188"/>
      <c r="AA57" s="4188">
        <f t="shared" si="5"/>
        <v>0</v>
      </c>
      <c r="AB57" s="4191"/>
      <c r="AC57" s="4192">
        <f t="shared" si="6"/>
        <v>0</v>
      </c>
      <c r="AD57" s="4204"/>
      <c r="AE57" s="4204"/>
      <c r="AF57" s="4189"/>
      <c r="AG57" s="4187">
        <f t="shared" si="7"/>
        <v>0</v>
      </c>
      <c r="AH57" s="4204"/>
      <c r="AI57" s="4204"/>
      <c r="AJ57" s="4189"/>
      <c r="AK57" s="4187">
        <f t="shared" si="43"/>
        <v>0</v>
      </c>
      <c r="AL57" s="4204"/>
      <c r="AM57" s="4204">
        <v>106</v>
      </c>
      <c r="AN57" s="4323"/>
      <c r="AO57" s="4188">
        <f t="shared" si="9"/>
        <v>106</v>
      </c>
      <c r="AP57" s="4189"/>
      <c r="AQ57" s="4187">
        <f t="shared" si="78"/>
        <v>106</v>
      </c>
      <c r="AR57" s="4204"/>
      <c r="AS57" s="4204">
        <v>108</v>
      </c>
      <c r="AT57" s="4189"/>
      <c r="AU57" s="4187">
        <f t="shared" si="79"/>
        <v>214</v>
      </c>
      <c r="AV57" s="4204"/>
      <c r="AW57" s="4204"/>
      <c r="AX57" s="4189"/>
      <c r="AY57" s="4187">
        <f t="shared" si="80"/>
        <v>214</v>
      </c>
      <c r="AZ57" s="4204"/>
      <c r="BA57" s="4204"/>
      <c r="BB57" s="4323"/>
      <c r="BC57" s="4188">
        <f t="shared" si="81"/>
        <v>108</v>
      </c>
      <c r="BD57" s="4191"/>
      <c r="BE57" s="4192">
        <f t="shared" si="13"/>
        <v>214</v>
      </c>
      <c r="BF57" s="4189"/>
      <c r="BG57" s="4187">
        <f t="shared" si="82"/>
        <v>214</v>
      </c>
      <c r="BH57" s="26">
        <f t="shared" si="15"/>
        <v>0</v>
      </c>
      <c r="BI57" s="580"/>
      <c r="BJ57" s="26"/>
    </row>
    <row r="58" spans="3:62" ht="18" x14ac:dyDescent="0.35">
      <c r="C58" s="4184" t="s">
        <v>969</v>
      </c>
      <c r="D58" s="4184" t="s">
        <v>1283</v>
      </c>
      <c r="E58" s="6360"/>
      <c r="F58" s="4184"/>
      <c r="G58" s="4204">
        <v>2361</v>
      </c>
      <c r="H58" s="4204"/>
      <c r="I58" s="4204">
        <v>4082</v>
      </c>
      <c r="J58" s="4187"/>
      <c r="K58" s="4187">
        <f t="shared" si="16"/>
        <v>6443</v>
      </c>
      <c r="L58" s="4204"/>
      <c r="M58" s="4204">
        <v>5864</v>
      </c>
      <c r="N58" s="4188"/>
      <c r="O58" s="4188">
        <f t="shared" si="2"/>
        <v>12307</v>
      </c>
      <c r="P58" s="4204"/>
      <c r="Q58" s="4204">
        <v>8179</v>
      </c>
      <c r="R58" s="4189"/>
      <c r="S58" s="4187">
        <f t="shared" si="3"/>
        <v>20486</v>
      </c>
      <c r="T58" s="4204"/>
      <c r="U58" s="4204">
        <v>6747.8880000000008</v>
      </c>
      <c r="V58" s="4189"/>
      <c r="W58" s="4187">
        <f t="shared" si="4"/>
        <v>27233.887999999999</v>
      </c>
      <c r="X58" s="4190"/>
      <c r="Y58" s="4204">
        <v>6553</v>
      </c>
      <c r="Z58" s="4188"/>
      <c r="AA58" s="4188">
        <f t="shared" si="5"/>
        <v>21479.887999999999</v>
      </c>
      <c r="AB58" s="4191"/>
      <c r="AC58" s="4192">
        <f t="shared" si="6"/>
        <v>33786.887999999999</v>
      </c>
      <c r="AD58" s="4204"/>
      <c r="AE58" s="4204">
        <v>1913</v>
      </c>
      <c r="AF58" s="4189"/>
      <c r="AG58" s="4187">
        <f t="shared" si="7"/>
        <v>35699.887999999999</v>
      </c>
      <c r="AH58" s="4204"/>
      <c r="AI58" s="4204">
        <v>3328.1819999999998</v>
      </c>
      <c r="AJ58" s="4189"/>
      <c r="AK58" s="4187">
        <f t="shared" si="43"/>
        <v>39028.07</v>
      </c>
      <c r="AL58" s="4204"/>
      <c r="AM58" s="4204">
        <v>3132</v>
      </c>
      <c r="AN58" s="4323"/>
      <c r="AO58" s="4188">
        <f t="shared" si="9"/>
        <v>8373.1820000000007</v>
      </c>
      <c r="AP58" s="4189"/>
      <c r="AQ58" s="4187">
        <f t="shared" si="78"/>
        <v>42160.07</v>
      </c>
      <c r="AR58" s="4204"/>
      <c r="AS58" s="4204">
        <v>376</v>
      </c>
      <c r="AT58" s="4189"/>
      <c r="AU58" s="4187">
        <f t="shared" si="79"/>
        <v>42536.07</v>
      </c>
      <c r="AV58" s="4204"/>
      <c r="AW58" s="4204"/>
      <c r="AX58" s="4189"/>
      <c r="AY58" s="4187">
        <f t="shared" si="80"/>
        <v>42536.07</v>
      </c>
      <c r="AZ58" s="4204"/>
      <c r="BA58" s="4204">
        <v>2306.71</v>
      </c>
      <c r="BB58" s="4323"/>
      <c r="BC58" s="4188">
        <f t="shared" si="81"/>
        <v>2682.71</v>
      </c>
      <c r="BD58" s="4191"/>
      <c r="BE58" s="4192">
        <f t="shared" si="13"/>
        <v>11055.892</v>
      </c>
      <c r="BF58" s="4189"/>
      <c r="BG58" s="4187">
        <f t="shared" si="82"/>
        <v>44842.78</v>
      </c>
      <c r="BH58" s="26">
        <f t="shared" si="15"/>
        <v>0</v>
      </c>
      <c r="BI58" s="580"/>
    </row>
    <row r="59" spans="3:62" ht="18" x14ac:dyDescent="0.35">
      <c r="C59" s="4184" t="s">
        <v>969</v>
      </c>
      <c r="D59" s="4184" t="s">
        <v>1264</v>
      </c>
      <c r="E59" s="6360"/>
      <c r="F59" s="4184"/>
      <c r="G59" s="4204"/>
      <c r="H59" s="4204"/>
      <c r="I59" s="4204"/>
      <c r="J59" s="4187"/>
      <c r="K59" s="4187">
        <f t="shared" si="16"/>
        <v>0</v>
      </c>
      <c r="L59" s="4204"/>
      <c r="M59" s="4204"/>
      <c r="N59" s="4188"/>
      <c r="O59" s="4188">
        <f t="shared" si="2"/>
        <v>0</v>
      </c>
      <c r="P59" s="4204"/>
      <c r="Q59" s="4204"/>
      <c r="R59" s="4189"/>
      <c r="S59" s="4187">
        <f t="shared" si="3"/>
        <v>0</v>
      </c>
      <c r="T59" s="4204"/>
      <c r="U59" s="4204"/>
      <c r="V59" s="4189"/>
      <c r="W59" s="4187">
        <f t="shared" si="4"/>
        <v>0</v>
      </c>
      <c r="X59" s="4190"/>
      <c r="Y59" s="4204"/>
      <c r="Z59" s="4188"/>
      <c r="AA59" s="4188">
        <f t="shared" si="5"/>
        <v>0</v>
      </c>
      <c r="AB59" s="4191"/>
      <c r="AC59" s="4192">
        <f t="shared" si="6"/>
        <v>0</v>
      </c>
      <c r="AD59" s="4204"/>
      <c r="AE59" s="4204"/>
      <c r="AF59" s="4189"/>
      <c r="AG59" s="4187">
        <f t="shared" si="7"/>
        <v>0</v>
      </c>
      <c r="AH59" s="4204"/>
      <c r="AI59" s="4204"/>
      <c r="AJ59" s="4189"/>
      <c r="AK59" s="4187">
        <f t="shared" si="43"/>
        <v>0</v>
      </c>
      <c r="AL59" s="4204"/>
      <c r="AM59" s="4204"/>
      <c r="AN59" s="4323"/>
      <c r="AO59" s="4188">
        <f t="shared" si="9"/>
        <v>0</v>
      </c>
      <c r="AP59" s="4189"/>
      <c r="AQ59" s="4187">
        <f t="shared" si="78"/>
        <v>0</v>
      </c>
      <c r="AR59" s="4204"/>
      <c r="AS59" s="4204"/>
      <c r="AT59" s="4189"/>
      <c r="AU59" s="4187">
        <f t="shared" si="79"/>
        <v>0</v>
      </c>
      <c r="AV59" s="4204"/>
      <c r="AW59" s="4204"/>
      <c r="AX59" s="4189"/>
      <c r="AY59" s="4187">
        <f t="shared" si="80"/>
        <v>0</v>
      </c>
      <c r="AZ59" s="4204"/>
      <c r="BA59" s="4204"/>
      <c r="BB59" s="4323"/>
      <c r="BC59" s="4188">
        <f t="shared" si="81"/>
        <v>0</v>
      </c>
      <c r="BD59" s="4191"/>
      <c r="BE59" s="4192">
        <f t="shared" si="13"/>
        <v>0</v>
      </c>
      <c r="BF59" s="4189"/>
      <c r="BG59" s="4187">
        <f t="shared" si="82"/>
        <v>0</v>
      </c>
      <c r="BH59" s="26">
        <f t="shared" si="15"/>
        <v>0</v>
      </c>
      <c r="BI59" s="580"/>
    </row>
    <row r="60" spans="3:62" ht="18" x14ac:dyDescent="0.35">
      <c r="C60" s="4184" t="s">
        <v>969</v>
      </c>
      <c r="D60" s="4184" t="s">
        <v>1098</v>
      </c>
      <c r="E60" s="6360"/>
      <c r="F60" s="4184"/>
      <c r="G60" s="4204">
        <v>685</v>
      </c>
      <c r="H60" s="4204"/>
      <c r="I60" s="4204">
        <v>480</v>
      </c>
      <c r="J60" s="4187"/>
      <c r="K60" s="4187">
        <f t="shared" si="16"/>
        <v>1165</v>
      </c>
      <c r="L60" s="4204"/>
      <c r="M60" s="4204">
        <v>613</v>
      </c>
      <c r="N60" s="4188"/>
      <c r="O60" s="4188">
        <f t="shared" si="2"/>
        <v>1778</v>
      </c>
      <c r="P60" s="4204"/>
      <c r="Q60" s="4204"/>
      <c r="R60" s="4189"/>
      <c r="S60" s="4187">
        <f t="shared" si="3"/>
        <v>1778</v>
      </c>
      <c r="T60" s="4204"/>
      <c r="U60" s="4204"/>
      <c r="V60" s="4189"/>
      <c r="W60" s="4187">
        <f t="shared" si="4"/>
        <v>1778</v>
      </c>
      <c r="X60" s="4190"/>
      <c r="Y60" s="4204"/>
      <c r="Z60" s="4188"/>
      <c r="AA60" s="4188">
        <f t="shared" si="5"/>
        <v>0</v>
      </c>
      <c r="AB60" s="4191"/>
      <c r="AC60" s="4192">
        <f t="shared" si="6"/>
        <v>1778</v>
      </c>
      <c r="AD60" s="4204"/>
      <c r="AE60" s="4204">
        <v>292</v>
      </c>
      <c r="AF60" s="4189"/>
      <c r="AG60" s="4187">
        <f t="shared" si="7"/>
        <v>2070</v>
      </c>
      <c r="AH60" s="4204"/>
      <c r="AI60" s="4204"/>
      <c r="AJ60" s="4189"/>
      <c r="AK60" s="4187">
        <f t="shared" si="43"/>
        <v>2070</v>
      </c>
      <c r="AL60" s="4204"/>
      <c r="AM60" s="4204">
        <v>153</v>
      </c>
      <c r="AN60" s="4323"/>
      <c r="AO60" s="4188">
        <f t="shared" si="9"/>
        <v>445</v>
      </c>
      <c r="AP60" s="4189"/>
      <c r="AQ60" s="4187">
        <f t="shared" si="78"/>
        <v>2223</v>
      </c>
      <c r="AR60" s="4204"/>
      <c r="AS60" s="4204">
        <v>2353</v>
      </c>
      <c r="AT60" s="4189"/>
      <c r="AU60" s="4187">
        <f t="shared" si="79"/>
        <v>4576</v>
      </c>
      <c r="AV60" s="4204"/>
      <c r="AW60" s="4204"/>
      <c r="AX60" s="4189"/>
      <c r="AY60" s="4187">
        <f t="shared" si="80"/>
        <v>4576</v>
      </c>
      <c r="AZ60" s="4204"/>
      <c r="BA60" s="4204">
        <v>89.292000000000002</v>
      </c>
      <c r="BB60" s="4323"/>
      <c r="BC60" s="4188">
        <f t="shared" si="81"/>
        <v>2442.2919999999999</v>
      </c>
      <c r="BD60" s="4191"/>
      <c r="BE60" s="4192">
        <f t="shared" si="13"/>
        <v>2887.2919999999999</v>
      </c>
      <c r="BF60" s="4189"/>
      <c r="BG60" s="4187">
        <f t="shared" si="82"/>
        <v>4665.2920000000004</v>
      </c>
      <c r="BH60" s="26">
        <f t="shared" si="15"/>
        <v>0</v>
      </c>
      <c r="BI60" s="580"/>
    </row>
    <row r="61" spans="3:62" ht="18" x14ac:dyDescent="0.35">
      <c r="C61" s="4184" t="s">
        <v>969</v>
      </c>
      <c r="D61" s="4789" t="s">
        <v>1993</v>
      </c>
      <c r="E61" s="6360"/>
      <c r="F61" s="4789"/>
      <c r="G61" s="4790">
        <v>1636</v>
      </c>
      <c r="H61" s="4790"/>
      <c r="I61" s="4790"/>
      <c r="J61" s="4791"/>
      <c r="K61" s="4187">
        <f t="shared" si="16"/>
        <v>1636</v>
      </c>
      <c r="L61" s="4790"/>
      <c r="M61" s="4790"/>
      <c r="N61" s="4792"/>
      <c r="O61" s="4188">
        <f t="shared" si="2"/>
        <v>1636</v>
      </c>
      <c r="P61" s="4790"/>
      <c r="Q61" s="4790"/>
      <c r="R61" s="4189"/>
      <c r="S61" s="4791"/>
      <c r="T61" s="4790"/>
      <c r="U61" s="4790"/>
      <c r="V61" s="4189"/>
      <c r="W61" s="4791"/>
      <c r="X61" s="4790"/>
      <c r="Y61" s="4790"/>
      <c r="Z61" s="4792"/>
      <c r="AA61" s="4188">
        <f t="shared" si="5"/>
        <v>0</v>
      </c>
      <c r="AB61" s="4191"/>
      <c r="AC61" s="4192">
        <f t="shared" ref="AC61" si="83">O61+AA61</f>
        <v>1636</v>
      </c>
      <c r="AD61" s="4790"/>
      <c r="AE61" s="4790"/>
      <c r="AF61" s="4189"/>
      <c r="AG61" s="4187">
        <f t="shared" si="7"/>
        <v>1636</v>
      </c>
      <c r="AH61" s="4790"/>
      <c r="AI61" s="4790">
        <v>112.678</v>
      </c>
      <c r="AJ61" s="4189"/>
      <c r="AK61" s="4187">
        <f t="shared" si="43"/>
        <v>1748.6779999999999</v>
      </c>
      <c r="AL61" s="4790"/>
      <c r="AM61" s="4790"/>
      <c r="AN61" s="4323"/>
      <c r="AO61" s="4188">
        <f t="shared" si="9"/>
        <v>112.678</v>
      </c>
      <c r="AP61" s="4189"/>
      <c r="AQ61" s="4187">
        <f t="shared" si="78"/>
        <v>1748.6779999999999</v>
      </c>
      <c r="AR61" s="4790"/>
      <c r="AS61" s="4790"/>
      <c r="AT61" s="4189"/>
      <c r="AU61" s="4187">
        <f t="shared" si="79"/>
        <v>1748.6779999999999</v>
      </c>
      <c r="AV61" s="4790"/>
      <c r="AW61" s="4790"/>
      <c r="AX61" s="4189"/>
      <c r="AY61" s="4187">
        <f t="shared" si="80"/>
        <v>1748.6779999999999</v>
      </c>
      <c r="AZ61" s="4790"/>
      <c r="BA61" s="4790"/>
      <c r="BB61" s="4323"/>
      <c r="BC61" s="4188">
        <f t="shared" ref="BC61" si="84">AS61+AW61+BA61</f>
        <v>0</v>
      </c>
      <c r="BD61" s="4191"/>
      <c r="BE61" s="4192">
        <f t="shared" ref="BE61" si="85">AO61+BC61</f>
        <v>112.678</v>
      </c>
      <c r="BF61" s="4189"/>
      <c r="BG61" s="4187">
        <f t="shared" si="82"/>
        <v>1748.6779999999999</v>
      </c>
      <c r="BH61" s="26">
        <f t="shared" si="15"/>
        <v>0</v>
      </c>
      <c r="BI61" s="580"/>
    </row>
    <row r="62" spans="3:62" ht="18" x14ac:dyDescent="0.35">
      <c r="C62" s="4193" t="s">
        <v>969</v>
      </c>
      <c r="D62" s="4193" t="s">
        <v>1831</v>
      </c>
      <c r="E62" s="6360"/>
      <c r="F62" s="4193"/>
      <c r="G62" s="4190">
        <v>1306</v>
      </c>
      <c r="H62" s="4190"/>
      <c r="I62" s="4190">
        <v>110</v>
      </c>
      <c r="J62" s="4197"/>
      <c r="K62" s="4187">
        <f t="shared" si="16"/>
        <v>1416</v>
      </c>
      <c r="L62" s="4190"/>
      <c r="M62" s="4190"/>
      <c r="N62" s="4196"/>
      <c r="O62" s="4188">
        <f t="shared" si="2"/>
        <v>1416</v>
      </c>
      <c r="P62" s="4190"/>
      <c r="Q62" s="4190"/>
      <c r="R62" s="4189"/>
      <c r="S62" s="4187">
        <f t="shared" si="3"/>
        <v>1416</v>
      </c>
      <c r="T62" s="4190"/>
      <c r="U62" s="4190"/>
      <c r="V62" s="4189"/>
      <c r="W62" s="4187">
        <f t="shared" si="4"/>
        <v>1416</v>
      </c>
      <c r="X62" s="4190"/>
      <c r="Y62" s="4190"/>
      <c r="Z62" s="4196"/>
      <c r="AA62" s="4188">
        <f t="shared" si="5"/>
        <v>0</v>
      </c>
      <c r="AB62" s="4191"/>
      <c r="AC62" s="4192">
        <f t="shared" si="6"/>
        <v>1416</v>
      </c>
      <c r="AD62" s="4190"/>
      <c r="AE62" s="4190"/>
      <c r="AF62" s="4189"/>
      <c r="AG62" s="4187">
        <f t="shared" si="7"/>
        <v>1416</v>
      </c>
      <c r="AH62" s="4190"/>
      <c r="AI62" s="4190"/>
      <c r="AJ62" s="4189"/>
      <c r="AK62" s="4187">
        <f t="shared" si="43"/>
        <v>1416</v>
      </c>
      <c r="AL62" s="4190"/>
      <c r="AM62" s="4190"/>
      <c r="AN62" s="4323"/>
      <c r="AO62" s="4188">
        <f t="shared" si="9"/>
        <v>0</v>
      </c>
      <c r="AP62" s="4189"/>
      <c r="AQ62" s="4187">
        <f t="shared" si="78"/>
        <v>1416</v>
      </c>
      <c r="AR62" s="4190"/>
      <c r="AS62" s="4190"/>
      <c r="AT62" s="4189"/>
      <c r="AU62" s="4187">
        <f t="shared" si="79"/>
        <v>1416</v>
      </c>
      <c r="AV62" s="4190"/>
      <c r="AW62" s="4190"/>
      <c r="AX62" s="4189"/>
      <c r="AY62" s="4187">
        <f t="shared" si="80"/>
        <v>1416</v>
      </c>
      <c r="AZ62" s="4190"/>
      <c r="BA62" s="4190"/>
      <c r="BB62" s="4323"/>
      <c r="BC62" s="4188">
        <f t="shared" si="81"/>
        <v>0</v>
      </c>
      <c r="BD62" s="4191"/>
      <c r="BE62" s="4192">
        <f t="shared" si="13"/>
        <v>0</v>
      </c>
      <c r="BF62" s="4189"/>
      <c r="BG62" s="4187">
        <f t="shared" si="82"/>
        <v>1416</v>
      </c>
      <c r="BH62" s="26">
        <f t="shared" si="15"/>
        <v>0</v>
      </c>
      <c r="BI62" s="580"/>
    </row>
    <row r="63" spans="3:62" ht="18" x14ac:dyDescent="0.35">
      <c r="C63" s="4184" t="s">
        <v>969</v>
      </c>
      <c r="D63" s="4184" t="s">
        <v>1093</v>
      </c>
      <c r="E63" s="6360"/>
      <c r="F63" s="4184"/>
      <c r="G63" s="4204"/>
      <c r="H63" s="4204"/>
      <c r="I63" s="4204"/>
      <c r="J63" s="4187"/>
      <c r="K63" s="4187">
        <f t="shared" si="16"/>
        <v>0</v>
      </c>
      <c r="L63" s="4204"/>
      <c r="M63" s="4204"/>
      <c r="N63" s="4188"/>
      <c r="O63" s="4188">
        <f t="shared" si="2"/>
        <v>0</v>
      </c>
      <c r="P63" s="4204"/>
      <c r="Q63" s="4204"/>
      <c r="R63" s="4189"/>
      <c r="S63" s="4187">
        <f t="shared" si="3"/>
        <v>0</v>
      </c>
      <c r="T63" s="4204"/>
      <c r="U63" s="4204"/>
      <c r="V63" s="4189"/>
      <c r="W63" s="4187">
        <f t="shared" si="4"/>
        <v>0</v>
      </c>
      <c r="X63" s="4190"/>
      <c r="Y63" s="4204"/>
      <c r="Z63" s="4188"/>
      <c r="AA63" s="4188">
        <f t="shared" si="5"/>
        <v>0</v>
      </c>
      <c r="AB63" s="4191"/>
      <c r="AC63" s="4192">
        <f t="shared" si="6"/>
        <v>0</v>
      </c>
      <c r="AD63" s="4204"/>
      <c r="AE63" s="4204"/>
      <c r="AF63" s="4189"/>
      <c r="AG63" s="4187">
        <f t="shared" si="7"/>
        <v>0</v>
      </c>
      <c r="AH63" s="4204"/>
      <c r="AI63" s="4204"/>
      <c r="AJ63" s="4189"/>
      <c r="AK63" s="4187">
        <f t="shared" si="43"/>
        <v>0</v>
      </c>
      <c r="AL63" s="4204"/>
      <c r="AM63" s="4204"/>
      <c r="AN63" s="4323"/>
      <c r="AO63" s="4188">
        <f t="shared" si="9"/>
        <v>0</v>
      </c>
      <c r="AP63" s="4189"/>
      <c r="AQ63" s="4187">
        <f t="shared" si="78"/>
        <v>0</v>
      </c>
      <c r="AR63" s="4204"/>
      <c r="AS63" s="4204"/>
      <c r="AT63" s="4189"/>
      <c r="AU63" s="4187">
        <f t="shared" si="79"/>
        <v>0</v>
      </c>
      <c r="AV63" s="4204"/>
      <c r="AW63" s="4204"/>
      <c r="AX63" s="4189"/>
      <c r="AY63" s="4187">
        <f t="shared" si="80"/>
        <v>0</v>
      </c>
      <c r="AZ63" s="4204"/>
      <c r="BA63" s="4204"/>
      <c r="BB63" s="4323"/>
      <c r="BC63" s="4188">
        <f t="shared" si="81"/>
        <v>0</v>
      </c>
      <c r="BD63" s="4191"/>
      <c r="BE63" s="4192">
        <f t="shared" si="13"/>
        <v>0</v>
      </c>
      <c r="BF63" s="4189"/>
      <c r="BG63" s="4187">
        <f t="shared" si="82"/>
        <v>0</v>
      </c>
      <c r="BH63" s="26">
        <f t="shared" si="15"/>
        <v>0</v>
      </c>
      <c r="BI63" s="580"/>
    </row>
    <row r="64" spans="3:62" ht="18" x14ac:dyDescent="0.35">
      <c r="C64" s="4184" t="s">
        <v>969</v>
      </c>
      <c r="D64" s="4184" t="s">
        <v>1066</v>
      </c>
      <c r="E64" s="6360"/>
      <c r="F64" s="4184"/>
      <c r="G64" s="4204"/>
      <c r="H64" s="4204"/>
      <c r="I64" s="4204"/>
      <c r="J64" s="4187"/>
      <c r="K64" s="4187">
        <f t="shared" si="16"/>
        <v>0</v>
      </c>
      <c r="L64" s="4204"/>
      <c r="M64" s="4204">
        <v>3911</v>
      </c>
      <c r="N64" s="4188"/>
      <c r="O64" s="4188">
        <f t="shared" si="2"/>
        <v>3911</v>
      </c>
      <c r="P64" s="4204"/>
      <c r="Q64" s="4204"/>
      <c r="R64" s="4189"/>
      <c r="S64" s="4187">
        <f t="shared" si="3"/>
        <v>3911</v>
      </c>
      <c r="T64" s="4204"/>
      <c r="U64" s="4204"/>
      <c r="V64" s="4189"/>
      <c r="W64" s="4187">
        <f t="shared" si="4"/>
        <v>3911</v>
      </c>
      <c r="X64" s="4190"/>
      <c r="Y64" s="4204">
        <v>1778</v>
      </c>
      <c r="Z64" s="4188"/>
      <c r="AA64" s="4188">
        <f t="shared" si="5"/>
        <v>1778</v>
      </c>
      <c r="AB64" s="4191"/>
      <c r="AC64" s="4192">
        <f t="shared" si="6"/>
        <v>5689</v>
      </c>
      <c r="AD64" s="4204"/>
      <c r="AE64" s="4204">
        <v>6209</v>
      </c>
      <c r="AF64" s="4189"/>
      <c r="AG64" s="4187">
        <f t="shared" si="7"/>
        <v>11898</v>
      </c>
      <c r="AH64" s="4204"/>
      <c r="AI64" s="4204">
        <v>3737.4479999999999</v>
      </c>
      <c r="AJ64" s="4189"/>
      <c r="AK64" s="4187">
        <f t="shared" si="43"/>
        <v>15635.448</v>
      </c>
      <c r="AL64" s="4204"/>
      <c r="AM64" s="4204">
        <v>3995</v>
      </c>
      <c r="AN64" s="4323"/>
      <c r="AO64" s="4188">
        <f t="shared" si="9"/>
        <v>13941.448</v>
      </c>
      <c r="AP64" s="4189"/>
      <c r="AQ64" s="4187">
        <f t="shared" si="78"/>
        <v>19630.448</v>
      </c>
      <c r="AR64" s="4204"/>
      <c r="AS64" s="4204">
        <v>3115</v>
      </c>
      <c r="AT64" s="4189"/>
      <c r="AU64" s="4187">
        <f t="shared" si="79"/>
        <v>22745.448</v>
      </c>
      <c r="AV64" s="4204"/>
      <c r="AW64" s="4204">
        <v>1894.2660000000001</v>
      </c>
      <c r="AX64" s="4189"/>
      <c r="AY64" s="4187">
        <f t="shared" si="80"/>
        <v>24639.714</v>
      </c>
      <c r="AZ64" s="4204"/>
      <c r="BA64" s="4204">
        <v>4694.2079999999996</v>
      </c>
      <c r="BB64" s="4323"/>
      <c r="BC64" s="4188">
        <f t="shared" si="81"/>
        <v>9703.4739999999983</v>
      </c>
      <c r="BD64" s="4191"/>
      <c r="BE64" s="4192">
        <f t="shared" si="13"/>
        <v>23644.921999999999</v>
      </c>
      <c r="BF64" s="4189"/>
      <c r="BG64" s="4187">
        <f t="shared" si="82"/>
        <v>29333.921999999999</v>
      </c>
      <c r="BH64" s="26">
        <f t="shared" si="15"/>
        <v>0</v>
      </c>
      <c r="BI64" s="580"/>
    </row>
    <row r="65" spans="1:61" ht="18" x14ac:dyDescent="0.35">
      <c r="C65" s="4184" t="s">
        <v>969</v>
      </c>
      <c r="D65" s="4184" t="s">
        <v>1496</v>
      </c>
      <c r="E65" s="6360"/>
      <c r="F65" s="4184"/>
      <c r="G65" s="4204"/>
      <c r="H65" s="4204"/>
      <c r="I65" s="4204"/>
      <c r="J65" s="4187"/>
      <c r="K65" s="4187">
        <f t="shared" si="16"/>
        <v>0</v>
      </c>
      <c r="L65" s="4204"/>
      <c r="M65" s="4204"/>
      <c r="N65" s="4188"/>
      <c r="O65" s="4188">
        <f t="shared" si="2"/>
        <v>0</v>
      </c>
      <c r="P65" s="4204"/>
      <c r="Q65" s="4204"/>
      <c r="R65" s="4189"/>
      <c r="S65" s="4187">
        <f t="shared" si="3"/>
        <v>0</v>
      </c>
      <c r="T65" s="4204"/>
      <c r="U65" s="4204"/>
      <c r="V65" s="4189"/>
      <c r="W65" s="4187">
        <f t="shared" si="4"/>
        <v>0</v>
      </c>
      <c r="X65" s="4190"/>
      <c r="Y65" s="4204"/>
      <c r="Z65" s="4188"/>
      <c r="AA65" s="4188">
        <f t="shared" si="5"/>
        <v>0</v>
      </c>
      <c r="AB65" s="4191"/>
      <c r="AC65" s="4192">
        <f t="shared" si="6"/>
        <v>0</v>
      </c>
      <c r="AD65" s="4204"/>
      <c r="AE65" s="4204"/>
      <c r="AF65" s="4189"/>
      <c r="AG65" s="4187">
        <f t="shared" si="7"/>
        <v>0</v>
      </c>
      <c r="AH65" s="4204"/>
      <c r="AI65" s="4204"/>
      <c r="AJ65" s="4189"/>
      <c r="AK65" s="4187">
        <f t="shared" si="43"/>
        <v>0</v>
      </c>
      <c r="AL65" s="4204"/>
      <c r="AM65" s="4204"/>
      <c r="AN65" s="4323"/>
      <c r="AO65" s="4188">
        <f t="shared" si="9"/>
        <v>0</v>
      </c>
      <c r="AP65" s="4189"/>
      <c r="AQ65" s="4187">
        <f t="shared" si="78"/>
        <v>0</v>
      </c>
      <c r="AR65" s="4204"/>
      <c r="AS65" s="4204"/>
      <c r="AT65" s="4189"/>
      <c r="AU65" s="4187">
        <f t="shared" si="79"/>
        <v>0</v>
      </c>
      <c r="AV65" s="4204"/>
      <c r="AW65" s="4204"/>
      <c r="AX65" s="4189"/>
      <c r="AY65" s="4187">
        <f t="shared" si="80"/>
        <v>0</v>
      </c>
      <c r="AZ65" s="4204"/>
      <c r="BA65" s="4204"/>
      <c r="BB65" s="4323"/>
      <c r="BC65" s="4188">
        <f t="shared" si="81"/>
        <v>0</v>
      </c>
      <c r="BD65" s="4191"/>
      <c r="BE65" s="4192">
        <f t="shared" si="13"/>
        <v>0</v>
      </c>
      <c r="BF65" s="4189"/>
      <c r="BG65" s="4187">
        <f t="shared" si="82"/>
        <v>0</v>
      </c>
      <c r="BH65" s="26">
        <f t="shared" si="15"/>
        <v>0</v>
      </c>
      <c r="BI65" s="580"/>
    </row>
    <row r="66" spans="1:61" ht="18" x14ac:dyDescent="0.35">
      <c r="C66" s="4184" t="s">
        <v>969</v>
      </c>
      <c r="D66" s="4184" t="s">
        <v>1067</v>
      </c>
      <c r="E66" s="6360"/>
      <c r="F66" s="4184"/>
      <c r="G66" s="4204"/>
      <c r="H66" s="4204"/>
      <c r="I66" s="4204"/>
      <c r="J66" s="4187"/>
      <c r="K66" s="4187">
        <f t="shared" si="16"/>
        <v>0</v>
      </c>
      <c r="L66" s="4204"/>
      <c r="M66" s="4204"/>
      <c r="N66" s="4188"/>
      <c r="O66" s="4188">
        <f t="shared" si="2"/>
        <v>0</v>
      </c>
      <c r="P66" s="4204"/>
      <c r="Q66" s="4204"/>
      <c r="R66" s="4189"/>
      <c r="S66" s="4187">
        <f t="shared" si="3"/>
        <v>0</v>
      </c>
      <c r="T66" s="4204"/>
      <c r="U66" s="4204"/>
      <c r="V66" s="4189"/>
      <c r="W66" s="4187">
        <f t="shared" si="4"/>
        <v>0</v>
      </c>
      <c r="X66" s="4190"/>
      <c r="Y66" s="4204"/>
      <c r="Z66" s="4188"/>
      <c r="AA66" s="4188">
        <f t="shared" si="5"/>
        <v>0</v>
      </c>
      <c r="AB66" s="4191"/>
      <c r="AC66" s="4192">
        <f t="shared" si="6"/>
        <v>0</v>
      </c>
      <c r="AD66" s="4204"/>
      <c r="AE66" s="4204"/>
      <c r="AF66" s="4189"/>
      <c r="AG66" s="4187">
        <f t="shared" si="7"/>
        <v>0</v>
      </c>
      <c r="AH66" s="4204"/>
      <c r="AI66" s="4204"/>
      <c r="AJ66" s="4189"/>
      <c r="AK66" s="4187">
        <f t="shared" si="43"/>
        <v>0</v>
      </c>
      <c r="AL66" s="4204"/>
      <c r="AM66" s="4204"/>
      <c r="AN66" s="4323"/>
      <c r="AO66" s="4188">
        <f t="shared" si="9"/>
        <v>0</v>
      </c>
      <c r="AP66" s="4189"/>
      <c r="AQ66" s="4187">
        <f t="shared" si="78"/>
        <v>0</v>
      </c>
      <c r="AR66" s="4204"/>
      <c r="AS66" s="4204"/>
      <c r="AT66" s="4189"/>
      <c r="AU66" s="4187">
        <f t="shared" si="79"/>
        <v>0</v>
      </c>
      <c r="AV66" s="4204"/>
      <c r="AW66" s="4204"/>
      <c r="AX66" s="4189"/>
      <c r="AY66" s="4187">
        <f t="shared" si="80"/>
        <v>0</v>
      </c>
      <c r="AZ66" s="4204"/>
      <c r="BA66" s="4204"/>
      <c r="BB66" s="4323"/>
      <c r="BC66" s="4188">
        <f t="shared" si="81"/>
        <v>0</v>
      </c>
      <c r="BD66" s="4191"/>
      <c r="BE66" s="4192">
        <f t="shared" si="13"/>
        <v>0</v>
      </c>
      <c r="BF66" s="4189"/>
      <c r="BG66" s="4187">
        <f t="shared" si="82"/>
        <v>0</v>
      </c>
      <c r="BH66" s="26">
        <f t="shared" si="15"/>
        <v>0</v>
      </c>
      <c r="BI66" s="580"/>
    </row>
    <row r="67" spans="1:61" ht="18" x14ac:dyDescent="0.35">
      <c r="C67" s="4184" t="s">
        <v>969</v>
      </c>
      <c r="D67" s="5500" t="s">
        <v>1866</v>
      </c>
      <c r="E67" s="6360"/>
      <c r="F67" s="5500"/>
      <c r="G67" s="5501">
        <v>256</v>
      </c>
      <c r="H67" s="5501"/>
      <c r="I67" s="5501">
        <v>750</v>
      </c>
      <c r="J67" s="5502"/>
      <c r="K67" s="4187">
        <f t="shared" si="16"/>
        <v>1006</v>
      </c>
      <c r="L67" s="5501"/>
      <c r="M67" s="5501">
        <v>131</v>
      </c>
      <c r="N67" s="5503"/>
      <c r="O67" s="4188">
        <f t="shared" si="2"/>
        <v>1137</v>
      </c>
      <c r="P67" s="5501"/>
      <c r="Q67" s="5501">
        <v>685</v>
      </c>
      <c r="R67" s="4189"/>
      <c r="S67" s="4187">
        <f t="shared" si="3"/>
        <v>1822</v>
      </c>
      <c r="T67" s="5501"/>
      <c r="U67" s="5501">
        <v>410.11599999999999</v>
      </c>
      <c r="V67" s="4189"/>
      <c r="W67" s="5502">
        <v>2232.116</v>
      </c>
      <c r="X67" s="5501"/>
      <c r="Y67" s="5501">
        <v>5355</v>
      </c>
      <c r="Z67" s="5503"/>
      <c r="AA67" s="4188">
        <f t="shared" si="5"/>
        <v>6450.116</v>
      </c>
      <c r="AB67" s="5504"/>
      <c r="AC67" s="4192">
        <f t="shared" si="6"/>
        <v>7587.116</v>
      </c>
      <c r="AD67" s="5501"/>
      <c r="AE67" s="5501">
        <v>21</v>
      </c>
      <c r="AF67" s="4189"/>
      <c r="AG67" s="4187">
        <f t="shared" si="7"/>
        <v>7608.116</v>
      </c>
      <c r="AH67" s="5501"/>
      <c r="AI67" s="5501">
        <v>5500.2509999999993</v>
      </c>
      <c r="AJ67" s="4189"/>
      <c r="AK67" s="4187">
        <f t="shared" si="43"/>
        <v>13108.366999999998</v>
      </c>
      <c r="AL67" s="5501"/>
      <c r="AM67" s="5501">
        <v>4033</v>
      </c>
      <c r="AN67" s="4323"/>
      <c r="AO67" s="4188">
        <f t="shared" si="9"/>
        <v>9554.2510000000002</v>
      </c>
      <c r="AP67" s="4189"/>
      <c r="AQ67" s="4187">
        <f t="shared" si="78"/>
        <v>17141.366999999998</v>
      </c>
      <c r="AR67" s="5501"/>
      <c r="AS67" s="5501">
        <v>38</v>
      </c>
      <c r="AT67" s="4189"/>
      <c r="AU67" s="4187">
        <f t="shared" si="79"/>
        <v>17179.366999999998</v>
      </c>
      <c r="AV67" s="5501"/>
      <c r="AW67" s="5501">
        <v>3165.614</v>
      </c>
      <c r="AX67" s="4189"/>
      <c r="AY67" s="4187">
        <f t="shared" si="80"/>
        <v>20344.981</v>
      </c>
      <c r="AZ67" s="5501"/>
      <c r="BA67" s="5501">
        <v>2130.252</v>
      </c>
      <c r="BB67" s="4323"/>
      <c r="BC67" s="4188">
        <f t="shared" ref="BC67" si="86">AS67+AW67+BA67</f>
        <v>5333.866</v>
      </c>
      <c r="BD67" s="4191"/>
      <c r="BE67" s="4192">
        <f t="shared" ref="BE67" si="87">AO67+BC67</f>
        <v>14888.117</v>
      </c>
      <c r="BF67" s="4189"/>
      <c r="BG67" s="4187">
        <f t="shared" si="82"/>
        <v>22475.233</v>
      </c>
      <c r="BH67" s="26">
        <f t="shared" si="15"/>
        <v>0</v>
      </c>
      <c r="BI67" s="580"/>
    </row>
    <row r="68" spans="1:61" ht="18" x14ac:dyDescent="0.35">
      <c r="C68" s="4184" t="s">
        <v>969</v>
      </c>
      <c r="D68" s="4184" t="s">
        <v>1526</v>
      </c>
      <c r="E68" s="6360"/>
      <c r="F68" s="4184"/>
      <c r="G68" s="4204">
        <v>723</v>
      </c>
      <c r="H68" s="4204"/>
      <c r="I68" s="4204">
        <v>590</v>
      </c>
      <c r="J68" s="4187"/>
      <c r="K68" s="4187">
        <f t="shared" si="16"/>
        <v>1313</v>
      </c>
      <c r="L68" s="4204"/>
      <c r="M68" s="4204">
        <v>619</v>
      </c>
      <c r="N68" s="4188"/>
      <c r="O68" s="4188">
        <f t="shared" si="2"/>
        <v>1932</v>
      </c>
      <c r="P68" s="4204"/>
      <c r="Q68" s="4204">
        <v>583</v>
      </c>
      <c r="R68" s="4189"/>
      <c r="S68" s="4187">
        <f t="shared" si="3"/>
        <v>2515</v>
      </c>
      <c r="T68" s="4204"/>
      <c r="U68" s="4204">
        <v>112.042</v>
      </c>
      <c r="V68" s="4189"/>
      <c r="W68" s="4187">
        <f t="shared" si="4"/>
        <v>2627.0419999999999</v>
      </c>
      <c r="X68" s="4190"/>
      <c r="Y68" s="4204">
        <v>674</v>
      </c>
      <c r="Z68" s="4188"/>
      <c r="AA68" s="4188">
        <f t="shared" si="5"/>
        <v>1369.0419999999999</v>
      </c>
      <c r="AB68" s="4191"/>
      <c r="AC68" s="4192">
        <f t="shared" si="6"/>
        <v>3301.0419999999999</v>
      </c>
      <c r="AD68" s="4204"/>
      <c r="AE68" s="4204">
        <v>543</v>
      </c>
      <c r="AF68" s="4189"/>
      <c r="AG68" s="4187">
        <f t="shared" si="7"/>
        <v>3844.0419999999999</v>
      </c>
      <c r="AH68" s="4204"/>
      <c r="AI68" s="4204">
        <v>722.36599999999999</v>
      </c>
      <c r="AJ68" s="4189"/>
      <c r="AK68" s="4187">
        <f t="shared" si="43"/>
        <v>4566.4079999999994</v>
      </c>
      <c r="AL68" s="4204"/>
      <c r="AM68" s="4204">
        <v>412</v>
      </c>
      <c r="AN68" s="4323"/>
      <c r="AO68" s="4188">
        <f t="shared" si="9"/>
        <v>1677.366</v>
      </c>
      <c r="AP68" s="4189"/>
      <c r="AQ68" s="4187">
        <f t="shared" si="78"/>
        <v>4978.4079999999994</v>
      </c>
      <c r="AR68" s="4204"/>
      <c r="AS68" s="4204"/>
      <c r="AT68" s="4189"/>
      <c r="AU68" s="4187">
        <f t="shared" si="79"/>
        <v>4978.4079999999994</v>
      </c>
      <c r="AV68" s="4204"/>
      <c r="AW68" s="4204"/>
      <c r="AX68" s="4189"/>
      <c r="AY68" s="4187">
        <f t="shared" si="80"/>
        <v>4978.4079999999994</v>
      </c>
      <c r="AZ68" s="4204"/>
      <c r="BA68" s="4204"/>
      <c r="BB68" s="4323"/>
      <c r="BC68" s="4188">
        <f t="shared" si="81"/>
        <v>0</v>
      </c>
      <c r="BD68" s="4191"/>
      <c r="BE68" s="4192">
        <f t="shared" si="13"/>
        <v>1677.366</v>
      </c>
      <c r="BF68" s="4189"/>
      <c r="BG68" s="4187">
        <f t="shared" si="82"/>
        <v>4978.4079999999994</v>
      </c>
      <c r="BH68" s="26">
        <f t="shared" ref="BH68:BH133" si="88">BA68++AW68+AS68+AM68+AI68+AE68+Y68+U68+Q68+M68+I68+G68-BG68</f>
        <v>0</v>
      </c>
      <c r="BI68" s="580"/>
    </row>
    <row r="69" spans="1:61" ht="18" x14ac:dyDescent="0.35">
      <c r="C69" s="4205" t="s">
        <v>969</v>
      </c>
      <c r="D69" s="4205" t="s">
        <v>1653</v>
      </c>
      <c r="E69" s="6360"/>
      <c r="F69" s="4205"/>
      <c r="G69" s="4206"/>
      <c r="H69" s="4206"/>
      <c r="I69" s="4206">
        <v>258</v>
      </c>
      <c r="J69" s="4207"/>
      <c r="K69" s="4187">
        <f t="shared" si="16"/>
        <v>258</v>
      </c>
      <c r="L69" s="4206"/>
      <c r="M69" s="4206"/>
      <c r="N69" s="4208"/>
      <c r="O69" s="4188">
        <f t="shared" si="2"/>
        <v>258</v>
      </c>
      <c r="P69" s="4206"/>
      <c r="Q69" s="4206">
        <v>560</v>
      </c>
      <c r="R69" s="4189"/>
      <c r="S69" s="4187">
        <f t="shared" si="3"/>
        <v>818</v>
      </c>
      <c r="T69" s="4206"/>
      <c r="U69" s="4206"/>
      <c r="V69" s="4189"/>
      <c r="W69" s="4187">
        <f t="shared" si="4"/>
        <v>818</v>
      </c>
      <c r="X69" s="4190"/>
      <c r="Y69" s="4206"/>
      <c r="Z69" s="4208"/>
      <c r="AA69" s="4188">
        <f t="shared" si="5"/>
        <v>560</v>
      </c>
      <c r="AB69" s="4191"/>
      <c r="AC69" s="4192">
        <f t="shared" si="6"/>
        <v>818</v>
      </c>
      <c r="AD69" s="4206"/>
      <c r="AE69" s="4206"/>
      <c r="AF69" s="4189"/>
      <c r="AG69" s="4187">
        <f t="shared" si="7"/>
        <v>818</v>
      </c>
      <c r="AH69" s="4206"/>
      <c r="AI69" s="4206"/>
      <c r="AJ69" s="4189"/>
      <c r="AK69" s="4187">
        <f t="shared" si="43"/>
        <v>818</v>
      </c>
      <c r="AL69" s="4206"/>
      <c r="AM69" s="4206">
        <v>436</v>
      </c>
      <c r="AN69" s="4323"/>
      <c r="AO69" s="4188">
        <f t="shared" si="9"/>
        <v>436</v>
      </c>
      <c r="AP69" s="4189"/>
      <c r="AQ69" s="4187">
        <f t="shared" si="78"/>
        <v>1254</v>
      </c>
      <c r="AR69" s="4206"/>
      <c r="AS69" s="4206"/>
      <c r="AT69" s="4189"/>
      <c r="AU69" s="4187">
        <f t="shared" si="79"/>
        <v>1254</v>
      </c>
      <c r="AV69" s="4206"/>
      <c r="AW69" s="4206"/>
      <c r="AX69" s="4189"/>
      <c r="AY69" s="4187">
        <f t="shared" si="80"/>
        <v>1254</v>
      </c>
      <c r="AZ69" s="4206"/>
      <c r="BA69" s="4206"/>
      <c r="BB69" s="4323"/>
      <c r="BC69" s="4188">
        <f t="shared" si="81"/>
        <v>0</v>
      </c>
      <c r="BD69" s="4191"/>
      <c r="BE69" s="4192">
        <f t="shared" si="13"/>
        <v>436</v>
      </c>
      <c r="BF69" s="4189"/>
      <c r="BG69" s="4187">
        <f t="shared" si="82"/>
        <v>1254</v>
      </c>
      <c r="BH69" s="26">
        <f t="shared" si="88"/>
        <v>0</v>
      </c>
      <c r="BI69" s="580"/>
    </row>
    <row r="70" spans="1:61" ht="18" x14ac:dyDescent="0.35">
      <c r="C70" s="4184" t="s">
        <v>969</v>
      </c>
      <c r="D70" s="4184" t="s">
        <v>1603</v>
      </c>
      <c r="E70" s="6360"/>
      <c r="F70" s="4184"/>
      <c r="G70" s="4204"/>
      <c r="H70" s="4204"/>
      <c r="I70" s="4204"/>
      <c r="J70" s="4187"/>
      <c r="K70" s="4187">
        <f t="shared" si="16"/>
        <v>0</v>
      </c>
      <c r="L70" s="4204"/>
      <c r="M70" s="4204"/>
      <c r="N70" s="4188"/>
      <c r="O70" s="4188">
        <f t="shared" si="2"/>
        <v>0</v>
      </c>
      <c r="P70" s="4204"/>
      <c r="Q70" s="4204"/>
      <c r="R70" s="4189"/>
      <c r="S70" s="4187">
        <f t="shared" si="3"/>
        <v>0</v>
      </c>
      <c r="T70" s="4204"/>
      <c r="U70" s="4204"/>
      <c r="V70" s="4189"/>
      <c r="W70" s="4187">
        <f t="shared" si="4"/>
        <v>0</v>
      </c>
      <c r="X70" s="4190"/>
      <c r="Y70" s="4204"/>
      <c r="Z70" s="4188"/>
      <c r="AA70" s="4188">
        <f t="shared" si="5"/>
        <v>0</v>
      </c>
      <c r="AB70" s="4191"/>
      <c r="AC70" s="4192">
        <f t="shared" si="6"/>
        <v>0</v>
      </c>
      <c r="AD70" s="4204"/>
      <c r="AE70" s="4204"/>
      <c r="AF70" s="4189"/>
      <c r="AG70" s="4187">
        <f t="shared" si="7"/>
        <v>0</v>
      </c>
      <c r="AH70" s="4204"/>
      <c r="AI70" s="4204"/>
      <c r="AJ70" s="4189"/>
      <c r="AK70" s="4187">
        <f t="shared" si="43"/>
        <v>0</v>
      </c>
      <c r="AL70" s="4204"/>
      <c r="AM70" s="4204"/>
      <c r="AN70" s="4323"/>
      <c r="AO70" s="4188">
        <f t="shared" si="9"/>
        <v>0</v>
      </c>
      <c r="AP70" s="4189"/>
      <c r="AQ70" s="4187">
        <f t="shared" si="78"/>
        <v>0</v>
      </c>
      <c r="AR70" s="4204"/>
      <c r="AS70" s="4204"/>
      <c r="AT70" s="4189"/>
      <c r="AU70" s="4187">
        <f t="shared" si="79"/>
        <v>0</v>
      </c>
      <c r="AV70" s="4204"/>
      <c r="AW70" s="4204"/>
      <c r="AX70" s="4189"/>
      <c r="AY70" s="4187">
        <f t="shared" si="80"/>
        <v>0</v>
      </c>
      <c r="AZ70" s="4204"/>
      <c r="BA70" s="4204"/>
      <c r="BB70" s="4323"/>
      <c r="BC70" s="4188">
        <f t="shared" si="81"/>
        <v>0</v>
      </c>
      <c r="BD70" s="4191"/>
      <c r="BE70" s="4192">
        <f t="shared" si="13"/>
        <v>0</v>
      </c>
      <c r="BF70" s="4189"/>
      <c r="BG70" s="4187">
        <f t="shared" si="82"/>
        <v>0</v>
      </c>
      <c r="BH70" s="26">
        <f t="shared" si="88"/>
        <v>0</v>
      </c>
      <c r="BI70" s="580"/>
    </row>
    <row r="71" spans="1:61" ht="18" x14ac:dyDescent="0.35">
      <c r="C71" s="4184" t="s">
        <v>969</v>
      </c>
      <c r="D71" s="4209" t="s">
        <v>1847</v>
      </c>
      <c r="E71" s="6360"/>
      <c r="F71" s="4209"/>
      <c r="G71" s="4210"/>
      <c r="H71" s="4210"/>
      <c r="I71" s="4210"/>
      <c r="J71" s="4211"/>
      <c r="K71" s="4187">
        <f t="shared" si="16"/>
        <v>0</v>
      </c>
      <c r="L71" s="4210"/>
      <c r="M71" s="4210"/>
      <c r="N71" s="4212"/>
      <c r="O71" s="4188">
        <f t="shared" si="2"/>
        <v>0</v>
      </c>
      <c r="P71" s="4210"/>
      <c r="Q71" s="4210">
        <v>264</v>
      </c>
      <c r="R71" s="4189"/>
      <c r="S71" s="4187">
        <f t="shared" si="3"/>
        <v>264</v>
      </c>
      <c r="T71" s="4210"/>
      <c r="U71" s="4210"/>
      <c r="V71" s="4189"/>
      <c r="W71" s="4187">
        <f t="shared" si="4"/>
        <v>264</v>
      </c>
      <c r="X71" s="4210"/>
      <c r="Y71" s="4210"/>
      <c r="Z71" s="4212"/>
      <c r="AA71" s="4188">
        <f t="shared" si="5"/>
        <v>264</v>
      </c>
      <c r="AB71" s="4213"/>
      <c r="AC71" s="4192">
        <f t="shared" si="6"/>
        <v>264</v>
      </c>
      <c r="AD71" s="4210"/>
      <c r="AE71" s="4210"/>
      <c r="AF71" s="4189"/>
      <c r="AG71" s="4187">
        <f t="shared" si="7"/>
        <v>264</v>
      </c>
      <c r="AH71" s="4210"/>
      <c r="AI71" s="4210"/>
      <c r="AJ71" s="4189"/>
      <c r="AK71" s="4187">
        <f t="shared" si="43"/>
        <v>264</v>
      </c>
      <c r="AL71" s="4210"/>
      <c r="AM71" s="4210"/>
      <c r="AN71" s="4323"/>
      <c r="AO71" s="4188">
        <f t="shared" si="9"/>
        <v>0</v>
      </c>
      <c r="AP71" s="4189"/>
      <c r="AQ71" s="4187">
        <f t="shared" si="78"/>
        <v>264</v>
      </c>
      <c r="AR71" s="4210"/>
      <c r="AS71" s="4210"/>
      <c r="AT71" s="4189"/>
      <c r="AU71" s="4187">
        <f t="shared" si="79"/>
        <v>264</v>
      </c>
      <c r="AV71" s="4210"/>
      <c r="AW71" s="4210"/>
      <c r="AX71" s="4189"/>
      <c r="AY71" s="4187">
        <f t="shared" si="80"/>
        <v>264</v>
      </c>
      <c r="AZ71" s="4210"/>
      <c r="BA71" s="4210"/>
      <c r="BB71" s="4323"/>
      <c r="BC71" s="4188">
        <f t="shared" si="81"/>
        <v>0</v>
      </c>
      <c r="BD71" s="4213"/>
      <c r="BE71" s="4192">
        <f t="shared" si="13"/>
        <v>0</v>
      </c>
      <c r="BF71" s="4189"/>
      <c r="BG71" s="4187">
        <f t="shared" si="82"/>
        <v>264</v>
      </c>
      <c r="BH71" s="26">
        <f t="shared" si="88"/>
        <v>0</v>
      </c>
      <c r="BI71" s="580"/>
    </row>
    <row r="72" spans="1:61" ht="18" x14ac:dyDescent="0.35">
      <c r="C72" s="4184" t="s">
        <v>969</v>
      </c>
      <c r="D72" s="4184" t="s">
        <v>1604</v>
      </c>
      <c r="E72" s="6360"/>
      <c r="F72" s="4184"/>
      <c r="G72" s="4204"/>
      <c r="H72" s="4204"/>
      <c r="I72" s="4204"/>
      <c r="J72" s="4187"/>
      <c r="K72" s="4187">
        <f t="shared" si="16"/>
        <v>0</v>
      </c>
      <c r="L72" s="4204"/>
      <c r="M72" s="4204"/>
      <c r="N72" s="4188"/>
      <c r="O72" s="4188">
        <f t="shared" si="2"/>
        <v>0</v>
      </c>
      <c r="P72" s="4204"/>
      <c r="Q72" s="4204"/>
      <c r="R72" s="4189"/>
      <c r="S72" s="4187">
        <f t="shared" si="3"/>
        <v>0</v>
      </c>
      <c r="T72" s="4204"/>
      <c r="U72" s="4204"/>
      <c r="V72" s="4189"/>
      <c r="W72" s="4187">
        <f t="shared" si="4"/>
        <v>0</v>
      </c>
      <c r="X72" s="4190"/>
      <c r="Y72" s="4204"/>
      <c r="Z72" s="4188"/>
      <c r="AA72" s="4188">
        <f t="shared" si="5"/>
        <v>0</v>
      </c>
      <c r="AB72" s="4191"/>
      <c r="AC72" s="4192">
        <f t="shared" si="6"/>
        <v>0</v>
      </c>
      <c r="AD72" s="4204"/>
      <c r="AE72" s="4204"/>
      <c r="AF72" s="4189"/>
      <c r="AG72" s="4187">
        <f t="shared" si="7"/>
        <v>0</v>
      </c>
      <c r="AH72" s="4204"/>
      <c r="AI72" s="4204"/>
      <c r="AJ72" s="4189"/>
      <c r="AK72" s="4187">
        <f t="shared" si="43"/>
        <v>0</v>
      </c>
      <c r="AL72" s="4204"/>
      <c r="AM72" s="4204"/>
      <c r="AN72" s="4323"/>
      <c r="AO72" s="4188">
        <f t="shared" si="9"/>
        <v>0</v>
      </c>
      <c r="AP72" s="4189"/>
      <c r="AQ72" s="4187">
        <f t="shared" si="78"/>
        <v>0</v>
      </c>
      <c r="AR72" s="4204"/>
      <c r="AS72" s="4204"/>
      <c r="AT72" s="4189"/>
      <c r="AU72" s="4187">
        <f t="shared" si="79"/>
        <v>0</v>
      </c>
      <c r="AV72" s="4204"/>
      <c r="AW72" s="4204"/>
      <c r="AX72" s="4189"/>
      <c r="AY72" s="4187">
        <f t="shared" si="80"/>
        <v>0</v>
      </c>
      <c r="AZ72" s="4204"/>
      <c r="BA72" s="4204"/>
      <c r="BB72" s="4323"/>
      <c r="BC72" s="4188">
        <f t="shared" si="81"/>
        <v>0</v>
      </c>
      <c r="BD72" s="4191"/>
      <c r="BE72" s="4192">
        <f t="shared" ref="BE72:BE92" si="89">AO72+BC72</f>
        <v>0</v>
      </c>
      <c r="BF72" s="4189"/>
      <c r="BG72" s="4187">
        <f t="shared" si="82"/>
        <v>0</v>
      </c>
      <c r="BH72" s="26">
        <f t="shared" si="88"/>
        <v>0</v>
      </c>
      <c r="BI72" s="580"/>
    </row>
    <row r="73" spans="1:61" ht="18" x14ac:dyDescent="0.35">
      <c r="C73" s="4184" t="s">
        <v>969</v>
      </c>
      <c r="D73" s="4184" t="s">
        <v>1343</v>
      </c>
      <c r="E73" s="6360"/>
      <c r="F73" s="4184"/>
      <c r="G73" s="4204"/>
      <c r="H73" s="4204"/>
      <c r="I73" s="4204"/>
      <c r="J73" s="4187"/>
      <c r="K73" s="4187">
        <f t="shared" si="16"/>
        <v>0</v>
      </c>
      <c r="L73" s="4204"/>
      <c r="M73" s="4204"/>
      <c r="N73" s="4188"/>
      <c r="O73" s="4188">
        <f t="shared" si="2"/>
        <v>0</v>
      </c>
      <c r="P73" s="4204"/>
      <c r="Q73" s="4204"/>
      <c r="R73" s="4189"/>
      <c r="S73" s="4187">
        <f t="shared" si="3"/>
        <v>0</v>
      </c>
      <c r="T73" s="4204"/>
      <c r="U73" s="4204"/>
      <c r="V73" s="4189"/>
      <c r="W73" s="4187">
        <f t="shared" si="4"/>
        <v>0</v>
      </c>
      <c r="X73" s="4190"/>
      <c r="Y73" s="4204"/>
      <c r="Z73" s="4188"/>
      <c r="AA73" s="4188">
        <f t="shared" si="5"/>
        <v>0</v>
      </c>
      <c r="AB73" s="4191"/>
      <c r="AC73" s="4192">
        <f t="shared" si="6"/>
        <v>0</v>
      </c>
      <c r="AD73" s="4204"/>
      <c r="AE73" s="4204"/>
      <c r="AF73" s="4189"/>
      <c r="AG73" s="4187">
        <f t="shared" si="7"/>
        <v>0</v>
      </c>
      <c r="AH73" s="4204"/>
      <c r="AI73" s="4204"/>
      <c r="AJ73" s="4189"/>
      <c r="AK73" s="4187">
        <f t="shared" si="43"/>
        <v>0</v>
      </c>
      <c r="AL73" s="4204"/>
      <c r="AM73" s="4204"/>
      <c r="AN73" s="4323"/>
      <c r="AO73" s="4188">
        <f t="shared" si="9"/>
        <v>0</v>
      </c>
      <c r="AP73" s="4189"/>
      <c r="AQ73" s="4187">
        <f t="shared" si="78"/>
        <v>0</v>
      </c>
      <c r="AR73" s="4204"/>
      <c r="AS73" s="4204"/>
      <c r="AT73" s="4189"/>
      <c r="AU73" s="4187">
        <f t="shared" si="79"/>
        <v>0</v>
      </c>
      <c r="AV73" s="4204"/>
      <c r="AW73" s="4204"/>
      <c r="AX73" s="4189"/>
      <c r="AY73" s="4187">
        <f t="shared" si="80"/>
        <v>0</v>
      </c>
      <c r="AZ73" s="4204"/>
      <c r="BA73" s="4204"/>
      <c r="BB73" s="4323"/>
      <c r="BC73" s="4188">
        <f t="shared" si="81"/>
        <v>0</v>
      </c>
      <c r="BD73" s="4191"/>
      <c r="BE73" s="4192">
        <f t="shared" si="89"/>
        <v>0</v>
      </c>
      <c r="BF73" s="4189"/>
      <c r="BG73" s="4187">
        <f t="shared" si="82"/>
        <v>0</v>
      </c>
      <c r="BH73" s="26">
        <f t="shared" si="88"/>
        <v>0</v>
      </c>
      <c r="BI73" s="580"/>
    </row>
    <row r="74" spans="1:61" ht="18" x14ac:dyDescent="0.35">
      <c r="C74" s="4184" t="s">
        <v>969</v>
      </c>
      <c r="D74" s="4184" t="s">
        <v>1265</v>
      </c>
      <c r="E74" s="6360"/>
      <c r="F74" s="4184"/>
      <c r="G74" s="4204"/>
      <c r="H74" s="4204"/>
      <c r="I74" s="4204"/>
      <c r="J74" s="4187"/>
      <c r="K74" s="4187">
        <f t="shared" si="16"/>
        <v>0</v>
      </c>
      <c r="L74" s="4204"/>
      <c r="M74" s="4204"/>
      <c r="N74" s="4188"/>
      <c r="O74" s="4188">
        <f t="shared" si="2"/>
        <v>0</v>
      </c>
      <c r="P74" s="4204"/>
      <c r="Q74" s="4204"/>
      <c r="R74" s="4189"/>
      <c r="S74" s="4187">
        <f t="shared" si="3"/>
        <v>0</v>
      </c>
      <c r="T74" s="4204"/>
      <c r="U74" s="4204"/>
      <c r="V74" s="4189"/>
      <c r="W74" s="4187">
        <f t="shared" si="4"/>
        <v>0</v>
      </c>
      <c r="X74" s="4190"/>
      <c r="Y74" s="4204"/>
      <c r="Z74" s="4188"/>
      <c r="AA74" s="4188">
        <f t="shared" si="5"/>
        <v>0</v>
      </c>
      <c r="AB74" s="4191"/>
      <c r="AC74" s="4192">
        <f t="shared" si="6"/>
        <v>0</v>
      </c>
      <c r="AD74" s="4204"/>
      <c r="AE74" s="4204"/>
      <c r="AF74" s="4189"/>
      <c r="AG74" s="4187">
        <f t="shared" si="7"/>
        <v>0</v>
      </c>
      <c r="AH74" s="4204"/>
      <c r="AI74" s="4204"/>
      <c r="AJ74" s="4189"/>
      <c r="AK74" s="4187">
        <f t="shared" si="43"/>
        <v>0</v>
      </c>
      <c r="AL74" s="4204"/>
      <c r="AM74" s="4204"/>
      <c r="AN74" s="4323"/>
      <c r="AO74" s="4188">
        <f t="shared" si="9"/>
        <v>0</v>
      </c>
      <c r="AP74" s="4189"/>
      <c r="AQ74" s="4187">
        <f t="shared" si="78"/>
        <v>0</v>
      </c>
      <c r="AR74" s="4204"/>
      <c r="AS74" s="4204"/>
      <c r="AT74" s="4189"/>
      <c r="AU74" s="4187">
        <f t="shared" si="79"/>
        <v>0</v>
      </c>
      <c r="AV74" s="4204"/>
      <c r="AW74" s="4204"/>
      <c r="AX74" s="4189"/>
      <c r="AY74" s="4187">
        <f t="shared" si="80"/>
        <v>0</v>
      </c>
      <c r="AZ74" s="4204"/>
      <c r="BA74" s="4204"/>
      <c r="BB74" s="4323"/>
      <c r="BC74" s="4188">
        <f t="shared" si="81"/>
        <v>0</v>
      </c>
      <c r="BD74" s="4191"/>
      <c r="BE74" s="4192">
        <f t="shared" si="89"/>
        <v>0</v>
      </c>
      <c r="BF74" s="4189"/>
      <c r="BG74" s="4187">
        <f t="shared" si="82"/>
        <v>0</v>
      </c>
      <c r="BH74" s="26">
        <f t="shared" si="88"/>
        <v>0</v>
      </c>
      <c r="BI74" s="580"/>
    </row>
    <row r="75" spans="1:61" ht="18" x14ac:dyDescent="0.35">
      <c r="C75" s="4184" t="s">
        <v>969</v>
      </c>
      <c r="D75" s="4184" t="s">
        <v>1254</v>
      </c>
      <c r="E75" s="6360"/>
      <c r="F75" s="4184"/>
      <c r="G75" s="4204">
        <v>442</v>
      </c>
      <c r="H75" s="4204"/>
      <c r="I75" s="4204">
        <v>104</v>
      </c>
      <c r="J75" s="4187"/>
      <c r="K75" s="4187">
        <f t="shared" si="16"/>
        <v>546</v>
      </c>
      <c r="L75" s="4204"/>
      <c r="M75" s="4204">
        <v>235</v>
      </c>
      <c r="N75" s="4188"/>
      <c r="O75" s="4188">
        <f t="shared" si="2"/>
        <v>781</v>
      </c>
      <c r="P75" s="4204"/>
      <c r="Q75" s="4204">
        <v>116</v>
      </c>
      <c r="R75" s="4198"/>
      <c r="S75" s="4187">
        <f t="shared" si="3"/>
        <v>897</v>
      </c>
      <c r="T75" s="4204"/>
      <c r="U75" s="4204"/>
      <c r="V75" s="4198"/>
      <c r="W75" s="4187">
        <f t="shared" si="4"/>
        <v>897</v>
      </c>
      <c r="X75" s="4190"/>
      <c r="Y75" s="4204"/>
      <c r="Z75" s="4188"/>
      <c r="AA75" s="4188">
        <f t="shared" si="5"/>
        <v>116</v>
      </c>
      <c r="AB75" s="4191"/>
      <c r="AC75" s="4192">
        <f t="shared" si="6"/>
        <v>897</v>
      </c>
      <c r="AD75" s="4204"/>
      <c r="AE75" s="4204"/>
      <c r="AF75" s="4198"/>
      <c r="AG75" s="4187">
        <f t="shared" si="7"/>
        <v>897</v>
      </c>
      <c r="AH75" s="4204"/>
      <c r="AI75" s="4204"/>
      <c r="AJ75" s="4198"/>
      <c r="AK75" s="4187">
        <f t="shared" si="43"/>
        <v>897</v>
      </c>
      <c r="AL75" s="4204"/>
      <c r="AM75" s="4204"/>
      <c r="AN75" s="4323"/>
      <c r="AO75" s="4188">
        <f t="shared" si="9"/>
        <v>0</v>
      </c>
      <c r="AP75" s="4198"/>
      <c r="AQ75" s="4187">
        <f t="shared" si="78"/>
        <v>897</v>
      </c>
      <c r="AR75" s="4204"/>
      <c r="AS75" s="4204"/>
      <c r="AT75" s="4198"/>
      <c r="AU75" s="4187">
        <f t="shared" si="79"/>
        <v>897</v>
      </c>
      <c r="AV75" s="4204"/>
      <c r="AW75" s="4204"/>
      <c r="AX75" s="4198"/>
      <c r="AY75" s="4187">
        <f t="shared" si="80"/>
        <v>897</v>
      </c>
      <c r="AZ75" s="4204"/>
      <c r="BA75" s="4204"/>
      <c r="BB75" s="4323"/>
      <c r="BC75" s="4188">
        <f t="shared" si="81"/>
        <v>0</v>
      </c>
      <c r="BD75" s="4191"/>
      <c r="BE75" s="4192">
        <f t="shared" si="89"/>
        <v>0</v>
      </c>
      <c r="BF75" s="4198"/>
      <c r="BG75" s="4187">
        <f t="shared" si="82"/>
        <v>897</v>
      </c>
      <c r="BH75" s="26">
        <f t="shared" si="88"/>
        <v>0</v>
      </c>
      <c r="BI75" s="580"/>
    </row>
    <row r="76" spans="1:61" ht="18" x14ac:dyDescent="0.35">
      <c r="C76" s="4184" t="s">
        <v>969</v>
      </c>
      <c r="D76" s="4184" t="s">
        <v>1123</v>
      </c>
      <c r="E76" s="6360"/>
      <c r="F76" s="4184"/>
      <c r="G76" s="4204"/>
      <c r="H76" s="4204"/>
      <c r="I76" s="4204">
        <v>268.39999999999998</v>
      </c>
      <c r="J76" s="4187"/>
      <c r="K76" s="4187">
        <f t="shared" ref="K76:K92" si="90">+G76+I76</f>
        <v>268.39999999999998</v>
      </c>
      <c r="L76" s="4204"/>
      <c r="M76" s="4204"/>
      <c r="N76" s="4188"/>
      <c r="O76" s="4188">
        <f t="shared" ref="O76:O78" si="91">+G76+I76+M76</f>
        <v>268.39999999999998</v>
      </c>
      <c r="P76" s="4204"/>
      <c r="Q76" s="4204"/>
      <c r="R76" s="4189"/>
      <c r="S76" s="4187">
        <f t="shared" ref="S76:S92" si="92">O76+Q76</f>
        <v>268.39999999999998</v>
      </c>
      <c r="T76" s="4204"/>
      <c r="U76" s="4204">
        <v>353.03800000000001</v>
      </c>
      <c r="V76" s="4189"/>
      <c r="W76" s="4187">
        <f t="shared" ref="W76:W92" si="93">S76+U76</f>
        <v>621.43799999999999</v>
      </c>
      <c r="X76" s="4190"/>
      <c r="Y76" s="4204">
        <v>114</v>
      </c>
      <c r="Z76" s="4188"/>
      <c r="AA76" s="4188">
        <f t="shared" ref="AA76:AA78" si="94">Q76+U76+Y76</f>
        <v>467.03800000000001</v>
      </c>
      <c r="AB76" s="4191"/>
      <c r="AC76" s="4192">
        <f t="shared" ref="AC76:AC92" si="95">O76+AA76</f>
        <v>735.43799999999999</v>
      </c>
      <c r="AD76" s="4204"/>
      <c r="AE76" s="4204">
        <v>114</v>
      </c>
      <c r="AF76" s="4189"/>
      <c r="AG76" s="4187">
        <f t="shared" ref="AG76:AG92" si="96">+AC76+AE76</f>
        <v>849.43799999999999</v>
      </c>
      <c r="AH76" s="4204"/>
      <c r="AI76" s="4204">
        <v>114.804</v>
      </c>
      <c r="AJ76" s="4189"/>
      <c r="AK76" s="4187">
        <f t="shared" ref="AK76:AK92" si="97">+AG76+AI76</f>
        <v>964.24199999999996</v>
      </c>
      <c r="AL76" s="4204"/>
      <c r="AM76" s="4204">
        <v>249</v>
      </c>
      <c r="AN76" s="4323"/>
      <c r="AO76" s="4188">
        <f t="shared" ref="AO76:AO78" si="98">AE76+AI76+AM76</f>
        <v>477.80399999999997</v>
      </c>
      <c r="AP76" s="4189"/>
      <c r="AQ76" s="4187">
        <f t="shared" si="78"/>
        <v>1213.242</v>
      </c>
      <c r="AR76" s="4204"/>
      <c r="AS76" s="4204">
        <v>203</v>
      </c>
      <c r="AT76" s="4189"/>
      <c r="AU76" s="4187">
        <f t="shared" si="79"/>
        <v>1416.242</v>
      </c>
      <c r="AV76" s="4204"/>
      <c r="AW76" s="4204"/>
      <c r="AX76" s="4189"/>
      <c r="AY76" s="4187">
        <f t="shared" si="80"/>
        <v>1416.242</v>
      </c>
      <c r="AZ76" s="4204"/>
      <c r="BA76" s="4204">
        <v>150.946</v>
      </c>
      <c r="BB76" s="4323"/>
      <c r="BC76" s="4188">
        <f t="shared" si="81"/>
        <v>353.94600000000003</v>
      </c>
      <c r="BD76" s="4191"/>
      <c r="BE76" s="4192">
        <f t="shared" si="89"/>
        <v>831.75</v>
      </c>
      <c r="BF76" s="4189"/>
      <c r="BG76" s="4187">
        <f t="shared" si="82"/>
        <v>1567.1879999999999</v>
      </c>
      <c r="BH76" s="26">
        <f t="shared" si="88"/>
        <v>0</v>
      </c>
      <c r="BI76" s="580"/>
    </row>
    <row r="77" spans="1:61" ht="18" x14ac:dyDescent="0.35">
      <c r="C77" s="4184" t="s">
        <v>969</v>
      </c>
      <c r="D77" s="4184" t="s">
        <v>935</v>
      </c>
      <c r="E77" s="6360"/>
      <c r="F77" s="4184"/>
      <c r="G77" s="4204">
        <v>15200</v>
      </c>
      <c r="H77" s="4214"/>
      <c r="I77" s="4204">
        <v>17368</v>
      </c>
      <c r="J77" s="4215"/>
      <c r="K77" s="4187">
        <f t="shared" si="90"/>
        <v>32568</v>
      </c>
      <c r="L77" s="4214"/>
      <c r="M77" s="4204">
        <v>12849</v>
      </c>
      <c r="N77" s="4216"/>
      <c r="O77" s="4188">
        <f t="shared" si="91"/>
        <v>45417</v>
      </c>
      <c r="P77" s="4214"/>
      <c r="Q77" s="4204">
        <v>18517</v>
      </c>
      <c r="R77" s="4189"/>
      <c r="S77" s="4187">
        <f t="shared" si="92"/>
        <v>63934</v>
      </c>
      <c r="T77" s="4214"/>
      <c r="U77" s="4204">
        <v>14098.266</v>
      </c>
      <c r="V77" s="4189"/>
      <c r="W77" s="4187">
        <f t="shared" si="93"/>
        <v>78032.266000000003</v>
      </c>
      <c r="X77" s="4190"/>
      <c r="Y77" s="4204">
        <v>17181</v>
      </c>
      <c r="Z77" s="4216"/>
      <c r="AA77" s="4188">
        <f t="shared" si="94"/>
        <v>49796.266000000003</v>
      </c>
      <c r="AB77" s="4191"/>
      <c r="AC77" s="4192">
        <f t="shared" si="95"/>
        <v>95213.266000000003</v>
      </c>
      <c r="AD77" s="4214"/>
      <c r="AE77" s="4204">
        <v>21466</v>
      </c>
      <c r="AF77" s="4189"/>
      <c r="AG77" s="4187">
        <f t="shared" si="96"/>
        <v>116679.266</v>
      </c>
      <c r="AH77" s="4214"/>
      <c r="AI77" s="4204">
        <v>25111.692000000003</v>
      </c>
      <c r="AJ77" s="4189"/>
      <c r="AK77" s="4187">
        <f t="shared" si="97"/>
        <v>141790.95800000001</v>
      </c>
      <c r="AL77" s="4214"/>
      <c r="AM77" s="4204">
        <v>9723</v>
      </c>
      <c r="AN77" s="4323"/>
      <c r="AO77" s="4188">
        <f t="shared" si="98"/>
        <v>56300.692000000003</v>
      </c>
      <c r="AP77" s="4189"/>
      <c r="AQ77" s="4187">
        <f t="shared" si="78"/>
        <v>151513.95800000001</v>
      </c>
      <c r="AR77" s="4214"/>
      <c r="AS77" s="4204">
        <v>11151</v>
      </c>
      <c r="AT77" s="4189"/>
      <c r="AU77" s="4187">
        <f t="shared" si="79"/>
        <v>162664.95800000001</v>
      </c>
      <c r="AV77" s="4214"/>
      <c r="AW77" s="4204">
        <v>3937.3519999999999</v>
      </c>
      <c r="AX77" s="4189"/>
      <c r="AY77" s="4187">
        <f t="shared" si="80"/>
        <v>166602.31000000003</v>
      </c>
      <c r="AZ77" s="4214"/>
      <c r="BA77" s="4204">
        <v>10396.14</v>
      </c>
      <c r="BB77" s="4323"/>
      <c r="BC77" s="4188">
        <f t="shared" si="81"/>
        <v>25484.491999999998</v>
      </c>
      <c r="BD77" s="4191"/>
      <c r="BE77" s="4192">
        <f t="shared" si="89"/>
        <v>81785.184000000008</v>
      </c>
      <c r="BF77" s="4189"/>
      <c r="BG77" s="4187">
        <f t="shared" si="82"/>
        <v>176998.45</v>
      </c>
      <c r="BH77" s="26">
        <f t="shared" si="88"/>
        <v>0</v>
      </c>
      <c r="BI77" s="580"/>
    </row>
    <row r="78" spans="1:61" ht="18" x14ac:dyDescent="0.35">
      <c r="C78" s="4184" t="s">
        <v>969</v>
      </c>
      <c r="D78" s="4184" t="s">
        <v>981</v>
      </c>
      <c r="E78" s="6360"/>
      <c r="F78" s="4184"/>
      <c r="G78" s="4204">
        <v>13156</v>
      </c>
      <c r="H78" s="4214"/>
      <c r="I78" s="4204">
        <v>13247</v>
      </c>
      <c r="J78" s="4215"/>
      <c r="K78" s="4187">
        <f t="shared" si="90"/>
        <v>26403</v>
      </c>
      <c r="L78" s="4214"/>
      <c r="M78" s="4204">
        <v>15189</v>
      </c>
      <c r="N78" s="4216"/>
      <c r="O78" s="4188">
        <f t="shared" si="91"/>
        <v>41592</v>
      </c>
      <c r="P78" s="4214"/>
      <c r="Q78" s="4204">
        <v>17017</v>
      </c>
      <c r="R78" s="4198"/>
      <c r="S78" s="4187">
        <f t="shared" si="92"/>
        <v>58609</v>
      </c>
      <c r="T78" s="4214"/>
      <c r="U78" s="4204">
        <v>14747.263999999999</v>
      </c>
      <c r="V78" s="4198"/>
      <c r="W78" s="4187">
        <f t="shared" si="93"/>
        <v>73356.263999999996</v>
      </c>
      <c r="X78" s="4190"/>
      <c r="Y78" s="4204">
        <v>10684</v>
      </c>
      <c r="Z78" s="4216"/>
      <c r="AA78" s="4188">
        <f t="shared" si="94"/>
        <v>42448.263999999996</v>
      </c>
      <c r="AB78" s="4191"/>
      <c r="AC78" s="4192">
        <f t="shared" si="95"/>
        <v>84040.263999999996</v>
      </c>
      <c r="AD78" s="4214"/>
      <c r="AE78" s="4204">
        <v>14218</v>
      </c>
      <c r="AF78" s="4198"/>
      <c r="AG78" s="4187">
        <f t="shared" si="96"/>
        <v>98258.263999999996</v>
      </c>
      <c r="AH78" s="4214"/>
      <c r="AI78" s="4204">
        <v>14613.73</v>
      </c>
      <c r="AJ78" s="4198"/>
      <c r="AK78" s="4187">
        <f t="shared" si="97"/>
        <v>112871.99399999999</v>
      </c>
      <c r="AL78" s="4214"/>
      <c r="AM78" s="4204">
        <v>19136</v>
      </c>
      <c r="AN78" s="4323"/>
      <c r="AO78" s="4188">
        <f t="shared" si="98"/>
        <v>47967.729999999996</v>
      </c>
      <c r="AP78" s="4198"/>
      <c r="AQ78" s="4187">
        <f t="shared" si="78"/>
        <v>132007.99400000001</v>
      </c>
      <c r="AR78" s="4214"/>
      <c r="AS78" s="4204">
        <v>5141</v>
      </c>
      <c r="AT78" s="4198"/>
      <c r="AU78" s="4187">
        <f t="shared" si="79"/>
        <v>137148.99400000001</v>
      </c>
      <c r="AV78" s="4214"/>
      <c r="AW78" s="4204"/>
      <c r="AX78" s="4198"/>
      <c r="AY78" s="4187">
        <f t="shared" si="80"/>
        <v>137148.99400000001</v>
      </c>
      <c r="AZ78" s="4214"/>
      <c r="BA78" s="4204">
        <v>10972.29</v>
      </c>
      <c r="BB78" s="4323"/>
      <c r="BC78" s="4188">
        <f t="shared" si="81"/>
        <v>16113.29</v>
      </c>
      <c r="BD78" s="4191"/>
      <c r="BE78" s="4192">
        <f t="shared" si="89"/>
        <v>64081.02</v>
      </c>
      <c r="BF78" s="4198"/>
      <c r="BG78" s="4187">
        <f t="shared" si="82"/>
        <v>148121.28400000001</v>
      </c>
      <c r="BH78" s="26">
        <f t="shared" si="88"/>
        <v>0</v>
      </c>
      <c r="BI78" s="580"/>
    </row>
    <row r="79" spans="1:61" ht="18" x14ac:dyDescent="0.35">
      <c r="C79" s="6356" t="s">
        <v>1031</v>
      </c>
      <c r="D79" s="6356"/>
      <c r="E79" s="6360"/>
      <c r="F79" s="4199"/>
      <c r="G79" s="4200">
        <f t="shared" ref="G79:AM79" si="99">SUM(G55:G78)</f>
        <v>40768.58799999996</v>
      </c>
      <c r="H79" s="4200">
        <f t="shared" si="99"/>
        <v>0</v>
      </c>
      <c r="I79" s="4200">
        <f t="shared" si="99"/>
        <v>45640.4</v>
      </c>
      <c r="J79" s="4200">
        <f t="shared" si="99"/>
        <v>0</v>
      </c>
      <c r="K79" s="4201">
        <f t="shared" si="99"/>
        <v>86408.987999999954</v>
      </c>
      <c r="L79" s="4200">
        <f t="shared" si="99"/>
        <v>0</v>
      </c>
      <c r="M79" s="4200">
        <f t="shared" si="99"/>
        <v>51290</v>
      </c>
      <c r="N79" s="4200">
        <f t="shared" si="99"/>
        <v>0</v>
      </c>
      <c r="O79" s="4202">
        <f t="shared" si="99"/>
        <v>137698.98799999995</v>
      </c>
      <c r="P79" s="4200">
        <f t="shared" si="99"/>
        <v>0</v>
      </c>
      <c r="Q79" s="4200">
        <f t="shared" si="99"/>
        <v>46163</v>
      </c>
      <c r="R79" s="4200">
        <f t="shared" si="99"/>
        <v>0</v>
      </c>
      <c r="S79" s="4201">
        <f t="shared" si="99"/>
        <v>182225.98799999995</v>
      </c>
      <c r="T79" s="4200">
        <f t="shared" si="99"/>
        <v>0</v>
      </c>
      <c r="U79" s="4200">
        <f t="shared" si="99"/>
        <v>45702.616000000002</v>
      </c>
      <c r="V79" s="4200">
        <f t="shared" si="99"/>
        <v>0</v>
      </c>
      <c r="W79" s="4201">
        <f t="shared" si="99"/>
        <v>227928.60399999996</v>
      </c>
      <c r="X79" s="4200">
        <f t="shared" si="99"/>
        <v>0</v>
      </c>
      <c r="Y79" s="4200">
        <f t="shared" si="99"/>
        <v>49365</v>
      </c>
      <c r="Z79" s="4200">
        <f t="shared" si="99"/>
        <v>0</v>
      </c>
      <c r="AA79" s="4202">
        <f t="shared" si="99"/>
        <v>141230.61600000001</v>
      </c>
      <c r="AB79" s="4200">
        <f t="shared" si="99"/>
        <v>0</v>
      </c>
      <c r="AC79" s="4203">
        <f t="shared" si="99"/>
        <v>278929.60399999993</v>
      </c>
      <c r="AD79" s="4200">
        <f t="shared" si="99"/>
        <v>0</v>
      </c>
      <c r="AE79" s="4200">
        <f t="shared" si="99"/>
        <v>50576</v>
      </c>
      <c r="AF79" s="4200">
        <f t="shared" si="99"/>
        <v>0</v>
      </c>
      <c r="AG79" s="4201">
        <f t="shared" si="99"/>
        <v>329505.60399999993</v>
      </c>
      <c r="AH79" s="4200">
        <f t="shared" si="99"/>
        <v>0</v>
      </c>
      <c r="AI79" s="4200">
        <f t="shared" si="99"/>
        <v>57014.864000000001</v>
      </c>
      <c r="AJ79" s="4200">
        <f t="shared" si="99"/>
        <v>0</v>
      </c>
      <c r="AK79" s="4201">
        <f t="shared" si="99"/>
        <v>386520.46799999999</v>
      </c>
      <c r="AL79" s="4200">
        <f t="shared" si="99"/>
        <v>0</v>
      </c>
      <c r="AM79" s="4200">
        <f t="shared" si="99"/>
        <v>48508.66</v>
      </c>
      <c r="AN79" s="4322"/>
      <c r="AO79" s="4202">
        <f t="shared" ref="AO79:AY79" si="100">SUM(AO55:AO78)</f>
        <v>156099.52400000003</v>
      </c>
      <c r="AP79" s="4200">
        <f t="shared" si="100"/>
        <v>0</v>
      </c>
      <c r="AQ79" s="4201">
        <f t="shared" si="100"/>
        <v>435029.12799999997</v>
      </c>
      <c r="AR79" s="4200">
        <f t="shared" si="100"/>
        <v>0</v>
      </c>
      <c r="AS79" s="4200">
        <f t="shared" si="100"/>
        <v>26498</v>
      </c>
      <c r="AT79" s="4200">
        <f t="shared" si="100"/>
        <v>0</v>
      </c>
      <c r="AU79" s="4201">
        <f t="shared" si="100"/>
        <v>461527.12799999997</v>
      </c>
      <c r="AV79" s="4200">
        <f t="shared" si="100"/>
        <v>0</v>
      </c>
      <c r="AW79" s="4200">
        <f t="shared" si="100"/>
        <v>13181.536</v>
      </c>
      <c r="AX79" s="4200">
        <f t="shared" si="100"/>
        <v>0</v>
      </c>
      <c r="AY79" s="4201">
        <f t="shared" si="100"/>
        <v>474708.66399999999</v>
      </c>
      <c r="AZ79" s="4200">
        <f t="shared" ref="AZ79:BG79" si="101">SUM(AZ55:AZ78)</f>
        <v>0</v>
      </c>
      <c r="BA79" s="4200">
        <f t="shared" si="101"/>
        <v>33704.529000000002</v>
      </c>
      <c r="BB79" s="4322"/>
      <c r="BC79" s="4202">
        <f t="shared" ref="BC79:BE79" si="102">SUM(BC55:BC78)</f>
        <v>73384.065000000002</v>
      </c>
      <c r="BD79" s="4200">
        <f t="shared" si="102"/>
        <v>0</v>
      </c>
      <c r="BE79" s="4203">
        <f t="shared" si="102"/>
        <v>229483.58900000001</v>
      </c>
      <c r="BF79" s="4200">
        <f t="shared" si="101"/>
        <v>0</v>
      </c>
      <c r="BG79" s="4201">
        <f t="shared" si="101"/>
        <v>508413.19299999997</v>
      </c>
      <c r="BH79" s="26">
        <f t="shared" si="88"/>
        <v>0</v>
      </c>
      <c r="BI79" s="580"/>
    </row>
    <row r="80" spans="1:61" ht="18" x14ac:dyDescent="0.35">
      <c r="A80" s="228"/>
      <c r="B80" s="228"/>
      <c r="C80" s="4217" t="s">
        <v>970</v>
      </c>
      <c r="D80" s="4217" t="s">
        <v>642</v>
      </c>
      <c r="E80" s="6360"/>
      <c r="F80" s="4218"/>
      <c r="G80" s="4219"/>
      <c r="H80" s="4220"/>
      <c r="I80" s="4219">
        <v>79</v>
      </c>
      <c r="J80" s="4221"/>
      <c r="K80" s="4187">
        <f t="shared" si="90"/>
        <v>79</v>
      </c>
      <c r="L80" s="4220"/>
      <c r="M80" s="4219"/>
      <c r="N80" s="4222"/>
      <c r="O80" s="4188">
        <f t="shared" ref="O80:O92" si="103">+G80+I80+M80</f>
        <v>79</v>
      </c>
      <c r="P80" s="4220"/>
      <c r="Q80" s="4223"/>
      <c r="R80" s="4224"/>
      <c r="S80" s="4187">
        <f t="shared" si="92"/>
        <v>79</v>
      </c>
      <c r="T80" s="4220"/>
      <c r="U80" s="4223">
        <v>82.082000000000335</v>
      </c>
      <c r="V80" s="4224"/>
      <c r="W80" s="4187">
        <f t="shared" si="93"/>
        <v>161.08200000000033</v>
      </c>
      <c r="X80" s="4225"/>
      <c r="Y80" s="4223"/>
      <c r="Z80" s="4222"/>
      <c r="AA80" s="4188">
        <f t="shared" ref="AA80:AA92" si="104">Q80+U80+Y80</f>
        <v>82.082000000000335</v>
      </c>
      <c r="AB80" s="4191"/>
      <c r="AC80" s="4192">
        <f t="shared" si="95"/>
        <v>161.08200000000033</v>
      </c>
      <c r="AD80" s="4220"/>
      <c r="AE80" s="4223"/>
      <c r="AF80" s="4226"/>
      <c r="AG80" s="4187">
        <f t="shared" si="96"/>
        <v>161.08200000000033</v>
      </c>
      <c r="AH80" s="4220"/>
      <c r="AI80" s="4223"/>
      <c r="AJ80" s="4226"/>
      <c r="AK80" s="4187">
        <f t="shared" si="97"/>
        <v>161.08200000000033</v>
      </c>
      <c r="AL80" s="4220"/>
      <c r="AM80" s="4223"/>
      <c r="AN80" s="4324"/>
      <c r="AO80" s="4188">
        <f t="shared" ref="AO80:AO92" si="105">AE80+AI80+AM80</f>
        <v>0</v>
      </c>
      <c r="AP80" s="4226"/>
      <c r="AQ80" s="4187">
        <f t="shared" ref="AQ80:AQ92" si="106">+AK80+AM80</f>
        <v>161.08200000000033</v>
      </c>
      <c r="AR80" s="4220"/>
      <c r="AS80" s="4223">
        <v>1074.1600000000001</v>
      </c>
      <c r="AT80" s="4226"/>
      <c r="AU80" s="4187">
        <f t="shared" ref="AU80:AU92" si="107">+AQ80+AS80</f>
        <v>1235.2420000000004</v>
      </c>
      <c r="AV80" s="4220"/>
      <c r="AW80" s="4223">
        <v>2.3719999999998436</v>
      </c>
      <c r="AX80" s="4226"/>
      <c r="AY80" s="4187">
        <f t="shared" ref="AY80:AY92" si="108">+AU80+AW80</f>
        <v>1237.6140000000003</v>
      </c>
      <c r="AZ80" s="4220"/>
      <c r="BA80" s="4223"/>
      <c r="BB80" s="4324"/>
      <c r="BC80" s="4188">
        <f t="shared" ref="BC80:BC92" si="109">AS80+AW80+BA80</f>
        <v>1076.5319999999999</v>
      </c>
      <c r="BD80" s="4191"/>
      <c r="BE80" s="4192">
        <f t="shared" si="89"/>
        <v>1076.5319999999999</v>
      </c>
      <c r="BF80" s="4226"/>
      <c r="BG80" s="4187">
        <f t="shared" ref="BG80:BG92" si="110">+AY80+BA80</f>
        <v>1237.6140000000003</v>
      </c>
      <c r="BH80" s="26">
        <f t="shared" si="88"/>
        <v>0</v>
      </c>
      <c r="BI80" s="580"/>
    </row>
    <row r="81" spans="1:61" ht="18" x14ac:dyDescent="0.35">
      <c r="C81" s="4184" t="s">
        <v>970</v>
      </c>
      <c r="D81" s="4184" t="s">
        <v>982</v>
      </c>
      <c r="E81" s="6360"/>
      <c r="F81" s="4184"/>
      <c r="G81" s="4204"/>
      <c r="H81" s="4227"/>
      <c r="I81" s="4204"/>
      <c r="J81" s="4215"/>
      <c r="K81" s="4187">
        <f t="shared" si="90"/>
        <v>0</v>
      </c>
      <c r="L81" s="4227"/>
      <c r="M81" s="4204"/>
      <c r="N81" s="4216"/>
      <c r="O81" s="4188">
        <f t="shared" si="103"/>
        <v>0</v>
      </c>
      <c r="P81" s="4227"/>
      <c r="Q81" s="4186"/>
      <c r="R81" s="4189"/>
      <c r="S81" s="4187">
        <f t="shared" si="92"/>
        <v>0</v>
      </c>
      <c r="T81" s="4227"/>
      <c r="U81" s="4186"/>
      <c r="V81" s="4189"/>
      <c r="W81" s="4187">
        <f t="shared" si="93"/>
        <v>0</v>
      </c>
      <c r="X81" s="4190"/>
      <c r="Y81" s="4186"/>
      <c r="Z81" s="4216"/>
      <c r="AA81" s="4188">
        <f t="shared" si="104"/>
        <v>0</v>
      </c>
      <c r="AB81" s="4191"/>
      <c r="AC81" s="4192">
        <f t="shared" si="95"/>
        <v>0</v>
      </c>
      <c r="AD81" s="4227"/>
      <c r="AE81" s="4186"/>
      <c r="AF81" s="4189"/>
      <c r="AG81" s="4187">
        <f t="shared" si="96"/>
        <v>0</v>
      </c>
      <c r="AH81" s="4227"/>
      <c r="AI81" s="4186"/>
      <c r="AJ81" s="4189"/>
      <c r="AK81" s="4187">
        <f t="shared" si="97"/>
        <v>0</v>
      </c>
      <c r="AL81" s="4227"/>
      <c r="AM81" s="4186"/>
      <c r="AN81" s="4321"/>
      <c r="AO81" s="4188">
        <f t="shared" si="105"/>
        <v>0</v>
      </c>
      <c r="AP81" s="4189"/>
      <c r="AQ81" s="4187">
        <f t="shared" si="106"/>
        <v>0</v>
      </c>
      <c r="AR81" s="4227"/>
      <c r="AS81" s="4186"/>
      <c r="AT81" s="4189"/>
      <c r="AU81" s="4187">
        <f t="shared" si="107"/>
        <v>0</v>
      </c>
      <c r="AV81" s="4227"/>
      <c r="AW81" s="4186"/>
      <c r="AX81" s="4189"/>
      <c r="AY81" s="4187">
        <f t="shared" si="108"/>
        <v>0</v>
      </c>
      <c r="AZ81" s="4227"/>
      <c r="BA81" s="4186"/>
      <c r="BB81" s="4321"/>
      <c r="BC81" s="4188">
        <f t="shared" si="109"/>
        <v>0</v>
      </c>
      <c r="BD81" s="4191"/>
      <c r="BE81" s="4192">
        <f t="shared" si="89"/>
        <v>0</v>
      </c>
      <c r="BF81" s="4189"/>
      <c r="BG81" s="4187">
        <f t="shared" si="110"/>
        <v>0</v>
      </c>
      <c r="BH81" s="26">
        <f t="shared" si="88"/>
        <v>0</v>
      </c>
      <c r="BI81" s="580"/>
    </row>
    <row r="82" spans="1:61" ht="18" x14ac:dyDescent="0.35">
      <c r="C82" s="4184" t="s">
        <v>970</v>
      </c>
      <c r="D82" s="4184" t="s">
        <v>1576</v>
      </c>
      <c r="E82" s="6360"/>
      <c r="F82" s="4184"/>
      <c r="G82" s="4204"/>
      <c r="H82" s="4227"/>
      <c r="I82" s="4204"/>
      <c r="J82" s="4215"/>
      <c r="K82" s="4187">
        <f t="shared" si="90"/>
        <v>0</v>
      </c>
      <c r="L82" s="4227"/>
      <c r="M82" s="4204"/>
      <c r="N82" s="4216"/>
      <c r="O82" s="4188">
        <f t="shared" si="103"/>
        <v>0</v>
      </c>
      <c r="P82" s="4227"/>
      <c r="Q82" s="4186"/>
      <c r="R82" s="4189"/>
      <c r="S82" s="4187">
        <f t="shared" si="92"/>
        <v>0</v>
      </c>
      <c r="T82" s="4227"/>
      <c r="U82" s="4186"/>
      <c r="V82" s="4189"/>
      <c r="W82" s="4187">
        <f t="shared" si="93"/>
        <v>0</v>
      </c>
      <c r="X82" s="4228"/>
      <c r="Y82" s="4186"/>
      <c r="Z82" s="4216"/>
      <c r="AA82" s="4188">
        <f t="shared" si="104"/>
        <v>0</v>
      </c>
      <c r="AB82" s="4191"/>
      <c r="AC82" s="4192">
        <f t="shared" si="95"/>
        <v>0</v>
      </c>
      <c r="AD82" s="4227"/>
      <c r="AE82" s="4186"/>
      <c r="AF82" s="4189"/>
      <c r="AG82" s="4187">
        <f t="shared" si="96"/>
        <v>0</v>
      </c>
      <c r="AH82" s="4227"/>
      <c r="AI82" s="4186"/>
      <c r="AJ82" s="4189"/>
      <c r="AK82" s="4187">
        <f t="shared" si="97"/>
        <v>0</v>
      </c>
      <c r="AL82" s="4227"/>
      <c r="AM82" s="4186"/>
      <c r="AN82" s="4321"/>
      <c r="AO82" s="4188">
        <f t="shared" si="105"/>
        <v>0</v>
      </c>
      <c r="AP82" s="4189"/>
      <c r="AQ82" s="4187">
        <f t="shared" si="106"/>
        <v>0</v>
      </c>
      <c r="AR82" s="4227"/>
      <c r="AS82" s="4186">
        <v>1882</v>
      </c>
      <c r="AT82" s="4189"/>
      <c r="AU82" s="4187">
        <f t="shared" si="107"/>
        <v>1882</v>
      </c>
      <c r="AV82" s="4227"/>
      <c r="AW82" s="4186">
        <v>1221.2460000000001</v>
      </c>
      <c r="AX82" s="4189"/>
      <c r="AY82" s="4187">
        <f t="shared" si="108"/>
        <v>3103.2460000000001</v>
      </c>
      <c r="AZ82" s="4227"/>
      <c r="BA82" s="4186"/>
      <c r="BB82" s="4321"/>
      <c r="BC82" s="4188">
        <f t="shared" si="109"/>
        <v>3103.2460000000001</v>
      </c>
      <c r="BD82" s="4191"/>
      <c r="BE82" s="4192">
        <f t="shared" si="89"/>
        <v>3103.2460000000001</v>
      </c>
      <c r="BF82" s="4189"/>
      <c r="BG82" s="4187">
        <f t="shared" si="110"/>
        <v>3103.2460000000001</v>
      </c>
      <c r="BH82" s="26">
        <f t="shared" si="88"/>
        <v>0</v>
      </c>
      <c r="BI82" s="580"/>
    </row>
    <row r="83" spans="1:61" ht="18" x14ac:dyDescent="0.35">
      <c r="C83" s="4184" t="s">
        <v>970</v>
      </c>
      <c r="D83" s="4184" t="s">
        <v>675</v>
      </c>
      <c r="E83" s="6360"/>
      <c r="F83" s="4184"/>
      <c r="G83" s="4204"/>
      <c r="H83" s="4227"/>
      <c r="I83" s="4204">
        <v>2204</v>
      </c>
      <c r="J83" s="4215"/>
      <c r="K83" s="4187">
        <f t="shared" si="90"/>
        <v>2204</v>
      </c>
      <c r="L83" s="4227"/>
      <c r="M83" s="4204"/>
      <c r="N83" s="4216"/>
      <c r="O83" s="4188">
        <f t="shared" si="103"/>
        <v>2204</v>
      </c>
      <c r="P83" s="4227"/>
      <c r="Q83" s="4186"/>
      <c r="R83" s="4189"/>
      <c r="S83" s="4187">
        <f t="shared" si="92"/>
        <v>2204</v>
      </c>
      <c r="T83" s="4227"/>
      <c r="U83" s="4186">
        <v>5899.3739999999998</v>
      </c>
      <c r="V83" s="4189"/>
      <c r="W83" s="4187">
        <f t="shared" si="93"/>
        <v>8103.3739999999998</v>
      </c>
      <c r="X83" s="4228"/>
      <c r="Y83" s="4186"/>
      <c r="Z83" s="4216"/>
      <c r="AA83" s="4188">
        <f t="shared" si="104"/>
        <v>5899.3739999999998</v>
      </c>
      <c r="AB83" s="4191"/>
      <c r="AC83" s="4192">
        <f t="shared" si="95"/>
        <v>8103.3739999999998</v>
      </c>
      <c r="AD83" s="4227"/>
      <c r="AE83" s="4186">
        <v>9050</v>
      </c>
      <c r="AF83" s="4189"/>
      <c r="AG83" s="4187">
        <f t="shared" si="96"/>
        <v>17153.374</v>
      </c>
      <c r="AH83" s="4227"/>
      <c r="AI83" s="4186"/>
      <c r="AJ83" s="4189"/>
      <c r="AK83" s="4187">
        <f t="shared" si="97"/>
        <v>17153.374</v>
      </c>
      <c r="AL83" s="4227"/>
      <c r="AM83" s="4186"/>
      <c r="AN83" s="4321"/>
      <c r="AO83" s="4188">
        <f t="shared" si="105"/>
        <v>9050</v>
      </c>
      <c r="AP83" s="4189"/>
      <c r="AQ83" s="4187">
        <f t="shared" si="106"/>
        <v>17153.374</v>
      </c>
      <c r="AR83" s="4227"/>
      <c r="AS83" s="4186"/>
      <c r="AT83" s="4189"/>
      <c r="AU83" s="4187">
        <f t="shared" si="107"/>
        <v>17153.374</v>
      </c>
      <c r="AV83" s="4227"/>
      <c r="AW83" s="4186"/>
      <c r="AX83" s="4189"/>
      <c r="AY83" s="4187">
        <f t="shared" si="108"/>
        <v>17153.374</v>
      </c>
      <c r="AZ83" s="4227"/>
      <c r="BA83" s="4186"/>
      <c r="BB83" s="4321"/>
      <c r="BC83" s="4188">
        <f t="shared" si="109"/>
        <v>0</v>
      </c>
      <c r="BD83" s="4191"/>
      <c r="BE83" s="4192">
        <f t="shared" si="89"/>
        <v>9050</v>
      </c>
      <c r="BF83" s="4189"/>
      <c r="BG83" s="4187">
        <f t="shared" si="110"/>
        <v>17153.374</v>
      </c>
      <c r="BH83" s="26">
        <f t="shared" si="88"/>
        <v>0</v>
      </c>
      <c r="BI83" s="580"/>
    </row>
    <row r="84" spans="1:61" ht="18" x14ac:dyDescent="0.35">
      <c r="C84" s="4184" t="s">
        <v>970</v>
      </c>
      <c r="D84" s="4184" t="s">
        <v>1111</v>
      </c>
      <c r="E84" s="6360"/>
      <c r="F84" s="4184"/>
      <c r="G84" s="4204"/>
      <c r="H84" s="4227"/>
      <c r="I84" s="4204"/>
      <c r="J84" s="4215"/>
      <c r="K84" s="4187">
        <f t="shared" si="90"/>
        <v>0</v>
      </c>
      <c r="L84" s="4227"/>
      <c r="M84" s="4204"/>
      <c r="N84" s="4216"/>
      <c r="O84" s="4188">
        <f t="shared" si="103"/>
        <v>0</v>
      </c>
      <c r="P84" s="4227"/>
      <c r="Q84" s="4227"/>
      <c r="R84" s="4189"/>
      <c r="S84" s="4187">
        <f t="shared" si="92"/>
        <v>0</v>
      </c>
      <c r="T84" s="4227"/>
      <c r="U84" s="4227"/>
      <c r="V84" s="4189"/>
      <c r="W84" s="4187">
        <f t="shared" si="93"/>
        <v>0</v>
      </c>
      <c r="X84" s="4190"/>
      <c r="Y84" s="4227"/>
      <c r="Z84" s="4216"/>
      <c r="AA84" s="4188">
        <f t="shared" si="104"/>
        <v>0</v>
      </c>
      <c r="AB84" s="4191"/>
      <c r="AC84" s="4192">
        <f t="shared" si="95"/>
        <v>0</v>
      </c>
      <c r="AD84" s="4227"/>
      <c r="AE84" s="4227"/>
      <c r="AF84" s="4189"/>
      <c r="AG84" s="4187">
        <f t="shared" si="96"/>
        <v>0</v>
      </c>
      <c r="AH84" s="4227"/>
      <c r="AI84" s="4227"/>
      <c r="AJ84" s="4189"/>
      <c r="AK84" s="4187">
        <f t="shared" si="97"/>
        <v>0</v>
      </c>
      <c r="AL84" s="4227"/>
      <c r="AM84" s="4227"/>
      <c r="AN84" s="4325"/>
      <c r="AO84" s="4188">
        <f t="shared" si="105"/>
        <v>0</v>
      </c>
      <c r="AP84" s="4189"/>
      <c r="AQ84" s="4187">
        <f t="shared" si="106"/>
        <v>0</v>
      </c>
      <c r="AR84" s="4227"/>
      <c r="AS84" s="4227"/>
      <c r="AT84" s="4189"/>
      <c r="AU84" s="4187">
        <f t="shared" si="107"/>
        <v>0</v>
      </c>
      <c r="AV84" s="4227"/>
      <c r="AW84" s="4227"/>
      <c r="AX84" s="4189"/>
      <c r="AY84" s="4187">
        <f t="shared" si="108"/>
        <v>0</v>
      </c>
      <c r="AZ84" s="4227"/>
      <c r="BA84" s="4227"/>
      <c r="BB84" s="4325"/>
      <c r="BC84" s="4188">
        <f t="shared" si="109"/>
        <v>0</v>
      </c>
      <c r="BD84" s="4191"/>
      <c r="BE84" s="4192">
        <f t="shared" si="89"/>
        <v>0</v>
      </c>
      <c r="BF84" s="4189"/>
      <c r="BG84" s="4187">
        <f t="shared" si="110"/>
        <v>0</v>
      </c>
      <c r="BH84" s="26">
        <f t="shared" si="88"/>
        <v>0</v>
      </c>
      <c r="BI84" s="580"/>
    </row>
    <row r="85" spans="1:61" ht="18" x14ac:dyDescent="0.35">
      <c r="C85" s="4184" t="s">
        <v>970</v>
      </c>
      <c r="D85" s="5326" t="s">
        <v>2280</v>
      </c>
      <c r="E85" s="6360"/>
      <c r="F85" s="5326"/>
      <c r="G85" s="5327"/>
      <c r="H85" s="5328"/>
      <c r="I85" s="5327"/>
      <c r="J85" s="5329"/>
      <c r="K85" s="5330"/>
      <c r="L85" s="5328"/>
      <c r="M85" s="5327"/>
      <c r="N85" s="5331"/>
      <c r="O85" s="5332"/>
      <c r="P85" s="5328"/>
      <c r="Q85" s="5328"/>
      <c r="R85" s="4189"/>
      <c r="S85" s="5330"/>
      <c r="T85" s="5328"/>
      <c r="U85" s="5328"/>
      <c r="V85" s="4189"/>
      <c r="W85" s="5330"/>
      <c r="X85" s="5327"/>
      <c r="Y85" s="5328"/>
      <c r="Z85" s="5331"/>
      <c r="AA85" s="5332"/>
      <c r="AB85" s="5333"/>
      <c r="AC85" s="5333"/>
      <c r="AD85" s="5328"/>
      <c r="AE85" s="5328"/>
      <c r="AF85" s="4189"/>
      <c r="AG85" s="5330"/>
      <c r="AH85" s="5328"/>
      <c r="AI85" s="5328"/>
      <c r="AJ85" s="4189"/>
      <c r="AK85" s="5330"/>
      <c r="AL85" s="5328"/>
      <c r="AM85" s="5328"/>
      <c r="AN85" s="4325"/>
      <c r="AO85" s="4188">
        <f t="shared" si="105"/>
        <v>0</v>
      </c>
      <c r="AP85" s="4189"/>
      <c r="AQ85" s="4187">
        <f t="shared" si="106"/>
        <v>0</v>
      </c>
      <c r="AR85" s="5328"/>
      <c r="AS85" s="5328">
        <v>1655</v>
      </c>
      <c r="AT85" s="4189"/>
      <c r="AU85" s="4187">
        <f t="shared" si="107"/>
        <v>1655</v>
      </c>
      <c r="AV85" s="5328"/>
      <c r="AW85" s="5328"/>
      <c r="AX85" s="4189"/>
      <c r="AY85" s="4187">
        <f t="shared" si="108"/>
        <v>1655</v>
      </c>
      <c r="AZ85" s="5328"/>
      <c r="BA85" s="5505">
        <v>2258.1779999999999</v>
      </c>
      <c r="BB85" s="4325"/>
      <c r="BC85" s="4188">
        <f t="shared" ref="BC85:BC86" si="111">AS85+AW85+BA85</f>
        <v>3913.1779999999999</v>
      </c>
      <c r="BD85" s="4191"/>
      <c r="BE85" s="4192">
        <f t="shared" ref="BE85:BE86" si="112">AO85+BC85</f>
        <v>3913.1779999999999</v>
      </c>
      <c r="BF85" s="4189"/>
      <c r="BG85" s="4187">
        <f t="shared" ref="BG85:BG86" si="113">+AY85+BA85</f>
        <v>3913.1779999999999</v>
      </c>
      <c r="BH85" s="26">
        <f t="shared" si="88"/>
        <v>0</v>
      </c>
      <c r="BI85" s="580"/>
    </row>
    <row r="86" spans="1:61" ht="18" x14ac:dyDescent="0.35">
      <c r="C86" s="4184" t="s">
        <v>970</v>
      </c>
      <c r="D86" s="5326" t="s">
        <v>2281</v>
      </c>
      <c r="E86" s="6360"/>
      <c r="F86" s="5326"/>
      <c r="G86" s="5327"/>
      <c r="H86" s="5328"/>
      <c r="I86" s="5327"/>
      <c r="J86" s="5329"/>
      <c r="K86" s="5330"/>
      <c r="L86" s="5328"/>
      <c r="M86" s="5327"/>
      <c r="N86" s="5331"/>
      <c r="O86" s="5332"/>
      <c r="P86" s="5328"/>
      <c r="Q86" s="5328"/>
      <c r="R86" s="4189"/>
      <c r="S86" s="5330"/>
      <c r="T86" s="5328"/>
      <c r="U86" s="5328"/>
      <c r="V86" s="4189"/>
      <c r="W86" s="5330"/>
      <c r="X86" s="5327"/>
      <c r="Y86" s="5328"/>
      <c r="Z86" s="5331"/>
      <c r="AA86" s="5332"/>
      <c r="AB86" s="5333"/>
      <c r="AC86" s="5333"/>
      <c r="AD86" s="5328"/>
      <c r="AE86" s="5328"/>
      <c r="AF86" s="4189"/>
      <c r="AG86" s="5330"/>
      <c r="AH86" s="5328"/>
      <c r="AI86" s="5328"/>
      <c r="AJ86" s="4189"/>
      <c r="AK86" s="5330"/>
      <c r="AL86" s="5328"/>
      <c r="AM86" s="5328"/>
      <c r="AN86" s="4325"/>
      <c r="AO86" s="4188">
        <f t="shared" si="105"/>
        <v>0</v>
      </c>
      <c r="AP86" s="4189"/>
      <c r="AQ86" s="4187">
        <f t="shared" si="106"/>
        <v>0</v>
      </c>
      <c r="AR86" s="5328"/>
      <c r="AS86" s="5328">
        <v>573</v>
      </c>
      <c r="AT86" s="4189"/>
      <c r="AU86" s="4187">
        <f t="shared" si="107"/>
        <v>573</v>
      </c>
      <c r="AV86" s="5328"/>
      <c r="AW86" s="5328"/>
      <c r="AX86" s="4189"/>
      <c r="AY86" s="4187">
        <f t="shared" si="108"/>
        <v>573</v>
      </c>
      <c r="AZ86" s="5328"/>
      <c r="BA86" s="5505">
        <v>372.60599999999999</v>
      </c>
      <c r="BB86" s="4325"/>
      <c r="BC86" s="4188">
        <f t="shared" si="111"/>
        <v>945.60599999999999</v>
      </c>
      <c r="BD86" s="4191"/>
      <c r="BE86" s="4192">
        <f t="shared" si="112"/>
        <v>945.60599999999999</v>
      </c>
      <c r="BF86" s="4189"/>
      <c r="BG86" s="4187">
        <f t="shared" si="113"/>
        <v>945.60599999999999</v>
      </c>
      <c r="BH86" s="26">
        <f t="shared" si="88"/>
        <v>0</v>
      </c>
      <c r="BI86" s="580"/>
    </row>
    <row r="87" spans="1:61" ht="18" x14ac:dyDescent="0.35">
      <c r="C87" s="4184" t="s">
        <v>970</v>
      </c>
      <c r="D87" s="4184" t="s">
        <v>674</v>
      </c>
      <c r="E87" s="6360"/>
      <c r="F87" s="4184"/>
      <c r="G87" s="4204"/>
      <c r="H87" s="4227"/>
      <c r="I87" s="4204"/>
      <c r="J87" s="4215"/>
      <c r="K87" s="4187">
        <f t="shared" si="90"/>
        <v>0</v>
      </c>
      <c r="L87" s="4227"/>
      <c r="M87" s="4204"/>
      <c r="N87" s="4216"/>
      <c r="O87" s="4188">
        <f t="shared" si="103"/>
        <v>0</v>
      </c>
      <c r="P87" s="4227"/>
      <c r="Q87" s="4186"/>
      <c r="R87" s="4189"/>
      <c r="S87" s="4187">
        <f t="shared" si="92"/>
        <v>0</v>
      </c>
      <c r="T87" s="4227"/>
      <c r="U87" s="4186"/>
      <c r="V87" s="4189"/>
      <c r="W87" s="4187">
        <f t="shared" si="93"/>
        <v>0</v>
      </c>
      <c r="X87" s="4190"/>
      <c r="Y87" s="4186"/>
      <c r="Z87" s="4216"/>
      <c r="AA87" s="4188">
        <f t="shared" si="104"/>
        <v>0</v>
      </c>
      <c r="AB87" s="4191"/>
      <c r="AC87" s="4192">
        <f t="shared" si="95"/>
        <v>0</v>
      </c>
      <c r="AD87" s="4227"/>
      <c r="AE87" s="4186"/>
      <c r="AF87" s="4189"/>
      <c r="AG87" s="4187">
        <f t="shared" si="96"/>
        <v>0</v>
      </c>
      <c r="AH87" s="4227"/>
      <c r="AI87" s="4186"/>
      <c r="AJ87" s="4189"/>
      <c r="AK87" s="4187">
        <f t="shared" si="97"/>
        <v>0</v>
      </c>
      <c r="AL87" s="4227"/>
      <c r="AM87" s="4186"/>
      <c r="AN87" s="4321"/>
      <c r="AO87" s="4188">
        <f t="shared" si="105"/>
        <v>0</v>
      </c>
      <c r="AP87" s="4189"/>
      <c r="AQ87" s="4187">
        <f t="shared" si="106"/>
        <v>0</v>
      </c>
      <c r="AR87" s="4227"/>
      <c r="AS87" s="4186"/>
      <c r="AT87" s="4189"/>
      <c r="AU87" s="4187">
        <f t="shared" si="107"/>
        <v>0</v>
      </c>
      <c r="AV87" s="4227"/>
      <c r="AW87" s="4186"/>
      <c r="AX87" s="4189"/>
      <c r="AY87" s="4187">
        <f t="shared" si="108"/>
        <v>0</v>
      </c>
      <c r="AZ87" s="4227"/>
      <c r="BA87" s="4186"/>
      <c r="BB87" s="4321"/>
      <c r="BC87" s="4188">
        <f t="shared" si="109"/>
        <v>0</v>
      </c>
      <c r="BD87" s="4191"/>
      <c r="BE87" s="4192">
        <f t="shared" si="89"/>
        <v>0</v>
      </c>
      <c r="BF87" s="4189"/>
      <c r="BG87" s="4187">
        <f t="shared" si="110"/>
        <v>0</v>
      </c>
      <c r="BH87" s="26">
        <f t="shared" si="88"/>
        <v>0</v>
      </c>
      <c r="BI87" s="580"/>
    </row>
    <row r="88" spans="1:61" ht="18" x14ac:dyDescent="0.35">
      <c r="C88" s="4184" t="s">
        <v>970</v>
      </c>
      <c r="D88" s="4184" t="s">
        <v>1069</v>
      </c>
      <c r="E88" s="6360"/>
      <c r="F88" s="4184"/>
      <c r="G88" s="4204"/>
      <c r="H88" s="4227"/>
      <c r="I88" s="4204"/>
      <c r="J88" s="4215"/>
      <c r="K88" s="4187">
        <f t="shared" si="90"/>
        <v>0</v>
      </c>
      <c r="L88" s="4227"/>
      <c r="M88" s="4204"/>
      <c r="N88" s="4216"/>
      <c r="O88" s="4188">
        <f t="shared" si="103"/>
        <v>0</v>
      </c>
      <c r="P88" s="4227"/>
      <c r="Q88" s="4186"/>
      <c r="R88" s="4189"/>
      <c r="S88" s="4187">
        <f t="shared" si="92"/>
        <v>0</v>
      </c>
      <c r="T88" s="4227"/>
      <c r="U88" s="4186"/>
      <c r="V88" s="4189"/>
      <c r="W88" s="4187">
        <f t="shared" si="93"/>
        <v>0</v>
      </c>
      <c r="X88" s="4190"/>
      <c r="Y88" s="4186"/>
      <c r="Z88" s="4216"/>
      <c r="AA88" s="4188">
        <f t="shared" si="104"/>
        <v>0</v>
      </c>
      <c r="AB88" s="4191"/>
      <c r="AC88" s="4192">
        <f t="shared" si="95"/>
        <v>0</v>
      </c>
      <c r="AD88" s="4227"/>
      <c r="AE88" s="4186"/>
      <c r="AF88" s="4189"/>
      <c r="AG88" s="4187">
        <f t="shared" si="96"/>
        <v>0</v>
      </c>
      <c r="AH88" s="4227"/>
      <c r="AI88" s="4186"/>
      <c r="AJ88" s="4189"/>
      <c r="AK88" s="4187">
        <f t="shared" si="97"/>
        <v>0</v>
      </c>
      <c r="AL88" s="4227"/>
      <c r="AM88" s="4186"/>
      <c r="AN88" s="4321"/>
      <c r="AO88" s="4188">
        <f t="shared" si="105"/>
        <v>0</v>
      </c>
      <c r="AP88" s="4189"/>
      <c r="AQ88" s="4187">
        <f t="shared" si="106"/>
        <v>0</v>
      </c>
      <c r="AR88" s="4227"/>
      <c r="AS88" s="4186"/>
      <c r="AT88" s="4189"/>
      <c r="AU88" s="4187">
        <f t="shared" si="107"/>
        <v>0</v>
      </c>
      <c r="AV88" s="4227"/>
      <c r="AW88" s="4186"/>
      <c r="AX88" s="4189"/>
      <c r="AY88" s="4187">
        <f t="shared" si="108"/>
        <v>0</v>
      </c>
      <c r="AZ88" s="4227"/>
      <c r="BA88" s="4186"/>
      <c r="BB88" s="4321"/>
      <c r="BC88" s="4188">
        <f t="shared" si="109"/>
        <v>0</v>
      </c>
      <c r="BD88" s="4191"/>
      <c r="BE88" s="4192">
        <f t="shared" si="89"/>
        <v>0</v>
      </c>
      <c r="BF88" s="4189"/>
      <c r="BG88" s="4187">
        <f t="shared" si="110"/>
        <v>0</v>
      </c>
      <c r="BH88" s="26">
        <f t="shared" si="88"/>
        <v>0</v>
      </c>
      <c r="BI88" s="580"/>
    </row>
    <row r="89" spans="1:61" ht="18" x14ac:dyDescent="0.35">
      <c r="C89" s="4184" t="s">
        <v>970</v>
      </c>
      <c r="D89" s="4184" t="s">
        <v>643</v>
      </c>
      <c r="E89" s="6360"/>
      <c r="F89" s="4184"/>
      <c r="G89" s="4204"/>
      <c r="H89" s="4227"/>
      <c r="I89" s="4204"/>
      <c r="J89" s="4215"/>
      <c r="K89" s="4187">
        <f t="shared" si="90"/>
        <v>0</v>
      </c>
      <c r="L89" s="4227"/>
      <c r="M89" s="4204"/>
      <c r="N89" s="4216"/>
      <c r="O89" s="4188">
        <f t="shared" si="103"/>
        <v>0</v>
      </c>
      <c r="P89" s="4227"/>
      <c r="Q89" s="4186"/>
      <c r="R89" s="4189"/>
      <c r="S89" s="4187">
        <f t="shared" si="92"/>
        <v>0</v>
      </c>
      <c r="T89" s="4227"/>
      <c r="U89" s="4186"/>
      <c r="V89" s="4189"/>
      <c r="W89" s="4187">
        <f t="shared" si="93"/>
        <v>0</v>
      </c>
      <c r="X89" s="4228"/>
      <c r="Y89" s="4186"/>
      <c r="Z89" s="4216"/>
      <c r="AA89" s="4188">
        <f t="shared" si="104"/>
        <v>0</v>
      </c>
      <c r="AB89" s="4191"/>
      <c r="AC89" s="4192">
        <f t="shared" si="95"/>
        <v>0</v>
      </c>
      <c r="AD89" s="4227"/>
      <c r="AE89" s="4186"/>
      <c r="AF89" s="4189"/>
      <c r="AG89" s="4187">
        <f t="shared" si="96"/>
        <v>0</v>
      </c>
      <c r="AH89" s="4227"/>
      <c r="AI89" s="4186"/>
      <c r="AJ89" s="4189"/>
      <c r="AK89" s="4187">
        <f t="shared" si="97"/>
        <v>0</v>
      </c>
      <c r="AL89" s="4227"/>
      <c r="AM89" s="4186"/>
      <c r="AN89" s="4321"/>
      <c r="AO89" s="4188">
        <f t="shared" si="105"/>
        <v>0</v>
      </c>
      <c r="AP89" s="4189"/>
      <c r="AQ89" s="4187">
        <f t="shared" si="106"/>
        <v>0</v>
      </c>
      <c r="AR89" s="4227"/>
      <c r="AS89" s="4186"/>
      <c r="AT89" s="4189"/>
      <c r="AU89" s="4187">
        <f t="shared" si="107"/>
        <v>0</v>
      </c>
      <c r="AV89" s="4227"/>
      <c r="AW89" s="4186"/>
      <c r="AX89" s="4189"/>
      <c r="AY89" s="4187">
        <f t="shared" si="108"/>
        <v>0</v>
      </c>
      <c r="AZ89" s="4227"/>
      <c r="BA89" s="4186"/>
      <c r="BB89" s="4321"/>
      <c r="BC89" s="4188">
        <f t="shared" si="109"/>
        <v>0</v>
      </c>
      <c r="BD89" s="4191"/>
      <c r="BE89" s="4192">
        <f t="shared" si="89"/>
        <v>0</v>
      </c>
      <c r="BF89" s="4189"/>
      <c r="BG89" s="4187">
        <f t="shared" si="110"/>
        <v>0</v>
      </c>
      <c r="BH89" s="26">
        <f t="shared" si="88"/>
        <v>0</v>
      </c>
      <c r="BI89" s="580"/>
    </row>
    <row r="90" spans="1:61" ht="18" x14ac:dyDescent="0.35">
      <c r="C90" s="4184" t="s">
        <v>970</v>
      </c>
      <c r="D90" s="4184" t="s">
        <v>1360</v>
      </c>
      <c r="E90" s="6360"/>
      <c r="F90" s="4184"/>
      <c r="G90" s="4204"/>
      <c r="H90" s="4227"/>
      <c r="I90" s="4204"/>
      <c r="J90" s="4215"/>
      <c r="K90" s="4187">
        <f t="shared" si="90"/>
        <v>0</v>
      </c>
      <c r="L90" s="4227"/>
      <c r="M90" s="4204"/>
      <c r="N90" s="4216"/>
      <c r="O90" s="4188">
        <f t="shared" si="103"/>
        <v>0</v>
      </c>
      <c r="P90" s="4227"/>
      <c r="Q90" s="4186"/>
      <c r="R90" s="4189"/>
      <c r="S90" s="4187">
        <f t="shared" si="92"/>
        <v>0</v>
      </c>
      <c r="T90" s="4227"/>
      <c r="U90" s="4186"/>
      <c r="V90" s="4189"/>
      <c r="W90" s="4187">
        <f t="shared" si="93"/>
        <v>0</v>
      </c>
      <c r="X90" s="4190"/>
      <c r="Y90" s="4186"/>
      <c r="Z90" s="4216"/>
      <c r="AA90" s="4188">
        <f t="shared" si="104"/>
        <v>0</v>
      </c>
      <c r="AB90" s="4191"/>
      <c r="AC90" s="4192">
        <f t="shared" si="95"/>
        <v>0</v>
      </c>
      <c r="AD90" s="4227"/>
      <c r="AE90" s="4186"/>
      <c r="AF90" s="4189"/>
      <c r="AG90" s="4187">
        <f t="shared" si="96"/>
        <v>0</v>
      </c>
      <c r="AH90" s="4227"/>
      <c r="AI90" s="4186"/>
      <c r="AJ90" s="4189"/>
      <c r="AK90" s="4187">
        <f t="shared" si="97"/>
        <v>0</v>
      </c>
      <c r="AL90" s="4227"/>
      <c r="AM90" s="4186"/>
      <c r="AN90" s="4321"/>
      <c r="AO90" s="4188">
        <f t="shared" si="105"/>
        <v>0</v>
      </c>
      <c r="AP90" s="4189"/>
      <c r="AQ90" s="4187">
        <f t="shared" si="106"/>
        <v>0</v>
      </c>
      <c r="AR90" s="4227"/>
      <c r="AS90" s="4186"/>
      <c r="AT90" s="4189"/>
      <c r="AU90" s="4187">
        <f t="shared" si="107"/>
        <v>0</v>
      </c>
      <c r="AV90" s="4227"/>
      <c r="AW90" s="4186"/>
      <c r="AX90" s="4189"/>
      <c r="AY90" s="4187">
        <f t="shared" si="108"/>
        <v>0</v>
      </c>
      <c r="AZ90" s="4227"/>
      <c r="BA90" s="4186"/>
      <c r="BB90" s="4321"/>
      <c r="BC90" s="4188">
        <f t="shared" si="109"/>
        <v>0</v>
      </c>
      <c r="BD90" s="4191"/>
      <c r="BE90" s="4192">
        <f t="shared" si="89"/>
        <v>0</v>
      </c>
      <c r="BF90" s="4189"/>
      <c r="BG90" s="4187">
        <f t="shared" si="110"/>
        <v>0</v>
      </c>
      <c r="BH90" s="26">
        <f t="shared" si="88"/>
        <v>0</v>
      </c>
      <c r="BI90" s="580"/>
    </row>
    <row r="91" spans="1:61" ht="18" x14ac:dyDescent="0.35">
      <c r="A91" s="634"/>
      <c r="B91" s="634"/>
      <c r="C91" s="4184" t="s">
        <v>970</v>
      </c>
      <c r="D91" s="4184" t="s">
        <v>1015</v>
      </c>
      <c r="E91" s="6360"/>
      <c r="F91" s="4184"/>
      <c r="G91" s="4204"/>
      <c r="H91" s="4227"/>
      <c r="I91" s="4204"/>
      <c r="J91" s="4215"/>
      <c r="K91" s="4187">
        <f t="shared" si="90"/>
        <v>0</v>
      </c>
      <c r="L91" s="4227"/>
      <c r="M91" s="4204"/>
      <c r="N91" s="4216"/>
      <c r="O91" s="4188">
        <f t="shared" si="103"/>
        <v>0</v>
      </c>
      <c r="P91" s="4227"/>
      <c r="Q91" s="4227"/>
      <c r="R91" s="4198"/>
      <c r="S91" s="4187">
        <f t="shared" si="92"/>
        <v>0</v>
      </c>
      <c r="T91" s="4227"/>
      <c r="U91" s="4227"/>
      <c r="V91" s="4198"/>
      <c r="W91" s="4187">
        <f t="shared" si="93"/>
        <v>0</v>
      </c>
      <c r="X91" s="4190"/>
      <c r="Y91" s="4227"/>
      <c r="Z91" s="4216"/>
      <c r="AA91" s="4188">
        <f t="shared" si="104"/>
        <v>0</v>
      </c>
      <c r="AB91" s="4191"/>
      <c r="AC91" s="4192">
        <f t="shared" si="95"/>
        <v>0</v>
      </c>
      <c r="AD91" s="4227"/>
      <c r="AE91" s="4227"/>
      <c r="AF91" s="4198"/>
      <c r="AG91" s="4187">
        <f t="shared" si="96"/>
        <v>0</v>
      </c>
      <c r="AH91" s="4227"/>
      <c r="AI91" s="4227"/>
      <c r="AJ91" s="4198"/>
      <c r="AK91" s="4187">
        <f t="shared" si="97"/>
        <v>0</v>
      </c>
      <c r="AL91" s="4227"/>
      <c r="AM91" s="4227"/>
      <c r="AN91" s="4325"/>
      <c r="AO91" s="4188">
        <f t="shared" si="105"/>
        <v>0</v>
      </c>
      <c r="AP91" s="4198"/>
      <c r="AQ91" s="4187">
        <f t="shared" si="106"/>
        <v>0</v>
      </c>
      <c r="AR91" s="4227"/>
      <c r="AS91" s="4227"/>
      <c r="AT91" s="4198"/>
      <c r="AU91" s="4187">
        <f t="shared" si="107"/>
        <v>0</v>
      </c>
      <c r="AV91" s="4227"/>
      <c r="AW91" s="4227"/>
      <c r="AX91" s="4198"/>
      <c r="AY91" s="4187">
        <f t="shared" si="108"/>
        <v>0</v>
      </c>
      <c r="AZ91" s="4227"/>
      <c r="BA91" s="4227"/>
      <c r="BB91" s="4325"/>
      <c r="BC91" s="4188">
        <f t="shared" si="109"/>
        <v>0</v>
      </c>
      <c r="BD91" s="4191"/>
      <c r="BE91" s="4192">
        <f t="shared" si="89"/>
        <v>0</v>
      </c>
      <c r="BF91" s="4198"/>
      <c r="BG91" s="4187">
        <f t="shared" si="110"/>
        <v>0</v>
      </c>
      <c r="BH91" s="26">
        <f t="shared" si="88"/>
        <v>0</v>
      </c>
      <c r="BI91" s="580"/>
    </row>
    <row r="92" spans="1:61" ht="18" x14ac:dyDescent="0.35">
      <c r="C92" s="4184" t="s">
        <v>970</v>
      </c>
      <c r="D92" s="4184" t="s">
        <v>997</v>
      </c>
      <c r="E92" s="6360"/>
      <c r="F92" s="4184"/>
      <c r="G92" s="4204"/>
      <c r="H92" s="4227"/>
      <c r="I92" s="4204"/>
      <c r="J92" s="4215"/>
      <c r="K92" s="4187">
        <f t="shared" si="90"/>
        <v>0</v>
      </c>
      <c r="L92" s="4227"/>
      <c r="M92" s="4204"/>
      <c r="N92" s="4216"/>
      <c r="O92" s="4188">
        <f t="shared" si="103"/>
        <v>0</v>
      </c>
      <c r="P92" s="4227"/>
      <c r="Q92" s="4227"/>
      <c r="R92" s="4189"/>
      <c r="S92" s="4187">
        <f t="shared" si="92"/>
        <v>0</v>
      </c>
      <c r="T92" s="4227"/>
      <c r="U92" s="4227"/>
      <c r="V92" s="4189"/>
      <c r="W92" s="4187">
        <f t="shared" si="93"/>
        <v>0</v>
      </c>
      <c r="X92" s="4190"/>
      <c r="Y92" s="4227"/>
      <c r="Z92" s="4216"/>
      <c r="AA92" s="4188">
        <f t="shared" si="104"/>
        <v>0</v>
      </c>
      <c r="AB92" s="4191"/>
      <c r="AC92" s="4192">
        <f t="shared" si="95"/>
        <v>0</v>
      </c>
      <c r="AD92" s="4227"/>
      <c r="AE92" s="4227"/>
      <c r="AF92" s="4189"/>
      <c r="AG92" s="4187">
        <f t="shared" si="96"/>
        <v>0</v>
      </c>
      <c r="AH92" s="4227"/>
      <c r="AI92" s="4227"/>
      <c r="AJ92" s="4189"/>
      <c r="AK92" s="4187">
        <f t="shared" si="97"/>
        <v>0</v>
      </c>
      <c r="AL92" s="4227"/>
      <c r="AM92" s="4227"/>
      <c r="AN92" s="4325"/>
      <c r="AO92" s="4188">
        <f t="shared" si="105"/>
        <v>0</v>
      </c>
      <c r="AP92" s="4189"/>
      <c r="AQ92" s="4187">
        <f t="shared" si="106"/>
        <v>0</v>
      </c>
      <c r="AR92" s="4227"/>
      <c r="AS92" s="4227"/>
      <c r="AT92" s="4189"/>
      <c r="AU92" s="4187">
        <f t="shared" si="107"/>
        <v>0</v>
      </c>
      <c r="AV92" s="4227"/>
      <c r="AW92" s="4227"/>
      <c r="AX92" s="4189"/>
      <c r="AY92" s="4187">
        <f t="shared" si="108"/>
        <v>0</v>
      </c>
      <c r="AZ92" s="4227"/>
      <c r="BA92" s="4227"/>
      <c r="BB92" s="4325"/>
      <c r="BC92" s="4188">
        <f t="shared" si="109"/>
        <v>0</v>
      </c>
      <c r="BD92" s="4191"/>
      <c r="BE92" s="4192">
        <f t="shared" si="89"/>
        <v>0</v>
      </c>
      <c r="BF92" s="4189"/>
      <c r="BG92" s="4187">
        <f t="shared" si="110"/>
        <v>0</v>
      </c>
      <c r="BH92" s="26">
        <f t="shared" si="88"/>
        <v>0</v>
      </c>
      <c r="BI92" s="580"/>
    </row>
    <row r="93" spans="1:61" ht="18" x14ac:dyDescent="0.35">
      <c r="C93" s="6356" t="s">
        <v>1032</v>
      </c>
      <c r="D93" s="6356"/>
      <c r="E93" s="6360"/>
      <c r="F93" s="4199"/>
      <c r="G93" s="4200">
        <f t="shared" ref="G93:AM93" si="114">SUM(G80:G92)</f>
        <v>0</v>
      </c>
      <c r="H93" s="4200">
        <f t="shared" si="114"/>
        <v>0</v>
      </c>
      <c r="I93" s="4200">
        <f t="shared" si="114"/>
        <v>2283</v>
      </c>
      <c r="J93" s="4200">
        <f t="shared" si="114"/>
        <v>0</v>
      </c>
      <c r="K93" s="4201">
        <f t="shared" si="114"/>
        <v>2283</v>
      </c>
      <c r="L93" s="4200">
        <f t="shared" si="114"/>
        <v>0</v>
      </c>
      <c r="M93" s="4200">
        <f t="shared" si="114"/>
        <v>0</v>
      </c>
      <c r="N93" s="4200">
        <f t="shared" si="114"/>
        <v>0</v>
      </c>
      <c r="O93" s="4202">
        <f t="shared" si="114"/>
        <v>2283</v>
      </c>
      <c r="P93" s="4200">
        <f t="shared" si="114"/>
        <v>0</v>
      </c>
      <c r="Q93" s="4200">
        <f t="shared" si="114"/>
        <v>0</v>
      </c>
      <c r="R93" s="4200">
        <f t="shared" si="114"/>
        <v>0</v>
      </c>
      <c r="S93" s="4201">
        <f t="shared" si="114"/>
        <v>2283</v>
      </c>
      <c r="T93" s="4200">
        <f t="shared" si="114"/>
        <v>0</v>
      </c>
      <c r="U93" s="4200">
        <f t="shared" si="114"/>
        <v>5981.4560000000001</v>
      </c>
      <c r="V93" s="4200">
        <f t="shared" si="114"/>
        <v>0</v>
      </c>
      <c r="W93" s="4201">
        <f t="shared" si="114"/>
        <v>8264.4560000000001</v>
      </c>
      <c r="X93" s="4200">
        <f t="shared" si="114"/>
        <v>0</v>
      </c>
      <c r="Y93" s="4200">
        <f t="shared" si="114"/>
        <v>0</v>
      </c>
      <c r="Z93" s="4200">
        <f t="shared" si="114"/>
        <v>0</v>
      </c>
      <c r="AA93" s="4202">
        <f t="shared" si="114"/>
        <v>5981.4560000000001</v>
      </c>
      <c r="AB93" s="4200">
        <f t="shared" si="114"/>
        <v>0</v>
      </c>
      <c r="AC93" s="4203">
        <f t="shared" si="114"/>
        <v>8264.4560000000001</v>
      </c>
      <c r="AD93" s="4200">
        <f t="shared" si="114"/>
        <v>0</v>
      </c>
      <c r="AE93" s="4200">
        <f t="shared" si="114"/>
        <v>9050</v>
      </c>
      <c r="AF93" s="4200">
        <f t="shared" si="114"/>
        <v>0</v>
      </c>
      <c r="AG93" s="4201">
        <f t="shared" si="114"/>
        <v>17314.455999999998</v>
      </c>
      <c r="AH93" s="4200">
        <f t="shared" si="114"/>
        <v>0</v>
      </c>
      <c r="AI93" s="4200">
        <f t="shared" si="114"/>
        <v>0</v>
      </c>
      <c r="AJ93" s="4200">
        <f t="shared" si="114"/>
        <v>0</v>
      </c>
      <c r="AK93" s="4201">
        <f t="shared" si="114"/>
        <v>17314.455999999998</v>
      </c>
      <c r="AL93" s="4200">
        <f t="shared" si="114"/>
        <v>0</v>
      </c>
      <c r="AM93" s="4200">
        <f t="shared" si="114"/>
        <v>0</v>
      </c>
      <c r="AN93" s="4322"/>
      <c r="AO93" s="4202">
        <f t="shared" ref="AO93:BA93" si="115">SUM(AO80:AO92)</f>
        <v>9050</v>
      </c>
      <c r="AP93" s="4200">
        <f t="shared" si="115"/>
        <v>0</v>
      </c>
      <c r="AQ93" s="4201">
        <f t="shared" si="115"/>
        <v>17314.455999999998</v>
      </c>
      <c r="AR93" s="4200">
        <f t="shared" si="115"/>
        <v>0</v>
      </c>
      <c r="AS93" s="4200">
        <f t="shared" si="115"/>
        <v>5184.16</v>
      </c>
      <c r="AT93" s="4200">
        <f t="shared" si="115"/>
        <v>0</v>
      </c>
      <c r="AU93" s="4201">
        <f t="shared" si="115"/>
        <v>22498.616000000002</v>
      </c>
      <c r="AV93" s="4200">
        <f t="shared" si="115"/>
        <v>0</v>
      </c>
      <c r="AW93" s="4200">
        <f t="shared" si="115"/>
        <v>1223.6179999999999</v>
      </c>
      <c r="AX93" s="4200">
        <f t="shared" si="115"/>
        <v>0</v>
      </c>
      <c r="AY93" s="4201">
        <f t="shared" si="115"/>
        <v>23722.234</v>
      </c>
      <c r="AZ93" s="4200">
        <f t="shared" si="115"/>
        <v>0</v>
      </c>
      <c r="BA93" s="4200">
        <f t="shared" si="115"/>
        <v>2630.7839999999997</v>
      </c>
      <c r="BB93" s="4322"/>
      <c r="BC93" s="4202">
        <f>SUM(BC80:BC92)</f>
        <v>9038.5619999999999</v>
      </c>
      <c r="BD93" s="4200">
        <f>SUM(BD80:BD92)</f>
        <v>0</v>
      </c>
      <c r="BE93" s="4203">
        <f>SUM(BE80:BE92)</f>
        <v>18088.561999999998</v>
      </c>
      <c r="BF93" s="4200">
        <f>SUM(BF80:BF92)</f>
        <v>0</v>
      </c>
      <c r="BG93" s="4201">
        <f>SUM(BG80:BG92)</f>
        <v>26353.018</v>
      </c>
      <c r="BH93" s="26">
        <f t="shared" si="88"/>
        <v>0</v>
      </c>
      <c r="BI93" s="580"/>
    </row>
    <row r="94" spans="1:61" ht="18" x14ac:dyDescent="0.35">
      <c r="C94" s="6357" t="s">
        <v>971</v>
      </c>
      <c r="D94" s="6357"/>
      <c r="E94" s="6361"/>
      <c r="F94" s="4229"/>
      <c r="G94" s="4230">
        <f t="shared" ref="G94:AM94" si="116">+G93+G79+G54+G46+G38</f>
        <v>192607.2</v>
      </c>
      <c r="H94" s="4230">
        <f t="shared" si="116"/>
        <v>0</v>
      </c>
      <c r="I94" s="4230">
        <f t="shared" si="116"/>
        <v>217652.37900000007</v>
      </c>
      <c r="J94" s="4230">
        <f t="shared" si="116"/>
        <v>0</v>
      </c>
      <c r="K94" s="4201">
        <f t="shared" si="116"/>
        <v>410259.57900000009</v>
      </c>
      <c r="L94" s="4230">
        <f t="shared" si="116"/>
        <v>0</v>
      </c>
      <c r="M94" s="4230">
        <f t="shared" si="116"/>
        <v>221061.54800000004</v>
      </c>
      <c r="N94" s="4230">
        <f t="shared" si="116"/>
        <v>0</v>
      </c>
      <c r="O94" s="4202">
        <f t="shared" si="116"/>
        <v>631321.12700000009</v>
      </c>
      <c r="P94" s="4230">
        <f t="shared" si="116"/>
        <v>0</v>
      </c>
      <c r="Q94" s="4230">
        <f t="shared" si="116"/>
        <v>235746.92700000008</v>
      </c>
      <c r="R94" s="4230">
        <f t="shared" si="116"/>
        <v>0</v>
      </c>
      <c r="S94" s="4201">
        <f t="shared" si="116"/>
        <v>865432.05400000024</v>
      </c>
      <c r="T94" s="4230">
        <f t="shared" si="116"/>
        <v>0</v>
      </c>
      <c r="U94" s="4230">
        <f t="shared" si="116"/>
        <v>205603.01000000007</v>
      </c>
      <c r="V94" s="4230">
        <f t="shared" si="116"/>
        <v>0</v>
      </c>
      <c r="W94" s="4201">
        <f t="shared" si="116"/>
        <v>1071035.0640000002</v>
      </c>
      <c r="X94" s="4230">
        <f t="shared" si="116"/>
        <v>0</v>
      </c>
      <c r="Y94" s="4230">
        <f t="shared" si="116"/>
        <v>213093.25100000005</v>
      </c>
      <c r="Z94" s="4230">
        <f t="shared" si="116"/>
        <v>0</v>
      </c>
      <c r="AA94" s="4202">
        <f t="shared" si="116"/>
        <v>654443.1880000002</v>
      </c>
      <c r="AB94" s="4230">
        <f t="shared" si="116"/>
        <v>0</v>
      </c>
      <c r="AC94" s="4203">
        <f t="shared" si="116"/>
        <v>1285764.3150000004</v>
      </c>
      <c r="AD94" s="4230">
        <f t="shared" si="116"/>
        <v>0</v>
      </c>
      <c r="AE94" s="4230">
        <f t="shared" si="116"/>
        <v>168353.97200000007</v>
      </c>
      <c r="AF94" s="4230">
        <f t="shared" si="116"/>
        <v>0</v>
      </c>
      <c r="AG94" s="4201">
        <f t="shared" si="116"/>
        <v>1454118.2870000005</v>
      </c>
      <c r="AH94" s="4230">
        <f t="shared" si="116"/>
        <v>0</v>
      </c>
      <c r="AI94" s="4230">
        <f t="shared" si="116"/>
        <v>209786.72300000006</v>
      </c>
      <c r="AJ94" s="4230">
        <f t="shared" si="116"/>
        <v>0</v>
      </c>
      <c r="AK94" s="4201">
        <f t="shared" si="116"/>
        <v>1663905.0100000005</v>
      </c>
      <c r="AL94" s="4230">
        <f t="shared" si="116"/>
        <v>0</v>
      </c>
      <c r="AM94" s="4230">
        <f t="shared" si="116"/>
        <v>222638.65500000014</v>
      </c>
      <c r="AN94" s="4326"/>
      <c r="AO94" s="4202">
        <f t="shared" ref="AO94:BA94" si="117">+AO93+AO79+AO54+AO46+AO38</f>
        <v>600779.35000000033</v>
      </c>
      <c r="AP94" s="4230">
        <f t="shared" si="117"/>
        <v>0</v>
      </c>
      <c r="AQ94" s="4201">
        <f t="shared" si="117"/>
        <v>1886543.6650000005</v>
      </c>
      <c r="AR94" s="4230">
        <f t="shared" si="117"/>
        <v>0</v>
      </c>
      <c r="AS94" s="4230">
        <f t="shared" si="117"/>
        <v>213242.23800000013</v>
      </c>
      <c r="AT94" s="4230">
        <f t="shared" si="117"/>
        <v>0</v>
      </c>
      <c r="AU94" s="4201">
        <f t="shared" si="117"/>
        <v>2099785.9030000004</v>
      </c>
      <c r="AV94" s="4230">
        <f t="shared" si="117"/>
        <v>0</v>
      </c>
      <c r="AW94" s="4230">
        <f t="shared" si="117"/>
        <v>179683.87200000012</v>
      </c>
      <c r="AX94" s="4230">
        <f t="shared" si="117"/>
        <v>0</v>
      </c>
      <c r="AY94" s="4201">
        <f t="shared" si="117"/>
        <v>2279469.7750000008</v>
      </c>
      <c r="AZ94" s="4230">
        <f t="shared" si="117"/>
        <v>0</v>
      </c>
      <c r="BA94" s="4230">
        <f t="shared" si="117"/>
        <v>226702.55900000001</v>
      </c>
      <c r="BB94" s="4326"/>
      <c r="BC94" s="4202">
        <f>+BC93+BC79+BC54+BC46+BC38</f>
        <v>619628.66900000023</v>
      </c>
      <c r="BD94" s="4230">
        <f>+BD93+BD79+BD54+BD46+BD38</f>
        <v>0</v>
      </c>
      <c r="BE94" s="4203">
        <f>+BE93+BE79+BE54+BE46+BE38</f>
        <v>1220408.0190000006</v>
      </c>
      <c r="BF94" s="4230">
        <f>+BF93+BF79+BF54+BF46+BF38</f>
        <v>0</v>
      </c>
      <c r="BG94" s="4201">
        <f>+BG93+BG79+BG54+BG46+BG38</f>
        <v>2506172.3340000007</v>
      </c>
      <c r="BH94" s="26">
        <f t="shared" si="88"/>
        <v>0</v>
      </c>
      <c r="BI94" s="580"/>
    </row>
    <row r="95" spans="1:61" ht="18" x14ac:dyDescent="0.35">
      <c r="C95" s="6355" t="s">
        <v>972</v>
      </c>
      <c r="D95" s="6355"/>
      <c r="E95" s="4231" t="s">
        <v>973</v>
      </c>
      <c r="F95" s="4184"/>
      <c r="G95" s="4788">
        <f>+G94/G97</f>
        <v>0.96885908531752973</v>
      </c>
      <c r="H95" s="4232">
        <f t="shared" ref="H95:AK95" si="118">+H94/H97</f>
        <v>0</v>
      </c>
      <c r="I95" s="4788">
        <f t="shared" si="118"/>
        <v>0.95335050507686125</v>
      </c>
      <c r="J95" s="4788">
        <f t="shared" si="118"/>
        <v>0</v>
      </c>
      <c r="K95" s="4829">
        <f t="shared" si="118"/>
        <v>0.96056911931382782</v>
      </c>
      <c r="L95" s="4232">
        <f t="shared" si="118"/>
        <v>0</v>
      </c>
      <c r="M95" s="4232">
        <f t="shared" si="118"/>
        <v>0.970019175318518</v>
      </c>
      <c r="N95" s="4232">
        <f t="shared" si="118"/>
        <v>0</v>
      </c>
      <c r="O95" s="4916">
        <f t="shared" si="118"/>
        <v>0.96385710258003421</v>
      </c>
      <c r="P95" s="4788">
        <f t="shared" si="118"/>
        <v>0</v>
      </c>
      <c r="Q95" s="4232">
        <f t="shared" si="118"/>
        <v>0.96929923093953663</v>
      </c>
      <c r="R95" s="4788">
        <f t="shared" si="118"/>
        <v>0</v>
      </c>
      <c r="S95" s="4829">
        <f t="shared" si="118"/>
        <v>0.96350929973143518</v>
      </c>
      <c r="T95" s="4232">
        <f t="shared" si="118"/>
        <v>0</v>
      </c>
      <c r="U95" s="4232">
        <f t="shared" si="118"/>
        <v>0.93871710698489919</v>
      </c>
      <c r="V95" s="4232">
        <f t="shared" si="118"/>
        <v>0</v>
      </c>
      <c r="W95" s="4233">
        <f t="shared" si="118"/>
        <v>0.95864897152523765</v>
      </c>
      <c r="X95" s="4232">
        <f t="shared" si="118"/>
        <v>0</v>
      </c>
      <c r="Y95" s="4232">
        <f t="shared" si="118"/>
        <v>0.95638181822253732</v>
      </c>
      <c r="Z95" s="4232">
        <f t="shared" si="118"/>
        <v>0</v>
      </c>
      <c r="AA95" s="4364">
        <f t="shared" si="118"/>
        <v>0.95532010201292905</v>
      </c>
      <c r="AB95" s="4232">
        <f t="shared" si="118"/>
        <v>0</v>
      </c>
      <c r="AC95" s="4234">
        <f t="shared" si="118"/>
        <v>0.95949286157683711</v>
      </c>
      <c r="AD95" s="4232">
        <f t="shared" si="118"/>
        <v>0</v>
      </c>
      <c r="AE95" s="4232">
        <f t="shared" si="118"/>
        <v>0.95410784373076263</v>
      </c>
      <c r="AF95" s="4232">
        <f t="shared" si="118"/>
        <v>0</v>
      </c>
      <c r="AG95" s="4233">
        <f t="shared" si="118"/>
        <v>0.95886628903046867</v>
      </c>
      <c r="AH95" s="4232">
        <f t="shared" si="118"/>
        <v>0</v>
      </c>
      <c r="AI95" s="4232">
        <f t="shared" si="118"/>
        <v>0.9781404139863179</v>
      </c>
      <c r="AJ95" s="4232">
        <f t="shared" si="118"/>
        <v>0</v>
      </c>
      <c r="AK95" s="4233">
        <f t="shared" si="118"/>
        <v>0.96125443734226734</v>
      </c>
      <c r="AL95" s="4232">
        <f t="shared" ref="AL95:AQ95" si="119">+AL94/AL97</f>
        <v>0</v>
      </c>
      <c r="AM95" s="4232">
        <f t="shared" si="119"/>
        <v>0.96104830093304561</v>
      </c>
      <c r="AN95" s="4327"/>
      <c r="AO95" s="4364">
        <f t="shared" ref="AO95" si="120">+AO94/AO97</f>
        <v>0.96496930826328853</v>
      </c>
      <c r="AP95" s="4232">
        <f t="shared" si="119"/>
        <v>0</v>
      </c>
      <c r="AQ95" s="4233">
        <f t="shared" si="119"/>
        <v>0.96123010574811418</v>
      </c>
      <c r="AR95" s="4232">
        <f t="shared" ref="AR95:AU95" si="121">+AR94/AR97</f>
        <v>0</v>
      </c>
      <c r="AS95" s="4232">
        <f t="shared" si="121"/>
        <v>0.94959127747489103</v>
      </c>
      <c r="AT95" s="4232">
        <f t="shared" si="121"/>
        <v>0</v>
      </c>
      <c r="AU95" s="4233">
        <f t="shared" si="121"/>
        <v>0.96003513331547774</v>
      </c>
      <c r="AV95" s="4232">
        <f t="shared" ref="AV95:AY95" si="122">+AV94/AV97</f>
        <v>0</v>
      </c>
      <c r="AW95" s="4232">
        <f t="shared" si="122"/>
        <v>0.97548026193947091</v>
      </c>
      <c r="AX95" s="4232">
        <f t="shared" si="122"/>
        <v>0</v>
      </c>
      <c r="AY95" s="4233">
        <f t="shared" si="122"/>
        <v>0.96123484754413935</v>
      </c>
      <c r="AZ95" s="4232">
        <f t="shared" ref="AZ95:BG95" si="123">+AZ94/AZ97</f>
        <v>0</v>
      </c>
      <c r="BA95" s="4232">
        <f t="shared" si="123"/>
        <v>0.97158422090464358</v>
      </c>
      <c r="BB95" s="4327"/>
      <c r="BC95" s="4364">
        <f t="shared" ref="BC95:BE95" si="124">+BC94/BC97</f>
        <v>0.9650102296863996</v>
      </c>
      <c r="BD95" s="4232">
        <f t="shared" si="124"/>
        <v>0</v>
      </c>
      <c r="BE95" s="4234">
        <f t="shared" si="124"/>
        <v>0.96499008455877233</v>
      </c>
      <c r="BF95" s="4232">
        <f t="shared" si="123"/>
        <v>0</v>
      </c>
      <c r="BG95" s="4233">
        <f t="shared" si="123"/>
        <v>0.96216194901564189</v>
      </c>
      <c r="BH95" s="26">
        <f t="shared" si="88"/>
        <v>10.584417291813372</v>
      </c>
      <c r="BI95" s="580"/>
    </row>
    <row r="96" spans="1:61" ht="18" x14ac:dyDescent="0.35">
      <c r="E96"/>
      <c r="K96"/>
      <c r="O96"/>
      <c r="S96"/>
      <c r="W96"/>
      <c r="X96"/>
      <c r="Y96"/>
      <c r="AA96"/>
      <c r="AB96"/>
      <c r="AC96"/>
      <c r="AG96"/>
      <c r="AK96"/>
      <c r="BH96" s="26">
        <f t="shared" si="88"/>
        <v>0</v>
      </c>
      <c r="BI96" s="580"/>
    </row>
    <row r="97" spans="1:61" s="4292" customFormat="1" ht="20.399999999999999" x14ac:dyDescent="0.35">
      <c r="C97" s="6351" t="s">
        <v>1030</v>
      </c>
      <c r="D97" s="6352"/>
      <c r="E97" s="4293" t="s">
        <v>66</v>
      </c>
      <c r="F97" s="4294">
        <f>+'Maj Production Summ'!E37</f>
        <v>228999.81536860339</v>
      </c>
      <c r="G97" s="4294">
        <f>+'Maj Production Summ'!F37</f>
        <v>198797.95</v>
      </c>
      <c r="H97" s="4294">
        <f>+'Maj Production Summ'!G37</f>
        <v>236499.57667165709</v>
      </c>
      <c r="I97" s="4294">
        <f>+'Maj Production Summ'!H37</f>
        <v>228302.57900000006</v>
      </c>
      <c r="J97" s="4294">
        <f>+'Maj Production Summ'!I37</f>
        <v>465499.39204026049</v>
      </c>
      <c r="K97" s="4294">
        <f>+'Maj Production Summ'!J37</f>
        <v>427100.5290000001</v>
      </c>
      <c r="L97" s="4294">
        <f>+'Maj Production Summ'!K37</f>
        <v>229000.11088311521</v>
      </c>
      <c r="M97" s="4294">
        <f>+'Maj Production Summ'!L37</f>
        <v>227893.99800000005</v>
      </c>
      <c r="N97" s="4294">
        <f>+'Maj Production Summ'!M37</f>
        <v>694499.50292337569</v>
      </c>
      <c r="O97" s="4294">
        <f>+'Maj Production Summ'!N37</f>
        <v>654994.52700000012</v>
      </c>
      <c r="P97" s="4294">
        <f>+'Maj Production Summ'!O37</f>
        <v>231500.1413553209</v>
      </c>
      <c r="Q97" s="4294">
        <f>+'Maj Production Summ'!P37</f>
        <v>243213.77700000012</v>
      </c>
      <c r="R97" s="4294">
        <f>+'Maj Production Summ'!Q37</f>
        <v>925999.64427869662</v>
      </c>
      <c r="S97" s="4294">
        <f>+'Maj Production Summ'!R37</f>
        <v>898208.30400000024</v>
      </c>
      <c r="T97" s="4294">
        <f>+'Maj Production Summ'!S37</f>
        <v>231500.1413553209</v>
      </c>
      <c r="U97" s="4294">
        <f>+'Maj Production Summ'!T37</f>
        <v>219025.52800000005</v>
      </c>
      <c r="V97" s="4294">
        <f>+'Maj Production Summ'!U37</f>
        <v>1157499.7856340175</v>
      </c>
      <c r="W97" s="4294">
        <f>+'Maj Production Summ'!V37</f>
        <v>1117233.8320000002</v>
      </c>
      <c r="X97" s="4294">
        <f>+'Maj Production Summ'!W37</f>
        <v>121300.0147648532</v>
      </c>
      <c r="Y97" s="4294">
        <f>+'Maj Production Summ'!X37</f>
        <v>222811.90100000007</v>
      </c>
      <c r="Z97" s="4294">
        <f>+'Maj Production Summ'!Y37</f>
        <v>584300.29747549503</v>
      </c>
      <c r="AA97" s="4294">
        <f>+'Maj Production Summ'!Z37</f>
        <v>685051.20600000012</v>
      </c>
      <c r="AB97" s="4294">
        <f>+'Maj Production Summ'!AA37</f>
        <v>1278799.8003988706</v>
      </c>
      <c r="AC97" s="4294">
        <f>+'Maj Production Summ'!AB37</f>
        <v>1340045.7330000002</v>
      </c>
      <c r="AD97" s="4294">
        <f>+'Maj Production Summ'!AC37</f>
        <v>236499.5281597563</v>
      </c>
      <c r="AE97" s="4294">
        <f>+'Maj Production Summ'!AD37</f>
        <v>176451.7220000001</v>
      </c>
      <c r="AF97" s="4294">
        <f>+'Maj Production Summ'!AE37</f>
        <v>1515299.3285586271</v>
      </c>
      <c r="AG97" s="4294">
        <f>+'Maj Production Summ'!AF37</f>
        <v>1516497.4550000003</v>
      </c>
      <c r="AH97" s="4294">
        <f>+'Maj Production Summ'!AG37</f>
        <v>228999.58845567459</v>
      </c>
      <c r="AI97" s="4294">
        <f>+'Maj Production Summ'!AH37</f>
        <v>214475.0590000001</v>
      </c>
      <c r="AJ97" s="4294">
        <f>+'Maj Production Summ'!AI37</f>
        <v>1744298.9170143015</v>
      </c>
      <c r="AK97" s="4294">
        <f>+'Maj Production Summ'!AJ37</f>
        <v>1730972.5140000004</v>
      </c>
      <c r="AL97" s="4294">
        <f>+'Maj Production Summ'!AK37</f>
        <v>236500.05424421642</v>
      </c>
      <c r="AM97" s="4294">
        <f>+'Maj Production Summ'!AL37</f>
        <v>231662.29500000016</v>
      </c>
      <c r="AN97" s="4328"/>
      <c r="AO97" s="4294">
        <f>+'Maj Production Summ'!AN37</f>
        <v>622589.07600000035</v>
      </c>
      <c r="AP97" s="4294">
        <f>+'Maj Production Summ'!AM37</f>
        <v>701999.17085964722</v>
      </c>
      <c r="AQ97" s="4294">
        <f>+'Maj Production Summ'!AP37</f>
        <v>1962634.8090000006</v>
      </c>
      <c r="AR97" s="4294">
        <f>+'Maj Production Summ'!AQ37</f>
        <v>239999.66467846395</v>
      </c>
      <c r="AS97" s="4294">
        <f>+'Maj Production Summ'!AR37</f>
        <v>224562.12800000014</v>
      </c>
      <c r="AT97" s="4294">
        <f>+'Maj Production Summ'!AS37</f>
        <v>2220798.635936982</v>
      </c>
      <c r="AU97" s="4294">
        <f>+'Maj Production Summ'!AT37</f>
        <v>2187196.9370000008</v>
      </c>
      <c r="AV97" s="4294">
        <f>+'Maj Production Summ'!AU37</f>
        <v>214000.01042920374</v>
      </c>
      <c r="AW97" s="4294">
        <f>+'Maj Production Summ'!AV37</f>
        <v>184200.41800000009</v>
      </c>
      <c r="AX97" s="4294">
        <f>+'Maj Production Summ'!AW37</f>
        <v>2434798.6463661855</v>
      </c>
      <c r="AY97" s="4294">
        <f>+'Maj Production Summ'!AX37</f>
        <v>2371397.3550000004</v>
      </c>
      <c r="AZ97" s="4294">
        <f>+'Maj Production Summ'!AY37</f>
        <v>239999.69076292397</v>
      </c>
      <c r="BA97" s="4294">
        <f>+'Maj Production Summ'!AZ37</f>
        <v>233332.89499999999</v>
      </c>
      <c r="BB97" s="4328"/>
      <c r="BC97" s="4294">
        <f>+'Maj Production Summ'!BB37</f>
        <v>642095.44100000022</v>
      </c>
      <c r="BD97" s="4294">
        <f>+'Maj Production Summ'!BC37</f>
        <v>1395998.5367302389</v>
      </c>
      <c r="BE97" s="4294">
        <f>+'Maj Production Summ'!BD37</f>
        <v>1264684.5170000005</v>
      </c>
      <c r="BF97" s="4294">
        <f>+'Maj Production Summ'!BE37</f>
        <v>2674798.3371291095</v>
      </c>
      <c r="BG97" s="4294">
        <f>+'Maj Production Summ'!BF37</f>
        <v>2604730.2500000005</v>
      </c>
      <c r="BH97" s="26">
        <f t="shared" si="88"/>
        <v>0</v>
      </c>
      <c r="BI97" s="580"/>
    </row>
    <row r="98" spans="1:61" ht="18.600000000000001" thickBot="1" x14ac:dyDescent="0.4">
      <c r="E98"/>
      <c r="K98"/>
      <c r="O98"/>
      <c r="S98"/>
      <c r="W98"/>
      <c r="X98"/>
      <c r="Y98"/>
      <c r="AA98"/>
      <c r="AB98"/>
      <c r="AC98"/>
      <c r="AG98"/>
      <c r="AK98"/>
      <c r="BH98" s="26">
        <f t="shared" si="88"/>
        <v>0</v>
      </c>
      <c r="BI98" s="580"/>
    </row>
    <row r="99" spans="1:61" ht="15.75" hidden="1" customHeight="1" thickBot="1" x14ac:dyDescent="0.35">
      <c r="C99" s="4189"/>
      <c r="D99" s="4189"/>
      <c r="E99" s="4240"/>
      <c r="F99" s="4189"/>
      <c r="G99" s="4189"/>
      <c r="H99" s="4189"/>
      <c r="I99" s="4189"/>
      <c r="J99" s="4189"/>
      <c r="K99" s="4236"/>
      <c r="L99" s="4189"/>
      <c r="M99" s="4189"/>
      <c r="N99" s="4189"/>
      <c r="O99" s="4237"/>
      <c r="P99" s="4189"/>
      <c r="Q99" s="4189"/>
      <c r="R99" s="4189"/>
      <c r="S99" s="4236"/>
      <c r="T99" s="4189"/>
      <c r="U99" s="4189"/>
      <c r="V99" s="4189"/>
      <c r="W99" s="4236"/>
      <c r="X99" s="4235"/>
      <c r="Y99" s="4189"/>
      <c r="Z99" s="4189"/>
      <c r="AA99" s="4237"/>
      <c r="AB99" s="4238"/>
      <c r="AC99" s="4238"/>
      <c r="AD99" s="4189"/>
      <c r="AE99" s="4189"/>
      <c r="AF99" s="4189"/>
      <c r="AG99" s="4236"/>
      <c r="AH99" s="4189"/>
      <c r="AI99" s="4189"/>
      <c r="AJ99" s="4189"/>
      <c r="AK99" s="4236"/>
      <c r="AL99" s="4189"/>
      <c r="AM99" s="4189"/>
      <c r="AN99" s="4189"/>
      <c r="AO99" s="4189"/>
      <c r="AP99" s="4189"/>
      <c r="AQ99" s="4236"/>
      <c r="AR99" s="4189"/>
      <c r="AS99" s="4189"/>
      <c r="AT99" s="4189"/>
      <c r="AU99" s="4236"/>
      <c r="AV99" s="4189"/>
      <c r="AW99" s="4189"/>
      <c r="AX99" s="4189"/>
      <c r="AY99" s="4236"/>
      <c r="AZ99" s="4189"/>
      <c r="BA99" s="4189"/>
      <c r="BB99" s="4189"/>
      <c r="BC99" s="4189"/>
      <c r="BD99" s="4238"/>
      <c r="BE99" s="4238"/>
      <c r="BF99" s="4189"/>
      <c r="BG99" s="4236"/>
      <c r="BH99" s="26">
        <f t="shared" si="88"/>
        <v>0</v>
      </c>
      <c r="BI99" s="26"/>
    </row>
    <row r="100" spans="1:61" ht="15.75" hidden="1" customHeight="1" thickBot="1" x14ac:dyDescent="0.35">
      <c r="C100" s="4189"/>
      <c r="D100" s="4189" t="s">
        <v>1427</v>
      </c>
      <c r="E100" s="4240"/>
      <c r="F100" s="4189"/>
      <c r="G100" s="4198">
        <f>+'Maj Production Summ'!F34</f>
        <v>45616.58799999996</v>
      </c>
      <c r="H100" s="4198"/>
      <c r="I100" s="4198">
        <f>+'Maj Production Summ'!H34</f>
        <v>52556</v>
      </c>
      <c r="J100" s="4198"/>
      <c r="K100" s="4241">
        <f>+G100+I100</f>
        <v>98172.58799999996</v>
      </c>
      <c r="L100" s="4198"/>
      <c r="M100" s="4198">
        <f>+'Maj Production Summ'!L34</f>
        <v>56218</v>
      </c>
      <c r="N100" s="4189"/>
      <c r="O100" s="4242">
        <f t="shared" ref="O100:O102" si="125">+G100+I100+M100</f>
        <v>154390.58799999996</v>
      </c>
      <c r="P100" s="4198"/>
      <c r="Q100" s="4198">
        <f>+'Maj Production Summ'!P34</f>
        <v>50303</v>
      </c>
      <c r="R100" s="4189"/>
      <c r="S100" s="4241">
        <f>+O100+Q100</f>
        <v>204693.58799999996</v>
      </c>
      <c r="T100" s="4198"/>
      <c r="U100" s="4198">
        <f>+'Maj Production Summ'!S34</f>
        <v>43500.141355320899</v>
      </c>
      <c r="V100" s="4189"/>
      <c r="W100" s="4241">
        <f>+R100+U100</f>
        <v>43500.141355320899</v>
      </c>
      <c r="X100" s="4243"/>
      <c r="Y100" s="4198">
        <f>+'Maj Production Summ'!W34</f>
        <v>15300.0147648532</v>
      </c>
      <c r="Z100" s="4189"/>
      <c r="AA100" s="4242">
        <f t="shared" ref="AA100:AA102" si="126">+R100+T100+Y100</f>
        <v>15300.0147648532</v>
      </c>
      <c r="AB100" s="4244"/>
      <c r="AC100" s="4238"/>
      <c r="AD100" s="4198"/>
      <c r="AE100" s="4198">
        <f>+'Maj Production Summ'!AA34</f>
        <v>247299.80039887069</v>
      </c>
      <c r="AF100" s="4189"/>
      <c r="AG100" s="4241">
        <f>+AA100+AE100</f>
        <v>262599.81516372389</v>
      </c>
      <c r="AH100" s="4198"/>
      <c r="AI100" s="4198">
        <f>+'Maj Production Summ'!AE34</f>
        <v>296299.32855862699</v>
      </c>
      <c r="AJ100" s="4189"/>
      <c r="AK100" s="4241">
        <f>+AE100+AI100</f>
        <v>543599.12895749765</v>
      </c>
      <c r="AL100" s="4198"/>
      <c r="AM100" s="4198">
        <f>+'Maj Production Summ'!AI34</f>
        <v>341798.91701430158</v>
      </c>
      <c r="AN100" s="4198"/>
      <c r="AO100" s="4198"/>
      <c r="AP100" s="4189"/>
      <c r="AQ100" s="4241">
        <f>+AI100+AM100</f>
        <v>638098.24557292857</v>
      </c>
      <c r="AR100" s="4198"/>
      <c r="AS100" s="4198">
        <f>+'Maj Production Summ'!AO34</f>
        <v>387798.971258518</v>
      </c>
      <c r="AT100" s="4189"/>
      <c r="AU100" s="4241">
        <f>+AO100+AS100</f>
        <v>387798.971258518</v>
      </c>
      <c r="AV100" s="4198"/>
      <c r="AW100" s="4198">
        <f>+'Maj Production Summ'!AS34</f>
        <v>436298.63593698194</v>
      </c>
      <c r="AX100" s="4189"/>
      <c r="AY100" s="4241">
        <f>+AS100+AW100</f>
        <v>824097.60719549994</v>
      </c>
      <c r="AZ100" s="4198"/>
      <c r="BA100" s="4198">
        <f>+'Maj Production Summ'!AW34</f>
        <v>477798.64636618568</v>
      </c>
      <c r="BB100" s="4198"/>
      <c r="BC100" s="4198"/>
      <c r="BD100" s="4244"/>
      <c r="BE100" s="4238"/>
      <c r="BF100" s="4189"/>
      <c r="BG100" s="4241">
        <f>+AW100+BA100</f>
        <v>914097.28230316762</v>
      </c>
      <c r="BH100" s="26">
        <f t="shared" si="88"/>
        <v>1536690.7613504915</v>
      </c>
      <c r="BI100" s="26"/>
    </row>
    <row r="101" spans="1:61" ht="15.75" hidden="1" customHeight="1" thickBot="1" x14ac:dyDescent="0.35">
      <c r="C101" s="4189"/>
      <c r="D101" s="4189" t="s">
        <v>1428</v>
      </c>
      <c r="E101" s="4240"/>
      <c r="F101" s="4189"/>
      <c r="G101" s="4198">
        <f>+SMS!F36</f>
        <v>144</v>
      </c>
      <c r="H101" s="4189"/>
      <c r="I101" s="4198">
        <f>+SMS!H36</f>
        <v>154</v>
      </c>
      <c r="J101" s="4189"/>
      <c r="K101" s="4241">
        <f>+G101+I101</f>
        <v>298</v>
      </c>
      <c r="L101" s="4189"/>
      <c r="M101" s="4198">
        <f>+SMS!L36</f>
        <v>56</v>
      </c>
      <c r="N101" s="4189"/>
      <c r="O101" s="4242">
        <f t="shared" si="125"/>
        <v>354</v>
      </c>
      <c r="P101" s="4189"/>
      <c r="Q101" s="4198">
        <f>+SMS!P36</f>
        <v>26</v>
      </c>
      <c r="R101" s="4189"/>
      <c r="S101" s="4241">
        <f t="shared" ref="S101:S102" si="127">+O101+Q101</f>
        <v>380</v>
      </c>
      <c r="T101" s="4189"/>
      <c r="U101" s="4198">
        <f>+SMS!S36</f>
        <v>0</v>
      </c>
      <c r="V101" s="4189"/>
      <c r="W101" s="4241">
        <f t="shared" ref="W101:W102" si="128">+R101+U101</f>
        <v>0</v>
      </c>
      <c r="X101" s="4243"/>
      <c r="Y101" s="4198">
        <f>+SMS!W36</f>
        <v>0</v>
      </c>
      <c r="Z101" s="4189"/>
      <c r="AA101" s="4242">
        <f t="shared" si="126"/>
        <v>0</v>
      </c>
      <c r="AB101" s="4244"/>
      <c r="AC101" s="4238"/>
      <c r="AD101" s="4189"/>
      <c r="AE101" s="4198">
        <f>+SMS!AA36</f>
        <v>0</v>
      </c>
      <c r="AF101" s="4189"/>
      <c r="AG101" s="4241">
        <f t="shared" ref="AG101:AG102" si="129">+AA101+AE101</f>
        <v>0</v>
      </c>
      <c r="AH101" s="4189"/>
      <c r="AI101" s="4198">
        <f>+SMS!AE36</f>
        <v>0</v>
      </c>
      <c r="AJ101" s="4189"/>
      <c r="AK101" s="4241">
        <f t="shared" ref="AK101:AK102" si="130">+AE101+AI101</f>
        <v>0</v>
      </c>
      <c r="AL101" s="4189"/>
      <c r="AM101" s="4198">
        <f>+SMS!AI36</f>
        <v>0</v>
      </c>
      <c r="AN101" s="4198"/>
      <c r="AO101" s="4198"/>
      <c r="AP101" s="4189"/>
      <c r="AQ101" s="4241">
        <f>+AI101+AM101</f>
        <v>0</v>
      </c>
      <c r="AR101" s="4189"/>
      <c r="AS101" s="4198">
        <f>+SMS!AO36</f>
        <v>0</v>
      </c>
      <c r="AT101" s="4189"/>
      <c r="AU101" s="4241">
        <f t="shared" ref="AU101:AU102" si="131">+AO101+AS101</f>
        <v>0</v>
      </c>
      <c r="AV101" s="4189"/>
      <c r="AW101" s="4198">
        <f>+SMS!AS36</f>
        <v>0</v>
      </c>
      <c r="AX101" s="4189"/>
      <c r="AY101" s="4241">
        <f t="shared" ref="AY101:AY102" si="132">+AS101+AW101</f>
        <v>0</v>
      </c>
      <c r="AZ101" s="4189"/>
      <c r="BA101" s="4198">
        <f>+SMS!AW36</f>
        <v>0</v>
      </c>
      <c r="BB101" s="4198"/>
      <c r="BC101" s="4198"/>
      <c r="BD101" s="4244"/>
      <c r="BE101" s="4238"/>
      <c r="BF101" s="4189"/>
      <c r="BG101" s="4241">
        <f t="shared" ref="BG101:BG102" si="133">+AW101+BA101</f>
        <v>0</v>
      </c>
      <c r="BH101" s="26">
        <f t="shared" si="88"/>
        <v>380</v>
      </c>
      <c r="BI101" s="26"/>
    </row>
    <row r="102" spans="1:61" ht="15.75" hidden="1" customHeight="1" thickBot="1" x14ac:dyDescent="0.35">
      <c r="C102" s="4189"/>
      <c r="D102" s="4189" t="s">
        <v>1429</v>
      </c>
      <c r="E102" s="4240"/>
      <c r="F102" s="4189"/>
      <c r="G102" s="4198" t="e">
        <f>+SUM('GRD SUMM RCL 150X150 '!#REF!)</f>
        <v>#REF!</v>
      </c>
      <c r="H102" s="4189"/>
      <c r="I102" s="4198" t="e">
        <f>+SUM('GRD SUMM RCL 150X150 '!#REF!)</f>
        <v>#REF!</v>
      </c>
      <c r="J102" s="4189"/>
      <c r="K102" s="4241" t="e">
        <f>+G102+I102</f>
        <v>#REF!</v>
      </c>
      <c r="L102" s="4189"/>
      <c r="M102" s="4198" t="e">
        <f>+SUM('GRD SUMM RCL 150X150 '!#REF!)</f>
        <v>#REF!</v>
      </c>
      <c r="N102" s="4189"/>
      <c r="O102" s="4242" t="e">
        <f t="shared" si="125"/>
        <v>#REF!</v>
      </c>
      <c r="P102" s="4189"/>
      <c r="Q102" s="4198" t="e">
        <f>+SUM('GRD SUMM RCL 150X150 '!#REF!)</f>
        <v>#REF!</v>
      </c>
      <c r="R102" s="4189"/>
      <c r="S102" s="4241" t="e">
        <f t="shared" si="127"/>
        <v>#REF!</v>
      </c>
      <c r="T102" s="4189"/>
      <c r="U102" s="4198" t="e">
        <f>+SUM('GRD SUMM RCL 150X150 '!#REF!)</f>
        <v>#REF!</v>
      </c>
      <c r="V102" s="4189"/>
      <c r="W102" s="4241" t="e">
        <f t="shared" si="128"/>
        <v>#REF!</v>
      </c>
      <c r="X102" s="4243"/>
      <c r="Y102" s="4198" t="e">
        <f>+SUM('GRD SUMM RCL 150X150 '!#REF!)</f>
        <v>#REF!</v>
      </c>
      <c r="Z102" s="4189"/>
      <c r="AA102" s="4242" t="e">
        <f t="shared" si="126"/>
        <v>#REF!</v>
      </c>
      <c r="AB102" s="4244"/>
      <c r="AC102" s="4238"/>
      <c r="AD102" s="4189"/>
      <c r="AE102" s="4198" t="e">
        <f>+SUM('GRD SUMM RCL 150X150 '!#REF!)</f>
        <v>#REF!</v>
      </c>
      <c r="AF102" s="4189"/>
      <c r="AG102" s="4241" t="e">
        <f t="shared" si="129"/>
        <v>#REF!</v>
      </c>
      <c r="AH102" s="4189"/>
      <c r="AI102" s="4198" t="e">
        <f>+SUM('GRD SUMM RCL 150X150 '!#REF!)</f>
        <v>#REF!</v>
      </c>
      <c r="AJ102" s="4189"/>
      <c r="AK102" s="4241" t="e">
        <f t="shared" si="130"/>
        <v>#REF!</v>
      </c>
      <c r="AL102" s="4189"/>
      <c r="AM102" s="4198" t="e">
        <f>+SUM('GRD SUMM RCL 150X150 '!#REF!)</f>
        <v>#REF!</v>
      </c>
      <c r="AN102" s="4198"/>
      <c r="AO102" s="4198"/>
      <c r="AP102" s="4189"/>
      <c r="AQ102" s="4241" t="e">
        <f>+AI102+AM102</f>
        <v>#REF!</v>
      </c>
      <c r="AR102" s="4189"/>
      <c r="AS102" s="4198" t="e">
        <f>+SUM('GRD SUMM RCL 150X150 '!#REF!)</f>
        <v>#REF!</v>
      </c>
      <c r="AT102" s="4189"/>
      <c r="AU102" s="4241" t="e">
        <f t="shared" si="131"/>
        <v>#REF!</v>
      </c>
      <c r="AV102" s="4189"/>
      <c r="AW102" s="4198" t="e">
        <f>+SUM('GRD SUMM RCL 150X150 '!#REF!)</f>
        <v>#REF!</v>
      </c>
      <c r="AX102" s="4189"/>
      <c r="AY102" s="4241" t="e">
        <f t="shared" si="132"/>
        <v>#REF!</v>
      </c>
      <c r="AZ102" s="4189"/>
      <c r="BA102" s="4198" t="e">
        <f>+SUM('GRD SUMM RCL 150X150 '!#REF!)</f>
        <v>#REF!</v>
      </c>
      <c r="BB102" s="4198"/>
      <c r="BC102" s="4198"/>
      <c r="BD102" s="4244"/>
      <c r="BE102" s="4238"/>
      <c r="BF102" s="4189"/>
      <c r="BG102" s="4241" t="e">
        <f t="shared" si="133"/>
        <v>#REF!</v>
      </c>
      <c r="BH102" s="26" t="e">
        <f t="shared" si="88"/>
        <v>#REF!</v>
      </c>
      <c r="BI102" s="26"/>
    </row>
    <row r="103" spans="1:61" ht="15.75" hidden="1" customHeight="1" thickBot="1" x14ac:dyDescent="0.35">
      <c r="C103" s="4189"/>
      <c r="D103" s="4189"/>
      <c r="E103" s="4240"/>
      <c r="F103" s="4189"/>
      <c r="G103" s="4198" t="e">
        <f>+G100-G101-G102</f>
        <v>#REF!</v>
      </c>
      <c r="H103" s="4189"/>
      <c r="I103" s="4198" t="e">
        <f>+I100-I101-I102</f>
        <v>#REF!</v>
      </c>
      <c r="J103" s="4198">
        <f t="shared" ref="J103:S103" si="134">+J100-J101-J102</f>
        <v>0</v>
      </c>
      <c r="K103" s="4241" t="e">
        <f t="shared" si="134"/>
        <v>#REF!</v>
      </c>
      <c r="L103" s="4198">
        <f t="shared" si="134"/>
        <v>0</v>
      </c>
      <c r="M103" s="4198" t="e">
        <f>+M100-M101-M102</f>
        <v>#REF!</v>
      </c>
      <c r="N103" s="4198">
        <f t="shared" si="134"/>
        <v>0</v>
      </c>
      <c r="O103" s="4242" t="e">
        <f t="shared" si="134"/>
        <v>#REF!</v>
      </c>
      <c r="P103" s="4198">
        <f t="shared" si="134"/>
        <v>0</v>
      </c>
      <c r="Q103" s="4198" t="e">
        <f t="shared" si="134"/>
        <v>#REF!</v>
      </c>
      <c r="R103" s="4198">
        <f t="shared" si="134"/>
        <v>0</v>
      </c>
      <c r="S103" s="4241" t="e">
        <f t="shared" si="134"/>
        <v>#REF!</v>
      </c>
      <c r="T103" s="4198">
        <f t="shared" ref="T103" si="135">+T100-T101-T102</f>
        <v>0</v>
      </c>
      <c r="U103" s="4198" t="e">
        <f t="shared" ref="U103:AA103" si="136">+U100-U101-U102</f>
        <v>#REF!</v>
      </c>
      <c r="V103" s="4198">
        <f t="shared" si="136"/>
        <v>0</v>
      </c>
      <c r="W103" s="4241" t="e">
        <f t="shared" si="136"/>
        <v>#REF!</v>
      </c>
      <c r="X103" s="4243"/>
      <c r="Y103" s="4198" t="e">
        <f t="shared" ref="Y103" si="137">+Y100-Y101-Y102</f>
        <v>#REF!</v>
      </c>
      <c r="Z103" s="4198">
        <f t="shared" si="136"/>
        <v>0</v>
      </c>
      <c r="AA103" s="4242" t="e">
        <f t="shared" si="136"/>
        <v>#REF!</v>
      </c>
      <c r="AB103" s="4244"/>
      <c r="AC103" s="4238"/>
      <c r="AD103" s="4198">
        <f t="shared" ref="AD103:AG103" si="138">+AD100-AD101-AD102</f>
        <v>0</v>
      </c>
      <c r="AE103" s="4198" t="e">
        <f t="shared" si="138"/>
        <v>#REF!</v>
      </c>
      <c r="AF103" s="4198">
        <f t="shared" si="138"/>
        <v>0</v>
      </c>
      <c r="AG103" s="4241" t="e">
        <f t="shared" si="138"/>
        <v>#REF!</v>
      </c>
      <c r="AH103" s="4198">
        <f t="shared" ref="AH103:AK103" si="139">+AH100-AH101-AH102</f>
        <v>0</v>
      </c>
      <c r="AI103" s="4198" t="e">
        <f t="shared" si="139"/>
        <v>#REF!</v>
      </c>
      <c r="AJ103" s="4198">
        <f t="shared" si="139"/>
        <v>0</v>
      </c>
      <c r="AK103" s="4241" t="e">
        <f t="shared" si="139"/>
        <v>#REF!</v>
      </c>
      <c r="AL103" s="4198">
        <f t="shared" ref="AL103:AQ103" si="140">+AL100-AL101-AL102</f>
        <v>0</v>
      </c>
      <c r="AM103" s="4198" t="e">
        <f t="shared" si="140"/>
        <v>#REF!</v>
      </c>
      <c r="AN103" s="4198"/>
      <c r="AO103" s="4198"/>
      <c r="AP103" s="4198">
        <f t="shared" si="140"/>
        <v>0</v>
      </c>
      <c r="AQ103" s="4241" t="e">
        <f t="shared" si="140"/>
        <v>#REF!</v>
      </c>
      <c r="AR103" s="4198">
        <f t="shared" ref="AR103:AU103" si="141">+AR100-AR101-AR102</f>
        <v>0</v>
      </c>
      <c r="AS103" s="4198" t="e">
        <f t="shared" si="141"/>
        <v>#REF!</v>
      </c>
      <c r="AT103" s="4198">
        <f t="shared" si="141"/>
        <v>0</v>
      </c>
      <c r="AU103" s="4241" t="e">
        <f t="shared" si="141"/>
        <v>#REF!</v>
      </c>
      <c r="AV103" s="4198">
        <f t="shared" ref="AV103:AY103" si="142">+AV100-AV101-AV102</f>
        <v>0</v>
      </c>
      <c r="AW103" s="4198" t="e">
        <f t="shared" si="142"/>
        <v>#REF!</v>
      </c>
      <c r="AX103" s="4198">
        <f t="shared" si="142"/>
        <v>0</v>
      </c>
      <c r="AY103" s="4241" t="e">
        <f t="shared" si="142"/>
        <v>#REF!</v>
      </c>
      <c r="AZ103" s="4198">
        <f t="shared" ref="AZ103:BG103" si="143">+AZ100-AZ101-AZ102</f>
        <v>0</v>
      </c>
      <c r="BA103" s="4198" t="e">
        <f t="shared" si="143"/>
        <v>#REF!</v>
      </c>
      <c r="BB103" s="4198"/>
      <c r="BC103" s="4198"/>
      <c r="BD103" s="4244"/>
      <c r="BE103" s="4238"/>
      <c r="BF103" s="4198">
        <f t="shared" si="143"/>
        <v>0</v>
      </c>
      <c r="BG103" s="4241" t="e">
        <f t="shared" si="143"/>
        <v>#REF!</v>
      </c>
      <c r="BH103" s="26" t="e">
        <f t="shared" si="88"/>
        <v>#REF!</v>
      </c>
      <c r="BI103" s="26"/>
    </row>
    <row r="104" spans="1:61" ht="15.75" hidden="1" customHeight="1" thickBot="1" x14ac:dyDescent="0.35">
      <c r="C104" s="4189"/>
      <c r="D104" s="4189"/>
      <c r="E104" s="4240"/>
      <c r="F104" s="4189"/>
      <c r="G104" s="4198" t="e">
        <f>+G103-G79</f>
        <v>#REF!</v>
      </c>
      <c r="H104" s="4189"/>
      <c r="I104" s="4198" t="e">
        <f t="shared" ref="I104:W104" si="144">+I103-I79</f>
        <v>#REF!</v>
      </c>
      <c r="J104" s="4198">
        <f t="shared" si="144"/>
        <v>0</v>
      </c>
      <c r="K104" s="4241" t="e">
        <f t="shared" si="144"/>
        <v>#REF!</v>
      </c>
      <c r="L104" s="4198">
        <f t="shared" si="144"/>
        <v>0</v>
      </c>
      <c r="M104" s="4198" t="e">
        <f t="shared" si="144"/>
        <v>#REF!</v>
      </c>
      <c r="N104" s="4198">
        <f t="shared" si="144"/>
        <v>0</v>
      </c>
      <c r="O104" s="4242" t="e">
        <f t="shared" si="144"/>
        <v>#REF!</v>
      </c>
      <c r="P104" s="4198">
        <f t="shared" si="144"/>
        <v>0</v>
      </c>
      <c r="Q104" s="4198" t="e">
        <f t="shared" si="144"/>
        <v>#REF!</v>
      </c>
      <c r="R104" s="4198">
        <f t="shared" si="144"/>
        <v>0</v>
      </c>
      <c r="S104" s="4241" t="e">
        <f t="shared" si="144"/>
        <v>#REF!</v>
      </c>
      <c r="T104" s="4198">
        <f t="shared" si="144"/>
        <v>0</v>
      </c>
      <c r="U104" s="4198" t="e">
        <f t="shared" si="144"/>
        <v>#REF!</v>
      </c>
      <c r="V104" s="4198">
        <f t="shared" si="144"/>
        <v>0</v>
      </c>
      <c r="W104" s="4241" t="e">
        <f t="shared" si="144"/>
        <v>#REF!</v>
      </c>
      <c r="X104" s="4243"/>
      <c r="Y104" s="4198" t="e">
        <f>+Y103-Y79</f>
        <v>#REF!</v>
      </c>
      <c r="Z104" s="4198">
        <f>+Z103-Z79</f>
        <v>0</v>
      </c>
      <c r="AA104" s="4242" t="e">
        <f>+AA103-AA79</f>
        <v>#REF!</v>
      </c>
      <c r="AB104" s="4244"/>
      <c r="AC104" s="4238"/>
      <c r="AD104" s="4198">
        <f t="shared" ref="AD104:AM104" si="145">+AD103-AD79</f>
        <v>0</v>
      </c>
      <c r="AE104" s="4198" t="e">
        <f t="shared" si="145"/>
        <v>#REF!</v>
      </c>
      <c r="AF104" s="4198">
        <f t="shared" si="145"/>
        <v>0</v>
      </c>
      <c r="AG104" s="4241" t="e">
        <f t="shared" si="145"/>
        <v>#REF!</v>
      </c>
      <c r="AH104" s="4198">
        <f t="shared" si="145"/>
        <v>0</v>
      </c>
      <c r="AI104" s="4198" t="e">
        <f t="shared" si="145"/>
        <v>#REF!</v>
      </c>
      <c r="AJ104" s="4198">
        <f t="shared" si="145"/>
        <v>0</v>
      </c>
      <c r="AK104" s="4241" t="e">
        <f t="shared" si="145"/>
        <v>#REF!</v>
      </c>
      <c r="AL104" s="4198">
        <f t="shared" si="145"/>
        <v>0</v>
      </c>
      <c r="AM104" s="4198" t="e">
        <f t="shared" si="145"/>
        <v>#REF!</v>
      </c>
      <c r="AN104" s="4198"/>
      <c r="AO104" s="4198"/>
      <c r="AP104" s="4198">
        <f t="shared" ref="AP104:BA104" si="146">+AP103-AP79</f>
        <v>0</v>
      </c>
      <c r="AQ104" s="4241" t="e">
        <f t="shared" si="146"/>
        <v>#REF!</v>
      </c>
      <c r="AR104" s="4198">
        <f t="shared" si="146"/>
        <v>0</v>
      </c>
      <c r="AS104" s="4198" t="e">
        <f t="shared" si="146"/>
        <v>#REF!</v>
      </c>
      <c r="AT104" s="4198">
        <f t="shared" si="146"/>
        <v>0</v>
      </c>
      <c r="AU104" s="4241" t="e">
        <f t="shared" si="146"/>
        <v>#REF!</v>
      </c>
      <c r="AV104" s="4198">
        <f t="shared" si="146"/>
        <v>0</v>
      </c>
      <c r="AW104" s="4198" t="e">
        <f t="shared" si="146"/>
        <v>#REF!</v>
      </c>
      <c r="AX104" s="4198">
        <f t="shared" si="146"/>
        <v>0</v>
      </c>
      <c r="AY104" s="4241" t="e">
        <f t="shared" si="146"/>
        <v>#REF!</v>
      </c>
      <c r="AZ104" s="4198">
        <f t="shared" si="146"/>
        <v>0</v>
      </c>
      <c r="BA104" s="4198" t="e">
        <f t="shared" si="146"/>
        <v>#REF!</v>
      </c>
      <c r="BB104" s="4198"/>
      <c r="BC104" s="4198"/>
      <c r="BD104" s="4244"/>
      <c r="BE104" s="4238"/>
      <c r="BF104" s="4198">
        <f>+BF103-BF79</f>
        <v>0</v>
      </c>
      <c r="BG104" s="4241" t="e">
        <f>+BG103-BG79</f>
        <v>#REF!</v>
      </c>
      <c r="BH104" s="26" t="e">
        <f t="shared" si="88"/>
        <v>#REF!</v>
      </c>
      <c r="BI104" s="26"/>
    </row>
    <row r="105" spans="1:61" ht="15.75" hidden="1" customHeight="1" thickBot="1" x14ac:dyDescent="0.35">
      <c r="C105" s="4189"/>
      <c r="D105" s="4189"/>
      <c r="E105" s="4240"/>
      <c r="F105" s="4189"/>
      <c r="G105" s="4189"/>
      <c r="H105" s="4189"/>
      <c r="I105" s="4189"/>
      <c r="J105" s="4189"/>
      <c r="K105" s="4236"/>
      <c r="L105" s="4189"/>
      <c r="M105" s="4189"/>
      <c r="N105" s="4189"/>
      <c r="O105" s="4237"/>
      <c r="P105" s="4189"/>
      <c r="Q105" s="4189"/>
      <c r="R105" s="4189"/>
      <c r="S105" s="4241"/>
      <c r="T105" s="4189"/>
      <c r="U105" s="4189"/>
      <c r="V105" s="4189"/>
      <c r="W105" s="4241"/>
      <c r="X105" s="4243"/>
      <c r="Y105" s="4189"/>
      <c r="Z105" s="4189"/>
      <c r="AA105" s="4237"/>
      <c r="AB105" s="4238"/>
      <c r="AC105" s="4238"/>
      <c r="AD105" s="4189"/>
      <c r="AE105" s="4189"/>
      <c r="AF105" s="4189"/>
      <c r="AG105" s="4241"/>
      <c r="AH105" s="4189"/>
      <c r="AI105" s="4189"/>
      <c r="AJ105" s="4189"/>
      <c r="AK105" s="4241"/>
      <c r="AL105" s="4189"/>
      <c r="AM105" s="4189"/>
      <c r="AN105" s="4189"/>
      <c r="AO105" s="4189"/>
      <c r="AP105" s="4189"/>
      <c r="AQ105" s="4241"/>
      <c r="AR105" s="4189"/>
      <c r="AS105" s="4189"/>
      <c r="AT105" s="4189"/>
      <c r="AU105" s="4241"/>
      <c r="AV105" s="4189"/>
      <c r="AW105" s="4189"/>
      <c r="AX105" s="4189"/>
      <c r="AY105" s="4241"/>
      <c r="AZ105" s="4189"/>
      <c r="BA105" s="4189"/>
      <c r="BB105" s="4189"/>
      <c r="BC105" s="4189"/>
      <c r="BD105" s="4238"/>
      <c r="BE105" s="4238"/>
      <c r="BF105" s="4189"/>
      <c r="BG105" s="4241"/>
      <c r="BH105" s="26">
        <f t="shared" si="88"/>
        <v>0</v>
      </c>
      <c r="BI105" s="26"/>
    </row>
    <row r="106" spans="1:61" ht="15.75" hidden="1" customHeight="1" thickBot="1" x14ac:dyDescent="0.35">
      <c r="C106" s="4189"/>
      <c r="D106" s="4189"/>
      <c r="E106" s="4240"/>
      <c r="F106" s="4189"/>
      <c r="G106" s="4189"/>
      <c r="H106" s="4189"/>
      <c r="I106" s="4189"/>
      <c r="J106" s="4189"/>
      <c r="K106" s="4236"/>
      <c r="L106" s="4189"/>
      <c r="M106" s="4189"/>
      <c r="N106" s="4189"/>
      <c r="O106" s="4237"/>
      <c r="P106" s="4189"/>
      <c r="Q106" s="4189"/>
      <c r="R106" s="4189"/>
      <c r="S106" s="4241"/>
      <c r="T106" s="4189"/>
      <c r="U106" s="4189"/>
      <c r="V106" s="4189"/>
      <c r="W106" s="4241"/>
      <c r="X106" s="4243"/>
      <c r="Y106" s="4189"/>
      <c r="Z106" s="4189"/>
      <c r="AA106" s="4237"/>
      <c r="AB106" s="4238"/>
      <c r="AC106" s="4238"/>
      <c r="AD106" s="4189"/>
      <c r="AE106" s="4189"/>
      <c r="AF106" s="4189"/>
      <c r="AG106" s="4241"/>
      <c r="AH106" s="4189"/>
      <c r="AI106" s="4189"/>
      <c r="AJ106" s="4189"/>
      <c r="AK106" s="4241"/>
      <c r="AL106" s="4189"/>
      <c r="AM106" s="4189"/>
      <c r="AN106" s="4189"/>
      <c r="AO106" s="4189"/>
      <c r="AP106" s="4189"/>
      <c r="AQ106" s="4241"/>
      <c r="AR106" s="4189"/>
      <c r="AS106" s="4189"/>
      <c r="AT106" s="4189"/>
      <c r="AU106" s="4241"/>
      <c r="AV106" s="4189"/>
      <c r="AW106" s="4189"/>
      <c r="AX106" s="4189"/>
      <c r="AY106" s="4241"/>
      <c r="AZ106" s="4189"/>
      <c r="BA106" s="4189"/>
      <c r="BB106" s="4189"/>
      <c r="BC106" s="4189"/>
      <c r="BD106" s="4238"/>
      <c r="BE106" s="4238"/>
      <c r="BF106" s="4189"/>
      <c r="BG106" s="4241"/>
      <c r="BH106" s="26">
        <f t="shared" si="88"/>
        <v>0</v>
      </c>
      <c r="BI106" s="26"/>
    </row>
    <row r="107" spans="1:61" ht="18.75" customHeight="1" thickBot="1" x14ac:dyDescent="0.35">
      <c r="C107" s="6366" t="s">
        <v>16</v>
      </c>
      <c r="D107" s="4262" t="s">
        <v>1480</v>
      </c>
      <c r="E107" s="4262"/>
      <c r="F107" s="4245"/>
      <c r="G107" s="4263">
        <f>+WRM!F159</f>
        <v>36742.130000000012</v>
      </c>
      <c r="H107" s="4263"/>
      <c r="I107" s="4263">
        <f>+WRM!H159</f>
        <v>39351.799999999996</v>
      </c>
      <c r="J107" s="4263"/>
      <c r="K107" s="4268">
        <f t="shared" ref="K107:K108" si="147">+G107+I107</f>
        <v>76093.930000000008</v>
      </c>
      <c r="L107" s="4263"/>
      <c r="M107" s="4263">
        <f>+WRM!L159</f>
        <v>38291.349999999991</v>
      </c>
      <c r="N107" s="4263"/>
      <c r="O107" s="4269">
        <f t="shared" ref="O107:O108" si="148">+G107+I107+M107</f>
        <v>114385.28</v>
      </c>
      <c r="P107" s="4263"/>
      <c r="Q107" s="4263">
        <f>+WRM!P159</f>
        <v>47063.899999999994</v>
      </c>
      <c r="R107" s="4263"/>
      <c r="S107" s="4268">
        <f t="shared" ref="S107:S108" si="149">O107+Q107</f>
        <v>161449.18</v>
      </c>
      <c r="T107" s="4263"/>
      <c r="U107" s="4263">
        <f>+WRM!T159</f>
        <v>38718.350000000006</v>
      </c>
      <c r="V107" s="4263"/>
      <c r="W107" s="4268">
        <f t="shared" ref="W107:W108" si="150">S107+U107</f>
        <v>200167.53</v>
      </c>
      <c r="X107" s="4263"/>
      <c r="Y107" s="4263">
        <f>+WRM!X159</f>
        <v>41006.150000000009</v>
      </c>
      <c r="Z107" s="4263"/>
      <c r="AA107" s="4269">
        <f t="shared" ref="AA107:AA108" si="151">Q107+U107+Y107</f>
        <v>126788.40000000001</v>
      </c>
      <c r="AB107" s="4263"/>
      <c r="AC107" s="4270">
        <f t="shared" ref="AC107:AC108" si="152">O107+AA107</f>
        <v>241173.68</v>
      </c>
      <c r="AD107" s="4263"/>
      <c r="AE107" s="4263">
        <f>+WRM!AD159</f>
        <v>30034.550000000003</v>
      </c>
      <c r="AF107" s="4263"/>
      <c r="AG107" s="4268">
        <f t="shared" ref="AG107:AG108" si="153">+AC107+AE107</f>
        <v>271208.23</v>
      </c>
      <c r="AH107" s="4263"/>
      <c r="AI107" s="4263">
        <f>+WRM!AH159</f>
        <v>34614.250000000007</v>
      </c>
      <c r="AJ107" s="4263"/>
      <c r="AK107" s="4271">
        <f t="shared" ref="AK107:AK108" si="154">+AG107+AI107</f>
        <v>305822.48</v>
      </c>
      <c r="AL107" s="4263"/>
      <c r="AM107" s="4263">
        <f>+WRM!AL159</f>
        <v>44007.350000000013</v>
      </c>
      <c r="AN107" s="4263"/>
      <c r="AO107" s="4269">
        <f t="shared" ref="AO107:AO108" si="155">AE107+AI107+AM107</f>
        <v>108656.15000000002</v>
      </c>
      <c r="AP107" s="4263"/>
      <c r="AQ107" s="4271">
        <f>+AK107+AM107</f>
        <v>349829.83</v>
      </c>
      <c r="AR107" s="4263"/>
      <c r="AS107" s="4263">
        <f>+WRM!AR159</f>
        <v>44589.550000000017</v>
      </c>
      <c r="AT107" s="4263"/>
      <c r="AU107" s="4271">
        <f t="shared" ref="AU107:AU108" si="156">+AQ107+AS107</f>
        <v>394419.38</v>
      </c>
      <c r="AV107" s="4263"/>
      <c r="AW107" s="4263">
        <f>+WRM!AV159</f>
        <v>37420.700000000019</v>
      </c>
      <c r="AX107" s="4263"/>
      <c r="AY107" s="4271">
        <f t="shared" ref="AY107:AY108" si="157">+AU107+AW107</f>
        <v>431840.08</v>
      </c>
      <c r="AZ107" s="4263"/>
      <c r="BA107" s="4263">
        <f>+WRM!AZ159</f>
        <v>46692.85</v>
      </c>
      <c r="BB107" s="4263"/>
      <c r="BC107" s="4269">
        <f t="shared" ref="BC107:BC108" si="158">AS107+AW107+BA107</f>
        <v>128703.10000000003</v>
      </c>
      <c r="BD107" s="4263"/>
      <c r="BE107" s="4270">
        <f>AO107+BC107</f>
        <v>237359.25000000006</v>
      </c>
      <c r="BF107" s="4263"/>
      <c r="BG107" s="4271">
        <f t="shared" ref="BG107:BG108" si="159">+AY107+BA107</f>
        <v>478532.93</v>
      </c>
      <c r="BH107" s="26">
        <f t="shared" si="88"/>
        <v>0</v>
      </c>
      <c r="BI107" s="26"/>
    </row>
    <row r="108" spans="1:61" ht="18.75" customHeight="1" x14ac:dyDescent="0.3">
      <c r="C108" s="6367"/>
      <c r="D108" s="4272" t="s">
        <v>2351</v>
      </c>
      <c r="E108" s="4272"/>
      <c r="F108" s="4273"/>
      <c r="G108" s="4274">
        <f>+G38</f>
        <v>35399.379999999997</v>
      </c>
      <c r="H108" s="4274"/>
      <c r="I108" s="4274">
        <f>+I38</f>
        <v>36334.199999999997</v>
      </c>
      <c r="J108" s="4274"/>
      <c r="K108" s="4275">
        <f t="shared" si="147"/>
        <v>71733.579999999987</v>
      </c>
      <c r="L108" s="4274"/>
      <c r="M108" s="4274">
        <f>+M38</f>
        <v>37452.9</v>
      </c>
      <c r="N108" s="4274"/>
      <c r="O108" s="4276">
        <f t="shared" si="148"/>
        <v>109186.47999999998</v>
      </c>
      <c r="P108" s="4274"/>
      <c r="Q108" s="4274">
        <f>+Q38</f>
        <v>44200.05</v>
      </c>
      <c r="R108" s="4274"/>
      <c r="S108" s="4275">
        <f t="shared" si="149"/>
        <v>153386.52999999997</v>
      </c>
      <c r="T108" s="4274"/>
      <c r="U108" s="4274">
        <f>+U38</f>
        <v>33658.950000000004</v>
      </c>
      <c r="V108" s="4274"/>
      <c r="W108" s="4275">
        <f t="shared" si="150"/>
        <v>187045.47999999998</v>
      </c>
      <c r="X108" s="4274"/>
      <c r="Y108" s="4274">
        <f>+Y38</f>
        <v>37412.5</v>
      </c>
      <c r="Z108" s="4274"/>
      <c r="AA108" s="4276">
        <f t="shared" si="151"/>
        <v>115271.5</v>
      </c>
      <c r="AB108" s="4274"/>
      <c r="AC108" s="4277">
        <f t="shared" si="152"/>
        <v>224457.97999999998</v>
      </c>
      <c r="AD108" s="4274"/>
      <c r="AE108" s="4274">
        <f>+AE38</f>
        <v>28117.8</v>
      </c>
      <c r="AF108" s="4274"/>
      <c r="AG108" s="4275">
        <f t="shared" si="153"/>
        <v>252575.77999999997</v>
      </c>
      <c r="AH108" s="4274"/>
      <c r="AI108" s="4274">
        <f>+AI38</f>
        <v>33991.050000000003</v>
      </c>
      <c r="AJ108" s="4274"/>
      <c r="AK108" s="4278">
        <f t="shared" si="154"/>
        <v>286566.82999999996</v>
      </c>
      <c r="AL108" s="4274"/>
      <c r="AM108" s="4274">
        <f>+AM38</f>
        <v>39526.050000000003</v>
      </c>
      <c r="AN108" s="4329"/>
      <c r="AO108" s="4276">
        <f t="shared" si="155"/>
        <v>101634.90000000001</v>
      </c>
      <c r="AP108" s="4274"/>
      <c r="AQ108" s="4278">
        <f>+AK108+AM108</f>
        <v>326092.87999999995</v>
      </c>
      <c r="AR108" s="4274"/>
      <c r="AS108" s="4274">
        <f>+AS38</f>
        <v>39585.500000000007</v>
      </c>
      <c r="AT108" s="4274"/>
      <c r="AU108" s="4278">
        <f t="shared" si="156"/>
        <v>365678.37999999995</v>
      </c>
      <c r="AV108" s="4274"/>
      <c r="AW108" s="4274">
        <f>+AW38</f>
        <v>36941.000000000022</v>
      </c>
      <c r="AX108" s="4274"/>
      <c r="AY108" s="4278">
        <f t="shared" si="157"/>
        <v>402619.37999999995</v>
      </c>
      <c r="AZ108" s="4274"/>
      <c r="BA108" s="4274">
        <f>+BA38</f>
        <v>46047.099999999991</v>
      </c>
      <c r="BB108" s="4329"/>
      <c r="BC108" s="4276">
        <f t="shared" si="158"/>
        <v>122573.60000000002</v>
      </c>
      <c r="BD108" s="4274"/>
      <c r="BE108" s="4270">
        <f>AO108+BC108</f>
        <v>224208.50000000003</v>
      </c>
      <c r="BF108" s="4274"/>
      <c r="BG108" s="4278">
        <f t="shared" si="159"/>
        <v>448666.47999999992</v>
      </c>
      <c r="BH108" s="26">
        <f t="shared" si="88"/>
        <v>0</v>
      </c>
      <c r="BI108" s="26">
        <f>BG107+BG113+BG114</f>
        <v>480312.32999999996</v>
      </c>
    </row>
    <row r="109" spans="1:61" ht="18.75" customHeight="1" thickBot="1" x14ac:dyDescent="0.35">
      <c r="C109" s="6367"/>
      <c r="D109" s="4272" t="s">
        <v>1481</v>
      </c>
      <c r="E109" s="4272"/>
      <c r="F109" s="4273"/>
      <c r="G109" s="4279">
        <f>+G108/G107</f>
        <v>0.96345475888305843</v>
      </c>
      <c r="H109" s="4279"/>
      <c r="I109" s="4279">
        <f>+I108/I107</f>
        <v>0.9233173577828715</v>
      </c>
      <c r="J109" s="4279"/>
      <c r="K109" s="4280">
        <f t="shared" ref="K109:AG109" si="160">+K108/K107</f>
        <v>0.94269779468611992</v>
      </c>
      <c r="L109" s="4279"/>
      <c r="M109" s="4279">
        <f>+M108/M107</f>
        <v>0.97810340977792665</v>
      </c>
      <c r="N109" s="4279"/>
      <c r="O109" s="4281">
        <f t="shared" si="160"/>
        <v>0.95455009595640261</v>
      </c>
      <c r="P109" s="4279"/>
      <c r="Q109" s="4279">
        <f t="shared" si="160"/>
        <v>0.93914975172053328</v>
      </c>
      <c r="R109" s="4279"/>
      <c r="S109" s="4280">
        <f t="shared" si="160"/>
        <v>0.95006075596048223</v>
      </c>
      <c r="T109" s="4279"/>
      <c r="U109" s="4279">
        <f t="shared" si="160"/>
        <v>0.86932810928151638</v>
      </c>
      <c r="V109" s="4279"/>
      <c r="W109" s="4280">
        <f t="shared" si="160"/>
        <v>0.93444466242851665</v>
      </c>
      <c r="X109" s="4279"/>
      <c r="Y109" s="4279">
        <f t="shared" ref="Y109" si="161">+Y108/Y107</f>
        <v>0.91236314552817055</v>
      </c>
      <c r="Z109" s="4279"/>
      <c r="AA109" s="4281">
        <f t="shared" si="160"/>
        <v>0.90916440305264512</v>
      </c>
      <c r="AB109" s="4279"/>
      <c r="AC109" s="4282">
        <f t="shared" si="160"/>
        <v>0.93069019803487674</v>
      </c>
      <c r="AD109" s="4279"/>
      <c r="AE109" s="4279">
        <f t="shared" si="160"/>
        <v>0.9361818305917684</v>
      </c>
      <c r="AF109" s="4279"/>
      <c r="AG109" s="4280">
        <f t="shared" si="160"/>
        <v>0.93129836067290428</v>
      </c>
      <c r="AH109" s="4279"/>
      <c r="AI109" s="4279">
        <f t="shared" ref="AI109" si="162">+AI108/AI107</f>
        <v>0.98199585430855774</v>
      </c>
      <c r="AJ109" s="4279"/>
      <c r="AK109" s="4283">
        <f t="shared" ref="AK109" si="163">+AK108/AK107</f>
        <v>0.93703651216221895</v>
      </c>
      <c r="AL109" s="4279"/>
      <c r="AM109" s="4279">
        <f t="shared" ref="AM109" si="164">+AM108/AM107</f>
        <v>0.89816928308566613</v>
      </c>
      <c r="AN109" s="4330"/>
      <c r="AO109" s="4281">
        <f t="shared" ref="AO109" si="165">+AO108/AO107</f>
        <v>0.93538101616889602</v>
      </c>
      <c r="AP109" s="4279"/>
      <c r="AQ109" s="4283">
        <f t="shared" ref="AQ109" si="166">+AQ108/AQ107</f>
        <v>0.93214715280283544</v>
      </c>
      <c r="AR109" s="4279"/>
      <c r="AS109" s="4279">
        <f t="shared" ref="AS109" si="167">+AS108/AS107</f>
        <v>0.88777527470001361</v>
      </c>
      <c r="AT109" s="4279"/>
      <c r="AU109" s="4283">
        <f t="shared" ref="AU109" si="168">+AU108/AU107</f>
        <v>0.92713086258591026</v>
      </c>
      <c r="AV109" s="4279"/>
      <c r="AW109" s="4279">
        <f t="shared" ref="AW109" si="169">+AW108/AW107</f>
        <v>0.98718089185931857</v>
      </c>
      <c r="AX109" s="4279"/>
      <c r="AY109" s="4283">
        <f t="shared" ref="AY109" si="170">+AY108/AY107</f>
        <v>0.93233444195360449</v>
      </c>
      <c r="AZ109" s="4279"/>
      <c r="BA109" s="4279">
        <f t="shared" ref="BA109" si="171">+BA108/BA107</f>
        <v>0.98617025947227455</v>
      </c>
      <c r="BB109" s="4330"/>
      <c r="BC109" s="4281">
        <f t="shared" ref="BC109" si="172">+BC108/BC107</f>
        <v>0.95237488452104091</v>
      </c>
      <c r="BD109" s="4279"/>
      <c r="BE109" s="4282">
        <f t="shared" ref="BE109" si="173">+BE108/BE107</f>
        <v>0.94459558664766585</v>
      </c>
      <c r="BF109" s="4279"/>
      <c r="BG109" s="4283">
        <f t="shared" ref="BG109" si="174">+BG108/BG107</f>
        <v>0.93758747177545321</v>
      </c>
      <c r="BH109" s="26">
        <f t="shared" si="88"/>
        <v>10.325602455216222</v>
      </c>
      <c r="BI109" s="26"/>
    </row>
    <row r="110" spans="1:61" ht="18.75" customHeight="1" thickBot="1" x14ac:dyDescent="0.35">
      <c r="C110" s="6367"/>
      <c r="D110" s="4272" t="s">
        <v>1479</v>
      </c>
      <c r="E110" s="4272"/>
      <c r="F110" s="4273"/>
      <c r="G110" s="4274">
        <f>+G107-G108</f>
        <v>1342.7500000000146</v>
      </c>
      <c r="H110" s="4274"/>
      <c r="I110" s="4274">
        <f>+I107-I108</f>
        <v>3017.5999999999985</v>
      </c>
      <c r="J110" s="4274"/>
      <c r="K110" s="4275">
        <f t="shared" ref="K110:K116" si="175">+G110+I110</f>
        <v>4360.3500000000131</v>
      </c>
      <c r="L110" s="4274"/>
      <c r="M110" s="4274">
        <f>+M107-M108</f>
        <v>838.44999999998981</v>
      </c>
      <c r="N110" s="4274"/>
      <c r="O110" s="4276">
        <f t="shared" ref="O110:O116" si="176">+G110+I110+M110</f>
        <v>5198.8000000000029</v>
      </c>
      <c r="P110" s="4274"/>
      <c r="Q110" s="4274">
        <f t="shared" ref="Q110:AE110" si="177">+Q107-Q108</f>
        <v>2863.8499999999913</v>
      </c>
      <c r="R110" s="4274"/>
      <c r="S110" s="4275">
        <f t="shared" ref="S110:S116" si="178">O110+Q110</f>
        <v>8062.6499999999942</v>
      </c>
      <c r="T110" s="4274"/>
      <c r="U110" s="4274">
        <f t="shared" si="177"/>
        <v>5059.4000000000015</v>
      </c>
      <c r="V110" s="4274"/>
      <c r="W110" s="4275">
        <f t="shared" ref="W110:W116" si="179">S110+U110</f>
        <v>13122.049999999996</v>
      </c>
      <c r="X110" s="4274"/>
      <c r="Y110" s="4274">
        <f t="shared" ref="Y110" si="180">+Y107-Y108</f>
        <v>3593.6500000000087</v>
      </c>
      <c r="Z110" s="4274"/>
      <c r="AA110" s="4276">
        <f t="shared" ref="AA110:AA116" si="181">Q110+U110+Y110</f>
        <v>11516.900000000001</v>
      </c>
      <c r="AB110" s="4274"/>
      <c r="AC110" s="4277">
        <f t="shared" ref="AC110:AC116" si="182">O110+AA110</f>
        <v>16715.700000000004</v>
      </c>
      <c r="AD110" s="4274"/>
      <c r="AE110" s="4274">
        <f t="shared" si="177"/>
        <v>1916.7500000000036</v>
      </c>
      <c r="AF110" s="4274"/>
      <c r="AG110" s="4275">
        <f t="shared" ref="AG110:AG116" si="183">+AC110+AE110</f>
        <v>18632.450000000008</v>
      </c>
      <c r="AH110" s="4274"/>
      <c r="AI110" s="4274">
        <f t="shared" ref="AI110" si="184">+AI107-AI108</f>
        <v>623.20000000000437</v>
      </c>
      <c r="AJ110" s="4274"/>
      <c r="AK110" s="4278">
        <f t="shared" ref="AK110:AK116" si="185">+AG110+AI110</f>
        <v>19255.650000000012</v>
      </c>
      <c r="AL110" s="4274"/>
      <c r="AM110" s="4274">
        <f t="shared" ref="AM110" si="186">+AM107-AM108</f>
        <v>4481.3000000000102</v>
      </c>
      <c r="AN110" s="4329"/>
      <c r="AO110" s="4276">
        <f t="shared" ref="AO110:AO116" si="187">AE110+AI110+AM110</f>
        <v>7021.2500000000182</v>
      </c>
      <c r="AP110" s="4274"/>
      <c r="AQ110" s="4278">
        <f t="shared" ref="AQ110:AQ116" si="188">+AK110+AM110</f>
        <v>23736.950000000023</v>
      </c>
      <c r="AR110" s="4274"/>
      <c r="AS110" s="4274">
        <f t="shared" ref="AS110" si="189">+AS107-AS108</f>
        <v>5004.0500000000102</v>
      </c>
      <c r="AT110" s="4274"/>
      <c r="AU110" s="4278">
        <f t="shared" ref="AU110:AU116" si="190">+AQ110+AS110</f>
        <v>28741.000000000033</v>
      </c>
      <c r="AV110" s="4274"/>
      <c r="AW110" s="4274">
        <f t="shared" ref="AW110" si="191">+AW107-AW108</f>
        <v>479.69999999999709</v>
      </c>
      <c r="AX110" s="4274"/>
      <c r="AY110" s="4278">
        <f t="shared" ref="AY110:AY116" si="192">+AU110+AW110</f>
        <v>29220.70000000003</v>
      </c>
      <c r="AZ110" s="4274"/>
      <c r="BA110" s="4274">
        <f t="shared" ref="BA110" si="193">+BA107-BA108</f>
        <v>645.75000000000728</v>
      </c>
      <c r="BB110" s="4329"/>
      <c r="BC110" s="4276">
        <f t="shared" ref="BC110:BC116" si="194">AS110+AW110+BA110</f>
        <v>6129.5000000000146</v>
      </c>
      <c r="BD110" s="4274"/>
      <c r="BE110" s="4270">
        <f t="shared" ref="BE110:BE116" si="195">AO110+BC110</f>
        <v>13150.750000000033</v>
      </c>
      <c r="BF110" s="4274"/>
      <c r="BG110" s="4278">
        <f t="shared" ref="BG110:BG116" si="196">+AY110+BA110</f>
        <v>29866.450000000037</v>
      </c>
      <c r="BH110" s="26">
        <f t="shared" si="88"/>
        <v>0</v>
      </c>
      <c r="BI110" s="26"/>
    </row>
    <row r="111" spans="1:61" ht="15" customHeight="1" thickBot="1" x14ac:dyDescent="0.35">
      <c r="A111" s="1257"/>
      <c r="B111" s="1257"/>
      <c r="C111" s="6367"/>
      <c r="D111" s="4284" t="s">
        <v>968</v>
      </c>
      <c r="E111" s="4284"/>
      <c r="F111" s="4285"/>
      <c r="G111" s="4286">
        <f>+SUMIF(WRM!$C$7:$C$141,$D111,WRM!F$7:F$141)</f>
        <v>729.8</v>
      </c>
      <c r="H111" s="4286">
        <f>+SUMIF(WRM!$C$7:$C$141,$D111,WRM!G$7:G$141)</f>
        <v>0</v>
      </c>
      <c r="I111" s="4286">
        <f>+SUMIF(WRM!$C$7:$C$141,$D111,WRM!H$7:H$141)</f>
        <v>1344.8000000000002</v>
      </c>
      <c r="J111" s="4286">
        <f>+SUMIF(WRM!$C$7:$C$141,$D111,WRM!I$7:I$141)</f>
        <v>0</v>
      </c>
      <c r="K111" s="4275">
        <f t="shared" si="175"/>
        <v>2074.6000000000004</v>
      </c>
      <c r="L111" s="4286">
        <f>+SUMIF(WRM!$C$7:$C$141,$D111,WRM!K$7:K$141)</f>
        <v>0</v>
      </c>
      <c r="M111" s="4286">
        <f>+SUMIF(WRM!$C$7:$C$141,$D111,WRM!L$7:L$141)</f>
        <v>0</v>
      </c>
      <c r="N111" s="4286"/>
      <c r="O111" s="4276">
        <f t="shared" si="176"/>
        <v>2074.6000000000004</v>
      </c>
      <c r="P111" s="4286"/>
      <c r="Q111" s="4286">
        <f>+SUMIF(WRM!$C$7:$C$141,$D111,WRM!P$7:P$141)</f>
        <v>1381.7</v>
      </c>
      <c r="R111" s="4286">
        <f>+SUMIF(WRM!$C$7:$C$141,$D111,WRM!Q$7:Q$141)</f>
        <v>0</v>
      </c>
      <c r="S111" s="4275">
        <f t="shared" si="178"/>
        <v>3456.3</v>
      </c>
      <c r="T111" s="4286">
        <f>+SUMIF(WRM!$C$7:$C$141,$D111,WRM!S$7:S$141)</f>
        <v>0</v>
      </c>
      <c r="U111" s="4286">
        <f>+SUMIF(WRM!$C$7:$C$141,$D111,WRM!T$7:T$141)</f>
        <v>457.15000000000003</v>
      </c>
      <c r="V111" s="4286">
        <f>+SUMIF(WRM!$C$7:$C$141,$D111,WRM!U$7:U$141)</f>
        <v>0</v>
      </c>
      <c r="W111" s="4275">
        <f t="shared" si="179"/>
        <v>3913.4500000000003</v>
      </c>
      <c r="X111" s="4286">
        <f>+SUMIF(WRM!$C$7:$C$141,$D111,WRM!W$7:W$141)</f>
        <v>0</v>
      </c>
      <c r="Y111" s="4286">
        <f>+SUMIF(WRM!$C$7:$C$141,$D111,WRM!X$7:X$141)</f>
        <v>530.95000000000005</v>
      </c>
      <c r="Z111" s="4286"/>
      <c r="AA111" s="4276">
        <f t="shared" si="181"/>
        <v>2369.8000000000002</v>
      </c>
      <c r="AB111" s="4286"/>
      <c r="AC111" s="4277">
        <f t="shared" si="182"/>
        <v>4444.4000000000005</v>
      </c>
      <c r="AD111" s="4286"/>
      <c r="AE111" s="4286">
        <f>+SUMIF(WRM!$C$7:$C$141,$D111,WRM!AD$7:AD$141)</f>
        <v>1262.8</v>
      </c>
      <c r="AF111" s="4286">
        <f>+SUMIF(WRM!$C$7:$C$141,$D111,WRM!AE$7:AE$141)</f>
        <v>0</v>
      </c>
      <c r="AG111" s="4275">
        <f t="shared" si="183"/>
        <v>5707.2000000000007</v>
      </c>
      <c r="AH111" s="4286">
        <f>+SUMIF(WRM!$C$7:$C$141,$D111,WRM!AG$7:AG$141)</f>
        <v>0</v>
      </c>
      <c r="AI111" s="4286">
        <f>+SUMIF(WRM!$C$7:$C$141,$D111,WRM!AH$7:AH$141)</f>
        <v>209.1</v>
      </c>
      <c r="AJ111" s="4286"/>
      <c r="AK111" s="4278">
        <f t="shared" si="185"/>
        <v>5916.3000000000011</v>
      </c>
      <c r="AL111" s="4286">
        <f>+SUMIF(WRM!$C$7:$C$141,$D111,WRM!AK$7:AK$141)</f>
        <v>0</v>
      </c>
      <c r="AM111" s="4286">
        <f>+SUMIF(WRM!$C$7:$C$141,$D111,WRM!AL$7:AL$141)</f>
        <v>2218.1000000000004</v>
      </c>
      <c r="AN111" s="4331"/>
      <c r="AO111" s="4276">
        <f t="shared" si="187"/>
        <v>3690</v>
      </c>
      <c r="AP111" s="4286"/>
      <c r="AQ111" s="4278">
        <f t="shared" si="188"/>
        <v>8134.4000000000015</v>
      </c>
      <c r="AR111" s="4286">
        <f>+SUMIF(WRM!$C$7:$C$141,$D111,WRM!AQ$7:AQ$141)</f>
        <v>0</v>
      </c>
      <c r="AS111" s="4286">
        <f>+SUMIF(WRM!$C$7:$C$141,$D111,WRM!AR$7:AR$141)</f>
        <v>2568.6500000000005</v>
      </c>
      <c r="AT111" s="4286"/>
      <c r="AU111" s="4278">
        <f t="shared" si="190"/>
        <v>10703.050000000003</v>
      </c>
      <c r="AV111" s="4286">
        <f>+SUMIF(WRM!$C$7:$C$141,$D111,WRM!AU$7:AU$141)</f>
        <v>0</v>
      </c>
      <c r="AW111" s="4286">
        <f>+SUMIF(WRM!$C$7:$C$141,$D111,WRM!AV$7:AV$141)</f>
        <v>186.54999999999995</v>
      </c>
      <c r="AX111" s="4286"/>
      <c r="AY111" s="4278">
        <f t="shared" si="192"/>
        <v>10889.600000000002</v>
      </c>
      <c r="AZ111" s="4286">
        <f>+SUMIF(WRM!$C$7:$C$141,$D111,WRM!AY$7:AY$141)</f>
        <v>0</v>
      </c>
      <c r="BA111" s="4286">
        <f>+SUMIF(WRM!$C$7:$C$141,$D111,WRM!AZ$7:AZ$141)</f>
        <v>0</v>
      </c>
      <c r="BB111" s="4331"/>
      <c r="BC111" s="4276">
        <f t="shared" si="194"/>
        <v>2755.2000000000007</v>
      </c>
      <c r="BD111" s="4286"/>
      <c r="BE111" s="4270">
        <f t="shared" si="195"/>
        <v>6445.2000000000007</v>
      </c>
      <c r="BF111" s="4286"/>
      <c r="BG111" s="4278">
        <f t="shared" si="196"/>
        <v>10889.600000000002</v>
      </c>
      <c r="BH111" s="26">
        <f t="shared" si="88"/>
        <v>0</v>
      </c>
      <c r="BI111" s="26"/>
    </row>
    <row r="112" spans="1:61" ht="15" customHeight="1" thickBot="1" x14ac:dyDescent="0.35">
      <c r="A112" s="1257"/>
      <c r="B112" s="1257"/>
      <c r="C112" s="6367"/>
      <c r="D112" s="4284" t="s">
        <v>1127</v>
      </c>
      <c r="E112" s="4284"/>
      <c r="F112" s="4285"/>
      <c r="G112" s="4286">
        <f>+SUMIF(WRM!$C$7:$C$141,$D112,WRM!F$7:F$141)</f>
        <v>391.55</v>
      </c>
      <c r="H112" s="4286"/>
      <c r="I112" s="4286">
        <f>+SUMIF(WRM!$C$7:$C$141,$D112,WRM!H$7:H$141)</f>
        <v>1125.45</v>
      </c>
      <c r="J112" s="4286">
        <f>+SUMIF(WRM!$C$7:$C$141,$D112,WRM!I$7:I$141)</f>
        <v>0</v>
      </c>
      <c r="K112" s="4275">
        <f t="shared" si="175"/>
        <v>1517</v>
      </c>
      <c r="L112" s="4286">
        <f>+SUMIF(WRM!$C$7:$C$141,$D112,WRM!K$7:K$141)</f>
        <v>0</v>
      </c>
      <c r="M112" s="4286">
        <f>+SUMIF(WRM!$C$7:$C$141,$D112,WRM!L$7:L$141)</f>
        <v>578.1</v>
      </c>
      <c r="N112" s="4286"/>
      <c r="O112" s="4276">
        <f t="shared" si="176"/>
        <v>2095.1</v>
      </c>
      <c r="P112" s="4286"/>
      <c r="Q112" s="4286">
        <f>+SUMIF(WRM!$C$7:$C$141,$D112,WRM!P$7:P$141)</f>
        <v>1443.2000000000003</v>
      </c>
      <c r="R112" s="4286">
        <f>+SUMIF(WRM!$C$7:$C$141,$D112,WRM!Q$7:Q$141)</f>
        <v>0</v>
      </c>
      <c r="S112" s="4275">
        <f t="shared" si="178"/>
        <v>3538.3</v>
      </c>
      <c r="T112" s="4286">
        <f>+SUMIF(WRM!$C$7:$C$141,$D112,WRM!S$7:S$141)</f>
        <v>0</v>
      </c>
      <c r="U112" s="4286">
        <f>+SUMIF(WRM!$C$7:$C$141,$D112,WRM!T$7:T$141)</f>
        <v>4214.8</v>
      </c>
      <c r="V112" s="4286">
        <f>+SUMIF(WRM!$C$7:$C$141,$D112,WRM!U$7:U$141)</f>
        <v>0</v>
      </c>
      <c r="W112" s="4275">
        <f t="shared" si="179"/>
        <v>7753.1</v>
      </c>
      <c r="X112" s="4286">
        <f>+SUMIF(WRM!$C$7:$C$141,$D112,WRM!W$7:W$141)</f>
        <v>0</v>
      </c>
      <c r="Y112" s="4286">
        <f>+SUMIF(WRM!$C$7:$C$141,$D112,WRM!X$7:X$141)</f>
        <v>2433.35</v>
      </c>
      <c r="Z112" s="4286"/>
      <c r="AA112" s="4276">
        <f t="shared" si="181"/>
        <v>8091.35</v>
      </c>
      <c r="AB112" s="4286"/>
      <c r="AC112" s="4277">
        <f t="shared" si="182"/>
        <v>10186.450000000001</v>
      </c>
      <c r="AD112" s="4286"/>
      <c r="AE112" s="4286">
        <f>+SUMIF(WRM!$C$7:$C$141,$D112,WRM!AD$7:AD$141)</f>
        <v>590.40000000000009</v>
      </c>
      <c r="AF112" s="4286">
        <f>+SUMIF(WRM!$C$7:$C$141,$D112,WRM!AE$7:AE$141)</f>
        <v>0</v>
      </c>
      <c r="AG112" s="4275">
        <f t="shared" si="183"/>
        <v>10776.85</v>
      </c>
      <c r="AH112" s="4286">
        <f>+SUMIF(WRM!$C$7:$C$141,$D112,WRM!AG$7:AG$141)</f>
        <v>0</v>
      </c>
      <c r="AI112" s="4286">
        <f>+SUMIF(WRM!$C$7:$C$141,$D112,WRM!AH$7:AH$141)</f>
        <v>389.5</v>
      </c>
      <c r="AJ112" s="4286"/>
      <c r="AK112" s="4278">
        <f t="shared" si="185"/>
        <v>11166.35</v>
      </c>
      <c r="AL112" s="4286">
        <f>+SUMIF(WRM!$C$7:$C$141,$D112,WRM!AK$7:AK$141)</f>
        <v>0</v>
      </c>
      <c r="AM112" s="4286">
        <f>+SUMIF(WRM!$C$7:$C$141,$D112,WRM!AL$7:AL$141)</f>
        <v>2166.8500000000004</v>
      </c>
      <c r="AN112" s="4331"/>
      <c r="AO112" s="4276">
        <f t="shared" si="187"/>
        <v>3146.7500000000005</v>
      </c>
      <c r="AP112" s="4286"/>
      <c r="AQ112" s="4278">
        <f t="shared" si="188"/>
        <v>13333.2</v>
      </c>
      <c r="AR112" s="4286">
        <f>+SUMIF(WRM!$C$7:$C$141,$D112,WRM!AQ$7:AQ$141)</f>
        <v>0</v>
      </c>
      <c r="AS112" s="4286">
        <f>+SUMIF(WRM!$C$7:$C$141,$D112,WRM!AR$7:AR$141)</f>
        <v>2164.7999999999993</v>
      </c>
      <c r="AT112" s="4286"/>
      <c r="AU112" s="4278">
        <f t="shared" si="190"/>
        <v>15498</v>
      </c>
      <c r="AV112" s="4286">
        <f>+SUMIF(WRM!$C$7:$C$141,$D112,WRM!AU$7:AU$141)</f>
        <v>0</v>
      </c>
      <c r="AW112" s="4286">
        <f>+SUMIF(WRM!$C$7:$C$141,$D112,WRM!AV$7:AV$141)</f>
        <v>235.75</v>
      </c>
      <c r="AX112" s="4286"/>
      <c r="AY112" s="4278">
        <f t="shared" si="192"/>
        <v>15733.75</v>
      </c>
      <c r="AZ112" s="4286">
        <f>+SUMIF(WRM!$C$7:$C$141,$D112,WRM!AY$7:AY$141)</f>
        <v>0</v>
      </c>
      <c r="BA112" s="4286">
        <f>+SUMIF(WRM!$C$7:$C$141,$D112,WRM!AZ$7:AZ$141)</f>
        <v>328</v>
      </c>
      <c r="BB112" s="4331"/>
      <c r="BC112" s="4276">
        <f t="shared" si="194"/>
        <v>2728.5499999999993</v>
      </c>
      <c r="BD112" s="4286"/>
      <c r="BE112" s="4270">
        <f t="shared" si="195"/>
        <v>5875.2999999999993</v>
      </c>
      <c r="BF112" s="4286"/>
      <c r="BG112" s="4278">
        <f t="shared" si="196"/>
        <v>16061.75</v>
      </c>
      <c r="BH112" s="26">
        <f t="shared" si="88"/>
        <v>0</v>
      </c>
      <c r="BI112" s="26"/>
    </row>
    <row r="113" spans="1:61" ht="15" customHeight="1" thickBot="1" x14ac:dyDescent="0.35">
      <c r="A113" s="1257"/>
      <c r="B113" s="1257"/>
      <c r="C113" s="6368"/>
      <c r="D113" s="5606" t="s">
        <v>1892</v>
      </c>
      <c r="E113" s="5606"/>
      <c r="F113" s="5607"/>
      <c r="G113" s="4286">
        <f>+SUMIF(WRM!$C$7:$C$141,$D113,WRM!F$7:F$141)</f>
        <v>0</v>
      </c>
      <c r="H113" s="4286"/>
      <c r="I113" s="4286">
        <f>+SUMIF(WRM!$C$7:$C$141,$D113,WRM!H$7:H$141)</f>
        <v>225.5</v>
      </c>
      <c r="J113" s="4286">
        <f>+SUMIF(WRM!$C$7:$C$141,$D113,WRM!I$7:I$141)</f>
        <v>0</v>
      </c>
      <c r="K113" s="4275">
        <f t="shared" ref="K113" si="197">+G113+I113</f>
        <v>225.5</v>
      </c>
      <c r="L113" s="4286">
        <f>+SUMIF(WRM!$C$7:$C$141,$D113,WRM!K$7:K$141)</f>
        <v>0</v>
      </c>
      <c r="M113" s="4286">
        <f>+SUMIF(WRM!$C$7:$C$141,$D113,WRM!L$7:L$141)</f>
        <v>209.1</v>
      </c>
      <c r="N113" s="4286"/>
      <c r="O113" s="4276">
        <f t="shared" ref="O113" si="198">+G113+I113+M113</f>
        <v>434.6</v>
      </c>
      <c r="P113" s="4286"/>
      <c r="Q113" s="4286">
        <f>+SUMIF(WRM!$C$7:$C$141,$D113,WRM!P$7:P$141)</f>
        <v>0</v>
      </c>
      <c r="R113" s="4286">
        <f>+SUMIF(WRM!$C$7:$C$141,$D113,WRM!Q$7:Q$141)</f>
        <v>0</v>
      </c>
      <c r="S113" s="4275">
        <f t="shared" ref="S113" si="199">O113+Q113</f>
        <v>434.6</v>
      </c>
      <c r="T113" s="4286">
        <f>+SUMIF(WRM!$C$7:$C$141,$D113,WRM!S$7:S$141)</f>
        <v>0</v>
      </c>
      <c r="U113" s="4286">
        <f>+SUMIF(WRM!$C$7:$C$141,$D113,WRM!T$7:T$141)</f>
        <v>217.3</v>
      </c>
      <c r="V113" s="4286">
        <f>+SUMIF(WRM!$C$7:$C$141,$D113,WRM!U$7:U$141)</f>
        <v>0</v>
      </c>
      <c r="W113" s="4275">
        <f t="shared" ref="W113" si="200">S113+U113</f>
        <v>651.90000000000009</v>
      </c>
      <c r="X113" s="4286">
        <f>+SUMIF(WRM!$C$7:$C$141,$D113,WRM!W$7:W$141)</f>
        <v>0</v>
      </c>
      <c r="Y113" s="4286">
        <f>+SUMIF(WRM!$C$7:$C$141,$D113,WRM!X$7:X$141)</f>
        <v>608.85</v>
      </c>
      <c r="Z113" s="4286"/>
      <c r="AA113" s="4276">
        <f t="shared" ref="AA113" si="201">Q113+U113+Y113</f>
        <v>826.15000000000009</v>
      </c>
      <c r="AB113" s="4286"/>
      <c r="AC113" s="4277">
        <f t="shared" ref="AC113" si="202">O113+AA113</f>
        <v>1260.75</v>
      </c>
      <c r="AD113" s="4286"/>
      <c r="AE113" s="4286">
        <f>+SUMIF(WRM!$C$7:$C$141,$D113,WRM!AD$7:AD$141)</f>
        <v>0</v>
      </c>
      <c r="AF113" s="4286">
        <f>+SUMIF(WRM!$C$7:$C$141,$D113,WRM!AE$7:AE$141)</f>
        <v>0</v>
      </c>
      <c r="AG113" s="4275">
        <f t="shared" ref="AG113" si="203">+AC113+AE113</f>
        <v>1260.75</v>
      </c>
      <c r="AH113" s="4286">
        <f>+SUMIF(WRM!$C$7:$C$141,$D113,WRM!AG$7:AG$141)</f>
        <v>0</v>
      </c>
      <c r="AI113" s="4286">
        <f>+SUMIF(WRM!$C$7:$C$141,$D113,WRM!AH$7:AH$141)</f>
        <v>0</v>
      </c>
      <c r="AJ113" s="4286"/>
      <c r="AK113" s="4278">
        <f t="shared" ref="AK113" si="204">+AG113+AI113</f>
        <v>1260.75</v>
      </c>
      <c r="AL113" s="4286">
        <f>+SUMIF(WRM!$C$7:$C$141,$D113,WRM!AK$7:AK$141)</f>
        <v>0</v>
      </c>
      <c r="AM113" s="4286">
        <f>+SUMIF(WRM!$C$7:$C$141,$D113,WRM!AL$7:AL$141)</f>
        <v>0</v>
      </c>
      <c r="AN113" s="4331"/>
      <c r="AO113" s="4276">
        <f t="shared" ref="AO113" si="205">AE113+AI113+AM113</f>
        <v>0</v>
      </c>
      <c r="AP113" s="4286"/>
      <c r="AQ113" s="4278">
        <f t="shared" si="188"/>
        <v>1260.75</v>
      </c>
      <c r="AR113" s="4286">
        <f>+SUMIF(WRM!$C$7:$C$141,$D113,WRM!AQ$7:AQ$141)</f>
        <v>0</v>
      </c>
      <c r="AS113" s="4286">
        <f>+SUMIF(WRM!$C$7:$C$141,$D113,WRM!AR$7:AR$141)</f>
        <v>239.85</v>
      </c>
      <c r="AT113" s="4286"/>
      <c r="AU113" s="4278">
        <f t="shared" ref="AU113" si="206">+AQ113+AS113</f>
        <v>1500.6</v>
      </c>
      <c r="AV113" s="4286">
        <f>+SUMIF(WRM!$C$7:$C$141,$D113,WRM!AU$7:AU$141)</f>
        <v>0</v>
      </c>
      <c r="AW113" s="4286">
        <f>+SUMIF(WRM!$C$7:$C$141,$D113,WRM!AV$7:AV$141)</f>
        <v>0</v>
      </c>
      <c r="AX113" s="4286"/>
      <c r="AY113" s="4278">
        <f t="shared" ref="AY113" si="207">+AU113+AW113</f>
        <v>1500.6</v>
      </c>
      <c r="AZ113" s="4286">
        <f>+SUMIF(WRM!$C$7:$C$141,$D113,WRM!AY$7:AY$141)</f>
        <v>0</v>
      </c>
      <c r="BA113" s="4286">
        <f>+SUMIF(WRM!$C$7:$C$141,$D113,WRM!AZ$7:AZ$141)</f>
        <v>0</v>
      </c>
      <c r="BB113" s="4331"/>
      <c r="BC113" s="4276">
        <f t="shared" ref="BC113" si="208">AS113+AW113+BA113</f>
        <v>239.85</v>
      </c>
      <c r="BD113" s="4286"/>
      <c r="BE113" s="4270">
        <f t="shared" ref="BE113" si="209">AO113+BC113</f>
        <v>239.85</v>
      </c>
      <c r="BF113" s="4286"/>
      <c r="BG113" s="4278">
        <f t="shared" ref="BG113" si="210">+AY113+BA113</f>
        <v>1500.6</v>
      </c>
      <c r="BH113" s="26"/>
      <c r="BI113" s="26"/>
    </row>
    <row r="114" spans="1:61" ht="15" customHeight="1" thickBot="1" x14ac:dyDescent="0.35">
      <c r="A114" s="1257"/>
      <c r="B114" s="1257"/>
      <c r="C114" s="6368"/>
      <c r="D114" s="5606" t="s">
        <v>2345</v>
      </c>
      <c r="E114" s="5606"/>
      <c r="F114" s="5607"/>
      <c r="G114" s="4286">
        <f>+SUMIF(WRM!$C$7:$C$141,$D114,WRM!F$7:F$141)</f>
        <v>0</v>
      </c>
      <c r="H114" s="4286"/>
      <c r="I114" s="4286">
        <f>+SUMIF(WRM!$C$7:$C$141,$D114,WRM!H$7:H$141)</f>
        <v>0</v>
      </c>
      <c r="J114" s="4286">
        <f>+SUMIF(WRM!$C$7:$C$141,$D114,WRM!I$7:I$141)</f>
        <v>0</v>
      </c>
      <c r="K114" s="4275">
        <f t="shared" ref="K114" si="211">+G114+I114</f>
        <v>0</v>
      </c>
      <c r="L114" s="4286">
        <f>+SUMIF(WRM!$C$7:$C$141,$D114,WRM!K$7:K$141)</f>
        <v>0</v>
      </c>
      <c r="M114" s="4286">
        <f>+SUMIF(WRM!$C$7:$C$141,$D114,WRM!L$7:L$141)</f>
        <v>0</v>
      </c>
      <c r="N114" s="4286"/>
      <c r="O114" s="4276">
        <f t="shared" ref="O114" si="212">+G114+I114+M114</f>
        <v>0</v>
      </c>
      <c r="P114" s="4286"/>
      <c r="Q114" s="4286">
        <f>+SUMIF(WRM!$C$7:$C$141,$D114,WRM!P$7:P$141)</f>
        <v>0</v>
      </c>
      <c r="R114" s="4286">
        <f>+SUMIF(WRM!$C$7:$C$141,$D114,WRM!Q$7:Q$141)</f>
        <v>0</v>
      </c>
      <c r="S114" s="4275">
        <f t="shared" ref="S114" si="213">O114+Q114</f>
        <v>0</v>
      </c>
      <c r="T114" s="4286">
        <f>+SUMIF(WRM!$C$7:$C$141,$D114,WRM!S$7:S$141)</f>
        <v>0</v>
      </c>
      <c r="U114" s="4286">
        <f>+SUMIF(WRM!$C$7:$C$141,$D114,WRM!T$7:T$141)</f>
        <v>0</v>
      </c>
      <c r="V114" s="4286">
        <f>+SUMIF(WRM!$C$7:$C$141,$D114,WRM!U$7:U$141)</f>
        <v>0</v>
      </c>
      <c r="W114" s="4275">
        <f t="shared" ref="W114" si="214">S114+U114</f>
        <v>0</v>
      </c>
      <c r="X114" s="4286">
        <f>+SUMIF(WRM!$C$7:$C$141,$D114,WRM!W$7:W$141)</f>
        <v>0</v>
      </c>
      <c r="Y114" s="4286">
        <f>+SUMIF(WRM!$C$7:$C$141,$D114,WRM!X$7:X$141)</f>
        <v>0</v>
      </c>
      <c r="Z114" s="4286"/>
      <c r="AA114" s="4276">
        <f t="shared" ref="AA114" si="215">Q114+U114+Y114</f>
        <v>0</v>
      </c>
      <c r="AB114" s="4286"/>
      <c r="AC114" s="4277">
        <f t="shared" ref="AC114" si="216">O114+AA114</f>
        <v>0</v>
      </c>
      <c r="AD114" s="4286"/>
      <c r="AE114" s="4286">
        <f>+SUMIF(WRM!$C$7:$C$141,$D114,WRM!AD$7:AD$141)</f>
        <v>0</v>
      </c>
      <c r="AF114" s="4286">
        <f>+SUMIF(WRM!$C$7:$C$141,$D114,WRM!AE$7:AE$141)</f>
        <v>0</v>
      </c>
      <c r="AG114" s="4275">
        <f t="shared" ref="AG114" si="217">+AC114+AE114</f>
        <v>0</v>
      </c>
      <c r="AH114" s="4286">
        <f>+SUMIF(WRM!$C$7:$C$141,$D114,WRM!AG$7:AG$141)</f>
        <v>0</v>
      </c>
      <c r="AI114" s="4286">
        <f>+SUMIF(WRM!$C$7:$C$141,$D114,WRM!AH$7:AH$141)</f>
        <v>0</v>
      </c>
      <c r="AJ114" s="4286"/>
      <c r="AK114" s="4278">
        <f t="shared" ref="AK114" si="218">+AG114+AI114</f>
        <v>0</v>
      </c>
      <c r="AL114" s="4286">
        <f>+SUMIF(WRM!$C$7:$C$141,$D114,WRM!AK$7:AK$141)</f>
        <v>0</v>
      </c>
      <c r="AM114" s="4286">
        <f>+SUMIF(WRM!$C$7:$C$141,$D114,WRM!AL$7:AL$141)</f>
        <v>0</v>
      </c>
      <c r="AN114" s="4331"/>
      <c r="AO114" s="4276">
        <f t="shared" ref="AO114" si="219">AE114+AI114+AM114</f>
        <v>0</v>
      </c>
      <c r="AP114" s="4286"/>
      <c r="AQ114" s="4278">
        <f t="shared" si="188"/>
        <v>0</v>
      </c>
      <c r="AR114" s="4286">
        <f>+SUMIF(WRM!$C$7:$C$141,$D114,WRM!AQ$7:AQ$141)</f>
        <v>0</v>
      </c>
      <c r="AS114" s="4286">
        <f>+SUMIF(WRM!$C$7:$C$141,$D114,WRM!AR$7:AR$141)</f>
        <v>0</v>
      </c>
      <c r="AT114" s="4286"/>
      <c r="AU114" s="4278">
        <f t="shared" ref="AU114" si="220">+AQ114+AS114</f>
        <v>0</v>
      </c>
      <c r="AV114" s="4286">
        <f>+SUMIF(WRM!$C$7:$C$141,$D114,WRM!AU$7:AU$141)</f>
        <v>0</v>
      </c>
      <c r="AW114" s="4286">
        <f>+SUMIF(WRM!$C$7:$C$141,$D114,WRM!AV$7:AV$141)</f>
        <v>0</v>
      </c>
      <c r="AX114" s="4286"/>
      <c r="AY114" s="4278">
        <f t="shared" ref="AY114" si="221">+AU114+AW114</f>
        <v>0</v>
      </c>
      <c r="AZ114" s="4286">
        <f>+SUMIF(WRM!$C$7:$C$141,$D114,WRM!AY$7:AY$141)</f>
        <v>0</v>
      </c>
      <c r="BA114" s="4286">
        <f>+SUMIF(WRM!$C$7:$C$141,$D114,WRM!AZ$7:AZ$141)</f>
        <v>278.8</v>
      </c>
      <c r="BB114" s="4331"/>
      <c r="BC114" s="4276">
        <f t="shared" ref="BC114" si="222">AS114+AW114+BA114</f>
        <v>278.8</v>
      </c>
      <c r="BD114" s="4286"/>
      <c r="BE114" s="4270">
        <f t="shared" ref="BE114" si="223">AO114+BC114</f>
        <v>278.8</v>
      </c>
      <c r="BF114" s="4286"/>
      <c r="BG114" s="4278">
        <f t="shared" ref="BG114" si="224">+AY114+BA114</f>
        <v>278.8</v>
      </c>
      <c r="BH114" s="26"/>
      <c r="BI114" s="26"/>
    </row>
    <row r="115" spans="1:61" ht="15" customHeight="1" thickBot="1" x14ac:dyDescent="0.35">
      <c r="A115" s="1257"/>
      <c r="B115" s="1257"/>
      <c r="C115" s="6367"/>
      <c r="D115" s="4284" t="s">
        <v>1062</v>
      </c>
      <c r="E115" s="4284"/>
      <c r="F115" s="4285"/>
      <c r="G115" s="4286">
        <f>+SUMIF(WRM!$C$7:$C$141,$D115,WRM!F$7:F$141)</f>
        <v>221.40000000000003</v>
      </c>
      <c r="H115" s="4286"/>
      <c r="I115" s="4286">
        <f>+SUMIF(WRM!$C$7:$C$141,$D115,WRM!H$7:H$141)</f>
        <v>321.85000000000002</v>
      </c>
      <c r="J115" s="4286">
        <f>+SUMIF(WRM!$C$7:$C$141,$D115,WRM!I$7:I$141)</f>
        <v>0</v>
      </c>
      <c r="K115" s="4275">
        <f t="shared" si="175"/>
        <v>543.25</v>
      </c>
      <c r="L115" s="4286">
        <f>+SUMIF(WRM!$C$7:$C$141,$D115,WRM!K$7:K$141)</f>
        <v>0</v>
      </c>
      <c r="M115" s="4286">
        <f>+SUMIF(WRM!$C$7:$C$141,$D115,WRM!L$7:L$141)</f>
        <v>51.25</v>
      </c>
      <c r="N115" s="4286"/>
      <c r="O115" s="4276">
        <f t="shared" si="176"/>
        <v>594.5</v>
      </c>
      <c r="P115" s="4286"/>
      <c r="Q115" s="4286">
        <f>+SUMIF(WRM!$C$7:$C$141,$D115,WRM!P$7:P$141)</f>
        <v>38.949999999999996</v>
      </c>
      <c r="R115" s="4286">
        <f>+SUMIF(WRM!$C$7:$C$141,$D115,WRM!Q$7:Q$141)</f>
        <v>0</v>
      </c>
      <c r="S115" s="4275">
        <f t="shared" si="178"/>
        <v>633.45000000000005</v>
      </c>
      <c r="T115" s="4286">
        <f>+SUMIF(WRM!$C$7:$C$141,$D115,WRM!S$7:S$141)</f>
        <v>0</v>
      </c>
      <c r="U115" s="4286">
        <f>+SUMIF(WRM!$C$7:$C$141,$D115,WRM!T$7:T$141)</f>
        <v>170.15</v>
      </c>
      <c r="V115" s="4286">
        <f>+SUMIF(WRM!$C$7:$C$141,$D115,WRM!U$7:U$141)</f>
        <v>0</v>
      </c>
      <c r="W115" s="4275">
        <f t="shared" si="179"/>
        <v>803.6</v>
      </c>
      <c r="X115" s="4286">
        <f>+SUMIF(WRM!$C$7:$C$141,$D115,WRM!W$7:W$141)</f>
        <v>0</v>
      </c>
      <c r="Y115" s="4286">
        <f>+SUMIF(WRM!$C$7:$C$141,$D115,WRM!X$7:X$141)</f>
        <v>20.5</v>
      </c>
      <c r="Z115" s="4286"/>
      <c r="AA115" s="4276">
        <f t="shared" si="181"/>
        <v>229.6</v>
      </c>
      <c r="AB115" s="4286"/>
      <c r="AC115" s="4277">
        <f t="shared" si="182"/>
        <v>824.1</v>
      </c>
      <c r="AD115" s="4286"/>
      <c r="AE115" s="4286">
        <f>+SUMIF(WRM!$C$7:$C$141,$D115,WRM!AD$7:AD$141)</f>
        <v>63.55</v>
      </c>
      <c r="AF115" s="4286">
        <f>+SUMIF(WRM!$C$7:$C$141,$D115,WRM!AE$7:AE$141)</f>
        <v>0</v>
      </c>
      <c r="AG115" s="4275">
        <f t="shared" si="183"/>
        <v>887.65</v>
      </c>
      <c r="AH115" s="4286">
        <f>+SUMIF(WRM!$C$7:$C$141,$D115,WRM!AG$7:AG$141)</f>
        <v>0</v>
      </c>
      <c r="AI115" s="4286">
        <f>+SUMIF(WRM!$C$7:$C$141,$D115,WRM!AH$7:AH$141)</f>
        <v>24.6</v>
      </c>
      <c r="AJ115" s="4286"/>
      <c r="AK115" s="4278">
        <f t="shared" si="185"/>
        <v>912.25</v>
      </c>
      <c r="AL115" s="4286">
        <f>+SUMIF(WRM!$C$7:$C$141,$D115,WRM!AK$7:AK$141)</f>
        <v>0</v>
      </c>
      <c r="AM115" s="4286">
        <f>+SUMIF(WRM!$C$7:$C$141,$D115,WRM!AL$7:AL$141)</f>
        <v>96.35</v>
      </c>
      <c r="AN115" s="4331"/>
      <c r="AO115" s="4276">
        <f t="shared" si="187"/>
        <v>184.5</v>
      </c>
      <c r="AP115" s="4286"/>
      <c r="AQ115" s="4278">
        <f t="shared" si="188"/>
        <v>1008.6</v>
      </c>
      <c r="AR115" s="4286">
        <f>+SUMIF(WRM!$C$7:$C$141,$D115,WRM!AQ$7:AQ$141)</f>
        <v>0</v>
      </c>
      <c r="AS115" s="4286">
        <f>+SUMIF(WRM!$C$7:$C$141,$D115,WRM!AR$7:AR$141)</f>
        <v>30.75</v>
      </c>
      <c r="AT115" s="4286"/>
      <c r="AU115" s="4278">
        <f t="shared" si="190"/>
        <v>1039.3499999999999</v>
      </c>
      <c r="AV115" s="4286">
        <f>+SUMIF(WRM!$C$7:$C$141,$D115,WRM!AU$7:AU$141)</f>
        <v>0</v>
      </c>
      <c r="AW115" s="4286">
        <f>+SUMIF(WRM!$C$7:$C$141,$D115,WRM!AV$7:AV$141)</f>
        <v>57.4</v>
      </c>
      <c r="AX115" s="4286"/>
      <c r="AY115" s="4278">
        <f t="shared" si="192"/>
        <v>1096.75</v>
      </c>
      <c r="AZ115" s="4286">
        <f>+SUMIF(WRM!$C$7:$C$141,$D115,WRM!AY$7:AY$141)</f>
        <v>0</v>
      </c>
      <c r="BA115" s="4286">
        <f>+SUMIF(WRM!$C$7:$C$141,$D115,WRM!AZ$7:AZ$141)</f>
        <v>38.950000000000003</v>
      </c>
      <c r="BB115" s="4331"/>
      <c r="BC115" s="4276">
        <f t="shared" si="194"/>
        <v>127.10000000000001</v>
      </c>
      <c r="BD115" s="4286"/>
      <c r="BE115" s="4270">
        <f t="shared" si="195"/>
        <v>311.60000000000002</v>
      </c>
      <c r="BF115" s="4286"/>
      <c r="BG115" s="4278">
        <f t="shared" si="196"/>
        <v>1135.7</v>
      </c>
      <c r="BH115" s="26">
        <f t="shared" si="88"/>
        <v>0</v>
      </c>
      <c r="BI115" s="26"/>
    </row>
    <row r="116" spans="1:61" ht="15.75" customHeight="1" thickBot="1" x14ac:dyDescent="0.35">
      <c r="C116" s="6369"/>
      <c r="D116" s="4252" t="s">
        <v>2</v>
      </c>
      <c r="E116" s="4252"/>
      <c r="F116" s="4247"/>
      <c r="G116" s="4253">
        <f>SUM(G111:G115)</f>
        <v>1342.75</v>
      </c>
      <c r="H116" s="4253"/>
      <c r="I116" s="4253">
        <f>SUM(I111:I115)</f>
        <v>3017.6</v>
      </c>
      <c r="J116" s="4253"/>
      <c r="K116" s="4288">
        <f t="shared" si="175"/>
        <v>4360.3500000000004</v>
      </c>
      <c r="L116" s="4253"/>
      <c r="M116" s="4253">
        <f>SUM(M111:M115)</f>
        <v>838.45</v>
      </c>
      <c r="N116" s="4253"/>
      <c r="O116" s="4289">
        <f t="shared" si="176"/>
        <v>5198.8</v>
      </c>
      <c r="P116" s="4253"/>
      <c r="Q116" s="4253">
        <f t="shared" ref="Q116:AE116" si="225">SUM(Q111:Q115)</f>
        <v>2863.8500000000004</v>
      </c>
      <c r="R116" s="4253"/>
      <c r="S116" s="4288">
        <f t="shared" si="178"/>
        <v>8062.6500000000005</v>
      </c>
      <c r="T116" s="4253"/>
      <c r="U116" s="4253">
        <f t="shared" si="225"/>
        <v>5059.3999999999996</v>
      </c>
      <c r="V116" s="4253"/>
      <c r="W116" s="4288">
        <f t="shared" si="179"/>
        <v>13122.05</v>
      </c>
      <c r="X116" s="4253"/>
      <c r="Y116" s="4253">
        <f t="shared" ref="Y116" si="226">SUM(Y111:Y115)</f>
        <v>3593.65</v>
      </c>
      <c r="Z116" s="4253"/>
      <c r="AA116" s="4289">
        <f t="shared" si="181"/>
        <v>11516.9</v>
      </c>
      <c r="AB116" s="4253"/>
      <c r="AC116" s="4290">
        <f t="shared" si="182"/>
        <v>16715.7</v>
      </c>
      <c r="AD116" s="4253"/>
      <c r="AE116" s="4253">
        <f t="shared" si="225"/>
        <v>1916.75</v>
      </c>
      <c r="AF116" s="4253"/>
      <c r="AG116" s="4288">
        <f t="shared" si="183"/>
        <v>18632.45</v>
      </c>
      <c r="AH116" s="4253"/>
      <c r="AI116" s="4253">
        <f t="shared" ref="AI116" si="227">SUM(AI111:AI115)</f>
        <v>623.20000000000005</v>
      </c>
      <c r="AJ116" s="4253"/>
      <c r="AK116" s="4291">
        <f t="shared" si="185"/>
        <v>19255.650000000001</v>
      </c>
      <c r="AL116" s="4253"/>
      <c r="AM116" s="4253">
        <f t="shared" ref="AM116" si="228">SUM(AM111:AM115)</f>
        <v>4481.3000000000011</v>
      </c>
      <c r="AN116" s="4253"/>
      <c r="AO116" s="4289">
        <f t="shared" si="187"/>
        <v>7021.2500000000009</v>
      </c>
      <c r="AP116" s="4253"/>
      <c r="AQ116" s="4291">
        <f t="shared" si="188"/>
        <v>23736.950000000004</v>
      </c>
      <c r="AR116" s="4253"/>
      <c r="AS116" s="4253">
        <f t="shared" ref="AS116" si="229">SUM(AS111:AS115)</f>
        <v>5004.05</v>
      </c>
      <c r="AT116" s="4253"/>
      <c r="AU116" s="4291">
        <f t="shared" si="190"/>
        <v>28741.000000000004</v>
      </c>
      <c r="AV116" s="4253"/>
      <c r="AW116" s="4253">
        <f t="shared" ref="AW116" si="230">SUM(AW111:AW115)</f>
        <v>479.69999999999993</v>
      </c>
      <c r="AX116" s="4253"/>
      <c r="AY116" s="4291">
        <f t="shared" si="192"/>
        <v>29220.700000000004</v>
      </c>
      <c r="AZ116" s="4253"/>
      <c r="BA116" s="4253">
        <f t="shared" ref="BA116" si="231">SUM(BA111:BA115)</f>
        <v>645.75</v>
      </c>
      <c r="BB116" s="4253"/>
      <c r="BC116" s="4289">
        <f t="shared" si="194"/>
        <v>6129.5</v>
      </c>
      <c r="BD116" s="4253"/>
      <c r="BE116" s="4270">
        <f t="shared" si="195"/>
        <v>13150.75</v>
      </c>
      <c r="BF116" s="4253"/>
      <c r="BG116" s="4291">
        <f t="shared" si="196"/>
        <v>29866.450000000004</v>
      </c>
      <c r="BH116" s="26">
        <f t="shared" si="88"/>
        <v>0</v>
      </c>
      <c r="BI116" s="26"/>
    </row>
    <row r="117" spans="1:61" ht="21.75" hidden="1" customHeight="1" thickBot="1" x14ac:dyDescent="0.35">
      <c r="C117" s="5632"/>
      <c r="D117" s="5633" t="s">
        <v>1474</v>
      </c>
      <c r="E117" s="5634"/>
      <c r="F117" s="5634"/>
      <c r="G117" s="4286">
        <f>+G110-G116</f>
        <v>1.4551915228366852E-11</v>
      </c>
      <c r="H117" s="4286">
        <f t="shared" ref="H117:AK117" si="232">+H110-H116</f>
        <v>0</v>
      </c>
      <c r="I117" s="4286">
        <f t="shared" si="232"/>
        <v>0</v>
      </c>
      <c r="J117" s="4286">
        <f t="shared" si="232"/>
        <v>0</v>
      </c>
      <c r="K117" s="4286">
        <f t="shared" si="232"/>
        <v>1.2732925824820995E-11</v>
      </c>
      <c r="L117" s="4286">
        <f t="shared" si="232"/>
        <v>0</v>
      </c>
      <c r="M117" s="4286">
        <f t="shared" si="232"/>
        <v>-1.0231815394945443E-11</v>
      </c>
      <c r="N117" s="4286">
        <f t="shared" si="232"/>
        <v>0</v>
      </c>
      <c r="O117" s="4286">
        <f t="shared" si="232"/>
        <v>0</v>
      </c>
      <c r="P117" s="4286">
        <f t="shared" si="232"/>
        <v>0</v>
      </c>
      <c r="Q117" s="4286">
        <f t="shared" si="232"/>
        <v>-9.0949470177292824E-12</v>
      </c>
      <c r="R117" s="4286">
        <f t="shared" si="232"/>
        <v>0</v>
      </c>
      <c r="S117" s="4286">
        <f t="shared" si="232"/>
        <v>0</v>
      </c>
      <c r="T117" s="4286">
        <f t="shared" si="232"/>
        <v>0</v>
      </c>
      <c r="U117" s="4286">
        <f t="shared" si="232"/>
        <v>0</v>
      </c>
      <c r="V117" s="4286">
        <f t="shared" si="232"/>
        <v>0</v>
      </c>
      <c r="W117" s="4286">
        <f t="shared" si="232"/>
        <v>0</v>
      </c>
      <c r="X117" s="4286">
        <f t="shared" si="232"/>
        <v>0</v>
      </c>
      <c r="Y117" s="4286">
        <f t="shared" si="232"/>
        <v>8.6401996668428183E-12</v>
      </c>
      <c r="Z117" s="4286">
        <f t="shared" si="232"/>
        <v>0</v>
      </c>
      <c r="AA117" s="4286">
        <f t="shared" si="232"/>
        <v>0</v>
      </c>
      <c r="AB117" s="4286">
        <f t="shared" si="232"/>
        <v>0</v>
      </c>
      <c r="AC117" s="4286">
        <f t="shared" si="232"/>
        <v>0</v>
      </c>
      <c r="AD117" s="4286">
        <f t="shared" si="232"/>
        <v>0</v>
      </c>
      <c r="AE117" s="4286">
        <f t="shared" si="232"/>
        <v>3.637978807091713E-12</v>
      </c>
      <c r="AF117" s="4286">
        <f t="shared" si="232"/>
        <v>0</v>
      </c>
      <c r="AG117" s="4286">
        <f t="shared" si="232"/>
        <v>0</v>
      </c>
      <c r="AH117" s="4286">
        <f t="shared" si="232"/>
        <v>0</v>
      </c>
      <c r="AI117" s="4286">
        <f t="shared" si="232"/>
        <v>4.3200998334214091E-12</v>
      </c>
      <c r="AJ117" s="4286">
        <f t="shared" si="232"/>
        <v>0</v>
      </c>
      <c r="AK117" s="4286">
        <f t="shared" si="232"/>
        <v>0</v>
      </c>
      <c r="AL117" s="4286">
        <f t="shared" ref="AL117:AQ117" si="233">+AL110-AL116</f>
        <v>0</v>
      </c>
      <c r="AM117" s="4286">
        <f t="shared" si="233"/>
        <v>9.0949470177292824E-12</v>
      </c>
      <c r="AN117" s="4331"/>
      <c r="AO117" s="4286">
        <f t="shared" ref="AO117" si="234">+AO110-AO116</f>
        <v>1.7280399333685637E-11</v>
      </c>
      <c r="AP117" s="4286">
        <f t="shared" si="233"/>
        <v>0</v>
      </c>
      <c r="AQ117" s="4286">
        <f t="shared" si="233"/>
        <v>0</v>
      </c>
      <c r="AR117" s="4286">
        <f t="shared" ref="AR117:AU117" si="235">+AR110-AR116</f>
        <v>0</v>
      </c>
      <c r="AS117" s="4286">
        <f t="shared" si="235"/>
        <v>1.0004441719502211E-11</v>
      </c>
      <c r="AT117" s="4286">
        <f t="shared" si="235"/>
        <v>0</v>
      </c>
      <c r="AU117" s="4286">
        <f t="shared" si="235"/>
        <v>2.9103830456733704E-11</v>
      </c>
      <c r="AV117" s="4286">
        <f t="shared" ref="AV117:AY117" si="236">+AV110-AV116</f>
        <v>0</v>
      </c>
      <c r="AW117" s="4286">
        <f t="shared" si="236"/>
        <v>-2.8421709430404007E-12</v>
      </c>
      <c r="AX117" s="4286">
        <f t="shared" si="236"/>
        <v>0</v>
      </c>
      <c r="AY117" s="4286">
        <f t="shared" si="236"/>
        <v>0</v>
      </c>
      <c r="AZ117" s="4286">
        <f t="shared" ref="AZ117:BG117" si="237">+AZ110-AZ116</f>
        <v>0</v>
      </c>
      <c r="BA117" s="4286">
        <f t="shared" si="237"/>
        <v>7.2759576141834259E-12</v>
      </c>
      <c r="BB117" s="4331"/>
      <c r="BC117" s="4286">
        <f t="shared" ref="BC117:BE117" si="238">+BC110-BC116</f>
        <v>1.4551915228366852E-11</v>
      </c>
      <c r="BD117" s="4286">
        <f t="shared" si="238"/>
        <v>0</v>
      </c>
      <c r="BE117" s="4286">
        <f t="shared" si="238"/>
        <v>3.2741809263825417E-11</v>
      </c>
      <c r="BF117" s="4286">
        <f t="shared" si="237"/>
        <v>0</v>
      </c>
      <c r="BG117" s="4286">
        <f t="shared" si="237"/>
        <v>3.2741809263825417E-11</v>
      </c>
      <c r="BH117" s="26">
        <f t="shared" si="88"/>
        <v>2.6147972675971687E-12</v>
      </c>
      <c r="BI117" s="26"/>
    </row>
    <row r="118" spans="1:61" ht="21.75" customHeight="1" thickBot="1" x14ac:dyDescent="0.35">
      <c r="E118"/>
      <c r="K118"/>
      <c r="O118"/>
      <c r="S118"/>
      <c r="W118"/>
      <c r="X118"/>
      <c r="Y118"/>
      <c r="AA118"/>
      <c r="AB118"/>
      <c r="AC118"/>
      <c r="AG118"/>
      <c r="AK118"/>
      <c r="BH118" s="26">
        <f t="shared" si="88"/>
        <v>0</v>
      </c>
      <c r="BI118" s="26"/>
    </row>
    <row r="119" spans="1:61" ht="18.75" customHeight="1" thickBot="1" x14ac:dyDescent="0.35">
      <c r="C119" s="6363" t="s">
        <v>91</v>
      </c>
      <c r="D119" s="4262" t="s">
        <v>1480</v>
      </c>
      <c r="E119" s="4262"/>
      <c r="F119" s="4245"/>
      <c r="G119" s="4263">
        <f>+BM!F56</f>
        <v>66895.455000000031</v>
      </c>
      <c r="H119" s="4263"/>
      <c r="I119" s="4263">
        <f>+BM!H56</f>
        <v>76175.635000000068</v>
      </c>
      <c r="J119" s="4263"/>
      <c r="K119" s="4268">
        <f t="shared" ref="K119:K120" si="239">+G119+I119</f>
        <v>143071.09000000008</v>
      </c>
      <c r="L119" s="4263"/>
      <c r="M119" s="4263">
        <f>+BM!L56</f>
        <v>73644.015000000058</v>
      </c>
      <c r="N119" s="4263"/>
      <c r="O119" s="4269">
        <f t="shared" ref="O119:O120" si="240">+G119+I119+M119</f>
        <v>216715.10500000016</v>
      </c>
      <c r="P119" s="4263"/>
      <c r="Q119" s="4263">
        <f>+BM!P56</f>
        <v>88056.490000000107</v>
      </c>
      <c r="R119" s="4263"/>
      <c r="S119" s="4268">
        <f t="shared" ref="S119:S120" si="241">O119+Q119</f>
        <v>304771.59500000026</v>
      </c>
      <c r="T119" s="4263"/>
      <c r="U119" s="4263">
        <f>+BM!T56</f>
        <v>75853.695000000036</v>
      </c>
      <c r="V119" s="4263"/>
      <c r="W119" s="4268">
        <f t="shared" ref="W119:W120" si="242">S119+U119</f>
        <v>380625.29000000027</v>
      </c>
      <c r="X119" s="4263"/>
      <c r="Y119" s="4263">
        <f>+BM!X56</f>
        <v>76319.035000000062</v>
      </c>
      <c r="Z119" s="4263"/>
      <c r="AA119" s="4269">
        <f t="shared" ref="AA119:AA120" si="243">Q119+U119+Y119</f>
        <v>240229.2200000002</v>
      </c>
      <c r="AB119" s="4263"/>
      <c r="AC119" s="4270">
        <f t="shared" ref="AC119:AC120" si="244">O119+AA119</f>
        <v>456944.32500000036</v>
      </c>
      <c r="AD119" s="4263"/>
      <c r="AE119" s="4263">
        <f>+BM!AD56</f>
        <v>50950.275000000081</v>
      </c>
      <c r="AF119" s="4263"/>
      <c r="AG119" s="4268">
        <f t="shared" ref="AG119:AG120" si="245">+AC119+AE119</f>
        <v>507894.60000000044</v>
      </c>
      <c r="AH119" s="4263"/>
      <c r="AI119" s="4263">
        <f>+BM!AH56</f>
        <v>69720.765000000058</v>
      </c>
      <c r="AJ119" s="4263"/>
      <c r="AK119" s="4271">
        <f t="shared" ref="AK119:AK120" si="246">+AG119+AI119</f>
        <v>577615.36500000046</v>
      </c>
      <c r="AL119" s="4263"/>
      <c r="AM119" s="4263">
        <f>+BM!AL56</f>
        <v>81616.765000000145</v>
      </c>
      <c r="AN119" s="4263"/>
      <c r="AO119" s="4269">
        <f t="shared" ref="AO119:AO120" si="247">AE119+AI119+AM119</f>
        <v>202287.80500000028</v>
      </c>
      <c r="AP119" s="4263"/>
      <c r="AQ119" s="4271">
        <f>+AK119+AM119</f>
        <v>659232.13000000059</v>
      </c>
      <c r="AR119" s="4263"/>
      <c r="AS119" s="4263">
        <f>+BM!AR56</f>
        <v>85804.600000000122</v>
      </c>
      <c r="AT119" s="4263"/>
      <c r="AU119" s="4271">
        <f t="shared" ref="AU119:AU120" si="248">+AQ119+AS119</f>
        <v>745036.73000000068</v>
      </c>
      <c r="AV119" s="4263"/>
      <c r="AW119" s="4263">
        <f>+BM!AV56</f>
        <v>74058.320000000094</v>
      </c>
      <c r="AX119" s="4263"/>
      <c r="AY119" s="4271">
        <f t="shared" ref="AY119:AY120" si="249">+AU119+AW119</f>
        <v>819095.05000000075</v>
      </c>
      <c r="AZ119" s="4263"/>
      <c r="BA119" s="4263">
        <f>+BM!AZ56</f>
        <v>81200</v>
      </c>
      <c r="BB119" s="4263"/>
      <c r="BC119" s="4269">
        <f t="shared" ref="BC119:BC120" si="250">AS119+AW119+BA119</f>
        <v>241062.92000000022</v>
      </c>
      <c r="BD119" s="4263"/>
      <c r="BE119" s="4270">
        <f t="shared" ref="BE119:BE120" si="251">AO119+BC119</f>
        <v>443350.7250000005</v>
      </c>
      <c r="BF119" s="4263"/>
      <c r="BG119" s="4271">
        <f t="shared" ref="BG119:BG120" si="252">+AY119+BA119</f>
        <v>900295.05000000075</v>
      </c>
      <c r="BH119" s="26">
        <f t="shared" si="88"/>
        <v>0</v>
      </c>
      <c r="BI119" s="26"/>
    </row>
    <row r="120" spans="1:61" ht="18.75" customHeight="1" x14ac:dyDescent="0.3">
      <c r="C120" s="6364"/>
      <c r="D120" s="4272" t="s">
        <v>2351</v>
      </c>
      <c r="E120" s="4272"/>
      <c r="F120" s="4246"/>
      <c r="G120" s="4258">
        <f>+G46</f>
        <v>66895.455000000031</v>
      </c>
      <c r="H120" s="4258"/>
      <c r="I120" s="4258">
        <f>+I46</f>
        <v>76175.635000000053</v>
      </c>
      <c r="J120" s="4258"/>
      <c r="K120" s="4275">
        <f t="shared" si="239"/>
        <v>143071.09000000008</v>
      </c>
      <c r="L120" s="4258"/>
      <c r="M120" s="4258">
        <f>+M46</f>
        <v>73644.015000000058</v>
      </c>
      <c r="N120" s="4258"/>
      <c r="O120" s="4276">
        <f t="shared" si="240"/>
        <v>216715.10500000016</v>
      </c>
      <c r="P120" s="4258"/>
      <c r="Q120" s="4258">
        <f>+Q46</f>
        <v>88056.490000000093</v>
      </c>
      <c r="R120" s="4258"/>
      <c r="S120" s="4275">
        <f t="shared" si="241"/>
        <v>304771.59500000026</v>
      </c>
      <c r="T120" s="4258"/>
      <c r="U120" s="4258">
        <f>+U46</f>
        <v>75853.695000000051</v>
      </c>
      <c r="V120" s="4258"/>
      <c r="W120" s="4275">
        <f t="shared" si="242"/>
        <v>380625.29000000033</v>
      </c>
      <c r="X120" s="4258"/>
      <c r="Y120" s="4258">
        <f>+Y46</f>
        <v>76319.035000000076</v>
      </c>
      <c r="Z120" s="4258"/>
      <c r="AA120" s="4276">
        <f t="shared" si="243"/>
        <v>240229.2200000002</v>
      </c>
      <c r="AB120" s="4258"/>
      <c r="AC120" s="4277">
        <f t="shared" si="244"/>
        <v>456944.32500000036</v>
      </c>
      <c r="AD120" s="4258"/>
      <c r="AE120" s="4258">
        <f>+AE46</f>
        <v>50950.275000000074</v>
      </c>
      <c r="AF120" s="4258"/>
      <c r="AG120" s="4275">
        <f t="shared" si="245"/>
        <v>507894.60000000044</v>
      </c>
      <c r="AH120" s="4258"/>
      <c r="AI120" s="4258">
        <f>+AI46</f>
        <v>69720.765000000058</v>
      </c>
      <c r="AJ120" s="4258"/>
      <c r="AK120" s="4278">
        <f t="shared" si="246"/>
        <v>577615.36500000046</v>
      </c>
      <c r="AL120" s="4258"/>
      <c r="AM120" s="4258">
        <f>+AM46</f>
        <v>81616.765000000145</v>
      </c>
      <c r="AN120" s="4258"/>
      <c r="AO120" s="4276">
        <f t="shared" si="247"/>
        <v>202287.80500000028</v>
      </c>
      <c r="AP120" s="4258"/>
      <c r="AQ120" s="4278">
        <f>+AK120+AM120</f>
        <v>659232.13000000059</v>
      </c>
      <c r="AR120" s="4258"/>
      <c r="AS120" s="4258">
        <f>+AS46</f>
        <v>85804.600000000122</v>
      </c>
      <c r="AT120" s="4258"/>
      <c r="AU120" s="4278">
        <f t="shared" si="248"/>
        <v>745036.73000000068</v>
      </c>
      <c r="AV120" s="4258"/>
      <c r="AW120" s="4258">
        <f>+AW46</f>
        <v>74058.320000000094</v>
      </c>
      <c r="AX120" s="4258"/>
      <c r="AY120" s="4278">
        <f t="shared" si="249"/>
        <v>819095.05000000075</v>
      </c>
      <c r="AZ120" s="4258"/>
      <c r="BA120" s="4258">
        <f>+BA46</f>
        <v>81200</v>
      </c>
      <c r="BB120" s="4258"/>
      <c r="BC120" s="4276">
        <f t="shared" si="250"/>
        <v>241062.92000000022</v>
      </c>
      <c r="BD120" s="4258"/>
      <c r="BE120" s="4270">
        <f t="shared" si="251"/>
        <v>443350.7250000005</v>
      </c>
      <c r="BF120" s="4258"/>
      <c r="BG120" s="4278">
        <f t="shared" si="252"/>
        <v>900295.05000000075</v>
      </c>
      <c r="BH120" s="26">
        <f t="shared" si="88"/>
        <v>0</v>
      </c>
      <c r="BI120" s="26"/>
    </row>
    <row r="121" spans="1:61" ht="19.5" customHeight="1" thickBot="1" x14ac:dyDescent="0.35">
      <c r="C121" s="6365"/>
      <c r="D121" s="4265" t="s">
        <v>1481</v>
      </c>
      <c r="E121" s="4265"/>
      <c r="F121" s="4247"/>
      <c r="G121" s="4266">
        <f>+G120/G119</f>
        <v>1</v>
      </c>
      <c r="H121" s="4266"/>
      <c r="I121" s="4266">
        <f>+I120/I119</f>
        <v>0.99999999999999978</v>
      </c>
      <c r="J121" s="4266"/>
      <c r="K121" s="4254">
        <f t="shared" ref="K121:AG121" si="253">+K120/K119</f>
        <v>1</v>
      </c>
      <c r="L121" s="4266"/>
      <c r="M121" s="4266">
        <f>+M120/M119</f>
        <v>1</v>
      </c>
      <c r="N121" s="4266"/>
      <c r="O121" s="4255">
        <f t="shared" si="253"/>
        <v>1</v>
      </c>
      <c r="P121" s="4266"/>
      <c r="Q121" s="4266">
        <f t="shared" si="253"/>
        <v>0.99999999999999989</v>
      </c>
      <c r="R121" s="4266"/>
      <c r="S121" s="4254">
        <f t="shared" si="253"/>
        <v>1</v>
      </c>
      <c r="T121" s="4266"/>
      <c r="U121" s="4266">
        <f t="shared" si="253"/>
        <v>1.0000000000000002</v>
      </c>
      <c r="V121" s="4266"/>
      <c r="W121" s="4254">
        <f t="shared" si="253"/>
        <v>1.0000000000000002</v>
      </c>
      <c r="X121" s="4266"/>
      <c r="Y121" s="4266">
        <f t="shared" ref="Y121" si="254">+Y120/Y119</f>
        <v>1.0000000000000002</v>
      </c>
      <c r="Z121" s="4266"/>
      <c r="AA121" s="4255">
        <f t="shared" si="253"/>
        <v>1</v>
      </c>
      <c r="AB121" s="4266"/>
      <c r="AC121" s="4256">
        <f t="shared" si="253"/>
        <v>1</v>
      </c>
      <c r="AD121" s="4266"/>
      <c r="AE121" s="4266">
        <f t="shared" si="253"/>
        <v>0.99999999999999989</v>
      </c>
      <c r="AF121" s="4266"/>
      <c r="AG121" s="4254">
        <f t="shared" si="253"/>
        <v>1</v>
      </c>
      <c r="AH121" s="4266"/>
      <c r="AI121" s="4266">
        <f t="shared" ref="AI121" si="255">+AI120/AI119</f>
        <v>1</v>
      </c>
      <c r="AJ121" s="4266"/>
      <c r="AK121" s="4295">
        <f t="shared" ref="AK121" si="256">+AK120/AK119</f>
        <v>1</v>
      </c>
      <c r="AL121" s="4266"/>
      <c r="AM121" s="4266">
        <f t="shared" ref="AM121" si="257">+AM120/AM119</f>
        <v>1</v>
      </c>
      <c r="AN121" s="4266"/>
      <c r="AO121" s="4255">
        <f t="shared" ref="AO121" si="258">+AO120/AO119</f>
        <v>1</v>
      </c>
      <c r="AP121" s="4266"/>
      <c r="AQ121" s="4295">
        <f t="shared" ref="AQ121" si="259">+AQ120/AQ119</f>
        <v>1</v>
      </c>
      <c r="AR121" s="4266"/>
      <c r="AS121" s="4266">
        <f t="shared" ref="AS121" si="260">+AS120/AS119</f>
        <v>1</v>
      </c>
      <c r="AT121" s="4266"/>
      <c r="AU121" s="4295">
        <f t="shared" ref="AU121" si="261">+AU120/AU119</f>
        <v>1</v>
      </c>
      <c r="AV121" s="4266"/>
      <c r="AW121" s="4266">
        <f t="shared" ref="AW121" si="262">+AW120/AW119</f>
        <v>1</v>
      </c>
      <c r="AX121" s="4266"/>
      <c r="AY121" s="4295">
        <f t="shared" ref="AY121" si="263">+AY120/AY119</f>
        <v>1</v>
      </c>
      <c r="AZ121" s="4266"/>
      <c r="BA121" s="4266">
        <f t="shared" ref="BA121" si="264">+BA120/BA119</f>
        <v>1</v>
      </c>
      <c r="BB121" s="4266"/>
      <c r="BC121" s="4255">
        <f t="shared" ref="BC121" si="265">+BC120/BC119</f>
        <v>1</v>
      </c>
      <c r="BD121" s="4266"/>
      <c r="BE121" s="4256">
        <f t="shared" ref="BE121" si="266">+BE120/BE119</f>
        <v>1</v>
      </c>
      <c r="BF121" s="4266"/>
      <c r="BG121" s="4295">
        <f t="shared" ref="BG121" si="267">+BG120/BG119</f>
        <v>1</v>
      </c>
      <c r="BH121" s="26">
        <f t="shared" si="88"/>
        <v>11</v>
      </c>
      <c r="BI121" s="26"/>
    </row>
    <row r="122" spans="1:61" ht="15" thickBot="1" x14ac:dyDescent="0.35">
      <c r="E122"/>
      <c r="K122"/>
      <c r="O122"/>
      <c r="S122"/>
      <c r="W122"/>
      <c r="X122"/>
      <c r="Y122"/>
      <c r="AA122"/>
      <c r="AB122"/>
      <c r="AC122"/>
      <c r="AG122"/>
      <c r="AK122"/>
      <c r="BH122" s="26">
        <f t="shared" si="88"/>
        <v>0</v>
      </c>
      <c r="BI122" s="26"/>
    </row>
    <row r="123" spans="1:61" ht="18.75" customHeight="1" thickBot="1" x14ac:dyDescent="0.35">
      <c r="C123" s="6363" t="s">
        <v>109</v>
      </c>
      <c r="D123" s="4262" t="s">
        <v>1480</v>
      </c>
      <c r="E123" s="4262"/>
      <c r="F123" s="4245"/>
      <c r="G123" s="4263">
        <f>+USM!G121</f>
        <v>49543.777000000002</v>
      </c>
      <c r="H123" s="4263"/>
      <c r="I123" s="4263">
        <f>+USM!I121</f>
        <v>57219.144</v>
      </c>
      <c r="J123" s="4263"/>
      <c r="K123" s="4268">
        <f t="shared" ref="K123:K124" si="268">+G123+I123</f>
        <v>106762.921</v>
      </c>
      <c r="L123" s="4263"/>
      <c r="M123" s="4263">
        <f>+USM!M121</f>
        <v>58674.632999999994</v>
      </c>
      <c r="N123" s="4264"/>
      <c r="O123" s="4269">
        <f t="shared" ref="O123:O124" si="269">+G123+I123+M123</f>
        <v>165437.554</v>
      </c>
      <c r="P123" s="4264"/>
      <c r="Q123" s="4263">
        <f>+USM!Q121</f>
        <v>57327.387000000002</v>
      </c>
      <c r="R123" s="4264"/>
      <c r="S123" s="4268">
        <f t="shared" ref="S123:S124" si="270">O123+Q123</f>
        <v>222764.94099999999</v>
      </c>
      <c r="T123" s="4264"/>
      <c r="U123" s="4263">
        <f>+USM!U121</f>
        <v>44406.292999999998</v>
      </c>
      <c r="V123" s="4263"/>
      <c r="W123" s="4268">
        <f t="shared" ref="W123:W124" si="271">S123+U123</f>
        <v>267171.234</v>
      </c>
      <c r="X123" s="4263"/>
      <c r="Y123" s="4263">
        <f>+USM!Y121</f>
        <v>49996.715999999993</v>
      </c>
      <c r="Z123" s="4264"/>
      <c r="AA123" s="4269">
        <f t="shared" ref="AA123:AA124" si="272">Q123+U123+Y123</f>
        <v>151730.39599999998</v>
      </c>
      <c r="AB123" s="4264"/>
      <c r="AC123" s="4270">
        <f t="shared" ref="AC123:AC124" si="273">O123+AA123</f>
        <v>317167.94999999995</v>
      </c>
      <c r="AD123" s="4264"/>
      <c r="AE123" s="4263">
        <f>+USM!AE121</f>
        <v>29659.897000000008</v>
      </c>
      <c r="AF123" s="4264"/>
      <c r="AG123" s="4268">
        <f t="shared" ref="AG123:AG124" si="274">+AC123+AE123</f>
        <v>346827.84699999995</v>
      </c>
      <c r="AH123" s="4264"/>
      <c r="AI123" s="4263">
        <f>+USM!AI121</f>
        <v>49060.044000000016</v>
      </c>
      <c r="AJ123" s="4264"/>
      <c r="AK123" s="4271">
        <f t="shared" ref="AK123:AK124" si="275">+AG123+AI123</f>
        <v>395887.89099999995</v>
      </c>
      <c r="AL123" s="4264"/>
      <c r="AM123" s="4263">
        <f>+USM!AM121</f>
        <v>52987.18</v>
      </c>
      <c r="AN123" s="4263"/>
      <c r="AO123" s="4269">
        <f t="shared" ref="AO123:AO124" si="276">AE123+AI123+AM123</f>
        <v>131707.12100000001</v>
      </c>
      <c r="AP123" s="4264"/>
      <c r="AQ123" s="4271">
        <f>+AK123+AM123</f>
        <v>448875.07099999994</v>
      </c>
      <c r="AR123" s="4264"/>
      <c r="AS123" s="4263">
        <f>+USM!AS121</f>
        <v>56169.977999999988</v>
      </c>
      <c r="AT123" s="4264"/>
      <c r="AU123" s="4271">
        <f t="shared" ref="AU123:AU124" si="277">+AQ123+AS123</f>
        <v>505045.04899999994</v>
      </c>
      <c r="AV123" s="4264"/>
      <c r="AW123" s="4263">
        <f>+USM!AW121</f>
        <v>54279.397999999994</v>
      </c>
      <c r="AX123" s="4264"/>
      <c r="AY123" s="4271">
        <f t="shared" ref="AY123:AY124" si="278">+AU123+AW123</f>
        <v>559324.44699999993</v>
      </c>
      <c r="AZ123" s="4264"/>
      <c r="BA123" s="4263">
        <f>+USM!BA121</f>
        <v>63120.145999999993</v>
      </c>
      <c r="BB123" s="4263"/>
      <c r="BC123" s="4269">
        <f t="shared" ref="BC123:BC124" si="279">AS123+AW123+BA123</f>
        <v>173569.522</v>
      </c>
      <c r="BD123" s="4264"/>
      <c r="BE123" s="4270">
        <f t="shared" ref="BE123:BE124" si="280">AO123+BC123</f>
        <v>305276.64300000004</v>
      </c>
      <c r="BF123" s="4264"/>
      <c r="BG123" s="4271">
        <f t="shared" ref="BG123:BG124" si="281">+AY123+BA123</f>
        <v>622444.59299999988</v>
      </c>
      <c r="BH123" s="26">
        <f t="shared" si="88"/>
        <v>0</v>
      </c>
      <c r="BI123" s="26"/>
    </row>
    <row r="124" spans="1:61" ht="18.75" customHeight="1" x14ac:dyDescent="0.3">
      <c r="C124" s="6364"/>
      <c r="D124" s="4272" t="s">
        <v>2351</v>
      </c>
      <c r="E124" s="4272"/>
      <c r="F124" s="4246"/>
      <c r="G124" s="4258">
        <f>+G54</f>
        <v>49543.777000000002</v>
      </c>
      <c r="H124" s="4258"/>
      <c r="I124" s="4258">
        <f>+I54</f>
        <v>57219.144</v>
      </c>
      <c r="J124" s="4258"/>
      <c r="K124" s="4275">
        <f t="shared" si="268"/>
        <v>106762.921</v>
      </c>
      <c r="L124" s="4258"/>
      <c r="M124" s="4258">
        <f>+M54</f>
        <v>58674.632999999994</v>
      </c>
      <c r="N124" s="4258"/>
      <c r="O124" s="4276">
        <f t="shared" si="269"/>
        <v>165437.554</v>
      </c>
      <c r="P124" s="4258"/>
      <c r="Q124" s="4258">
        <f>+Q54</f>
        <v>57327.387000000002</v>
      </c>
      <c r="R124" s="4258"/>
      <c r="S124" s="4275">
        <f t="shared" si="270"/>
        <v>222764.94099999999</v>
      </c>
      <c r="T124" s="4258"/>
      <c r="U124" s="4258">
        <f>+U54</f>
        <v>44406.292999999991</v>
      </c>
      <c r="V124" s="4258"/>
      <c r="W124" s="4275">
        <f t="shared" si="271"/>
        <v>267171.234</v>
      </c>
      <c r="X124" s="4258"/>
      <c r="Y124" s="4258">
        <f>+Y54</f>
        <v>49996.715999999993</v>
      </c>
      <c r="Z124" s="4258"/>
      <c r="AA124" s="4276">
        <f t="shared" si="272"/>
        <v>151730.39599999998</v>
      </c>
      <c r="AB124" s="4258"/>
      <c r="AC124" s="4277">
        <f t="shared" si="273"/>
        <v>317167.94999999995</v>
      </c>
      <c r="AD124" s="4258"/>
      <c r="AE124" s="4258">
        <f>+AE54</f>
        <v>29659.897000000004</v>
      </c>
      <c r="AF124" s="4258"/>
      <c r="AG124" s="4275">
        <f t="shared" si="274"/>
        <v>346827.84699999995</v>
      </c>
      <c r="AH124" s="4258"/>
      <c r="AI124" s="4258">
        <f>+AI54</f>
        <v>49060.043999999987</v>
      </c>
      <c r="AJ124" s="4258"/>
      <c r="AK124" s="4278">
        <f t="shared" si="275"/>
        <v>395887.89099999995</v>
      </c>
      <c r="AL124" s="4258"/>
      <c r="AM124" s="4258">
        <f>+AM54</f>
        <v>52987.179999999993</v>
      </c>
      <c r="AN124" s="4258"/>
      <c r="AO124" s="4276">
        <f t="shared" si="276"/>
        <v>131707.12099999998</v>
      </c>
      <c r="AP124" s="4258"/>
      <c r="AQ124" s="4278">
        <f>+AK124+AM124</f>
        <v>448875.07099999994</v>
      </c>
      <c r="AR124" s="4258"/>
      <c r="AS124" s="4258">
        <f>+AS54</f>
        <v>56169.977999999988</v>
      </c>
      <c r="AT124" s="4258"/>
      <c r="AU124" s="4278">
        <f t="shared" si="277"/>
        <v>505045.04899999994</v>
      </c>
      <c r="AV124" s="4258"/>
      <c r="AW124" s="4258">
        <f>+AW54</f>
        <v>54279.398000000008</v>
      </c>
      <c r="AX124" s="4258"/>
      <c r="AY124" s="4278">
        <f t="shared" si="278"/>
        <v>559324.44699999993</v>
      </c>
      <c r="AZ124" s="4258"/>
      <c r="BA124" s="4258">
        <f>+BA54</f>
        <v>63120.145999999993</v>
      </c>
      <c r="BB124" s="4258"/>
      <c r="BC124" s="4276">
        <f t="shared" si="279"/>
        <v>173569.522</v>
      </c>
      <c r="BD124" s="4258"/>
      <c r="BE124" s="4270">
        <f t="shared" si="280"/>
        <v>305276.64299999998</v>
      </c>
      <c r="BF124" s="4258"/>
      <c r="BG124" s="4278">
        <f t="shared" si="281"/>
        <v>622444.59299999988</v>
      </c>
      <c r="BH124" s="26">
        <f t="shared" si="88"/>
        <v>0</v>
      </c>
      <c r="BI124" s="26"/>
    </row>
    <row r="125" spans="1:61" ht="19.5" customHeight="1" thickBot="1" x14ac:dyDescent="0.35">
      <c r="C125" s="6365"/>
      <c r="D125" s="4265" t="s">
        <v>1481</v>
      </c>
      <c r="E125" s="4265"/>
      <c r="F125" s="4247"/>
      <c r="G125" s="4266">
        <f>+G124/G123</f>
        <v>1</v>
      </c>
      <c r="H125" s="4266"/>
      <c r="I125" s="4266">
        <f>+I124/I123</f>
        <v>1</v>
      </c>
      <c r="J125" s="4266"/>
      <c r="K125" s="4254">
        <f t="shared" ref="K125:AG125" si="282">+K124/K123</f>
        <v>1</v>
      </c>
      <c r="L125" s="4266"/>
      <c r="M125" s="4266">
        <f>+M124/M123</f>
        <v>1</v>
      </c>
      <c r="N125" s="4266"/>
      <c r="O125" s="4255">
        <f t="shared" si="282"/>
        <v>1</v>
      </c>
      <c r="P125" s="4266"/>
      <c r="Q125" s="4266">
        <f t="shared" si="282"/>
        <v>1</v>
      </c>
      <c r="R125" s="4266"/>
      <c r="S125" s="4254">
        <f t="shared" si="282"/>
        <v>1</v>
      </c>
      <c r="T125" s="4266"/>
      <c r="U125" s="4266">
        <f t="shared" si="282"/>
        <v>0.99999999999999989</v>
      </c>
      <c r="V125" s="4266"/>
      <c r="W125" s="4254">
        <f t="shared" si="282"/>
        <v>1</v>
      </c>
      <c r="X125" s="4266"/>
      <c r="Y125" s="4266">
        <f t="shared" ref="Y125" si="283">+Y124/Y123</f>
        <v>1</v>
      </c>
      <c r="Z125" s="4266"/>
      <c r="AA125" s="4255">
        <f t="shared" si="282"/>
        <v>1</v>
      </c>
      <c r="AB125" s="4266"/>
      <c r="AC125" s="4256">
        <f t="shared" si="282"/>
        <v>1</v>
      </c>
      <c r="AD125" s="4266"/>
      <c r="AE125" s="4266">
        <f t="shared" si="282"/>
        <v>0.99999999999999989</v>
      </c>
      <c r="AF125" s="4266"/>
      <c r="AG125" s="4254">
        <f t="shared" si="282"/>
        <v>1</v>
      </c>
      <c r="AH125" s="4266"/>
      <c r="AI125" s="4266">
        <f t="shared" ref="AI125" si="284">+AI124/AI123</f>
        <v>0.99999999999999944</v>
      </c>
      <c r="AJ125" s="4266"/>
      <c r="AK125" s="4295">
        <f t="shared" ref="AK125" si="285">+AK124/AK123</f>
        <v>1</v>
      </c>
      <c r="AL125" s="4266"/>
      <c r="AM125" s="4266">
        <f t="shared" ref="AM125" si="286">+AM124/AM123</f>
        <v>0.99999999999999989</v>
      </c>
      <c r="AN125" s="4266"/>
      <c r="AO125" s="4255">
        <f t="shared" ref="AO125" si="287">+AO124/AO123</f>
        <v>0.99999999999999978</v>
      </c>
      <c r="AP125" s="4266"/>
      <c r="AQ125" s="4295">
        <f t="shared" ref="AQ125" si="288">+AQ124/AQ123</f>
        <v>1</v>
      </c>
      <c r="AR125" s="4266"/>
      <c r="AS125" s="4266">
        <f t="shared" ref="AS125" si="289">+AS124/AS123</f>
        <v>1</v>
      </c>
      <c r="AT125" s="4266"/>
      <c r="AU125" s="4295">
        <f t="shared" ref="AU125" si="290">+AU124/AU123</f>
        <v>1</v>
      </c>
      <c r="AV125" s="4266"/>
      <c r="AW125" s="4266">
        <f t="shared" ref="AW125" si="291">+AW124/AW123</f>
        <v>1.0000000000000002</v>
      </c>
      <c r="AX125" s="4266"/>
      <c r="AY125" s="4295">
        <f t="shared" ref="AY125" si="292">+AY124/AY123</f>
        <v>1</v>
      </c>
      <c r="AZ125" s="4266"/>
      <c r="BA125" s="4266">
        <f t="shared" ref="BA125" si="293">+BA124/BA123</f>
        <v>1</v>
      </c>
      <c r="BB125" s="4266"/>
      <c r="BC125" s="4255">
        <f t="shared" ref="BC125" si="294">+BC124/BC123</f>
        <v>1</v>
      </c>
      <c r="BD125" s="4266"/>
      <c r="BE125" s="4256">
        <f t="shared" ref="BE125" si="295">+BE124/BE123</f>
        <v>0.99999999999999978</v>
      </c>
      <c r="BF125" s="4266"/>
      <c r="BG125" s="4295">
        <f t="shared" ref="BG125" si="296">+BG124/BG123</f>
        <v>1</v>
      </c>
      <c r="BH125" s="26">
        <f t="shared" si="88"/>
        <v>11</v>
      </c>
      <c r="BI125" s="26"/>
    </row>
    <row r="126" spans="1:61" ht="15" thickBot="1" x14ac:dyDescent="0.35">
      <c r="E126"/>
      <c r="K126"/>
      <c r="O126"/>
      <c r="S126"/>
      <c r="W126"/>
      <c r="X126"/>
      <c r="Y126"/>
      <c r="AA126"/>
      <c r="AB126"/>
      <c r="AC126"/>
      <c r="AG126"/>
      <c r="AK126"/>
      <c r="BH126" s="26">
        <f t="shared" si="88"/>
        <v>0</v>
      </c>
      <c r="BI126" s="26"/>
    </row>
    <row r="127" spans="1:61" ht="18.75" customHeight="1" thickBot="1" x14ac:dyDescent="0.35">
      <c r="C127" s="6363" t="s">
        <v>1483</v>
      </c>
      <c r="D127" s="4262" t="s">
        <v>1480</v>
      </c>
      <c r="E127" s="4262"/>
      <c r="F127" s="4245"/>
      <c r="G127" s="4263">
        <f>+'Maj Production Summ'!F34</f>
        <v>45616.58799999996</v>
      </c>
      <c r="H127" s="4264"/>
      <c r="I127" s="4264">
        <f>+'Maj Production Summ'!H34</f>
        <v>52556</v>
      </c>
      <c r="J127" s="4264"/>
      <c r="K127" s="4268">
        <f t="shared" ref="K127:K128" si="297">+G127+I127</f>
        <v>98172.58799999996</v>
      </c>
      <c r="L127" s="4264"/>
      <c r="M127" s="4264">
        <f>+'Maj Production Summ'!L34</f>
        <v>56218</v>
      </c>
      <c r="N127" s="4264"/>
      <c r="O127" s="4269">
        <f t="shared" ref="O127:O128" si="298">+G127+I127+M127</f>
        <v>154390.58799999996</v>
      </c>
      <c r="P127" s="4264"/>
      <c r="Q127" s="4264">
        <f>+'Maj Production Summ'!P34</f>
        <v>50303</v>
      </c>
      <c r="R127" s="4264"/>
      <c r="S127" s="4268">
        <f t="shared" ref="S127:S128" si="299">O127+Q127</f>
        <v>204693.58799999996</v>
      </c>
      <c r="T127" s="4264"/>
      <c r="U127" s="4263">
        <f>+'Maj Production Summ'!T34</f>
        <v>51235.42</v>
      </c>
      <c r="V127" s="4264"/>
      <c r="W127" s="4268">
        <f t="shared" ref="W127:W128" si="300">S127+U127</f>
        <v>255929.00799999997</v>
      </c>
      <c r="X127" s="4264"/>
      <c r="Y127" s="4264">
        <f>+'Maj Production Summ'!X34</f>
        <v>54076</v>
      </c>
      <c r="Z127" s="4264"/>
      <c r="AA127" s="4269">
        <f t="shared" ref="AA127:AA146" si="301">Q127+U127+Y127</f>
        <v>155614.41999999998</v>
      </c>
      <c r="AB127" s="4264"/>
      <c r="AC127" s="4270">
        <f t="shared" ref="AC127:AC128" si="302">O127+AA127</f>
        <v>310005.00799999991</v>
      </c>
      <c r="AD127" s="4264"/>
      <c r="AE127" s="4264">
        <f>+'Maj Production Summ'!AD34</f>
        <v>54595</v>
      </c>
      <c r="AF127" s="4264"/>
      <c r="AG127" s="4268">
        <f t="shared" ref="AG127:AG128" si="303">+AC127+AE127</f>
        <v>364600.00799999991</v>
      </c>
      <c r="AH127" s="4264"/>
      <c r="AI127" s="4264">
        <f>+'Maj Production Summ'!AH34</f>
        <v>61080</v>
      </c>
      <c r="AJ127" s="4264"/>
      <c r="AK127" s="4271">
        <f t="shared" ref="AK127:AK128" si="304">+AG127+AI127</f>
        <v>425680.00799999991</v>
      </c>
      <c r="AL127" s="4264"/>
      <c r="AM127" s="4264">
        <f>+'Maj Production Summ'!AL34</f>
        <v>52347.66</v>
      </c>
      <c r="AN127" s="4264"/>
      <c r="AO127" s="4269">
        <f t="shared" ref="AO127:AO146" si="305">AE127+AI127+AM127</f>
        <v>168022.66</v>
      </c>
      <c r="AP127" s="4264"/>
      <c r="AQ127" s="4271">
        <f>+AK127+AM127</f>
        <v>478027.66799999995</v>
      </c>
      <c r="AR127" s="4264"/>
      <c r="AS127" s="4264">
        <f>+'Maj Production Summ'!AR34</f>
        <v>30958</v>
      </c>
      <c r="AT127" s="4264"/>
      <c r="AU127" s="4271">
        <f t="shared" ref="AU127:AU128" si="306">+AQ127+AS127</f>
        <v>508985.66799999995</v>
      </c>
      <c r="AV127" s="4264"/>
      <c r="AW127" s="4264">
        <f>+'Maj Production Summ'!AV34</f>
        <v>16550</v>
      </c>
      <c r="AX127" s="4264"/>
      <c r="AY127" s="4271">
        <f t="shared" ref="AY127:AY128" si="307">+AU127+AW127</f>
        <v>525535.66799999995</v>
      </c>
      <c r="AZ127" s="4264"/>
      <c r="BA127" s="4264">
        <f>+'Maj Production Summ'!AZ34</f>
        <v>38028.639000000003</v>
      </c>
      <c r="BB127" s="4264"/>
      <c r="BC127" s="4269">
        <f t="shared" ref="BC127:BC128" si="308">AS127+AW127+BA127</f>
        <v>85536.638999999996</v>
      </c>
      <c r="BD127" s="4264"/>
      <c r="BE127" s="4270">
        <f t="shared" ref="BE127:BE128" si="309">AO127+BC127</f>
        <v>253559.299</v>
      </c>
      <c r="BF127" s="4264"/>
      <c r="BG127" s="4271">
        <f t="shared" ref="BG127:BG128" si="310">+AY127+BA127</f>
        <v>563564.30699999991</v>
      </c>
      <c r="BH127" s="26">
        <f t="shared" si="88"/>
        <v>0</v>
      </c>
      <c r="BI127" s="26"/>
    </row>
    <row r="128" spans="1:61" ht="18.75" customHeight="1" x14ac:dyDescent="0.3">
      <c r="C128" s="6364"/>
      <c r="D128" s="4272" t="s">
        <v>2351</v>
      </c>
      <c r="E128" s="4272"/>
      <c r="F128" s="4248"/>
      <c r="G128" s="4267">
        <f>+G79</f>
        <v>40768.58799999996</v>
      </c>
      <c r="H128" s="4267"/>
      <c r="I128" s="4267">
        <f>+I79</f>
        <v>45640.4</v>
      </c>
      <c r="J128" s="4267"/>
      <c r="K128" s="4275">
        <f t="shared" si="297"/>
        <v>86408.987999999954</v>
      </c>
      <c r="L128" s="4267"/>
      <c r="M128" s="4267">
        <f>+M79</f>
        <v>51290</v>
      </c>
      <c r="N128" s="4267"/>
      <c r="O128" s="4276">
        <f t="shared" si="298"/>
        <v>137698.98799999995</v>
      </c>
      <c r="P128" s="4267"/>
      <c r="Q128" s="4267">
        <f>+Q79</f>
        <v>46163</v>
      </c>
      <c r="R128" s="4267"/>
      <c r="S128" s="4275">
        <f t="shared" si="299"/>
        <v>183861.98799999995</v>
      </c>
      <c r="T128" s="4267"/>
      <c r="U128" s="4267">
        <f>+U79</f>
        <v>45702.616000000002</v>
      </c>
      <c r="V128" s="4267"/>
      <c r="W128" s="4275">
        <f t="shared" si="300"/>
        <v>229564.60399999996</v>
      </c>
      <c r="X128" s="4267"/>
      <c r="Y128" s="4267">
        <f>+Y79</f>
        <v>49365</v>
      </c>
      <c r="Z128" s="4267"/>
      <c r="AA128" s="4276">
        <f t="shared" si="301"/>
        <v>141230.61600000001</v>
      </c>
      <c r="AB128" s="4267"/>
      <c r="AC128" s="4277">
        <f t="shared" si="302"/>
        <v>278929.60399999993</v>
      </c>
      <c r="AD128" s="4267"/>
      <c r="AE128" s="4267">
        <f>+AE79</f>
        <v>50576</v>
      </c>
      <c r="AF128" s="4267"/>
      <c r="AG128" s="4275">
        <f t="shared" si="303"/>
        <v>329505.60399999993</v>
      </c>
      <c r="AH128" s="4267"/>
      <c r="AI128" s="4267">
        <f>+AI79</f>
        <v>57014.864000000001</v>
      </c>
      <c r="AJ128" s="4267"/>
      <c r="AK128" s="4278">
        <f t="shared" si="304"/>
        <v>386520.46799999994</v>
      </c>
      <c r="AL128" s="4267"/>
      <c r="AM128" s="4267">
        <f>+AM79</f>
        <v>48508.66</v>
      </c>
      <c r="AN128" s="4267"/>
      <c r="AO128" s="4276">
        <f t="shared" si="305"/>
        <v>156099.524</v>
      </c>
      <c r="AP128" s="4267"/>
      <c r="AQ128" s="4278">
        <f>+AK128+AM128</f>
        <v>435029.12799999991</v>
      </c>
      <c r="AR128" s="4267"/>
      <c r="AS128" s="4267">
        <f>+AS79</f>
        <v>26498</v>
      </c>
      <c r="AT128" s="4267"/>
      <c r="AU128" s="4278">
        <f t="shared" si="306"/>
        <v>461527.12799999991</v>
      </c>
      <c r="AV128" s="4267"/>
      <c r="AW128" s="4267">
        <f>+AW79</f>
        <v>13181.536</v>
      </c>
      <c r="AX128" s="4267"/>
      <c r="AY128" s="4278">
        <f t="shared" si="307"/>
        <v>474708.66399999993</v>
      </c>
      <c r="AZ128" s="4267"/>
      <c r="BA128" s="4267">
        <f>+BA79</f>
        <v>33704.529000000002</v>
      </c>
      <c r="BB128" s="4267"/>
      <c r="BC128" s="4276">
        <f t="shared" si="308"/>
        <v>73384.065000000002</v>
      </c>
      <c r="BD128" s="4267"/>
      <c r="BE128" s="4270">
        <f t="shared" si="309"/>
        <v>229483.58900000001</v>
      </c>
      <c r="BF128" s="4267"/>
      <c r="BG128" s="4278">
        <f t="shared" si="310"/>
        <v>508413.19299999991</v>
      </c>
      <c r="BH128" s="26">
        <f t="shared" si="88"/>
        <v>0</v>
      </c>
      <c r="BI128" s="26"/>
    </row>
    <row r="129" spans="1:62" ht="18.75" customHeight="1" thickBot="1" x14ac:dyDescent="0.35">
      <c r="C129" s="6364"/>
      <c r="D129" s="4272" t="s">
        <v>1481</v>
      </c>
      <c r="E129" s="4272"/>
      <c r="F129" s="4273"/>
      <c r="G129" s="4279">
        <f>+G128/G127</f>
        <v>0.8937228711625691</v>
      </c>
      <c r="H129" s="4279"/>
      <c r="I129" s="4279">
        <f>+I128/I127</f>
        <v>0.8684146434279626</v>
      </c>
      <c r="J129" s="4279"/>
      <c r="K129" s="4280">
        <f t="shared" ref="K129:AG129" si="311">+K128/K127</f>
        <v>0.88017429060747576</v>
      </c>
      <c r="L129" s="4279"/>
      <c r="M129" s="4279">
        <f>+M128/M127</f>
        <v>0.91234124301825037</v>
      </c>
      <c r="N129" s="4279"/>
      <c r="O129" s="4281">
        <f t="shared" si="311"/>
        <v>0.89188719198349053</v>
      </c>
      <c r="P129" s="4279"/>
      <c r="Q129" s="4279">
        <f t="shared" si="311"/>
        <v>0.91769874560165399</v>
      </c>
      <c r="R129" s="4279"/>
      <c r="S129" s="4280">
        <f t="shared" si="311"/>
        <v>0.89823032463527874</v>
      </c>
      <c r="T129" s="4279"/>
      <c r="U129" s="4279">
        <f t="shared" si="311"/>
        <v>0.89201212754770043</v>
      </c>
      <c r="V129" s="4279"/>
      <c r="W129" s="4280">
        <f t="shared" si="311"/>
        <v>0.89698547966082842</v>
      </c>
      <c r="X129" s="4279"/>
      <c r="Y129" s="4279">
        <f t="shared" ref="Y129" si="312">+Y128/Y127</f>
        <v>0.9128818699607959</v>
      </c>
      <c r="Z129" s="4279"/>
      <c r="AA129" s="4281">
        <f t="shared" si="311"/>
        <v>0.90756766628696761</v>
      </c>
      <c r="AB129" s="4279"/>
      <c r="AC129" s="4282">
        <f t="shared" si="311"/>
        <v>0.89975838067751479</v>
      </c>
      <c r="AD129" s="4279"/>
      <c r="AE129" s="4279">
        <f t="shared" si="311"/>
        <v>0.92638520010990022</v>
      </c>
      <c r="AF129" s="4279"/>
      <c r="AG129" s="4280">
        <f t="shared" si="311"/>
        <v>0.90374546563367053</v>
      </c>
      <c r="AH129" s="4279"/>
      <c r="AI129" s="4279">
        <f t="shared" ref="AI129" si="313">+AI128/AI127</f>
        <v>0.93344571054354941</v>
      </c>
      <c r="AJ129" s="4279"/>
      <c r="AK129" s="4283">
        <f t="shared" ref="AK129" si="314">+AK128/AK127</f>
        <v>0.90800709625996812</v>
      </c>
      <c r="AL129" s="4279"/>
      <c r="AM129" s="4279">
        <f t="shared" ref="AM129" si="315">+AM128/AM127</f>
        <v>0.92666338858317643</v>
      </c>
      <c r="AN129" s="4330"/>
      <c r="AO129" s="4281">
        <f t="shared" ref="AO129" si="316">+AO128/AO127</f>
        <v>0.92903852373245377</v>
      </c>
      <c r="AP129" s="4279"/>
      <c r="AQ129" s="4283">
        <f t="shared" ref="AQ129" si="317">+AQ128/AQ127</f>
        <v>0.91005010195351277</v>
      </c>
      <c r="AR129" s="4279"/>
      <c r="AS129" s="4279">
        <f t="shared" ref="AS129" si="318">+AS128/AS127</f>
        <v>0.85593384585567545</v>
      </c>
      <c r="AT129" s="4279"/>
      <c r="AU129" s="4283">
        <f t="shared" ref="AU129" si="319">+AU128/AU127</f>
        <v>0.90675859266041248</v>
      </c>
      <c r="AV129" s="4279"/>
      <c r="AW129" s="4279">
        <f t="shared" ref="AW129" si="320">+AW128/AW127</f>
        <v>0.79646743202416914</v>
      </c>
      <c r="AX129" s="4279"/>
      <c r="AY129" s="4283">
        <f t="shared" ref="AY129" si="321">+AY128/AY127</f>
        <v>0.90328533895058094</v>
      </c>
      <c r="AZ129" s="4279"/>
      <c r="BA129" s="4279">
        <f t="shared" ref="BA129" si="322">+BA128/BA127</f>
        <v>0.88629332751035339</v>
      </c>
      <c r="BB129" s="4330"/>
      <c r="BC129" s="4281">
        <f t="shared" ref="BC129" si="323">+BC128/BC127</f>
        <v>0.85792551423490004</v>
      </c>
      <c r="BD129" s="4279"/>
      <c r="BE129" s="4282">
        <f t="shared" ref="BE129" si="324">+BE128/BE127</f>
        <v>0.90504899605358191</v>
      </c>
      <c r="BF129" s="4279"/>
      <c r="BG129" s="4283">
        <f t="shared" ref="BG129" si="325">+BG128/BG127</f>
        <v>0.90213873853441184</v>
      </c>
      <c r="BH129" s="26">
        <f t="shared" si="88"/>
        <v>9.820121666811346</v>
      </c>
      <c r="BI129" s="26"/>
    </row>
    <row r="130" spans="1:62" ht="18.75" customHeight="1" thickBot="1" x14ac:dyDescent="0.35">
      <c r="C130" s="6364"/>
      <c r="D130" s="4272" t="s">
        <v>1479</v>
      </c>
      <c r="E130" s="4272"/>
      <c r="F130" s="4273"/>
      <c r="G130" s="4274">
        <f>+G127-G128</f>
        <v>4848</v>
      </c>
      <c r="H130" s="4274"/>
      <c r="I130" s="4274">
        <f>+I127-I128</f>
        <v>6915.5999999999985</v>
      </c>
      <c r="J130" s="4274"/>
      <c r="K130" s="4275">
        <f t="shared" ref="K130:K134" si="326">+G130+I130</f>
        <v>11763.599999999999</v>
      </c>
      <c r="L130" s="4274"/>
      <c r="M130" s="4274">
        <f>+M127-M128</f>
        <v>4928</v>
      </c>
      <c r="N130" s="4274"/>
      <c r="O130" s="4276">
        <f t="shared" ref="O130:O134" si="327">+G130+I130+M130</f>
        <v>16691.599999999999</v>
      </c>
      <c r="P130" s="4274"/>
      <c r="Q130" s="4274">
        <f t="shared" ref="Q130:AE130" si="328">+Q127-Q128</f>
        <v>4140</v>
      </c>
      <c r="R130" s="4274"/>
      <c r="S130" s="4275">
        <f t="shared" ref="S130:S134" si="329">O130+Q130</f>
        <v>20831.599999999999</v>
      </c>
      <c r="T130" s="4274"/>
      <c r="U130" s="4274">
        <f t="shared" si="328"/>
        <v>5532.8039999999964</v>
      </c>
      <c r="V130" s="4274"/>
      <c r="W130" s="4275">
        <f t="shared" ref="W130:W134" si="330">S130+U130</f>
        <v>26364.403999999995</v>
      </c>
      <c r="X130" s="4274"/>
      <c r="Y130" s="4274">
        <f t="shared" ref="Y130" si="331">+Y127-Y128</f>
        <v>4711</v>
      </c>
      <c r="Z130" s="4274"/>
      <c r="AA130" s="4276">
        <f t="shared" si="301"/>
        <v>14383.803999999996</v>
      </c>
      <c r="AB130" s="4274"/>
      <c r="AC130" s="4277">
        <f t="shared" ref="AC130:AC134" si="332">O130+AA130</f>
        <v>31075.403999999995</v>
      </c>
      <c r="AD130" s="4274"/>
      <c r="AE130" s="4274">
        <f t="shared" si="328"/>
        <v>4019</v>
      </c>
      <c r="AF130" s="4274"/>
      <c r="AG130" s="4275">
        <f t="shared" ref="AG130:AG134" si="333">+AC130+AE130</f>
        <v>35094.403999999995</v>
      </c>
      <c r="AH130" s="4274"/>
      <c r="AI130" s="4274">
        <f t="shared" ref="AI130" si="334">+AI127-AI128</f>
        <v>4065.1359999999986</v>
      </c>
      <c r="AJ130" s="4274"/>
      <c r="AK130" s="4278">
        <f t="shared" ref="AK130:AK134" si="335">+AG130+AI130</f>
        <v>39159.539999999994</v>
      </c>
      <c r="AL130" s="4274"/>
      <c r="AM130" s="4274">
        <f t="shared" ref="AM130" si="336">+AM127-AM128</f>
        <v>3839</v>
      </c>
      <c r="AN130" s="4329"/>
      <c r="AO130" s="4276">
        <f t="shared" si="305"/>
        <v>11923.135999999999</v>
      </c>
      <c r="AP130" s="4274"/>
      <c r="AQ130" s="4278">
        <f t="shared" ref="AQ130:AQ134" si="337">+AK130+AM130</f>
        <v>42998.539999999994</v>
      </c>
      <c r="AR130" s="4274"/>
      <c r="AS130" s="4274">
        <f t="shared" ref="AS130" si="338">+AS127-AS128</f>
        <v>4460</v>
      </c>
      <c r="AT130" s="4274"/>
      <c r="AU130" s="4278">
        <f t="shared" ref="AU130:AU134" si="339">+AQ130+AS130</f>
        <v>47458.539999999994</v>
      </c>
      <c r="AV130" s="4274"/>
      <c r="AW130" s="4274">
        <f t="shared" ref="AW130" si="340">+AW127-AW128</f>
        <v>3368.4639999999999</v>
      </c>
      <c r="AX130" s="4274"/>
      <c r="AY130" s="4278">
        <f t="shared" ref="AY130:AY134" si="341">+AU130+AW130</f>
        <v>50827.003999999994</v>
      </c>
      <c r="AZ130" s="4274"/>
      <c r="BA130" s="4274">
        <f t="shared" ref="BA130" si="342">+BA127-BA128</f>
        <v>4324.1100000000006</v>
      </c>
      <c r="BB130" s="4329"/>
      <c r="BC130" s="4276">
        <f t="shared" ref="BC130:BC134" si="343">AS130+AW130+BA130</f>
        <v>12152.574000000001</v>
      </c>
      <c r="BD130" s="4274"/>
      <c r="BE130" s="4270">
        <f t="shared" ref="BE130:BE134" si="344">AO130+BC130</f>
        <v>24075.71</v>
      </c>
      <c r="BF130" s="4274"/>
      <c r="BG130" s="4278">
        <f t="shared" ref="BG130:BG134" si="345">+AY130+BA130</f>
        <v>55151.113999999994</v>
      </c>
      <c r="BH130" s="26">
        <f t="shared" si="88"/>
        <v>0</v>
      </c>
      <c r="BI130" s="26"/>
    </row>
    <row r="131" spans="1:62" ht="15" customHeight="1" thickBot="1" x14ac:dyDescent="0.35">
      <c r="A131" s="1257"/>
      <c r="B131" s="2594"/>
      <c r="C131" s="6364"/>
      <c r="D131" s="4284" t="str">
        <f>+'GRD SUMM RCL 150X150 '!E57</f>
        <v>BLOOM CB C25 HMN 150*150</v>
      </c>
      <c r="E131" s="4284"/>
      <c r="F131" s="4285"/>
      <c r="G131" s="4286">
        <f>+SUMIF('GRD SUMM RCL 150X150 '!$E$6:$E$58,$D131,'GRD SUMM RCL 150X150 '!AU$6:AU$58)</f>
        <v>1670</v>
      </c>
      <c r="H131" s="4286">
        <f>+SUMIF('GRD SUMM RCL 150X150 '!$E$6:$E$58,$D131,'GRD SUMM RCL 150X150 '!AV$6:AV$58)</f>
        <v>0</v>
      </c>
      <c r="I131" s="4286">
        <f>+SUMIF('GRD SUMM RCL 150X150 '!$E$6:$E$58,$D131,'GRD SUMM RCL 150X150 '!AW$6:AW$58)</f>
        <v>3414</v>
      </c>
      <c r="J131" s="4286">
        <f>+SUMIF('GRD SUMM RCL 150X150 '!$E$6:$E$58,$D131,'GRD SUMM RCL 150X150 '!AX$6:AX$58)</f>
        <v>0</v>
      </c>
      <c r="K131" s="4275">
        <f t="shared" si="326"/>
        <v>5084</v>
      </c>
      <c r="L131" s="4286">
        <f>+SUMIF('GRD SUMM RCL 150X150 '!$E$6:$E$58,$D131,'GRD SUMM RCL 150X150 '!AZ$6:AZ$58)</f>
        <v>0</v>
      </c>
      <c r="M131" s="4286">
        <f>+SUMIF('GRD SUMM RCL 150X150 '!$E$6:$E$58,$D131,'GRD SUMM RCL 150X150 '!BA$6:BA$58)</f>
        <v>2771</v>
      </c>
      <c r="N131" s="4286"/>
      <c r="O131" s="4276">
        <f t="shared" si="327"/>
        <v>7855</v>
      </c>
      <c r="P131" s="4286"/>
      <c r="Q131" s="4286">
        <f>+SUMIF('GRD SUMM RCL 150X150 '!$E$6:$E$58,$D131,'GRD SUMM RCL 150X150 '!BE$6:BE$58)</f>
        <v>2319</v>
      </c>
      <c r="R131" s="4286">
        <f>+SUMIF('GRD SUMM RCL 150X150 '!$E$6:$E$58,$D131,'GRD SUMM RCL 150X150 '!BF$6:BF$58)</f>
        <v>0</v>
      </c>
      <c r="S131" s="4275">
        <f t="shared" si="329"/>
        <v>10174</v>
      </c>
      <c r="T131" s="4286">
        <f>+SUMIF('GRD SUMM RCL 150X150 '!$E$6:$E$58,$D131,'GRD SUMM RCL 150X150 '!BH$6:BH$58)</f>
        <v>0</v>
      </c>
      <c r="U131" s="4286">
        <f>+SUMIF('GRD SUMM RCL 150X150 '!$E$6:$E$58,$D131,'GRD SUMM RCL 150X150 '!BI$6:BI$58)</f>
        <v>3579.002</v>
      </c>
      <c r="V131" s="4286">
        <f>+SUMIF('GRD SUMM RCL 150X150 '!$E$6:$E$58,$D131,'GRD SUMM RCL 150X150 '!BJ$6:BJ$58)</f>
        <v>0</v>
      </c>
      <c r="W131" s="4275">
        <f t="shared" si="330"/>
        <v>13753.002</v>
      </c>
      <c r="X131" s="4286">
        <f>+SUMIF('GRD SUMM RCL 150X150 '!$E$6:$E$58,$D131,'GRD SUMM RCL 150X150 '!BL$6:BL$58)</f>
        <v>0</v>
      </c>
      <c r="Y131" s="4286">
        <f>+SUMIF('GRD SUMM RCL 150X150 '!$E$6:$E$58,$D131,'GRD SUMM RCL 150X150 '!BM$6:BM$58)</f>
        <v>1932</v>
      </c>
      <c r="Z131" s="4286"/>
      <c r="AA131" s="4276">
        <f t="shared" si="301"/>
        <v>7830.0020000000004</v>
      </c>
      <c r="AB131" s="4286"/>
      <c r="AC131" s="4277">
        <f t="shared" si="332"/>
        <v>15685.002</v>
      </c>
      <c r="AD131" s="4286"/>
      <c r="AE131" s="4286">
        <f>+SUMIF('GRD SUMM RCL 150X150 '!$E$6:$E$58,$D131,'GRD SUMM RCL 150X150 '!BS$6:BS$58)</f>
        <v>2725</v>
      </c>
      <c r="AF131" s="4286">
        <f>+SUMIF('GRD SUMM RCL 150X150 '!$E$6:$E$58,$D131,'GRD SUMM RCL 150X150 '!BT$6:BT$58)</f>
        <v>0</v>
      </c>
      <c r="AG131" s="4275">
        <f t="shared" si="333"/>
        <v>18410.002</v>
      </c>
      <c r="AH131" s="4286">
        <f>+SUMIF('GRD SUMM RCL 150X150 '!$E$6:$E$58,$D131,'GRD SUMM RCL 150X150 '!BV$6:BV$58)</f>
        <v>0</v>
      </c>
      <c r="AI131" s="4286">
        <f>+SUMIF('GRD SUMM RCL 150X150 '!$E$6:$E$58,$D131,'GRD SUMM RCL 150X150 '!BW$6:BW$58)</f>
        <v>2608.7059999999997</v>
      </c>
      <c r="AJ131" s="4286"/>
      <c r="AK131" s="4278">
        <f t="shared" si="335"/>
        <v>21018.707999999999</v>
      </c>
      <c r="AL131" s="4286">
        <f>+SUMIF('GRD SUMM RCL 150X150 '!$E$6:$E$58,$D131,'GRD SUMM RCL 150X150 '!BZ$6:BZ$58)</f>
        <v>0</v>
      </c>
      <c r="AM131" s="4286">
        <f>+SUMIF('GRD SUMM RCL 150X150 '!$E$6:$E$58,$D131,'GRD SUMM RCL 150X150 '!CA$6:CA$58)</f>
        <v>1839</v>
      </c>
      <c r="AN131" s="4331"/>
      <c r="AO131" s="4276">
        <f t="shared" si="305"/>
        <v>7172.7060000000001</v>
      </c>
      <c r="AP131" s="4286"/>
      <c r="AQ131" s="4278">
        <f t="shared" si="337"/>
        <v>22857.707999999999</v>
      </c>
      <c r="AR131" s="4286">
        <f>+SUMIF('GRD SUMM RCL 150X150 '!$E$6:$E$58,$D131,'GRD SUMM RCL 150X150 '!CF$6:CF$58)</f>
        <v>0</v>
      </c>
      <c r="AS131" s="4286">
        <f>+SUMIF('GRD SUMM RCL 150X150 '!$E$6:$E$58,$D131,'GRD SUMM RCL 150X150 '!CG$6:CG$58)</f>
        <v>1646</v>
      </c>
      <c r="AT131" s="4286"/>
      <c r="AU131" s="4278">
        <f t="shared" si="339"/>
        <v>24503.707999999999</v>
      </c>
      <c r="AV131" s="4286">
        <f>+SUMIF('GRD SUMM RCL 150X150 '!$E$6:$E$58,$D131,'GRD SUMM RCL 150X150 '!CJ$6:CJ$58)</f>
        <v>0</v>
      </c>
      <c r="AW131" s="4286">
        <f>+SUMIF('GRD SUMM RCL 150X150 '!$E$6:$E$58,$D131,'GRD SUMM RCL 150X150 '!CK$6:CK$58)</f>
        <v>1422.2940000000001</v>
      </c>
      <c r="AX131" s="4286"/>
      <c r="AY131" s="4278">
        <f t="shared" si="341"/>
        <v>25926.002</v>
      </c>
      <c r="AZ131" s="4286">
        <f>+SUMIF('GRD SUMM RCL 150X150 '!$E$6:$E$58,$D131,'GRD SUMM RCL 150X150 '!CN$6:CN$58)</f>
        <v>0</v>
      </c>
      <c r="BA131" s="4286">
        <f>+SUMIF('GRD SUMM RCL 150X150 '!$E$6:$E$58,$D131,'GRD SUMM RCL 150X150 '!CO$6:CO$58)</f>
        <v>2236.5519999999997</v>
      </c>
      <c r="BB131" s="4331"/>
      <c r="BC131" s="4276">
        <f t="shared" si="343"/>
        <v>5304.8459999999995</v>
      </c>
      <c r="BD131" s="4286"/>
      <c r="BE131" s="4270">
        <f t="shared" si="344"/>
        <v>12477.552</v>
      </c>
      <c r="BF131" s="4286"/>
      <c r="BG131" s="4278">
        <f t="shared" si="345"/>
        <v>28162.554</v>
      </c>
      <c r="BH131" s="26">
        <f t="shared" si="88"/>
        <v>0</v>
      </c>
      <c r="BI131" s="26"/>
    </row>
    <row r="132" spans="1:62" ht="15" customHeight="1" thickBot="1" x14ac:dyDescent="0.35">
      <c r="A132" s="1257"/>
      <c r="B132" s="1257"/>
      <c r="C132" s="6364"/>
      <c r="D132" s="4284" t="str">
        <f>+'GRD SUMM RCL 150X150 '!E58</f>
        <v>ASSORTED BILLET (CCP)150*150</v>
      </c>
      <c r="E132" s="4284"/>
      <c r="F132" s="4285"/>
      <c r="G132" s="4286">
        <f>+SUMIF('GRD SUMM RCL 150X150 '!$E$6:$E$58,$D132,'GRD SUMM RCL 150X150 '!AU$6:AU$58)</f>
        <v>3034</v>
      </c>
      <c r="H132" s="4286">
        <f>+SUMIF('GRD SUMM RCL 150X150 '!$E$6:$E$58,$D132,'GRD SUMM RCL 150X150 '!AV$6:AV$58)</f>
        <v>0</v>
      </c>
      <c r="I132" s="4286">
        <f>+SUMIF('GRD SUMM RCL 150X150 '!$E$6:$E$58,$D132,'GRD SUMM RCL 150X150 '!AW$6:AW$58)</f>
        <v>3348</v>
      </c>
      <c r="J132" s="4286">
        <f>+SUMIF('GRD SUMM RCL 150X150 '!$E$6:$E$58,$D132,'GRD SUMM RCL 150X150 '!AX$6:AX$58)</f>
        <v>0</v>
      </c>
      <c r="K132" s="4275">
        <f t="shared" si="326"/>
        <v>6382</v>
      </c>
      <c r="L132" s="4286">
        <f>+SUMIF('GRD SUMM RCL 150X150 '!$E$6:$E$58,$D132,'GRD SUMM RCL 150X150 '!AZ$6:AZ$58)</f>
        <v>0</v>
      </c>
      <c r="M132" s="4286">
        <f>+SUMIF('GRD SUMM RCL 150X150 '!$E$6:$E$58,$D132,'GRD SUMM RCL 150X150 '!BA$6:BA$58)</f>
        <v>2101</v>
      </c>
      <c r="N132" s="4286"/>
      <c r="O132" s="4276">
        <f t="shared" si="327"/>
        <v>8483</v>
      </c>
      <c r="P132" s="4286"/>
      <c r="Q132" s="4286">
        <f>+SUMIF('GRD SUMM RCL 150X150 '!$E$6:$E$58,$D132,'GRD SUMM RCL 150X150 '!BE$6:BE$58)</f>
        <v>1795</v>
      </c>
      <c r="R132" s="4286">
        <f>+SUMIF('GRD SUMM RCL 150X150 '!$E$6:$E$58,$D132,'GRD SUMM RCL 150X150 '!BF$6:BF$58)</f>
        <v>0</v>
      </c>
      <c r="S132" s="4275">
        <f t="shared" si="329"/>
        <v>10278</v>
      </c>
      <c r="T132" s="4286">
        <f>+SUMIF('GRD SUMM RCL 150X150 '!$E$6:$E$58,$D132,'GRD SUMM RCL 150X150 '!BH$6:BH$58)</f>
        <v>0</v>
      </c>
      <c r="U132" s="4286">
        <f>+SUMIF('GRD SUMM RCL 150X150 '!$E$6:$E$58,$D132,'GRD SUMM RCL 150X150 '!BI$6:BI$58)</f>
        <v>1887.8020000000001</v>
      </c>
      <c r="V132" s="4286">
        <f>+SUMIF('GRD SUMM RCL 150X150 '!$E$6:$E$58,$D132,'GRD SUMM RCL 150X150 '!BJ$6:BJ$58)</f>
        <v>0</v>
      </c>
      <c r="W132" s="4275">
        <f t="shared" si="330"/>
        <v>12165.802</v>
      </c>
      <c r="X132" s="4286">
        <f>+SUMIF('GRD SUMM RCL 150X150 '!$E$6:$E$58,$D132,'GRD SUMM RCL 150X150 '!BL$6:BL$58)</f>
        <v>0</v>
      </c>
      <c r="Y132" s="4286">
        <f>+SUMIF('GRD SUMM RCL 150X150 '!$E$6:$E$58,$D132,'GRD SUMM RCL 150X150 '!BM$6:BM$58)</f>
        <v>2519</v>
      </c>
      <c r="Z132" s="4286"/>
      <c r="AA132" s="4276">
        <f t="shared" si="301"/>
        <v>6201.8019999999997</v>
      </c>
      <c r="AB132" s="4286"/>
      <c r="AC132" s="4277">
        <f t="shared" si="332"/>
        <v>14684.802</v>
      </c>
      <c r="AD132" s="4286"/>
      <c r="AE132" s="4286">
        <f>+SUMIF('GRD SUMM RCL 150X150 '!$E$6:$E$58,$D132,'GRD SUMM RCL 150X150 '!BS$6:BS$58)</f>
        <v>1199</v>
      </c>
      <c r="AF132" s="4286">
        <f>+SUMIF('GRD SUMM RCL 150X150 '!$E$6:$E$58,$D132,'GRD SUMM RCL 150X150 '!BT$6:BT$58)</f>
        <v>0</v>
      </c>
      <c r="AG132" s="4275">
        <f t="shared" si="333"/>
        <v>15883.802</v>
      </c>
      <c r="AH132" s="4286">
        <f>+SUMIF('GRD SUMM RCL 150X150 '!$E$6:$E$58,$D132,'GRD SUMM RCL 150X150 '!BV$6:BV$58)</f>
        <v>0</v>
      </c>
      <c r="AI132" s="4286">
        <f>+SUMIF('GRD SUMM RCL 150X150 '!$E$6:$E$58,$D132,'GRD SUMM RCL 150X150 '!BW$6:BW$58)</f>
        <v>1456.4299999999998</v>
      </c>
      <c r="AJ132" s="4286"/>
      <c r="AK132" s="4278">
        <f t="shared" si="335"/>
        <v>17340.232</v>
      </c>
      <c r="AL132" s="4286">
        <f>+SUMIF('GRD SUMM RCL 150X150 '!$E$6:$E$58,$D132,'GRD SUMM RCL 150X150 '!BZ$6:BZ$58)</f>
        <v>0</v>
      </c>
      <c r="AM132" s="4286">
        <f>+SUMIF('GRD SUMM RCL 150X150 '!$E$6:$E$58,$D132,'GRD SUMM RCL 150X150 '!CA$6:CA$58)</f>
        <v>1962</v>
      </c>
      <c r="AN132" s="4331"/>
      <c r="AO132" s="4276">
        <f t="shared" si="305"/>
        <v>4617.43</v>
      </c>
      <c r="AP132" s="4286"/>
      <c r="AQ132" s="4278">
        <f t="shared" si="337"/>
        <v>19302.232</v>
      </c>
      <c r="AR132" s="4286">
        <f>+SUMIF('GRD SUMM RCL 150X150 '!$E$6:$E$58,$D132,'GRD SUMM RCL 150X150 '!CF$6:CF$58)</f>
        <v>0</v>
      </c>
      <c r="AS132" s="4286">
        <f>+SUMIF('GRD SUMM RCL 150X150 '!$E$6:$E$58,$D132,'GRD SUMM RCL 150X150 '!CG$6:CG$58)</f>
        <v>2447</v>
      </c>
      <c r="AT132" s="4286"/>
      <c r="AU132" s="4278">
        <f t="shared" si="339"/>
        <v>21749.232</v>
      </c>
      <c r="AV132" s="4286">
        <f>+SUMIF('GRD SUMM RCL 150X150 '!$E$6:$E$58,$D132,'GRD SUMM RCL 150X150 '!CJ$6:CJ$58)</f>
        <v>0</v>
      </c>
      <c r="AW132" s="4286">
        <f>+SUMIF('GRD SUMM RCL 150X150 '!$E$6:$E$58,$D132,'GRD SUMM RCL 150X150 '!CK$6:CK$58)</f>
        <v>1690.1699999999998</v>
      </c>
      <c r="AX132" s="4286"/>
      <c r="AY132" s="4278">
        <f t="shared" si="341"/>
        <v>23439.401999999998</v>
      </c>
      <c r="AZ132" s="4286">
        <f>+SUMIF('GRD SUMM RCL 150X150 '!$E$6:$E$58,$D132,'GRD SUMM RCL 150X150 '!CN$6:CN$58)</f>
        <v>0</v>
      </c>
      <c r="BA132" s="4286">
        <f>+SUMIF('GRD SUMM RCL 150X150 '!$E$6:$E$58,$D132,'GRD SUMM RCL 150X150 '!CO$6:CO$58)</f>
        <v>1983.558</v>
      </c>
      <c r="BB132" s="4331"/>
      <c r="BC132" s="4276">
        <f t="shared" si="343"/>
        <v>6120.7280000000001</v>
      </c>
      <c r="BD132" s="4286"/>
      <c r="BE132" s="4270">
        <f t="shared" si="344"/>
        <v>10738.157999999999</v>
      </c>
      <c r="BF132" s="4286"/>
      <c r="BG132" s="4278">
        <f t="shared" si="345"/>
        <v>25422.959999999999</v>
      </c>
      <c r="BH132" s="26">
        <f t="shared" si="88"/>
        <v>0</v>
      </c>
      <c r="BI132" s="26"/>
    </row>
    <row r="133" spans="1:62" ht="15" customHeight="1" thickBot="1" x14ac:dyDescent="0.35">
      <c r="C133" s="6364"/>
      <c r="D133" s="4287" t="s">
        <v>1482</v>
      </c>
      <c r="E133" s="4287"/>
      <c r="F133" s="4273"/>
      <c r="G133" s="4286">
        <f>+SMS!F36</f>
        <v>144</v>
      </c>
      <c r="H133" s="4286">
        <f>+SUMIF('GRD SUMM RCL 150X150 '!$E$6:$E$58,$D133,'GRD SUMM RCL 150X150 '!AV$6:AV$58)</f>
        <v>0</v>
      </c>
      <c r="I133" s="4286">
        <f>+SMS!H36</f>
        <v>154</v>
      </c>
      <c r="J133" s="4286">
        <f>+SUMIF('GRD SUMM RCL 150X150 '!$E$6:$E$58,$D133,'GRD SUMM RCL 150X150 '!AX$6:AX$58)</f>
        <v>0</v>
      </c>
      <c r="K133" s="4275">
        <f t="shared" si="326"/>
        <v>298</v>
      </c>
      <c r="L133" s="4286">
        <f>+SUMIF('GRD SUMM RCL 150X150 '!$E$6:$E$58,$D133,'GRD SUMM RCL 150X150 '!AZ$6:AZ$58)</f>
        <v>0</v>
      </c>
      <c r="M133" s="4286">
        <f>+SMS!L36</f>
        <v>56</v>
      </c>
      <c r="N133" s="4274"/>
      <c r="O133" s="4276">
        <f t="shared" si="327"/>
        <v>354</v>
      </c>
      <c r="P133" s="4274"/>
      <c r="Q133" s="4286">
        <f>+SMS!P36</f>
        <v>26</v>
      </c>
      <c r="R133" s="4286">
        <f>+SUMIF('GRD SUMM RCL 150X150 '!$E$6:$E$58,$D133,'GRD SUMM RCL 150X150 '!BF$6:BF$58)</f>
        <v>0</v>
      </c>
      <c r="S133" s="4275">
        <f t="shared" si="329"/>
        <v>380</v>
      </c>
      <c r="T133" s="4286">
        <f>+SUMIF('GRD SUMM RCL 150X150 '!$E$6:$E$58,$D133,'GRD SUMM RCL 150X150 '!BH$6:BH$58)</f>
        <v>0</v>
      </c>
      <c r="U133" s="4286">
        <f>+SMS!T36</f>
        <v>66</v>
      </c>
      <c r="V133" s="4286">
        <f>+SUMIF('GRD SUMM RCL 150X150 '!$E$6:$E$58,$D133,'GRD SUMM RCL 150X150 '!BJ$6:BJ$58)</f>
        <v>0</v>
      </c>
      <c r="W133" s="4275">
        <f t="shared" si="330"/>
        <v>446</v>
      </c>
      <c r="X133" s="4286">
        <f>+SUMIF('GRD SUMM RCL 150X150 '!$E$6:$E$58,$D133,'GRD SUMM RCL 150X150 '!BL$6:BL$58)</f>
        <v>0</v>
      </c>
      <c r="Y133" s="4286">
        <f>+SMS!X36</f>
        <v>260</v>
      </c>
      <c r="Z133" s="4274"/>
      <c r="AA133" s="4276">
        <f t="shared" si="301"/>
        <v>352</v>
      </c>
      <c r="AB133" s="4274"/>
      <c r="AC133" s="4277">
        <f t="shared" si="332"/>
        <v>706</v>
      </c>
      <c r="AD133" s="4274"/>
      <c r="AE133" s="4286">
        <f>+SMS!AD36</f>
        <v>95</v>
      </c>
      <c r="AF133" s="4286">
        <f>+SUMIF('GRD SUMM RCL 150X150 '!$E$6:$E$58,$D133,'GRD SUMM RCL 150X150 '!BT$6:BT$58)</f>
        <v>0</v>
      </c>
      <c r="AG133" s="4275">
        <f t="shared" si="333"/>
        <v>801</v>
      </c>
      <c r="AH133" s="4286">
        <f>+SUMIF('GRD SUMM RCL 150X150 '!$E$6:$E$58,$D133,'GRD SUMM RCL 150X150 '!BV$6:BV$58)</f>
        <v>0</v>
      </c>
      <c r="AI133" s="4286">
        <f>+SMS!AH36</f>
        <v>0</v>
      </c>
      <c r="AJ133" s="4274"/>
      <c r="AK133" s="4278">
        <f t="shared" si="335"/>
        <v>801</v>
      </c>
      <c r="AL133" s="4286">
        <f>+SUMIF('GRD SUMM RCL 150X150 '!$E$6:$E$58,$D133,'GRD SUMM RCL 150X150 '!BZ$6:BZ$58)</f>
        <v>0</v>
      </c>
      <c r="AM133" s="4286">
        <f>+SMS!AL36</f>
        <v>38</v>
      </c>
      <c r="AN133" s="4331"/>
      <c r="AO133" s="4276">
        <f t="shared" si="305"/>
        <v>133</v>
      </c>
      <c r="AP133" s="4274"/>
      <c r="AQ133" s="4278">
        <f t="shared" si="337"/>
        <v>839</v>
      </c>
      <c r="AR133" s="4286">
        <f>+SUMIF('GRD SUMM RCL 150X150 '!$E$6:$E$58,$D133,'GRD SUMM RCL 150X150 '!CF$6:CF$58)</f>
        <v>0</v>
      </c>
      <c r="AS133" s="4286">
        <f>+SMS!AR36</f>
        <v>367</v>
      </c>
      <c r="AT133" s="4274"/>
      <c r="AU133" s="4278">
        <f t="shared" si="339"/>
        <v>1206</v>
      </c>
      <c r="AV133" s="4286">
        <f>+SUMIF('GRD SUMM RCL 150X150 '!$E$6:$E$58,$D133,'GRD SUMM RCL 150X150 '!CJ$6:CJ$58)</f>
        <v>0</v>
      </c>
      <c r="AW133" s="4286">
        <f>+SMS!AV36</f>
        <v>256</v>
      </c>
      <c r="AX133" s="4274"/>
      <c r="AY133" s="4278">
        <f t="shared" si="341"/>
        <v>1462</v>
      </c>
      <c r="AZ133" s="4286">
        <f>+SUMIF('GRD SUMM RCL 150X150 '!$E$6:$E$58,$D133,'GRD SUMM RCL 150X150 '!CN$6:CN$58)</f>
        <v>0</v>
      </c>
      <c r="BA133" s="4286">
        <f>+SMS!AZ36</f>
        <v>104</v>
      </c>
      <c r="BB133" s="4331"/>
      <c r="BC133" s="4276">
        <f t="shared" si="343"/>
        <v>727</v>
      </c>
      <c r="BD133" s="4274"/>
      <c r="BE133" s="4270">
        <f t="shared" si="344"/>
        <v>860</v>
      </c>
      <c r="BF133" s="4274"/>
      <c r="BG133" s="4278">
        <f t="shared" si="345"/>
        <v>1566</v>
      </c>
      <c r="BH133" s="26">
        <f t="shared" si="88"/>
        <v>0</v>
      </c>
      <c r="BI133" s="26"/>
    </row>
    <row r="134" spans="1:62" ht="15.75" customHeight="1" thickBot="1" x14ac:dyDescent="0.35">
      <c r="C134" s="6365"/>
      <c r="D134" s="4252" t="s">
        <v>21</v>
      </c>
      <c r="E134" s="4252"/>
      <c r="F134" s="4247"/>
      <c r="G134" s="4253">
        <f>SUM(G131:G133)</f>
        <v>4848</v>
      </c>
      <c r="H134" s="4253"/>
      <c r="I134" s="4253">
        <f>SUM(I131:I133)</f>
        <v>6916</v>
      </c>
      <c r="J134" s="4253"/>
      <c r="K134" s="4288">
        <f t="shared" si="326"/>
        <v>11764</v>
      </c>
      <c r="L134" s="4253"/>
      <c r="M134" s="4253">
        <f>SUM(M131:M133)</f>
        <v>4928</v>
      </c>
      <c r="N134" s="4253"/>
      <c r="O134" s="4289">
        <f t="shared" si="327"/>
        <v>16692</v>
      </c>
      <c r="P134" s="4253"/>
      <c r="Q134" s="4253">
        <f>SUM(Q131:Q133)</f>
        <v>4140</v>
      </c>
      <c r="R134" s="4253"/>
      <c r="S134" s="4288">
        <f t="shared" si="329"/>
        <v>20832</v>
      </c>
      <c r="T134" s="4253"/>
      <c r="U134" s="4253">
        <f>SUM(U131:U133)</f>
        <v>5532.8040000000001</v>
      </c>
      <c r="V134" s="4253"/>
      <c r="W134" s="4288">
        <f t="shared" si="330"/>
        <v>26364.804</v>
      </c>
      <c r="X134" s="4253"/>
      <c r="Y134" s="4253">
        <f>SUM(Y131:Y133)</f>
        <v>4711</v>
      </c>
      <c r="Z134" s="4253"/>
      <c r="AA134" s="4289">
        <f t="shared" si="301"/>
        <v>14383.804</v>
      </c>
      <c r="AB134" s="4253"/>
      <c r="AC134" s="4290">
        <f t="shared" si="332"/>
        <v>31075.804</v>
      </c>
      <c r="AD134" s="4253"/>
      <c r="AE134" s="4253">
        <f>SUM(AE131:AE133)</f>
        <v>4019</v>
      </c>
      <c r="AF134" s="4253"/>
      <c r="AG134" s="4288">
        <f t="shared" si="333"/>
        <v>35094.804000000004</v>
      </c>
      <c r="AH134" s="4253"/>
      <c r="AI134" s="4253">
        <f>SUM(AI131:AI133)</f>
        <v>4065.1359999999995</v>
      </c>
      <c r="AJ134" s="4253"/>
      <c r="AK134" s="4291">
        <f t="shared" si="335"/>
        <v>39159.94</v>
      </c>
      <c r="AL134" s="4253"/>
      <c r="AM134" s="4253">
        <f>SUM(AM131:AM133)</f>
        <v>3839</v>
      </c>
      <c r="AN134" s="4253"/>
      <c r="AO134" s="4289">
        <f t="shared" si="305"/>
        <v>11923.135999999999</v>
      </c>
      <c r="AP134" s="4253"/>
      <c r="AQ134" s="4291">
        <f t="shared" si="337"/>
        <v>42998.94</v>
      </c>
      <c r="AR134" s="4253"/>
      <c r="AS134" s="4253">
        <f>SUM(AS131:AS133)</f>
        <v>4460</v>
      </c>
      <c r="AT134" s="4253"/>
      <c r="AU134" s="4291">
        <f t="shared" si="339"/>
        <v>47458.94</v>
      </c>
      <c r="AV134" s="4253"/>
      <c r="AW134" s="4253">
        <f>SUM(AW131:AW133)</f>
        <v>3368.4639999999999</v>
      </c>
      <c r="AX134" s="4253"/>
      <c r="AY134" s="4291">
        <f t="shared" si="341"/>
        <v>50827.404000000002</v>
      </c>
      <c r="AZ134" s="4253"/>
      <c r="BA134" s="4253">
        <f>SUM(BA131:BA133)</f>
        <v>4324.1099999999997</v>
      </c>
      <c r="BB134" s="4253"/>
      <c r="BC134" s="4289">
        <f t="shared" si="343"/>
        <v>12152.574000000001</v>
      </c>
      <c r="BD134" s="4253"/>
      <c r="BE134" s="4270">
        <f t="shared" si="344"/>
        <v>24075.71</v>
      </c>
      <c r="BF134" s="4253"/>
      <c r="BG134" s="4291">
        <f t="shared" si="345"/>
        <v>55151.514000000003</v>
      </c>
      <c r="BH134" s="26">
        <f t="shared" ref="BH134:BH146" si="346">BA134++AW134+AS134+AM134+AI134+AE134+Y134+U134+Q134+M134+I134+G134-BG134</f>
        <v>0</v>
      </c>
      <c r="BI134" s="26"/>
    </row>
    <row r="135" spans="1:62" ht="15.75" hidden="1" customHeight="1" thickBot="1" x14ac:dyDescent="0.35">
      <c r="C135" s="4296"/>
      <c r="D135" s="4297" t="s">
        <v>1474</v>
      </c>
      <c r="E135" s="4298"/>
      <c r="F135" s="4298"/>
      <c r="G135" s="4299">
        <f t="shared" ref="G135:AM135" si="347">+G130-G134</f>
        <v>0</v>
      </c>
      <c r="H135" s="4299">
        <f t="shared" si="347"/>
        <v>0</v>
      </c>
      <c r="I135" s="4299">
        <f t="shared" si="347"/>
        <v>-0.40000000000145519</v>
      </c>
      <c r="J135" s="4299">
        <f t="shared" si="347"/>
        <v>0</v>
      </c>
      <c r="K135" s="4299">
        <f t="shared" si="347"/>
        <v>-0.40000000000145519</v>
      </c>
      <c r="L135" s="4299">
        <f t="shared" si="347"/>
        <v>0</v>
      </c>
      <c r="M135" s="4299">
        <f t="shared" si="347"/>
        <v>0</v>
      </c>
      <c r="N135" s="4299">
        <f t="shared" si="347"/>
        <v>0</v>
      </c>
      <c r="O135" s="4299">
        <f t="shared" si="347"/>
        <v>-0.40000000000145519</v>
      </c>
      <c r="P135" s="4299">
        <f t="shared" si="347"/>
        <v>0</v>
      </c>
      <c r="Q135" s="4299">
        <f t="shared" si="347"/>
        <v>0</v>
      </c>
      <c r="R135" s="4299">
        <f t="shared" si="347"/>
        <v>0</v>
      </c>
      <c r="S135" s="4299">
        <f t="shared" si="347"/>
        <v>-0.40000000000145519</v>
      </c>
      <c r="T135" s="4299">
        <f t="shared" si="347"/>
        <v>0</v>
      </c>
      <c r="U135" s="4299">
        <f t="shared" si="347"/>
        <v>0</v>
      </c>
      <c r="V135" s="4299">
        <f t="shared" si="347"/>
        <v>0</v>
      </c>
      <c r="W135" s="4299">
        <f t="shared" si="347"/>
        <v>-0.40000000000509317</v>
      </c>
      <c r="X135" s="4299">
        <f t="shared" si="347"/>
        <v>0</v>
      </c>
      <c r="Y135" s="4299">
        <f t="shared" si="347"/>
        <v>0</v>
      </c>
      <c r="Z135" s="4299">
        <f t="shared" si="347"/>
        <v>0</v>
      </c>
      <c r="AA135" s="4299">
        <f t="shared" si="347"/>
        <v>0</v>
      </c>
      <c r="AB135" s="4299">
        <f t="shared" si="347"/>
        <v>0</v>
      </c>
      <c r="AC135" s="4299">
        <f t="shared" si="347"/>
        <v>-0.40000000000509317</v>
      </c>
      <c r="AD135" s="4299">
        <f t="shared" si="347"/>
        <v>0</v>
      </c>
      <c r="AE135" s="4299">
        <f t="shared" si="347"/>
        <v>0</v>
      </c>
      <c r="AF135" s="4299">
        <f t="shared" si="347"/>
        <v>0</v>
      </c>
      <c r="AG135" s="4299">
        <f t="shared" si="347"/>
        <v>-0.40000000000873115</v>
      </c>
      <c r="AH135" s="4299">
        <f t="shared" si="347"/>
        <v>0</v>
      </c>
      <c r="AI135" s="4299">
        <f t="shared" si="347"/>
        <v>0</v>
      </c>
      <c r="AJ135" s="4299">
        <f t="shared" si="347"/>
        <v>0</v>
      </c>
      <c r="AK135" s="4299">
        <f t="shared" si="347"/>
        <v>-0.40000000000873115</v>
      </c>
      <c r="AL135" s="4299">
        <f t="shared" si="347"/>
        <v>0</v>
      </c>
      <c r="AM135" s="4299">
        <f t="shared" si="347"/>
        <v>0</v>
      </c>
      <c r="AN135" s="4332"/>
      <c r="AO135" s="4299">
        <f t="shared" ref="AO135:BA135" si="348">+AO130-AO134</f>
        <v>0</v>
      </c>
      <c r="AP135" s="4299">
        <f t="shared" si="348"/>
        <v>0</v>
      </c>
      <c r="AQ135" s="4299">
        <f t="shared" si="348"/>
        <v>-0.40000000000873115</v>
      </c>
      <c r="AR135" s="4299">
        <f t="shared" si="348"/>
        <v>0</v>
      </c>
      <c r="AS135" s="4299">
        <f t="shared" si="348"/>
        <v>0</v>
      </c>
      <c r="AT135" s="4299">
        <f t="shared" si="348"/>
        <v>0</v>
      </c>
      <c r="AU135" s="4299">
        <f t="shared" si="348"/>
        <v>-0.40000000000873115</v>
      </c>
      <c r="AV135" s="4299">
        <f t="shared" si="348"/>
        <v>0</v>
      </c>
      <c r="AW135" s="4299">
        <f t="shared" si="348"/>
        <v>0</v>
      </c>
      <c r="AX135" s="4299">
        <f t="shared" si="348"/>
        <v>0</v>
      </c>
      <c r="AY135" s="4299">
        <f t="shared" si="348"/>
        <v>-0.40000000000873115</v>
      </c>
      <c r="AZ135" s="4299">
        <f t="shared" si="348"/>
        <v>0</v>
      </c>
      <c r="BA135" s="4299">
        <f t="shared" si="348"/>
        <v>0</v>
      </c>
      <c r="BB135" s="4332"/>
      <c r="BC135" s="4299">
        <f>+BC130-BC134</f>
        <v>0</v>
      </c>
      <c r="BD135" s="4299">
        <f>+BD130-BD134</f>
        <v>0</v>
      </c>
      <c r="BE135" s="4299">
        <f>+BE130-BE134</f>
        <v>0</v>
      </c>
      <c r="BF135" s="4299">
        <f>+BF130-BF134</f>
        <v>0</v>
      </c>
      <c r="BG135" s="4299">
        <f>+BG130-BG134</f>
        <v>-0.40000000000873115</v>
      </c>
      <c r="BH135" s="26">
        <f t="shared" si="346"/>
        <v>7.2759576141834259E-12</v>
      </c>
      <c r="BI135" s="26"/>
    </row>
    <row r="136" spans="1:62" ht="30" customHeight="1" thickBot="1" x14ac:dyDescent="0.35">
      <c r="C136" s="4249"/>
      <c r="D136" s="4257"/>
      <c r="E136" s="4257"/>
      <c r="F136" s="4246"/>
      <c r="G136" s="4258"/>
      <c r="H136" s="4258"/>
      <c r="I136" s="4258"/>
      <c r="J136" s="4258"/>
      <c r="K136" s="4259"/>
      <c r="L136" s="4258"/>
      <c r="M136" s="4258"/>
      <c r="N136" s="4258"/>
      <c r="O136" s="4260"/>
      <c r="P136" s="4258"/>
      <c r="Q136" s="4258"/>
      <c r="R136" s="4258"/>
      <c r="S136" s="4259"/>
      <c r="T136" s="4258"/>
      <c r="U136" s="4258"/>
      <c r="V136" s="4258"/>
      <c r="W136" s="4259"/>
      <c r="X136" s="4258"/>
      <c r="Y136" s="4258"/>
      <c r="Z136" s="4258"/>
      <c r="AA136" s="4260"/>
      <c r="AB136" s="4258"/>
      <c r="AC136" s="4261"/>
      <c r="AD136" s="4258"/>
      <c r="AE136" s="4258"/>
      <c r="AF136" s="4258"/>
      <c r="AG136" s="4259"/>
      <c r="AH136" s="4258"/>
      <c r="AI136" s="4258"/>
      <c r="AJ136" s="4258"/>
      <c r="AK136" s="4259"/>
      <c r="AL136" s="4258"/>
      <c r="AM136" s="4258"/>
      <c r="AN136" s="4258"/>
      <c r="AO136" s="4260"/>
      <c r="AP136" s="4258"/>
      <c r="AQ136" s="4259"/>
      <c r="AR136" s="4258"/>
      <c r="AS136" s="4258"/>
      <c r="AT136" s="4258"/>
      <c r="AU136" s="4259"/>
      <c r="AV136" s="4258"/>
      <c r="AW136" s="4258"/>
      <c r="AX136" s="4258"/>
      <c r="AY136" s="4259"/>
      <c r="AZ136" s="4258"/>
      <c r="BA136" s="4258"/>
      <c r="BB136" s="4258"/>
      <c r="BC136" s="4260"/>
      <c r="BD136" s="4258"/>
      <c r="BE136" s="4261"/>
      <c r="BF136" s="4258"/>
      <c r="BG136" s="4259"/>
      <c r="BH136" s="26">
        <f t="shared" si="346"/>
        <v>0</v>
      </c>
      <c r="BI136" s="26"/>
    </row>
    <row r="137" spans="1:62" ht="18.75" customHeight="1" thickBot="1" x14ac:dyDescent="0.35">
      <c r="C137" s="6363" t="s">
        <v>1484</v>
      </c>
      <c r="D137" s="4262" t="s">
        <v>1480</v>
      </c>
      <c r="E137" s="4262"/>
      <c r="F137" s="4245"/>
      <c r="G137" s="4263">
        <f>+'Maj Production Summ'!F35</f>
        <v>0</v>
      </c>
      <c r="H137" s="4263"/>
      <c r="I137" s="4263">
        <f>+'Maj Production Summ'!H35</f>
        <v>3000</v>
      </c>
      <c r="J137" s="4263"/>
      <c r="K137" s="4268">
        <f t="shared" ref="K137:K138" si="349">+G137+I137</f>
        <v>3000</v>
      </c>
      <c r="L137" s="4263"/>
      <c r="M137" s="4263">
        <f>+'Maj Production Summ'!L35</f>
        <v>1066</v>
      </c>
      <c r="N137" s="4263"/>
      <c r="O137" s="4269">
        <f t="shared" ref="O137:O138" si="350">+G137+I137+M137</f>
        <v>4066</v>
      </c>
      <c r="P137" s="4263"/>
      <c r="Q137" s="4263">
        <f>+'Maj Production Summ'!P35</f>
        <v>463</v>
      </c>
      <c r="R137" s="4263"/>
      <c r="S137" s="4268">
        <f t="shared" ref="S137:S138" si="351">O137+Q137</f>
        <v>4529</v>
      </c>
      <c r="T137" s="4263"/>
      <c r="U137" s="4263">
        <f>+'Maj Production Summ'!T35</f>
        <v>8811.77</v>
      </c>
      <c r="V137" s="4263"/>
      <c r="W137" s="4268">
        <f t="shared" ref="W137:W138" si="352">S137+U137</f>
        <v>13340.77</v>
      </c>
      <c r="X137" s="4263"/>
      <c r="Y137" s="4263">
        <f>+'Maj Production Summ'!X35</f>
        <v>1414</v>
      </c>
      <c r="Z137" s="4263"/>
      <c r="AA137" s="4269">
        <f t="shared" si="301"/>
        <v>10688.77</v>
      </c>
      <c r="AB137" s="4263"/>
      <c r="AC137" s="4270">
        <f t="shared" ref="AC137:AC138" si="353">O137+AA137</f>
        <v>14754.77</v>
      </c>
      <c r="AD137" s="4263"/>
      <c r="AE137" s="4263">
        <f>+'Maj Production Summ'!AD35</f>
        <v>11212</v>
      </c>
      <c r="AF137" s="4263"/>
      <c r="AG137" s="4268">
        <f t="shared" ref="AG137:AG138" si="354">+AC137+AE137</f>
        <v>25966.77</v>
      </c>
      <c r="AH137" s="4263"/>
      <c r="AI137" s="4263">
        <f>+'Maj Production Summ'!AH35</f>
        <v>0</v>
      </c>
      <c r="AJ137" s="4263"/>
      <c r="AK137" s="4271">
        <f t="shared" ref="AK137:AK138" si="355">+AG137+AI137</f>
        <v>25966.77</v>
      </c>
      <c r="AL137" s="4263"/>
      <c r="AM137" s="4263">
        <f>+'Maj Production Summ'!AL35</f>
        <v>703.34</v>
      </c>
      <c r="AN137" s="4263"/>
      <c r="AO137" s="4269">
        <f t="shared" si="305"/>
        <v>11915.34</v>
      </c>
      <c r="AP137" s="4263"/>
      <c r="AQ137" s="4271">
        <f>+AK137+AM137</f>
        <v>26670.11</v>
      </c>
      <c r="AR137" s="4263"/>
      <c r="AS137" s="4263">
        <f>+'Maj Production Summ'!AR35</f>
        <v>7040</v>
      </c>
      <c r="AT137" s="4263"/>
      <c r="AU137" s="4271">
        <f t="shared" ref="AU137:AU138" si="356">+AQ137+AS137</f>
        <v>33710.11</v>
      </c>
      <c r="AV137" s="4263"/>
      <c r="AW137" s="4263">
        <f>+'Maj Production Summ'!AV35</f>
        <v>1892</v>
      </c>
      <c r="AX137" s="4263"/>
      <c r="AY137" s="4271">
        <f t="shared" ref="AY137:AY138" si="357">+AU137+AW137</f>
        <v>35602.11</v>
      </c>
      <c r="AZ137" s="4263"/>
      <c r="BA137" s="5635">
        <f>+'Maj Production Summ'!AZ35</f>
        <v>4291.26</v>
      </c>
      <c r="BB137" s="4263"/>
      <c r="BC137" s="4269">
        <f t="shared" ref="BC137:BC138" si="358">AS137+AW137+BA137</f>
        <v>13223.26</v>
      </c>
      <c r="BD137" s="4263"/>
      <c r="BE137" s="4270">
        <f t="shared" ref="BE137:BE138" si="359">AO137+BC137</f>
        <v>25138.6</v>
      </c>
      <c r="BF137" s="4263"/>
      <c r="BG137" s="4271">
        <f t="shared" ref="BG137:BG138" si="360">+AY137+BA137</f>
        <v>39893.370000000003</v>
      </c>
      <c r="BH137" s="26">
        <f t="shared" si="346"/>
        <v>0</v>
      </c>
      <c r="BI137" s="26"/>
    </row>
    <row r="138" spans="1:62" ht="18.75" customHeight="1" x14ac:dyDescent="0.3">
      <c r="C138" s="6364"/>
      <c r="D138" s="4272" t="s">
        <v>2351</v>
      </c>
      <c r="E138" s="4272"/>
      <c r="F138" s="4273"/>
      <c r="G138" s="4274">
        <f>+G93</f>
        <v>0</v>
      </c>
      <c r="H138" s="4274"/>
      <c r="I138" s="4274">
        <f>+I93</f>
        <v>2283</v>
      </c>
      <c r="J138" s="4274"/>
      <c r="K138" s="4275">
        <f t="shared" si="349"/>
        <v>2283</v>
      </c>
      <c r="L138" s="4274"/>
      <c r="M138" s="4274">
        <f>+M93</f>
        <v>0</v>
      </c>
      <c r="N138" s="4274"/>
      <c r="O138" s="4276">
        <f t="shared" si="350"/>
        <v>2283</v>
      </c>
      <c r="P138" s="4274"/>
      <c r="Q138" s="4274">
        <f>+Q93</f>
        <v>0</v>
      </c>
      <c r="R138" s="4274"/>
      <c r="S138" s="4275">
        <f t="shared" si="351"/>
        <v>2283</v>
      </c>
      <c r="T138" s="4274"/>
      <c r="U138" s="4274">
        <f>+U93</f>
        <v>5981.4560000000001</v>
      </c>
      <c r="V138" s="4274"/>
      <c r="W138" s="4275">
        <f t="shared" si="352"/>
        <v>8264.4560000000001</v>
      </c>
      <c r="X138" s="4274"/>
      <c r="Y138" s="4274">
        <f>+Y93</f>
        <v>0</v>
      </c>
      <c r="Z138" s="4274"/>
      <c r="AA138" s="4276">
        <f t="shared" si="301"/>
        <v>5981.4560000000001</v>
      </c>
      <c r="AB138" s="4274"/>
      <c r="AC138" s="4277">
        <f t="shared" si="353"/>
        <v>8264.4560000000001</v>
      </c>
      <c r="AD138" s="4274"/>
      <c r="AE138" s="4274">
        <f>+AE93</f>
        <v>9050</v>
      </c>
      <c r="AF138" s="4274"/>
      <c r="AG138" s="4275">
        <f t="shared" si="354"/>
        <v>17314.455999999998</v>
      </c>
      <c r="AH138" s="4274"/>
      <c r="AI138" s="4274">
        <f>+AI93</f>
        <v>0</v>
      </c>
      <c r="AJ138" s="4274"/>
      <c r="AK138" s="4278">
        <f t="shared" si="355"/>
        <v>17314.455999999998</v>
      </c>
      <c r="AL138" s="4274"/>
      <c r="AM138" s="4274">
        <f>+AM93</f>
        <v>0</v>
      </c>
      <c r="AN138" s="4329"/>
      <c r="AO138" s="4276">
        <f t="shared" si="305"/>
        <v>9050</v>
      </c>
      <c r="AP138" s="4274"/>
      <c r="AQ138" s="4278">
        <f>+AK138+AM138</f>
        <v>17314.455999999998</v>
      </c>
      <c r="AR138" s="4274"/>
      <c r="AS138" s="4274">
        <f>+AS93</f>
        <v>5184.16</v>
      </c>
      <c r="AT138" s="4274"/>
      <c r="AU138" s="4278">
        <f t="shared" si="356"/>
        <v>22498.615999999998</v>
      </c>
      <c r="AV138" s="4274"/>
      <c r="AW138" s="4274">
        <f>+AW93</f>
        <v>1223.6179999999999</v>
      </c>
      <c r="AX138" s="4274"/>
      <c r="AY138" s="4278">
        <f t="shared" si="357"/>
        <v>23722.233999999997</v>
      </c>
      <c r="AZ138" s="4274"/>
      <c r="BA138" s="4286">
        <f>+BA93</f>
        <v>2630.7839999999997</v>
      </c>
      <c r="BB138" s="4329"/>
      <c r="BC138" s="4276">
        <f t="shared" si="358"/>
        <v>9038.5619999999999</v>
      </c>
      <c r="BD138" s="4274"/>
      <c r="BE138" s="4270">
        <f t="shared" si="359"/>
        <v>18088.561999999998</v>
      </c>
      <c r="BF138" s="4274"/>
      <c r="BG138" s="4278">
        <f t="shared" si="360"/>
        <v>26353.017999999996</v>
      </c>
      <c r="BH138" s="26">
        <f t="shared" si="346"/>
        <v>0</v>
      </c>
      <c r="BI138" s="26"/>
      <c r="BJ138" s="26">
        <f>+BA138+BA142+BA143</f>
        <v>4180.26</v>
      </c>
    </row>
    <row r="139" spans="1:62" ht="18.75" customHeight="1" thickBot="1" x14ac:dyDescent="0.35">
      <c r="C139" s="6364"/>
      <c r="D139" s="4272" t="s">
        <v>1481</v>
      </c>
      <c r="E139" s="4272"/>
      <c r="F139" s="4273"/>
      <c r="G139" s="4279" t="e">
        <f>+G138/G137</f>
        <v>#DIV/0!</v>
      </c>
      <c r="H139" s="4279"/>
      <c r="I139" s="4279">
        <f>+I138/I137</f>
        <v>0.76100000000000001</v>
      </c>
      <c r="J139" s="4279"/>
      <c r="K139" s="4280">
        <f t="shared" ref="K139:AG139" si="361">+K138/K137</f>
        <v>0.76100000000000001</v>
      </c>
      <c r="L139" s="4279"/>
      <c r="M139" s="4279">
        <f>+M138/M137</f>
        <v>0</v>
      </c>
      <c r="N139" s="4279"/>
      <c r="O139" s="4281">
        <f t="shared" si="361"/>
        <v>0.56148548942449583</v>
      </c>
      <c r="P139" s="4279"/>
      <c r="Q139" s="4279">
        <f t="shared" si="361"/>
        <v>0</v>
      </c>
      <c r="R139" s="4279"/>
      <c r="S139" s="4280">
        <f t="shared" si="361"/>
        <v>0.50408478692868186</v>
      </c>
      <c r="T139" s="4279"/>
      <c r="U139" s="4279">
        <f t="shared" si="361"/>
        <v>0.67880301006494725</v>
      </c>
      <c r="V139" s="4279"/>
      <c r="W139" s="4280">
        <f t="shared" si="361"/>
        <v>0.6194886801886248</v>
      </c>
      <c r="X139" s="4279"/>
      <c r="Y139" s="4279">
        <f t="shared" ref="Y139" si="362">+Y138/Y137</f>
        <v>0</v>
      </c>
      <c r="Z139" s="4279"/>
      <c r="AA139" s="4281">
        <f t="shared" si="361"/>
        <v>0.55960189993797227</v>
      </c>
      <c r="AB139" s="4279"/>
      <c r="AC139" s="4282">
        <f t="shared" si="361"/>
        <v>0.56012096427121538</v>
      </c>
      <c r="AD139" s="4279"/>
      <c r="AE139" s="4279">
        <f t="shared" si="361"/>
        <v>0.80717088833392792</v>
      </c>
      <c r="AF139" s="4279"/>
      <c r="AG139" s="4280">
        <f t="shared" si="361"/>
        <v>0.66679282791044081</v>
      </c>
      <c r="AH139" s="4279"/>
      <c r="AI139" s="4279" t="e">
        <f t="shared" ref="AI139" si="363">+AI138/AI137</f>
        <v>#DIV/0!</v>
      </c>
      <c r="AJ139" s="4279"/>
      <c r="AK139" s="4283">
        <f t="shared" ref="AK139" si="364">+AK138/AK137</f>
        <v>0.66679282791044081</v>
      </c>
      <c r="AL139" s="4279"/>
      <c r="AM139" s="4279">
        <f t="shared" ref="AM139" si="365">+AM138/AM137</f>
        <v>0</v>
      </c>
      <c r="AN139" s="4330"/>
      <c r="AO139" s="4281">
        <f t="shared" ref="AO139" si="366">+AO138/AO137</f>
        <v>0.75952511636260478</v>
      </c>
      <c r="AP139" s="4279"/>
      <c r="AQ139" s="4283">
        <f t="shared" ref="AQ139" si="367">+AQ138/AQ137</f>
        <v>0.64920827098200939</v>
      </c>
      <c r="AR139" s="4279"/>
      <c r="AS139" s="4279">
        <f t="shared" ref="AS139" si="368">+AS138/AS137</f>
        <v>0.73638636363636356</v>
      </c>
      <c r="AT139" s="4279"/>
      <c r="AU139" s="4283">
        <f t="shared" ref="AU139" si="369">+AU138/AU137</f>
        <v>0.66741449375276429</v>
      </c>
      <c r="AV139" s="4279"/>
      <c r="AW139" s="4279">
        <f t="shared" ref="AW139" si="370">+AW138/AW137</f>
        <v>0.6467325581395349</v>
      </c>
      <c r="AX139" s="4279"/>
      <c r="AY139" s="4283">
        <f t="shared" ref="AY139" si="371">+AY138/AY137</f>
        <v>0.66631539535156759</v>
      </c>
      <c r="AZ139" s="4279"/>
      <c r="BA139" s="5636">
        <f t="shared" ref="BA139" si="372">+BA138/BA137</f>
        <v>0.61305630514114728</v>
      </c>
      <c r="BB139" s="4330"/>
      <c r="BC139" s="4281">
        <f t="shared" ref="BC139" si="373">+BC138/BC137</f>
        <v>0.68353507380177048</v>
      </c>
      <c r="BD139" s="4279"/>
      <c r="BE139" s="4282">
        <f t="shared" ref="BE139" si="374">+BE138/BE137</f>
        <v>0.71955327663433921</v>
      </c>
      <c r="BF139" s="4279"/>
      <c r="BG139" s="4283">
        <f t="shared" ref="BG139" si="375">+BG138/BG137</f>
        <v>0.6605864082177062</v>
      </c>
      <c r="BH139" s="26" t="e">
        <f t="shared" si="346"/>
        <v>#DIV/0!</v>
      </c>
      <c r="BI139" s="26"/>
    </row>
    <row r="140" spans="1:62" ht="18.75" customHeight="1" thickBot="1" x14ac:dyDescent="0.35">
      <c r="C140" s="6364"/>
      <c r="D140" s="4272" t="s">
        <v>1479</v>
      </c>
      <c r="E140" s="4272"/>
      <c r="F140" s="4273"/>
      <c r="G140" s="4274">
        <f>+G137-G138</f>
        <v>0</v>
      </c>
      <c r="H140" s="4274"/>
      <c r="I140" s="4274">
        <f>+I137-I138</f>
        <v>717</v>
      </c>
      <c r="J140" s="4274"/>
      <c r="K140" s="4275">
        <f t="shared" ref="K140:K146" si="376">+G140+I140</f>
        <v>717</v>
      </c>
      <c r="L140" s="4274"/>
      <c r="M140" s="4274">
        <f>+M137-M138</f>
        <v>1066</v>
      </c>
      <c r="N140" s="4274"/>
      <c r="O140" s="4276">
        <f t="shared" ref="O140:O146" si="377">+G140+I140+M140</f>
        <v>1783</v>
      </c>
      <c r="P140" s="4274"/>
      <c r="Q140" s="4274">
        <f t="shared" ref="Q140:AE140" si="378">+Q137-Q138</f>
        <v>463</v>
      </c>
      <c r="R140" s="4274"/>
      <c r="S140" s="4275">
        <f t="shared" ref="S140:S146" si="379">O140+Q140</f>
        <v>2246</v>
      </c>
      <c r="T140" s="4274"/>
      <c r="U140" s="4274">
        <f t="shared" si="378"/>
        <v>2830.3140000000003</v>
      </c>
      <c r="V140" s="4274"/>
      <c r="W140" s="4275">
        <f t="shared" ref="W140:W146" si="380">S140+U140</f>
        <v>5076.3140000000003</v>
      </c>
      <c r="X140" s="4274"/>
      <c r="Y140" s="4274">
        <f t="shared" ref="Y140" si="381">+Y137-Y138</f>
        <v>1414</v>
      </c>
      <c r="Z140" s="4274"/>
      <c r="AA140" s="4276">
        <f t="shared" si="301"/>
        <v>4707.3140000000003</v>
      </c>
      <c r="AB140" s="4274"/>
      <c r="AC140" s="4277">
        <f t="shared" ref="AC140:AC146" si="382">O140+AA140</f>
        <v>6490.3140000000003</v>
      </c>
      <c r="AD140" s="4274"/>
      <c r="AE140" s="4274">
        <f t="shared" si="378"/>
        <v>2162</v>
      </c>
      <c r="AF140" s="4274"/>
      <c r="AG140" s="4275">
        <f t="shared" ref="AG140:AG146" si="383">+AC140+AE140</f>
        <v>8652.3140000000003</v>
      </c>
      <c r="AH140" s="4274"/>
      <c r="AI140" s="4274">
        <f t="shared" ref="AI140" si="384">+AI137-AI138</f>
        <v>0</v>
      </c>
      <c r="AJ140" s="4274"/>
      <c r="AK140" s="4278">
        <f t="shared" ref="AK140:AK146" si="385">+AG140+AI140</f>
        <v>8652.3140000000003</v>
      </c>
      <c r="AL140" s="4274"/>
      <c r="AM140" s="4274">
        <f t="shared" ref="AM140" si="386">+AM137-AM138</f>
        <v>703.34</v>
      </c>
      <c r="AN140" s="4329"/>
      <c r="AO140" s="4276">
        <f t="shared" si="305"/>
        <v>2865.34</v>
      </c>
      <c r="AP140" s="4274"/>
      <c r="AQ140" s="4278">
        <f t="shared" ref="AQ140:AQ146" si="387">+AK140+AM140</f>
        <v>9355.6540000000005</v>
      </c>
      <c r="AR140" s="4274"/>
      <c r="AS140" s="4274">
        <f t="shared" ref="AS140" si="388">+AS137-AS138</f>
        <v>1855.8400000000001</v>
      </c>
      <c r="AT140" s="4274"/>
      <c r="AU140" s="4278">
        <f t="shared" ref="AU140:AU146" si="389">+AQ140+AS140</f>
        <v>11211.494000000001</v>
      </c>
      <c r="AV140" s="4274"/>
      <c r="AW140" s="4274">
        <f t="shared" ref="AW140" si="390">+AW137-AW138</f>
        <v>668.38200000000006</v>
      </c>
      <c r="AX140" s="4274"/>
      <c r="AY140" s="4278">
        <f t="shared" ref="AY140:AY146" si="391">+AU140+AW140</f>
        <v>11879.876</v>
      </c>
      <c r="AZ140" s="4274"/>
      <c r="BA140" s="4286">
        <f>+BA137-BA138</f>
        <v>1660.4760000000006</v>
      </c>
      <c r="BB140" s="4329"/>
      <c r="BC140" s="4276">
        <f t="shared" ref="BC140:BC146" si="392">AS140+AW140+BA140</f>
        <v>4184.6980000000003</v>
      </c>
      <c r="BD140" s="4274"/>
      <c r="BE140" s="4270">
        <f t="shared" ref="BE140:BE145" si="393">AO140+BC140</f>
        <v>7050.0380000000005</v>
      </c>
      <c r="BF140" s="4274"/>
      <c r="BG140" s="4278">
        <f t="shared" ref="BG140:BG146" si="394">+AY140+BA140</f>
        <v>13540.352000000001</v>
      </c>
      <c r="BH140" s="26">
        <f t="shared" si="346"/>
        <v>0</v>
      </c>
      <c r="BI140" s="26"/>
      <c r="BJ140" s="26">
        <f>+BA138+BA141+BA142+BA143</f>
        <v>4291.3389999999999</v>
      </c>
    </row>
    <row r="141" spans="1:62" ht="15" customHeight="1" thickBot="1" x14ac:dyDescent="0.35">
      <c r="A141" s="1257"/>
      <c r="B141" s="1257"/>
      <c r="C141" s="6364"/>
      <c r="D141" s="4284" t="s">
        <v>1327</v>
      </c>
      <c r="E141" s="4284"/>
      <c r="F141" s="4285"/>
      <c r="G141" s="4286">
        <f>+SUMIF('GRD SUMM RCL CASTER 3'!$A$7:$A$17,$D141,'GRD SUMM RCL CASTER 3'!C$7:C$17)</f>
        <v>0</v>
      </c>
      <c r="H141" s="4286"/>
      <c r="I141" s="4286">
        <f>+SUMIF('GRD SUMM RCL CASTER 3'!$A$7:$A$17,$D141,'GRD SUMM RCL CASTER 3'!E$7:E$17)</f>
        <v>69</v>
      </c>
      <c r="J141" s="4286"/>
      <c r="K141" s="4275">
        <f t="shared" si="376"/>
        <v>69</v>
      </c>
      <c r="L141" s="4286"/>
      <c r="M141" s="4286">
        <f>+SUMIF('GRD SUMM RCL CASTER 3'!$A$7:$A$17,$D141,'GRD SUMM RCL CASTER 3'!I$7:I$17)</f>
        <v>0</v>
      </c>
      <c r="N141" s="4286"/>
      <c r="O141" s="4276">
        <f t="shared" si="377"/>
        <v>69</v>
      </c>
      <c r="P141" s="4286"/>
      <c r="Q141" s="4286">
        <f>+SUMIF('GRD SUMM RCL CASTER 3'!$A$7:$A$17,$D141,'GRD SUMM RCL CASTER 3'!M$7:M$17)</f>
        <v>0</v>
      </c>
      <c r="R141" s="4286"/>
      <c r="S141" s="4275">
        <f t="shared" si="379"/>
        <v>69</v>
      </c>
      <c r="T141" s="4286"/>
      <c r="U141" s="4286">
        <f>+SUMIF('GRD SUMM RCL CASTER 3'!$A$7:$A$17,$D141,'GRD SUMM RCL CASTER 3'!Q$7:Q$17)</f>
        <v>274.29000000000002</v>
      </c>
      <c r="V141" s="4286"/>
      <c r="W141" s="4275">
        <f t="shared" si="380"/>
        <v>343.29</v>
      </c>
      <c r="X141" s="4286"/>
      <c r="Y141" s="4286">
        <f>+SUMIF('GRD SUMM RCL CASTER 3'!$A$7:$A$17,$D141,'GRD SUMM RCL CASTER 3'!U$7:U$17)</f>
        <v>0</v>
      </c>
      <c r="Z141" s="4286"/>
      <c r="AA141" s="4276">
        <f t="shared" si="301"/>
        <v>274.29000000000002</v>
      </c>
      <c r="AB141" s="4286"/>
      <c r="AC141" s="4277">
        <f t="shared" si="382"/>
        <v>343.29</v>
      </c>
      <c r="AD141" s="4286"/>
      <c r="AE141" s="4286">
        <f>+SUMIF('GRD SUMM RCL CASTER 3'!$A$7:$A$17,$D141,'GRD SUMM RCL CASTER 3'!AA$7:AA$17)</f>
        <v>107</v>
      </c>
      <c r="AF141" s="4286"/>
      <c r="AG141" s="4275">
        <f t="shared" si="383"/>
        <v>450.29</v>
      </c>
      <c r="AH141" s="4286"/>
      <c r="AI141" s="4286">
        <f>+SUMIF('GRD SUMM RCL CASTER 3'!$A$7:$A$17,$D141,'GRD SUMM RCL CASTER 3'!AE$7:AE$17)</f>
        <v>0</v>
      </c>
      <c r="AJ141" s="4286"/>
      <c r="AK141" s="4278">
        <f t="shared" si="385"/>
        <v>450.29</v>
      </c>
      <c r="AL141" s="4286"/>
      <c r="AM141" s="4286">
        <f>+SUMIF('GRD SUMM RCL CASTER 3'!$A$7:$A$17,$D141,'GRD SUMM RCL CASTER 3'!AI$7:AI$17)</f>
        <v>0</v>
      </c>
      <c r="AN141" s="4331"/>
      <c r="AO141" s="4276">
        <f t="shared" si="305"/>
        <v>107</v>
      </c>
      <c r="AP141" s="4286"/>
      <c r="AQ141" s="4278">
        <f t="shared" si="387"/>
        <v>450.29</v>
      </c>
      <c r="AR141" s="4286"/>
      <c r="AS141" s="4286">
        <f>+SUMIF('GRD SUMM RCL CASTER 3'!$A$7:$A$17,$D141,'GRD SUMM RCL CASTER 3'!AO$7:AO$17)</f>
        <v>199</v>
      </c>
      <c r="AT141" s="4286"/>
      <c r="AU141" s="4278">
        <f t="shared" si="389"/>
        <v>649.29</v>
      </c>
      <c r="AV141" s="4286"/>
      <c r="AW141" s="4286">
        <f>+SUMIF('GRD SUMM RCL CASTER 3'!$A$7:$A$17,$D141,'GRD SUMM RCL CASTER 3'!AS$7:AS$17)</f>
        <v>89.55</v>
      </c>
      <c r="AX141" s="4286"/>
      <c r="AY141" s="4278">
        <f t="shared" si="391"/>
        <v>738.83999999999992</v>
      </c>
      <c r="AZ141" s="4286"/>
      <c r="BA141" s="4286">
        <f>+SUMIF('GRD SUMM RCL CASTER 3'!$A$7:$A$17,$D141,'GRD SUMM RCL CASTER 3'!AW$7:AW$17)</f>
        <v>111.07899999999999</v>
      </c>
      <c r="BB141" s="4331"/>
      <c r="BC141" s="4276">
        <f t="shared" si="392"/>
        <v>399.62900000000002</v>
      </c>
      <c r="BD141" s="4286"/>
      <c r="BE141" s="4270">
        <f t="shared" si="393"/>
        <v>506.62900000000002</v>
      </c>
      <c r="BF141" s="4286"/>
      <c r="BG141" s="4278">
        <f t="shared" si="394"/>
        <v>849.91899999999987</v>
      </c>
      <c r="BH141" s="26">
        <f t="shared" si="346"/>
        <v>0</v>
      </c>
      <c r="BI141" s="26"/>
    </row>
    <row r="142" spans="1:62" ht="15" customHeight="1" thickBot="1" x14ac:dyDescent="0.35">
      <c r="A142" s="1257"/>
      <c r="B142" s="1257"/>
      <c r="C142" s="6364"/>
      <c r="D142" s="4284" t="s">
        <v>1930</v>
      </c>
      <c r="E142" s="4284"/>
      <c r="F142" s="4285"/>
      <c r="G142" s="4286">
        <f>+SUMIF('GRD SUMM RCL CASTER 3'!$A$7:$A$17,$D142,'GRD SUMM RCL CASTER 3'!C$7:C$17)</f>
        <v>0</v>
      </c>
      <c r="H142" s="4286"/>
      <c r="I142" s="4286">
        <f>+SUMIF('GRD SUMM RCL CASTER 3'!$A$7:$A$17,$D142,'GRD SUMM RCL CASTER 3'!E$7:E$17)</f>
        <v>8</v>
      </c>
      <c r="J142" s="4286"/>
      <c r="K142" s="4275">
        <f t="shared" si="376"/>
        <v>8</v>
      </c>
      <c r="L142" s="4286"/>
      <c r="M142" s="4286">
        <f>+SUMIF('GRD SUMM RCL CASTER 3'!$A$7:$A$17,$D142,'GRD SUMM RCL CASTER 3'!I$7:I$17)</f>
        <v>0</v>
      </c>
      <c r="N142" s="4286"/>
      <c r="O142" s="4276">
        <f t="shared" si="377"/>
        <v>8</v>
      </c>
      <c r="P142" s="4286"/>
      <c r="Q142" s="4286">
        <f>+SUMIF('GRD SUMM RCL CASTER 3'!$A$7:$A$17,$D142,'GRD SUMM RCL CASTER 3'!M$7:M$17)</f>
        <v>0</v>
      </c>
      <c r="R142" s="4286"/>
      <c r="S142" s="4275">
        <f t="shared" si="379"/>
        <v>8</v>
      </c>
      <c r="T142" s="4286"/>
      <c r="U142" s="4286">
        <f>+SUMIF('GRD SUMM RCL CASTER 3'!$A$7:$A$17,$D142,'GRD SUMM RCL CASTER 3'!Q$7:Q$17)</f>
        <v>307.10399999999998</v>
      </c>
      <c r="V142" s="4286"/>
      <c r="W142" s="4275">
        <f t="shared" si="380"/>
        <v>315.10399999999998</v>
      </c>
      <c r="X142" s="4286"/>
      <c r="Y142" s="4286">
        <f>+SUMIF('GRD SUMM RCL CASTER 3'!$A$7:$A$17,$D142,'GRD SUMM RCL CASTER 3'!U$7:U$17)</f>
        <v>0</v>
      </c>
      <c r="Z142" s="4286"/>
      <c r="AA142" s="4276">
        <f t="shared" si="301"/>
        <v>307.10399999999998</v>
      </c>
      <c r="AB142" s="4286"/>
      <c r="AC142" s="4277">
        <f t="shared" si="382"/>
        <v>315.10399999999998</v>
      </c>
      <c r="AD142" s="4286"/>
      <c r="AE142" s="4286">
        <f>+SUMIF('GRD SUMM RCL CASTER 3'!$A$7:$A$17,$D142,'GRD SUMM RCL CASTER 3'!AA$7:AA$17)</f>
        <v>34</v>
      </c>
      <c r="AF142" s="4286"/>
      <c r="AG142" s="4275">
        <f t="shared" si="383"/>
        <v>349.10399999999998</v>
      </c>
      <c r="AH142" s="4286"/>
      <c r="AI142" s="4286">
        <f>+SUMIF('GRD SUMM RCL CASTER 3'!$A$7:$A$17,$D142,'GRD SUMM RCL CASTER 3'!AE$7:AE$17)</f>
        <v>0</v>
      </c>
      <c r="AJ142" s="4286"/>
      <c r="AK142" s="4278">
        <f t="shared" si="385"/>
        <v>349.10399999999998</v>
      </c>
      <c r="AL142" s="4286"/>
      <c r="AM142" s="4286">
        <f>+SUMIF('GRD SUMM RCL CASTER 3'!$A$7:$A$17,$D142,'GRD SUMM RCL CASTER 3'!AI$7:AI$17)</f>
        <v>0</v>
      </c>
      <c r="AN142" s="4331"/>
      <c r="AO142" s="4276">
        <f t="shared" si="305"/>
        <v>34</v>
      </c>
      <c r="AP142" s="4286"/>
      <c r="AQ142" s="4278">
        <f t="shared" si="387"/>
        <v>349.10399999999998</v>
      </c>
      <c r="AR142" s="4286"/>
      <c r="AS142" s="4286">
        <f>+SUMIF('GRD SUMM RCL CASTER 3'!$A$7:$A$17,$D142,'GRD SUMM RCL CASTER 3'!AO$7:AO$17)</f>
        <v>32</v>
      </c>
      <c r="AT142" s="4286"/>
      <c r="AU142" s="4278">
        <f t="shared" si="389"/>
        <v>381.10399999999998</v>
      </c>
      <c r="AV142" s="4286"/>
      <c r="AW142" s="4286">
        <f>+SUMIF('GRD SUMM RCL CASTER 3'!$A$7:$A$17,$D142,'GRD SUMM RCL CASTER 3'!AS$7:AS$17)</f>
        <v>75.492000000000004</v>
      </c>
      <c r="AX142" s="4286"/>
      <c r="AY142" s="4278">
        <f t="shared" si="391"/>
        <v>456.596</v>
      </c>
      <c r="AZ142" s="4286"/>
      <c r="BA142" s="4286">
        <f>+SUMIF('GRD SUMM RCL CASTER 3'!$A$7:$A$17,$D142,'GRD SUMM RCL CASTER 3'!AW$7:AW$17)</f>
        <v>5.2160000000000002</v>
      </c>
      <c r="BB142" s="4331"/>
      <c r="BC142" s="4276">
        <f t="shared" si="392"/>
        <v>112.708</v>
      </c>
      <c r="BD142" s="4286"/>
      <c r="BE142" s="4270">
        <f t="shared" si="393"/>
        <v>146.708</v>
      </c>
      <c r="BF142" s="4286"/>
      <c r="BG142" s="4278">
        <f t="shared" si="394"/>
        <v>461.81200000000001</v>
      </c>
      <c r="BH142" s="26">
        <f t="shared" si="346"/>
        <v>0</v>
      </c>
      <c r="BI142" s="26"/>
    </row>
    <row r="143" spans="1:62" ht="15" customHeight="1" thickBot="1" x14ac:dyDescent="0.35">
      <c r="C143" s="6364"/>
      <c r="D143" s="4287" t="s">
        <v>1486</v>
      </c>
      <c r="E143" s="4287"/>
      <c r="F143" s="4273"/>
      <c r="G143" s="4274">
        <f>+'Direct sales IPT details'!E16</f>
        <v>0</v>
      </c>
      <c r="H143" s="4274"/>
      <c r="I143" s="4274">
        <f>+'Direct sales IPT details'!G16</f>
        <v>640.46</v>
      </c>
      <c r="J143" s="4274"/>
      <c r="K143" s="4275">
        <f t="shared" si="376"/>
        <v>640.46</v>
      </c>
      <c r="L143" s="4274"/>
      <c r="M143" s="4274">
        <f>+'Direct sales IPT details'!K16</f>
        <v>1065.5999999999999</v>
      </c>
      <c r="N143" s="4274"/>
      <c r="O143" s="4276">
        <f t="shared" si="377"/>
        <v>1706.06</v>
      </c>
      <c r="P143" s="4274"/>
      <c r="Q143" s="4274">
        <f>+'Direct sales IPT details'!O16</f>
        <v>463.1</v>
      </c>
      <c r="R143" s="4274"/>
      <c r="S143" s="4275">
        <f t="shared" si="379"/>
        <v>2169.16</v>
      </c>
      <c r="T143" s="4274"/>
      <c r="U143" s="4274">
        <f>+'Direct sales IPT details'!S16</f>
        <v>2248.92</v>
      </c>
      <c r="V143" s="4274"/>
      <c r="W143" s="4275">
        <f t="shared" si="380"/>
        <v>4418.08</v>
      </c>
      <c r="X143" s="4274"/>
      <c r="Y143" s="4274">
        <f>+'Direct sales IPT details'!W16</f>
        <v>1413.7700000000002</v>
      </c>
      <c r="Z143" s="4274"/>
      <c r="AA143" s="4276">
        <f t="shared" si="301"/>
        <v>4125.79</v>
      </c>
      <c r="AB143" s="4274"/>
      <c r="AC143" s="4277">
        <f t="shared" si="382"/>
        <v>5831.85</v>
      </c>
      <c r="AD143" s="4274"/>
      <c r="AE143" s="4274">
        <f>+'Direct sales IPT details'!AC16</f>
        <v>2004.1</v>
      </c>
      <c r="AF143" s="4274"/>
      <c r="AG143" s="4275">
        <f t="shared" si="383"/>
        <v>7835.9500000000007</v>
      </c>
      <c r="AH143" s="4274"/>
      <c r="AI143" s="4274">
        <f>+'Direct sales IPT details'!AG16</f>
        <v>0</v>
      </c>
      <c r="AJ143" s="4274"/>
      <c r="AK143" s="4278">
        <f t="shared" si="385"/>
        <v>7835.9500000000007</v>
      </c>
      <c r="AL143" s="4274"/>
      <c r="AM143" s="4274">
        <f>+'Direct sales IPT details'!AK16</f>
        <v>703.34</v>
      </c>
      <c r="AN143" s="4329"/>
      <c r="AO143" s="4276">
        <f t="shared" si="305"/>
        <v>2707.44</v>
      </c>
      <c r="AP143" s="4274"/>
      <c r="AQ143" s="4278">
        <f t="shared" si="387"/>
        <v>8539.2900000000009</v>
      </c>
      <c r="AR143" s="4274"/>
      <c r="AS143" s="4274">
        <f>+'Direct sales IPT details'!AQ16</f>
        <v>1589.84</v>
      </c>
      <c r="AT143" s="4274"/>
      <c r="AU143" s="4278">
        <f t="shared" si="389"/>
        <v>10129.130000000001</v>
      </c>
      <c r="AV143" s="4274"/>
      <c r="AW143" s="4274">
        <f>+'Direct sales IPT details'!AU16</f>
        <v>481.34000000000003</v>
      </c>
      <c r="AX143" s="4274"/>
      <c r="AY143" s="4278">
        <f t="shared" si="391"/>
        <v>10610.470000000001</v>
      </c>
      <c r="AZ143" s="4274"/>
      <c r="BA143" s="4286">
        <f>+'Direct sales IPT details'!AY16</f>
        <v>1544.2600000000002</v>
      </c>
      <c r="BB143" s="4329"/>
      <c r="BC143" s="4276">
        <f t="shared" si="392"/>
        <v>3615.44</v>
      </c>
      <c r="BD143" s="4274"/>
      <c r="BE143" s="4270">
        <f t="shared" si="393"/>
        <v>6322.88</v>
      </c>
      <c r="BF143" s="4274"/>
      <c r="BG143" s="4278">
        <f t="shared" si="394"/>
        <v>12154.730000000001</v>
      </c>
      <c r="BH143" s="26">
        <f t="shared" si="346"/>
        <v>0</v>
      </c>
      <c r="BI143" s="26"/>
    </row>
    <row r="144" spans="1:62" ht="15" customHeight="1" thickBot="1" x14ac:dyDescent="0.35">
      <c r="C144" s="6364"/>
      <c r="D144" s="4287" t="s">
        <v>1485</v>
      </c>
      <c r="E144" s="4287"/>
      <c r="F144" s="4273"/>
      <c r="G144" s="4274">
        <f>+SMS!F42</f>
        <v>0</v>
      </c>
      <c r="H144" s="4274"/>
      <c r="I144" s="4274">
        <f>+SMS!H42</f>
        <v>0</v>
      </c>
      <c r="J144" s="4274"/>
      <c r="K144" s="4275">
        <f t="shared" si="376"/>
        <v>0</v>
      </c>
      <c r="L144" s="4274"/>
      <c r="M144" s="4274">
        <f>+SMS!L42</f>
        <v>0</v>
      </c>
      <c r="N144" s="4274"/>
      <c r="O144" s="4276">
        <f t="shared" si="377"/>
        <v>0</v>
      </c>
      <c r="P144" s="4274"/>
      <c r="Q144" s="4274">
        <f>+SMS!P42</f>
        <v>0</v>
      </c>
      <c r="R144" s="4274"/>
      <c r="S144" s="4275">
        <f t="shared" si="379"/>
        <v>0</v>
      </c>
      <c r="T144" s="4274"/>
      <c r="U144" s="4274">
        <f>+SMS!T42</f>
        <v>0</v>
      </c>
      <c r="V144" s="4274"/>
      <c r="W144" s="4275">
        <f t="shared" si="380"/>
        <v>0</v>
      </c>
      <c r="X144" s="4274"/>
      <c r="Y144" s="4274">
        <f>+SMS!X42</f>
        <v>0</v>
      </c>
      <c r="Z144" s="4274"/>
      <c r="AA144" s="4276">
        <f t="shared" si="301"/>
        <v>0</v>
      </c>
      <c r="AB144" s="4274"/>
      <c r="AC144" s="4277">
        <f t="shared" si="382"/>
        <v>0</v>
      </c>
      <c r="AD144" s="4274"/>
      <c r="AE144" s="4274">
        <f>+SMS!AD42</f>
        <v>17</v>
      </c>
      <c r="AF144" s="4274"/>
      <c r="AG144" s="4275">
        <f t="shared" si="383"/>
        <v>17</v>
      </c>
      <c r="AH144" s="4274"/>
      <c r="AI144" s="4274">
        <f>+SMS!AH42</f>
        <v>0</v>
      </c>
      <c r="AJ144" s="4274"/>
      <c r="AK144" s="4278">
        <f t="shared" si="385"/>
        <v>17</v>
      </c>
      <c r="AL144" s="4274"/>
      <c r="AM144" s="4274">
        <f>+SMS!AL42</f>
        <v>0</v>
      </c>
      <c r="AN144" s="4329"/>
      <c r="AO144" s="4276">
        <f t="shared" si="305"/>
        <v>17</v>
      </c>
      <c r="AP144" s="4274"/>
      <c r="AQ144" s="4278">
        <f t="shared" si="387"/>
        <v>17</v>
      </c>
      <c r="AR144" s="4274"/>
      <c r="AS144" s="4274">
        <f>+SMS!AR42</f>
        <v>35</v>
      </c>
      <c r="AT144" s="4274"/>
      <c r="AU144" s="4278">
        <f t="shared" si="389"/>
        <v>52</v>
      </c>
      <c r="AV144" s="4274"/>
      <c r="AW144" s="4274">
        <f>+SMS!AV42</f>
        <v>22</v>
      </c>
      <c r="AX144" s="4274"/>
      <c r="AY144" s="4278">
        <f t="shared" si="391"/>
        <v>74</v>
      </c>
      <c r="AZ144" s="4274"/>
      <c r="BA144" s="4274">
        <f>+SMS!AZ42</f>
        <v>0</v>
      </c>
      <c r="BB144" s="4329"/>
      <c r="BC144" s="4276">
        <f t="shared" si="392"/>
        <v>57</v>
      </c>
      <c r="BD144" s="4274"/>
      <c r="BE144" s="4270">
        <f t="shared" si="393"/>
        <v>74</v>
      </c>
      <c r="BF144" s="4274"/>
      <c r="BG144" s="4278">
        <f t="shared" si="394"/>
        <v>74</v>
      </c>
      <c r="BH144" s="26">
        <f t="shared" si="346"/>
        <v>0</v>
      </c>
      <c r="BI144" s="26"/>
    </row>
    <row r="145" spans="3:61" ht="15.75" customHeight="1" thickBot="1" x14ac:dyDescent="0.35">
      <c r="C145" s="6365"/>
      <c r="D145" s="4252" t="s">
        <v>21</v>
      </c>
      <c r="E145" s="4252"/>
      <c r="F145" s="4247"/>
      <c r="G145" s="4253">
        <f t="shared" ref="G145" si="395">SUM(G141:G144)</f>
        <v>0</v>
      </c>
      <c r="H145" s="4253"/>
      <c r="I145" s="4253">
        <f t="shared" ref="I145" si="396">SUM(I141:I144)</f>
        <v>717.46</v>
      </c>
      <c r="J145" s="4253"/>
      <c r="K145" s="4288">
        <f t="shared" si="376"/>
        <v>717.46</v>
      </c>
      <c r="L145" s="4253"/>
      <c r="M145" s="4253">
        <f t="shared" ref="M145" si="397">SUM(M141:M144)</f>
        <v>1065.5999999999999</v>
      </c>
      <c r="N145" s="4253"/>
      <c r="O145" s="4289">
        <f t="shared" si="377"/>
        <v>1783.06</v>
      </c>
      <c r="P145" s="4253"/>
      <c r="Q145" s="4253">
        <f t="shared" ref="Q145:AE145" si="398">SUM(Q141:Q144)</f>
        <v>463.1</v>
      </c>
      <c r="R145" s="4253"/>
      <c r="S145" s="4288">
        <f t="shared" si="379"/>
        <v>2246.16</v>
      </c>
      <c r="T145" s="4253"/>
      <c r="U145" s="4253">
        <f t="shared" si="398"/>
        <v>2830.3140000000003</v>
      </c>
      <c r="V145" s="4253"/>
      <c r="W145" s="4288">
        <f t="shared" si="380"/>
        <v>5076.4740000000002</v>
      </c>
      <c r="X145" s="4253"/>
      <c r="Y145" s="4253">
        <f t="shared" ref="Y145" si="399">SUM(Y141:Y144)</f>
        <v>1413.7700000000002</v>
      </c>
      <c r="Z145" s="4253"/>
      <c r="AA145" s="4289">
        <f t="shared" si="301"/>
        <v>4707.1840000000002</v>
      </c>
      <c r="AB145" s="4253"/>
      <c r="AC145" s="4290">
        <f t="shared" si="382"/>
        <v>6490.2440000000006</v>
      </c>
      <c r="AD145" s="4253"/>
      <c r="AE145" s="4253">
        <f t="shared" si="398"/>
        <v>2162.1</v>
      </c>
      <c r="AF145" s="4253"/>
      <c r="AG145" s="4288">
        <f t="shared" si="383"/>
        <v>8652.344000000001</v>
      </c>
      <c r="AH145" s="4253"/>
      <c r="AI145" s="4253">
        <f t="shared" ref="AI145" si="400">SUM(AI141:AI144)</f>
        <v>0</v>
      </c>
      <c r="AJ145" s="4253"/>
      <c r="AK145" s="4291">
        <f t="shared" si="385"/>
        <v>8652.344000000001</v>
      </c>
      <c r="AL145" s="4253"/>
      <c r="AM145" s="4253">
        <f t="shared" ref="AM145" si="401">SUM(AM141:AM144)</f>
        <v>703.34</v>
      </c>
      <c r="AN145" s="4253"/>
      <c r="AO145" s="4289">
        <f t="shared" si="305"/>
        <v>2865.44</v>
      </c>
      <c r="AP145" s="4253"/>
      <c r="AQ145" s="4291">
        <f t="shared" si="387"/>
        <v>9355.6840000000011</v>
      </c>
      <c r="AR145" s="4253"/>
      <c r="AS145" s="4253">
        <f t="shared" ref="AS145" si="402">SUM(AS141:AS144)</f>
        <v>1855.84</v>
      </c>
      <c r="AT145" s="4253"/>
      <c r="AU145" s="4291">
        <f t="shared" si="389"/>
        <v>11211.524000000001</v>
      </c>
      <c r="AV145" s="4253"/>
      <c r="AW145" s="4253">
        <f t="shared" ref="AW145" si="403">SUM(AW141:AW144)</f>
        <v>668.38200000000006</v>
      </c>
      <c r="AX145" s="4253"/>
      <c r="AY145" s="4291">
        <f t="shared" si="391"/>
        <v>11879.906000000001</v>
      </c>
      <c r="AZ145" s="4253"/>
      <c r="BA145" s="4253">
        <f t="shared" ref="BA145" si="404">SUM(BA141:BA144)</f>
        <v>1660.5550000000003</v>
      </c>
      <c r="BB145" s="4253"/>
      <c r="BC145" s="4289">
        <f t="shared" si="392"/>
        <v>4184.777</v>
      </c>
      <c r="BD145" s="4253"/>
      <c r="BE145" s="4270">
        <f t="shared" si="393"/>
        <v>7050.2170000000006</v>
      </c>
      <c r="BF145" s="4253"/>
      <c r="BG145" s="4291">
        <f t="shared" si="394"/>
        <v>13540.461000000001</v>
      </c>
      <c r="BH145" s="26">
        <f t="shared" si="346"/>
        <v>0</v>
      </c>
      <c r="BI145" s="26"/>
    </row>
    <row r="146" spans="3:61" s="228" customFormat="1" ht="17.399999999999999" hidden="1" thickBot="1" x14ac:dyDescent="0.35">
      <c r="C146" s="4300"/>
      <c r="D146" s="4297" t="s">
        <v>1474</v>
      </c>
      <c r="E146" s="4297"/>
      <c r="F146" s="4301"/>
      <c r="G146" s="4302">
        <f>+G140-G145</f>
        <v>0</v>
      </c>
      <c r="H146" s="4302"/>
      <c r="I146" s="4302">
        <f>+I140-I145</f>
        <v>-0.46000000000003638</v>
      </c>
      <c r="J146" s="4302"/>
      <c r="K146" s="4303">
        <f t="shared" si="376"/>
        <v>-0.46000000000003638</v>
      </c>
      <c r="L146" s="4302"/>
      <c r="M146" s="4302">
        <f>+M140-M145</f>
        <v>0.40000000000009095</v>
      </c>
      <c r="N146" s="4302"/>
      <c r="O146" s="4304">
        <f t="shared" si="377"/>
        <v>-5.999999999994543E-2</v>
      </c>
      <c r="P146" s="4302"/>
      <c r="Q146" s="4302">
        <f t="shared" ref="Q146:AE146" si="405">+Q140-Q145</f>
        <v>-0.10000000000002274</v>
      </c>
      <c r="R146" s="4302"/>
      <c r="S146" s="4303">
        <f t="shared" si="379"/>
        <v>-0.15999999999996817</v>
      </c>
      <c r="T146" s="4302"/>
      <c r="U146" s="4302">
        <f t="shared" si="405"/>
        <v>0</v>
      </c>
      <c r="V146" s="4302"/>
      <c r="W146" s="4303">
        <f t="shared" si="380"/>
        <v>-0.15999999999996817</v>
      </c>
      <c r="X146" s="4302"/>
      <c r="Y146" s="4302">
        <f t="shared" ref="Y146" si="406">+Y140-Y145</f>
        <v>0.22999999999979082</v>
      </c>
      <c r="Z146" s="4302"/>
      <c r="AA146" s="4304">
        <f t="shared" si="301"/>
        <v>0.12999999999976808</v>
      </c>
      <c r="AB146" s="4302"/>
      <c r="AC146" s="4305">
        <f t="shared" si="382"/>
        <v>6.9999999999822649E-2</v>
      </c>
      <c r="AD146" s="4302"/>
      <c r="AE146" s="4302">
        <f t="shared" si="405"/>
        <v>-9.9999999999909051E-2</v>
      </c>
      <c r="AF146" s="4302"/>
      <c r="AG146" s="4303">
        <f t="shared" si="383"/>
        <v>-3.0000000000086402E-2</v>
      </c>
      <c r="AH146" s="4302"/>
      <c r="AI146" s="4302">
        <f t="shared" ref="AI146" si="407">+AI140-AI145</f>
        <v>0</v>
      </c>
      <c r="AJ146" s="4302"/>
      <c r="AK146" s="4306">
        <f t="shared" si="385"/>
        <v>-3.0000000000086402E-2</v>
      </c>
      <c r="AL146" s="4302"/>
      <c r="AM146" s="4302">
        <f t="shared" ref="AM146" si="408">+AM140-AM145</f>
        <v>0</v>
      </c>
      <c r="AN146" s="4302"/>
      <c r="AO146" s="4304">
        <f t="shared" si="305"/>
        <v>-9.9999999999909051E-2</v>
      </c>
      <c r="AP146" s="4302"/>
      <c r="AQ146" s="4306">
        <f t="shared" si="387"/>
        <v>-3.0000000000086402E-2</v>
      </c>
      <c r="AR146" s="4302"/>
      <c r="AS146" s="4302">
        <f t="shared" ref="AS146" si="409">+AS140-AS145</f>
        <v>0</v>
      </c>
      <c r="AT146" s="4302"/>
      <c r="AU146" s="4306">
        <f t="shared" si="389"/>
        <v>-3.0000000000086402E-2</v>
      </c>
      <c r="AV146" s="4302"/>
      <c r="AW146" s="4302">
        <f t="shared" ref="AW146" si="410">+AW140-AW145</f>
        <v>0</v>
      </c>
      <c r="AX146" s="4302"/>
      <c r="AY146" s="4306">
        <f t="shared" si="391"/>
        <v>-3.0000000000086402E-2</v>
      </c>
      <c r="AZ146" s="4302"/>
      <c r="BA146" s="4302">
        <f>+BA140-BA145</f>
        <v>-7.8999999999723514E-2</v>
      </c>
      <c r="BB146" s="4302"/>
      <c r="BC146" s="4304">
        <f t="shared" si="392"/>
        <v>-7.8999999999723514E-2</v>
      </c>
      <c r="BD146" s="4302"/>
      <c r="BE146" s="4305">
        <f t="shared" ref="BE146" si="411">AQ146+BC146</f>
        <v>-0.10899999999980992</v>
      </c>
      <c r="BF146" s="4302"/>
      <c r="BG146" s="4306">
        <f t="shared" si="394"/>
        <v>-0.10899999999980992</v>
      </c>
      <c r="BH146" s="26">
        <f t="shared" si="346"/>
        <v>0</v>
      </c>
    </row>
    <row r="147" spans="3:61" x14ac:dyDescent="0.3">
      <c r="E147"/>
      <c r="K147"/>
      <c r="O147"/>
      <c r="S147"/>
      <c r="W147"/>
      <c r="X147"/>
      <c r="Y147"/>
      <c r="AA147"/>
      <c r="AB147"/>
      <c r="AC147"/>
      <c r="AG147"/>
      <c r="AK147"/>
      <c r="AV147" s="228"/>
    </row>
    <row r="148" spans="3:61" x14ac:dyDescent="0.3">
      <c r="E148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</row>
    <row r="149" spans="3:61" x14ac:dyDescent="0.3">
      <c r="E149"/>
      <c r="K149"/>
      <c r="O149"/>
      <c r="S149"/>
      <c r="W149"/>
      <c r="X149"/>
      <c r="Y149"/>
      <c r="AA149"/>
      <c r="AB149"/>
      <c r="AC149"/>
      <c r="AG149"/>
      <c r="AK149"/>
    </row>
    <row r="150" spans="3:61" x14ac:dyDescent="0.3">
      <c r="E150"/>
      <c r="K150"/>
      <c r="O150"/>
      <c r="S150"/>
      <c r="W150"/>
      <c r="X150"/>
      <c r="Y150"/>
      <c r="AA150"/>
      <c r="AB150"/>
      <c r="AC150"/>
      <c r="AG150"/>
      <c r="AK150"/>
    </row>
    <row r="151" spans="3:61" x14ac:dyDescent="0.3">
      <c r="E151"/>
      <c r="K151"/>
      <c r="O151"/>
      <c r="S151"/>
      <c r="W151"/>
      <c r="X151"/>
      <c r="Y151"/>
      <c r="AA151"/>
      <c r="AB151"/>
      <c r="AC151"/>
      <c r="AG151"/>
      <c r="AK151"/>
    </row>
    <row r="152" spans="3:61" x14ac:dyDescent="0.3">
      <c r="E152"/>
      <c r="K152"/>
      <c r="O152"/>
      <c r="S152"/>
      <c r="W152"/>
      <c r="X152"/>
      <c r="Y152"/>
      <c r="AA152"/>
      <c r="AB152"/>
      <c r="AC152"/>
      <c r="AG152"/>
      <c r="AK152"/>
    </row>
    <row r="153" spans="3:61" x14ac:dyDescent="0.3">
      <c r="E153"/>
      <c r="K153"/>
      <c r="O153"/>
      <c r="S153"/>
      <c r="W153"/>
      <c r="X153"/>
      <c r="Y153"/>
      <c r="AA153"/>
      <c r="AB153"/>
      <c r="AC153"/>
      <c r="AG153"/>
      <c r="AK153"/>
    </row>
    <row r="154" spans="3:61" x14ac:dyDescent="0.3">
      <c r="E154"/>
      <c r="K154"/>
      <c r="O154"/>
      <c r="S154"/>
      <c r="W154"/>
      <c r="X154"/>
      <c r="Y154"/>
      <c r="AA154"/>
      <c r="AB154"/>
      <c r="AC154"/>
      <c r="AG154"/>
      <c r="AK154"/>
    </row>
    <row r="155" spans="3:61" x14ac:dyDescent="0.3">
      <c r="E155"/>
      <c r="K155"/>
      <c r="O155"/>
      <c r="S155"/>
      <c r="W155"/>
      <c r="X155"/>
      <c r="Y155"/>
      <c r="AA155"/>
      <c r="AB155"/>
      <c r="AC155"/>
      <c r="AG155"/>
      <c r="AK155"/>
    </row>
    <row r="156" spans="3:61" x14ac:dyDescent="0.3">
      <c r="E156"/>
      <c r="K156"/>
      <c r="O156"/>
      <c r="S156"/>
      <c r="W156"/>
      <c r="X156"/>
      <c r="Y156"/>
      <c r="AA156"/>
      <c r="AB156"/>
      <c r="AC156"/>
      <c r="AG156"/>
      <c r="AK156"/>
    </row>
    <row r="157" spans="3:61" x14ac:dyDescent="0.3">
      <c r="E157"/>
      <c r="K157"/>
      <c r="O157"/>
      <c r="S157"/>
      <c r="W157"/>
      <c r="X157"/>
      <c r="Y157"/>
      <c r="AA157"/>
      <c r="AB157"/>
      <c r="AC157"/>
      <c r="AG157"/>
      <c r="AK157"/>
    </row>
    <row r="158" spans="3:61" x14ac:dyDescent="0.3">
      <c r="E158"/>
      <c r="K158"/>
      <c r="O158"/>
      <c r="S158"/>
      <c r="W158"/>
      <c r="X158"/>
      <c r="Y158"/>
      <c r="AA158"/>
      <c r="AB158"/>
      <c r="AC158"/>
      <c r="AG158"/>
      <c r="AK158"/>
    </row>
    <row r="159" spans="3:61" x14ac:dyDescent="0.3">
      <c r="E159"/>
      <c r="K159"/>
      <c r="O159"/>
      <c r="S159"/>
      <c r="W159"/>
      <c r="X159"/>
      <c r="Y159"/>
      <c r="AA159"/>
      <c r="AB159"/>
      <c r="AC159"/>
      <c r="AG159"/>
      <c r="AK159"/>
    </row>
    <row r="160" spans="3:61" x14ac:dyDescent="0.3">
      <c r="E160"/>
      <c r="K160"/>
      <c r="O160"/>
      <c r="S160"/>
      <c r="W160"/>
      <c r="X160"/>
      <c r="Y160"/>
      <c r="AA160"/>
      <c r="AB160"/>
      <c r="AC160"/>
      <c r="AG160"/>
      <c r="AK160"/>
    </row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spans="5:37" x14ac:dyDescent="0.3">
      <c r="E177"/>
      <c r="K177"/>
      <c r="O177"/>
      <c r="S177"/>
      <c r="W177"/>
      <c r="X177"/>
      <c r="Y177"/>
      <c r="AA177"/>
      <c r="AB177"/>
      <c r="AC177"/>
      <c r="AG177"/>
      <c r="AK177"/>
    </row>
    <row r="178" spans="5:37" x14ac:dyDescent="0.3">
      <c r="E178"/>
      <c r="K178"/>
      <c r="O178"/>
      <c r="S178"/>
      <c r="W178"/>
      <c r="X178"/>
      <c r="Y178"/>
      <c r="AA178"/>
      <c r="AB178"/>
      <c r="AC178"/>
      <c r="AG178"/>
      <c r="AK178"/>
    </row>
    <row r="179" spans="5:37" x14ac:dyDescent="0.3">
      <c r="E179"/>
      <c r="K179"/>
      <c r="O179"/>
      <c r="S179"/>
      <c r="W179"/>
      <c r="X179"/>
      <c r="Y179"/>
      <c r="AA179"/>
      <c r="AB179"/>
      <c r="AC179"/>
      <c r="AG179"/>
      <c r="AK179"/>
    </row>
    <row r="180" spans="5:37" x14ac:dyDescent="0.3">
      <c r="E180"/>
      <c r="K180"/>
      <c r="O180"/>
      <c r="S180"/>
      <c r="W180"/>
      <c r="X180"/>
      <c r="Y180"/>
      <c r="AA180"/>
      <c r="AB180"/>
      <c r="AC180"/>
      <c r="AG180"/>
      <c r="AK180"/>
    </row>
    <row r="181" spans="5:37" x14ac:dyDescent="0.3">
      <c r="E181"/>
      <c r="K181"/>
      <c r="O181"/>
      <c r="S181"/>
      <c r="W181"/>
      <c r="X181"/>
      <c r="Y181"/>
      <c r="AA181"/>
      <c r="AB181"/>
      <c r="AC181"/>
      <c r="AG181"/>
      <c r="AK181"/>
    </row>
    <row r="182" spans="5:37" x14ac:dyDescent="0.3">
      <c r="E182"/>
      <c r="K182"/>
      <c r="O182"/>
      <c r="S182"/>
      <c r="W182"/>
      <c r="X182"/>
      <c r="Y182"/>
      <c r="AA182"/>
      <c r="AB182"/>
      <c r="AC182"/>
      <c r="AG182"/>
      <c r="AK182"/>
    </row>
    <row r="183" spans="5:37" x14ac:dyDescent="0.3">
      <c r="E183"/>
      <c r="K183"/>
      <c r="O183"/>
      <c r="S183"/>
      <c r="W183"/>
      <c r="X183"/>
      <c r="Y183"/>
      <c r="AA183"/>
      <c r="AB183"/>
      <c r="AC183"/>
      <c r="AG183"/>
      <c r="AK183"/>
    </row>
    <row r="184" spans="5:37" x14ac:dyDescent="0.3">
      <c r="E184"/>
      <c r="K184"/>
      <c r="O184"/>
      <c r="S184"/>
      <c r="W184"/>
      <c r="X184"/>
      <c r="Y184"/>
      <c r="AA184"/>
      <c r="AB184"/>
      <c r="AC184"/>
      <c r="AG184"/>
      <c r="AK184"/>
    </row>
    <row r="185" spans="5:37" x14ac:dyDescent="0.3">
      <c r="E185"/>
      <c r="K185"/>
      <c r="O185"/>
      <c r="S185"/>
      <c r="W185"/>
      <c r="X185"/>
      <c r="Y185"/>
      <c r="AA185"/>
      <c r="AB185"/>
      <c r="AC185"/>
      <c r="AG185"/>
      <c r="AK185"/>
    </row>
    <row r="186" spans="5:37" x14ac:dyDescent="0.3">
      <c r="E186"/>
    </row>
    <row r="187" spans="5:37" x14ac:dyDescent="0.3">
      <c r="E187"/>
    </row>
  </sheetData>
  <mergeCells count="39">
    <mergeCell ref="C1:AQ1"/>
    <mergeCell ref="C137:C145"/>
    <mergeCell ref="V3:W3"/>
    <mergeCell ref="C107:C116"/>
    <mergeCell ref="C119:C121"/>
    <mergeCell ref="C123:C125"/>
    <mergeCell ref="C127:C134"/>
    <mergeCell ref="J3:K3"/>
    <mergeCell ref="L3:M3"/>
    <mergeCell ref="P3:Q3"/>
    <mergeCell ref="R3:S3"/>
    <mergeCell ref="T3:U3"/>
    <mergeCell ref="AH3:AI3"/>
    <mergeCell ref="AJ3:AK3"/>
    <mergeCell ref="Z3:AA3"/>
    <mergeCell ref="AP3:AQ3"/>
    <mergeCell ref="C97:D97"/>
    <mergeCell ref="N3:O3"/>
    <mergeCell ref="C95:D95"/>
    <mergeCell ref="C38:D38"/>
    <mergeCell ref="C46:D46"/>
    <mergeCell ref="C54:D54"/>
    <mergeCell ref="C79:D79"/>
    <mergeCell ref="C93:D93"/>
    <mergeCell ref="C94:D94"/>
    <mergeCell ref="F3:G3"/>
    <mergeCell ref="H3:I3"/>
    <mergeCell ref="E4:E94"/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</mergeCells>
  <printOptions horizontalCentered="1" verticalCentered="1"/>
  <pageMargins left="0" right="0" top="0" bottom="0" header="0" footer="0"/>
  <pageSetup scale="34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>
    <tabColor rgb="FF996633"/>
    <pageSetUpPr fitToPage="1"/>
  </sheetPr>
  <dimension ref="A1:BR108"/>
  <sheetViews>
    <sheetView zoomScaleNormal="100" zoomScaleSheetLayoutView="98" workbookViewId="0">
      <pane xSplit="8" topLeftCell="AV1" activePane="topRight" state="frozen"/>
      <selection activeCell="BG78" sqref="BG78"/>
      <selection pane="topRight" activeCell="BJ49" sqref="BJ49"/>
    </sheetView>
  </sheetViews>
  <sheetFormatPr defaultColWidth="9.109375" defaultRowHeight="14.4" x14ac:dyDescent="0.3"/>
  <cols>
    <col min="1" max="1" width="16.88671875" style="274" hidden="1" customWidth="1"/>
    <col min="2" max="2" width="56.6640625" hidden="1" customWidth="1"/>
    <col min="3" max="3" width="6.109375" style="275" hidden="1" customWidth="1"/>
    <col min="4" max="4" width="11.109375" style="278" hidden="1" customWidth="1"/>
    <col min="5" max="5" width="8.109375" hidden="1" customWidth="1"/>
    <col min="6" max="6" width="13.33203125" customWidth="1"/>
    <col min="7" max="7" width="8.44140625" style="256" bestFit="1" customWidth="1"/>
    <col min="8" max="8" width="55" bestFit="1" customWidth="1"/>
    <col min="9" max="10" width="11.6640625" bestFit="1" customWidth="1"/>
    <col min="11" max="11" width="11.6640625" customWidth="1"/>
    <col min="12" max="12" width="14.33203125" customWidth="1"/>
    <col min="13" max="13" width="14.33203125" hidden="1" customWidth="1"/>
    <col min="14" max="14" width="14.109375" hidden="1" customWidth="1"/>
    <col min="15" max="15" width="11.33203125" style="146" bestFit="1" customWidth="1"/>
    <col min="16" max="16" width="11.6640625" customWidth="1"/>
    <col min="17" max="18" width="12.33203125" customWidth="1"/>
    <col min="19" max="19" width="11.6640625" style="146" customWidth="1"/>
    <col min="20" max="20" width="11.6640625" customWidth="1"/>
    <col min="21" max="21" width="11.6640625" hidden="1" customWidth="1"/>
    <col min="22" max="22" width="14.109375" hidden="1" customWidth="1"/>
    <col min="23" max="23" width="11.6640625" style="146" customWidth="1"/>
    <col min="24" max="24" width="11.6640625" customWidth="1"/>
    <col min="25" max="25" width="11.6640625" hidden="1" customWidth="1"/>
    <col min="26" max="26" width="14.109375" hidden="1" customWidth="1"/>
    <col min="27" max="27" width="12.33203125" customWidth="1"/>
    <col min="28" max="28" width="11.6640625" customWidth="1"/>
    <col min="29" max="29" width="12.33203125" customWidth="1"/>
    <col min="30" max="30" width="11.6640625" customWidth="1"/>
    <col min="31" max="31" width="17.109375" customWidth="1"/>
    <col min="32" max="33" width="11.6640625" customWidth="1"/>
    <col min="34" max="34" width="11.6640625" style="274" customWidth="1"/>
    <col min="35" max="35" width="12.88671875" style="274" hidden="1" customWidth="1"/>
    <col min="36" max="36" width="14.109375" hidden="1" customWidth="1"/>
    <col min="37" max="37" width="12.33203125" customWidth="1"/>
    <col min="38" max="38" width="11.6640625" customWidth="1"/>
    <col min="39" max="39" width="17.109375" hidden="1" customWidth="1"/>
    <col min="40" max="40" width="14.109375" hidden="1" customWidth="1"/>
    <col min="41" max="41" width="12.33203125" customWidth="1"/>
    <col min="42" max="42" width="11.6640625" customWidth="1"/>
    <col min="43" max="43" width="12.33203125" customWidth="1"/>
    <col min="44" max="44" width="11.6640625" customWidth="1"/>
    <col min="45" max="46" width="12.88671875" hidden="1" customWidth="1"/>
    <col min="47" max="47" width="12.33203125" customWidth="1"/>
    <col min="48" max="48" width="14.109375" customWidth="1"/>
    <col min="49" max="50" width="12.88671875" hidden="1" customWidth="1"/>
    <col min="51" max="51" width="12.33203125" customWidth="1"/>
    <col min="52" max="52" width="11.6640625" customWidth="1"/>
    <col min="53" max="54" width="12.88671875" hidden="1" customWidth="1"/>
    <col min="55" max="55" width="12.33203125" customWidth="1"/>
    <col min="56" max="56" width="11.6640625" customWidth="1"/>
    <col min="57" max="58" width="12.33203125" customWidth="1"/>
    <col min="59" max="59" width="12.88671875" customWidth="1"/>
    <col min="60" max="60" width="11.6640625" customWidth="1"/>
    <col min="61" max="62" width="12.88671875" customWidth="1"/>
    <col min="63" max="63" width="13.6640625" bestFit="1" customWidth="1"/>
    <col min="64" max="64" width="11.33203125" customWidth="1"/>
    <col min="65" max="65" width="13.6640625" bestFit="1" customWidth="1"/>
    <col min="66" max="66" width="16.44140625" bestFit="1" customWidth="1"/>
    <col min="67" max="67" width="12.33203125" bestFit="1" customWidth="1"/>
    <col min="69" max="69" width="12" bestFit="1" customWidth="1"/>
    <col min="70" max="70" width="10.6640625" bestFit="1" customWidth="1"/>
  </cols>
  <sheetData>
    <row r="1" spans="1:70" ht="22.8" x14ac:dyDescent="0.4">
      <c r="B1" s="17" t="s">
        <v>498</v>
      </c>
      <c r="C1" s="277"/>
      <c r="G1" s="900"/>
      <c r="H1" s="384" t="s">
        <v>498</v>
      </c>
      <c r="I1" s="4179"/>
      <c r="J1" s="4179"/>
      <c r="K1" s="4179"/>
      <c r="L1" s="4179"/>
      <c r="M1" s="4179"/>
      <c r="N1" s="4179"/>
      <c r="O1" s="4179"/>
      <c r="P1" s="4179"/>
      <c r="Q1" s="4179"/>
      <c r="R1" s="4179"/>
      <c r="S1" s="4179"/>
      <c r="T1" s="4179"/>
      <c r="U1" s="4179"/>
      <c r="V1" s="4179"/>
      <c r="W1" s="4179"/>
      <c r="X1" s="4179"/>
      <c r="Y1" s="4179"/>
      <c r="Z1" s="4179"/>
      <c r="AA1" s="4179"/>
      <c r="AB1" s="4179"/>
      <c r="AC1" s="4179"/>
      <c r="AD1" s="4179"/>
      <c r="AE1" s="4179"/>
      <c r="AF1" s="4179"/>
      <c r="AG1" s="4179"/>
      <c r="AH1" s="4179"/>
      <c r="AI1" s="4179"/>
      <c r="AJ1" s="4333"/>
      <c r="AK1" s="4333"/>
      <c r="AL1" s="4333"/>
      <c r="AM1" s="4179"/>
      <c r="AN1" s="4179"/>
    </row>
    <row r="2" spans="1:70" x14ac:dyDescent="0.3">
      <c r="B2" s="4"/>
      <c r="C2" s="277"/>
      <c r="G2" s="900"/>
      <c r="H2" s="44"/>
      <c r="I2" s="44"/>
      <c r="J2" s="92"/>
      <c r="K2" s="92"/>
      <c r="L2" s="92"/>
      <c r="M2" s="92"/>
      <c r="N2" s="92"/>
      <c r="O2" s="151"/>
      <c r="P2" s="92"/>
      <c r="Q2" s="92"/>
      <c r="R2" s="92"/>
      <c r="S2" s="151"/>
      <c r="T2" s="92"/>
      <c r="U2" s="92"/>
      <c r="V2" s="92"/>
      <c r="W2" s="151"/>
      <c r="X2" s="92"/>
      <c r="Y2" s="92"/>
      <c r="Z2" s="92"/>
      <c r="AA2" s="92"/>
      <c r="AB2" s="4104"/>
      <c r="AC2" s="92"/>
      <c r="AD2" s="92"/>
      <c r="AE2" s="92"/>
      <c r="AF2" s="92"/>
      <c r="AH2" s="4104"/>
      <c r="AI2" s="92"/>
      <c r="AK2" s="1202"/>
    </row>
    <row r="3" spans="1:70" ht="15" thickBot="1" x14ac:dyDescent="0.35">
      <c r="B3" s="24"/>
      <c r="C3" s="25"/>
      <c r="D3" s="279">
        <v>30</v>
      </c>
      <c r="E3" s="279">
        <v>31</v>
      </c>
      <c r="G3" s="900"/>
      <c r="H3" s="44"/>
      <c r="I3" s="199">
        <v>30</v>
      </c>
      <c r="J3" s="342">
        <v>30</v>
      </c>
      <c r="K3" s="342">
        <v>31</v>
      </c>
      <c r="L3" s="342">
        <v>31</v>
      </c>
      <c r="M3" s="901">
        <f>+I3+K3</f>
        <v>61</v>
      </c>
      <c r="N3" s="901">
        <f>+J3+L3</f>
        <v>61</v>
      </c>
      <c r="O3" s="636">
        <v>30</v>
      </c>
      <c r="P3" s="342">
        <v>30</v>
      </c>
      <c r="Q3" s="342">
        <f>+M3+O3</f>
        <v>91</v>
      </c>
      <c r="R3" s="342">
        <f>+N3+P3</f>
        <v>91</v>
      </c>
      <c r="S3" s="574">
        <v>31</v>
      </c>
      <c r="T3" s="342">
        <v>31</v>
      </c>
      <c r="U3" s="901">
        <f>+Q3+S3</f>
        <v>122</v>
      </c>
      <c r="V3" s="901">
        <f>+R3+T3</f>
        <v>122</v>
      </c>
      <c r="W3" s="574">
        <v>31</v>
      </c>
      <c r="X3" s="342">
        <v>31</v>
      </c>
      <c r="Y3" s="901">
        <f>+U3+W3</f>
        <v>153</v>
      </c>
      <c r="Z3" s="901">
        <f>+V3+X3</f>
        <v>153</v>
      </c>
      <c r="AA3" s="342">
        <v>30</v>
      </c>
      <c r="AB3" s="342">
        <v>30</v>
      </c>
      <c r="AC3" s="342">
        <f>+AA3+W3+S3</f>
        <v>92</v>
      </c>
      <c r="AD3" s="342">
        <f>+AB3+X3+T3</f>
        <v>92</v>
      </c>
      <c r="AE3" s="901">
        <f>+Y3+AA3</f>
        <v>183</v>
      </c>
      <c r="AF3" s="901">
        <f>+Z3+AB3</f>
        <v>183</v>
      </c>
      <c r="AG3" s="342">
        <v>31</v>
      </c>
      <c r="AH3" s="342">
        <v>31</v>
      </c>
      <c r="AI3" s="901">
        <f>+AE3+AG3</f>
        <v>214</v>
      </c>
      <c r="AJ3" s="901">
        <f>+AF3+AH3</f>
        <v>214</v>
      </c>
      <c r="AK3" s="342">
        <v>30</v>
      </c>
      <c r="AL3" s="342">
        <v>30</v>
      </c>
      <c r="AM3" s="901">
        <f>+AI3+AK3</f>
        <v>244</v>
      </c>
      <c r="AN3" s="901">
        <f>+AJ3+AL3</f>
        <v>244</v>
      </c>
      <c r="AO3" s="342">
        <v>31</v>
      </c>
      <c r="AP3" s="342">
        <v>31</v>
      </c>
      <c r="AQ3" s="342">
        <f>+AO3+AK3+AG3</f>
        <v>92</v>
      </c>
      <c r="AR3" s="342">
        <f>+AP3+AL3+AH3</f>
        <v>92</v>
      </c>
      <c r="AS3" s="901">
        <f>+AM3+AO3</f>
        <v>275</v>
      </c>
      <c r="AT3" s="901">
        <f>+AN3+AP3</f>
        <v>275</v>
      </c>
      <c r="AU3" s="342">
        <v>31</v>
      </c>
      <c r="AV3" s="342">
        <v>31</v>
      </c>
      <c r="AW3" s="901">
        <f>+AS3+AU3</f>
        <v>306</v>
      </c>
      <c r="AX3" s="901">
        <f>+AT3+AV3</f>
        <v>306</v>
      </c>
      <c r="AY3" s="342">
        <v>28</v>
      </c>
      <c r="AZ3" s="342">
        <v>28</v>
      </c>
      <c r="BA3" s="901">
        <f>+AW3+AY3</f>
        <v>334</v>
      </c>
      <c r="BB3" s="901">
        <f>+AX3+AZ3</f>
        <v>334</v>
      </c>
      <c r="BC3" s="342">
        <v>31</v>
      </c>
      <c r="BD3" s="342">
        <v>31</v>
      </c>
      <c r="BE3" s="342">
        <f>+BC3+AY3+AU3</f>
        <v>90</v>
      </c>
      <c r="BF3" s="342">
        <f>+BD3+AZ3+AV3</f>
        <v>90</v>
      </c>
      <c r="BG3" s="901">
        <f>AQ3+BE3</f>
        <v>182</v>
      </c>
      <c r="BH3" s="901">
        <f>AR3+BF3</f>
        <v>182</v>
      </c>
      <c r="BI3" s="901">
        <f>+BA3+BC3</f>
        <v>365</v>
      </c>
      <c r="BJ3" s="901">
        <f>+BB3+BD3</f>
        <v>365</v>
      </c>
    </row>
    <row r="4" spans="1:70" ht="22.8" x14ac:dyDescent="0.3">
      <c r="B4" s="280" t="s">
        <v>135</v>
      </c>
      <c r="C4" s="6387" t="s">
        <v>172</v>
      </c>
      <c r="D4" s="281" t="s">
        <v>676</v>
      </c>
      <c r="E4" s="282" t="s">
        <v>677</v>
      </c>
      <c r="G4" s="902"/>
      <c r="H4" s="1399" t="s">
        <v>135</v>
      </c>
      <c r="I4" s="6391" t="s">
        <v>1962</v>
      </c>
      <c r="J4" s="5917"/>
      <c r="K4" s="5883" t="s">
        <v>2013</v>
      </c>
      <c r="L4" s="6372"/>
      <c r="M4" s="6373" t="s">
        <v>14</v>
      </c>
      <c r="N4" s="6374"/>
      <c r="O4" s="6392" t="s">
        <v>2043</v>
      </c>
      <c r="P4" s="5917"/>
      <c r="Q4" s="6379" t="s">
        <v>795</v>
      </c>
      <c r="R4" s="6380"/>
      <c r="S4" s="5883" t="s">
        <v>2065</v>
      </c>
      <c r="T4" s="6372"/>
      <c r="U4" s="6373" t="s">
        <v>17</v>
      </c>
      <c r="V4" s="6374"/>
      <c r="W4" s="5883" t="s">
        <v>2068</v>
      </c>
      <c r="X4" s="6372"/>
      <c r="Y4" s="6373" t="s">
        <v>18</v>
      </c>
      <c r="Z4" s="6374"/>
      <c r="AA4" s="5883" t="s">
        <v>2110</v>
      </c>
      <c r="AB4" s="6372"/>
      <c r="AC4" s="6379" t="s">
        <v>833</v>
      </c>
      <c r="AD4" s="6380"/>
      <c r="AE4" s="6381" t="s">
        <v>657</v>
      </c>
      <c r="AF4" s="6382"/>
      <c r="AG4" s="5883" t="s">
        <v>2135</v>
      </c>
      <c r="AH4" s="6372"/>
      <c r="AI4" s="6373" t="s">
        <v>24</v>
      </c>
      <c r="AJ4" s="6374"/>
      <c r="AK4" s="5883" t="s">
        <v>2238</v>
      </c>
      <c r="AL4" s="6372"/>
      <c r="AM4" s="6373" t="s">
        <v>27</v>
      </c>
      <c r="AN4" s="6374"/>
      <c r="AO4" s="5883" t="s">
        <v>2262</v>
      </c>
      <c r="AP4" s="6372"/>
      <c r="AQ4" s="6379" t="s">
        <v>1612</v>
      </c>
      <c r="AR4" s="6380"/>
      <c r="AS4" s="6373" t="s">
        <v>1613</v>
      </c>
      <c r="AT4" s="6374"/>
      <c r="AU4" s="5883" t="s">
        <v>2274</v>
      </c>
      <c r="AV4" s="6372"/>
      <c r="AW4" s="6373" t="s">
        <v>28</v>
      </c>
      <c r="AX4" s="6374"/>
      <c r="AY4" s="5883" t="s">
        <v>2311</v>
      </c>
      <c r="AZ4" s="6372"/>
      <c r="BA4" s="6373" t="s">
        <v>30</v>
      </c>
      <c r="BB4" s="6374"/>
      <c r="BC4" s="5883" t="s">
        <v>2329</v>
      </c>
      <c r="BD4" s="6372"/>
      <c r="BE4" s="6379" t="s">
        <v>1648</v>
      </c>
      <c r="BF4" s="6380"/>
      <c r="BG4" s="6381" t="s">
        <v>670</v>
      </c>
      <c r="BH4" s="6382"/>
      <c r="BI4" s="6373" t="s">
        <v>2041</v>
      </c>
      <c r="BJ4" s="6374"/>
    </row>
    <row r="5" spans="1:70" ht="15" thickBot="1" x14ac:dyDescent="0.35">
      <c r="A5" s="269" t="s">
        <v>743</v>
      </c>
      <c r="B5" s="283" t="s">
        <v>414</v>
      </c>
      <c r="C5" s="6388"/>
      <c r="D5" s="281" t="s">
        <v>174</v>
      </c>
      <c r="E5" s="282" t="s">
        <v>174</v>
      </c>
      <c r="G5" s="904"/>
      <c r="H5" s="886"/>
      <c r="I5" s="1292" t="s">
        <v>173</v>
      </c>
      <c r="J5" s="701" t="s">
        <v>174</v>
      </c>
      <c r="K5" s="701" t="s">
        <v>173</v>
      </c>
      <c r="L5" s="777" t="s">
        <v>174</v>
      </c>
      <c r="M5" s="702" t="s">
        <v>173</v>
      </c>
      <c r="N5" s="905" t="s">
        <v>174</v>
      </c>
      <c r="O5" s="1529" t="s">
        <v>173</v>
      </c>
      <c r="P5" s="701" t="s">
        <v>174</v>
      </c>
      <c r="Q5" s="703" t="s">
        <v>173</v>
      </c>
      <c r="R5" s="906" t="s">
        <v>174</v>
      </c>
      <c r="S5" s="805" t="s">
        <v>173</v>
      </c>
      <c r="T5" s="777" t="s">
        <v>174</v>
      </c>
      <c r="U5" s="702" t="s">
        <v>173</v>
      </c>
      <c r="V5" s="905" t="s">
        <v>174</v>
      </c>
      <c r="W5" s="805" t="s">
        <v>173</v>
      </c>
      <c r="X5" s="777" t="s">
        <v>174</v>
      </c>
      <c r="Y5" s="702" t="s">
        <v>173</v>
      </c>
      <c r="Z5" s="905" t="s">
        <v>174</v>
      </c>
      <c r="AA5" s="805" t="s">
        <v>173</v>
      </c>
      <c r="AB5" s="777" t="s">
        <v>174</v>
      </c>
      <c r="AC5" s="703" t="s">
        <v>173</v>
      </c>
      <c r="AD5" s="906" t="s">
        <v>174</v>
      </c>
      <c r="AE5" s="792" t="s">
        <v>173</v>
      </c>
      <c r="AF5" s="794" t="s">
        <v>174</v>
      </c>
      <c r="AG5" s="805" t="s">
        <v>173</v>
      </c>
      <c r="AH5" s="777" t="s">
        <v>174</v>
      </c>
      <c r="AI5" s="702" t="s">
        <v>173</v>
      </c>
      <c r="AJ5" s="905" t="s">
        <v>174</v>
      </c>
      <c r="AK5" s="805" t="s">
        <v>173</v>
      </c>
      <c r="AL5" s="777" t="s">
        <v>174</v>
      </c>
      <c r="AM5" s="702" t="s">
        <v>173</v>
      </c>
      <c r="AN5" s="905" t="s">
        <v>174</v>
      </c>
      <c r="AO5" s="805" t="s">
        <v>173</v>
      </c>
      <c r="AP5" s="777" t="s">
        <v>174</v>
      </c>
      <c r="AQ5" s="703" t="s">
        <v>173</v>
      </c>
      <c r="AR5" s="906" t="s">
        <v>174</v>
      </c>
      <c r="AS5" s="702" t="s">
        <v>173</v>
      </c>
      <c r="AT5" s="905" t="s">
        <v>174</v>
      </c>
      <c r="AU5" s="805" t="s">
        <v>173</v>
      </c>
      <c r="AV5" s="777" t="s">
        <v>174</v>
      </c>
      <c r="AW5" s="702" t="s">
        <v>173</v>
      </c>
      <c r="AX5" s="905" t="s">
        <v>174</v>
      </c>
      <c r="AY5" s="805" t="s">
        <v>173</v>
      </c>
      <c r="AZ5" s="777" t="s">
        <v>174</v>
      </c>
      <c r="BA5" s="702" t="s">
        <v>173</v>
      </c>
      <c r="BB5" s="905" t="s">
        <v>174</v>
      </c>
      <c r="BC5" s="805" t="s">
        <v>173</v>
      </c>
      <c r="BD5" s="777" t="s">
        <v>174</v>
      </c>
      <c r="BE5" s="703" t="s">
        <v>173</v>
      </c>
      <c r="BF5" s="906" t="s">
        <v>174</v>
      </c>
      <c r="BG5" s="792" t="s">
        <v>173</v>
      </c>
      <c r="BH5" s="794" t="s">
        <v>174</v>
      </c>
      <c r="BI5" s="702" t="s">
        <v>173</v>
      </c>
      <c r="BJ5" s="905" t="s">
        <v>174</v>
      </c>
    </row>
    <row r="6" spans="1:70" ht="15.6" x14ac:dyDescent="0.3">
      <c r="A6" s="269">
        <v>1</v>
      </c>
      <c r="B6" s="284" t="s">
        <v>482</v>
      </c>
      <c r="C6" s="16" t="s">
        <v>213</v>
      </c>
      <c r="D6" s="285">
        <v>0</v>
      </c>
      <c r="E6" s="286">
        <v>0</v>
      </c>
      <c r="G6" s="907">
        <v>1</v>
      </c>
      <c r="H6" s="1400" t="s">
        <v>744</v>
      </c>
      <c r="I6" s="1405">
        <f>SUM(I7:I12)</f>
        <v>117492740.92272873</v>
      </c>
      <c r="J6" s="315">
        <f>SUM(J7:J12)</f>
        <v>105928267.36799993</v>
      </c>
      <c r="K6" s="1405">
        <f>SUM(K7:K12)</f>
        <v>121454935.41389656</v>
      </c>
      <c r="L6" s="318">
        <f>SUM(L7:L12)</f>
        <v>114962072.7</v>
      </c>
      <c r="M6" s="909">
        <f>+I6+K6</f>
        <v>238947676.33662528</v>
      </c>
      <c r="N6" s="909">
        <f>+J6+L6</f>
        <v>220890340.06799993</v>
      </c>
      <c r="O6" s="1405">
        <f>SUM(O7:O12)</f>
        <v>117487319.29746184</v>
      </c>
      <c r="P6" s="318">
        <f>SUM(P7:P12)</f>
        <v>113950420.5</v>
      </c>
      <c r="Q6" s="1481">
        <f>+I6+K6+O6</f>
        <v>356434995.63408709</v>
      </c>
      <c r="R6" s="355">
        <f>+J6+L6+P6</f>
        <v>334840760.56799996</v>
      </c>
      <c r="S6" s="1405">
        <f>SUM(S7:S12)</f>
        <v>120523307.19417045</v>
      </c>
      <c r="T6" s="318">
        <f>SUM(T7:T12)</f>
        <v>118817105.80799998</v>
      </c>
      <c r="U6" s="909">
        <f>+Q6+S6</f>
        <v>476958302.82825756</v>
      </c>
      <c r="V6" s="909">
        <f>+R6+T6</f>
        <v>453657866.37599993</v>
      </c>
      <c r="W6" s="1405">
        <f>SUM(W7:W12)</f>
        <v>120523307.19417045</v>
      </c>
      <c r="X6" s="318">
        <f>SUM(X7:X12)</f>
        <v>115814820.9999999</v>
      </c>
      <c r="Y6" s="909">
        <f>+U6+W6</f>
        <v>597481610.02242804</v>
      </c>
      <c r="Z6" s="909">
        <f>+V6+X6</f>
        <v>569472687.37599981</v>
      </c>
      <c r="AA6" s="1405">
        <f>SUM(AA7:AA12)</f>
        <v>83308631.099244505</v>
      </c>
      <c r="AB6" s="318">
        <f>SUM(AB7:AB12)</f>
        <v>113325124</v>
      </c>
      <c r="AC6" s="1481">
        <f>S6+W6+AA6</f>
        <v>324355245.48758543</v>
      </c>
      <c r="AD6" s="355">
        <f>T6+X6+AB6</f>
        <v>347957050.80799985</v>
      </c>
      <c r="AE6" s="910">
        <f>Q6+AC6</f>
        <v>680790241.12167251</v>
      </c>
      <c r="AF6" s="910">
        <f>R6+AD6</f>
        <v>682797811.37599981</v>
      </c>
      <c r="AG6" s="1405">
        <f>SUM(AG7:AG12)</f>
        <v>121237124.22770301</v>
      </c>
      <c r="AH6" s="318">
        <f>SUM(AH7:AH12)</f>
        <v>103549486.47</v>
      </c>
      <c r="AI6" s="909">
        <f>+AE6+AG6</f>
        <v>802027365.34937549</v>
      </c>
      <c r="AJ6" s="909">
        <f>+AF6+AH6</f>
        <v>786347297.84599984</v>
      </c>
      <c r="AK6" s="1405">
        <f>SUM(AK7:AK12)</f>
        <v>117829577.65108055</v>
      </c>
      <c r="AL6" s="318">
        <f>SUM(AL7:AL12)</f>
        <v>111417799</v>
      </c>
      <c r="AM6" s="909">
        <f>+AI6+AK6</f>
        <v>919856943.00045609</v>
      </c>
      <c r="AN6" s="909">
        <f>+AJ6+AL6</f>
        <v>897765096.84599984</v>
      </c>
      <c r="AO6" s="1405">
        <f>SUM(AO7:AO12)</f>
        <v>121746433.12751524</v>
      </c>
      <c r="AP6" s="318">
        <f>SUM(AP7:AP12)</f>
        <v>113137667</v>
      </c>
      <c r="AQ6" s="1481">
        <f>AG6+AK6+AO6</f>
        <v>360813135.00629878</v>
      </c>
      <c r="AR6" s="355">
        <f>AH6+AL6+AP6</f>
        <v>328104952.47000003</v>
      </c>
      <c r="AS6" s="909">
        <f>+AM6+AO6</f>
        <v>1041603376.1279713</v>
      </c>
      <c r="AT6" s="908">
        <f>+AN6+AP6</f>
        <v>1010902763.8459998</v>
      </c>
      <c r="AU6" s="1405">
        <f>SUM(AU7:AU12)</f>
        <v>122457691.60293768</v>
      </c>
      <c r="AV6" s="318">
        <f>SUM(AV7:AV12)</f>
        <v>113978078.25000007</v>
      </c>
      <c r="AW6" s="909">
        <f>+AS6+AU6</f>
        <v>1164061067.7309089</v>
      </c>
      <c r="AX6" s="908">
        <f>+AT6+AV6</f>
        <v>1124880842.096</v>
      </c>
      <c r="AY6" s="1405">
        <f>SUM(AY7:AY12)</f>
        <v>110169158.02639693</v>
      </c>
      <c r="AZ6" s="318">
        <f>SUM(AZ7:AZ12)</f>
        <v>100873469.33999999</v>
      </c>
      <c r="BA6" s="909">
        <f>+AW6+AY6</f>
        <v>1274230225.7573059</v>
      </c>
      <c r="BB6" s="908">
        <f>+AX6+AZ6</f>
        <v>1225754311.4359999</v>
      </c>
      <c r="BC6" s="1405">
        <f>SUM(BC7:BC12)</f>
        <v>122583410.07221156</v>
      </c>
      <c r="BD6" s="318">
        <f>SUM(BD7:BD12)</f>
        <v>115328542.40000013</v>
      </c>
      <c r="BE6" s="1481">
        <f>AU6+AY6+BC6</f>
        <v>355210259.70154619</v>
      </c>
      <c r="BF6" s="355">
        <f>AV6+AZ6+BD6</f>
        <v>330180089.99000019</v>
      </c>
      <c r="BG6" s="910">
        <f>AQ6+BE6</f>
        <v>716023394.70784497</v>
      </c>
      <c r="BH6" s="910">
        <f>AR6+BF6</f>
        <v>658285042.46000028</v>
      </c>
      <c r="BI6" s="909">
        <f t="shared" ref="BI6:BJ12" si="0">+BA6+BC6</f>
        <v>1396813635.8295174</v>
      </c>
      <c r="BJ6" s="908">
        <f t="shared" si="0"/>
        <v>1341082853.836</v>
      </c>
      <c r="BK6" s="1202"/>
      <c r="BL6" s="528"/>
      <c r="BM6" s="1202"/>
      <c r="BN6" s="5479"/>
      <c r="BO6" s="5479"/>
      <c r="BP6" s="1202"/>
      <c r="BQ6" s="1202"/>
      <c r="BR6" s="26"/>
    </row>
    <row r="7" spans="1:70" x14ac:dyDescent="0.3">
      <c r="A7" s="269">
        <v>2</v>
      </c>
      <c r="B7" s="287" t="s">
        <v>587</v>
      </c>
      <c r="C7" s="13" t="s">
        <v>213</v>
      </c>
      <c r="D7" s="288">
        <v>29290499.99999997</v>
      </c>
      <c r="E7" s="289">
        <v>29010500</v>
      </c>
      <c r="G7" s="904">
        <v>1.1000000000000001</v>
      </c>
      <c r="H7" s="886" t="s">
        <v>482</v>
      </c>
      <c r="I7" s="1406">
        <f t="shared" ref="I7:I12" si="1">+I56*I$3*24*1000</f>
        <v>0</v>
      </c>
      <c r="J7" s="316">
        <v>0</v>
      </c>
      <c r="K7" s="1406">
        <f t="shared" ref="K7" si="2">+K56*K$3*24*1000</f>
        <v>0</v>
      </c>
      <c r="L7" s="316">
        <v>0</v>
      </c>
      <c r="M7" s="911">
        <f t="shared" ref="M7:N47" si="3">+I7+K7</f>
        <v>0</v>
      </c>
      <c r="N7" s="911">
        <f t="shared" si="3"/>
        <v>0</v>
      </c>
      <c r="O7" s="1406">
        <f t="shared" ref="O7:O12" si="4">+O56*O$3*24*1000</f>
        <v>0</v>
      </c>
      <c r="P7" s="316">
        <v>0</v>
      </c>
      <c r="Q7" s="1482">
        <f t="shared" ref="Q7:Q47" si="5">+I7+K7+O7</f>
        <v>0</v>
      </c>
      <c r="R7" s="353">
        <f t="shared" ref="R7:R47" si="6">+J7+L7+P7</f>
        <v>0</v>
      </c>
      <c r="S7" s="1406">
        <f t="shared" ref="S7:S12" si="7">+S56*S$3*24*1000</f>
        <v>0</v>
      </c>
      <c r="T7" s="316">
        <v>0</v>
      </c>
      <c r="U7" s="911">
        <f t="shared" ref="U7:U33" si="8">+Q7+S7</f>
        <v>0</v>
      </c>
      <c r="V7" s="911">
        <f t="shared" ref="V7:V33" si="9">+R7+T7</f>
        <v>0</v>
      </c>
      <c r="W7" s="1406">
        <f t="shared" ref="W7:W12" si="10">+W56*W$3*24*1000</f>
        <v>0</v>
      </c>
      <c r="X7" s="316"/>
      <c r="Y7" s="911">
        <f t="shared" ref="Y7:Y33" si="11">+U7+W7</f>
        <v>0</v>
      </c>
      <c r="Z7" s="911">
        <f t="shared" ref="Z7:Z33" si="12">+V7+X7</f>
        <v>0</v>
      </c>
      <c r="AA7" s="1406">
        <f t="shared" ref="AA7:AA12" si="13">+AA56*AA$3*24*1000</f>
        <v>0</v>
      </c>
      <c r="AB7" s="316"/>
      <c r="AC7" s="1482">
        <f>S7+W7+AA7</f>
        <v>0</v>
      </c>
      <c r="AD7" s="1482">
        <f>T7+X7+AB7</f>
        <v>0</v>
      </c>
      <c r="AE7" s="913">
        <f>Q7+AC7</f>
        <v>0</v>
      </c>
      <c r="AF7" s="913">
        <f>R7+AD7</f>
        <v>0</v>
      </c>
      <c r="AG7" s="1406">
        <f t="shared" ref="AG7:AG12" si="14">+AG56*AG$3*24*1000</f>
        <v>0</v>
      </c>
      <c r="AH7" s="316">
        <v>0</v>
      </c>
      <c r="AI7" s="911">
        <f t="shared" ref="AI7:AI33" si="15">+AE7+AG7</f>
        <v>0</v>
      </c>
      <c r="AJ7" s="911">
        <f t="shared" ref="AJ7:AJ33" si="16">+AF7+AH7</f>
        <v>0</v>
      </c>
      <c r="AK7" s="1406">
        <f t="shared" ref="AK7:AK12" si="17">+AK56*AK$3*24*1000</f>
        <v>0</v>
      </c>
      <c r="AL7" s="316">
        <v>0</v>
      </c>
      <c r="AM7" s="911">
        <f t="shared" ref="AM7:AM33" si="18">+AI7+AK7</f>
        <v>0</v>
      </c>
      <c r="AN7" s="911">
        <f t="shared" ref="AN7:AN33" si="19">+AJ7+AL7</f>
        <v>0</v>
      </c>
      <c r="AO7" s="1406">
        <f t="shared" ref="AO7:AO12" si="20">+AO56*AO$3*24*1000</f>
        <v>0</v>
      </c>
      <c r="AP7" s="316">
        <v>0</v>
      </c>
      <c r="AQ7" s="1482">
        <f>AG7+AK7+AO7</f>
        <v>0</v>
      </c>
      <c r="AR7" s="1482">
        <f>AH7+AL7+AP7</f>
        <v>0</v>
      </c>
      <c r="AS7" s="911">
        <f t="shared" ref="AS7:AS33" si="21">+AM7+AO7</f>
        <v>0</v>
      </c>
      <c r="AT7" s="911">
        <f t="shared" ref="AT7:AT33" si="22">+AN7+AP7</f>
        <v>0</v>
      </c>
      <c r="AU7" s="1406">
        <f t="shared" ref="AU7:AU12" si="23">+AU56*AU$3*24*1000</f>
        <v>0</v>
      </c>
      <c r="AV7" s="316">
        <v>0</v>
      </c>
      <c r="AW7" s="911">
        <f t="shared" ref="AW7:AW33" si="24">+AS7+AU7</f>
        <v>0</v>
      </c>
      <c r="AX7" s="911">
        <f t="shared" ref="AX7:AX33" si="25">+AT7+AV7</f>
        <v>0</v>
      </c>
      <c r="AY7" s="1406">
        <f t="shared" ref="AY7:AY12" si="26">+AY56*AY$3*24*1000</f>
        <v>0</v>
      </c>
      <c r="AZ7" s="316">
        <v>0</v>
      </c>
      <c r="BA7" s="911">
        <f t="shared" ref="BA7:BA33" si="27">+AW7+AY7</f>
        <v>0</v>
      </c>
      <c r="BB7" s="911">
        <f t="shared" ref="BB7:BB33" si="28">+AX7+AZ7</f>
        <v>0</v>
      </c>
      <c r="BC7" s="1406">
        <f t="shared" ref="BC7:BC12" si="29">+BC56*BC$3*24*1000</f>
        <v>0</v>
      </c>
      <c r="BD7" s="316">
        <v>0</v>
      </c>
      <c r="BE7" s="1482">
        <f>AU7+AY7+BC7</f>
        <v>0</v>
      </c>
      <c r="BF7" s="1482">
        <f>AV7+AZ7+BD7</f>
        <v>0</v>
      </c>
      <c r="BG7" s="913">
        <f>AQ7+BE7</f>
        <v>0</v>
      </c>
      <c r="BH7" s="913">
        <f>AR7+BF7</f>
        <v>0</v>
      </c>
      <c r="BI7" s="911">
        <f t="shared" si="0"/>
        <v>0</v>
      </c>
      <c r="BJ7" s="911">
        <f t="shared" si="0"/>
        <v>0</v>
      </c>
      <c r="BK7" s="1202"/>
      <c r="BL7" s="528"/>
      <c r="BM7" s="1202"/>
      <c r="BN7" s="5479"/>
      <c r="BO7" s="5479"/>
      <c r="BP7" s="1202"/>
      <c r="BQ7" s="1202"/>
      <c r="BR7" s="26"/>
    </row>
    <row r="8" spans="1:70" x14ac:dyDescent="0.3">
      <c r="A8" s="269">
        <v>3</v>
      </c>
      <c r="B8" s="290" t="s">
        <v>483</v>
      </c>
      <c r="C8" s="13" t="s">
        <v>213</v>
      </c>
      <c r="D8" s="288">
        <v>3137000</v>
      </c>
      <c r="E8" s="289">
        <v>766000</v>
      </c>
      <c r="G8" s="904">
        <v>1.2</v>
      </c>
      <c r="H8" s="886" t="s">
        <v>587</v>
      </c>
      <c r="I8" s="1407">
        <f t="shared" si="1"/>
        <v>36091463.252194539</v>
      </c>
      <c r="J8" s="317">
        <v>28419199.999999925</v>
      </c>
      <c r="K8" s="1407">
        <f t="shared" ref="K8" si="30">+K57*K$3*24*1000</f>
        <v>39844723.250093497</v>
      </c>
      <c r="L8" s="317">
        <v>34691000</v>
      </c>
      <c r="M8" s="912">
        <f t="shared" si="3"/>
        <v>75936186.502288043</v>
      </c>
      <c r="N8" s="912">
        <f t="shared" si="3"/>
        <v>63110199.999999925</v>
      </c>
      <c r="O8" s="1407">
        <f t="shared" si="4"/>
        <v>38443313.060934715</v>
      </c>
      <c r="P8" s="317">
        <v>39300399.999999993</v>
      </c>
      <c r="Q8" s="1483">
        <f t="shared" ref="Q8:Q11" si="31">+I8+K8+O8</f>
        <v>114379499.56322277</v>
      </c>
      <c r="R8" s="354">
        <f t="shared" ref="R8:R11" si="32">+J8+L8+P8</f>
        <v>102410599.99999991</v>
      </c>
      <c r="S8" s="1407">
        <f t="shared" si="7"/>
        <v>39910513.372167096</v>
      </c>
      <c r="T8" s="317">
        <v>42763699.999999993</v>
      </c>
      <c r="U8" s="912">
        <f t="shared" si="8"/>
        <v>154290012.93538988</v>
      </c>
      <c r="V8" s="912">
        <f t="shared" si="9"/>
        <v>145174299.99999991</v>
      </c>
      <c r="W8" s="1407">
        <f t="shared" si="10"/>
        <v>39330490.682108618</v>
      </c>
      <c r="X8" s="317">
        <v>41038899.999999896</v>
      </c>
      <c r="Y8" s="912">
        <f t="shared" si="11"/>
        <v>193620503.61749849</v>
      </c>
      <c r="Z8" s="912">
        <f t="shared" si="12"/>
        <v>186213199.99999982</v>
      </c>
      <c r="AA8" s="1407">
        <f t="shared" si="13"/>
        <v>29457715.358904649</v>
      </c>
      <c r="AB8" s="317">
        <v>38265400</v>
      </c>
      <c r="AC8" s="1482">
        <f t="shared" ref="AC8:AC12" si="33">S8+W8+AA8</f>
        <v>108698719.41318037</v>
      </c>
      <c r="AD8" s="1482">
        <f t="shared" ref="AD8:AD12" si="34">T8+X8+AB8</f>
        <v>122067999.99999988</v>
      </c>
      <c r="AE8" s="913">
        <f t="shared" ref="AE8:AE12" si="35">Q8+AC8</f>
        <v>223078218.97640312</v>
      </c>
      <c r="AF8" s="913">
        <f t="shared" ref="AF8:AF12" si="36">R8+AD8</f>
        <v>224478599.99999979</v>
      </c>
      <c r="AG8" s="1407">
        <f t="shared" si="14"/>
        <v>39486904.219020285</v>
      </c>
      <c r="AH8" s="317">
        <v>34346299.999999993</v>
      </c>
      <c r="AI8" s="912">
        <f t="shared" si="15"/>
        <v>262565123.19542339</v>
      </c>
      <c r="AJ8" s="912">
        <f t="shared" si="16"/>
        <v>258824899.99999979</v>
      </c>
      <c r="AK8" s="1407">
        <f t="shared" si="17"/>
        <v>31321589.518975388</v>
      </c>
      <c r="AL8" s="317">
        <v>37637500</v>
      </c>
      <c r="AM8" s="912">
        <f t="shared" si="18"/>
        <v>293886712.7143988</v>
      </c>
      <c r="AN8" s="912">
        <f t="shared" si="19"/>
        <v>296462399.99999976</v>
      </c>
      <c r="AO8" s="1407">
        <f t="shared" si="20"/>
        <v>32337111.699331369</v>
      </c>
      <c r="AP8" s="317">
        <v>37124000</v>
      </c>
      <c r="AQ8" s="1482">
        <f t="shared" ref="AQ8:AQ12" si="37">AG8+AK8+AO8</f>
        <v>103145605.43732704</v>
      </c>
      <c r="AR8" s="1482">
        <f t="shared" ref="AR8:AR12" si="38">AH8+AL8+AP8</f>
        <v>109107800</v>
      </c>
      <c r="AS8" s="912">
        <f t="shared" si="21"/>
        <v>326223824.41373014</v>
      </c>
      <c r="AT8" s="912">
        <f t="shared" si="22"/>
        <v>333586399.99999976</v>
      </c>
      <c r="AU8" s="1407">
        <f t="shared" si="23"/>
        <v>31663576.551385369</v>
      </c>
      <c r="AV8" s="317">
        <v>35634300.000000075</v>
      </c>
      <c r="AW8" s="912">
        <f t="shared" si="24"/>
        <v>357887400.96511549</v>
      </c>
      <c r="AX8" s="912">
        <f t="shared" si="25"/>
        <v>369220699.99999982</v>
      </c>
      <c r="AY8" s="1407">
        <f t="shared" si="26"/>
        <v>28957942.811745428</v>
      </c>
      <c r="AZ8" s="317">
        <v>30300499.999999996</v>
      </c>
      <c r="BA8" s="912">
        <f t="shared" si="27"/>
        <v>386845343.77686089</v>
      </c>
      <c r="BB8" s="912">
        <f t="shared" si="28"/>
        <v>399521199.99999982</v>
      </c>
      <c r="BC8" s="1407">
        <f t="shared" si="29"/>
        <v>38558395.645938836</v>
      </c>
      <c r="BD8" s="317">
        <v>37147200.000000037</v>
      </c>
      <c r="BE8" s="1482">
        <f t="shared" ref="BE8:BE13" si="39">AU8+AY8+BC8</f>
        <v>99179915.009069622</v>
      </c>
      <c r="BF8" s="1482">
        <f t="shared" ref="BF8:BF12" si="40">AV8+AZ8+BD8</f>
        <v>103082000.00000012</v>
      </c>
      <c r="BG8" s="913">
        <f t="shared" ref="BG8:BH12" si="41">AQ8+BE8</f>
        <v>202325520.44639665</v>
      </c>
      <c r="BH8" s="913">
        <f t="shared" si="41"/>
        <v>212189800.00000012</v>
      </c>
      <c r="BI8" s="912">
        <f t="shared" si="0"/>
        <v>425403739.42279971</v>
      </c>
      <c r="BJ8" s="912">
        <f t="shared" si="0"/>
        <v>436668399.99999988</v>
      </c>
      <c r="BK8" s="1202"/>
      <c r="BL8" s="528"/>
      <c r="BM8" s="1202"/>
      <c r="BN8" s="5479"/>
      <c r="BO8" s="5479"/>
      <c r="BP8" s="1202"/>
      <c r="BQ8" s="1202"/>
      <c r="BR8" s="26"/>
    </row>
    <row r="9" spans="1:70" x14ac:dyDescent="0.3">
      <c r="A9" s="269">
        <v>4</v>
      </c>
      <c r="B9" s="290" t="s">
        <v>484</v>
      </c>
      <c r="C9" s="13" t="s">
        <v>213</v>
      </c>
      <c r="D9" s="288">
        <v>56402000</v>
      </c>
      <c r="E9" s="289">
        <v>65310000</v>
      </c>
      <c r="G9" s="904">
        <v>1.3</v>
      </c>
      <c r="H9" s="886" t="s">
        <v>483</v>
      </c>
      <c r="I9" s="1407">
        <f t="shared" si="1"/>
        <v>3600000</v>
      </c>
      <c r="J9" s="317">
        <v>2652602.3679999998</v>
      </c>
      <c r="K9" s="1407">
        <f t="shared" ref="K9" si="42">+K58*K$3*24*1000</f>
        <v>3720000</v>
      </c>
      <c r="L9" s="317">
        <v>3582801</v>
      </c>
      <c r="M9" s="912">
        <f t="shared" si="3"/>
        <v>7320000</v>
      </c>
      <c r="N9" s="912">
        <f t="shared" si="3"/>
        <v>6235403.3679999998</v>
      </c>
      <c r="O9" s="1407">
        <f t="shared" si="4"/>
        <v>3600000</v>
      </c>
      <c r="P9" s="317">
        <v>3381201</v>
      </c>
      <c r="Q9" s="1483">
        <f t="shared" si="31"/>
        <v>10920000</v>
      </c>
      <c r="R9" s="354">
        <f t="shared" si="32"/>
        <v>9616604.3680000007</v>
      </c>
      <c r="S9" s="1407">
        <f t="shared" si="7"/>
        <v>3720000</v>
      </c>
      <c r="T9" s="317">
        <v>2712598</v>
      </c>
      <c r="U9" s="912">
        <f t="shared" si="8"/>
        <v>14640000</v>
      </c>
      <c r="V9" s="912">
        <f t="shared" si="9"/>
        <v>12329202.368000001</v>
      </c>
      <c r="W9" s="1407">
        <f t="shared" si="10"/>
        <v>3720000</v>
      </c>
      <c r="X9" s="317">
        <v>3125705</v>
      </c>
      <c r="Y9" s="912">
        <f t="shared" si="11"/>
        <v>18360000</v>
      </c>
      <c r="Z9" s="912">
        <f t="shared" si="12"/>
        <v>15454907.368000001</v>
      </c>
      <c r="AA9" s="1407">
        <f t="shared" si="13"/>
        <v>3600000</v>
      </c>
      <c r="AB9" s="317">
        <v>3614598</v>
      </c>
      <c r="AC9" s="1482">
        <f t="shared" si="33"/>
        <v>11040000</v>
      </c>
      <c r="AD9" s="1482">
        <f t="shared" si="34"/>
        <v>9452901</v>
      </c>
      <c r="AE9" s="913">
        <f t="shared" si="35"/>
        <v>21960000</v>
      </c>
      <c r="AF9" s="913">
        <f t="shared" si="36"/>
        <v>19069505.368000001</v>
      </c>
      <c r="AG9" s="1407">
        <f t="shared" si="14"/>
        <v>3720000</v>
      </c>
      <c r="AH9" s="317">
        <v>3255599.87</v>
      </c>
      <c r="AI9" s="912">
        <f t="shared" si="15"/>
        <v>25680000</v>
      </c>
      <c r="AJ9" s="912">
        <f t="shared" si="16"/>
        <v>22325105.238000002</v>
      </c>
      <c r="AK9" s="1407">
        <f t="shared" si="17"/>
        <v>3600000</v>
      </c>
      <c r="AL9" s="317">
        <v>2919400</v>
      </c>
      <c r="AM9" s="912">
        <f t="shared" si="18"/>
        <v>29280000</v>
      </c>
      <c r="AN9" s="912">
        <f t="shared" si="19"/>
        <v>25244505.238000002</v>
      </c>
      <c r="AO9" s="1407">
        <f t="shared" si="20"/>
        <v>3720000</v>
      </c>
      <c r="AP9" s="317">
        <v>3139600</v>
      </c>
      <c r="AQ9" s="1482">
        <f t="shared" si="37"/>
        <v>11040000</v>
      </c>
      <c r="AR9" s="1482">
        <f t="shared" si="38"/>
        <v>9314599.870000001</v>
      </c>
      <c r="AS9" s="912">
        <f t="shared" si="21"/>
        <v>33000000</v>
      </c>
      <c r="AT9" s="912">
        <f t="shared" si="22"/>
        <v>28384105.238000002</v>
      </c>
      <c r="AU9" s="1407">
        <f t="shared" si="23"/>
        <v>3720000</v>
      </c>
      <c r="AV9" s="317">
        <v>3390100.54</v>
      </c>
      <c r="AW9" s="912">
        <f t="shared" si="24"/>
        <v>36720000</v>
      </c>
      <c r="AX9" s="912">
        <f t="shared" si="25"/>
        <v>31774205.778000001</v>
      </c>
      <c r="AY9" s="1407">
        <f t="shared" si="26"/>
        <v>3360000</v>
      </c>
      <c r="AZ9" s="317">
        <v>2725197.84</v>
      </c>
      <c r="BA9" s="912">
        <f t="shared" si="27"/>
        <v>40080000</v>
      </c>
      <c r="BB9" s="912">
        <f t="shared" si="28"/>
        <v>34499403.618000001</v>
      </c>
      <c r="BC9" s="1407">
        <f t="shared" si="29"/>
        <v>3720000</v>
      </c>
      <c r="BD9" s="317">
        <v>3156462.25</v>
      </c>
      <c r="BE9" s="1482">
        <f t="shared" si="39"/>
        <v>10800000</v>
      </c>
      <c r="BF9" s="1482">
        <f t="shared" si="40"/>
        <v>9271760.629999999</v>
      </c>
      <c r="BG9" s="913">
        <f t="shared" si="41"/>
        <v>21840000</v>
      </c>
      <c r="BH9" s="913">
        <f t="shared" si="41"/>
        <v>18586360.5</v>
      </c>
      <c r="BI9" s="912">
        <f t="shared" si="0"/>
        <v>43800000</v>
      </c>
      <c r="BJ9" s="912">
        <f t="shared" si="0"/>
        <v>37655865.868000001</v>
      </c>
      <c r="BK9" s="1202"/>
      <c r="BL9" s="528"/>
      <c r="BM9" s="1202"/>
      <c r="BN9" s="5479"/>
      <c r="BO9" s="5479"/>
      <c r="BP9" s="1202"/>
      <c r="BQ9" s="1202"/>
      <c r="BR9" s="26"/>
    </row>
    <row r="10" spans="1:70" ht="15" thickBot="1" x14ac:dyDescent="0.35">
      <c r="A10" s="269">
        <v>5</v>
      </c>
      <c r="B10" s="291" t="s">
        <v>485</v>
      </c>
      <c r="C10" s="14" t="s">
        <v>213</v>
      </c>
      <c r="D10" s="288">
        <v>514390</v>
      </c>
      <c r="E10" s="289">
        <v>517460.00000000029</v>
      </c>
      <c r="G10" s="904">
        <v>1.4</v>
      </c>
      <c r="H10" s="886" t="s">
        <v>484</v>
      </c>
      <c r="I10" s="1407">
        <f t="shared" si="1"/>
        <v>76541277.670534194</v>
      </c>
      <c r="J10" s="317">
        <v>73610003</v>
      </c>
      <c r="K10" s="1407">
        <f t="shared" ref="K10" si="43">+K59*K$3*24*1000</f>
        <v>76588212.163803056</v>
      </c>
      <c r="L10" s="317">
        <v>75383046</v>
      </c>
      <c r="M10" s="912">
        <f t="shared" si="3"/>
        <v>153129489.83433723</v>
      </c>
      <c r="N10" s="912">
        <f t="shared" si="3"/>
        <v>148993049</v>
      </c>
      <c r="O10" s="1407">
        <f t="shared" si="4"/>
        <v>74184006.236527115</v>
      </c>
      <c r="P10" s="317">
        <v>70337003</v>
      </c>
      <c r="Q10" s="1483">
        <f t="shared" si="31"/>
        <v>227313496.07086435</v>
      </c>
      <c r="R10" s="354">
        <f t="shared" si="32"/>
        <v>219330052</v>
      </c>
      <c r="S10" s="1407">
        <f t="shared" si="7"/>
        <v>75590793.82200335</v>
      </c>
      <c r="T10" s="317">
        <v>72496939.008000001</v>
      </c>
      <c r="U10" s="912">
        <f t="shared" si="8"/>
        <v>302904289.89286768</v>
      </c>
      <c r="V10" s="912">
        <f t="shared" si="9"/>
        <v>291826991.00800002</v>
      </c>
      <c r="W10" s="1407">
        <f t="shared" si="10"/>
        <v>76170816.512061834</v>
      </c>
      <c r="X10" s="317">
        <v>70569001</v>
      </c>
      <c r="Y10" s="912">
        <f t="shared" si="11"/>
        <v>379075106.40492952</v>
      </c>
      <c r="Z10" s="912">
        <f t="shared" si="12"/>
        <v>362395992.00800002</v>
      </c>
      <c r="AA10" s="1407">
        <f t="shared" si="13"/>
        <v>48990915.74033986</v>
      </c>
      <c r="AB10" s="317">
        <v>70384025</v>
      </c>
      <c r="AC10" s="1482">
        <f t="shared" si="33"/>
        <v>200752526.07440507</v>
      </c>
      <c r="AD10" s="1482">
        <f t="shared" si="34"/>
        <v>213449965.00800002</v>
      </c>
      <c r="AE10" s="913">
        <f t="shared" si="35"/>
        <v>428066022.14526939</v>
      </c>
      <c r="AF10" s="913">
        <f t="shared" si="36"/>
        <v>432780017.00800002</v>
      </c>
      <c r="AG10" s="1407">
        <f t="shared" si="14"/>
        <v>76728220.008682713</v>
      </c>
      <c r="AH10" s="317">
        <v>64899012.600000001</v>
      </c>
      <c r="AI10" s="912">
        <f t="shared" si="15"/>
        <v>504794242.15395212</v>
      </c>
      <c r="AJ10" s="912">
        <f t="shared" si="16"/>
        <v>497679029.60800004</v>
      </c>
      <c r="AK10" s="1407">
        <f t="shared" si="17"/>
        <v>81647988.132105157</v>
      </c>
      <c r="AL10" s="317">
        <v>69897000</v>
      </c>
      <c r="AM10" s="912">
        <f t="shared" si="18"/>
        <v>586442230.28605723</v>
      </c>
      <c r="AN10" s="912">
        <f t="shared" si="19"/>
        <v>567576029.60800004</v>
      </c>
      <c r="AO10" s="1407">
        <f t="shared" si="20"/>
        <v>84387321.428183869</v>
      </c>
      <c r="AP10" s="317">
        <v>71946000</v>
      </c>
      <c r="AQ10" s="1482">
        <f t="shared" si="37"/>
        <v>242763529.56897175</v>
      </c>
      <c r="AR10" s="1482">
        <f t="shared" si="38"/>
        <v>206742012.59999999</v>
      </c>
      <c r="AS10" s="912">
        <f t="shared" si="21"/>
        <v>670829551.71424115</v>
      </c>
      <c r="AT10" s="912">
        <f t="shared" si="22"/>
        <v>639522029.60800004</v>
      </c>
      <c r="AU10" s="1407">
        <f t="shared" si="23"/>
        <v>85772115.051552311</v>
      </c>
      <c r="AV10" s="317">
        <v>73959980.409999996</v>
      </c>
      <c r="AW10" s="912">
        <f t="shared" si="24"/>
        <v>756601666.76579344</v>
      </c>
      <c r="AX10" s="912">
        <f t="shared" si="25"/>
        <v>713482010.01800001</v>
      </c>
      <c r="AY10" s="1407">
        <f t="shared" si="26"/>
        <v>76675215.214651495</v>
      </c>
      <c r="AZ10" s="317">
        <v>66817949.700000003</v>
      </c>
      <c r="BA10" s="912">
        <f t="shared" si="27"/>
        <v>833276881.98044491</v>
      </c>
      <c r="BB10" s="912">
        <f t="shared" si="28"/>
        <v>780299959.71800005</v>
      </c>
      <c r="BC10" s="1407">
        <f t="shared" si="29"/>
        <v>79003014.42627272</v>
      </c>
      <c r="BD10" s="317">
        <v>73892102.150000095</v>
      </c>
      <c r="BE10" s="1482">
        <f t="shared" si="39"/>
        <v>241450344.69247654</v>
      </c>
      <c r="BF10" s="1482">
        <f t="shared" si="40"/>
        <v>214670032.26000011</v>
      </c>
      <c r="BG10" s="913">
        <f t="shared" si="41"/>
        <v>484213874.26144826</v>
      </c>
      <c r="BH10" s="913">
        <f t="shared" si="41"/>
        <v>421412044.86000013</v>
      </c>
      <c r="BI10" s="912">
        <f t="shared" si="0"/>
        <v>912279896.40671766</v>
      </c>
      <c r="BJ10" s="912">
        <f t="shared" si="0"/>
        <v>854192061.86800015</v>
      </c>
      <c r="BK10" s="1202"/>
      <c r="BL10" s="528"/>
      <c r="BM10" s="1202"/>
      <c r="BN10" s="5479"/>
      <c r="BO10" s="5479"/>
      <c r="BP10" s="1202"/>
      <c r="BQ10" s="1202"/>
      <c r="BR10" s="26"/>
    </row>
    <row r="11" spans="1:70" ht="16.2" thickBot="1" x14ac:dyDescent="0.35">
      <c r="A11" s="269">
        <v>6</v>
      </c>
      <c r="B11" s="292" t="s">
        <v>486</v>
      </c>
      <c r="C11" s="15" t="s">
        <v>213</v>
      </c>
      <c r="D11" s="293">
        <f>SUM(D6:D10)</f>
        <v>89343889.99999997</v>
      </c>
      <c r="E11" s="294">
        <f>SUM(E6:E10)</f>
        <v>95603960</v>
      </c>
      <c r="G11" s="904">
        <v>1.5</v>
      </c>
      <c r="H11" s="886" t="s">
        <v>485</v>
      </c>
      <c r="I11" s="1406">
        <f t="shared" si="1"/>
        <v>540000</v>
      </c>
      <c r="J11" s="317">
        <v>483099.99999999627</v>
      </c>
      <c r="K11" s="1406">
        <f t="shared" ref="K11" si="44">+K60*K$3*24*1000</f>
        <v>558000</v>
      </c>
      <c r="L11" s="317">
        <v>491550.00000000105</v>
      </c>
      <c r="M11" s="912">
        <f t="shared" si="3"/>
        <v>1098000</v>
      </c>
      <c r="N11" s="912">
        <f t="shared" si="3"/>
        <v>974649.99999999732</v>
      </c>
      <c r="O11" s="1406">
        <f t="shared" si="4"/>
        <v>540000</v>
      </c>
      <c r="P11" s="317">
        <v>330650.00000000146</v>
      </c>
      <c r="Q11" s="1482">
        <f t="shared" si="31"/>
        <v>1638000</v>
      </c>
      <c r="R11" s="353">
        <f t="shared" si="32"/>
        <v>1305299.9999999988</v>
      </c>
      <c r="S11" s="1406">
        <f t="shared" si="7"/>
        <v>558000</v>
      </c>
      <c r="T11" s="317">
        <v>267680.00000000029</v>
      </c>
      <c r="U11" s="912">
        <f t="shared" si="8"/>
        <v>2196000</v>
      </c>
      <c r="V11" s="912">
        <f t="shared" si="9"/>
        <v>1572979.9999999991</v>
      </c>
      <c r="W11" s="1406">
        <f t="shared" si="10"/>
        <v>558000</v>
      </c>
      <c r="X11" s="317">
        <v>504279.99999999977</v>
      </c>
      <c r="Y11" s="912">
        <f t="shared" si="11"/>
        <v>2754000</v>
      </c>
      <c r="Z11" s="912">
        <f t="shared" si="12"/>
        <v>2077259.9999999988</v>
      </c>
      <c r="AA11" s="1406">
        <f t="shared" si="13"/>
        <v>540000</v>
      </c>
      <c r="AB11" s="317">
        <v>483870.00000000012</v>
      </c>
      <c r="AC11" s="1482">
        <f t="shared" si="33"/>
        <v>1656000</v>
      </c>
      <c r="AD11" s="1482">
        <f t="shared" si="34"/>
        <v>1255830</v>
      </c>
      <c r="AE11" s="913">
        <f t="shared" si="35"/>
        <v>3294000</v>
      </c>
      <c r="AF11" s="913">
        <f t="shared" si="36"/>
        <v>2561129.9999999991</v>
      </c>
      <c r="AG11" s="1406">
        <f t="shared" si="14"/>
        <v>558000</v>
      </c>
      <c r="AH11" s="317">
        <v>503900.00000000023</v>
      </c>
      <c r="AI11" s="912">
        <f t="shared" si="15"/>
        <v>3852000</v>
      </c>
      <c r="AJ11" s="912">
        <f t="shared" si="16"/>
        <v>3065029.9999999991</v>
      </c>
      <c r="AK11" s="1406">
        <f t="shared" si="17"/>
        <v>540000</v>
      </c>
      <c r="AL11" s="317">
        <v>492269.99999999901</v>
      </c>
      <c r="AM11" s="912">
        <f t="shared" si="18"/>
        <v>4392000</v>
      </c>
      <c r="AN11" s="912">
        <f t="shared" si="19"/>
        <v>3557299.9999999981</v>
      </c>
      <c r="AO11" s="1406">
        <f t="shared" si="20"/>
        <v>558000</v>
      </c>
      <c r="AP11" s="317">
        <v>502220</v>
      </c>
      <c r="AQ11" s="1482">
        <f t="shared" si="37"/>
        <v>1656000</v>
      </c>
      <c r="AR11" s="1482">
        <f t="shared" si="38"/>
        <v>1498389.9999999993</v>
      </c>
      <c r="AS11" s="912">
        <f t="shared" si="21"/>
        <v>4950000</v>
      </c>
      <c r="AT11" s="912">
        <f t="shared" si="22"/>
        <v>4059519.9999999981</v>
      </c>
      <c r="AU11" s="1406">
        <f t="shared" si="23"/>
        <v>558000</v>
      </c>
      <c r="AV11" s="317">
        <v>503299.99999999977</v>
      </c>
      <c r="AW11" s="912">
        <f t="shared" si="24"/>
        <v>5508000</v>
      </c>
      <c r="AX11" s="912">
        <f t="shared" si="25"/>
        <v>4562819.9999999981</v>
      </c>
      <c r="AY11" s="1406">
        <f t="shared" si="26"/>
        <v>504000</v>
      </c>
      <c r="AZ11" s="317">
        <v>456230.0000000014</v>
      </c>
      <c r="BA11" s="912">
        <f t="shared" si="27"/>
        <v>6012000</v>
      </c>
      <c r="BB11" s="912">
        <f t="shared" si="28"/>
        <v>5019050</v>
      </c>
      <c r="BC11" s="1406">
        <f t="shared" si="29"/>
        <v>558000</v>
      </c>
      <c r="BD11" s="317">
        <v>509829.99999999988</v>
      </c>
      <c r="BE11" s="1482">
        <f t="shared" si="39"/>
        <v>1620000</v>
      </c>
      <c r="BF11" s="1482">
        <f t="shared" si="40"/>
        <v>1469360.0000000009</v>
      </c>
      <c r="BG11" s="913">
        <f t="shared" si="41"/>
        <v>3276000</v>
      </c>
      <c r="BH11" s="913">
        <f t="shared" si="41"/>
        <v>2967750</v>
      </c>
      <c r="BI11" s="912">
        <f t="shared" si="0"/>
        <v>6570000</v>
      </c>
      <c r="BJ11" s="912">
        <f t="shared" si="0"/>
        <v>5528880</v>
      </c>
      <c r="BK11" s="1202"/>
      <c r="BL11" s="528"/>
      <c r="BM11" s="1202"/>
      <c r="BN11" s="5479"/>
      <c r="BO11" s="5479"/>
      <c r="BP11" s="1202"/>
      <c r="BQ11" s="1202"/>
      <c r="BR11" s="26"/>
    </row>
    <row r="12" spans="1:70" ht="15.6" x14ac:dyDescent="0.3">
      <c r="A12" s="2428"/>
      <c r="B12" s="2429"/>
      <c r="C12" s="2430"/>
      <c r="D12" s="2431"/>
      <c r="E12" s="294"/>
      <c r="G12" s="904">
        <v>1.6</v>
      </c>
      <c r="H12" s="886" t="s">
        <v>1642</v>
      </c>
      <c r="I12" s="1406">
        <f t="shared" si="1"/>
        <v>720000</v>
      </c>
      <c r="J12" s="317">
        <v>763362</v>
      </c>
      <c r="K12" s="1406">
        <f t="shared" ref="K12" si="45">+K61*K$3*24*1000</f>
        <v>744000</v>
      </c>
      <c r="L12" s="317">
        <v>813675.69999999972</v>
      </c>
      <c r="M12" s="912">
        <f t="shared" ref="M12" si="46">+I12+K12</f>
        <v>1464000</v>
      </c>
      <c r="N12" s="912">
        <f t="shared" ref="N12" si="47">+J12+L12</f>
        <v>1577037.6999999997</v>
      </c>
      <c r="O12" s="1406">
        <f t="shared" si="4"/>
        <v>720000</v>
      </c>
      <c r="P12" s="317">
        <v>601166.50000000047</v>
      </c>
      <c r="Q12" s="1482">
        <f t="shared" ref="Q12" si="48">+I12+K12+O12</f>
        <v>2184000</v>
      </c>
      <c r="R12" s="353">
        <f t="shared" ref="R12" si="49">+J12+L12+P12</f>
        <v>2178204.2000000002</v>
      </c>
      <c r="S12" s="1406">
        <f t="shared" si="7"/>
        <v>744000</v>
      </c>
      <c r="T12" s="317">
        <v>576188.7999999997</v>
      </c>
      <c r="U12" s="912">
        <f t="shared" ref="U12" si="50">+Q12+S12</f>
        <v>2928000</v>
      </c>
      <c r="V12" s="912">
        <f t="shared" ref="V12" si="51">+R12+T12</f>
        <v>2754393</v>
      </c>
      <c r="W12" s="1406">
        <f t="shared" si="10"/>
        <v>744000</v>
      </c>
      <c r="X12" s="317">
        <v>576934.99999999907</v>
      </c>
      <c r="Y12" s="912">
        <f t="shared" si="11"/>
        <v>3672000</v>
      </c>
      <c r="Z12" s="912">
        <f t="shared" si="12"/>
        <v>3331327.9999999991</v>
      </c>
      <c r="AA12" s="1406">
        <f t="shared" si="13"/>
        <v>720000</v>
      </c>
      <c r="AB12" s="317">
        <v>577231.00000000035</v>
      </c>
      <c r="AC12" s="1482">
        <f t="shared" si="33"/>
        <v>2208000</v>
      </c>
      <c r="AD12" s="1482">
        <f t="shared" si="34"/>
        <v>1730354.7999999993</v>
      </c>
      <c r="AE12" s="913">
        <f t="shared" si="35"/>
        <v>4392000</v>
      </c>
      <c r="AF12" s="913">
        <f t="shared" si="36"/>
        <v>3908558.9999999995</v>
      </c>
      <c r="AG12" s="1406">
        <f t="shared" si="14"/>
        <v>744000</v>
      </c>
      <c r="AH12" s="317">
        <v>544673.99999999942</v>
      </c>
      <c r="AI12" s="912">
        <f t="shared" si="15"/>
        <v>5136000</v>
      </c>
      <c r="AJ12" s="912">
        <f t="shared" si="16"/>
        <v>4453232.9999999991</v>
      </c>
      <c r="AK12" s="1406">
        <f t="shared" si="17"/>
        <v>720000</v>
      </c>
      <c r="AL12" s="317">
        <v>471629</v>
      </c>
      <c r="AM12" s="912">
        <f t="shared" si="18"/>
        <v>5856000</v>
      </c>
      <c r="AN12" s="912">
        <f t="shared" si="19"/>
        <v>4924861.9999999991</v>
      </c>
      <c r="AO12" s="1406">
        <f t="shared" si="20"/>
        <v>744000</v>
      </c>
      <c r="AP12" s="317">
        <v>425846.99999999889</v>
      </c>
      <c r="AQ12" s="1482">
        <f t="shared" si="37"/>
        <v>2208000</v>
      </c>
      <c r="AR12" s="1482">
        <f t="shared" si="38"/>
        <v>1442149.9999999984</v>
      </c>
      <c r="AS12" s="912">
        <f t="shared" si="21"/>
        <v>6600000</v>
      </c>
      <c r="AT12" s="912">
        <f t="shared" si="22"/>
        <v>5350708.9999999981</v>
      </c>
      <c r="AU12" s="1406">
        <f t="shared" si="23"/>
        <v>744000</v>
      </c>
      <c r="AV12" s="317">
        <v>490397.30000000133</v>
      </c>
      <c r="AW12" s="912">
        <f t="shared" si="24"/>
        <v>7344000</v>
      </c>
      <c r="AX12" s="912">
        <f t="shared" si="25"/>
        <v>5841106.2999999998</v>
      </c>
      <c r="AY12" s="1406">
        <f t="shared" si="26"/>
        <v>672000</v>
      </c>
      <c r="AZ12" s="317">
        <v>573591.80000000063</v>
      </c>
      <c r="BA12" s="912">
        <f t="shared" si="27"/>
        <v>8016000</v>
      </c>
      <c r="BB12" s="912">
        <f t="shared" si="28"/>
        <v>6414698.1000000006</v>
      </c>
      <c r="BC12" s="1406">
        <f t="shared" si="29"/>
        <v>744000</v>
      </c>
      <c r="BD12" s="317">
        <v>622947.9999999993</v>
      </c>
      <c r="BE12" s="1482">
        <f t="shared" si="39"/>
        <v>2160000</v>
      </c>
      <c r="BF12" s="1482">
        <f t="shared" si="40"/>
        <v>1686937.1000000013</v>
      </c>
      <c r="BG12" s="913">
        <f t="shared" si="41"/>
        <v>4368000</v>
      </c>
      <c r="BH12" s="913">
        <f t="shared" ref="BH12" si="52">AR12+BF12</f>
        <v>3129087.0999999996</v>
      </c>
      <c r="BI12" s="912">
        <f t="shared" si="0"/>
        <v>8760000</v>
      </c>
      <c r="BJ12" s="912">
        <f t="shared" ref="BJ12:BJ33" si="53">+BB12+BD12</f>
        <v>7037646.0999999996</v>
      </c>
      <c r="BK12" s="1202"/>
      <c r="BL12" s="528"/>
      <c r="BM12" s="1202"/>
      <c r="BN12" s="5479"/>
      <c r="BO12" s="5479"/>
      <c r="BP12" s="1202"/>
      <c r="BQ12" s="1202"/>
      <c r="BR12" s="26"/>
    </row>
    <row r="13" spans="1:70" ht="15.6" x14ac:dyDescent="0.3">
      <c r="A13" s="269">
        <v>7</v>
      </c>
      <c r="B13" s="284" t="s">
        <v>492</v>
      </c>
      <c r="C13" s="16" t="s">
        <v>213</v>
      </c>
      <c r="D13" s="288">
        <v>261981.80799999906</v>
      </c>
      <c r="E13" s="289">
        <v>317978.65699999966</v>
      </c>
      <c r="G13" s="907">
        <v>2</v>
      </c>
      <c r="H13" s="1400" t="s">
        <v>745</v>
      </c>
      <c r="I13" s="1405">
        <f>SUM(I14:I15)</f>
        <v>2160000</v>
      </c>
      <c r="J13" s="318">
        <f>SUM(J14:J15)</f>
        <v>1204138.3357999967</v>
      </c>
      <c r="K13" s="1405">
        <f>SUM(K14:K15)</f>
        <v>2232000</v>
      </c>
      <c r="L13" s="318">
        <f>SUM(L14:L15)</f>
        <v>1306006.854900006</v>
      </c>
      <c r="M13" s="909">
        <f t="shared" si="3"/>
        <v>4392000</v>
      </c>
      <c r="N13" s="909">
        <f t="shared" si="3"/>
        <v>2510145.1907000029</v>
      </c>
      <c r="O13" s="1405">
        <f>SUM(O14:O15)</f>
        <v>2160000</v>
      </c>
      <c r="P13" s="318">
        <f>SUM(P14:P15)</f>
        <v>894713.84900014149</v>
      </c>
      <c r="Q13" s="1481">
        <f t="shared" si="5"/>
        <v>6552000</v>
      </c>
      <c r="R13" s="355">
        <f t="shared" si="6"/>
        <v>3404859.0397001444</v>
      </c>
      <c r="S13" s="1405">
        <f>SUM(S14:S15)</f>
        <v>2232000</v>
      </c>
      <c r="T13" s="318">
        <f>SUM(T14:T15)</f>
        <v>1088152.0349998996</v>
      </c>
      <c r="U13" s="909">
        <f t="shared" si="8"/>
        <v>8784000</v>
      </c>
      <c r="V13" s="909">
        <f t="shared" si="9"/>
        <v>4493011.0747000445</v>
      </c>
      <c r="W13" s="1405">
        <f>SUM(W14:W15)</f>
        <v>2232000</v>
      </c>
      <c r="X13" s="318">
        <f>SUM(X14:X15)</f>
        <v>1092419.1020000172</v>
      </c>
      <c r="Y13" s="909">
        <f t="shared" si="11"/>
        <v>11016000</v>
      </c>
      <c r="Z13" s="909">
        <f t="shared" si="12"/>
        <v>5585430.1767000612</v>
      </c>
      <c r="AA13" s="1405">
        <f>SUM(AA14:AA15)</f>
        <v>2160000</v>
      </c>
      <c r="AB13" s="318">
        <f>SUM(AB14:AB15)</f>
        <v>1012213.6640000013</v>
      </c>
      <c r="AC13" s="1481">
        <f>S13+W13+AA13</f>
        <v>6624000</v>
      </c>
      <c r="AD13" s="1481">
        <f>T13+X13+AB13</f>
        <v>3192784.800999918</v>
      </c>
      <c r="AE13" s="910">
        <f>Q13+AC13</f>
        <v>13176000</v>
      </c>
      <c r="AF13" s="910">
        <f>R13+AD13</f>
        <v>6597643.840700062</v>
      </c>
      <c r="AG13" s="1405">
        <f>SUM(AG14:AG15)</f>
        <v>2232000</v>
      </c>
      <c r="AH13" s="318">
        <f>SUM(AH14:AH15)</f>
        <v>1336921.4069999279</v>
      </c>
      <c r="AI13" s="909">
        <f t="shared" si="15"/>
        <v>15408000</v>
      </c>
      <c r="AJ13" s="909">
        <f t="shared" si="16"/>
        <v>7934565.2476999899</v>
      </c>
      <c r="AK13" s="1405">
        <f>SUM(AK14:AK15)</f>
        <v>2160000</v>
      </c>
      <c r="AL13" s="318">
        <f>SUM(AL14:AL15)</f>
        <v>997227.28899979964</v>
      </c>
      <c r="AM13" s="909">
        <f t="shared" si="18"/>
        <v>17568000</v>
      </c>
      <c r="AN13" s="909">
        <f t="shared" si="19"/>
        <v>8931792.5366997905</v>
      </c>
      <c r="AO13" s="1405">
        <f>SUM(AO14:AO15)</f>
        <v>2232000</v>
      </c>
      <c r="AP13" s="318">
        <f>SUM(AP14:AP15)</f>
        <v>1238806.680000185</v>
      </c>
      <c r="AQ13" s="1481">
        <f>AG13+AK13+AO13</f>
        <v>6624000</v>
      </c>
      <c r="AR13" s="1481">
        <f>AH13+AL13+AP13</f>
        <v>3572955.3759999126</v>
      </c>
      <c r="AS13" s="909">
        <f t="shared" si="21"/>
        <v>19800000</v>
      </c>
      <c r="AT13" s="909">
        <f t="shared" si="22"/>
        <v>10170599.216699976</v>
      </c>
      <c r="AU13" s="1405">
        <f>SUM(AU14:AU15)</f>
        <v>2232000</v>
      </c>
      <c r="AV13" s="318">
        <f>SUM(AV14:AV15)</f>
        <v>1279545.3970000362</v>
      </c>
      <c r="AW13" s="909">
        <f t="shared" si="24"/>
        <v>22032000</v>
      </c>
      <c r="AX13" s="909">
        <f t="shared" si="25"/>
        <v>11450144.613700014</v>
      </c>
      <c r="AY13" s="1405">
        <f>SUM(AY14:AY15)</f>
        <v>2015999.9999999998</v>
      </c>
      <c r="AZ13" s="318">
        <f>SUM(AZ14:AZ15)</f>
        <v>864873.96499997843</v>
      </c>
      <c r="BA13" s="909">
        <f t="shared" si="27"/>
        <v>24048000</v>
      </c>
      <c r="BB13" s="909">
        <f t="shared" si="28"/>
        <v>12315018.578699991</v>
      </c>
      <c r="BC13" s="1405">
        <f>SUM(BC14:BC15)</f>
        <v>2232000</v>
      </c>
      <c r="BD13" s="318">
        <f>SUM(BD14:BD15)</f>
        <v>1452622.6810000818</v>
      </c>
      <c r="BE13" s="1482">
        <f t="shared" si="39"/>
        <v>6480000</v>
      </c>
      <c r="BF13" s="1481">
        <f>AV13+AZ13+BD13</f>
        <v>3597042.0430000965</v>
      </c>
      <c r="BG13" s="910">
        <f>AQ13+BE13</f>
        <v>13104000</v>
      </c>
      <c r="BH13" s="910">
        <f>AR13+BF13</f>
        <v>7169997.4190000091</v>
      </c>
      <c r="BI13" s="909">
        <f t="shared" ref="BI13:BI33" si="54">+BA13+BC13</f>
        <v>26280000</v>
      </c>
      <c r="BJ13" s="909">
        <f t="shared" si="53"/>
        <v>13767641.259700073</v>
      </c>
      <c r="BK13" s="1202"/>
      <c r="BL13" s="528"/>
      <c r="BM13" s="1202"/>
      <c r="BN13" s="5479"/>
      <c r="BO13" s="5479"/>
      <c r="BP13" s="1202"/>
      <c r="BQ13" s="1202"/>
      <c r="BR13" s="26"/>
    </row>
    <row r="14" spans="1:70" ht="15" thickBot="1" x14ac:dyDescent="0.35">
      <c r="A14" s="269">
        <v>8</v>
      </c>
      <c r="B14" s="295" t="s">
        <v>493</v>
      </c>
      <c r="C14" s="14" t="s">
        <v>213</v>
      </c>
      <c r="D14" s="288">
        <v>1020193.9999999553</v>
      </c>
      <c r="E14" s="289">
        <v>1775455.3000000119</v>
      </c>
      <c r="G14" s="904">
        <v>2.1</v>
      </c>
      <c r="H14" s="886" t="s">
        <v>492</v>
      </c>
      <c r="I14" s="1406">
        <f>+I63*I$3*24*1000</f>
        <v>288000</v>
      </c>
      <c r="J14" s="317">
        <v>287215.91779999901</v>
      </c>
      <c r="K14" s="1406">
        <f>+K63*K$3*24*1000</f>
        <v>297600</v>
      </c>
      <c r="L14" s="317">
        <v>225405.70490000001</v>
      </c>
      <c r="M14" s="912">
        <f t="shared" si="3"/>
        <v>585600</v>
      </c>
      <c r="N14" s="912">
        <f t="shared" si="3"/>
        <v>512621.62269999902</v>
      </c>
      <c r="O14" s="1406">
        <f>+O63*O$3*24*1000</f>
        <v>288000</v>
      </c>
      <c r="P14" s="317">
        <v>321440.58900000202</v>
      </c>
      <c r="Q14" s="1482">
        <f t="shared" si="5"/>
        <v>873600</v>
      </c>
      <c r="R14" s="354">
        <f t="shared" si="6"/>
        <v>834062.21170000103</v>
      </c>
      <c r="S14" s="1406">
        <f>+S63*S$3*24*1000</f>
        <v>297600</v>
      </c>
      <c r="T14" s="317">
        <v>287445.36700000614</v>
      </c>
      <c r="U14" s="912">
        <f t="shared" si="8"/>
        <v>1171200</v>
      </c>
      <c r="V14" s="912">
        <f t="shared" si="9"/>
        <v>1121507.5787000072</v>
      </c>
      <c r="W14" s="1406">
        <f>+W63*W$3*24*1000</f>
        <v>297600</v>
      </c>
      <c r="X14" s="317">
        <v>378572.24199998798</v>
      </c>
      <c r="Y14" s="912">
        <f t="shared" si="11"/>
        <v>1468800</v>
      </c>
      <c r="Z14" s="912">
        <f t="shared" si="12"/>
        <v>1500079.8206999952</v>
      </c>
      <c r="AA14" s="1406">
        <f>+AA63*AA$3*24*1000</f>
        <v>288000</v>
      </c>
      <c r="AB14" s="317">
        <v>353067.78400000598</v>
      </c>
      <c r="AC14" s="1483">
        <f t="shared" ref="AC14:AC15" si="55">S14+W14+AA14</f>
        <v>883200</v>
      </c>
      <c r="AD14" s="1483">
        <f t="shared" ref="AD14:AD15" si="56">T14+X14+AB14</f>
        <v>1019085.3930000002</v>
      </c>
      <c r="AE14" s="913">
        <f t="shared" ref="AE14:AE33" si="57">Q14+AC14</f>
        <v>1756800</v>
      </c>
      <c r="AF14" s="913">
        <f t="shared" ref="AF14:AF33" si="58">R14+AD14</f>
        <v>1853147.6047000012</v>
      </c>
      <c r="AG14" s="1406">
        <f>+AG63*AG$3*24*1000</f>
        <v>297600</v>
      </c>
      <c r="AH14" s="317">
        <v>318775.90700000245</v>
      </c>
      <c r="AI14" s="912">
        <f t="shared" si="15"/>
        <v>2054400</v>
      </c>
      <c r="AJ14" s="912">
        <f t="shared" si="16"/>
        <v>2171923.5117000034</v>
      </c>
      <c r="AK14" s="1406">
        <f>+AK63*AK$3*24*1000</f>
        <v>288000</v>
      </c>
      <c r="AL14" s="317">
        <v>166716.68899999931</v>
      </c>
      <c r="AM14" s="912">
        <f t="shared" si="18"/>
        <v>2342400</v>
      </c>
      <c r="AN14" s="912">
        <f t="shared" si="19"/>
        <v>2338640.2007000027</v>
      </c>
      <c r="AO14" s="1406">
        <f>+AO63*AO$3*24*1000</f>
        <v>297600</v>
      </c>
      <c r="AP14" s="317">
        <v>271408.07999999728</v>
      </c>
      <c r="AQ14" s="1483">
        <f t="shared" ref="AQ14:AQ33" si="59">AG14+AK14+AO14</f>
        <v>883200</v>
      </c>
      <c r="AR14" s="1483">
        <f t="shared" ref="AR14:AR33" si="60">AH14+AL14+AP14</f>
        <v>756900.67599999905</v>
      </c>
      <c r="AS14" s="912">
        <f t="shared" si="21"/>
        <v>2640000</v>
      </c>
      <c r="AT14" s="912">
        <f t="shared" si="22"/>
        <v>2610048.2807</v>
      </c>
      <c r="AU14" s="1406">
        <f>+AU63*AU$3*24*1000</f>
        <v>297600</v>
      </c>
      <c r="AV14" s="317">
        <v>325915.68699999806</v>
      </c>
      <c r="AW14" s="912">
        <f t="shared" si="24"/>
        <v>2937600</v>
      </c>
      <c r="AX14" s="912">
        <f t="shared" si="25"/>
        <v>2935963.9676999981</v>
      </c>
      <c r="AY14" s="1406">
        <f>+AY63*AY$3*24*1000</f>
        <v>268800</v>
      </c>
      <c r="AZ14" s="317">
        <v>325911.96499999333</v>
      </c>
      <c r="BA14" s="912">
        <f t="shared" si="27"/>
        <v>3206400</v>
      </c>
      <c r="BB14" s="912">
        <f t="shared" si="28"/>
        <v>3261875.9326999914</v>
      </c>
      <c r="BC14" s="1406">
        <f>+BC63*BC$3*24*1000</f>
        <v>297600</v>
      </c>
      <c r="BD14" s="317">
        <v>385358.1310000103</v>
      </c>
      <c r="BE14" s="1483">
        <f t="shared" ref="BE14:BE33" si="61">AU14+AY14+BC14</f>
        <v>864000</v>
      </c>
      <c r="BF14" s="1483">
        <f t="shared" ref="BF14:BF33" si="62">AV14+AZ14+BD14</f>
        <v>1037185.7830000017</v>
      </c>
      <c r="BG14" s="913">
        <f t="shared" ref="BG14:BH15" si="63">AQ14+BE14</f>
        <v>1747200</v>
      </c>
      <c r="BH14" s="913">
        <f t="shared" si="63"/>
        <v>1794086.4590000007</v>
      </c>
      <c r="BI14" s="912">
        <f t="shared" si="54"/>
        <v>3504000</v>
      </c>
      <c r="BJ14" s="912">
        <f t="shared" si="53"/>
        <v>3647234.0637000017</v>
      </c>
      <c r="BK14" s="1202"/>
      <c r="BL14" s="528"/>
      <c r="BM14" s="1202"/>
      <c r="BN14" s="5479"/>
      <c r="BO14" s="5479"/>
      <c r="BP14" s="1202"/>
      <c r="BQ14" s="1202"/>
      <c r="BR14" s="26"/>
    </row>
    <row r="15" spans="1:70" ht="16.2" thickBot="1" x14ac:dyDescent="0.35">
      <c r="A15" s="269">
        <v>9</v>
      </c>
      <c r="B15" s="292" t="s">
        <v>494</v>
      </c>
      <c r="C15" s="15" t="s">
        <v>213</v>
      </c>
      <c r="D15" s="293">
        <f>SUM(D13:D14)</f>
        <v>1282175.8079999543</v>
      </c>
      <c r="E15" s="294">
        <f>SUM(E13:E14)</f>
        <v>2093433.9570000116</v>
      </c>
      <c r="G15" s="904">
        <v>2.2000000000000002</v>
      </c>
      <c r="H15" s="886" t="s">
        <v>493</v>
      </c>
      <c r="I15" s="1406">
        <f>+I64*I$3*24*1000</f>
        <v>1872000</v>
      </c>
      <c r="J15" s="317">
        <v>916922.41799999774</v>
      </c>
      <c r="K15" s="1406">
        <f>+K64*K$3*24*1000</f>
        <v>1934400</v>
      </c>
      <c r="L15" s="317">
        <v>1080601.150000006</v>
      </c>
      <c r="M15" s="912">
        <f t="shared" si="3"/>
        <v>3806400</v>
      </c>
      <c r="N15" s="912">
        <f t="shared" si="3"/>
        <v>1997523.5680000037</v>
      </c>
      <c r="O15" s="1406">
        <f>+O64*O$3*24*1000</f>
        <v>1872000</v>
      </c>
      <c r="P15" s="317">
        <v>573273.26000013947</v>
      </c>
      <c r="Q15" s="1482">
        <f t="shared" ref="Q15" si="64">+I15+K15+O15</f>
        <v>5678400</v>
      </c>
      <c r="R15" s="354">
        <f t="shared" ref="R15" si="65">+J15+L15+P15</f>
        <v>2570796.8280001432</v>
      </c>
      <c r="S15" s="1406">
        <f>+S64*S$3*24*1000</f>
        <v>1934400</v>
      </c>
      <c r="T15" s="317">
        <v>800706.66799989343</v>
      </c>
      <c r="U15" s="912">
        <f t="shared" si="8"/>
        <v>7612800</v>
      </c>
      <c r="V15" s="912">
        <f t="shared" si="9"/>
        <v>3371503.4960000366</v>
      </c>
      <c r="W15" s="1406">
        <f>+W64*W$3*24*1000</f>
        <v>1934400</v>
      </c>
      <c r="X15" s="317">
        <v>713846.86000002921</v>
      </c>
      <c r="Y15" s="912">
        <f t="shared" si="11"/>
        <v>9547200</v>
      </c>
      <c r="Z15" s="912">
        <f t="shared" si="12"/>
        <v>4085350.3560000658</v>
      </c>
      <c r="AA15" s="1406">
        <f>+AA64*AA$3*24*1000</f>
        <v>1872000</v>
      </c>
      <c r="AB15" s="317">
        <v>659145.87999999523</v>
      </c>
      <c r="AC15" s="1483">
        <f t="shared" si="55"/>
        <v>5740800</v>
      </c>
      <c r="AD15" s="1483">
        <f t="shared" si="56"/>
        <v>2173699.4079999179</v>
      </c>
      <c r="AE15" s="913">
        <f t="shared" si="57"/>
        <v>11419200</v>
      </c>
      <c r="AF15" s="913">
        <f t="shared" si="58"/>
        <v>4744496.236000061</v>
      </c>
      <c r="AG15" s="1406">
        <f>+AG64*AG$3*24*1000</f>
        <v>1934400</v>
      </c>
      <c r="AH15" s="317">
        <v>1018145.4999999255</v>
      </c>
      <c r="AI15" s="912">
        <f t="shared" si="15"/>
        <v>13353600</v>
      </c>
      <c r="AJ15" s="912">
        <f t="shared" si="16"/>
        <v>5762641.7359999865</v>
      </c>
      <c r="AK15" s="1406">
        <f>+AK64*AK$3*24*1000</f>
        <v>1872000</v>
      </c>
      <c r="AL15" s="317">
        <v>830510.59999980032</v>
      </c>
      <c r="AM15" s="912">
        <f t="shared" si="18"/>
        <v>15225600</v>
      </c>
      <c r="AN15" s="912">
        <f t="shared" si="19"/>
        <v>6593152.3359997869</v>
      </c>
      <c r="AO15" s="1406">
        <f>+AO64*AO$3*24*1000</f>
        <v>1934400</v>
      </c>
      <c r="AP15" s="317">
        <v>967398.60000018775</v>
      </c>
      <c r="AQ15" s="1483">
        <f t="shared" si="59"/>
        <v>5740800</v>
      </c>
      <c r="AR15" s="1483">
        <f t="shared" si="60"/>
        <v>2816054.6999999136</v>
      </c>
      <c r="AS15" s="912">
        <f t="shared" si="21"/>
        <v>17160000</v>
      </c>
      <c r="AT15" s="912">
        <f t="shared" si="22"/>
        <v>7560550.9359999746</v>
      </c>
      <c r="AU15" s="1406">
        <f>+AU64*AU$3*24*1000</f>
        <v>1934400</v>
      </c>
      <c r="AV15" s="317">
        <v>953629.71000003815</v>
      </c>
      <c r="AW15" s="912">
        <f t="shared" si="24"/>
        <v>19094400</v>
      </c>
      <c r="AX15" s="912">
        <f t="shared" si="25"/>
        <v>8514180.6460000128</v>
      </c>
      <c r="AY15" s="1406">
        <f>+AY64*AY$3*24*1000</f>
        <v>1747199.9999999998</v>
      </c>
      <c r="AZ15" s="317">
        <v>538961.9999999851</v>
      </c>
      <c r="BA15" s="912">
        <f t="shared" si="27"/>
        <v>20841600</v>
      </c>
      <c r="BB15" s="912">
        <f t="shared" si="28"/>
        <v>9053142.6459999979</v>
      </c>
      <c r="BC15" s="1406">
        <f>+BC64*BC$3*24*1000</f>
        <v>1934400</v>
      </c>
      <c r="BD15" s="317">
        <v>1067264.5500000715</v>
      </c>
      <c r="BE15" s="1483">
        <f t="shared" si="61"/>
        <v>5616000</v>
      </c>
      <c r="BF15" s="1483">
        <f t="shared" si="62"/>
        <v>2559856.2600000948</v>
      </c>
      <c r="BG15" s="913">
        <f t="shared" si="63"/>
        <v>11356800</v>
      </c>
      <c r="BH15" s="913">
        <f t="shared" si="63"/>
        <v>5375910.9600000083</v>
      </c>
      <c r="BI15" s="912">
        <f t="shared" si="54"/>
        <v>22776000</v>
      </c>
      <c r="BJ15" s="912">
        <f t="shared" si="53"/>
        <v>10120407.196000069</v>
      </c>
      <c r="BK15" s="1202"/>
      <c r="BL15" s="528"/>
      <c r="BM15" s="1202"/>
      <c r="BN15" s="5479"/>
      <c r="BO15" s="5479"/>
      <c r="BP15" s="1202"/>
      <c r="BQ15" s="1202"/>
      <c r="BR15" s="26"/>
    </row>
    <row r="16" spans="1:70" ht="16.2" thickBot="1" x14ac:dyDescent="0.35">
      <c r="A16" s="269">
        <v>10</v>
      </c>
      <c r="B16" s="296" t="s">
        <v>125</v>
      </c>
      <c r="C16" s="15" t="s">
        <v>213</v>
      </c>
      <c r="D16" s="297">
        <f>+D11-D15</f>
        <v>88061714.192000017</v>
      </c>
      <c r="E16" s="298">
        <f>+E11-E15</f>
        <v>93510526.042999983</v>
      </c>
      <c r="G16" s="907">
        <v>3</v>
      </c>
      <c r="H16" s="1400" t="s">
        <v>746</v>
      </c>
      <c r="I16" s="1405">
        <f>I6-I13</f>
        <v>115332740.92272873</v>
      </c>
      <c r="J16" s="358">
        <f>J6-J13</f>
        <v>104724129.03219993</v>
      </c>
      <c r="K16" s="1405">
        <f>K6-K13</f>
        <v>119222935.41389656</v>
      </c>
      <c r="L16" s="358">
        <f>L6-L13</f>
        <v>113656065.8451</v>
      </c>
      <c r="M16" s="909">
        <f t="shared" si="3"/>
        <v>234555676.33662528</v>
      </c>
      <c r="N16" s="909">
        <f t="shared" si="3"/>
        <v>218380194.87729993</v>
      </c>
      <c r="O16" s="1405">
        <f>O6-O13</f>
        <v>115327319.29746184</v>
      </c>
      <c r="P16" s="358">
        <f>P6-P13</f>
        <v>113055706.65099986</v>
      </c>
      <c r="Q16" s="1481">
        <f t="shared" si="5"/>
        <v>349882995.63408709</v>
      </c>
      <c r="R16" s="355">
        <f t="shared" si="6"/>
        <v>331435901.52829981</v>
      </c>
      <c r="S16" s="1405">
        <f>S6-S13</f>
        <v>118291307.19417045</v>
      </c>
      <c r="T16" s="358">
        <f>T6-T13</f>
        <v>117728953.77300009</v>
      </c>
      <c r="U16" s="909">
        <f t="shared" si="8"/>
        <v>468174302.82825756</v>
      </c>
      <c r="V16" s="909">
        <f t="shared" si="9"/>
        <v>449164855.30129993</v>
      </c>
      <c r="W16" s="1405">
        <f>W6-W13</f>
        <v>118291307.19417045</v>
      </c>
      <c r="X16" s="358">
        <f>X6-X13</f>
        <v>114722401.89799988</v>
      </c>
      <c r="Y16" s="909">
        <f t="shared" si="11"/>
        <v>586465610.02242804</v>
      </c>
      <c r="Z16" s="909">
        <f t="shared" si="12"/>
        <v>563887257.19929981</v>
      </c>
      <c r="AA16" s="1405">
        <f>AA6-AA13</f>
        <v>81148631.099244505</v>
      </c>
      <c r="AB16" s="358">
        <f>AB6-AB13</f>
        <v>112312910.336</v>
      </c>
      <c r="AC16" s="1481">
        <f t="shared" ref="AC16:AD18" si="66">S16+W16+AA16</f>
        <v>317731245.48758543</v>
      </c>
      <c r="AD16" s="1481">
        <f t="shared" si="66"/>
        <v>344764266.00699997</v>
      </c>
      <c r="AE16" s="910">
        <f t="shared" si="57"/>
        <v>667614241.12167251</v>
      </c>
      <c r="AF16" s="910">
        <f t="shared" si="58"/>
        <v>676200167.53529978</v>
      </c>
      <c r="AG16" s="1405">
        <f>AG6-AG13</f>
        <v>119005124.22770301</v>
      </c>
      <c r="AH16" s="358">
        <f>AH6-AH13</f>
        <v>102212565.06300007</v>
      </c>
      <c r="AI16" s="909">
        <f t="shared" si="15"/>
        <v>786619365.34937549</v>
      </c>
      <c r="AJ16" s="909">
        <f t="shared" si="16"/>
        <v>778412732.59829986</v>
      </c>
      <c r="AK16" s="1405">
        <f>AK6-AK13</f>
        <v>115669577.65108055</v>
      </c>
      <c r="AL16" s="358">
        <f>AL6-AL13</f>
        <v>110420571.7110002</v>
      </c>
      <c r="AM16" s="909">
        <f t="shared" si="18"/>
        <v>902288943.00045609</v>
      </c>
      <c r="AN16" s="909">
        <f t="shared" si="19"/>
        <v>888833304.30930007</v>
      </c>
      <c r="AO16" s="1405">
        <f>AO6-AO13</f>
        <v>119514433.12751524</v>
      </c>
      <c r="AP16" s="358">
        <f>AP6-AP13</f>
        <v>111898860.31999981</v>
      </c>
      <c r="AQ16" s="1481">
        <f t="shared" si="59"/>
        <v>354189135.00629878</v>
      </c>
      <c r="AR16" s="1481">
        <f t="shared" si="60"/>
        <v>324531997.0940001</v>
      </c>
      <c r="AS16" s="909">
        <f t="shared" si="21"/>
        <v>1021803376.1279713</v>
      </c>
      <c r="AT16" s="909">
        <f t="shared" si="22"/>
        <v>1000732164.6292999</v>
      </c>
      <c r="AU16" s="1405">
        <f>AU6-AU13</f>
        <v>120225691.60293768</v>
      </c>
      <c r="AV16" s="358">
        <f>AV6-AV13</f>
        <v>112698532.85300004</v>
      </c>
      <c r="AW16" s="909">
        <f t="shared" si="24"/>
        <v>1142029067.7309089</v>
      </c>
      <c r="AX16" s="909">
        <f t="shared" si="25"/>
        <v>1113430697.4822998</v>
      </c>
      <c r="AY16" s="1405">
        <f>AY6-AY13</f>
        <v>108153158.02639693</v>
      </c>
      <c r="AZ16" s="358">
        <f>AZ6-AZ13</f>
        <v>100008595.37500001</v>
      </c>
      <c r="BA16" s="909">
        <f t="shared" si="27"/>
        <v>1250182225.7573059</v>
      </c>
      <c r="BB16" s="909">
        <f t="shared" si="28"/>
        <v>1213439292.8572998</v>
      </c>
      <c r="BC16" s="1405">
        <f>BC6-BC13</f>
        <v>120351410.07221156</v>
      </c>
      <c r="BD16" s="358">
        <f>BD6-BD13</f>
        <v>113875919.71900004</v>
      </c>
      <c r="BE16" s="1481">
        <f t="shared" si="61"/>
        <v>348730259.70154619</v>
      </c>
      <c r="BF16" s="1481">
        <f t="shared" si="62"/>
        <v>326583047.94700009</v>
      </c>
      <c r="BG16" s="910">
        <f t="shared" ref="BG16:BH17" si="67">AQ16+BE16</f>
        <v>702919394.70784497</v>
      </c>
      <c r="BH16" s="910">
        <f t="shared" si="67"/>
        <v>651115045.04100013</v>
      </c>
      <c r="BI16" s="909">
        <f t="shared" si="54"/>
        <v>1370533635.8295174</v>
      </c>
      <c r="BJ16" s="909">
        <f t="shared" si="53"/>
        <v>1327315212.5762999</v>
      </c>
      <c r="BK16" s="1202"/>
      <c r="BL16" s="528"/>
      <c r="BM16" s="1202"/>
      <c r="BN16" s="5479"/>
      <c r="BO16" s="5479"/>
      <c r="BP16" s="1202"/>
      <c r="BQ16" s="1202"/>
      <c r="BR16" s="26"/>
    </row>
    <row r="17" spans="1:70" ht="15.6" x14ac:dyDescent="0.3">
      <c r="A17" s="269">
        <v>11</v>
      </c>
      <c r="B17" s="287" t="s">
        <v>729</v>
      </c>
      <c r="C17" s="13" t="s">
        <v>213</v>
      </c>
      <c r="D17" s="288">
        <v>1093290</v>
      </c>
      <c r="E17" s="289">
        <v>1171532.8</v>
      </c>
      <c r="G17" s="907">
        <v>4</v>
      </c>
      <c r="H17" s="1400" t="s">
        <v>747</v>
      </c>
      <c r="I17" s="1405">
        <f>I18+I40</f>
        <v>115332740.92272873</v>
      </c>
      <c r="J17" s="358">
        <f>J18+J40</f>
        <v>104724129.03219995</v>
      </c>
      <c r="K17" s="1405">
        <f>K18+K40</f>
        <v>119222935.41389655</v>
      </c>
      <c r="L17" s="358">
        <f>L18+L40</f>
        <v>113656065.84509999</v>
      </c>
      <c r="M17" s="909">
        <f t="shared" si="3"/>
        <v>234555676.33662528</v>
      </c>
      <c r="N17" s="909">
        <f t="shared" si="3"/>
        <v>218380194.87729993</v>
      </c>
      <c r="O17" s="1405">
        <f>O18+O40</f>
        <v>115327319.29746182</v>
      </c>
      <c r="P17" s="358">
        <f>P18+P40</f>
        <v>113055705.65099986</v>
      </c>
      <c r="Q17" s="1481">
        <f t="shared" si="5"/>
        <v>349882995.63408709</v>
      </c>
      <c r="R17" s="355">
        <f t="shared" si="6"/>
        <v>331435900.52829981</v>
      </c>
      <c r="S17" s="1405">
        <f>S18+S40</f>
        <v>118291307.19417048</v>
      </c>
      <c r="T17" s="358">
        <f>T18+T40</f>
        <v>117728953.77300008</v>
      </c>
      <c r="U17" s="909">
        <f t="shared" si="8"/>
        <v>468174302.82825756</v>
      </c>
      <c r="V17" s="909">
        <f t="shared" si="9"/>
        <v>449164854.30129987</v>
      </c>
      <c r="W17" s="1405">
        <f>W18+W40</f>
        <v>118291307.19417048</v>
      </c>
      <c r="X17" s="358">
        <f>X18+X40</f>
        <v>114722401.89799993</v>
      </c>
      <c r="Y17" s="909">
        <f t="shared" si="11"/>
        <v>586465610.02242804</v>
      </c>
      <c r="Z17" s="909">
        <f t="shared" si="12"/>
        <v>563887256.19929981</v>
      </c>
      <c r="AA17" s="1405">
        <f>AA18+AA40</f>
        <v>81148631.099244505</v>
      </c>
      <c r="AB17" s="358">
        <f>AB18+AB40</f>
        <v>112312910.33599998</v>
      </c>
      <c r="AC17" s="1481">
        <f t="shared" si="66"/>
        <v>317731245.48758543</v>
      </c>
      <c r="AD17" s="1481">
        <f t="shared" si="66"/>
        <v>344764266.00699997</v>
      </c>
      <c r="AE17" s="910">
        <f t="shared" si="57"/>
        <v>667614241.12167251</v>
      </c>
      <c r="AF17" s="910">
        <f t="shared" si="58"/>
        <v>676200166.53529978</v>
      </c>
      <c r="AG17" s="1405">
        <f>AG18+AG40</f>
        <v>119005124.22770299</v>
      </c>
      <c r="AH17" s="358">
        <f>AH18+AH40</f>
        <v>102212565.06300005</v>
      </c>
      <c r="AI17" s="909">
        <f t="shared" si="15"/>
        <v>786619365.34937549</v>
      </c>
      <c r="AJ17" s="909">
        <f t="shared" si="16"/>
        <v>778412731.59829986</v>
      </c>
      <c r="AK17" s="1405">
        <f>AK18+AK40</f>
        <v>115669577.65108055</v>
      </c>
      <c r="AL17" s="358">
        <f>AL18+AL40</f>
        <v>110420571.71100014</v>
      </c>
      <c r="AM17" s="909">
        <f t="shared" si="18"/>
        <v>902288943.00045609</v>
      </c>
      <c r="AN17" s="909">
        <f t="shared" si="19"/>
        <v>888833303.30929995</v>
      </c>
      <c r="AO17" s="1405">
        <f>AO18+AO40</f>
        <v>119514433.12751526</v>
      </c>
      <c r="AP17" s="358">
        <f>AP18+AP40</f>
        <v>111898860.31999983</v>
      </c>
      <c r="AQ17" s="1481">
        <f t="shared" si="59"/>
        <v>354189135.00629878</v>
      </c>
      <c r="AR17" s="1481">
        <f t="shared" si="60"/>
        <v>324531997.09400004</v>
      </c>
      <c r="AS17" s="909">
        <f t="shared" si="21"/>
        <v>1021803376.1279714</v>
      </c>
      <c r="AT17" s="909">
        <f t="shared" si="22"/>
        <v>1000732163.6292998</v>
      </c>
      <c r="AU17" s="1405">
        <f>AU18+AU40</f>
        <v>120225691.60293768</v>
      </c>
      <c r="AV17" s="358">
        <f>AV18+AV40</f>
        <v>112698532.85300003</v>
      </c>
      <c r="AW17" s="909">
        <f t="shared" si="24"/>
        <v>1142029067.7309091</v>
      </c>
      <c r="AX17" s="909">
        <f t="shared" si="25"/>
        <v>1113430696.4822998</v>
      </c>
      <c r="AY17" s="1405">
        <f>AY18+AY40</f>
        <v>108153158.02639693</v>
      </c>
      <c r="AZ17" s="358">
        <f>AZ18+AZ40</f>
        <v>100008595.37500001</v>
      </c>
      <c r="BA17" s="909">
        <f t="shared" si="27"/>
        <v>1250182225.7573061</v>
      </c>
      <c r="BB17" s="909">
        <f t="shared" si="28"/>
        <v>1213439291.8572998</v>
      </c>
      <c r="BC17" s="1405">
        <f>BC18+BC40</f>
        <v>120351410.07221158</v>
      </c>
      <c r="BD17" s="358">
        <f>BD18+BD40</f>
        <v>113875919.719</v>
      </c>
      <c r="BE17" s="1481">
        <f t="shared" si="61"/>
        <v>348730259.70154619</v>
      </c>
      <c r="BF17" s="1481">
        <f t="shared" si="62"/>
        <v>326583047.94700003</v>
      </c>
      <c r="BG17" s="910">
        <f t="shared" si="67"/>
        <v>702919394.70784497</v>
      </c>
      <c r="BH17" s="910">
        <f t="shared" si="67"/>
        <v>651115045.04100013</v>
      </c>
      <c r="BI17" s="909">
        <f t="shared" si="54"/>
        <v>1370533635.8295176</v>
      </c>
      <c r="BJ17" s="909">
        <f t="shared" si="53"/>
        <v>1327315211.5762999</v>
      </c>
      <c r="BK17" s="1202"/>
      <c r="BL17" s="528"/>
      <c r="BM17" s="1202"/>
      <c r="BN17" s="5479"/>
      <c r="BO17" s="5479"/>
      <c r="BP17" s="1202"/>
      <c r="BQ17" s="1202"/>
      <c r="BR17" s="26"/>
    </row>
    <row r="18" spans="1:70" ht="15.6" x14ac:dyDescent="0.3">
      <c r="A18" s="269">
        <v>12</v>
      </c>
      <c r="B18" s="287" t="s">
        <v>721</v>
      </c>
      <c r="C18" s="13" t="s">
        <v>213</v>
      </c>
      <c r="D18" s="288">
        <v>5090630.0000000047</v>
      </c>
      <c r="E18" s="289">
        <v>4892460.0000000009</v>
      </c>
      <c r="G18" s="914">
        <v>4.0999999999999996</v>
      </c>
      <c r="H18" s="1401" t="s">
        <v>741</v>
      </c>
      <c r="I18" s="1408">
        <f>I19+I35</f>
        <v>105738740.92272873</v>
      </c>
      <c r="J18" s="319">
        <f>J19+J35</f>
        <v>95947870.963533282</v>
      </c>
      <c r="K18" s="1408">
        <f>K19+K35</f>
        <v>109309135.41389655</v>
      </c>
      <c r="L18" s="319">
        <f>L19+L35</f>
        <v>104010835.19743332</v>
      </c>
      <c r="M18" s="179">
        <f t="shared" si="3"/>
        <v>215047876.33662528</v>
      </c>
      <c r="N18" s="179">
        <f t="shared" si="3"/>
        <v>199958706.1609666</v>
      </c>
      <c r="O18" s="1408">
        <f>O19+O35</f>
        <v>105733319.29746182</v>
      </c>
      <c r="P18" s="319">
        <f>P19+P35</f>
        <v>103286034.35333319</v>
      </c>
      <c r="Q18" s="1484">
        <f t="shared" si="5"/>
        <v>320781195.63408709</v>
      </c>
      <c r="R18" s="1485">
        <f t="shared" si="6"/>
        <v>303244740.51429981</v>
      </c>
      <c r="S18" s="1408">
        <f>S19+S35</f>
        <v>108377507.19417048</v>
      </c>
      <c r="T18" s="319">
        <f>T19+T35</f>
        <v>107683835.92866676</v>
      </c>
      <c r="U18" s="1566">
        <f t="shared" si="8"/>
        <v>429158702.82825756</v>
      </c>
      <c r="V18" s="1566">
        <f t="shared" si="9"/>
        <v>410928576.44296658</v>
      </c>
      <c r="W18" s="1408">
        <f>W19+W35</f>
        <v>108377507.19417048</v>
      </c>
      <c r="X18" s="319">
        <f>X19+X35</f>
        <v>104855082.12733324</v>
      </c>
      <c r="Y18" s="1566">
        <f t="shared" si="11"/>
        <v>537536210.02242804</v>
      </c>
      <c r="Z18" s="1566">
        <f t="shared" si="12"/>
        <v>515783658.5702998</v>
      </c>
      <c r="AA18" s="1408">
        <f>AA19+AA35</f>
        <v>71554631.099244505</v>
      </c>
      <c r="AB18" s="319">
        <f>AB19+AB35</f>
        <v>102645175.81166665</v>
      </c>
      <c r="AC18" s="1484">
        <f t="shared" si="66"/>
        <v>288309645.48758543</v>
      </c>
      <c r="AD18" s="1485">
        <f t="shared" si="66"/>
        <v>315184093.86766666</v>
      </c>
      <c r="AE18" s="1639">
        <f t="shared" si="57"/>
        <v>609090841.12167251</v>
      </c>
      <c r="AF18" s="1639">
        <f t="shared" si="58"/>
        <v>618428834.38196647</v>
      </c>
      <c r="AG18" s="1408">
        <f>AG19+AG35</f>
        <v>109091324.22770299</v>
      </c>
      <c r="AH18" s="319">
        <f>AH19+AH35</f>
        <v>93286300.57766673</v>
      </c>
      <c r="AI18" s="1566">
        <f t="shared" si="15"/>
        <v>718182165.34937549</v>
      </c>
      <c r="AJ18" s="1566">
        <f t="shared" si="16"/>
        <v>711715134.95963323</v>
      </c>
      <c r="AK18" s="1408">
        <f>AK19+AK35</f>
        <v>106075577.65108055</v>
      </c>
      <c r="AL18" s="319">
        <f>AL19+AL35</f>
        <v>101571789.45733348</v>
      </c>
      <c r="AM18" s="1566">
        <f t="shared" si="18"/>
        <v>824257743.00045609</v>
      </c>
      <c r="AN18" s="1566">
        <f t="shared" si="19"/>
        <v>813286924.41696668</v>
      </c>
      <c r="AO18" s="1408">
        <f>AO19+AO35</f>
        <v>109600633.12751526</v>
      </c>
      <c r="AP18" s="319">
        <f>AP19+AP35</f>
        <v>102832934.62699983</v>
      </c>
      <c r="AQ18" s="1484">
        <f t="shared" si="59"/>
        <v>324767535.00629878</v>
      </c>
      <c r="AR18" s="1485">
        <f t="shared" si="60"/>
        <v>297691024.66200006</v>
      </c>
      <c r="AS18" s="1566">
        <f t="shared" si="21"/>
        <v>933858376.12797141</v>
      </c>
      <c r="AT18" s="1566">
        <f t="shared" si="22"/>
        <v>916119859.04396653</v>
      </c>
      <c r="AU18" s="1408">
        <f>AU19+AU35</f>
        <v>110311891.60293768</v>
      </c>
      <c r="AV18" s="319">
        <f>AV19+AV35</f>
        <v>103812028.72700003</v>
      </c>
      <c r="AW18" s="1566">
        <f t="shared" si="24"/>
        <v>1044170267.7309091</v>
      </c>
      <c r="AX18" s="1566">
        <f t="shared" si="25"/>
        <v>1019931887.7709665</v>
      </c>
      <c r="AY18" s="1408">
        <f>AY19+AY35</f>
        <v>99198758.02639693</v>
      </c>
      <c r="AZ18" s="319">
        <f>AZ19+AZ35</f>
        <v>92705168.716000006</v>
      </c>
      <c r="BA18" s="1566">
        <f t="shared" si="27"/>
        <v>1143369025.7573061</v>
      </c>
      <c r="BB18" s="1566">
        <f t="shared" si="28"/>
        <v>1112637056.4869666</v>
      </c>
      <c r="BC18" s="1408">
        <f>BC19+BC35</f>
        <v>110437610.07221158</v>
      </c>
      <c r="BD18" s="319">
        <f>BD19+BD35</f>
        <v>105246911.32333334</v>
      </c>
      <c r="BE18" s="1484">
        <f t="shared" si="61"/>
        <v>319948259.70154619</v>
      </c>
      <c r="BF18" s="1485">
        <f t="shared" si="62"/>
        <v>301764108.76633334</v>
      </c>
      <c r="BG18" s="1639">
        <f>AQ18+BE18</f>
        <v>644715794.70784497</v>
      </c>
      <c r="BH18" s="1639">
        <f>AR18+BF18</f>
        <v>599455133.4283334</v>
      </c>
      <c r="BI18" s="1566">
        <f t="shared" si="54"/>
        <v>1253806635.8295176</v>
      </c>
      <c r="BJ18" s="1566">
        <f t="shared" si="53"/>
        <v>1217883967.8102999</v>
      </c>
      <c r="BK18" s="1202"/>
      <c r="BL18" s="528"/>
      <c r="BM18" s="1202"/>
      <c r="BN18" s="5479"/>
      <c r="BO18" s="5479"/>
      <c r="BP18" s="1202"/>
      <c r="BQ18" s="1202"/>
      <c r="BR18" s="26"/>
    </row>
    <row r="19" spans="1:70" ht="15.6" x14ac:dyDescent="0.3">
      <c r="A19" s="269">
        <v>13</v>
      </c>
      <c r="B19" s="287" t="s">
        <v>634</v>
      </c>
      <c r="C19" s="13" t="s">
        <v>213</v>
      </c>
      <c r="D19" s="288">
        <v>1555939.9999999995</v>
      </c>
      <c r="E19" s="289">
        <v>1505040</v>
      </c>
      <c r="G19" s="915" t="s">
        <v>748</v>
      </c>
      <c r="H19" s="1402" t="s">
        <v>720</v>
      </c>
      <c r="I19" s="1409">
        <f>SUM(I20:I33)</f>
        <v>103923222.52272873</v>
      </c>
      <c r="J19" s="320">
        <f>SUM(J20:J33)</f>
        <v>94489832.949999943</v>
      </c>
      <c r="K19" s="1409">
        <f>SUM(K20:K33)</f>
        <v>107433099.73389654</v>
      </c>
      <c r="L19" s="320">
        <f>SUM(L20:L33)</f>
        <v>102322747.63999999</v>
      </c>
      <c r="M19" s="916">
        <f t="shared" si="3"/>
        <v>211356322.25662526</v>
      </c>
      <c r="N19" s="916">
        <f t="shared" si="3"/>
        <v>196812580.58999991</v>
      </c>
      <c r="O19" s="1409">
        <f>SUM(O20:O33)</f>
        <v>103966924.09746182</v>
      </c>
      <c r="P19" s="320">
        <f>SUM(P20:P33)</f>
        <v>101691418.23999986</v>
      </c>
      <c r="Q19" s="1486">
        <f t="shared" si="5"/>
        <v>315323246.35408711</v>
      </c>
      <c r="R19" s="1487">
        <f t="shared" si="6"/>
        <v>298503998.8299998</v>
      </c>
      <c r="S19" s="1409">
        <f>SUM(S20:S33)</f>
        <v>106552232.15417047</v>
      </c>
      <c r="T19" s="320">
        <f>SUM(T20:T33)</f>
        <v>106066937.44000009</v>
      </c>
      <c r="U19" s="916">
        <f t="shared" si="8"/>
        <v>421875478.50825757</v>
      </c>
      <c r="V19" s="916">
        <f t="shared" si="9"/>
        <v>404570936.26999986</v>
      </c>
      <c r="W19" s="1409">
        <f>SUM(W20:W33)</f>
        <v>106552232.15417047</v>
      </c>
      <c r="X19" s="320">
        <f>SUM(X20:X33)</f>
        <v>103288592.13999991</v>
      </c>
      <c r="Y19" s="916">
        <f t="shared" si="11"/>
        <v>528427710.66242802</v>
      </c>
      <c r="Z19" s="916">
        <f t="shared" si="12"/>
        <v>507859528.40999979</v>
      </c>
      <c r="AA19" s="1409">
        <f>SUM(AA20:AA33)</f>
        <v>69811569.419244498</v>
      </c>
      <c r="AB19" s="320">
        <f>SUM(AB20:AB33)</f>
        <v>101067071.11999999</v>
      </c>
      <c r="AC19" s="1486">
        <f t="shared" ref="AC19:AC33" si="68">S19+W19+AA19</f>
        <v>282916033.72758543</v>
      </c>
      <c r="AD19" s="1487">
        <f t="shared" ref="AD19:AD33" si="69">T19+X19+AB19</f>
        <v>310422600.69999999</v>
      </c>
      <c r="AE19" s="917">
        <f t="shared" si="57"/>
        <v>598239280.08167255</v>
      </c>
      <c r="AF19" s="917">
        <f t="shared" si="58"/>
        <v>608926599.52999973</v>
      </c>
      <c r="AG19" s="1409">
        <f>SUM(AG20:AG33)</f>
        <v>107266049.18770298</v>
      </c>
      <c r="AH19" s="320">
        <f>SUM(AH20:AH33)</f>
        <v>91702051.100000069</v>
      </c>
      <c r="AI19" s="916">
        <f t="shared" si="15"/>
        <v>705505329.26937556</v>
      </c>
      <c r="AJ19" s="916">
        <f t="shared" si="16"/>
        <v>700628650.62999976</v>
      </c>
      <c r="AK19" s="1409">
        <f>SUM(AK20:AK33)</f>
        <v>104309182.45108055</v>
      </c>
      <c r="AL19" s="320">
        <f>SUM(AL20:AL33)</f>
        <v>99979868.40000014</v>
      </c>
      <c r="AM19" s="916">
        <f t="shared" si="18"/>
        <v>809814511.72045612</v>
      </c>
      <c r="AN19" s="916">
        <f t="shared" si="19"/>
        <v>800608519.02999985</v>
      </c>
      <c r="AO19" s="1409">
        <f>SUM(AO20:AO33)</f>
        <v>107775358.08751525</v>
      </c>
      <c r="AP19" s="320">
        <f>SUM(AP20:AP33)</f>
        <v>101258028.39999983</v>
      </c>
      <c r="AQ19" s="1486">
        <f t="shared" si="59"/>
        <v>319350589.72629875</v>
      </c>
      <c r="AR19" s="1487">
        <f t="shared" si="60"/>
        <v>292939947.90000004</v>
      </c>
      <c r="AS19" s="916">
        <f t="shared" si="21"/>
        <v>917589869.80797136</v>
      </c>
      <c r="AT19" s="916">
        <f t="shared" si="22"/>
        <v>901866547.42999971</v>
      </c>
      <c r="AU19" s="1409">
        <f>SUM(AU20:AU33)</f>
        <v>108486616.56293768</v>
      </c>
      <c r="AV19" s="320">
        <f>SUM(AV20:AV33)</f>
        <v>102228038.00000003</v>
      </c>
      <c r="AW19" s="916">
        <f t="shared" si="24"/>
        <v>1026076486.370909</v>
      </c>
      <c r="AX19" s="916">
        <f t="shared" si="25"/>
        <v>1004094585.4299997</v>
      </c>
      <c r="AY19" s="1409">
        <f>SUM(AY20:AY33)</f>
        <v>97550122.506396934</v>
      </c>
      <c r="AZ19" s="320">
        <f>SUM(AZ20:AZ33)</f>
        <v>91404309.5</v>
      </c>
      <c r="BA19" s="916">
        <f t="shared" si="27"/>
        <v>1123626608.877306</v>
      </c>
      <c r="BB19" s="916">
        <f t="shared" si="28"/>
        <v>1095498894.9299998</v>
      </c>
      <c r="BC19" s="1409">
        <f>SUM(BC20:BC33)</f>
        <v>108612335.03221157</v>
      </c>
      <c r="BD19" s="320">
        <f>SUM(BD20:BD33)</f>
        <v>103803850.60000001</v>
      </c>
      <c r="BE19" s="1486">
        <f t="shared" si="61"/>
        <v>314649074.10154617</v>
      </c>
      <c r="BF19" s="1487">
        <f t="shared" si="62"/>
        <v>297436198.10000002</v>
      </c>
      <c r="BG19" s="910">
        <f>AQ19+BE19</f>
        <v>633999663.82784486</v>
      </c>
      <c r="BH19" s="910">
        <f>AR19+BF19</f>
        <v>590376146</v>
      </c>
      <c r="BI19" s="916">
        <f t="shared" si="54"/>
        <v>1232238943.9095175</v>
      </c>
      <c r="BJ19" s="916">
        <f t="shared" si="53"/>
        <v>1199302745.5299997</v>
      </c>
      <c r="BK19" s="1202"/>
      <c r="BL19" s="528"/>
      <c r="BM19" s="1202"/>
      <c r="BN19" s="5479"/>
      <c r="BO19" s="5479"/>
      <c r="BP19" s="1202"/>
      <c r="BQ19" s="1202"/>
      <c r="BR19" s="26"/>
    </row>
    <row r="20" spans="1:70" x14ac:dyDescent="0.3">
      <c r="A20" s="269">
        <v>14</v>
      </c>
      <c r="B20" s="287" t="s">
        <v>487</v>
      </c>
      <c r="C20" s="13" t="s">
        <v>213</v>
      </c>
      <c r="D20" s="288">
        <v>7954979.9999999814</v>
      </c>
      <c r="E20" s="289">
        <v>8018420.0000000149</v>
      </c>
      <c r="G20" s="904" t="s">
        <v>749</v>
      </c>
      <c r="H20" s="886" t="s">
        <v>721</v>
      </c>
      <c r="I20" s="1407">
        <f t="shared" ref="I20:I33" si="70">+I69*I$3*24*1000</f>
        <v>5267670.03</v>
      </c>
      <c r="J20" s="317">
        <v>5114575.7499999991</v>
      </c>
      <c r="K20" s="1407">
        <f t="shared" ref="K20" si="71">+K69*K$3*24*1000</f>
        <v>5443259.0310000004</v>
      </c>
      <c r="L20" s="317">
        <v>5230424.8400000054</v>
      </c>
      <c r="M20" s="912">
        <f t="shared" si="3"/>
        <v>10710929.061000001</v>
      </c>
      <c r="N20" s="912">
        <f t="shared" si="3"/>
        <v>10345000.590000004</v>
      </c>
      <c r="O20" s="1407">
        <f t="shared" ref="O20:O33" si="72">+O69*O$3*24*1000</f>
        <v>5267670.03</v>
      </c>
      <c r="P20" s="317">
        <v>4982808.9399999864</v>
      </c>
      <c r="Q20" s="1483">
        <f t="shared" si="5"/>
        <v>15978599.091000002</v>
      </c>
      <c r="R20" s="354">
        <f t="shared" si="6"/>
        <v>15327809.52999999</v>
      </c>
      <c r="S20" s="1407">
        <f t="shared" ref="S20:S33" si="73">+S69*S$3*24*1000</f>
        <v>5443259.0310000004</v>
      </c>
      <c r="T20" s="317">
        <v>5165082.3400000138</v>
      </c>
      <c r="U20" s="912">
        <f t="shared" si="8"/>
        <v>21421858.122000001</v>
      </c>
      <c r="V20" s="912">
        <f t="shared" si="9"/>
        <v>20492891.870000005</v>
      </c>
      <c r="W20" s="1407">
        <f t="shared" ref="W20:W33" si="74">+W69*W$3*24*1000</f>
        <v>5443259.0310000004</v>
      </c>
      <c r="X20" s="317">
        <v>4967620.5999999903</v>
      </c>
      <c r="Y20" s="912">
        <f t="shared" si="11"/>
        <v>26865117.153000001</v>
      </c>
      <c r="Z20" s="912">
        <f t="shared" si="12"/>
        <v>25460512.469999995</v>
      </c>
      <c r="AA20" s="1407">
        <f t="shared" ref="AA20:AA33" si="75">+AA69*AA$3*24*1000</f>
        <v>5025787.2224999992</v>
      </c>
      <c r="AB20" s="317">
        <v>4729684.800000011</v>
      </c>
      <c r="AC20" s="1483">
        <f t="shared" si="68"/>
        <v>15912305.284499999</v>
      </c>
      <c r="AD20" s="354">
        <f t="shared" si="69"/>
        <v>14862387.740000017</v>
      </c>
      <c r="AE20" s="913">
        <f t="shared" si="57"/>
        <v>31890904.375500001</v>
      </c>
      <c r="AF20" s="913">
        <f t="shared" si="58"/>
        <v>30190197.270000007</v>
      </c>
      <c r="AG20" s="1407">
        <f t="shared" ref="AG20:AG33" si="76">+AG69*AG$3*24*1000</f>
        <v>5443259.0310000004</v>
      </c>
      <c r="AH20" s="317">
        <v>4972368.8999999939</v>
      </c>
      <c r="AI20" s="912">
        <f t="shared" si="15"/>
        <v>37334163.406500004</v>
      </c>
      <c r="AJ20" s="912">
        <f t="shared" si="16"/>
        <v>35162566.170000002</v>
      </c>
      <c r="AK20" s="1407">
        <f t="shared" ref="AK20:AK33" si="77">+AK69*AK$3*24*1000</f>
        <v>5267670.03</v>
      </c>
      <c r="AL20" s="317">
        <v>5090430.7000000188</v>
      </c>
      <c r="AM20" s="912">
        <f t="shared" si="18"/>
        <v>42601833.436500005</v>
      </c>
      <c r="AN20" s="912">
        <f t="shared" si="19"/>
        <v>40252996.87000002</v>
      </c>
      <c r="AO20" s="1407">
        <f t="shared" ref="AO20:AO33" si="78">+AO69*AO$3*24*1000</f>
        <v>5443259.0310000004</v>
      </c>
      <c r="AP20" s="317">
        <v>5200091.999999986</v>
      </c>
      <c r="AQ20" s="1483">
        <f t="shared" si="59"/>
        <v>16154188.092</v>
      </c>
      <c r="AR20" s="354">
        <f t="shared" si="60"/>
        <v>15262891.599999998</v>
      </c>
      <c r="AS20" s="912">
        <f t="shared" si="21"/>
        <v>48045092.467500009</v>
      </c>
      <c r="AT20" s="912">
        <f t="shared" si="22"/>
        <v>45453088.870000005</v>
      </c>
      <c r="AU20" s="1407">
        <f t="shared" ref="AU20:AU33" si="79">+AU69*AU$3*24*1000</f>
        <v>5443259.0310000004</v>
      </c>
      <c r="AV20" s="317">
        <v>5008155.8999999892</v>
      </c>
      <c r="AW20" s="912">
        <f t="shared" si="24"/>
        <v>53488351.498500012</v>
      </c>
      <c r="AX20" s="912">
        <f t="shared" si="25"/>
        <v>50461244.769999996</v>
      </c>
      <c r="AY20" s="1407">
        <f t="shared" ref="AY20:AY33" si="80">+AY69*AY$3*24*1000</f>
        <v>4916492.0280000009</v>
      </c>
      <c r="AZ20" s="317">
        <v>4650549.8000000147</v>
      </c>
      <c r="BA20" s="912">
        <f t="shared" si="27"/>
        <v>58404843.526500016</v>
      </c>
      <c r="BB20" s="912">
        <f t="shared" si="28"/>
        <v>55111794.570000008</v>
      </c>
      <c r="BC20" s="1407">
        <f t="shared" ref="BC20:BC33" si="81">+BC69*BC$3*24*1000</f>
        <v>5443259.0310000004</v>
      </c>
      <c r="BD20" s="317">
        <v>5022713.2999999952</v>
      </c>
      <c r="BE20" s="1483">
        <f t="shared" si="61"/>
        <v>15803010.09</v>
      </c>
      <c r="BF20" s="354">
        <f t="shared" si="62"/>
        <v>14681418.999999998</v>
      </c>
      <c r="BG20" s="913">
        <f t="shared" ref="BG20:BH33" si="82">AQ20+BE20</f>
        <v>31957198.182</v>
      </c>
      <c r="BH20" s="913">
        <f t="shared" si="82"/>
        <v>29944310.599999994</v>
      </c>
      <c r="BI20" s="912">
        <f t="shared" si="54"/>
        <v>63848102.55750002</v>
      </c>
      <c r="BJ20" s="912">
        <f t="shared" si="53"/>
        <v>60134507.870000005</v>
      </c>
      <c r="BK20" s="1202"/>
      <c r="BL20" s="528"/>
      <c r="BM20" s="1202"/>
      <c r="BN20" s="5479"/>
      <c r="BO20" s="5479"/>
      <c r="BP20" s="1202"/>
      <c r="BQ20" s="1202"/>
      <c r="BR20" s="26"/>
    </row>
    <row r="21" spans="1:70" x14ac:dyDescent="0.3">
      <c r="A21" s="269">
        <v>15</v>
      </c>
      <c r="B21" s="287" t="s">
        <v>722</v>
      </c>
      <c r="C21" s="13" t="s">
        <v>213</v>
      </c>
      <c r="D21" s="288">
        <v>9405013.9999999981</v>
      </c>
      <c r="E21" s="289">
        <v>9828956</v>
      </c>
      <c r="G21" s="904" t="s">
        <v>750</v>
      </c>
      <c r="H21" s="886" t="s">
        <v>634</v>
      </c>
      <c r="I21" s="1407">
        <f t="shared" si="70"/>
        <v>2088000</v>
      </c>
      <c r="J21" s="317">
        <v>1933940.0000000061</v>
      </c>
      <c r="K21" s="1407">
        <f t="shared" ref="K21" si="83">+K70*K$3*24*1000</f>
        <v>2157600</v>
      </c>
      <c r="L21" s="317">
        <v>2055209.999999996</v>
      </c>
      <c r="M21" s="912">
        <f t="shared" si="3"/>
        <v>4245600</v>
      </c>
      <c r="N21" s="912">
        <f t="shared" si="3"/>
        <v>3989150.0000000019</v>
      </c>
      <c r="O21" s="1407">
        <f t="shared" si="72"/>
        <v>2088000</v>
      </c>
      <c r="P21" s="317">
        <v>2115320</v>
      </c>
      <c r="Q21" s="1483">
        <f t="shared" ref="Q21:Q33" si="84">+I21+K21+O21</f>
        <v>6333600</v>
      </c>
      <c r="R21" s="354">
        <f t="shared" ref="R21:R33" si="85">+J21+L21+P21</f>
        <v>6104470.0000000019</v>
      </c>
      <c r="S21" s="1407">
        <f t="shared" si="73"/>
        <v>2157600</v>
      </c>
      <c r="T21" s="317">
        <v>2432859.9999999972</v>
      </c>
      <c r="U21" s="912">
        <f t="shared" si="8"/>
        <v>8491200</v>
      </c>
      <c r="V21" s="912">
        <f t="shared" si="9"/>
        <v>8537330</v>
      </c>
      <c r="W21" s="1407">
        <f t="shared" si="74"/>
        <v>2157600</v>
      </c>
      <c r="X21" s="317">
        <v>2330123.0000000047</v>
      </c>
      <c r="Y21" s="912">
        <f t="shared" si="11"/>
        <v>10648800</v>
      </c>
      <c r="Z21" s="912">
        <f t="shared" si="12"/>
        <v>10867453.000000004</v>
      </c>
      <c r="AA21" s="1407">
        <f t="shared" si="75"/>
        <v>1447199.9999999998</v>
      </c>
      <c r="AB21" s="317">
        <v>2252446.9999999991</v>
      </c>
      <c r="AC21" s="1483">
        <f t="shared" si="68"/>
        <v>5762400</v>
      </c>
      <c r="AD21" s="354">
        <f t="shared" si="69"/>
        <v>7015430.0000000009</v>
      </c>
      <c r="AE21" s="913">
        <f t="shared" si="57"/>
        <v>12096000</v>
      </c>
      <c r="AF21" s="913">
        <f t="shared" si="58"/>
        <v>13119900.000000004</v>
      </c>
      <c r="AG21" s="1407">
        <f t="shared" si="76"/>
        <v>2157600</v>
      </c>
      <c r="AH21" s="317">
        <v>2151319.9999999981</v>
      </c>
      <c r="AI21" s="912">
        <f t="shared" si="15"/>
        <v>14253600</v>
      </c>
      <c r="AJ21" s="912">
        <f t="shared" si="16"/>
        <v>15271220.000000002</v>
      </c>
      <c r="AK21" s="1407">
        <f t="shared" si="77"/>
        <v>2088000</v>
      </c>
      <c r="AL21" s="317">
        <v>2153549.9999999995</v>
      </c>
      <c r="AM21" s="912">
        <f t="shared" si="18"/>
        <v>16341600</v>
      </c>
      <c r="AN21" s="912">
        <f t="shared" si="19"/>
        <v>17424770</v>
      </c>
      <c r="AO21" s="1407">
        <f t="shared" si="78"/>
        <v>2157600</v>
      </c>
      <c r="AP21" s="317">
        <v>2185450.0000000033</v>
      </c>
      <c r="AQ21" s="1483">
        <f t="shared" si="59"/>
        <v>6403200</v>
      </c>
      <c r="AR21" s="354">
        <f t="shared" si="60"/>
        <v>6490320.0000000019</v>
      </c>
      <c r="AS21" s="912">
        <f t="shared" si="21"/>
        <v>18499200</v>
      </c>
      <c r="AT21" s="912">
        <f t="shared" si="22"/>
        <v>19610220.000000004</v>
      </c>
      <c r="AU21" s="1407">
        <f t="shared" si="79"/>
        <v>2157600</v>
      </c>
      <c r="AV21" s="317">
        <v>2194230</v>
      </c>
      <c r="AW21" s="912">
        <f t="shared" si="24"/>
        <v>20656800</v>
      </c>
      <c r="AX21" s="912">
        <f t="shared" si="25"/>
        <v>21804450.000000004</v>
      </c>
      <c r="AY21" s="1407">
        <f t="shared" si="80"/>
        <v>1948800.0000000002</v>
      </c>
      <c r="AZ21" s="317">
        <v>1876840.0000000014</v>
      </c>
      <c r="BA21" s="912">
        <f t="shared" si="27"/>
        <v>22605600</v>
      </c>
      <c r="BB21" s="912">
        <f t="shared" si="28"/>
        <v>23681290.000000004</v>
      </c>
      <c r="BC21" s="1407">
        <f t="shared" si="81"/>
        <v>2157600</v>
      </c>
      <c r="BD21" s="317">
        <v>2113349.9999999995</v>
      </c>
      <c r="BE21" s="1483">
        <f t="shared" si="61"/>
        <v>6264000</v>
      </c>
      <c r="BF21" s="354">
        <f t="shared" si="62"/>
        <v>6184420.0000000009</v>
      </c>
      <c r="BG21" s="913">
        <f>AQ21+BE21</f>
        <v>12667200</v>
      </c>
      <c r="BH21" s="913">
        <f t="shared" si="82"/>
        <v>12674740.000000004</v>
      </c>
      <c r="BI21" s="912">
        <f t="shared" si="54"/>
        <v>24763200</v>
      </c>
      <c r="BJ21" s="912">
        <f t="shared" si="53"/>
        <v>25794640.000000004</v>
      </c>
      <c r="BK21" s="1202"/>
      <c r="BL21" s="528"/>
      <c r="BM21" s="1202"/>
      <c r="BN21" s="5479"/>
      <c r="BO21" s="5479"/>
      <c r="BP21" s="1202"/>
      <c r="BQ21" s="1202"/>
      <c r="BR21" s="26"/>
    </row>
    <row r="22" spans="1:70" x14ac:dyDescent="0.3">
      <c r="A22" s="269">
        <v>16</v>
      </c>
      <c r="B22" s="287" t="s">
        <v>723</v>
      </c>
      <c r="C22" s="13" t="s">
        <v>213</v>
      </c>
      <c r="D22" s="288">
        <v>16006660.000000006</v>
      </c>
      <c r="E22" s="289">
        <v>16895070</v>
      </c>
      <c r="G22" s="904" t="s">
        <v>751</v>
      </c>
      <c r="H22" s="886" t="s">
        <v>487</v>
      </c>
      <c r="I22" s="1407">
        <f t="shared" si="70"/>
        <v>11514717.277581625</v>
      </c>
      <c r="J22" s="317">
        <v>9683949.9999999814</v>
      </c>
      <c r="K22" s="1407">
        <f t="shared" ref="K22" si="86">+K71*K$3*24*1000</f>
        <v>11860620.924496397</v>
      </c>
      <c r="L22" s="317">
        <v>11134429.999999994</v>
      </c>
      <c r="M22" s="912">
        <f t="shared" si="3"/>
        <v>23375338.202078022</v>
      </c>
      <c r="N22" s="912">
        <f t="shared" si="3"/>
        <v>20818379.999999978</v>
      </c>
      <c r="O22" s="1407">
        <f t="shared" si="72"/>
        <v>11514717.277581625</v>
      </c>
      <c r="P22" s="317">
        <v>11736979.999999998</v>
      </c>
      <c r="Q22" s="1483">
        <f t="shared" si="84"/>
        <v>34890055.479659647</v>
      </c>
      <c r="R22" s="354">
        <f t="shared" si="85"/>
        <v>32555359.999999978</v>
      </c>
      <c r="S22" s="1407">
        <f t="shared" si="73"/>
        <v>11644431.145174664</v>
      </c>
      <c r="T22" s="317">
        <v>12452919.999999998</v>
      </c>
      <c r="U22" s="912">
        <f t="shared" si="8"/>
        <v>46534486.624834314</v>
      </c>
      <c r="V22" s="912">
        <f t="shared" si="9"/>
        <v>45008279.999999978</v>
      </c>
      <c r="W22" s="1407">
        <f t="shared" si="74"/>
        <v>11644431.145174664</v>
      </c>
      <c r="X22" s="317">
        <v>12425240.000000002</v>
      </c>
      <c r="Y22" s="912">
        <f t="shared" si="11"/>
        <v>58178917.770008981</v>
      </c>
      <c r="Z22" s="912">
        <f t="shared" si="12"/>
        <v>57433519.999999978</v>
      </c>
      <c r="AA22" s="1407">
        <f t="shared" si="75"/>
        <v>6424565.2608682904</v>
      </c>
      <c r="AB22" s="317">
        <v>12303829.999999996</v>
      </c>
      <c r="AC22" s="1483">
        <f t="shared" si="68"/>
        <v>29713427.551217616</v>
      </c>
      <c r="AD22" s="354">
        <f t="shared" si="69"/>
        <v>37181990</v>
      </c>
      <c r="AE22" s="913">
        <f t="shared" si="57"/>
        <v>64603483.030877262</v>
      </c>
      <c r="AF22" s="913">
        <f t="shared" si="58"/>
        <v>69737349.99999997</v>
      </c>
      <c r="AG22" s="1407">
        <f t="shared" si="76"/>
        <v>11860620.924496397</v>
      </c>
      <c r="AH22" s="317">
        <v>10323149.999999998</v>
      </c>
      <c r="AI22" s="912">
        <f t="shared" si="15"/>
        <v>76464103.95537366</v>
      </c>
      <c r="AJ22" s="912">
        <f t="shared" si="16"/>
        <v>80060499.99999997</v>
      </c>
      <c r="AK22" s="1407">
        <f t="shared" si="77"/>
        <v>11638467.757534873</v>
      </c>
      <c r="AL22" s="317">
        <v>11758380.000000009</v>
      </c>
      <c r="AM22" s="912">
        <f t="shared" si="18"/>
        <v>88102571.712908536</v>
      </c>
      <c r="AN22" s="912">
        <f t="shared" si="19"/>
        <v>91818879.999999985</v>
      </c>
      <c r="AO22" s="1407">
        <f t="shared" si="78"/>
        <v>11984371.404449644</v>
      </c>
      <c r="AP22" s="317">
        <v>10587819.999999993</v>
      </c>
      <c r="AQ22" s="1483">
        <f t="shared" si="59"/>
        <v>35483460.086480916</v>
      </c>
      <c r="AR22" s="354">
        <f t="shared" si="60"/>
        <v>32669350</v>
      </c>
      <c r="AS22" s="912">
        <f t="shared" si="21"/>
        <v>100086943.11735818</v>
      </c>
      <c r="AT22" s="912">
        <f t="shared" si="22"/>
        <v>102406699.99999997</v>
      </c>
      <c r="AU22" s="1407">
        <f t="shared" si="79"/>
        <v>12033572.747953784</v>
      </c>
      <c r="AV22" s="317">
        <v>11832350.000000006</v>
      </c>
      <c r="AW22" s="912">
        <f t="shared" si="24"/>
        <v>112120515.86531197</v>
      </c>
      <c r="AX22" s="912">
        <f t="shared" si="25"/>
        <v>114239049.99999997</v>
      </c>
      <c r="AY22" s="1407">
        <f t="shared" si="80"/>
        <v>10822909.983752074</v>
      </c>
      <c r="AZ22" s="317">
        <v>10396270</v>
      </c>
      <c r="BA22" s="912">
        <f t="shared" si="27"/>
        <v>122943425.84906404</v>
      </c>
      <c r="BB22" s="912">
        <f t="shared" si="28"/>
        <v>124635319.99999997</v>
      </c>
      <c r="BC22" s="1407">
        <f t="shared" si="81"/>
        <v>12033572.747953784</v>
      </c>
      <c r="BD22" s="317">
        <v>12188319.999999996</v>
      </c>
      <c r="BE22" s="1483">
        <f t="shared" si="61"/>
        <v>34890055.479659647</v>
      </c>
      <c r="BF22" s="354">
        <f t="shared" si="62"/>
        <v>34416940</v>
      </c>
      <c r="BG22" s="913">
        <f t="shared" si="82"/>
        <v>70373515.566140562</v>
      </c>
      <c r="BH22" s="913">
        <f t="shared" si="82"/>
        <v>67086290</v>
      </c>
      <c r="BI22" s="912">
        <f t="shared" si="54"/>
        <v>134976998.59701782</v>
      </c>
      <c r="BJ22" s="912">
        <f t="shared" si="53"/>
        <v>136823639.99999997</v>
      </c>
      <c r="BK22" s="1202"/>
      <c r="BL22" s="528"/>
      <c r="BM22" s="1202"/>
      <c r="BN22" s="5479"/>
      <c r="BO22" s="5479"/>
      <c r="BP22" s="1202"/>
      <c r="BQ22" s="1202"/>
      <c r="BR22" s="26"/>
    </row>
    <row r="23" spans="1:70" x14ac:dyDescent="0.3">
      <c r="A23" s="269">
        <v>17</v>
      </c>
      <c r="B23" s="287" t="s">
        <v>82</v>
      </c>
      <c r="C23" s="13" t="s">
        <v>213</v>
      </c>
      <c r="D23" s="288">
        <v>961360.0000000014</v>
      </c>
      <c r="E23" s="289">
        <v>1006979.9999999992</v>
      </c>
      <c r="G23" s="904" t="s">
        <v>752</v>
      </c>
      <c r="H23" s="886" t="s">
        <v>722</v>
      </c>
      <c r="I23" s="1407">
        <f t="shared" si="70"/>
        <v>11845370.205535013</v>
      </c>
      <c r="J23" s="317">
        <v>10229684.000000009</v>
      </c>
      <c r="K23" s="1407">
        <f t="shared" ref="K23" si="87">+K72*K$3*24*1000</f>
        <v>12221413.704123424</v>
      </c>
      <c r="L23" s="317">
        <v>12162087.999999993</v>
      </c>
      <c r="M23" s="912">
        <f t="shared" si="3"/>
        <v>24066783.909658439</v>
      </c>
      <c r="N23" s="912">
        <f t="shared" si="3"/>
        <v>22391772</v>
      </c>
      <c r="O23" s="1407">
        <f t="shared" si="72"/>
        <v>11845370.205535013</v>
      </c>
      <c r="P23" s="317">
        <v>12313432.000000006</v>
      </c>
      <c r="Q23" s="1483">
        <f t="shared" si="84"/>
        <v>35912154.115193456</v>
      </c>
      <c r="R23" s="354">
        <f t="shared" si="85"/>
        <v>34705204.000000007</v>
      </c>
      <c r="S23" s="1407">
        <f t="shared" si="73"/>
        <v>11986386.517505666</v>
      </c>
      <c r="T23" s="317">
        <v>12668533.999999953</v>
      </c>
      <c r="U23" s="912">
        <f t="shared" si="8"/>
        <v>47898540.632699125</v>
      </c>
      <c r="V23" s="912">
        <f t="shared" si="9"/>
        <v>47373737.999999963</v>
      </c>
      <c r="W23" s="1407">
        <f t="shared" si="74"/>
        <v>11986386.517505666</v>
      </c>
      <c r="X23" s="317">
        <v>12400062.000000037</v>
      </c>
      <c r="Y23" s="912">
        <f t="shared" si="11"/>
        <v>59884927.150204793</v>
      </c>
      <c r="Z23" s="912">
        <f t="shared" si="12"/>
        <v>59773800</v>
      </c>
      <c r="AA23" s="1407">
        <f t="shared" si="75"/>
        <v>8474361.2252972294</v>
      </c>
      <c r="AB23" s="317">
        <v>12240051.999999998</v>
      </c>
      <c r="AC23" s="1483">
        <f t="shared" si="68"/>
        <v>32447134.260308564</v>
      </c>
      <c r="AD23" s="354">
        <f t="shared" si="69"/>
        <v>37308647.999999993</v>
      </c>
      <c r="AE23" s="913">
        <f t="shared" si="57"/>
        <v>68359288.37550202</v>
      </c>
      <c r="AF23" s="913">
        <f t="shared" si="58"/>
        <v>72013852</v>
      </c>
      <c r="AG23" s="1407">
        <f t="shared" si="76"/>
        <v>12221413.704123424</v>
      </c>
      <c r="AH23" s="317">
        <v>11183425.999999981</v>
      </c>
      <c r="AI23" s="912">
        <f t="shared" si="15"/>
        <v>80580702.079625443</v>
      </c>
      <c r="AJ23" s="912">
        <f t="shared" si="16"/>
        <v>83197277.999999985</v>
      </c>
      <c r="AK23" s="1407">
        <f t="shared" si="77"/>
        <v>11845370.205535013</v>
      </c>
      <c r="AL23" s="317">
        <v>12323946.00000003</v>
      </c>
      <c r="AM23" s="912">
        <f t="shared" si="18"/>
        <v>92426072.285160452</v>
      </c>
      <c r="AN23" s="912">
        <f t="shared" si="19"/>
        <v>95521224.000000015</v>
      </c>
      <c r="AO23" s="1407">
        <f t="shared" si="78"/>
        <v>12221413.704123424</v>
      </c>
      <c r="AP23" s="317">
        <v>12037367.999999981</v>
      </c>
      <c r="AQ23" s="1483">
        <f t="shared" si="59"/>
        <v>36288197.613781862</v>
      </c>
      <c r="AR23" s="354">
        <f t="shared" si="60"/>
        <v>35544739.999999993</v>
      </c>
      <c r="AS23" s="912">
        <f t="shared" si="21"/>
        <v>104647485.98928387</v>
      </c>
      <c r="AT23" s="912">
        <f t="shared" si="22"/>
        <v>107558592</v>
      </c>
      <c r="AU23" s="1407">
        <f t="shared" si="79"/>
        <v>12409435.453417631</v>
      </c>
      <c r="AV23" s="317">
        <v>11958026.000000011</v>
      </c>
      <c r="AW23" s="912">
        <f t="shared" si="24"/>
        <v>117056921.4427015</v>
      </c>
      <c r="AX23" s="912">
        <f t="shared" si="25"/>
        <v>119516618.00000001</v>
      </c>
      <c r="AY23" s="1407">
        <f t="shared" si="80"/>
        <v>11093283.208358185</v>
      </c>
      <c r="AZ23" s="317">
        <v>10781632.000000009</v>
      </c>
      <c r="BA23" s="912">
        <f t="shared" si="27"/>
        <v>128150204.65105969</v>
      </c>
      <c r="BB23" s="912">
        <f t="shared" si="28"/>
        <v>130298250.00000003</v>
      </c>
      <c r="BC23" s="1407">
        <f t="shared" si="81"/>
        <v>12409435.453417631</v>
      </c>
      <c r="BD23" s="317">
        <v>11861079.99999998</v>
      </c>
      <c r="BE23" s="1483">
        <f t="shared" si="61"/>
        <v>35912154.115193449</v>
      </c>
      <c r="BF23" s="354">
        <f t="shared" si="62"/>
        <v>34600738</v>
      </c>
      <c r="BG23" s="913">
        <f t="shared" si="82"/>
        <v>72200351.728975311</v>
      </c>
      <c r="BH23" s="913">
        <f t="shared" si="82"/>
        <v>70145478</v>
      </c>
      <c r="BI23" s="912">
        <f t="shared" si="54"/>
        <v>140559640.10447732</v>
      </c>
      <c r="BJ23" s="912">
        <f t="shared" si="53"/>
        <v>142159330</v>
      </c>
      <c r="BK23" s="1202"/>
      <c r="BL23" s="528"/>
      <c r="BM23" s="1202"/>
      <c r="BN23" s="5479"/>
      <c r="BO23" s="5479"/>
      <c r="BP23" s="1202"/>
      <c r="BQ23" s="1202"/>
      <c r="BR23" s="26"/>
    </row>
    <row r="24" spans="1:70" x14ac:dyDescent="0.3">
      <c r="A24" s="269">
        <v>18</v>
      </c>
      <c r="B24" s="287" t="s">
        <v>488</v>
      </c>
      <c r="C24" s="13" t="s">
        <v>213</v>
      </c>
      <c r="D24" s="288">
        <v>3675250.0000000093</v>
      </c>
      <c r="E24" s="289">
        <v>4377139.9999999879</v>
      </c>
      <c r="G24" s="904" t="s">
        <v>753</v>
      </c>
      <c r="H24" s="886" t="s">
        <v>723</v>
      </c>
      <c r="I24" s="1407">
        <f t="shared" si="70"/>
        <v>21577053.824362602</v>
      </c>
      <c r="J24" s="317">
        <v>19132360.000000007</v>
      </c>
      <c r="K24" s="1407">
        <f t="shared" ref="K24" si="88">+K73*K$3*24*1000</f>
        <v>22264494.80642115</v>
      </c>
      <c r="L24" s="317">
        <v>20855320.000000004</v>
      </c>
      <c r="M24" s="912">
        <f t="shared" si="3"/>
        <v>43841548.630783752</v>
      </c>
      <c r="N24" s="912">
        <f t="shared" si="3"/>
        <v>39987680.000000015</v>
      </c>
      <c r="O24" s="1407">
        <f t="shared" si="72"/>
        <v>21577053.824362602</v>
      </c>
      <c r="P24" s="317">
        <v>19860070</v>
      </c>
      <c r="Q24" s="1483">
        <f t="shared" si="84"/>
        <v>65418602.455146357</v>
      </c>
      <c r="R24" s="354">
        <f t="shared" si="85"/>
        <v>59847750.000000015</v>
      </c>
      <c r="S24" s="1407">
        <f t="shared" si="73"/>
        <v>21834844.192634564</v>
      </c>
      <c r="T24" s="317">
        <v>20412479.999999993</v>
      </c>
      <c r="U24" s="912">
        <f t="shared" si="8"/>
        <v>87253446.647780925</v>
      </c>
      <c r="V24" s="912">
        <f t="shared" si="9"/>
        <v>80260230</v>
      </c>
      <c r="W24" s="1407">
        <f t="shared" si="74"/>
        <v>21834844.192634564</v>
      </c>
      <c r="X24" s="317">
        <v>19977985.000000007</v>
      </c>
      <c r="Y24" s="912">
        <f t="shared" si="11"/>
        <v>109088290.84041549</v>
      </c>
      <c r="Z24" s="912">
        <f t="shared" si="12"/>
        <v>100238215</v>
      </c>
      <c r="AA24" s="1407">
        <f t="shared" si="75"/>
        <v>12214781.869688384</v>
      </c>
      <c r="AB24" s="317">
        <v>19075500</v>
      </c>
      <c r="AC24" s="1483">
        <f t="shared" si="68"/>
        <v>55884470.254957512</v>
      </c>
      <c r="AD24" s="354">
        <f t="shared" si="69"/>
        <v>59465965</v>
      </c>
      <c r="AE24" s="913">
        <f t="shared" si="57"/>
        <v>121303072.71010387</v>
      </c>
      <c r="AF24" s="913">
        <f t="shared" si="58"/>
        <v>119313715.00000001</v>
      </c>
      <c r="AG24" s="1407">
        <f t="shared" si="76"/>
        <v>22264494.80642115</v>
      </c>
      <c r="AH24" s="317">
        <v>17140469.999999993</v>
      </c>
      <c r="AI24" s="912">
        <f t="shared" si="15"/>
        <v>143567567.51652503</v>
      </c>
      <c r="AJ24" s="912">
        <f t="shared" si="16"/>
        <v>136454185</v>
      </c>
      <c r="AK24" s="1407">
        <f t="shared" si="77"/>
        <v>21577053.824362602</v>
      </c>
      <c r="AL24" s="317">
        <v>20069990</v>
      </c>
      <c r="AM24" s="912">
        <f t="shared" si="18"/>
        <v>165144621.34088764</v>
      </c>
      <c r="AN24" s="912">
        <f t="shared" si="19"/>
        <v>156524175</v>
      </c>
      <c r="AO24" s="1407">
        <f t="shared" si="78"/>
        <v>22264494.80642115</v>
      </c>
      <c r="AP24" s="317">
        <v>20294950.000000011</v>
      </c>
      <c r="AQ24" s="1483">
        <f t="shared" si="59"/>
        <v>66106043.437204897</v>
      </c>
      <c r="AR24" s="354">
        <f t="shared" si="60"/>
        <v>57505410</v>
      </c>
      <c r="AS24" s="912">
        <f t="shared" si="21"/>
        <v>187409116.1473088</v>
      </c>
      <c r="AT24" s="912">
        <f t="shared" si="22"/>
        <v>176819125</v>
      </c>
      <c r="AU24" s="1407">
        <f t="shared" si="79"/>
        <v>22608215.297450427</v>
      </c>
      <c r="AV24" s="317">
        <v>20309500.000000004</v>
      </c>
      <c r="AW24" s="912">
        <f t="shared" si="24"/>
        <v>210017331.44475922</v>
      </c>
      <c r="AX24" s="912">
        <f t="shared" si="25"/>
        <v>197128625</v>
      </c>
      <c r="AY24" s="1407">
        <f t="shared" si="80"/>
        <v>20202171.860245515</v>
      </c>
      <c r="AZ24" s="317">
        <v>17159379.999999993</v>
      </c>
      <c r="BA24" s="912">
        <f t="shared" si="27"/>
        <v>230219503.30500475</v>
      </c>
      <c r="BB24" s="912">
        <f t="shared" si="28"/>
        <v>214288005</v>
      </c>
      <c r="BC24" s="1407">
        <f t="shared" si="81"/>
        <v>22608215.297450427</v>
      </c>
      <c r="BD24" s="317">
        <v>21097790</v>
      </c>
      <c r="BE24" s="1483">
        <f t="shared" si="61"/>
        <v>65418602.455146372</v>
      </c>
      <c r="BF24" s="354">
        <f t="shared" si="62"/>
        <v>58566670</v>
      </c>
      <c r="BG24" s="913">
        <f t="shared" si="82"/>
        <v>131524645.89235127</v>
      </c>
      <c r="BH24" s="913">
        <f t="shared" si="82"/>
        <v>116072080</v>
      </c>
      <c r="BI24" s="912">
        <f t="shared" si="54"/>
        <v>252827718.60245517</v>
      </c>
      <c r="BJ24" s="912">
        <f t="shared" si="53"/>
        <v>235385795</v>
      </c>
      <c r="BK24" s="1202"/>
      <c r="BL24" s="528"/>
      <c r="BM24" s="1202"/>
      <c r="BN24" s="5479"/>
      <c r="BO24" s="5479"/>
      <c r="BP24" s="1202"/>
      <c r="BQ24" s="1202"/>
      <c r="BR24" s="26"/>
    </row>
    <row r="25" spans="1:70" x14ac:dyDescent="0.3">
      <c r="A25" s="269">
        <v>19</v>
      </c>
      <c r="B25" s="287" t="s">
        <v>489</v>
      </c>
      <c r="C25" s="13" t="s">
        <v>213</v>
      </c>
      <c r="D25" s="288">
        <v>2119909.9999999995</v>
      </c>
      <c r="E25" s="289">
        <v>4863980</v>
      </c>
      <c r="G25" s="904" t="s">
        <v>754</v>
      </c>
      <c r="H25" s="886" t="s">
        <v>82</v>
      </c>
      <c r="I25" s="1407">
        <f t="shared" si="70"/>
        <v>1440000</v>
      </c>
      <c r="J25" s="317">
        <v>1149949.9999999991</v>
      </c>
      <c r="K25" s="1407">
        <f t="shared" ref="K25" si="89">+K74*K$3*24*1000</f>
        <v>1488000</v>
      </c>
      <c r="L25" s="317">
        <v>1284639.9999999995</v>
      </c>
      <c r="M25" s="912">
        <f t="shared" si="3"/>
        <v>2928000</v>
      </c>
      <c r="N25" s="912">
        <f t="shared" si="3"/>
        <v>2434589.9999999986</v>
      </c>
      <c r="O25" s="1407">
        <f t="shared" si="72"/>
        <v>1440000</v>
      </c>
      <c r="P25" s="317">
        <v>1330849.999999997</v>
      </c>
      <c r="Q25" s="1483">
        <f t="shared" si="84"/>
        <v>4368000</v>
      </c>
      <c r="R25" s="354">
        <f t="shared" si="85"/>
        <v>3765439.9999999953</v>
      </c>
      <c r="S25" s="1407">
        <f t="shared" si="73"/>
        <v>1488000</v>
      </c>
      <c r="T25" s="317">
        <v>1174270.0000000035</v>
      </c>
      <c r="U25" s="912">
        <f t="shared" si="8"/>
        <v>5856000</v>
      </c>
      <c r="V25" s="912">
        <f t="shared" si="9"/>
        <v>4939709.9999999991</v>
      </c>
      <c r="W25" s="1407">
        <f t="shared" si="74"/>
        <v>1488000</v>
      </c>
      <c r="X25" s="317">
        <v>1283100</v>
      </c>
      <c r="Y25" s="912">
        <f t="shared" si="11"/>
        <v>7344000</v>
      </c>
      <c r="Z25" s="912">
        <f t="shared" si="12"/>
        <v>6222809.9999999991</v>
      </c>
      <c r="AA25" s="1407">
        <f t="shared" si="75"/>
        <v>1440000</v>
      </c>
      <c r="AB25" s="317">
        <v>1261749.9999999991</v>
      </c>
      <c r="AC25" s="1483">
        <f t="shared" si="68"/>
        <v>4416000</v>
      </c>
      <c r="AD25" s="354">
        <f t="shared" si="69"/>
        <v>3719120.0000000028</v>
      </c>
      <c r="AE25" s="913">
        <f t="shared" si="57"/>
        <v>8784000</v>
      </c>
      <c r="AF25" s="913">
        <f t="shared" si="58"/>
        <v>7484559.9999999981</v>
      </c>
      <c r="AG25" s="1407">
        <f t="shared" si="76"/>
        <v>1488000</v>
      </c>
      <c r="AH25" s="317">
        <v>1037050.0000000003</v>
      </c>
      <c r="AI25" s="912">
        <f t="shared" si="15"/>
        <v>10272000</v>
      </c>
      <c r="AJ25" s="912">
        <f t="shared" si="16"/>
        <v>8521609.9999999981</v>
      </c>
      <c r="AK25" s="1407">
        <f t="shared" si="77"/>
        <v>1440000</v>
      </c>
      <c r="AL25" s="317">
        <v>1196350</v>
      </c>
      <c r="AM25" s="912">
        <f t="shared" si="18"/>
        <v>11712000</v>
      </c>
      <c r="AN25" s="912">
        <f t="shared" si="19"/>
        <v>9717959.9999999981</v>
      </c>
      <c r="AO25" s="1407">
        <f t="shared" si="78"/>
        <v>1488000</v>
      </c>
      <c r="AP25" s="317">
        <v>1168429.9999999981</v>
      </c>
      <c r="AQ25" s="1483">
        <f t="shared" si="59"/>
        <v>4416000</v>
      </c>
      <c r="AR25" s="354">
        <f t="shared" si="60"/>
        <v>3401829.9999999986</v>
      </c>
      <c r="AS25" s="912">
        <f t="shared" si="21"/>
        <v>13200000</v>
      </c>
      <c r="AT25" s="912">
        <f t="shared" si="22"/>
        <v>10886389.999999996</v>
      </c>
      <c r="AU25" s="1407">
        <f t="shared" si="79"/>
        <v>1488000</v>
      </c>
      <c r="AV25" s="317">
        <v>1244180.0000000047</v>
      </c>
      <c r="AW25" s="912">
        <f t="shared" si="24"/>
        <v>14688000</v>
      </c>
      <c r="AX25" s="912">
        <f t="shared" si="25"/>
        <v>12130570</v>
      </c>
      <c r="AY25" s="1407">
        <f t="shared" si="80"/>
        <v>1344000</v>
      </c>
      <c r="AZ25" s="317">
        <v>1120569.9999999988</v>
      </c>
      <c r="BA25" s="912">
        <f t="shared" si="27"/>
        <v>16032000</v>
      </c>
      <c r="BB25" s="912">
        <f t="shared" si="28"/>
        <v>13251139.999999998</v>
      </c>
      <c r="BC25" s="1407">
        <f t="shared" si="81"/>
        <v>1488000</v>
      </c>
      <c r="BD25" s="317">
        <v>1297249.999999997</v>
      </c>
      <c r="BE25" s="1483">
        <f t="shared" si="61"/>
        <v>4320000</v>
      </c>
      <c r="BF25" s="354">
        <f t="shared" si="62"/>
        <v>3662000.0000000009</v>
      </c>
      <c r="BG25" s="913">
        <f t="shared" si="82"/>
        <v>8736000</v>
      </c>
      <c r="BH25" s="913">
        <f t="shared" si="82"/>
        <v>7063830</v>
      </c>
      <c r="BI25" s="912">
        <f t="shared" si="54"/>
        <v>17520000</v>
      </c>
      <c r="BJ25" s="912">
        <f t="shared" si="53"/>
        <v>14548389.999999994</v>
      </c>
      <c r="BK25" s="1202"/>
      <c r="BL25" s="528"/>
      <c r="BM25" s="1202"/>
      <c r="BN25" s="5479"/>
      <c r="BO25" s="5479"/>
      <c r="BP25" s="1202"/>
      <c r="BQ25" s="1202"/>
      <c r="BR25" s="26"/>
    </row>
    <row r="26" spans="1:70" x14ac:dyDescent="0.3">
      <c r="A26" s="269">
        <v>20</v>
      </c>
      <c r="B26" s="287" t="s">
        <v>490</v>
      </c>
      <c r="C26" s="13" t="s">
        <v>213</v>
      </c>
      <c r="D26" s="288">
        <v>423946.99999999942</v>
      </c>
      <c r="E26" s="289">
        <v>543130.00000000047</v>
      </c>
      <c r="G26" s="904" t="s">
        <v>755</v>
      </c>
      <c r="H26" s="886" t="s">
        <v>488</v>
      </c>
      <c r="I26" s="1407">
        <f t="shared" si="70"/>
        <v>7362131.9332452696</v>
      </c>
      <c r="J26" s="317">
        <v>6448268.6666666623</v>
      </c>
      <c r="K26" s="1407">
        <f t="shared" ref="K26" si="90">+K75*K$3*24*1000</f>
        <v>7621971.8838303965</v>
      </c>
      <c r="L26" s="317">
        <v>6901113.0000000075</v>
      </c>
      <c r="M26" s="912">
        <f t="shared" si="3"/>
        <v>14984103.817075666</v>
      </c>
      <c r="N26" s="912">
        <f t="shared" si="3"/>
        <v>13349381.66666667</v>
      </c>
      <c r="O26" s="1407">
        <f t="shared" si="72"/>
        <v>7362131.9332452696</v>
      </c>
      <c r="P26" s="317">
        <v>6922432.3333333284</v>
      </c>
      <c r="Q26" s="1483">
        <f t="shared" si="84"/>
        <v>22346235.750320934</v>
      </c>
      <c r="R26" s="354">
        <f t="shared" si="85"/>
        <v>20271814</v>
      </c>
      <c r="S26" s="1407">
        <f t="shared" si="73"/>
        <v>7621971.8838303965</v>
      </c>
      <c r="T26" s="317">
        <v>7841078.3333333544</v>
      </c>
      <c r="U26" s="912">
        <f t="shared" si="8"/>
        <v>29968207.634151332</v>
      </c>
      <c r="V26" s="912">
        <f t="shared" si="9"/>
        <v>28112892.333333354</v>
      </c>
      <c r="W26" s="1407">
        <f t="shared" si="74"/>
        <v>7621971.8838303965</v>
      </c>
      <c r="X26" s="317">
        <v>6963410.9999999758</v>
      </c>
      <c r="Y26" s="912">
        <f t="shared" si="11"/>
        <v>37590179.51798173</v>
      </c>
      <c r="Z26" s="912">
        <f t="shared" si="12"/>
        <v>35076303.333333328</v>
      </c>
      <c r="AA26" s="1407">
        <f t="shared" si="75"/>
        <v>4568265.843085452</v>
      </c>
      <c r="AB26" s="317">
        <v>7182929.0000000158</v>
      </c>
      <c r="AC26" s="1483">
        <f t="shared" si="68"/>
        <v>19812209.610746246</v>
      </c>
      <c r="AD26" s="354">
        <f t="shared" si="69"/>
        <v>21987418.333333347</v>
      </c>
      <c r="AE26" s="913">
        <f t="shared" si="57"/>
        <v>42158445.361067176</v>
      </c>
      <c r="AF26" s="913">
        <f t="shared" si="58"/>
        <v>42259232.333333343</v>
      </c>
      <c r="AG26" s="1407">
        <f t="shared" si="76"/>
        <v>7362131.9332452696</v>
      </c>
      <c r="AH26" s="317">
        <v>5547879.3333333228</v>
      </c>
      <c r="AI26" s="912">
        <f t="shared" si="15"/>
        <v>49520577.294312447</v>
      </c>
      <c r="AJ26" s="912">
        <f t="shared" si="16"/>
        <v>47807111.666666664</v>
      </c>
      <c r="AK26" s="1407">
        <f t="shared" si="77"/>
        <v>7362131.9332452696</v>
      </c>
      <c r="AL26" s="317">
        <v>6512563.6666666623</v>
      </c>
      <c r="AM26" s="912">
        <f t="shared" si="18"/>
        <v>56882709.227557719</v>
      </c>
      <c r="AN26" s="912">
        <f t="shared" si="19"/>
        <v>54319675.333333328</v>
      </c>
      <c r="AO26" s="1407">
        <f t="shared" si="78"/>
        <v>7621971.8838303965</v>
      </c>
      <c r="AP26" s="317">
        <v>7109740.333333334</v>
      </c>
      <c r="AQ26" s="1483">
        <f t="shared" si="59"/>
        <v>22346235.750320934</v>
      </c>
      <c r="AR26" s="354">
        <f t="shared" si="60"/>
        <v>19170183.333333321</v>
      </c>
      <c r="AS26" s="912">
        <f t="shared" si="21"/>
        <v>64504681.111388117</v>
      </c>
      <c r="AT26" s="912">
        <f t="shared" si="22"/>
        <v>61429415.666666664</v>
      </c>
      <c r="AU26" s="1407">
        <f t="shared" si="79"/>
        <v>7708585.2006921051</v>
      </c>
      <c r="AV26" s="317">
        <v>7408421.3333333433</v>
      </c>
      <c r="AW26" s="912">
        <f t="shared" si="24"/>
        <v>72213266.312080219</v>
      </c>
      <c r="AX26" s="912">
        <f t="shared" si="25"/>
        <v>68837837</v>
      </c>
      <c r="AY26" s="1407">
        <f t="shared" si="80"/>
        <v>6929065.3489367226</v>
      </c>
      <c r="AZ26" s="317">
        <v>6514605.0000000028</v>
      </c>
      <c r="BA26" s="912">
        <f t="shared" si="27"/>
        <v>79142331.661016941</v>
      </c>
      <c r="BB26" s="912">
        <f t="shared" si="28"/>
        <v>75352442</v>
      </c>
      <c r="BC26" s="1407">
        <f t="shared" si="81"/>
        <v>7708585.2006921051</v>
      </c>
      <c r="BD26" s="317">
        <v>7028978.3333333144</v>
      </c>
      <c r="BE26" s="1483">
        <f t="shared" si="61"/>
        <v>22346235.750320934</v>
      </c>
      <c r="BF26" s="354">
        <f t="shared" si="62"/>
        <v>20952004.66666666</v>
      </c>
      <c r="BG26" s="913">
        <f t="shared" si="82"/>
        <v>44692471.500641868</v>
      </c>
      <c r="BH26" s="913">
        <f t="shared" si="82"/>
        <v>40122187.999999985</v>
      </c>
      <c r="BI26" s="912">
        <f t="shared" si="54"/>
        <v>86850916.861709043</v>
      </c>
      <c r="BJ26" s="912">
        <f t="shared" si="53"/>
        <v>82381420.333333313</v>
      </c>
      <c r="BK26" s="1202"/>
      <c r="BL26" s="528"/>
      <c r="BM26" s="1202"/>
      <c r="BN26" s="5479"/>
      <c r="BO26" s="5479"/>
      <c r="BP26" s="1202"/>
      <c r="BQ26" s="1202"/>
      <c r="BR26" s="26"/>
    </row>
    <row r="27" spans="1:70" x14ac:dyDescent="0.3">
      <c r="A27" s="269">
        <v>21</v>
      </c>
      <c r="B27" s="287" t="s">
        <v>756</v>
      </c>
      <c r="C27" s="13" t="s">
        <v>213</v>
      </c>
      <c r="D27" s="288">
        <v>378639</v>
      </c>
      <c r="E27" s="289">
        <v>383365</v>
      </c>
      <c r="G27" s="904" t="s">
        <v>757</v>
      </c>
      <c r="H27" s="886" t="s">
        <v>489</v>
      </c>
      <c r="I27" s="1407">
        <f t="shared" si="70"/>
        <v>6233283.9851005385</v>
      </c>
      <c r="J27" s="317">
        <v>5507826.6666666735</v>
      </c>
      <c r="K27" s="1407">
        <f t="shared" ref="K27" si="91">+K76*K$3*24*1000</f>
        <v>6479334.6687229276</v>
      </c>
      <c r="L27" s="317">
        <v>6109584.9999999991</v>
      </c>
      <c r="M27" s="912">
        <f t="shared" si="3"/>
        <v>12712618.653823465</v>
      </c>
      <c r="N27" s="912">
        <f t="shared" si="3"/>
        <v>11617411.666666672</v>
      </c>
      <c r="O27" s="1407">
        <f t="shared" si="72"/>
        <v>6233283.9851005385</v>
      </c>
      <c r="P27" s="317">
        <v>6101723.3333333191</v>
      </c>
      <c r="Q27" s="1483">
        <f t="shared" si="84"/>
        <v>18945902.638924003</v>
      </c>
      <c r="R27" s="354">
        <f t="shared" si="85"/>
        <v>17719134.999999993</v>
      </c>
      <c r="S27" s="1407">
        <f t="shared" si="73"/>
        <v>6479334.6687229276</v>
      </c>
      <c r="T27" s="317">
        <v>6624798.3333333451</v>
      </c>
      <c r="U27" s="912">
        <f t="shared" si="8"/>
        <v>25425237.30764693</v>
      </c>
      <c r="V27" s="912">
        <f t="shared" si="9"/>
        <v>24343933.333333336</v>
      </c>
      <c r="W27" s="1407">
        <f t="shared" si="74"/>
        <v>6479334.6687229276</v>
      </c>
      <c r="X27" s="317">
        <v>6379560.0000000093</v>
      </c>
      <c r="Y27" s="912">
        <f t="shared" si="11"/>
        <v>31904571.976369858</v>
      </c>
      <c r="Z27" s="912">
        <f t="shared" si="12"/>
        <v>30723493.333333343</v>
      </c>
      <c r="AA27" s="1407">
        <f t="shared" si="75"/>
        <v>4068602.4906878364</v>
      </c>
      <c r="AB27" s="317">
        <v>6181474.9999999786</v>
      </c>
      <c r="AC27" s="1483">
        <f t="shared" si="68"/>
        <v>17027271.828133691</v>
      </c>
      <c r="AD27" s="354">
        <f t="shared" si="69"/>
        <v>19185833.333333332</v>
      </c>
      <c r="AE27" s="913">
        <f t="shared" si="57"/>
        <v>35973174.46705769</v>
      </c>
      <c r="AF27" s="913">
        <f t="shared" si="58"/>
        <v>36904968.333333328</v>
      </c>
      <c r="AG27" s="1407">
        <f t="shared" si="76"/>
        <v>6397317.7741821306</v>
      </c>
      <c r="AH27" s="317">
        <v>4587853.3333333451</v>
      </c>
      <c r="AI27" s="912">
        <f t="shared" si="15"/>
        <v>42370492.241239823</v>
      </c>
      <c r="AJ27" s="912">
        <f t="shared" si="16"/>
        <v>41492821.666666672</v>
      </c>
      <c r="AK27" s="1407">
        <f t="shared" si="77"/>
        <v>6233283.9851005385</v>
      </c>
      <c r="AL27" s="317">
        <v>5907461.6666666539</v>
      </c>
      <c r="AM27" s="912">
        <f t="shared" si="18"/>
        <v>48603776.226340361</v>
      </c>
      <c r="AN27" s="912">
        <f t="shared" si="19"/>
        <v>47400283.333333328</v>
      </c>
      <c r="AO27" s="1407">
        <f t="shared" si="78"/>
        <v>6479334.6687229276</v>
      </c>
      <c r="AP27" s="317">
        <v>6448303.3333333479</v>
      </c>
      <c r="AQ27" s="1483">
        <f t="shared" si="59"/>
        <v>19109936.428005598</v>
      </c>
      <c r="AR27" s="354">
        <f t="shared" si="60"/>
        <v>16943618.333333347</v>
      </c>
      <c r="AS27" s="912">
        <f t="shared" si="21"/>
        <v>55083110.895063289</v>
      </c>
      <c r="AT27" s="912">
        <f t="shared" si="22"/>
        <v>53848586.666666679</v>
      </c>
      <c r="AU27" s="1407">
        <f t="shared" si="79"/>
        <v>6479334.6687229276</v>
      </c>
      <c r="AV27" s="317">
        <v>6498523.3333333377</v>
      </c>
      <c r="AW27" s="912">
        <f t="shared" si="24"/>
        <v>61562445.563786216</v>
      </c>
      <c r="AX27" s="912">
        <f t="shared" si="25"/>
        <v>60347110.000000015</v>
      </c>
      <c r="AY27" s="1407">
        <f t="shared" si="80"/>
        <v>5864207.9596669534</v>
      </c>
      <c r="AZ27" s="317">
        <v>5990404.9999999991</v>
      </c>
      <c r="BA27" s="912">
        <f t="shared" si="27"/>
        <v>67426653.523453176</v>
      </c>
      <c r="BB27" s="912">
        <f t="shared" si="28"/>
        <v>66337515.000000015</v>
      </c>
      <c r="BC27" s="1407">
        <f t="shared" si="81"/>
        <v>6561351.5632637246</v>
      </c>
      <c r="BD27" s="317">
        <v>6297818.3333333377</v>
      </c>
      <c r="BE27" s="1483">
        <f t="shared" si="61"/>
        <v>18904894.191653606</v>
      </c>
      <c r="BF27" s="354">
        <f t="shared" si="62"/>
        <v>18786746.666666672</v>
      </c>
      <c r="BG27" s="913">
        <f t="shared" si="82"/>
        <v>38014830.6196592</v>
      </c>
      <c r="BH27" s="913">
        <f t="shared" si="82"/>
        <v>35730365.000000015</v>
      </c>
      <c r="BI27" s="912">
        <f t="shared" si="54"/>
        <v>73988005.086716905</v>
      </c>
      <c r="BJ27" s="912">
        <f t="shared" si="53"/>
        <v>72635333.333333358</v>
      </c>
      <c r="BK27" s="1202"/>
      <c r="BL27" s="528"/>
      <c r="BM27" s="1202"/>
      <c r="BN27" s="5479"/>
      <c r="BO27" s="5479"/>
      <c r="BP27" s="1202"/>
      <c r="BQ27" s="1202"/>
      <c r="BR27" s="26"/>
    </row>
    <row r="28" spans="1:70" x14ac:dyDescent="0.3">
      <c r="A28" s="269">
        <v>22</v>
      </c>
      <c r="B28" s="287" t="s">
        <v>758</v>
      </c>
      <c r="C28" s="13" t="s">
        <v>213</v>
      </c>
      <c r="D28" s="288">
        <v>5408863.7999999998</v>
      </c>
      <c r="E28" s="289">
        <v>5589150</v>
      </c>
      <c r="G28" s="904" t="s">
        <v>759</v>
      </c>
      <c r="H28" s="886" t="s">
        <v>490</v>
      </c>
      <c r="I28" s="1407">
        <f t="shared" si="70"/>
        <v>5418995.2669036752</v>
      </c>
      <c r="J28" s="317">
        <v>3834116.8666666714</v>
      </c>
      <c r="K28" s="1407">
        <f t="shared" ref="K28" si="92">+K77*K$3*24*1000</f>
        <v>5681204.7153022392</v>
      </c>
      <c r="L28" s="317">
        <v>4383551.9999999981</v>
      </c>
      <c r="M28" s="912">
        <f t="shared" si="3"/>
        <v>11100199.982205914</v>
      </c>
      <c r="N28" s="912">
        <f t="shared" si="3"/>
        <v>8217668.866666669</v>
      </c>
      <c r="O28" s="1407">
        <f t="shared" si="72"/>
        <v>5462696.8416367695</v>
      </c>
      <c r="P28" s="317">
        <v>4293833.3333333321</v>
      </c>
      <c r="Q28" s="1483">
        <f t="shared" si="84"/>
        <v>16562896.823842684</v>
      </c>
      <c r="R28" s="354">
        <f t="shared" si="85"/>
        <v>12511502.200000001</v>
      </c>
      <c r="S28" s="1407">
        <f t="shared" si="73"/>
        <v>5681204.7153022392</v>
      </c>
      <c r="T28" s="317">
        <v>4334408.3333333256</v>
      </c>
      <c r="U28" s="912">
        <f t="shared" si="8"/>
        <v>22244101.539144922</v>
      </c>
      <c r="V28" s="912">
        <f t="shared" si="9"/>
        <v>16845910.533333328</v>
      </c>
      <c r="W28" s="1407">
        <f t="shared" si="74"/>
        <v>5681204.7153022392</v>
      </c>
      <c r="X28" s="317">
        <v>3962541.0000000037</v>
      </c>
      <c r="Y28" s="912">
        <f t="shared" si="11"/>
        <v>27925306.254447162</v>
      </c>
      <c r="Z28" s="912">
        <f t="shared" si="12"/>
        <v>20808451.533333331</v>
      </c>
      <c r="AA28" s="1407">
        <f t="shared" si="75"/>
        <v>3230405.5071173077</v>
      </c>
      <c r="AB28" s="317">
        <v>4053481.0000000028</v>
      </c>
      <c r="AC28" s="1483">
        <f t="shared" si="68"/>
        <v>14592814.937721785</v>
      </c>
      <c r="AD28" s="354">
        <f t="shared" si="69"/>
        <v>12350430.333333332</v>
      </c>
      <c r="AE28" s="913">
        <f t="shared" si="57"/>
        <v>31155711.761564471</v>
      </c>
      <c r="AF28" s="913">
        <f t="shared" si="58"/>
        <v>24861932.533333331</v>
      </c>
      <c r="AG28" s="1407">
        <f t="shared" si="76"/>
        <v>5856011.0142346155</v>
      </c>
      <c r="AH28" s="317">
        <v>2894984.3333333354</v>
      </c>
      <c r="AI28" s="912">
        <f t="shared" si="15"/>
        <v>37011722.775799088</v>
      </c>
      <c r="AJ28" s="912">
        <f t="shared" si="16"/>
        <v>27756916.866666667</v>
      </c>
      <c r="AK28" s="1407">
        <f t="shared" si="77"/>
        <v>5681204.7153022392</v>
      </c>
      <c r="AL28" s="317">
        <v>3936189.6666666646</v>
      </c>
      <c r="AM28" s="912">
        <f t="shared" si="18"/>
        <v>42692927.491101325</v>
      </c>
      <c r="AN28" s="912">
        <f t="shared" si="19"/>
        <v>31693106.533333331</v>
      </c>
      <c r="AO28" s="1407">
        <f t="shared" si="78"/>
        <v>5899712.5889677098</v>
      </c>
      <c r="AP28" s="317">
        <v>4167595.3333333298</v>
      </c>
      <c r="AQ28" s="1483">
        <f t="shared" si="59"/>
        <v>17436928.318504564</v>
      </c>
      <c r="AR28" s="354">
        <f t="shared" si="60"/>
        <v>10998769.33333333</v>
      </c>
      <c r="AS28" s="912">
        <f t="shared" si="21"/>
        <v>48592640.080069035</v>
      </c>
      <c r="AT28" s="912">
        <f t="shared" si="22"/>
        <v>35860701.86666666</v>
      </c>
      <c r="AU28" s="1407">
        <f t="shared" si="79"/>
        <v>5943414.1637008041</v>
      </c>
      <c r="AV28" s="317">
        <v>4334470.333333334</v>
      </c>
      <c r="AW28" s="912">
        <f t="shared" si="24"/>
        <v>54536054.243769839</v>
      </c>
      <c r="AX28" s="912">
        <f t="shared" si="25"/>
        <v>40195172.199999996</v>
      </c>
      <c r="AY28" s="1407">
        <f t="shared" si="80"/>
        <v>5331592.1174374856</v>
      </c>
      <c r="AZ28" s="317">
        <v>3892468.0000000093</v>
      </c>
      <c r="BA28" s="912">
        <f t="shared" si="27"/>
        <v>59867646.361207321</v>
      </c>
      <c r="BB28" s="912">
        <f t="shared" si="28"/>
        <v>44087640.200000003</v>
      </c>
      <c r="BC28" s="1407">
        <f t="shared" si="81"/>
        <v>5987115.7384338975</v>
      </c>
      <c r="BD28" s="317">
        <v>4348140.3333333246</v>
      </c>
      <c r="BE28" s="1483">
        <f t="shared" si="61"/>
        <v>17262122.019572187</v>
      </c>
      <c r="BF28" s="354">
        <f t="shared" si="62"/>
        <v>12575078.666666668</v>
      </c>
      <c r="BG28" s="913">
        <f t="shared" si="82"/>
        <v>34699050.338076755</v>
      </c>
      <c r="BH28" s="913">
        <f t="shared" si="82"/>
        <v>23573848</v>
      </c>
      <c r="BI28" s="912">
        <f t="shared" si="54"/>
        <v>65854762.099641219</v>
      </c>
      <c r="BJ28" s="912">
        <f t="shared" si="53"/>
        <v>48435780.533333331</v>
      </c>
      <c r="BK28" s="1202"/>
      <c r="BL28" s="528"/>
      <c r="BM28" s="1202"/>
      <c r="BN28" s="5479"/>
      <c r="BO28" s="5479"/>
      <c r="BP28" s="1202"/>
      <c r="BQ28" s="1202"/>
      <c r="BR28" s="26"/>
    </row>
    <row r="29" spans="1:70" x14ac:dyDescent="0.3">
      <c r="A29" s="269">
        <v>23</v>
      </c>
      <c r="B29" s="287" t="s">
        <v>724</v>
      </c>
      <c r="C29" s="13" t="s">
        <v>213</v>
      </c>
      <c r="D29" s="288">
        <v>24602610.000000015</v>
      </c>
      <c r="E29" s="289">
        <v>25208649.999999989</v>
      </c>
      <c r="G29" s="904" t="s">
        <v>760</v>
      </c>
      <c r="H29" s="886" t="s">
        <v>724</v>
      </c>
      <c r="I29" s="1407">
        <f t="shared" si="70"/>
        <v>24768000</v>
      </c>
      <c r="J29" s="317">
        <v>25267294.999999914</v>
      </c>
      <c r="K29" s="1407">
        <f t="shared" ref="K29" si="93">+K78*K$3*24*1000</f>
        <v>25593600</v>
      </c>
      <c r="L29" s="317">
        <v>25992975</v>
      </c>
      <c r="M29" s="912">
        <f t="shared" si="3"/>
        <v>50361600</v>
      </c>
      <c r="N29" s="912">
        <f t="shared" si="3"/>
        <v>51260269.999999911</v>
      </c>
      <c r="O29" s="1407">
        <f t="shared" si="72"/>
        <v>24768000</v>
      </c>
      <c r="P29" s="317">
        <v>25499298.999999911</v>
      </c>
      <c r="Q29" s="1483">
        <f t="shared" si="84"/>
        <v>75129600</v>
      </c>
      <c r="R29" s="354">
        <f t="shared" si="85"/>
        <v>76759568.999999821</v>
      </c>
      <c r="S29" s="1407">
        <f t="shared" si="73"/>
        <v>25593600</v>
      </c>
      <c r="T29" s="317">
        <v>26238659.000000089</v>
      </c>
      <c r="U29" s="912">
        <f t="shared" si="8"/>
        <v>100723200</v>
      </c>
      <c r="V29" s="912">
        <f t="shared" si="9"/>
        <v>102998227.99999991</v>
      </c>
      <c r="W29" s="1407">
        <f t="shared" si="74"/>
        <v>25593600</v>
      </c>
      <c r="X29" s="317">
        <v>26137079.999999899</v>
      </c>
      <c r="Y29" s="912">
        <f t="shared" si="11"/>
        <v>126316800</v>
      </c>
      <c r="Z29" s="912">
        <f t="shared" si="12"/>
        <v>129135307.99999981</v>
      </c>
      <c r="AA29" s="1407">
        <f t="shared" si="75"/>
        <v>16509599.999999998</v>
      </c>
      <c r="AB29" s="317">
        <v>25447567</v>
      </c>
      <c r="AC29" s="1483">
        <f t="shared" si="68"/>
        <v>67696800</v>
      </c>
      <c r="AD29" s="354">
        <f t="shared" si="69"/>
        <v>77823305.999999985</v>
      </c>
      <c r="AE29" s="913">
        <f t="shared" si="57"/>
        <v>142826400</v>
      </c>
      <c r="AF29" s="913">
        <f t="shared" si="58"/>
        <v>154582874.99999982</v>
      </c>
      <c r="AG29" s="1407">
        <f t="shared" si="76"/>
        <v>25593600</v>
      </c>
      <c r="AH29" s="317">
        <v>25941650.000000093</v>
      </c>
      <c r="AI29" s="912">
        <f t="shared" si="15"/>
        <v>168420000</v>
      </c>
      <c r="AJ29" s="912">
        <f t="shared" si="16"/>
        <v>180524524.99999991</v>
      </c>
      <c r="AK29" s="1407">
        <f t="shared" si="77"/>
        <v>24768000</v>
      </c>
      <c r="AL29" s="317">
        <v>25022552.000000093</v>
      </c>
      <c r="AM29" s="912">
        <f t="shared" si="18"/>
        <v>193188000</v>
      </c>
      <c r="AN29" s="912">
        <f t="shared" si="19"/>
        <v>205547077</v>
      </c>
      <c r="AO29" s="1407">
        <f t="shared" si="78"/>
        <v>25593600</v>
      </c>
      <c r="AP29" s="317">
        <v>25806187.999999829</v>
      </c>
      <c r="AQ29" s="1483">
        <f t="shared" si="59"/>
        <v>75955200</v>
      </c>
      <c r="AR29" s="354">
        <f t="shared" si="60"/>
        <v>76770390.000000015</v>
      </c>
      <c r="AS29" s="912">
        <f t="shared" si="21"/>
        <v>218781600</v>
      </c>
      <c r="AT29" s="912">
        <f t="shared" si="22"/>
        <v>231353264.99999982</v>
      </c>
      <c r="AU29" s="1407">
        <f t="shared" si="79"/>
        <v>25593600</v>
      </c>
      <c r="AV29" s="317">
        <v>25369403.00000003</v>
      </c>
      <c r="AW29" s="912">
        <f t="shared" si="24"/>
        <v>244375200</v>
      </c>
      <c r="AX29" s="912">
        <f t="shared" si="25"/>
        <v>256722667.99999985</v>
      </c>
      <c r="AY29" s="1407">
        <f t="shared" si="80"/>
        <v>23116800</v>
      </c>
      <c r="AZ29" s="317">
        <v>23439559.999999974</v>
      </c>
      <c r="BA29" s="912">
        <f t="shared" si="27"/>
        <v>267492000</v>
      </c>
      <c r="BB29" s="912">
        <f t="shared" si="28"/>
        <v>280162227.99999982</v>
      </c>
      <c r="BC29" s="1407">
        <f t="shared" si="81"/>
        <v>25593600</v>
      </c>
      <c r="BD29" s="317">
        <v>26017956.000000075</v>
      </c>
      <c r="BE29" s="1483">
        <f t="shared" si="61"/>
        <v>74304000</v>
      </c>
      <c r="BF29" s="354">
        <f t="shared" si="62"/>
        <v>74826919.000000075</v>
      </c>
      <c r="BG29" s="913">
        <f t="shared" si="82"/>
        <v>150259200</v>
      </c>
      <c r="BH29" s="913">
        <f t="shared" si="82"/>
        <v>151597309.00000009</v>
      </c>
      <c r="BI29" s="912">
        <f t="shared" si="54"/>
        <v>293085600</v>
      </c>
      <c r="BJ29" s="912">
        <f t="shared" si="53"/>
        <v>306180183.99999988</v>
      </c>
      <c r="BK29" s="1202"/>
      <c r="BL29" s="528"/>
      <c r="BM29" s="1202"/>
      <c r="BN29" s="5479"/>
      <c r="BO29" s="5479"/>
      <c r="BP29" s="1202"/>
      <c r="BQ29" s="1202"/>
      <c r="BR29" s="26"/>
    </row>
    <row r="30" spans="1:70" x14ac:dyDescent="0.3">
      <c r="A30" s="269">
        <v>24</v>
      </c>
      <c r="B30" s="287" t="s">
        <v>491</v>
      </c>
      <c r="C30" s="13" t="s">
        <v>213</v>
      </c>
      <c r="D30" s="288">
        <v>3577000</v>
      </c>
      <c r="E30" s="289">
        <v>3313400.0000000051</v>
      </c>
      <c r="G30" s="904" t="s">
        <v>761</v>
      </c>
      <c r="H30" s="886" t="s">
        <v>491</v>
      </c>
      <c r="I30" s="1407">
        <f t="shared" si="70"/>
        <v>3888000</v>
      </c>
      <c r="J30" s="317">
        <v>3836600.000000013</v>
      </c>
      <c r="K30" s="1407">
        <f t="shared" ref="K30" si="94">+K79*K$3*24*1000</f>
        <v>4017600.0000000005</v>
      </c>
      <c r="L30" s="317">
        <v>4056899.9999999944</v>
      </c>
      <c r="M30" s="912">
        <f t="shared" si="3"/>
        <v>7905600</v>
      </c>
      <c r="N30" s="912">
        <f t="shared" si="3"/>
        <v>7893500.0000000075</v>
      </c>
      <c r="O30" s="1407">
        <f t="shared" si="72"/>
        <v>3888000</v>
      </c>
      <c r="P30" s="317">
        <v>4042799.9999999884</v>
      </c>
      <c r="Q30" s="1483">
        <f t="shared" si="84"/>
        <v>11793600</v>
      </c>
      <c r="R30" s="354">
        <f t="shared" si="85"/>
        <v>11936299.999999996</v>
      </c>
      <c r="S30" s="1407">
        <f t="shared" si="73"/>
        <v>4017600.0000000005</v>
      </c>
      <c r="T30" s="317">
        <v>4275000.0000000149</v>
      </c>
      <c r="U30" s="912">
        <f t="shared" si="8"/>
        <v>15811200</v>
      </c>
      <c r="V30" s="912">
        <f t="shared" si="9"/>
        <v>16211300.000000011</v>
      </c>
      <c r="W30" s="1407">
        <f t="shared" si="74"/>
        <v>4017600.0000000005</v>
      </c>
      <c r="X30" s="317">
        <v>4063099.9999999842</v>
      </c>
      <c r="Y30" s="912">
        <f t="shared" si="11"/>
        <v>19828800</v>
      </c>
      <c r="Z30" s="912">
        <f t="shared" si="12"/>
        <v>20274399.999999996</v>
      </c>
      <c r="AA30" s="1407">
        <f t="shared" si="75"/>
        <v>3888000</v>
      </c>
      <c r="AB30" s="317">
        <v>4065000</v>
      </c>
      <c r="AC30" s="1483">
        <f t="shared" si="68"/>
        <v>11923200</v>
      </c>
      <c r="AD30" s="354">
        <f t="shared" si="69"/>
        <v>12403100</v>
      </c>
      <c r="AE30" s="913">
        <f t="shared" si="57"/>
        <v>23716800</v>
      </c>
      <c r="AF30" s="913">
        <f t="shared" si="58"/>
        <v>24339399.999999996</v>
      </c>
      <c r="AG30" s="1407">
        <f t="shared" si="76"/>
        <v>4017600.0000000005</v>
      </c>
      <c r="AH30" s="317">
        <v>3611500.0000000075</v>
      </c>
      <c r="AI30" s="912">
        <f t="shared" si="15"/>
        <v>27734400</v>
      </c>
      <c r="AJ30" s="912">
        <f t="shared" si="16"/>
        <v>27950900.000000004</v>
      </c>
      <c r="AK30" s="1407">
        <f t="shared" si="77"/>
        <v>3888000</v>
      </c>
      <c r="AL30" s="317">
        <v>3885699.9999999972</v>
      </c>
      <c r="AM30" s="912">
        <f t="shared" si="18"/>
        <v>31622400</v>
      </c>
      <c r="AN30" s="912">
        <f t="shared" si="19"/>
        <v>31836600</v>
      </c>
      <c r="AO30" s="1407">
        <f t="shared" si="78"/>
        <v>4017600.0000000005</v>
      </c>
      <c r="AP30" s="317">
        <v>4202099.9999999981</v>
      </c>
      <c r="AQ30" s="1483">
        <f t="shared" si="59"/>
        <v>11923200</v>
      </c>
      <c r="AR30" s="354">
        <f t="shared" si="60"/>
        <v>11699300.000000004</v>
      </c>
      <c r="AS30" s="912">
        <f t="shared" si="21"/>
        <v>35640000</v>
      </c>
      <c r="AT30" s="912">
        <f t="shared" si="22"/>
        <v>36038700</v>
      </c>
      <c r="AU30" s="1407">
        <f t="shared" si="79"/>
        <v>4017600.0000000005</v>
      </c>
      <c r="AV30" s="317">
        <v>4029699.9999999898</v>
      </c>
      <c r="AW30" s="912">
        <f t="shared" si="24"/>
        <v>39657600</v>
      </c>
      <c r="AX30" s="912">
        <f t="shared" si="25"/>
        <v>40068399.999999993</v>
      </c>
      <c r="AY30" s="1407">
        <f t="shared" si="80"/>
        <v>3628800</v>
      </c>
      <c r="AZ30" s="317">
        <v>3623600.0000000056</v>
      </c>
      <c r="BA30" s="912">
        <f t="shared" si="27"/>
        <v>43286400</v>
      </c>
      <c r="BB30" s="912">
        <f t="shared" si="28"/>
        <v>43692000</v>
      </c>
      <c r="BC30" s="1407">
        <f t="shared" si="81"/>
        <v>4017600.0000000005</v>
      </c>
      <c r="BD30" s="317">
        <v>4073500</v>
      </c>
      <c r="BE30" s="1483">
        <f t="shared" si="61"/>
        <v>11664000</v>
      </c>
      <c r="BF30" s="354">
        <f t="shared" si="62"/>
        <v>11726799.999999996</v>
      </c>
      <c r="BG30" s="913">
        <f t="shared" si="82"/>
        <v>23587200</v>
      </c>
      <c r="BH30" s="913">
        <f t="shared" si="82"/>
        <v>23426100</v>
      </c>
      <c r="BI30" s="912">
        <f t="shared" si="54"/>
        <v>47304000</v>
      </c>
      <c r="BJ30" s="912">
        <f t="shared" si="53"/>
        <v>47765500</v>
      </c>
      <c r="BK30" s="1202"/>
      <c r="BL30" s="528"/>
      <c r="BM30" s="1202"/>
      <c r="BN30" s="5479"/>
      <c r="BO30" s="5479"/>
      <c r="BP30" s="1202"/>
      <c r="BQ30" s="1202"/>
      <c r="BR30" s="26"/>
    </row>
    <row r="31" spans="1:70" x14ac:dyDescent="0.3">
      <c r="A31" s="269">
        <v>25</v>
      </c>
      <c r="B31" s="287" t="s">
        <v>762</v>
      </c>
      <c r="C31" s="13" t="s">
        <v>213</v>
      </c>
      <c r="D31" s="288">
        <v>2204510.0000000019</v>
      </c>
      <c r="E31" s="289">
        <v>2354639.9999999991</v>
      </c>
      <c r="G31" s="904" t="s">
        <v>763</v>
      </c>
      <c r="H31" s="886" t="s">
        <v>725</v>
      </c>
      <c r="I31" s="1406">
        <f t="shared" si="70"/>
        <v>648000</v>
      </c>
      <c r="J31" s="317">
        <v>612779.99999999721</v>
      </c>
      <c r="K31" s="1406">
        <f t="shared" ref="K31" si="95">+K80*K$3*24*1000</f>
        <v>669600</v>
      </c>
      <c r="L31" s="317">
        <v>634170.00000000163</v>
      </c>
      <c r="M31" s="912">
        <f t="shared" si="3"/>
        <v>1317600</v>
      </c>
      <c r="N31" s="912">
        <f t="shared" si="3"/>
        <v>1246949.9999999988</v>
      </c>
      <c r="O31" s="1406">
        <f t="shared" si="72"/>
        <v>648000</v>
      </c>
      <c r="P31" s="317">
        <v>624429.99999999907</v>
      </c>
      <c r="Q31" s="1483">
        <f t="shared" si="84"/>
        <v>1965600</v>
      </c>
      <c r="R31" s="354">
        <f t="shared" si="85"/>
        <v>1871379.9999999979</v>
      </c>
      <c r="S31" s="1406">
        <f t="shared" si="73"/>
        <v>669600</v>
      </c>
      <c r="T31" s="317">
        <v>650400.00000000105</v>
      </c>
      <c r="U31" s="912">
        <f t="shared" si="8"/>
        <v>2635200</v>
      </c>
      <c r="V31" s="912">
        <f t="shared" si="9"/>
        <v>2521779.9999999991</v>
      </c>
      <c r="W31" s="1406">
        <f t="shared" si="74"/>
        <v>669600</v>
      </c>
      <c r="X31" s="317">
        <v>634049.99999999837</v>
      </c>
      <c r="Y31" s="912">
        <f t="shared" si="11"/>
        <v>3304800</v>
      </c>
      <c r="Z31" s="912">
        <f t="shared" si="12"/>
        <v>3155829.9999999972</v>
      </c>
      <c r="AA31" s="1406">
        <f t="shared" si="75"/>
        <v>648000</v>
      </c>
      <c r="AB31" s="317">
        <v>608530.00000000163</v>
      </c>
      <c r="AC31" s="1482">
        <f t="shared" si="68"/>
        <v>1987200</v>
      </c>
      <c r="AD31" s="354">
        <f t="shared" si="69"/>
        <v>1892980.0000000012</v>
      </c>
      <c r="AE31" s="913">
        <f t="shared" si="57"/>
        <v>3952800</v>
      </c>
      <c r="AF31" s="913">
        <f t="shared" si="58"/>
        <v>3764359.9999999991</v>
      </c>
      <c r="AG31" s="1406">
        <f t="shared" si="76"/>
        <v>669600</v>
      </c>
      <c r="AH31" s="317">
        <v>624680.00000000163</v>
      </c>
      <c r="AI31" s="912">
        <f t="shared" si="15"/>
        <v>4622400</v>
      </c>
      <c r="AJ31" s="912">
        <f t="shared" si="16"/>
        <v>4389040.0000000009</v>
      </c>
      <c r="AK31" s="1406">
        <f t="shared" si="77"/>
        <v>648000</v>
      </c>
      <c r="AL31" s="317">
        <v>587229.99999999907</v>
      </c>
      <c r="AM31" s="912">
        <f t="shared" si="18"/>
        <v>5270400</v>
      </c>
      <c r="AN31" s="912">
        <f t="shared" si="19"/>
        <v>4976270</v>
      </c>
      <c r="AO31" s="1406">
        <f t="shared" si="78"/>
        <v>669600</v>
      </c>
      <c r="AP31" s="317">
        <v>594459.9999999986</v>
      </c>
      <c r="AQ31" s="1482">
        <f t="shared" si="59"/>
        <v>1987200</v>
      </c>
      <c r="AR31" s="354">
        <f t="shared" si="60"/>
        <v>1806369.9999999993</v>
      </c>
      <c r="AS31" s="912">
        <f t="shared" si="21"/>
        <v>5940000</v>
      </c>
      <c r="AT31" s="912">
        <f t="shared" si="22"/>
        <v>5570729.9999999981</v>
      </c>
      <c r="AU31" s="1406">
        <f t="shared" si="79"/>
        <v>669600</v>
      </c>
      <c r="AV31" s="317">
        <v>609220.00000000116</v>
      </c>
      <c r="AW31" s="912">
        <f t="shared" si="24"/>
        <v>6609600</v>
      </c>
      <c r="AX31" s="912">
        <f t="shared" si="25"/>
        <v>6179949.9999999991</v>
      </c>
      <c r="AY31" s="1406">
        <f t="shared" si="80"/>
        <v>604800</v>
      </c>
      <c r="AZ31" s="317">
        <v>538579.99999999988</v>
      </c>
      <c r="BA31" s="912">
        <f t="shared" si="27"/>
        <v>7214400</v>
      </c>
      <c r="BB31" s="912">
        <f t="shared" si="28"/>
        <v>6718529.9999999991</v>
      </c>
      <c r="BC31" s="1406">
        <f t="shared" si="81"/>
        <v>669600</v>
      </c>
      <c r="BD31" s="317">
        <v>637669.9999999986</v>
      </c>
      <c r="BE31" s="1482">
        <f t="shared" si="61"/>
        <v>1944000</v>
      </c>
      <c r="BF31" s="354">
        <f t="shared" si="62"/>
        <v>1785469.9999999995</v>
      </c>
      <c r="BG31" s="913">
        <f t="shared" si="82"/>
        <v>3931200</v>
      </c>
      <c r="BH31" s="913">
        <f t="shared" si="82"/>
        <v>3591839.9999999991</v>
      </c>
      <c r="BI31" s="912">
        <f t="shared" si="54"/>
        <v>7884000</v>
      </c>
      <c r="BJ31" s="912">
        <f t="shared" si="53"/>
        <v>7356199.9999999981</v>
      </c>
      <c r="BK31" s="1202"/>
      <c r="BL31" s="528"/>
      <c r="BM31" s="1202"/>
      <c r="BN31" s="5479"/>
      <c r="BO31" s="5479"/>
      <c r="BP31" s="1202"/>
      <c r="BQ31" s="1202"/>
      <c r="BR31" s="26"/>
    </row>
    <row r="32" spans="1:70" x14ac:dyDescent="0.3">
      <c r="A32" s="269"/>
      <c r="B32" s="287"/>
      <c r="C32" s="13"/>
      <c r="D32" s="288"/>
      <c r="E32" s="289"/>
      <c r="G32" s="904" t="s">
        <v>764</v>
      </c>
      <c r="H32" s="886" t="s">
        <v>726</v>
      </c>
      <c r="I32" s="1406">
        <f t="shared" si="70"/>
        <v>1008000</v>
      </c>
      <c r="J32" s="317">
        <v>940860.00000000047</v>
      </c>
      <c r="K32" s="1406">
        <f t="shared" ref="K32" si="96">+K81*K$3*24*1000</f>
        <v>1041599.9999999999</v>
      </c>
      <c r="L32" s="317">
        <v>631860.00000000675</v>
      </c>
      <c r="M32" s="912">
        <f t="shared" si="3"/>
        <v>2049600</v>
      </c>
      <c r="N32" s="912">
        <f t="shared" si="3"/>
        <v>1572720.0000000072</v>
      </c>
      <c r="O32" s="1406">
        <f t="shared" si="72"/>
        <v>1008000</v>
      </c>
      <c r="P32" s="317">
        <v>995819.9999999943</v>
      </c>
      <c r="Q32" s="1483">
        <f t="shared" si="84"/>
        <v>3057600</v>
      </c>
      <c r="R32" s="354">
        <f t="shared" si="85"/>
        <v>2568540.0000000014</v>
      </c>
      <c r="S32" s="1406">
        <f t="shared" si="73"/>
        <v>1041599.9999999999</v>
      </c>
      <c r="T32" s="317">
        <v>883790</v>
      </c>
      <c r="U32" s="912">
        <f t="shared" si="8"/>
        <v>4099200</v>
      </c>
      <c r="V32" s="912">
        <f t="shared" si="9"/>
        <v>3452330.0000000014</v>
      </c>
      <c r="W32" s="1406">
        <f t="shared" si="74"/>
        <v>1041599.9999999999</v>
      </c>
      <c r="X32" s="317">
        <v>885889.9999999986</v>
      </c>
      <c r="Y32" s="912">
        <f t="shared" si="11"/>
        <v>5140800</v>
      </c>
      <c r="Z32" s="912">
        <f t="shared" si="12"/>
        <v>4338220</v>
      </c>
      <c r="AA32" s="1406">
        <f t="shared" si="75"/>
        <v>1008000</v>
      </c>
      <c r="AB32" s="317">
        <v>822450</v>
      </c>
      <c r="AC32" s="1482">
        <f t="shared" si="68"/>
        <v>3091200</v>
      </c>
      <c r="AD32" s="354">
        <f t="shared" si="69"/>
        <v>2592129.9999999986</v>
      </c>
      <c r="AE32" s="913">
        <f t="shared" si="57"/>
        <v>6148800</v>
      </c>
      <c r="AF32" s="913">
        <f t="shared" si="58"/>
        <v>5160670</v>
      </c>
      <c r="AG32" s="1406">
        <f t="shared" si="76"/>
        <v>1041599.9999999999</v>
      </c>
      <c r="AH32" s="317">
        <v>883130.00000000396</v>
      </c>
      <c r="AI32" s="912">
        <f t="shared" si="15"/>
        <v>7190400</v>
      </c>
      <c r="AJ32" s="912">
        <f t="shared" si="16"/>
        <v>6043800.0000000037</v>
      </c>
      <c r="AK32" s="1406">
        <f t="shared" si="77"/>
        <v>1008000</v>
      </c>
      <c r="AL32" s="317">
        <v>632979.99999999593</v>
      </c>
      <c r="AM32" s="912">
        <f t="shared" si="18"/>
        <v>8198400</v>
      </c>
      <c r="AN32" s="912">
        <f t="shared" si="19"/>
        <v>6676780</v>
      </c>
      <c r="AO32" s="1406">
        <f t="shared" si="78"/>
        <v>1041599.9999999999</v>
      </c>
      <c r="AP32" s="317">
        <v>660800.00000000291</v>
      </c>
      <c r="AQ32" s="1482">
        <f t="shared" si="59"/>
        <v>3091200</v>
      </c>
      <c r="AR32" s="354">
        <f t="shared" si="60"/>
        <v>2176910.0000000028</v>
      </c>
      <c r="AS32" s="912">
        <f t="shared" si="21"/>
        <v>9240000</v>
      </c>
      <c r="AT32" s="912">
        <f t="shared" si="22"/>
        <v>7337580.0000000028</v>
      </c>
      <c r="AU32" s="1406">
        <f t="shared" si="79"/>
        <v>1041599.9999999999</v>
      </c>
      <c r="AV32" s="317">
        <v>600099.9999999986</v>
      </c>
      <c r="AW32" s="912">
        <f t="shared" si="24"/>
        <v>10281600</v>
      </c>
      <c r="AX32" s="912">
        <f t="shared" si="25"/>
        <v>7937680.0000000019</v>
      </c>
      <c r="AY32" s="1406">
        <f t="shared" si="80"/>
        <v>940800</v>
      </c>
      <c r="AZ32" s="317">
        <v>662199.99999999709</v>
      </c>
      <c r="BA32" s="912">
        <f t="shared" si="27"/>
        <v>11222400</v>
      </c>
      <c r="BB32" s="912">
        <f t="shared" si="28"/>
        <v>8599879.9999999981</v>
      </c>
      <c r="BC32" s="1406">
        <f t="shared" si="81"/>
        <v>1041599.9999999999</v>
      </c>
      <c r="BD32" s="317">
        <v>929300.00000000279</v>
      </c>
      <c r="BE32" s="1482">
        <f t="shared" si="61"/>
        <v>3024000</v>
      </c>
      <c r="BF32" s="354">
        <f t="shared" si="62"/>
        <v>2191599.9999999986</v>
      </c>
      <c r="BG32" s="913">
        <f t="shared" si="82"/>
        <v>6115200</v>
      </c>
      <c r="BH32" s="913">
        <f t="shared" si="82"/>
        <v>4368510.0000000019</v>
      </c>
      <c r="BI32" s="912">
        <f t="shared" si="54"/>
        <v>12264000</v>
      </c>
      <c r="BJ32" s="912">
        <f t="shared" si="53"/>
        <v>9529180</v>
      </c>
      <c r="BK32" s="1202"/>
      <c r="BL32" s="528"/>
      <c r="BM32" s="1202"/>
      <c r="BN32" s="5479"/>
      <c r="BO32" s="5479"/>
      <c r="BP32" s="1202"/>
      <c r="BQ32" s="1202"/>
      <c r="BR32" s="26"/>
    </row>
    <row r="33" spans="1:70" x14ac:dyDescent="0.3">
      <c r="A33" s="269">
        <v>26</v>
      </c>
      <c r="B33" s="287" t="s">
        <v>765</v>
      </c>
      <c r="C33" s="13" t="s">
        <v>213</v>
      </c>
      <c r="D33" s="288">
        <v>1110620</v>
      </c>
      <c r="E33" s="289">
        <v>1155720.0000000005</v>
      </c>
      <c r="G33" s="904" t="s">
        <v>766</v>
      </c>
      <c r="H33" s="886" t="s">
        <v>727</v>
      </c>
      <c r="I33" s="1406">
        <f t="shared" si="70"/>
        <v>864000</v>
      </c>
      <c r="J33" s="317">
        <v>797626.0000000014</v>
      </c>
      <c r="K33" s="1406">
        <f t="shared" ref="K33" si="97">+K82*K$3*24*1000</f>
        <v>892800</v>
      </c>
      <c r="L33" s="317">
        <v>890479.79999999888</v>
      </c>
      <c r="M33" s="912">
        <f t="shared" si="3"/>
        <v>1756800</v>
      </c>
      <c r="N33" s="912">
        <f t="shared" si="3"/>
        <v>1688105.8000000003</v>
      </c>
      <c r="O33" s="1406">
        <f t="shared" si="72"/>
        <v>864000</v>
      </c>
      <c r="P33" s="317">
        <v>871619.29999999958</v>
      </c>
      <c r="Q33" s="1483">
        <f t="shared" si="84"/>
        <v>2620800</v>
      </c>
      <c r="R33" s="354">
        <f t="shared" si="85"/>
        <v>2559725.0999999996</v>
      </c>
      <c r="S33" s="1406">
        <f t="shared" si="73"/>
        <v>892800</v>
      </c>
      <c r="T33" s="317">
        <v>912657.09999999974</v>
      </c>
      <c r="U33" s="912">
        <f t="shared" si="8"/>
        <v>3513600</v>
      </c>
      <c r="V33" s="912">
        <f t="shared" si="9"/>
        <v>3472382.1999999993</v>
      </c>
      <c r="W33" s="1406">
        <f t="shared" si="74"/>
        <v>892800</v>
      </c>
      <c r="X33" s="317">
        <v>878829.5400000019</v>
      </c>
      <c r="Y33" s="912">
        <f t="shared" si="11"/>
        <v>4406400</v>
      </c>
      <c r="Z33" s="912">
        <f t="shared" si="12"/>
        <v>4351211.7400000012</v>
      </c>
      <c r="AA33" s="1406">
        <f t="shared" si="75"/>
        <v>864000</v>
      </c>
      <c r="AB33" s="317">
        <v>842375.31999999855</v>
      </c>
      <c r="AC33" s="1482">
        <f t="shared" si="68"/>
        <v>2649600</v>
      </c>
      <c r="AD33" s="354">
        <f t="shared" si="69"/>
        <v>2633861.96</v>
      </c>
      <c r="AE33" s="913">
        <f t="shared" si="57"/>
        <v>5270400</v>
      </c>
      <c r="AF33" s="913">
        <f t="shared" si="58"/>
        <v>5193587.0599999996</v>
      </c>
      <c r="AG33" s="1406">
        <f t="shared" si="76"/>
        <v>892800</v>
      </c>
      <c r="AH33" s="317">
        <v>802589.2000000003</v>
      </c>
      <c r="AI33" s="912">
        <f t="shared" si="15"/>
        <v>6163200</v>
      </c>
      <c r="AJ33" s="912">
        <f t="shared" si="16"/>
        <v>5996176.2599999998</v>
      </c>
      <c r="AK33" s="1406">
        <f t="shared" si="77"/>
        <v>864000</v>
      </c>
      <c r="AL33" s="317">
        <v>902544.70000000007</v>
      </c>
      <c r="AM33" s="912">
        <f t="shared" si="18"/>
        <v>7027200</v>
      </c>
      <c r="AN33" s="912">
        <f t="shared" si="19"/>
        <v>6898720.96</v>
      </c>
      <c r="AO33" s="1406">
        <f t="shared" si="78"/>
        <v>892800</v>
      </c>
      <c r="AP33" s="317">
        <v>794731.39999999991</v>
      </c>
      <c r="AQ33" s="1482">
        <f t="shared" si="59"/>
        <v>2649600</v>
      </c>
      <c r="AR33" s="354">
        <f t="shared" si="60"/>
        <v>2499865.3000000003</v>
      </c>
      <c r="AS33" s="912">
        <f t="shared" si="21"/>
        <v>7920000</v>
      </c>
      <c r="AT33" s="912">
        <f t="shared" si="22"/>
        <v>7693452.3599999994</v>
      </c>
      <c r="AU33" s="1406">
        <f t="shared" si="79"/>
        <v>892800</v>
      </c>
      <c r="AV33" s="317">
        <v>831758.10000000126</v>
      </c>
      <c r="AW33" s="912">
        <f t="shared" si="24"/>
        <v>8812800</v>
      </c>
      <c r="AX33" s="912">
        <f t="shared" si="25"/>
        <v>8525210.4600000009</v>
      </c>
      <c r="AY33" s="1406">
        <f t="shared" si="80"/>
        <v>806400.00000000012</v>
      </c>
      <c r="AZ33" s="317">
        <v>757649.70000000088</v>
      </c>
      <c r="BA33" s="912">
        <f t="shared" si="27"/>
        <v>9619200</v>
      </c>
      <c r="BB33" s="912">
        <f t="shared" si="28"/>
        <v>9282860.160000002</v>
      </c>
      <c r="BC33" s="1406">
        <f t="shared" si="81"/>
        <v>892800</v>
      </c>
      <c r="BD33" s="317">
        <v>889984.29999999935</v>
      </c>
      <c r="BE33" s="1482">
        <f t="shared" si="61"/>
        <v>2592000</v>
      </c>
      <c r="BF33" s="354">
        <f t="shared" si="62"/>
        <v>2479392.1000000015</v>
      </c>
      <c r="BG33" s="913">
        <f t="shared" si="82"/>
        <v>5241600</v>
      </c>
      <c r="BH33" s="913">
        <f t="shared" si="82"/>
        <v>4979257.4000000022</v>
      </c>
      <c r="BI33" s="912">
        <f t="shared" si="54"/>
        <v>10512000</v>
      </c>
      <c r="BJ33" s="912">
        <f t="shared" si="53"/>
        <v>10172844.460000001</v>
      </c>
      <c r="BK33" s="1202"/>
      <c r="BL33" s="528"/>
      <c r="BM33" s="1202"/>
      <c r="BN33" s="5479"/>
      <c r="BO33" s="5479"/>
      <c r="BP33" s="1202"/>
      <c r="BQ33" s="1202"/>
      <c r="BR33" s="26"/>
    </row>
    <row r="34" spans="1:70" s="146" customFormat="1" x14ac:dyDescent="0.3">
      <c r="G34" s="151"/>
      <c r="H34" s="151"/>
      <c r="I34" s="1410"/>
      <c r="K34" s="1410"/>
      <c r="M34" s="151"/>
      <c r="N34" s="1308"/>
      <c r="O34" s="1410"/>
      <c r="S34" s="1410"/>
      <c r="U34" s="151"/>
      <c r="V34" s="151"/>
      <c r="W34" s="1410"/>
      <c r="Y34" s="151"/>
      <c r="Z34" s="151"/>
      <c r="AA34" s="1410"/>
      <c r="AE34" s="151"/>
      <c r="AF34" s="151"/>
      <c r="AG34" s="1410"/>
      <c r="AI34" s="151"/>
      <c r="AJ34" s="151"/>
      <c r="AK34" s="1410"/>
      <c r="AM34" s="151"/>
      <c r="AN34" s="151"/>
      <c r="AO34" s="1410"/>
      <c r="AS34" s="151"/>
      <c r="AT34" s="151"/>
      <c r="AU34" s="1410"/>
      <c r="AW34" s="151"/>
      <c r="AX34" s="151"/>
      <c r="AY34" s="1410"/>
      <c r="BA34" s="151"/>
      <c r="BB34" s="151"/>
      <c r="BC34" s="1410"/>
      <c r="BG34" s="151"/>
      <c r="BH34" s="151"/>
      <c r="BI34" s="151"/>
      <c r="BJ34" s="151"/>
      <c r="BK34" s="1202"/>
      <c r="BL34" s="1202"/>
      <c r="BM34" s="1202"/>
      <c r="BN34" s="5479"/>
      <c r="BO34" s="5479"/>
      <c r="BP34" s="1202"/>
      <c r="BQ34" s="1202"/>
    </row>
    <row r="35" spans="1:70" ht="15.6" x14ac:dyDescent="0.3">
      <c r="A35" s="269">
        <v>27</v>
      </c>
      <c r="B35" s="287" t="s">
        <v>725</v>
      </c>
      <c r="C35" s="13" t="s">
        <v>213</v>
      </c>
      <c r="D35" s="288">
        <v>454899.99999999919</v>
      </c>
      <c r="E35" s="289">
        <v>444510.0000000007</v>
      </c>
      <c r="G35" s="915" t="s">
        <v>767</v>
      </c>
      <c r="H35" s="1402" t="s">
        <v>728</v>
      </c>
      <c r="I35" s="1409">
        <f>SUM(I36:I39)</f>
        <v>1815518.4000000001</v>
      </c>
      <c r="J35" s="320">
        <f>SUM(J36:J39)</f>
        <v>1458038.0135333324</v>
      </c>
      <c r="K35" s="1409">
        <f>SUM(K36:K39)</f>
        <v>1876035.68</v>
      </c>
      <c r="L35" s="320">
        <f>SUM(L36:L39)</f>
        <v>1688087.5574333337</v>
      </c>
      <c r="M35" s="916">
        <f t="shared" si="3"/>
        <v>3691554.08</v>
      </c>
      <c r="N35" s="916">
        <f t="shared" si="3"/>
        <v>3146125.5709666661</v>
      </c>
      <c r="O35" s="1409">
        <f>SUM(O36:O39)</f>
        <v>1766395.2</v>
      </c>
      <c r="P35" s="320">
        <f>SUM(P36:P39)</f>
        <v>1594616.1133333324</v>
      </c>
      <c r="Q35" s="1486">
        <f t="shared" si="5"/>
        <v>5457949.2800000003</v>
      </c>
      <c r="R35" s="1487">
        <f t="shared" si="6"/>
        <v>4740741.684299998</v>
      </c>
      <c r="S35" s="1409">
        <f>SUM(S36:S39)</f>
        <v>1825275.04</v>
      </c>
      <c r="T35" s="320">
        <f>SUM(T36:T39)</f>
        <v>1616898.4886666664</v>
      </c>
      <c r="U35" s="916">
        <f t="shared" ref="U35:U47" si="98">+Q35+S35</f>
        <v>7283224.3200000003</v>
      </c>
      <c r="V35" s="916">
        <f t="shared" ref="V35:V47" si="99">+R35+T35</f>
        <v>6357640.1729666647</v>
      </c>
      <c r="W35" s="1409">
        <f>SUM(W36:W39)</f>
        <v>1825275.04</v>
      </c>
      <c r="X35" s="320">
        <f>SUM(X36:X39)</f>
        <v>1566489.9873333345</v>
      </c>
      <c r="Y35" s="916">
        <f t="shared" ref="Y35:Y47" si="100">+U35+W35</f>
        <v>9108499.3599999994</v>
      </c>
      <c r="Z35" s="916">
        <f t="shared" ref="Z35:Z47" si="101">+V35+X35</f>
        <v>7924130.1602999996</v>
      </c>
      <c r="AA35" s="1409">
        <f>SUM(AA36:AA39)</f>
        <v>1743061.68</v>
      </c>
      <c r="AB35" s="320">
        <f>SUM(AB36:AB39)</f>
        <v>1578104.6916666662</v>
      </c>
      <c r="AC35" s="1486">
        <f>S35+W35+AA35</f>
        <v>5393611.7599999998</v>
      </c>
      <c r="AD35" s="1487">
        <f>T35+X35+AB35</f>
        <v>4761493.1676666671</v>
      </c>
      <c r="AE35" s="917">
        <f t="shared" ref="AE35:AE47" si="102">Q35+AC35</f>
        <v>10851561.039999999</v>
      </c>
      <c r="AF35" s="917">
        <f t="shared" ref="AF35:AF47" si="103">R35+AD35</f>
        <v>9502234.8519666642</v>
      </c>
      <c r="AG35" s="1409">
        <f>SUM(AG36:AG39)</f>
        <v>1825275.04</v>
      </c>
      <c r="AH35" s="320">
        <f>SUM(AH36:AH39)</f>
        <v>1584249.4776666653</v>
      </c>
      <c r="AI35" s="916">
        <f t="shared" ref="AI35:AI47" si="104">+AE35+AG35</f>
        <v>12676836.079999998</v>
      </c>
      <c r="AJ35" s="916">
        <f t="shared" ref="AJ35:AJ47" si="105">+AF35+AH35</f>
        <v>11086484.329633329</v>
      </c>
      <c r="AK35" s="1409">
        <f>SUM(AK36:AK39)</f>
        <v>1766395.2</v>
      </c>
      <c r="AL35" s="320">
        <f>SUM(AL36:AL39)</f>
        <v>1591921.0573333341</v>
      </c>
      <c r="AM35" s="916">
        <f t="shared" ref="AM35:AM47" si="106">+AI35+AK35</f>
        <v>14443231.279999997</v>
      </c>
      <c r="AN35" s="916">
        <f t="shared" ref="AN35:AN47" si="107">+AJ35+AL35</f>
        <v>12678405.386966662</v>
      </c>
      <c r="AO35" s="1409">
        <f>SUM(AO36:AO39)</f>
        <v>1825275.04</v>
      </c>
      <c r="AP35" s="320">
        <f>SUM(AP36:AP39)</f>
        <v>1574906.227</v>
      </c>
      <c r="AQ35" s="1486">
        <f>AG35+AK35+AO35</f>
        <v>5416945.2800000003</v>
      </c>
      <c r="AR35" s="1487">
        <f>AH35+AL35+AP35</f>
        <v>4751076.7619999992</v>
      </c>
      <c r="AS35" s="916">
        <f t="shared" ref="AS35:AS47" si="108">+AM35+AO35</f>
        <v>16268506.319999997</v>
      </c>
      <c r="AT35" s="916">
        <f t="shared" ref="AT35:AT47" si="109">+AN35+AP35</f>
        <v>14253311.613966662</v>
      </c>
      <c r="AU35" s="1409">
        <f>SUM(AU36:AU39)</f>
        <v>1825275.04</v>
      </c>
      <c r="AV35" s="320">
        <f>SUM(AV36:AV39)</f>
        <v>1583990.7270000009</v>
      </c>
      <c r="AW35" s="916">
        <f t="shared" ref="AW35:AW47" si="110">+AS35+AU35</f>
        <v>18093781.359999996</v>
      </c>
      <c r="AX35" s="916">
        <f t="shared" ref="AX35:AX47" si="111">+AT35+AV35</f>
        <v>15837302.340966664</v>
      </c>
      <c r="AY35" s="1409">
        <f>SUM(AY36:AY39)</f>
        <v>1648635.52</v>
      </c>
      <c r="AZ35" s="320">
        <f>SUM(AZ36:AZ39)</f>
        <v>1300859.2160000007</v>
      </c>
      <c r="BA35" s="916">
        <f t="shared" ref="BA35:BA47" si="112">+AW35+AY35</f>
        <v>19742416.879999995</v>
      </c>
      <c r="BB35" s="916">
        <f t="shared" ref="BB35:BB47" si="113">+AX35+AZ35</f>
        <v>17138161.556966666</v>
      </c>
      <c r="BC35" s="1409">
        <f>SUM(BC36:BC39)</f>
        <v>1825275.04</v>
      </c>
      <c r="BD35" s="320">
        <f>SUM(BD36:BD39)</f>
        <v>1443060.7233333318</v>
      </c>
      <c r="BE35" s="1486">
        <f>AU35+AY35+BC35</f>
        <v>5299185.5999999996</v>
      </c>
      <c r="BF35" s="1487">
        <f>AV35+AZ35+BD35</f>
        <v>4327910.6663333336</v>
      </c>
      <c r="BG35" s="910">
        <f>AQ35+BE35</f>
        <v>10716130.879999999</v>
      </c>
      <c r="BH35" s="910">
        <f>AR35+BF35</f>
        <v>9078987.4283333328</v>
      </c>
      <c r="BI35" s="916">
        <f t="shared" ref="BI35:BI47" si="114">+BA35+BC35</f>
        <v>21567691.919999994</v>
      </c>
      <c r="BJ35" s="916">
        <f t="shared" ref="BJ35:BJ47" si="115">+BB35+BD35</f>
        <v>18581222.280299999</v>
      </c>
      <c r="BK35" s="1202"/>
      <c r="BL35" s="1202"/>
      <c r="BM35" s="1202"/>
      <c r="BN35" s="5479"/>
      <c r="BO35" s="5479"/>
      <c r="BP35" s="1202"/>
      <c r="BQ35" s="1202"/>
    </row>
    <row r="36" spans="1:70" x14ac:dyDescent="0.3">
      <c r="A36" s="269">
        <v>28</v>
      </c>
      <c r="B36" s="299" t="s">
        <v>730</v>
      </c>
      <c r="C36" s="13" t="s">
        <v>213</v>
      </c>
      <c r="D36" s="288">
        <v>644972.74900000007</v>
      </c>
      <c r="E36" s="289">
        <v>646895.54300000006</v>
      </c>
      <c r="G36" s="904" t="s">
        <v>768</v>
      </c>
      <c r="H36" s="886" t="s">
        <v>729</v>
      </c>
      <c r="I36" s="1407">
        <f>+I85*I$3*24*1000</f>
        <v>1203518.4000000001</v>
      </c>
      <c r="J36" s="317">
        <v>1090632.9999999993</v>
      </c>
      <c r="K36" s="1407">
        <f>+K85*K$3*24*1000</f>
        <v>1243635.68</v>
      </c>
      <c r="L36" s="317">
        <v>1231879.1000000001</v>
      </c>
      <c r="M36" s="912">
        <f t="shared" si="3"/>
        <v>2447154.08</v>
      </c>
      <c r="N36" s="912">
        <f t="shared" si="3"/>
        <v>2322512.0999999996</v>
      </c>
      <c r="O36" s="1407">
        <f>+O85*O$3*24*1000</f>
        <v>1154395.2</v>
      </c>
      <c r="P36" s="317">
        <v>1198690</v>
      </c>
      <c r="Q36" s="1483">
        <f t="shared" si="5"/>
        <v>3601549.2800000003</v>
      </c>
      <c r="R36" s="354">
        <f t="shared" si="6"/>
        <v>3521202.0999999996</v>
      </c>
      <c r="S36" s="1407">
        <f>+S85*S$3*24*1000</f>
        <v>1192875.04</v>
      </c>
      <c r="T36" s="317">
        <v>1201692</v>
      </c>
      <c r="U36" s="912">
        <f t="shared" si="98"/>
        <v>4794424.32</v>
      </c>
      <c r="V36" s="912">
        <f t="shared" si="99"/>
        <v>4722894.0999999996</v>
      </c>
      <c r="W36" s="1407">
        <f>+W85*W$3*24*1000</f>
        <v>1192875.04</v>
      </c>
      <c r="X36" s="317">
        <v>1172043</v>
      </c>
      <c r="Y36" s="912">
        <f t="shared" si="100"/>
        <v>5987299.3600000003</v>
      </c>
      <c r="Z36" s="912">
        <f t="shared" si="101"/>
        <v>5894937.0999999996</v>
      </c>
      <c r="AA36" s="1407">
        <f>+AA85*AA$3*24*1000</f>
        <v>1131061.68</v>
      </c>
      <c r="AB36" s="317">
        <v>1117056.9999999995</v>
      </c>
      <c r="AC36" s="1483">
        <f t="shared" ref="AC36:AC47" si="116">S36+W36+AA36</f>
        <v>3516811.76</v>
      </c>
      <c r="AD36" s="354">
        <f t="shared" ref="AD36:AD47" si="117">T36+X36+AB36</f>
        <v>3490791.9999999995</v>
      </c>
      <c r="AE36" s="913">
        <f t="shared" si="102"/>
        <v>7118361.04</v>
      </c>
      <c r="AF36" s="913">
        <f t="shared" si="103"/>
        <v>7011994.0999999996</v>
      </c>
      <c r="AG36" s="1407">
        <f>+AG85*AG$3*24*1000</f>
        <v>1192875.04</v>
      </c>
      <c r="AH36" s="317">
        <v>1136315.9999999995</v>
      </c>
      <c r="AI36" s="912">
        <f t="shared" si="104"/>
        <v>8311236.0800000001</v>
      </c>
      <c r="AJ36" s="912">
        <f t="shared" si="105"/>
        <v>8148310.0999999996</v>
      </c>
      <c r="AK36" s="1407">
        <f>+AK85*AK$3*24*1000</f>
        <v>1154395.2</v>
      </c>
      <c r="AL36" s="317">
        <v>1129714.0000000007</v>
      </c>
      <c r="AM36" s="912">
        <f t="shared" si="106"/>
        <v>9465631.2799999993</v>
      </c>
      <c r="AN36" s="912">
        <f t="shared" si="107"/>
        <v>9278024.0999999996</v>
      </c>
      <c r="AO36" s="1407">
        <f>+AO85*AO$3*24*1000</f>
        <v>1192875.04</v>
      </c>
      <c r="AP36" s="317">
        <v>1098775.9999999995</v>
      </c>
      <c r="AQ36" s="1483">
        <f t="shared" ref="AQ36:AQ42" si="118">AG36+AK36+AO36</f>
        <v>3540145.2800000003</v>
      </c>
      <c r="AR36" s="354">
        <f t="shared" ref="AR36:AR42" si="119">AH36+AL36+AP36</f>
        <v>3364805.9999999995</v>
      </c>
      <c r="AS36" s="912">
        <f t="shared" si="108"/>
        <v>10658506.32</v>
      </c>
      <c r="AT36" s="912">
        <f t="shared" si="109"/>
        <v>10376800.1</v>
      </c>
      <c r="AU36" s="1407">
        <f>+AU85*AU$3*24*1000</f>
        <v>1192875.04</v>
      </c>
      <c r="AV36" s="317">
        <v>1079565.9999999998</v>
      </c>
      <c r="AW36" s="912">
        <f t="shared" si="110"/>
        <v>11851381.359999999</v>
      </c>
      <c r="AX36" s="912">
        <f t="shared" si="111"/>
        <v>11456366.1</v>
      </c>
      <c r="AY36" s="1407">
        <f>+AY85*AY$3*24*1000</f>
        <v>1077435.52</v>
      </c>
      <c r="AZ36" s="317">
        <v>916298.00000000081</v>
      </c>
      <c r="BA36" s="912">
        <f t="shared" si="112"/>
        <v>12928816.879999999</v>
      </c>
      <c r="BB36" s="912">
        <f t="shared" si="113"/>
        <v>12372664.1</v>
      </c>
      <c r="BC36" s="1407">
        <f>+BC85*BC$3*24*1000</f>
        <v>1192875.04</v>
      </c>
      <c r="BD36" s="317">
        <v>1084823.9999999988</v>
      </c>
      <c r="BE36" s="1483">
        <f t="shared" ref="BE36:BE42" si="120">AU36+AY36+BC36</f>
        <v>3463185.6</v>
      </c>
      <c r="BF36" s="354">
        <f t="shared" ref="BF36:BF42" si="121">AV36+AZ36+BD36</f>
        <v>3080687.9999999991</v>
      </c>
      <c r="BG36" s="913">
        <f t="shared" ref="BG36:BG39" si="122">AQ36+BE36</f>
        <v>7003330.8800000008</v>
      </c>
      <c r="BH36" s="913">
        <f t="shared" ref="BH36:BH39" si="123">AR36+BF36</f>
        <v>6445493.9999999981</v>
      </c>
      <c r="BI36" s="912">
        <f t="shared" si="114"/>
        <v>14121691.919999998</v>
      </c>
      <c r="BJ36" s="912">
        <f t="shared" si="115"/>
        <v>13457488.099999998</v>
      </c>
      <c r="BK36" s="1202"/>
      <c r="BL36" s="1202"/>
      <c r="BM36" s="1202"/>
      <c r="BN36" s="5479"/>
      <c r="BO36" s="5479"/>
      <c r="BP36" s="1202"/>
      <c r="BQ36" s="1202"/>
    </row>
    <row r="37" spans="1:70" x14ac:dyDescent="0.3">
      <c r="A37" s="269">
        <v>29</v>
      </c>
      <c r="B37" s="299" t="s">
        <v>731</v>
      </c>
      <c r="C37" s="13" t="s">
        <v>213</v>
      </c>
      <c r="D37" s="288">
        <v>187023.60760000031</v>
      </c>
      <c r="E37" s="289">
        <v>184126.8434000003</v>
      </c>
      <c r="G37" s="904" t="s">
        <v>769</v>
      </c>
      <c r="H37" s="886" t="s">
        <v>730</v>
      </c>
      <c r="I37" s="1407">
        <f>+I86*I$3*24*1000</f>
        <v>360000</v>
      </c>
      <c r="J37" s="317">
        <v>221224.33333333366</v>
      </c>
      <c r="K37" s="1407">
        <f>+K86*K$3*24*1000</f>
        <v>372000</v>
      </c>
      <c r="L37" s="317">
        <v>219653.33333333299</v>
      </c>
      <c r="M37" s="912">
        <f t="shared" si="3"/>
        <v>732000</v>
      </c>
      <c r="N37" s="912">
        <f t="shared" si="3"/>
        <v>440877.66666666663</v>
      </c>
      <c r="O37" s="1407">
        <f>+O86*O$3*24*1000</f>
        <v>360000</v>
      </c>
      <c r="P37" s="317">
        <v>226562.33333333299</v>
      </c>
      <c r="Q37" s="1483">
        <f t="shared" si="5"/>
        <v>1092000</v>
      </c>
      <c r="R37" s="354">
        <f t="shared" si="6"/>
        <v>667439.99999999965</v>
      </c>
      <c r="S37" s="1407">
        <f>+S86*S$3*24*1000</f>
        <v>372000</v>
      </c>
      <c r="T37" s="317">
        <v>243511.66666666663</v>
      </c>
      <c r="U37" s="912">
        <f t="shared" si="98"/>
        <v>1464000</v>
      </c>
      <c r="V37" s="912">
        <f t="shared" si="99"/>
        <v>910951.66666666628</v>
      </c>
      <c r="W37" s="1407">
        <f>+W86*W$3*24*1000</f>
        <v>372000</v>
      </c>
      <c r="X37" s="317">
        <v>230576.33333333401</v>
      </c>
      <c r="Y37" s="912">
        <f t="shared" si="100"/>
        <v>1836000</v>
      </c>
      <c r="Z37" s="912">
        <f t="shared" si="101"/>
        <v>1141528.0000000002</v>
      </c>
      <c r="AA37" s="1407">
        <f>+AA86*AA$3*24*1000</f>
        <v>360000</v>
      </c>
      <c r="AB37" s="317">
        <v>266296.26666666672</v>
      </c>
      <c r="AC37" s="1483">
        <f t="shared" si="116"/>
        <v>1104000</v>
      </c>
      <c r="AD37" s="354">
        <f t="shared" si="117"/>
        <v>740384.2666666673</v>
      </c>
      <c r="AE37" s="913">
        <f t="shared" si="102"/>
        <v>2196000</v>
      </c>
      <c r="AF37" s="913">
        <f t="shared" si="103"/>
        <v>1407824.2666666671</v>
      </c>
      <c r="AG37" s="1407">
        <f>+AG86*AG$3*24*1000</f>
        <v>372000</v>
      </c>
      <c r="AH37" s="317">
        <v>272108.6666666664</v>
      </c>
      <c r="AI37" s="912">
        <f t="shared" si="104"/>
        <v>2568000</v>
      </c>
      <c r="AJ37" s="912">
        <f t="shared" si="105"/>
        <v>1679932.9333333336</v>
      </c>
      <c r="AK37" s="1407">
        <f>+AK86*AK$3*24*1000</f>
        <v>360000</v>
      </c>
      <c r="AL37" s="317">
        <v>243552.33333333296</v>
      </c>
      <c r="AM37" s="912">
        <f t="shared" si="106"/>
        <v>2928000</v>
      </c>
      <c r="AN37" s="912">
        <f t="shared" si="107"/>
        <v>1923485.2666666666</v>
      </c>
      <c r="AO37" s="1407">
        <f>+AO86*AO$3*24*1000</f>
        <v>372000</v>
      </c>
      <c r="AP37" s="317">
        <v>247903.99999999994</v>
      </c>
      <c r="AQ37" s="1483">
        <f t="shared" si="118"/>
        <v>1104000</v>
      </c>
      <c r="AR37" s="354">
        <f t="shared" si="119"/>
        <v>763564.9999999993</v>
      </c>
      <c r="AS37" s="912">
        <f t="shared" si="108"/>
        <v>3300000</v>
      </c>
      <c r="AT37" s="912">
        <f t="shared" si="109"/>
        <v>2171389.2666666666</v>
      </c>
      <c r="AU37" s="1407">
        <f>+AU86*AU$3*24*1000</f>
        <v>372000</v>
      </c>
      <c r="AV37" s="317">
        <v>245725.00000000023</v>
      </c>
      <c r="AW37" s="912">
        <f t="shared" si="110"/>
        <v>3672000</v>
      </c>
      <c r="AX37" s="912">
        <f t="shared" si="111"/>
        <v>2417114.2666666666</v>
      </c>
      <c r="AY37" s="1407">
        <f>+AY86*AY$3*24*1000</f>
        <v>336000</v>
      </c>
      <c r="AZ37" s="317">
        <v>224869.00000000012</v>
      </c>
      <c r="BA37" s="912">
        <f t="shared" si="112"/>
        <v>4008000</v>
      </c>
      <c r="BB37" s="912">
        <f t="shared" si="113"/>
        <v>2641983.2666666666</v>
      </c>
      <c r="BC37" s="1407">
        <f>+BC86*BC$3*24*1000</f>
        <v>372000</v>
      </c>
      <c r="BD37" s="317">
        <v>176478.33333333343</v>
      </c>
      <c r="BE37" s="1483">
        <f t="shared" si="120"/>
        <v>1080000</v>
      </c>
      <c r="BF37" s="354">
        <f t="shared" si="121"/>
        <v>647072.33333333372</v>
      </c>
      <c r="BG37" s="913">
        <f t="shared" si="122"/>
        <v>2184000</v>
      </c>
      <c r="BH37" s="913">
        <f t="shared" si="123"/>
        <v>1410637.333333333</v>
      </c>
      <c r="BI37" s="912">
        <f t="shared" si="114"/>
        <v>4380000</v>
      </c>
      <c r="BJ37" s="912">
        <f t="shared" si="115"/>
        <v>2818461.6</v>
      </c>
      <c r="BK37" s="1202"/>
      <c r="BL37" s="1202"/>
      <c r="BM37" s="1202"/>
      <c r="BN37" s="5479"/>
      <c r="BO37" s="5479"/>
      <c r="BP37" s="1202"/>
      <c r="BQ37" s="1202"/>
    </row>
    <row r="38" spans="1:70" x14ac:dyDescent="0.3">
      <c r="A38" s="269">
        <v>30</v>
      </c>
      <c r="B38" s="299" t="s">
        <v>737</v>
      </c>
      <c r="C38" s="13" t="s">
        <v>213</v>
      </c>
      <c r="D38" s="288">
        <v>339821.83539999893</v>
      </c>
      <c r="E38" s="289">
        <v>349899.85260000126</v>
      </c>
      <c r="G38" s="904" t="s">
        <v>770</v>
      </c>
      <c r="H38" s="886" t="s">
        <v>731</v>
      </c>
      <c r="I38" s="1406">
        <f>+I87*I$3*24*1000</f>
        <v>144000</v>
      </c>
      <c r="J38" s="317">
        <v>80866.880199999956</v>
      </c>
      <c r="K38" s="1406">
        <f>+K87*K$3*24*1000</f>
        <v>148800</v>
      </c>
      <c r="L38" s="317">
        <v>99623.124100000001</v>
      </c>
      <c r="M38" s="912">
        <f t="shared" si="3"/>
        <v>292800</v>
      </c>
      <c r="N38" s="912">
        <f t="shared" si="3"/>
        <v>180490.00429999997</v>
      </c>
      <c r="O38" s="1406">
        <f>+O87*O$3*24*1000</f>
        <v>144000</v>
      </c>
      <c r="P38" s="317">
        <v>84885.98</v>
      </c>
      <c r="Q38" s="1482">
        <f t="shared" si="5"/>
        <v>436800</v>
      </c>
      <c r="R38" s="354">
        <f t="shared" si="6"/>
        <v>265375.98429999995</v>
      </c>
      <c r="S38" s="1406">
        <f>+S87*S$3*24*1000</f>
        <v>148800</v>
      </c>
      <c r="T38" s="317">
        <v>81425.221999999747</v>
      </c>
      <c r="U38" s="912">
        <f t="shared" si="98"/>
        <v>585600</v>
      </c>
      <c r="V38" s="912">
        <f t="shared" si="99"/>
        <v>346801.20629999973</v>
      </c>
      <c r="W38" s="1406">
        <f>+W87*W$3*24*1000</f>
        <v>148800</v>
      </c>
      <c r="X38" s="317">
        <v>98515.254000000001</v>
      </c>
      <c r="Y38" s="912">
        <f t="shared" si="100"/>
        <v>734400</v>
      </c>
      <c r="Z38" s="912">
        <f t="shared" si="101"/>
        <v>445316.46029999974</v>
      </c>
      <c r="AA38" s="1406">
        <f>+AA87*AA$3*24*1000</f>
        <v>144000</v>
      </c>
      <c r="AB38" s="317">
        <v>100176.22500000021</v>
      </c>
      <c r="AC38" s="1482">
        <f t="shared" si="116"/>
        <v>441600</v>
      </c>
      <c r="AD38" s="354">
        <f t="shared" si="117"/>
        <v>280116.70099999994</v>
      </c>
      <c r="AE38" s="913">
        <f t="shared" si="102"/>
        <v>878400</v>
      </c>
      <c r="AF38" s="913">
        <f t="shared" si="103"/>
        <v>545492.6852999999</v>
      </c>
      <c r="AG38" s="1406">
        <f>+AG87*AG$3*24*1000</f>
        <v>148800</v>
      </c>
      <c r="AH38" s="317">
        <v>93263.610999999801</v>
      </c>
      <c r="AI38" s="912">
        <f t="shared" si="104"/>
        <v>1027200</v>
      </c>
      <c r="AJ38" s="912">
        <f t="shared" si="105"/>
        <v>638756.2962999997</v>
      </c>
      <c r="AK38" s="1406">
        <f>+AK87*AK$3*24*1000</f>
        <v>144000</v>
      </c>
      <c r="AL38" s="317">
        <v>70023.124000000229</v>
      </c>
      <c r="AM38" s="912">
        <f t="shared" si="106"/>
        <v>1171200</v>
      </c>
      <c r="AN38" s="912">
        <f t="shared" si="107"/>
        <v>708779.42029999988</v>
      </c>
      <c r="AO38" s="1406">
        <f>+AO87*AO$3*24*1000</f>
        <v>148800</v>
      </c>
      <c r="AP38" s="317">
        <v>77297.226999999708</v>
      </c>
      <c r="AQ38" s="1482">
        <f t="shared" si="118"/>
        <v>441600</v>
      </c>
      <c r="AR38" s="354">
        <f t="shared" si="119"/>
        <v>240583.96199999977</v>
      </c>
      <c r="AS38" s="912">
        <f t="shared" si="108"/>
        <v>1320000</v>
      </c>
      <c r="AT38" s="912">
        <f t="shared" si="109"/>
        <v>786076.6472999996</v>
      </c>
      <c r="AU38" s="1406">
        <f>+AU87*AU$3*24*1000</f>
        <v>148800</v>
      </c>
      <c r="AV38" s="317">
        <v>72170.52700000022</v>
      </c>
      <c r="AW38" s="912">
        <f t="shared" si="110"/>
        <v>1468800</v>
      </c>
      <c r="AX38" s="912">
        <f t="shared" si="111"/>
        <v>858247.17429999984</v>
      </c>
      <c r="AY38" s="1406">
        <f>+AY87*AY$3*24*1000</f>
        <v>134400</v>
      </c>
      <c r="AZ38" s="317">
        <v>55202.015999999996</v>
      </c>
      <c r="BA38" s="912">
        <f t="shared" si="112"/>
        <v>1603200</v>
      </c>
      <c r="BB38" s="912">
        <f t="shared" si="113"/>
        <v>913449.19029999978</v>
      </c>
      <c r="BC38" s="1406">
        <f>+BC87*BC$3*24*1000</f>
        <v>148800</v>
      </c>
      <c r="BD38" s="317">
        <v>55980.589999999866</v>
      </c>
      <c r="BE38" s="1482">
        <f t="shared" si="120"/>
        <v>432000</v>
      </c>
      <c r="BF38" s="354">
        <f t="shared" si="121"/>
        <v>183353.13300000009</v>
      </c>
      <c r="BG38" s="913">
        <f t="shared" si="122"/>
        <v>873600</v>
      </c>
      <c r="BH38" s="913">
        <f t="shared" si="123"/>
        <v>423937.09499999986</v>
      </c>
      <c r="BI38" s="912">
        <f t="shared" si="114"/>
        <v>1752000</v>
      </c>
      <c r="BJ38" s="912">
        <f t="shared" si="115"/>
        <v>969429.78029999963</v>
      </c>
      <c r="BK38" s="1202"/>
      <c r="BL38" s="1202"/>
      <c r="BM38" s="1202"/>
      <c r="BN38" s="5479"/>
      <c r="BO38" s="5479"/>
      <c r="BP38" s="1202"/>
      <c r="BQ38" s="1202"/>
    </row>
    <row r="39" spans="1:70" x14ac:dyDescent="0.3">
      <c r="A39" s="269"/>
      <c r="B39" s="299"/>
      <c r="C39" s="14"/>
      <c r="D39" s="288"/>
      <c r="E39" s="289"/>
      <c r="G39" s="904" t="s">
        <v>770</v>
      </c>
      <c r="H39" s="886" t="s">
        <v>732</v>
      </c>
      <c r="I39" s="1406">
        <f>+I88*I$3*24*1000</f>
        <v>108000</v>
      </c>
      <c r="J39" s="317">
        <v>65313.799999999421</v>
      </c>
      <c r="K39" s="1406">
        <f>+K88*K$3*24*1000</f>
        <v>111600</v>
      </c>
      <c r="L39" s="317">
        <v>136932.00000000061</v>
      </c>
      <c r="M39" s="912">
        <f t="shared" si="3"/>
        <v>219600</v>
      </c>
      <c r="N39" s="912">
        <f t="shared" si="3"/>
        <v>202245.80000000005</v>
      </c>
      <c r="O39" s="1406">
        <f>+O88*O$3*24*1000</f>
        <v>108000</v>
      </c>
      <c r="P39" s="317">
        <v>84477.799999999406</v>
      </c>
      <c r="Q39" s="1482">
        <f t="shared" si="5"/>
        <v>327600</v>
      </c>
      <c r="R39" s="354">
        <f t="shared" si="6"/>
        <v>286723.59999999945</v>
      </c>
      <c r="S39" s="1406">
        <f>+S88*S$3*24*1000</f>
        <v>111600</v>
      </c>
      <c r="T39" s="317">
        <v>90269.6</v>
      </c>
      <c r="U39" s="912">
        <f t="shared" si="98"/>
        <v>439200</v>
      </c>
      <c r="V39" s="912">
        <f t="shared" si="99"/>
        <v>376993.19999999949</v>
      </c>
      <c r="W39" s="1406">
        <f>+W88*W$3*24*1000</f>
        <v>111600</v>
      </c>
      <c r="X39" s="317">
        <v>65355.400000000584</v>
      </c>
      <c r="Y39" s="912">
        <f t="shared" si="100"/>
        <v>550800</v>
      </c>
      <c r="Z39" s="912">
        <f t="shared" si="101"/>
        <v>442348.60000000009</v>
      </c>
      <c r="AA39" s="1406">
        <f>+AA88*AA$3*24*1000</f>
        <v>108000</v>
      </c>
      <c r="AB39" s="317">
        <v>94575.200000000012</v>
      </c>
      <c r="AC39" s="1482">
        <f t="shared" si="116"/>
        <v>331200</v>
      </c>
      <c r="AD39" s="354">
        <f t="shared" si="117"/>
        <v>250200.20000000059</v>
      </c>
      <c r="AE39" s="913">
        <f t="shared" si="102"/>
        <v>658800</v>
      </c>
      <c r="AF39" s="913">
        <f t="shared" si="103"/>
        <v>536923.80000000005</v>
      </c>
      <c r="AG39" s="1406">
        <f>+AG88*AG$3*24*1000</f>
        <v>111600</v>
      </c>
      <c r="AH39" s="317">
        <v>82561.19999999943</v>
      </c>
      <c r="AI39" s="912">
        <f t="shared" si="104"/>
        <v>770400</v>
      </c>
      <c r="AJ39" s="912">
        <f t="shared" si="105"/>
        <v>619484.99999999953</v>
      </c>
      <c r="AK39" s="1406">
        <f>+AK88*AK$3*24*1000</f>
        <v>108000</v>
      </c>
      <c r="AL39" s="317">
        <v>148631.60000000003</v>
      </c>
      <c r="AM39" s="912">
        <f t="shared" si="106"/>
        <v>878400</v>
      </c>
      <c r="AN39" s="912">
        <f t="shared" si="107"/>
        <v>768116.59999999963</v>
      </c>
      <c r="AO39" s="1406">
        <f>+AO88*AO$3*24*1000</f>
        <v>111600</v>
      </c>
      <c r="AP39" s="317">
        <v>150929.00000000064</v>
      </c>
      <c r="AQ39" s="1482">
        <f t="shared" si="118"/>
        <v>331200</v>
      </c>
      <c r="AR39" s="354">
        <f t="shared" si="119"/>
        <v>382121.8000000001</v>
      </c>
      <c r="AS39" s="912">
        <f t="shared" si="108"/>
        <v>990000</v>
      </c>
      <c r="AT39" s="912">
        <f t="shared" si="109"/>
        <v>919045.60000000033</v>
      </c>
      <c r="AU39" s="1406">
        <f>+AU88*AU$3*24*1000</f>
        <v>111600</v>
      </c>
      <c r="AV39" s="317">
        <v>186529.20000000054</v>
      </c>
      <c r="AW39" s="912">
        <f t="shared" si="110"/>
        <v>1101600</v>
      </c>
      <c r="AX39" s="912">
        <f t="shared" si="111"/>
        <v>1105574.8000000007</v>
      </c>
      <c r="AY39" s="1406">
        <f>+AY88*AY$3*24*1000</f>
        <v>100800.00000000001</v>
      </c>
      <c r="AZ39" s="317">
        <v>104490.19999999981</v>
      </c>
      <c r="BA39" s="912">
        <f t="shared" si="112"/>
        <v>1202400</v>
      </c>
      <c r="BB39" s="912">
        <f t="shared" si="113"/>
        <v>1210065.0000000005</v>
      </c>
      <c r="BC39" s="1406">
        <f>+BC88*BC$3*24*1000</f>
        <v>111600</v>
      </c>
      <c r="BD39" s="317">
        <v>125777.79999999964</v>
      </c>
      <c r="BE39" s="1482">
        <f t="shared" si="120"/>
        <v>324000</v>
      </c>
      <c r="BF39" s="354">
        <f t="shared" si="121"/>
        <v>416797.2</v>
      </c>
      <c r="BG39" s="913">
        <f t="shared" si="122"/>
        <v>655200</v>
      </c>
      <c r="BH39" s="913">
        <f t="shared" si="123"/>
        <v>798919.00000000012</v>
      </c>
      <c r="BI39" s="912">
        <f t="shared" si="114"/>
        <v>1314000</v>
      </c>
      <c r="BJ39" s="912">
        <f t="shared" si="115"/>
        <v>1335842.8</v>
      </c>
      <c r="BK39" s="1202"/>
      <c r="BL39" s="1202"/>
      <c r="BM39" s="1202"/>
      <c r="BN39" s="5479"/>
      <c r="BO39" s="5479"/>
      <c r="BP39" s="1202"/>
      <c r="BQ39" s="1202"/>
    </row>
    <row r="40" spans="1:70" ht="16.2" thickBot="1" x14ac:dyDescent="0.35">
      <c r="A40" s="269">
        <v>31</v>
      </c>
      <c r="B40" s="287" t="s">
        <v>727</v>
      </c>
      <c r="C40" s="14" t="s">
        <v>213</v>
      </c>
      <c r="D40" s="288">
        <v>865772.19999999972</v>
      </c>
      <c r="E40" s="289">
        <v>777589.69999999867</v>
      </c>
      <c r="G40" s="915">
        <v>4.2</v>
      </c>
      <c r="H40" s="1402" t="s">
        <v>733</v>
      </c>
      <c r="I40" s="1409">
        <f>I41+I43</f>
        <v>9594000</v>
      </c>
      <c r="J40" s="320">
        <f>J41+J43</f>
        <v>8776258.0686666686</v>
      </c>
      <c r="K40" s="1409">
        <f>K41+K43</f>
        <v>9913800</v>
      </c>
      <c r="L40" s="320">
        <f>L41+L43</f>
        <v>9645230.6476666704</v>
      </c>
      <c r="M40" s="916">
        <f t="shared" si="3"/>
        <v>19507800</v>
      </c>
      <c r="N40" s="916">
        <f t="shared" si="3"/>
        <v>18421488.716333337</v>
      </c>
      <c r="O40" s="1409">
        <f>O41+O43</f>
        <v>9594000</v>
      </c>
      <c r="P40" s="320">
        <f>P41+P43</f>
        <v>9769671.2976666633</v>
      </c>
      <c r="Q40" s="1486">
        <f t="shared" si="5"/>
        <v>29101800</v>
      </c>
      <c r="R40" s="1487">
        <f t="shared" si="6"/>
        <v>28191160.013999999</v>
      </c>
      <c r="S40" s="1409">
        <f>S41+S43</f>
        <v>9913800</v>
      </c>
      <c r="T40" s="320">
        <f>T41+T43</f>
        <v>10045117.844333326</v>
      </c>
      <c r="U40" s="916">
        <f t="shared" si="98"/>
        <v>39015600</v>
      </c>
      <c r="V40" s="916">
        <f t="shared" si="99"/>
        <v>38236277.858333327</v>
      </c>
      <c r="W40" s="1409">
        <f>W41+W43</f>
        <v>9913800</v>
      </c>
      <c r="X40" s="320">
        <f>X41+X43</f>
        <v>9867319.7706666831</v>
      </c>
      <c r="Y40" s="916">
        <f t="shared" si="100"/>
        <v>48929400</v>
      </c>
      <c r="Z40" s="916">
        <f t="shared" si="101"/>
        <v>48103597.629000008</v>
      </c>
      <c r="AA40" s="1409">
        <f>AA41+AA43</f>
        <v>9594000</v>
      </c>
      <c r="AB40" s="320">
        <f>AB41+AB43</f>
        <v>9667734.524333328</v>
      </c>
      <c r="AC40" s="1486">
        <f t="shared" si="116"/>
        <v>29421600</v>
      </c>
      <c r="AD40" s="1487">
        <f t="shared" si="117"/>
        <v>29580172.139333338</v>
      </c>
      <c r="AE40" s="917">
        <f t="shared" si="102"/>
        <v>58523400</v>
      </c>
      <c r="AF40" s="917">
        <f t="shared" si="103"/>
        <v>57771332.153333336</v>
      </c>
      <c r="AG40" s="1409">
        <f>AG41+AG43</f>
        <v>9913800</v>
      </c>
      <c r="AH40" s="320">
        <f>AH41+AH43</f>
        <v>8926264.4853333309</v>
      </c>
      <c r="AI40" s="916">
        <f t="shared" si="104"/>
        <v>68437200</v>
      </c>
      <c r="AJ40" s="916">
        <f t="shared" si="105"/>
        <v>66697596.638666667</v>
      </c>
      <c r="AK40" s="1409">
        <f>AK41+AK43</f>
        <v>9594000</v>
      </c>
      <c r="AL40" s="320">
        <f>AL41+AL43</f>
        <v>8848782.2536666635</v>
      </c>
      <c r="AM40" s="916">
        <f t="shared" si="106"/>
        <v>78031200</v>
      </c>
      <c r="AN40" s="916">
        <f t="shared" si="107"/>
        <v>75546378.892333329</v>
      </c>
      <c r="AO40" s="1409">
        <f>AO41+AO43</f>
        <v>9913800</v>
      </c>
      <c r="AP40" s="320">
        <f>AP41+AP43</f>
        <v>9065925.6930000037</v>
      </c>
      <c r="AQ40" s="1486">
        <f t="shared" si="118"/>
        <v>29421600</v>
      </c>
      <c r="AR40" s="1487">
        <f t="shared" si="119"/>
        <v>26840972.431999996</v>
      </c>
      <c r="AS40" s="916">
        <f t="shared" si="108"/>
        <v>87945000</v>
      </c>
      <c r="AT40" s="916">
        <f t="shared" si="109"/>
        <v>84612304.585333332</v>
      </c>
      <c r="AU40" s="1409">
        <f>AU41+AU43</f>
        <v>9913800</v>
      </c>
      <c r="AV40" s="320">
        <f>AV41+AV43</f>
        <v>8886504.1260000002</v>
      </c>
      <c r="AW40" s="916">
        <f t="shared" si="110"/>
        <v>97858800</v>
      </c>
      <c r="AX40" s="916">
        <f t="shared" si="111"/>
        <v>93498808.711333334</v>
      </c>
      <c r="AY40" s="1409">
        <f>AY41+AY43</f>
        <v>8954400</v>
      </c>
      <c r="AZ40" s="320">
        <f>AZ41+AZ43</f>
        <v>7303426.6590000056</v>
      </c>
      <c r="BA40" s="916">
        <f t="shared" si="112"/>
        <v>106813200</v>
      </c>
      <c r="BB40" s="916">
        <f t="shared" si="113"/>
        <v>100802235.37033334</v>
      </c>
      <c r="BC40" s="1409">
        <f>BC41+BC43</f>
        <v>9913800</v>
      </c>
      <c r="BD40" s="320">
        <f>BD41+BD43</f>
        <v>8629008.3956666589</v>
      </c>
      <c r="BE40" s="1486">
        <f t="shared" si="120"/>
        <v>28782000</v>
      </c>
      <c r="BF40" s="1487">
        <f t="shared" si="121"/>
        <v>24818939.180666663</v>
      </c>
      <c r="BG40" s="910">
        <f>AQ40+BE40</f>
        <v>58203600</v>
      </c>
      <c r="BH40" s="910">
        <f>AR40+BF40</f>
        <v>51659911.612666659</v>
      </c>
      <c r="BI40" s="916">
        <f t="shared" si="114"/>
        <v>116727000</v>
      </c>
      <c r="BJ40" s="916">
        <f t="shared" si="115"/>
        <v>109431243.766</v>
      </c>
      <c r="BK40" s="1202"/>
      <c r="BL40" s="1202"/>
      <c r="BM40" s="1202"/>
      <c r="BN40" s="5479"/>
      <c r="BO40" s="5479"/>
      <c r="BP40" s="1202"/>
      <c r="BQ40" s="1202"/>
    </row>
    <row r="41" spans="1:70" ht="16.2" thickBot="1" x14ac:dyDescent="0.35">
      <c r="A41" s="269">
        <v>32</v>
      </c>
      <c r="B41" s="300" t="s">
        <v>771</v>
      </c>
      <c r="C41" s="15" t="s">
        <v>213</v>
      </c>
      <c r="D41" s="297">
        <f>SUM(D17:D40)</f>
        <v>88061714.192000017</v>
      </c>
      <c r="E41" s="298">
        <f>SUM(E17:E40)</f>
        <v>93510655.738999993</v>
      </c>
      <c r="G41" s="915" t="s">
        <v>772</v>
      </c>
      <c r="H41" s="1402" t="s">
        <v>734</v>
      </c>
      <c r="I41" s="1409">
        <f>I42</f>
        <v>5616000</v>
      </c>
      <c r="J41" s="320">
        <f>J42</f>
        <v>5306260</v>
      </c>
      <c r="K41" s="1409">
        <f>K42</f>
        <v>5803200</v>
      </c>
      <c r="L41" s="320">
        <f>L42</f>
        <v>5673200</v>
      </c>
      <c r="M41" s="916">
        <f t="shared" si="3"/>
        <v>11419200</v>
      </c>
      <c r="N41" s="916">
        <f t="shared" si="3"/>
        <v>10979460</v>
      </c>
      <c r="O41" s="1409">
        <f>O42</f>
        <v>5616000</v>
      </c>
      <c r="P41" s="320">
        <f>P42</f>
        <v>5923218</v>
      </c>
      <c r="Q41" s="1486">
        <f t="shared" si="5"/>
        <v>17035200</v>
      </c>
      <c r="R41" s="1487">
        <f t="shared" si="6"/>
        <v>16902678</v>
      </c>
      <c r="S41" s="1409">
        <f>S42</f>
        <v>5803200</v>
      </c>
      <c r="T41" s="320">
        <f>T42</f>
        <v>6233883.6999999993</v>
      </c>
      <c r="U41" s="916">
        <f t="shared" si="98"/>
        <v>22838400</v>
      </c>
      <c r="V41" s="916">
        <f t="shared" si="99"/>
        <v>23136561.699999999</v>
      </c>
      <c r="W41" s="1409">
        <f>W42</f>
        <v>5803200</v>
      </c>
      <c r="X41" s="320">
        <f>X42</f>
        <v>6154906.9999999991</v>
      </c>
      <c r="Y41" s="916">
        <f t="shared" si="100"/>
        <v>28641600</v>
      </c>
      <c r="Z41" s="916">
        <f t="shared" si="101"/>
        <v>29291468.699999999</v>
      </c>
      <c r="AA41" s="1409">
        <f>AA42</f>
        <v>5616000</v>
      </c>
      <c r="AB41" s="320">
        <f>AB42</f>
        <v>5917700</v>
      </c>
      <c r="AC41" s="1486">
        <f t="shared" si="116"/>
        <v>17222400</v>
      </c>
      <c r="AD41" s="1487">
        <f t="shared" si="117"/>
        <v>18306490.699999999</v>
      </c>
      <c r="AE41" s="917">
        <f t="shared" si="102"/>
        <v>34257600</v>
      </c>
      <c r="AF41" s="917">
        <f t="shared" si="103"/>
        <v>35209168.700000003</v>
      </c>
      <c r="AG41" s="1409">
        <f>AG42</f>
        <v>5803200</v>
      </c>
      <c r="AH41" s="320">
        <f>AH42</f>
        <v>5487800</v>
      </c>
      <c r="AI41" s="916">
        <f t="shared" si="104"/>
        <v>40060800</v>
      </c>
      <c r="AJ41" s="916">
        <f t="shared" si="105"/>
        <v>40696968.700000003</v>
      </c>
      <c r="AK41" s="1409">
        <f>AK42</f>
        <v>5616000</v>
      </c>
      <c r="AL41" s="320">
        <f>AL42</f>
        <v>5806999.9999999963</v>
      </c>
      <c r="AM41" s="916">
        <f t="shared" si="106"/>
        <v>45676800</v>
      </c>
      <c r="AN41" s="916">
        <f t="shared" si="107"/>
        <v>46503968.700000003</v>
      </c>
      <c r="AO41" s="1409">
        <f>AO42</f>
        <v>5803200</v>
      </c>
      <c r="AP41" s="320">
        <f>AP42</f>
        <v>5812600</v>
      </c>
      <c r="AQ41" s="1486">
        <f t="shared" si="118"/>
        <v>17222400</v>
      </c>
      <c r="AR41" s="1487">
        <f t="shared" si="119"/>
        <v>17107399.999999996</v>
      </c>
      <c r="AS41" s="916">
        <f t="shared" si="108"/>
        <v>51480000</v>
      </c>
      <c r="AT41" s="916">
        <f t="shared" si="109"/>
        <v>52316568.700000003</v>
      </c>
      <c r="AU41" s="1409">
        <f>AU42</f>
        <v>5803200</v>
      </c>
      <c r="AV41" s="320">
        <f>AV42</f>
        <v>5567900</v>
      </c>
      <c r="AW41" s="916">
        <f t="shared" si="110"/>
        <v>57283200</v>
      </c>
      <c r="AX41" s="916">
        <f t="shared" si="111"/>
        <v>57884468.700000003</v>
      </c>
      <c r="AY41" s="1409">
        <f>AY42</f>
        <v>5241600</v>
      </c>
      <c r="AZ41" s="320">
        <f>AZ42</f>
        <v>4999000</v>
      </c>
      <c r="BA41" s="916">
        <f t="shared" si="112"/>
        <v>62524800</v>
      </c>
      <c r="BB41" s="916">
        <f t="shared" si="113"/>
        <v>62883468.700000003</v>
      </c>
      <c r="BC41" s="1409">
        <f>BC42</f>
        <v>5803200</v>
      </c>
      <c r="BD41" s="320">
        <f>BD42</f>
        <v>5930415.0000000019</v>
      </c>
      <c r="BE41" s="1486">
        <f t="shared" si="120"/>
        <v>16848000</v>
      </c>
      <c r="BF41" s="1487">
        <f t="shared" si="121"/>
        <v>16497315.000000002</v>
      </c>
      <c r="BG41" s="910">
        <f>AQ41+BE41</f>
        <v>34070400</v>
      </c>
      <c r="BH41" s="910">
        <f>AR41+BF41</f>
        <v>33604715</v>
      </c>
      <c r="BI41" s="916">
        <f t="shared" si="114"/>
        <v>68328000</v>
      </c>
      <c r="BJ41" s="916">
        <f t="shared" si="115"/>
        <v>68813883.700000003</v>
      </c>
      <c r="BK41" s="1202"/>
      <c r="BL41" s="1202"/>
      <c r="BM41" s="1202"/>
      <c r="BN41" s="5479"/>
      <c r="BO41" s="5479"/>
      <c r="BP41" s="1202"/>
      <c r="BQ41" s="1202"/>
    </row>
    <row r="42" spans="1:70" ht="15" thickBot="1" x14ac:dyDescent="0.35">
      <c r="E42" s="278"/>
      <c r="G42" s="904" t="s">
        <v>773</v>
      </c>
      <c r="H42" s="886" t="s">
        <v>735</v>
      </c>
      <c r="I42" s="1406">
        <f>+I91*I$3*24*1000</f>
        <v>5616000</v>
      </c>
      <c r="J42" s="317">
        <v>5306260</v>
      </c>
      <c r="K42" s="1406">
        <f>+K91*K$3*24*1000</f>
        <v>5803200</v>
      </c>
      <c r="L42" s="317">
        <v>5673200</v>
      </c>
      <c r="M42" s="912">
        <f t="shared" si="3"/>
        <v>11419200</v>
      </c>
      <c r="N42" s="912">
        <f t="shared" si="3"/>
        <v>10979460</v>
      </c>
      <c r="O42" s="1406">
        <f>+O91*O$3*24*1000</f>
        <v>5616000</v>
      </c>
      <c r="P42" s="317">
        <v>5923218</v>
      </c>
      <c r="Q42" s="1482">
        <f t="shared" si="5"/>
        <v>17035200</v>
      </c>
      <c r="R42" s="354">
        <f t="shared" si="6"/>
        <v>16902678</v>
      </c>
      <c r="S42" s="1406">
        <f>+S91*S$3*24*1000</f>
        <v>5803200</v>
      </c>
      <c r="T42" s="317">
        <v>6233883.6999999993</v>
      </c>
      <c r="U42" s="912">
        <f t="shared" si="98"/>
        <v>22838400</v>
      </c>
      <c r="V42" s="912">
        <f t="shared" si="99"/>
        <v>23136561.699999999</v>
      </c>
      <c r="W42" s="1406">
        <f>+W91*W$3*24*1000</f>
        <v>5803200</v>
      </c>
      <c r="X42" s="317">
        <v>6154906.9999999991</v>
      </c>
      <c r="Y42" s="912">
        <f t="shared" si="100"/>
        <v>28641600</v>
      </c>
      <c r="Z42" s="912">
        <f t="shared" si="101"/>
        <v>29291468.699999999</v>
      </c>
      <c r="AA42" s="1406">
        <f>+AA91*AA$3*24*1000</f>
        <v>5616000</v>
      </c>
      <c r="AB42" s="317">
        <v>5917700</v>
      </c>
      <c r="AC42" s="1482">
        <f t="shared" si="116"/>
        <v>17222400</v>
      </c>
      <c r="AD42" s="354">
        <f t="shared" si="117"/>
        <v>18306490.699999999</v>
      </c>
      <c r="AE42" s="913">
        <f t="shared" si="102"/>
        <v>34257600</v>
      </c>
      <c r="AF42" s="913">
        <f t="shared" si="103"/>
        <v>35209168.700000003</v>
      </c>
      <c r="AG42" s="1406">
        <f>+AG91*AG$3*24*1000</f>
        <v>5803200</v>
      </c>
      <c r="AH42" s="317">
        <v>5487800</v>
      </c>
      <c r="AI42" s="912">
        <f t="shared" si="104"/>
        <v>40060800</v>
      </c>
      <c r="AJ42" s="912">
        <f t="shared" si="105"/>
        <v>40696968.700000003</v>
      </c>
      <c r="AK42" s="1406">
        <f>+AK91*AK$3*24*1000</f>
        <v>5616000</v>
      </c>
      <c r="AL42" s="317">
        <v>5806999.9999999963</v>
      </c>
      <c r="AM42" s="912">
        <f t="shared" si="106"/>
        <v>45676800</v>
      </c>
      <c r="AN42" s="912">
        <f t="shared" si="107"/>
        <v>46503968.700000003</v>
      </c>
      <c r="AO42" s="1406">
        <f>+AO91*AO$3*24*1000</f>
        <v>5803200</v>
      </c>
      <c r="AP42" s="317">
        <v>5812600</v>
      </c>
      <c r="AQ42" s="1482">
        <f t="shared" si="118"/>
        <v>17222400</v>
      </c>
      <c r="AR42" s="354">
        <f t="shared" si="119"/>
        <v>17107399.999999996</v>
      </c>
      <c r="AS42" s="912">
        <f t="shared" si="108"/>
        <v>51480000</v>
      </c>
      <c r="AT42" s="912">
        <f t="shared" si="109"/>
        <v>52316568.700000003</v>
      </c>
      <c r="AU42" s="1406">
        <f>+AU91*AU$3*24*1000</f>
        <v>5803200</v>
      </c>
      <c r="AV42" s="317">
        <v>5567900</v>
      </c>
      <c r="AW42" s="912">
        <f t="shared" si="110"/>
        <v>57283200</v>
      </c>
      <c r="AX42" s="912">
        <f t="shared" si="111"/>
        <v>57884468.700000003</v>
      </c>
      <c r="AY42" s="1406">
        <f>+AY91*AY$3*24*1000</f>
        <v>5241600</v>
      </c>
      <c r="AZ42" s="317">
        <v>4999000</v>
      </c>
      <c r="BA42" s="912">
        <f t="shared" si="112"/>
        <v>62524800</v>
      </c>
      <c r="BB42" s="912">
        <f t="shared" si="113"/>
        <v>62883468.700000003</v>
      </c>
      <c r="BC42" s="1406">
        <f>+BC91*BC$3*24*1000</f>
        <v>5803200</v>
      </c>
      <c r="BD42" s="317">
        <v>5930415.0000000019</v>
      </c>
      <c r="BE42" s="1482">
        <f t="shared" si="120"/>
        <v>16848000</v>
      </c>
      <c r="BF42" s="354">
        <f t="shared" si="121"/>
        <v>16497315.000000002</v>
      </c>
      <c r="BG42" s="913">
        <f t="shared" ref="BG42" si="124">AQ42+BE42</f>
        <v>34070400</v>
      </c>
      <c r="BH42" s="913">
        <f t="shared" ref="BH42" si="125">AR42+BF42</f>
        <v>33604715</v>
      </c>
      <c r="BI42" s="912">
        <f t="shared" si="114"/>
        <v>68328000</v>
      </c>
      <c r="BJ42" s="912">
        <f t="shared" si="115"/>
        <v>68813883.700000003</v>
      </c>
      <c r="BK42" s="1202"/>
      <c r="BL42" s="1202"/>
      <c r="BM42" s="1202"/>
      <c r="BN42" s="5479"/>
      <c r="BO42" s="5479"/>
      <c r="BP42" s="1202"/>
      <c r="BQ42" s="1202"/>
    </row>
    <row r="43" spans="1:70" ht="21" thickBot="1" x14ac:dyDescent="0.35">
      <c r="A43" s="269">
        <v>33</v>
      </c>
      <c r="B43" s="301" t="s">
        <v>516</v>
      </c>
      <c r="C43" s="302" t="s">
        <v>213</v>
      </c>
      <c r="D43" s="303">
        <v>79406183.556600019</v>
      </c>
      <c r="E43" s="304">
        <v>84399504.886399984</v>
      </c>
      <c r="G43" s="915" t="s">
        <v>774</v>
      </c>
      <c r="H43" s="1402" t="s">
        <v>736</v>
      </c>
      <c r="I43" s="1409">
        <f>SUM(I44:I47)</f>
        <v>3978000</v>
      </c>
      <c r="J43" s="320">
        <f>SUM(J44:J47)</f>
        <v>3469998.0686666686</v>
      </c>
      <c r="K43" s="1409">
        <f>SUM(K44:K47)</f>
        <v>4110600</v>
      </c>
      <c r="L43" s="320">
        <f>SUM(L44:L47)</f>
        <v>3972030.6476666695</v>
      </c>
      <c r="M43" s="916">
        <f t="shared" si="3"/>
        <v>8088600</v>
      </c>
      <c r="N43" s="916">
        <f t="shared" si="3"/>
        <v>7442028.7163333381</v>
      </c>
      <c r="O43" s="1409">
        <f>SUM(O44:O47)</f>
        <v>3978000</v>
      </c>
      <c r="P43" s="320">
        <f>SUM(P44:P47)</f>
        <v>3846453.2976666633</v>
      </c>
      <c r="Q43" s="1486">
        <f t="shared" si="5"/>
        <v>12066600</v>
      </c>
      <c r="R43" s="1487">
        <f t="shared" si="6"/>
        <v>11288482.014000002</v>
      </c>
      <c r="S43" s="1409">
        <f>SUM(S44:S47)</f>
        <v>4110600</v>
      </c>
      <c r="T43" s="320">
        <f>SUM(T44:T47)</f>
        <v>3811234.1443333272</v>
      </c>
      <c r="U43" s="916">
        <f t="shared" si="98"/>
        <v>16177200</v>
      </c>
      <c r="V43" s="916">
        <f t="shared" si="99"/>
        <v>15099716.158333329</v>
      </c>
      <c r="W43" s="1409">
        <f>SUM(W44:W47)</f>
        <v>4110600</v>
      </c>
      <c r="X43" s="320">
        <f>SUM(X44:X47)</f>
        <v>3712412.7706666836</v>
      </c>
      <c r="Y43" s="916">
        <f t="shared" si="100"/>
        <v>20287800</v>
      </c>
      <c r="Z43" s="916">
        <f t="shared" si="101"/>
        <v>18812128.929000013</v>
      </c>
      <c r="AA43" s="1409">
        <f>SUM(AA44:AA47)</f>
        <v>3978000</v>
      </c>
      <c r="AB43" s="320">
        <f>SUM(AB44:AB47)</f>
        <v>3750034.5243333285</v>
      </c>
      <c r="AC43" s="1486">
        <f>S43+W43+AA43</f>
        <v>12199200</v>
      </c>
      <c r="AD43" s="1487">
        <f>T43+X43+AB43</f>
        <v>11273681.439333338</v>
      </c>
      <c r="AE43" s="917">
        <f t="shared" si="102"/>
        <v>24265800</v>
      </c>
      <c r="AF43" s="917">
        <f t="shared" si="103"/>
        <v>22562163.453333341</v>
      </c>
      <c r="AG43" s="1409">
        <f>SUM(AG44:AG47)</f>
        <v>4110600</v>
      </c>
      <c r="AH43" s="320">
        <f>SUM(AH44:AH47)</f>
        <v>3438464.4853333319</v>
      </c>
      <c r="AI43" s="916">
        <f t="shared" si="104"/>
        <v>28376400</v>
      </c>
      <c r="AJ43" s="916">
        <f t="shared" si="105"/>
        <v>26000627.938666672</v>
      </c>
      <c r="AK43" s="1409">
        <f>SUM(AK44:AK47)</f>
        <v>3978000</v>
      </c>
      <c r="AL43" s="320">
        <f>SUM(AL44:AL47)</f>
        <v>3041782.2536666677</v>
      </c>
      <c r="AM43" s="916">
        <f t="shared" si="106"/>
        <v>32354400</v>
      </c>
      <c r="AN43" s="916">
        <f t="shared" si="107"/>
        <v>29042410.192333341</v>
      </c>
      <c r="AO43" s="1409">
        <f>SUM(AO44:AO47)</f>
        <v>4110600</v>
      </c>
      <c r="AP43" s="320">
        <f>SUM(AP44:AP47)</f>
        <v>3253325.6930000032</v>
      </c>
      <c r="AQ43" s="1486">
        <f>AG43+AK43+AO43</f>
        <v>12199200</v>
      </c>
      <c r="AR43" s="1487">
        <f>AH43+AL43+AP43</f>
        <v>9733572.4320000038</v>
      </c>
      <c r="AS43" s="916">
        <f t="shared" si="108"/>
        <v>36465000</v>
      </c>
      <c r="AT43" s="916">
        <f t="shared" si="109"/>
        <v>32295735.885333344</v>
      </c>
      <c r="AU43" s="1409">
        <f>SUM(AU44:AU47)</f>
        <v>4110600</v>
      </c>
      <c r="AV43" s="320">
        <f>SUM(AV44:AV47)</f>
        <v>3318604.1260000006</v>
      </c>
      <c r="AW43" s="916">
        <f t="shared" si="110"/>
        <v>40575600</v>
      </c>
      <c r="AX43" s="916">
        <f t="shared" si="111"/>
        <v>35614340.011333346</v>
      </c>
      <c r="AY43" s="1409">
        <f>SUM(AY44:AY47)</f>
        <v>3712800</v>
      </c>
      <c r="AZ43" s="320">
        <f>SUM(AZ44:AZ47)</f>
        <v>2304426.6590000056</v>
      </c>
      <c r="BA43" s="916">
        <f t="shared" si="112"/>
        <v>44288400</v>
      </c>
      <c r="BB43" s="916">
        <f t="shared" si="113"/>
        <v>37918766.670333356</v>
      </c>
      <c r="BC43" s="1409">
        <f>SUM(BC44:BC47)</f>
        <v>4110600</v>
      </c>
      <c r="BD43" s="320">
        <f>SUM(BD44:BD47)</f>
        <v>2698593.3956666575</v>
      </c>
      <c r="BE43" s="1486">
        <f>AU43+AY43+BC43</f>
        <v>11934000</v>
      </c>
      <c r="BF43" s="1487">
        <f>AV43+AZ43+BD43</f>
        <v>8321624.1806666628</v>
      </c>
      <c r="BG43" s="910">
        <f>AQ43+BE43</f>
        <v>24133200</v>
      </c>
      <c r="BH43" s="910">
        <f>AR43+BF43</f>
        <v>18055196.612666667</v>
      </c>
      <c r="BI43" s="916">
        <f t="shared" si="114"/>
        <v>48399000</v>
      </c>
      <c r="BJ43" s="916">
        <f t="shared" si="115"/>
        <v>40617360.066000015</v>
      </c>
      <c r="BK43" s="1202"/>
      <c r="BL43" s="1202"/>
      <c r="BM43" s="1202"/>
      <c r="BN43" s="5479"/>
      <c r="BO43" s="5479"/>
      <c r="BP43" s="1202"/>
      <c r="BQ43" s="1202"/>
    </row>
    <row r="44" spans="1:70" ht="15.6" x14ac:dyDescent="0.3">
      <c r="A44" s="305"/>
      <c r="B44" s="306"/>
      <c r="C44" s="307"/>
      <c r="D44" s="308"/>
      <c r="E44" s="308"/>
      <c r="G44" s="904" t="s">
        <v>775</v>
      </c>
      <c r="H44" s="886" t="s">
        <v>737</v>
      </c>
      <c r="I44" s="1406">
        <f>+I93*I$3*24*1000</f>
        <v>378000</v>
      </c>
      <c r="J44" s="317">
        <v>404383.69366666616</v>
      </c>
      <c r="K44" s="1406">
        <f>+K93*K$3*24*1000</f>
        <v>390600</v>
      </c>
      <c r="L44" s="317">
        <v>404082.82566666603</v>
      </c>
      <c r="M44" s="912">
        <f t="shared" si="3"/>
        <v>768600</v>
      </c>
      <c r="N44" s="912">
        <f t="shared" si="3"/>
        <v>808466.51933333219</v>
      </c>
      <c r="O44" s="1406">
        <f>+O93*O$3*24*1000</f>
        <v>378000</v>
      </c>
      <c r="P44" s="317">
        <v>402563.794666667</v>
      </c>
      <c r="Q44" s="1482">
        <f t="shared" si="5"/>
        <v>1146600</v>
      </c>
      <c r="R44" s="354">
        <f t="shared" si="6"/>
        <v>1211030.3139999993</v>
      </c>
      <c r="S44" s="1406">
        <f>+S93*S$3*24*1000</f>
        <v>390600</v>
      </c>
      <c r="T44" s="317">
        <v>402847.5843333333</v>
      </c>
      <c r="U44" s="912">
        <f t="shared" si="98"/>
        <v>1537200</v>
      </c>
      <c r="V44" s="912">
        <f t="shared" si="99"/>
        <v>1613877.8983333325</v>
      </c>
      <c r="W44" s="1406">
        <f>+W93*W$3*24*1000</f>
        <v>390600</v>
      </c>
      <c r="X44" s="317">
        <v>413019.89566666802</v>
      </c>
      <c r="Y44" s="912">
        <f t="shared" si="100"/>
        <v>1927800</v>
      </c>
      <c r="Z44" s="912">
        <f t="shared" si="101"/>
        <v>2026897.7940000005</v>
      </c>
      <c r="AA44" s="1406">
        <f>+AA93*AA$3*24*1000</f>
        <v>378000</v>
      </c>
      <c r="AB44" s="317">
        <v>416110.33433333371</v>
      </c>
      <c r="AC44" s="1482">
        <f t="shared" si="116"/>
        <v>1159200</v>
      </c>
      <c r="AD44" s="354">
        <f t="shared" si="117"/>
        <v>1231977.814333335</v>
      </c>
      <c r="AE44" s="913">
        <f t="shared" si="102"/>
        <v>2305800</v>
      </c>
      <c r="AF44" s="913">
        <f t="shared" si="103"/>
        <v>2443008.1283333343</v>
      </c>
      <c r="AG44" s="1406">
        <f>+AG93*AG$3*24*1000</f>
        <v>390600</v>
      </c>
      <c r="AH44" s="317">
        <v>380236.93533333257</v>
      </c>
      <c r="AI44" s="912">
        <f t="shared" si="104"/>
        <v>2696400</v>
      </c>
      <c r="AJ44" s="912">
        <f t="shared" si="105"/>
        <v>2823245.0636666669</v>
      </c>
      <c r="AK44" s="1406">
        <f>+AK93*AK$3*24*1000</f>
        <v>378000</v>
      </c>
      <c r="AL44" s="317">
        <v>291079.56366666663</v>
      </c>
      <c r="AM44" s="912">
        <f t="shared" si="106"/>
        <v>3074400</v>
      </c>
      <c r="AN44" s="912">
        <f t="shared" si="107"/>
        <v>3114324.6273333337</v>
      </c>
      <c r="AO44" s="1406">
        <f>+AO93*AO$3*24*1000</f>
        <v>390600</v>
      </c>
      <c r="AP44" s="317">
        <v>289265.58299999905</v>
      </c>
      <c r="AQ44" s="1482">
        <f t="shared" ref="AQ44:AQ47" si="126">AG44+AK44+AO44</f>
        <v>1159200</v>
      </c>
      <c r="AR44" s="354">
        <f t="shared" ref="AR44:AR47" si="127">AH44+AL44+AP44</f>
        <v>960582.08199999819</v>
      </c>
      <c r="AS44" s="912">
        <f t="shared" si="108"/>
        <v>3465000</v>
      </c>
      <c r="AT44" s="912">
        <f t="shared" si="109"/>
        <v>3403590.2103333329</v>
      </c>
      <c r="AU44" s="1406">
        <f>+AU93*AU$3*24*1000</f>
        <v>390600</v>
      </c>
      <c r="AV44" s="317">
        <v>320288.64599999995</v>
      </c>
      <c r="AW44" s="912">
        <f t="shared" si="110"/>
        <v>3855600</v>
      </c>
      <c r="AX44" s="912">
        <f t="shared" si="111"/>
        <v>3723878.8563333331</v>
      </c>
      <c r="AY44" s="1406">
        <f>+AY93*AY$3*24*1000</f>
        <v>352800</v>
      </c>
      <c r="AZ44" s="317">
        <v>247466.85900000177</v>
      </c>
      <c r="BA44" s="912">
        <f t="shared" si="112"/>
        <v>4208400</v>
      </c>
      <c r="BB44" s="912">
        <f t="shared" si="113"/>
        <v>3971345.7153333346</v>
      </c>
      <c r="BC44" s="1406">
        <f>+BC93*BC$3*24*1000</f>
        <v>390600</v>
      </c>
      <c r="BD44" s="317">
        <v>249843.51266666618</v>
      </c>
      <c r="BE44" s="1482">
        <f t="shared" ref="BE44:BE47" si="128">AU44+AY44+BC44</f>
        <v>1134000</v>
      </c>
      <c r="BF44" s="354">
        <f t="shared" ref="BF44:BF47" si="129">AV44+AZ44+BD44</f>
        <v>817599.01766666793</v>
      </c>
      <c r="BG44" s="913">
        <f t="shared" ref="BG44:BG47" si="130">AQ44+BE44</f>
        <v>2293200</v>
      </c>
      <c r="BH44" s="913">
        <f t="shared" ref="BH44:BH47" si="131">AR44+BF44</f>
        <v>1778181.0996666662</v>
      </c>
      <c r="BI44" s="912">
        <f t="shared" si="114"/>
        <v>4599000</v>
      </c>
      <c r="BJ44" s="912">
        <f t="shared" si="115"/>
        <v>4221189.2280000011</v>
      </c>
      <c r="BK44" s="1202"/>
      <c r="BL44" s="1202"/>
      <c r="BM44" s="1202"/>
      <c r="BN44" s="5479"/>
      <c r="BO44" s="5479"/>
      <c r="BP44" s="1202"/>
      <c r="BQ44" s="1202"/>
    </row>
    <row r="45" spans="1:70" ht="15.6" x14ac:dyDescent="0.3">
      <c r="A45" s="305"/>
      <c r="B45" s="306"/>
      <c r="C45" s="307"/>
      <c r="D45" s="308"/>
      <c r="E45" s="308"/>
      <c r="G45" s="904" t="s">
        <v>776</v>
      </c>
      <c r="H45" s="886" t="s">
        <v>738</v>
      </c>
      <c r="I45" s="1406">
        <f>+I94*I$3*24*1000</f>
        <v>2520000</v>
      </c>
      <c r="J45" s="317">
        <v>2351553.1750000045</v>
      </c>
      <c r="K45" s="1406">
        <f>+K94*K$3*24*1000</f>
        <v>2604000</v>
      </c>
      <c r="L45" s="317">
        <v>2617396.8220000011</v>
      </c>
      <c r="M45" s="912">
        <f t="shared" si="3"/>
        <v>5124000</v>
      </c>
      <c r="N45" s="912">
        <f t="shared" si="3"/>
        <v>4968949.9970000051</v>
      </c>
      <c r="O45" s="1406">
        <f>+O94*O$3*24*1000</f>
        <v>2520000</v>
      </c>
      <c r="P45" s="317">
        <v>2694212.3029999989</v>
      </c>
      <c r="Q45" s="1482">
        <f t="shared" si="5"/>
        <v>7644000</v>
      </c>
      <c r="R45" s="354">
        <f t="shared" si="6"/>
        <v>7663162.3000000045</v>
      </c>
      <c r="S45" s="1406">
        <f>+S94*S$3*24*1000</f>
        <v>2604000</v>
      </c>
      <c r="T45" s="317">
        <v>2665378.1599999946</v>
      </c>
      <c r="U45" s="912">
        <f t="shared" si="98"/>
        <v>10248000</v>
      </c>
      <c r="V45" s="912">
        <f t="shared" si="99"/>
        <v>10328540.459999999</v>
      </c>
      <c r="W45" s="1406">
        <f>+W94*W$3*24*1000</f>
        <v>2604000</v>
      </c>
      <c r="X45" s="317">
        <v>2643462.275000012</v>
      </c>
      <c r="Y45" s="912">
        <f t="shared" si="100"/>
        <v>12852000</v>
      </c>
      <c r="Z45" s="912">
        <f t="shared" si="101"/>
        <v>12972002.735000011</v>
      </c>
      <c r="AA45" s="1406">
        <f>+AA94*AA$3*24*1000</f>
        <v>2520000</v>
      </c>
      <c r="AB45" s="317">
        <v>2547984.389999995</v>
      </c>
      <c r="AC45" s="1482">
        <f t="shared" si="116"/>
        <v>7728000</v>
      </c>
      <c r="AD45" s="354">
        <f t="shared" si="117"/>
        <v>7856824.8250000011</v>
      </c>
      <c r="AE45" s="913">
        <f t="shared" si="102"/>
        <v>15372000</v>
      </c>
      <c r="AF45" s="913">
        <f t="shared" si="103"/>
        <v>15519987.125000006</v>
      </c>
      <c r="AG45" s="1406">
        <f>+AG94*AG$3*24*1000</f>
        <v>2604000</v>
      </c>
      <c r="AH45" s="317">
        <v>2289605.7500000019</v>
      </c>
      <c r="AI45" s="912">
        <f t="shared" si="104"/>
        <v>17976000</v>
      </c>
      <c r="AJ45" s="912">
        <f t="shared" si="105"/>
        <v>17809592.875000007</v>
      </c>
      <c r="AK45" s="1406">
        <f>+AK94*AK$3*24*1000</f>
        <v>2520000</v>
      </c>
      <c r="AL45" s="317">
        <v>1767986.2900000003</v>
      </c>
      <c r="AM45" s="912">
        <f t="shared" si="106"/>
        <v>20496000</v>
      </c>
      <c r="AN45" s="912">
        <f t="shared" si="107"/>
        <v>19577579.165000007</v>
      </c>
      <c r="AO45" s="1406">
        <f>+AO94*AO$3*24*1000</f>
        <v>2604000</v>
      </c>
      <c r="AP45" s="317">
        <v>1953408.1100000017</v>
      </c>
      <c r="AQ45" s="1482">
        <f t="shared" si="126"/>
        <v>7728000</v>
      </c>
      <c r="AR45" s="354">
        <f t="shared" si="127"/>
        <v>6011000.1500000041</v>
      </c>
      <c r="AS45" s="912">
        <f t="shared" si="108"/>
        <v>23100000</v>
      </c>
      <c r="AT45" s="912">
        <f t="shared" si="109"/>
        <v>21530987.27500001</v>
      </c>
      <c r="AU45" s="1406">
        <f>+AU94*AU$3*24*1000</f>
        <v>2604000</v>
      </c>
      <c r="AV45" s="317">
        <v>1991176.6799999981</v>
      </c>
      <c r="AW45" s="912">
        <f t="shared" si="110"/>
        <v>25704000</v>
      </c>
      <c r="AX45" s="912">
        <f t="shared" si="111"/>
        <v>23522163.955000009</v>
      </c>
      <c r="AY45" s="1406">
        <f>+AY94*AY$3*24*1000</f>
        <v>2352000</v>
      </c>
      <c r="AZ45" s="317">
        <v>1613619.0000000044</v>
      </c>
      <c r="BA45" s="912">
        <f t="shared" si="112"/>
        <v>28056000</v>
      </c>
      <c r="BB45" s="912">
        <f t="shared" si="113"/>
        <v>25135782.955000013</v>
      </c>
      <c r="BC45" s="1406">
        <f>+BC94*BC$3*24*1000</f>
        <v>2604000</v>
      </c>
      <c r="BD45" s="317">
        <v>1923738.6829999932</v>
      </c>
      <c r="BE45" s="1482">
        <f t="shared" si="128"/>
        <v>7560000</v>
      </c>
      <c r="BF45" s="354">
        <f t="shared" si="129"/>
        <v>5528534.3629999962</v>
      </c>
      <c r="BG45" s="913">
        <f t="shared" si="130"/>
        <v>15288000</v>
      </c>
      <c r="BH45" s="913">
        <f t="shared" si="131"/>
        <v>11539534.513</v>
      </c>
      <c r="BI45" s="912">
        <f t="shared" si="114"/>
        <v>30660000</v>
      </c>
      <c r="BJ45" s="912">
        <f t="shared" si="115"/>
        <v>27059521.638000008</v>
      </c>
      <c r="BK45" s="1202"/>
      <c r="BL45" s="1202"/>
      <c r="BM45" s="1202"/>
      <c r="BN45" s="5479"/>
      <c r="BO45" s="5479"/>
      <c r="BP45" s="1202"/>
      <c r="BQ45" s="1202"/>
    </row>
    <row r="46" spans="1:70" ht="22.8" x14ac:dyDescent="0.4">
      <c r="A46" s="305"/>
      <c r="B46" s="17" t="s">
        <v>499</v>
      </c>
      <c r="C46" s="309"/>
      <c r="D46" s="308"/>
      <c r="E46" s="308"/>
      <c r="G46" s="904" t="s">
        <v>777</v>
      </c>
      <c r="H46" s="886" t="s">
        <v>739</v>
      </c>
      <c r="I46" s="1406">
        <f>+I95*I$3*24*1000</f>
        <v>432000</v>
      </c>
      <c r="J46" s="317">
        <v>261255.19999999768</v>
      </c>
      <c r="K46" s="1406">
        <f>+K95*K$3*24*1000</f>
        <v>446400</v>
      </c>
      <c r="L46" s="317">
        <v>547728.00000000244</v>
      </c>
      <c r="M46" s="912">
        <f t="shared" si="3"/>
        <v>878400</v>
      </c>
      <c r="N46" s="912">
        <f t="shared" si="3"/>
        <v>808983.20000000019</v>
      </c>
      <c r="O46" s="1406">
        <f>+O95*O$3*24*1000</f>
        <v>432000</v>
      </c>
      <c r="P46" s="317">
        <v>337911.19999999763</v>
      </c>
      <c r="Q46" s="1482">
        <f t="shared" si="5"/>
        <v>1310400</v>
      </c>
      <c r="R46" s="354">
        <f t="shared" si="6"/>
        <v>1146894.3999999978</v>
      </c>
      <c r="S46" s="1406">
        <f>+S95*S$3*24*1000</f>
        <v>446400</v>
      </c>
      <c r="T46" s="317">
        <v>361078.4</v>
      </c>
      <c r="U46" s="912">
        <f t="shared" si="98"/>
        <v>1756800</v>
      </c>
      <c r="V46" s="912">
        <f t="shared" si="99"/>
        <v>1507972.799999998</v>
      </c>
      <c r="W46" s="1406">
        <f>+W95*W$3*24*1000</f>
        <v>446400</v>
      </c>
      <c r="X46" s="317">
        <v>261421.60000000233</v>
      </c>
      <c r="Y46" s="912">
        <f t="shared" si="100"/>
        <v>2203200</v>
      </c>
      <c r="Z46" s="912">
        <f t="shared" si="101"/>
        <v>1769394.4000000004</v>
      </c>
      <c r="AA46" s="1406">
        <f>+AA95*AA$3*24*1000</f>
        <v>432000</v>
      </c>
      <c r="AB46" s="317">
        <v>378300.80000000005</v>
      </c>
      <c r="AC46" s="1482">
        <f t="shared" si="116"/>
        <v>1324800</v>
      </c>
      <c r="AD46" s="354">
        <f t="shared" si="117"/>
        <v>1000800.8000000024</v>
      </c>
      <c r="AE46" s="913">
        <f t="shared" si="102"/>
        <v>2635200</v>
      </c>
      <c r="AF46" s="913">
        <f t="shared" si="103"/>
        <v>2147695.2000000002</v>
      </c>
      <c r="AG46" s="1406">
        <f>+AG95*AG$3*24*1000</f>
        <v>446400</v>
      </c>
      <c r="AH46" s="317">
        <v>330244.79999999772</v>
      </c>
      <c r="AI46" s="912">
        <f t="shared" si="104"/>
        <v>3081600</v>
      </c>
      <c r="AJ46" s="912">
        <f t="shared" si="105"/>
        <v>2477939.9999999981</v>
      </c>
      <c r="AK46" s="1406">
        <f>+AK95*AK$3*24*1000</f>
        <v>432000</v>
      </c>
      <c r="AL46" s="317">
        <v>594526.40000000014</v>
      </c>
      <c r="AM46" s="912">
        <f t="shared" si="106"/>
        <v>3513600</v>
      </c>
      <c r="AN46" s="912">
        <f t="shared" si="107"/>
        <v>3072466.3999999985</v>
      </c>
      <c r="AO46" s="1406">
        <f>+AO95*AO$3*24*1000</f>
        <v>446400</v>
      </c>
      <c r="AP46" s="317">
        <v>603716.00000000256</v>
      </c>
      <c r="AQ46" s="1482">
        <f t="shared" si="126"/>
        <v>1324800</v>
      </c>
      <c r="AR46" s="354">
        <f t="shared" si="127"/>
        <v>1528487.2000000004</v>
      </c>
      <c r="AS46" s="912">
        <f t="shared" si="108"/>
        <v>3960000</v>
      </c>
      <c r="AT46" s="912">
        <f t="shared" si="109"/>
        <v>3676182.4000000013</v>
      </c>
      <c r="AU46" s="1406">
        <f>+AU95*AU$3*24*1000</f>
        <v>446400</v>
      </c>
      <c r="AV46" s="317">
        <v>746116.80000000214</v>
      </c>
      <c r="AW46" s="912">
        <f t="shared" si="110"/>
        <v>4406400</v>
      </c>
      <c r="AX46" s="912">
        <f t="shared" si="111"/>
        <v>4422299.200000003</v>
      </c>
      <c r="AY46" s="1406">
        <f>+AY95*AY$3*24*1000</f>
        <v>403200.00000000006</v>
      </c>
      <c r="AZ46" s="317">
        <v>417960.79999999923</v>
      </c>
      <c r="BA46" s="912">
        <f t="shared" si="112"/>
        <v>4809600</v>
      </c>
      <c r="BB46" s="912">
        <f t="shared" si="113"/>
        <v>4840260.0000000019</v>
      </c>
      <c r="BC46" s="1406">
        <f>+BC95*BC$3*24*1000</f>
        <v>446400</v>
      </c>
      <c r="BD46" s="317">
        <v>503111.19999999856</v>
      </c>
      <c r="BE46" s="1482">
        <f t="shared" si="128"/>
        <v>1296000</v>
      </c>
      <c r="BF46" s="354">
        <f t="shared" si="129"/>
        <v>1667188.8</v>
      </c>
      <c r="BG46" s="913">
        <f t="shared" si="130"/>
        <v>2620800</v>
      </c>
      <c r="BH46" s="913">
        <f t="shared" si="131"/>
        <v>3195676.0000000005</v>
      </c>
      <c r="BI46" s="912">
        <f t="shared" si="114"/>
        <v>5256000</v>
      </c>
      <c r="BJ46" s="912">
        <f t="shared" si="115"/>
        <v>5343371.2</v>
      </c>
      <c r="BK46" s="1202"/>
      <c r="BL46" s="1202"/>
      <c r="BM46" s="1202"/>
      <c r="BN46" s="5479"/>
      <c r="BO46" s="5479"/>
      <c r="BP46" s="1202"/>
      <c r="BQ46" s="1202"/>
    </row>
    <row r="47" spans="1:70" ht="15" thickBot="1" x14ac:dyDescent="0.35">
      <c r="B47" s="4"/>
      <c r="C47" s="277"/>
      <c r="E47" s="278"/>
      <c r="G47" s="918" t="s">
        <v>778</v>
      </c>
      <c r="H47" s="1403" t="s">
        <v>740</v>
      </c>
      <c r="I47" s="1411">
        <f>+I96*I$3*24*1000</f>
        <v>648000</v>
      </c>
      <c r="J47" s="321">
        <v>452806</v>
      </c>
      <c r="K47" s="1411">
        <f>+K96*K$3*24*1000</f>
        <v>669600</v>
      </c>
      <c r="L47" s="321">
        <v>402823</v>
      </c>
      <c r="M47" s="920">
        <f t="shared" si="3"/>
        <v>1317600</v>
      </c>
      <c r="N47" s="920">
        <f t="shared" si="3"/>
        <v>855629</v>
      </c>
      <c r="O47" s="1411">
        <f>+O96*O$3*24*1000</f>
        <v>648000</v>
      </c>
      <c r="P47" s="321">
        <v>411766</v>
      </c>
      <c r="Q47" s="1488">
        <f t="shared" si="5"/>
        <v>1965600</v>
      </c>
      <c r="R47" s="1489">
        <f t="shared" si="6"/>
        <v>1267395</v>
      </c>
      <c r="S47" s="1411">
        <f>+S96*S$3*24*1000</f>
        <v>669600</v>
      </c>
      <c r="T47" s="321">
        <v>381929.9999999993</v>
      </c>
      <c r="U47" s="920">
        <f t="shared" si="98"/>
        <v>2635200</v>
      </c>
      <c r="V47" s="920">
        <f t="shared" si="99"/>
        <v>1649324.9999999993</v>
      </c>
      <c r="W47" s="1411">
        <f>+W96*W$3*24*1000</f>
        <v>669600</v>
      </c>
      <c r="X47" s="321">
        <v>394509.00000000099</v>
      </c>
      <c r="Y47" s="920">
        <f t="shared" si="100"/>
        <v>3304800</v>
      </c>
      <c r="Z47" s="920">
        <f t="shared" si="101"/>
        <v>2043834.0000000002</v>
      </c>
      <c r="AA47" s="1411">
        <f>+AA96*AA$3*24*1000</f>
        <v>648000</v>
      </c>
      <c r="AB47" s="321">
        <v>407638.99999999953</v>
      </c>
      <c r="AC47" s="1488">
        <f t="shared" si="116"/>
        <v>1987200</v>
      </c>
      <c r="AD47" s="1489">
        <f t="shared" si="117"/>
        <v>1184077.9999999998</v>
      </c>
      <c r="AE47" s="921">
        <f t="shared" si="102"/>
        <v>3952800</v>
      </c>
      <c r="AF47" s="921">
        <f t="shared" si="103"/>
        <v>2451473</v>
      </c>
      <c r="AG47" s="1411">
        <f>+AG96*AG$3*24*1000</f>
        <v>669600</v>
      </c>
      <c r="AH47" s="321">
        <v>438376.99999999983</v>
      </c>
      <c r="AI47" s="920">
        <f t="shared" si="104"/>
        <v>4622400</v>
      </c>
      <c r="AJ47" s="920">
        <f t="shared" si="105"/>
        <v>2889850</v>
      </c>
      <c r="AK47" s="1411">
        <f>+AK96*AK$3*24*1000</f>
        <v>648000</v>
      </c>
      <c r="AL47" s="321">
        <v>388190.00000000052</v>
      </c>
      <c r="AM47" s="920">
        <f t="shared" si="106"/>
        <v>5270400</v>
      </c>
      <c r="AN47" s="920">
        <f t="shared" si="107"/>
        <v>3278040.0000000005</v>
      </c>
      <c r="AO47" s="1411">
        <f>+AO96*AO$3*24*1000</f>
        <v>669600</v>
      </c>
      <c r="AP47" s="321">
        <v>406935.99999999936</v>
      </c>
      <c r="AQ47" s="1488">
        <f t="shared" si="126"/>
        <v>1987200</v>
      </c>
      <c r="AR47" s="1489">
        <f t="shared" si="127"/>
        <v>1233502.9999999998</v>
      </c>
      <c r="AS47" s="920">
        <f t="shared" si="108"/>
        <v>5940000</v>
      </c>
      <c r="AT47" s="920">
        <f t="shared" si="109"/>
        <v>3684976</v>
      </c>
      <c r="AU47" s="1411">
        <f>+AU96*AU$3*24*1000</f>
        <v>669600</v>
      </c>
      <c r="AV47" s="321">
        <v>261022.00000000058</v>
      </c>
      <c r="AW47" s="920">
        <f t="shared" si="110"/>
        <v>6609600</v>
      </c>
      <c r="AX47" s="920">
        <f t="shared" si="111"/>
        <v>3945998.0000000005</v>
      </c>
      <c r="AY47" s="1411">
        <f>+AY96*AY$3*24*1000</f>
        <v>604800</v>
      </c>
      <c r="AZ47" s="321">
        <v>25380.000000000109</v>
      </c>
      <c r="BA47" s="920">
        <f t="shared" si="112"/>
        <v>7214400</v>
      </c>
      <c r="BB47" s="920">
        <f t="shared" si="113"/>
        <v>3971378.0000000005</v>
      </c>
      <c r="BC47" s="1411">
        <f>+BC96*BC$3*24*1000</f>
        <v>669600</v>
      </c>
      <c r="BD47" s="321">
        <v>21899.999999999636</v>
      </c>
      <c r="BE47" s="1488">
        <f t="shared" si="128"/>
        <v>1944000</v>
      </c>
      <c r="BF47" s="1489">
        <f t="shared" si="129"/>
        <v>308302.00000000035</v>
      </c>
      <c r="BG47" s="913">
        <f t="shared" si="130"/>
        <v>3931200</v>
      </c>
      <c r="BH47" s="913">
        <f t="shared" si="131"/>
        <v>1541805</v>
      </c>
      <c r="BI47" s="920">
        <f t="shared" si="114"/>
        <v>7884000</v>
      </c>
      <c r="BJ47" s="920">
        <f t="shared" si="115"/>
        <v>3993278</v>
      </c>
      <c r="BK47" s="1202"/>
      <c r="BL47" s="1202"/>
      <c r="BM47" s="1202"/>
      <c r="BN47" s="5479"/>
      <c r="BO47" s="5479"/>
      <c r="BP47" s="1202"/>
      <c r="BQ47" s="1202"/>
    </row>
    <row r="48" spans="1:70" s="146" customFormat="1" ht="15" thickBot="1" x14ac:dyDescent="0.35">
      <c r="A48" s="147"/>
      <c r="B48" s="1257"/>
      <c r="C48" s="5637"/>
      <c r="D48" s="5638"/>
      <c r="E48" s="5638"/>
      <c r="G48" s="922"/>
      <c r="H48" s="151"/>
      <c r="I48" s="332"/>
      <c r="J48" s="4476"/>
      <c r="K48" s="332"/>
      <c r="L48" s="4476"/>
      <c r="M48" s="4821"/>
      <c r="N48" s="4821"/>
      <c r="O48" s="332"/>
      <c r="P48" s="4476"/>
      <c r="Q48" s="332"/>
      <c r="R48" s="4476"/>
      <c r="S48" s="332"/>
      <c r="T48" s="4476"/>
      <c r="U48" s="4821"/>
      <c r="V48" s="4821"/>
      <c r="W48" s="332"/>
      <c r="X48" s="4476"/>
      <c r="Y48" s="4821"/>
      <c r="Z48" s="4821"/>
      <c r="AA48" s="332"/>
      <c r="AB48" s="4476"/>
      <c r="AC48" s="332"/>
      <c r="AD48" s="4476"/>
      <c r="AE48" s="4821"/>
      <c r="AF48" s="4821"/>
      <c r="AG48" s="332"/>
      <c r="AH48" s="4476"/>
      <c r="AI48" s="4821"/>
      <c r="AJ48" s="4821"/>
      <c r="AK48" s="332"/>
      <c r="AL48" s="4476"/>
      <c r="AM48" s="4821"/>
      <c r="AN48" s="4821"/>
      <c r="AO48" s="332"/>
      <c r="AP48" s="4476"/>
      <c r="AQ48" s="332"/>
      <c r="AR48" s="4476"/>
      <c r="AS48" s="4821"/>
      <c r="AT48" s="4821"/>
      <c r="AU48" s="332"/>
      <c r="AV48" s="4476"/>
      <c r="AW48" s="4821"/>
      <c r="AX48" s="4821"/>
      <c r="AY48" s="332"/>
      <c r="AZ48" s="4476"/>
      <c r="BA48" s="4821"/>
      <c r="BB48" s="4821"/>
      <c r="BC48" s="332"/>
      <c r="BD48" s="4476"/>
      <c r="BE48" s="332"/>
      <c r="BF48" s="4476"/>
      <c r="BG48" s="4821"/>
      <c r="BH48" s="4821"/>
      <c r="BI48" s="4821"/>
      <c r="BJ48" s="4821"/>
      <c r="BK48" s="544"/>
      <c r="BL48" s="544"/>
      <c r="BM48" s="5639"/>
      <c r="BN48" s="5639"/>
      <c r="BO48" s="5639"/>
    </row>
    <row r="49" spans="1:67" s="146" customFormat="1" ht="22.8" x14ac:dyDescent="0.3">
      <c r="A49" s="333"/>
      <c r="B49" s="334" t="s">
        <v>135</v>
      </c>
      <c r="C49" s="6389" t="s">
        <v>172</v>
      </c>
      <c r="D49" s="335"/>
      <c r="E49" s="335"/>
      <c r="G49" s="922"/>
      <c r="H49" s="151"/>
      <c r="I49" s="4476">
        <f t="shared" ref="I49:AP49" si="132">+I16-I17</f>
        <v>0</v>
      </c>
      <c r="J49" s="4476">
        <f t="shared" si="132"/>
        <v>0</v>
      </c>
      <c r="K49" s="4476">
        <f t="shared" ref="K49:L49" si="133">+K16-K17</f>
        <v>0</v>
      </c>
      <c r="L49" s="4476">
        <f t="shared" si="133"/>
        <v>0</v>
      </c>
      <c r="M49" s="4476">
        <f t="shared" si="132"/>
        <v>0</v>
      </c>
      <c r="N49" s="4476">
        <f t="shared" si="132"/>
        <v>0</v>
      </c>
      <c r="O49" s="4476">
        <f t="shared" si="132"/>
        <v>0</v>
      </c>
      <c r="P49" s="4476">
        <f t="shared" si="132"/>
        <v>1</v>
      </c>
      <c r="Q49" s="4476">
        <f t="shared" si="132"/>
        <v>0</v>
      </c>
      <c r="R49" s="4476">
        <f t="shared" si="132"/>
        <v>1</v>
      </c>
      <c r="S49" s="4476">
        <f t="shared" ref="S49:T49" si="134">+S16-S17</f>
        <v>0</v>
      </c>
      <c r="T49" s="4476">
        <f t="shared" si="134"/>
        <v>0</v>
      </c>
      <c r="U49" s="4476">
        <f t="shared" si="132"/>
        <v>0</v>
      </c>
      <c r="V49" s="4476">
        <f t="shared" si="132"/>
        <v>1.0000000596046448</v>
      </c>
      <c r="W49" s="4476">
        <f t="shared" si="132"/>
        <v>0</v>
      </c>
      <c r="X49" s="4476">
        <f t="shared" si="132"/>
        <v>0</v>
      </c>
      <c r="Y49" s="4476">
        <f t="shared" si="132"/>
        <v>0</v>
      </c>
      <c r="Z49" s="4476">
        <f t="shared" si="132"/>
        <v>1</v>
      </c>
      <c r="AA49" s="4476">
        <f t="shared" ref="AA49:AB49" si="135">+AA16-AA17</f>
        <v>0</v>
      </c>
      <c r="AB49" s="4476">
        <f t="shared" si="135"/>
        <v>0</v>
      </c>
      <c r="AC49" s="4476">
        <f t="shared" si="132"/>
        <v>0</v>
      </c>
      <c r="AD49" s="4476">
        <f t="shared" si="132"/>
        <v>0</v>
      </c>
      <c r="AE49" s="4476">
        <f t="shared" si="132"/>
        <v>0</v>
      </c>
      <c r="AF49" s="4476">
        <f t="shared" si="132"/>
        <v>1</v>
      </c>
      <c r="AG49" s="4476">
        <f t="shared" si="132"/>
        <v>0</v>
      </c>
      <c r="AH49" s="4476">
        <f t="shared" si="132"/>
        <v>0</v>
      </c>
      <c r="AI49" s="4476">
        <f t="shared" si="132"/>
        <v>0</v>
      </c>
      <c r="AJ49" s="4476">
        <f t="shared" si="132"/>
        <v>1</v>
      </c>
      <c r="AK49" s="4476">
        <f t="shared" ref="AK49:AL49" si="136">+AK16-AK17</f>
        <v>0</v>
      </c>
      <c r="AL49" s="4476">
        <f t="shared" si="136"/>
        <v>0</v>
      </c>
      <c r="AM49" s="4476">
        <f t="shared" si="132"/>
        <v>0</v>
      </c>
      <c r="AN49" s="4476">
        <f t="shared" si="132"/>
        <v>1.0000001192092896</v>
      </c>
      <c r="AO49" s="4476">
        <f t="shared" si="132"/>
        <v>0</v>
      </c>
      <c r="AP49" s="4476">
        <f t="shared" si="132"/>
        <v>0</v>
      </c>
      <c r="AQ49" s="4476">
        <f t="shared" ref="AQ49:BJ49" si="137">+AQ16-AQ17</f>
        <v>0</v>
      </c>
      <c r="AR49" s="4476">
        <f t="shared" si="137"/>
        <v>0</v>
      </c>
      <c r="AS49" s="4476">
        <f t="shared" si="137"/>
        <v>0</v>
      </c>
      <c r="AT49" s="4476">
        <f t="shared" si="137"/>
        <v>1.0000001192092896</v>
      </c>
      <c r="AU49" s="4476">
        <f t="shared" si="137"/>
        <v>0</v>
      </c>
      <c r="AV49" s="4476">
        <f t="shared" si="137"/>
        <v>0</v>
      </c>
      <c r="AW49" s="4476">
        <f t="shared" si="137"/>
        <v>0</v>
      </c>
      <c r="AX49" s="4476">
        <f t="shared" si="137"/>
        <v>1</v>
      </c>
      <c r="AY49" s="4476">
        <f t="shared" ref="AY49:AZ49" si="138">+AY16-AY17</f>
        <v>0</v>
      </c>
      <c r="AZ49" s="4476">
        <f t="shared" si="138"/>
        <v>0</v>
      </c>
      <c r="BA49" s="4476">
        <f t="shared" si="137"/>
        <v>0</v>
      </c>
      <c r="BB49" s="4476">
        <f t="shared" si="137"/>
        <v>1</v>
      </c>
      <c r="BC49" s="4476">
        <f t="shared" si="137"/>
        <v>0</v>
      </c>
      <c r="BD49" s="4476">
        <f t="shared" si="137"/>
        <v>0</v>
      </c>
      <c r="BE49" s="4476">
        <f t="shared" si="137"/>
        <v>0</v>
      </c>
      <c r="BF49" s="4476">
        <f t="shared" si="137"/>
        <v>0</v>
      </c>
      <c r="BG49" s="4476">
        <f t="shared" si="137"/>
        <v>0</v>
      </c>
      <c r="BH49" s="4476">
        <f t="shared" si="137"/>
        <v>0</v>
      </c>
      <c r="BI49" s="4476">
        <f t="shared" si="137"/>
        <v>0</v>
      </c>
      <c r="BJ49" s="4476">
        <f t="shared" si="137"/>
        <v>1</v>
      </c>
      <c r="BK49" s="1202"/>
      <c r="BL49" s="26"/>
      <c r="BM49" s="1202"/>
      <c r="BN49" s="1202"/>
      <c r="BO49" s="1202"/>
    </row>
    <row r="50" spans="1:67" s="146" customFormat="1" ht="23.4" thickBot="1" x14ac:dyDescent="0.45">
      <c r="A50" s="333"/>
      <c r="B50" s="336" t="s">
        <v>414</v>
      </c>
      <c r="C50" s="6390"/>
      <c r="D50" s="337" t="s">
        <v>174</v>
      </c>
      <c r="E50" s="337" t="s">
        <v>174</v>
      </c>
      <c r="G50" s="922"/>
      <c r="H50" s="785" t="s">
        <v>499</v>
      </c>
      <c r="I50" s="332"/>
      <c r="K50" s="332"/>
      <c r="M50" s="151"/>
      <c r="N50" s="151"/>
      <c r="O50" s="332"/>
      <c r="Q50" s="151"/>
      <c r="R50" s="151"/>
      <c r="S50" s="332"/>
      <c r="U50" s="151"/>
      <c r="V50" s="151"/>
      <c r="W50" s="332"/>
      <c r="Y50" s="151"/>
      <c r="Z50" s="151"/>
      <c r="AA50" s="332"/>
      <c r="AC50" s="151"/>
      <c r="AD50" s="151"/>
      <c r="AE50" s="151"/>
      <c r="AF50" s="151"/>
      <c r="AG50" s="332"/>
      <c r="AI50" s="151"/>
      <c r="AJ50" s="151"/>
      <c r="AK50" s="332"/>
      <c r="AM50" s="151"/>
      <c r="AN50" s="151"/>
      <c r="AO50" s="332"/>
      <c r="AQ50" s="151"/>
      <c r="AR50" s="151"/>
      <c r="AS50" s="151"/>
      <c r="AT50" s="151"/>
      <c r="AU50" s="332"/>
      <c r="AW50" s="151"/>
      <c r="AX50" s="151"/>
      <c r="AY50" s="332"/>
      <c r="BA50" s="151"/>
      <c r="BB50" s="151"/>
      <c r="BC50" s="332"/>
      <c r="BE50" s="151"/>
      <c r="BF50" s="151"/>
      <c r="BG50" s="151"/>
      <c r="BH50" s="151"/>
      <c r="BI50" s="151"/>
      <c r="BJ50" s="151"/>
      <c r="BK50" s="1202"/>
      <c r="BL50" s="1202"/>
      <c r="BM50" s="1202"/>
      <c r="BN50" s="1202"/>
      <c r="BO50" s="1202"/>
    </row>
    <row r="51" spans="1:67" s="146" customFormat="1" x14ac:dyDescent="0.3">
      <c r="A51" s="338"/>
      <c r="B51" s="339" t="s">
        <v>482</v>
      </c>
      <c r="C51" s="255" t="s">
        <v>381</v>
      </c>
      <c r="D51" s="340">
        <f t="shared" ref="D51:E56" si="139">+((D6/1000)/D$3)/24</f>
        <v>0</v>
      </c>
      <c r="E51" s="340">
        <f t="shared" si="139"/>
        <v>0</v>
      </c>
      <c r="G51" s="922"/>
      <c r="H51" s="522"/>
      <c r="I51" s="332"/>
      <c r="K51" s="332"/>
      <c r="M51" s="151"/>
      <c r="N51" s="151"/>
      <c r="O51" s="332"/>
      <c r="Q51" s="151"/>
      <c r="R51" s="151"/>
      <c r="S51" s="332"/>
      <c r="U51" s="151"/>
      <c r="V51" s="151"/>
      <c r="W51" s="332"/>
      <c r="Y51" s="151"/>
      <c r="Z51" s="151"/>
      <c r="AA51" s="332"/>
      <c r="AC51" s="151"/>
      <c r="AD51" s="151"/>
      <c r="AE51" s="151"/>
      <c r="AF51" s="151"/>
      <c r="AG51" s="332"/>
      <c r="AI51" s="151"/>
      <c r="AJ51" s="151"/>
      <c r="AK51" s="332"/>
      <c r="AM51" s="151"/>
      <c r="AN51" s="151"/>
      <c r="AO51" s="332"/>
      <c r="AQ51" s="151"/>
      <c r="AR51" s="151"/>
      <c r="AS51" s="151"/>
      <c r="AT51" s="151"/>
      <c r="AU51" s="332"/>
      <c r="AW51" s="151"/>
      <c r="AX51" s="151"/>
      <c r="AY51" s="332"/>
      <c r="BA51" s="151"/>
      <c r="BB51" s="151"/>
      <c r="BC51" s="332"/>
      <c r="BE51" s="151"/>
      <c r="BF51" s="151"/>
      <c r="BG51" s="151"/>
      <c r="BH51" s="151"/>
      <c r="BI51" s="151"/>
      <c r="BJ51" s="151"/>
      <c r="BK51" s="1202"/>
      <c r="BL51" s="1202"/>
      <c r="BM51" s="1202"/>
      <c r="BN51" s="1202"/>
      <c r="BO51" s="1202"/>
    </row>
    <row r="52" spans="1:67" s="146" customFormat="1" ht="15" thickBot="1" x14ac:dyDescent="0.35">
      <c r="A52" s="341"/>
      <c r="B52" s="180" t="s">
        <v>587</v>
      </c>
      <c r="C52" s="225" t="s">
        <v>381</v>
      </c>
      <c r="D52" s="340">
        <f t="shared" si="139"/>
        <v>40.681249999999956</v>
      </c>
      <c r="E52" s="340">
        <f t="shared" si="139"/>
        <v>38.99260752688172</v>
      </c>
      <c r="G52" s="922"/>
      <c r="H52" s="522"/>
      <c r="I52" s="356">
        <f t="shared" ref="I52:AP52" si="140">+I3</f>
        <v>30</v>
      </c>
      <c r="J52" s="356">
        <f t="shared" si="140"/>
        <v>30</v>
      </c>
      <c r="K52" s="356">
        <f t="shared" ref="K52:L52" si="141">+K3</f>
        <v>31</v>
      </c>
      <c r="L52" s="356">
        <f t="shared" si="141"/>
        <v>31</v>
      </c>
      <c r="M52" s="356">
        <f t="shared" si="140"/>
        <v>61</v>
      </c>
      <c r="N52" s="356">
        <f t="shared" si="140"/>
        <v>61</v>
      </c>
      <c r="O52" s="356">
        <f t="shared" si="140"/>
        <v>30</v>
      </c>
      <c r="P52" s="356">
        <f t="shared" si="140"/>
        <v>30</v>
      </c>
      <c r="Q52" s="356">
        <f t="shared" si="140"/>
        <v>91</v>
      </c>
      <c r="R52" s="356">
        <f t="shared" si="140"/>
        <v>91</v>
      </c>
      <c r="S52" s="356">
        <f t="shared" ref="S52:T52" si="142">+S3</f>
        <v>31</v>
      </c>
      <c r="T52" s="356">
        <f t="shared" si="142"/>
        <v>31</v>
      </c>
      <c r="U52" s="356">
        <f t="shared" si="140"/>
        <v>122</v>
      </c>
      <c r="V52" s="356">
        <f t="shared" si="140"/>
        <v>122</v>
      </c>
      <c r="W52" s="356">
        <f t="shared" si="140"/>
        <v>31</v>
      </c>
      <c r="X52" s="356">
        <f t="shared" si="140"/>
        <v>31</v>
      </c>
      <c r="Y52" s="356">
        <f t="shared" si="140"/>
        <v>153</v>
      </c>
      <c r="Z52" s="356">
        <f t="shared" si="140"/>
        <v>153</v>
      </c>
      <c r="AA52" s="356">
        <f t="shared" ref="AA52:AB52" si="143">+AA3</f>
        <v>30</v>
      </c>
      <c r="AB52" s="356">
        <f t="shared" si="143"/>
        <v>30</v>
      </c>
      <c r="AC52" s="356">
        <f t="shared" si="140"/>
        <v>92</v>
      </c>
      <c r="AD52" s="356">
        <f t="shared" si="140"/>
        <v>92</v>
      </c>
      <c r="AE52" s="356">
        <f t="shared" si="140"/>
        <v>183</v>
      </c>
      <c r="AF52" s="356">
        <f t="shared" si="140"/>
        <v>183</v>
      </c>
      <c r="AG52" s="356">
        <f t="shared" si="140"/>
        <v>31</v>
      </c>
      <c r="AH52" s="356">
        <f t="shared" si="140"/>
        <v>31</v>
      </c>
      <c r="AI52" s="356">
        <f t="shared" si="140"/>
        <v>214</v>
      </c>
      <c r="AJ52" s="356">
        <f t="shared" si="140"/>
        <v>214</v>
      </c>
      <c r="AK52" s="356">
        <f t="shared" ref="AK52:AL52" si="144">+AK3</f>
        <v>30</v>
      </c>
      <c r="AL52" s="356">
        <f t="shared" si="144"/>
        <v>30</v>
      </c>
      <c r="AM52" s="356">
        <f t="shared" si="140"/>
        <v>244</v>
      </c>
      <c r="AN52" s="356">
        <f t="shared" si="140"/>
        <v>244</v>
      </c>
      <c r="AO52" s="356">
        <f t="shared" si="140"/>
        <v>31</v>
      </c>
      <c r="AP52" s="356">
        <f t="shared" si="140"/>
        <v>31</v>
      </c>
      <c r="AQ52" s="356">
        <f t="shared" ref="AQ52:BJ52" si="145">+AQ3</f>
        <v>92</v>
      </c>
      <c r="AR52" s="356">
        <f t="shared" si="145"/>
        <v>92</v>
      </c>
      <c r="AS52" s="356">
        <f t="shared" si="145"/>
        <v>275</v>
      </c>
      <c r="AT52" s="356">
        <f t="shared" si="145"/>
        <v>275</v>
      </c>
      <c r="AU52" s="356">
        <f t="shared" si="145"/>
        <v>31</v>
      </c>
      <c r="AV52" s="356">
        <f t="shared" si="145"/>
        <v>31</v>
      </c>
      <c r="AW52" s="356">
        <f t="shared" si="145"/>
        <v>306</v>
      </c>
      <c r="AX52" s="356">
        <f t="shared" si="145"/>
        <v>306</v>
      </c>
      <c r="AY52" s="356">
        <f t="shared" ref="AY52:AZ52" si="146">+AY3</f>
        <v>28</v>
      </c>
      <c r="AZ52" s="356">
        <f t="shared" si="146"/>
        <v>28</v>
      </c>
      <c r="BA52" s="356">
        <f t="shared" si="145"/>
        <v>334</v>
      </c>
      <c r="BB52" s="356">
        <f t="shared" si="145"/>
        <v>334</v>
      </c>
      <c r="BC52" s="356">
        <f t="shared" si="145"/>
        <v>31</v>
      </c>
      <c r="BD52" s="356">
        <f t="shared" si="145"/>
        <v>31</v>
      </c>
      <c r="BE52" s="356">
        <f t="shared" si="145"/>
        <v>90</v>
      </c>
      <c r="BF52" s="356">
        <f t="shared" si="145"/>
        <v>90</v>
      </c>
      <c r="BG52" s="356">
        <f t="shared" si="145"/>
        <v>182</v>
      </c>
      <c r="BH52" s="356">
        <f t="shared" si="145"/>
        <v>182</v>
      </c>
      <c r="BI52" s="356">
        <f t="shared" si="145"/>
        <v>365</v>
      </c>
      <c r="BJ52" s="356">
        <f t="shared" si="145"/>
        <v>365</v>
      </c>
      <c r="BK52" s="1202"/>
      <c r="BL52" s="1202"/>
      <c r="BM52" s="1202"/>
      <c r="BN52" s="1202"/>
      <c r="BO52" s="1202"/>
    </row>
    <row r="53" spans="1:67" ht="22.8" x14ac:dyDescent="0.3">
      <c r="A53" s="64"/>
      <c r="B53" s="180" t="s">
        <v>483</v>
      </c>
      <c r="C53" s="13" t="s">
        <v>381</v>
      </c>
      <c r="D53" s="310">
        <f t="shared" si="139"/>
        <v>4.3569444444444443</v>
      </c>
      <c r="E53" s="310">
        <f t="shared" si="139"/>
        <v>1.0295698924731183</v>
      </c>
      <c r="G53" s="902"/>
      <c r="H53" s="903" t="s">
        <v>135</v>
      </c>
      <c r="I53" s="6375" t="str">
        <f>+I4</f>
        <v>Apr'25</v>
      </c>
      <c r="J53" s="6376"/>
      <c r="K53" s="6375" t="str">
        <f>+K4</f>
        <v>May'25</v>
      </c>
      <c r="L53" s="6376"/>
      <c r="M53" s="6377" t="s">
        <v>14</v>
      </c>
      <c r="N53" s="6378"/>
      <c r="O53" s="6375" t="str">
        <f>+O4</f>
        <v>Jun'25</v>
      </c>
      <c r="P53" s="6376"/>
      <c r="Q53" s="6383" t="str">
        <f>+Q4</f>
        <v>QTR 1</v>
      </c>
      <c r="R53" s="6384"/>
      <c r="S53" s="6375" t="str">
        <f>+S4</f>
        <v>Jul'25</v>
      </c>
      <c r="T53" s="6376"/>
      <c r="U53" s="6377" t="s">
        <v>17</v>
      </c>
      <c r="V53" s="6378"/>
      <c r="W53" s="6375" t="str">
        <f>+W4</f>
        <v>Aug'25</v>
      </c>
      <c r="X53" s="6376"/>
      <c r="Y53" s="6377" t="s">
        <v>17</v>
      </c>
      <c r="Z53" s="6378"/>
      <c r="AA53" s="6375" t="str">
        <f>+AA4</f>
        <v>Sep'25</v>
      </c>
      <c r="AB53" s="6376"/>
      <c r="AC53" s="6383" t="str">
        <f>+AC4</f>
        <v>QTR 2</v>
      </c>
      <c r="AD53" s="6384"/>
      <c r="AE53" s="6385" t="s">
        <v>657</v>
      </c>
      <c r="AF53" s="6386"/>
      <c r="AG53" s="6375" t="str">
        <f>+AG4</f>
        <v>Oct'25</v>
      </c>
      <c r="AH53" s="6376"/>
      <c r="AI53" s="6377" t="s">
        <v>24</v>
      </c>
      <c r="AJ53" s="6378"/>
      <c r="AK53" s="6375" t="str">
        <f>+AK4</f>
        <v>Nov'25</v>
      </c>
      <c r="AL53" s="6376"/>
      <c r="AM53" s="6377" t="str">
        <f>+AM4</f>
        <v>8M</v>
      </c>
      <c r="AN53" s="6378"/>
      <c r="AO53" s="6375" t="str">
        <f>+AO4</f>
        <v>Dec'25</v>
      </c>
      <c r="AP53" s="6376"/>
      <c r="AQ53" s="6383" t="str">
        <f>+AQ4</f>
        <v>QTR 3</v>
      </c>
      <c r="AR53" s="6384"/>
      <c r="AS53" s="6377" t="s">
        <v>1613</v>
      </c>
      <c r="AT53" s="6378"/>
      <c r="AU53" s="6375" t="str">
        <f>+AU4</f>
        <v>Jan'26</v>
      </c>
      <c r="AV53" s="6376"/>
      <c r="AW53" s="6377" t="s">
        <v>28</v>
      </c>
      <c r="AX53" s="6378"/>
      <c r="AY53" s="6375" t="str">
        <f>+AY4</f>
        <v>Feb'26</v>
      </c>
      <c r="AZ53" s="6376"/>
      <c r="BA53" s="6377" t="s">
        <v>27</v>
      </c>
      <c r="BB53" s="6378"/>
      <c r="BC53" s="6375" t="str">
        <f>+BC4</f>
        <v>Mar'26</v>
      </c>
      <c r="BD53" s="6376"/>
      <c r="BE53" s="6383" t="str">
        <f>+BE4</f>
        <v>QTR 4</v>
      </c>
      <c r="BF53" s="6384"/>
      <c r="BG53" s="6385" t="s">
        <v>657</v>
      </c>
      <c r="BH53" s="6386"/>
      <c r="BI53" s="6377" t="str">
        <f>+BI4</f>
        <v>2025-26</v>
      </c>
      <c r="BJ53" s="6378"/>
      <c r="BK53" s="1202"/>
      <c r="BL53" s="1202"/>
      <c r="BM53" s="1202"/>
      <c r="BN53" s="1202"/>
      <c r="BO53" s="1202"/>
    </row>
    <row r="54" spans="1:67" x14ac:dyDescent="0.3">
      <c r="A54" s="276"/>
      <c r="B54" s="180" t="s">
        <v>484</v>
      </c>
      <c r="C54" s="13" t="s">
        <v>381</v>
      </c>
      <c r="D54" s="310">
        <f t="shared" si="139"/>
        <v>78.336111111111109</v>
      </c>
      <c r="E54" s="310">
        <f t="shared" si="139"/>
        <v>87.782258064516142</v>
      </c>
      <c r="G54" s="904"/>
      <c r="H54" s="266"/>
      <c r="I54" s="543" t="s">
        <v>173</v>
      </c>
      <c r="J54" s="5" t="s">
        <v>174</v>
      </c>
      <c r="K54" s="543" t="s">
        <v>173</v>
      </c>
      <c r="L54" s="5" t="s">
        <v>174</v>
      </c>
      <c r="M54" s="702" t="s">
        <v>173</v>
      </c>
      <c r="N54" s="905" t="s">
        <v>174</v>
      </c>
      <c r="O54" s="543" t="s">
        <v>173</v>
      </c>
      <c r="P54" s="5" t="s">
        <v>174</v>
      </c>
      <c r="Q54" s="703" t="s">
        <v>173</v>
      </c>
      <c r="R54" s="906" t="s">
        <v>174</v>
      </c>
      <c r="S54" s="543" t="s">
        <v>173</v>
      </c>
      <c r="T54" s="5" t="s">
        <v>174</v>
      </c>
      <c r="U54" s="702" t="s">
        <v>173</v>
      </c>
      <c r="V54" s="905" t="s">
        <v>174</v>
      </c>
      <c r="W54" s="543" t="s">
        <v>173</v>
      </c>
      <c r="X54" s="5" t="s">
        <v>174</v>
      </c>
      <c r="Y54" s="702" t="s">
        <v>173</v>
      </c>
      <c r="Z54" s="905" t="s">
        <v>174</v>
      </c>
      <c r="AA54" s="543" t="s">
        <v>173</v>
      </c>
      <c r="AB54" s="5" t="s">
        <v>174</v>
      </c>
      <c r="AC54" s="703" t="s">
        <v>173</v>
      </c>
      <c r="AD54" s="906" t="s">
        <v>174</v>
      </c>
      <c r="AE54" s="792" t="s">
        <v>173</v>
      </c>
      <c r="AF54" s="794" t="s">
        <v>174</v>
      </c>
      <c r="AG54" s="543" t="s">
        <v>173</v>
      </c>
      <c r="AH54" s="5" t="s">
        <v>174</v>
      </c>
      <c r="AI54" s="702" t="s">
        <v>173</v>
      </c>
      <c r="AJ54" s="905" t="s">
        <v>174</v>
      </c>
      <c r="AK54" s="543" t="s">
        <v>173</v>
      </c>
      <c r="AL54" s="5" t="s">
        <v>174</v>
      </c>
      <c r="AM54" s="702" t="s">
        <v>173</v>
      </c>
      <c r="AN54" s="905" t="s">
        <v>174</v>
      </c>
      <c r="AO54" s="543" t="s">
        <v>173</v>
      </c>
      <c r="AP54" s="5" t="s">
        <v>174</v>
      </c>
      <c r="AQ54" s="703" t="s">
        <v>173</v>
      </c>
      <c r="AR54" s="906" t="s">
        <v>174</v>
      </c>
      <c r="AS54" s="702" t="s">
        <v>173</v>
      </c>
      <c r="AT54" s="905" t="s">
        <v>174</v>
      </c>
      <c r="AU54" s="1526" t="s">
        <v>173</v>
      </c>
      <c r="AV54" s="5" t="s">
        <v>174</v>
      </c>
      <c r="AW54" s="702" t="s">
        <v>173</v>
      </c>
      <c r="AX54" s="905" t="s">
        <v>174</v>
      </c>
      <c r="AY54" s="1526" t="s">
        <v>173</v>
      </c>
      <c r="AZ54" s="5" t="s">
        <v>174</v>
      </c>
      <c r="BA54" s="702" t="s">
        <v>173</v>
      </c>
      <c r="BB54" s="905" t="s">
        <v>174</v>
      </c>
      <c r="BC54" s="1526" t="s">
        <v>173</v>
      </c>
      <c r="BD54" s="5" t="s">
        <v>174</v>
      </c>
      <c r="BE54" s="703" t="s">
        <v>173</v>
      </c>
      <c r="BF54" s="906" t="s">
        <v>174</v>
      </c>
      <c r="BG54" s="792" t="s">
        <v>173</v>
      </c>
      <c r="BH54" s="794" t="s">
        <v>174</v>
      </c>
      <c r="BI54" s="702" t="s">
        <v>173</v>
      </c>
      <c r="BJ54" s="905" t="s">
        <v>174</v>
      </c>
      <c r="BK54" s="1202"/>
      <c r="BL54" s="1202"/>
      <c r="BM54" s="1202"/>
      <c r="BN54" s="1202"/>
      <c r="BO54" s="1202"/>
    </row>
    <row r="55" spans="1:67" ht="16.2" thickBot="1" x14ac:dyDescent="0.35">
      <c r="A55" s="276"/>
      <c r="B55" s="23" t="s">
        <v>485</v>
      </c>
      <c r="C55" s="14" t="s">
        <v>381</v>
      </c>
      <c r="D55" s="310">
        <f t="shared" si="139"/>
        <v>0.71443055555555557</v>
      </c>
      <c r="E55" s="310">
        <f t="shared" si="139"/>
        <v>0.69551075268817242</v>
      </c>
      <c r="G55" s="907">
        <v>1</v>
      </c>
      <c r="H55" s="802" t="s">
        <v>744</v>
      </c>
      <c r="I55" s="322">
        <f>+SUM(I56:I61)</f>
        <v>163.18436239267879</v>
      </c>
      <c r="J55" s="323">
        <f t="shared" ref="J55:J82" si="147">J6/1000/24/J$3</f>
        <v>147.12259356666658</v>
      </c>
      <c r="K55" s="322">
        <f>+SUM(K56:K61)</f>
        <v>163.24588093265663</v>
      </c>
      <c r="L55" s="323">
        <f t="shared" ref="L55" si="148">L6/1000/24/L$3</f>
        <v>154.51891491935484</v>
      </c>
      <c r="M55" s="923">
        <f t="shared" ref="M55:N82" si="149">M6/1000/24/M$3</f>
        <v>163.21562591299539</v>
      </c>
      <c r="N55" s="923">
        <f t="shared" si="149"/>
        <v>150.88137982786878</v>
      </c>
      <c r="O55" s="322">
        <f>+SUM(O56:O61)</f>
        <v>163.17683235758588</v>
      </c>
      <c r="P55" s="323">
        <f t="shared" ref="P55:P82" si="150">P6/1000/24/P$3</f>
        <v>158.26447291666668</v>
      </c>
      <c r="Q55" s="924">
        <f t="shared" ref="Q55:R82" si="151">Q6/1000/24/Q$3</f>
        <v>163.20283682879446</v>
      </c>
      <c r="R55" s="924">
        <f t="shared" si="151"/>
        <v>153.31536656043954</v>
      </c>
      <c r="S55" s="322">
        <f>+SUM(S56:S61)</f>
        <v>161.99369246528286</v>
      </c>
      <c r="T55" s="323">
        <f t="shared" ref="T55:T82" si="152">T6/1000/24/T$3</f>
        <v>159.70041103225802</v>
      </c>
      <c r="U55" s="923">
        <f t="shared" ref="U55:V82" si="153">U6/1000/24/U$3</f>
        <v>162.89559522823004</v>
      </c>
      <c r="V55" s="923">
        <f t="shared" si="153"/>
        <v>154.9377958934426</v>
      </c>
      <c r="W55" s="322">
        <f>+SUM(W56:W61)</f>
        <v>161.99369246528286</v>
      </c>
      <c r="X55" s="323">
        <f t="shared" ref="X55:X82" si="154">X6/1000/24/X$3</f>
        <v>155.66508198924717</v>
      </c>
      <c r="Y55" s="923">
        <f t="shared" ref="Y55:Z82" si="155">Y6/1000/24/Y$3</f>
        <v>162.71285675992047</v>
      </c>
      <c r="Z55" s="923">
        <f t="shared" si="155"/>
        <v>155.08515451416116</v>
      </c>
      <c r="AA55" s="322">
        <f>+SUM(AA56:AA61)</f>
        <v>115.70643208228404</v>
      </c>
      <c r="AB55" s="323">
        <f t="shared" ref="AB55:AB82" si="156">AB6/1000/24/AB$3</f>
        <v>157.39600555555555</v>
      </c>
      <c r="AC55" s="924">
        <f t="shared" ref="AC55:AF64" si="157">AC6/1000/24/AC$3</f>
        <v>146.9000206012615</v>
      </c>
      <c r="AD55" s="924">
        <f t="shared" si="157"/>
        <v>157.58924402536223</v>
      </c>
      <c r="AE55" s="925">
        <f t="shared" si="157"/>
        <v>155.00688550129155</v>
      </c>
      <c r="AF55" s="925">
        <f t="shared" si="157"/>
        <v>155.46398255373401</v>
      </c>
      <c r="AG55" s="322">
        <f>+SUM(AG56:AG61)</f>
        <v>162.95312396196638</v>
      </c>
      <c r="AH55" s="323">
        <f t="shared" ref="AH55:AH82" si="158">AH6/1000/24/AH$3</f>
        <v>139.17941729838711</v>
      </c>
      <c r="AI55" s="923">
        <f t="shared" ref="AI55:AJ82" si="159">AI6/1000/24/AI$3</f>
        <v>156.15797611942671</v>
      </c>
      <c r="AJ55" s="923">
        <f t="shared" si="159"/>
        <v>153.10500347468843</v>
      </c>
      <c r="AK55" s="322">
        <f>+SUM(AK56:AK61)</f>
        <v>163.6521911820563</v>
      </c>
      <c r="AL55" s="323">
        <f t="shared" ref="AL55:AL82" si="160">AL6/1000/24/AL$3</f>
        <v>154.74694305555556</v>
      </c>
      <c r="AM55" s="923">
        <f t="shared" ref="AM55:AN82" si="161">AM6/1000/24/AM$3</f>
        <v>157.07939600417623</v>
      </c>
      <c r="AN55" s="923">
        <f t="shared" si="161"/>
        <v>153.30688129200817</v>
      </c>
      <c r="AO55" s="322">
        <f>+SUM(AO56:AO61)</f>
        <v>163.63767893483231</v>
      </c>
      <c r="AP55" s="323">
        <f t="shared" ref="AP55:AP82" si="162">AP6/1000/24/AP$3</f>
        <v>152.06675672043011</v>
      </c>
      <c r="AQ55" s="924">
        <f t="shared" ref="AQ55:AT64" si="163">AQ6/1000/24/AQ$3</f>
        <v>163.41174592676575</v>
      </c>
      <c r="AR55" s="924">
        <f t="shared" si="163"/>
        <v>148.59825745923914</v>
      </c>
      <c r="AS55" s="923">
        <f t="shared" si="163"/>
        <v>157.81869335272293</v>
      </c>
      <c r="AT55" s="923">
        <f t="shared" si="163"/>
        <v>153.16708543121209</v>
      </c>
      <c r="AU55" s="322">
        <f>+SUM(AU56:AU61)</f>
        <v>164.59367150932485</v>
      </c>
      <c r="AV55" s="323">
        <f t="shared" ref="AV55:AV82" si="164">AV6/1000/24/AV$3</f>
        <v>153.19634173387107</v>
      </c>
      <c r="AW55" s="923">
        <f t="shared" ref="AW55:AX82" si="165">AW6/1000/24/AW$3</f>
        <v>158.50504734897999</v>
      </c>
      <c r="AX55" s="923">
        <f t="shared" si="165"/>
        <v>153.17004930501088</v>
      </c>
      <c r="AY55" s="322">
        <f>+SUM(AY56:AY61)</f>
        <v>163.94219944404304</v>
      </c>
      <c r="AZ55" s="323">
        <f t="shared" ref="AZ55:AZ82" si="166">AZ6/1000/24/AZ$3</f>
        <v>150.10932937499999</v>
      </c>
      <c r="BA55" s="923">
        <f t="shared" ref="BA55:BB82" si="167">BA6/1000/24/BA$3</f>
        <v>158.96085650664995</v>
      </c>
      <c r="BB55" s="923">
        <f t="shared" si="167"/>
        <v>152.91346200548898</v>
      </c>
      <c r="BC55" s="322">
        <f>+SUM(BC56:BC61)</f>
        <v>164.76264794652093</v>
      </c>
      <c r="BD55" s="323">
        <f t="shared" ref="BD55:BJ64" si="168">BD6/1000/24/BD$3</f>
        <v>155.01148172043028</v>
      </c>
      <c r="BE55" s="924">
        <f t="shared" si="168"/>
        <v>164.44919430627138</v>
      </c>
      <c r="BF55" s="924">
        <f t="shared" si="168"/>
        <v>152.86115277314823</v>
      </c>
      <c r="BG55" s="925">
        <f t="shared" si="168"/>
        <v>163.92476985069709</v>
      </c>
      <c r="BH55" s="925">
        <f t="shared" si="168"/>
        <v>150.70628261446893</v>
      </c>
      <c r="BI55" s="923">
        <f t="shared" si="168"/>
        <v>159.45361139606362</v>
      </c>
      <c r="BJ55" s="923">
        <f t="shared" si="168"/>
        <v>153.09164998127852</v>
      </c>
      <c r="BK55" s="1202"/>
      <c r="BL55" s="1202"/>
      <c r="BM55" s="1202"/>
      <c r="BN55" s="1202"/>
      <c r="BO55" s="1202"/>
    </row>
    <row r="56" spans="1:67" ht="16.2" thickBot="1" x14ac:dyDescent="0.35">
      <c r="A56" s="65"/>
      <c r="B56" s="10" t="s">
        <v>486</v>
      </c>
      <c r="C56" s="15" t="s">
        <v>381</v>
      </c>
      <c r="D56" s="311">
        <f t="shared" si="139"/>
        <v>124.08873611111107</v>
      </c>
      <c r="E56" s="311">
        <f t="shared" si="139"/>
        <v>128.49994623655914</v>
      </c>
      <c r="G56" s="904">
        <v>1.1000000000000001</v>
      </c>
      <c r="H56" s="266" t="s">
        <v>482</v>
      </c>
      <c r="I56" s="379">
        <v>0</v>
      </c>
      <c r="J56" s="325">
        <f t="shared" si="147"/>
        <v>0</v>
      </c>
      <c r="K56" s="379">
        <v>0</v>
      </c>
      <c r="L56" s="325">
        <f t="shared" ref="L56" si="169">L7/1000/24/L$3</f>
        <v>0</v>
      </c>
      <c r="M56" s="926">
        <f t="shared" si="149"/>
        <v>0</v>
      </c>
      <c r="N56" s="926">
        <f t="shared" si="149"/>
        <v>0</v>
      </c>
      <c r="O56" s="379">
        <v>0</v>
      </c>
      <c r="P56" s="325">
        <f t="shared" si="150"/>
        <v>0</v>
      </c>
      <c r="Q56" s="927">
        <f t="shared" si="151"/>
        <v>0</v>
      </c>
      <c r="R56" s="927">
        <f t="shared" si="151"/>
        <v>0</v>
      </c>
      <c r="S56" s="379">
        <v>0</v>
      </c>
      <c r="T56" s="325">
        <f t="shared" si="152"/>
        <v>0</v>
      </c>
      <c r="U56" s="926">
        <f t="shared" si="153"/>
        <v>0</v>
      </c>
      <c r="V56" s="926">
        <f t="shared" si="153"/>
        <v>0</v>
      </c>
      <c r="W56" s="379">
        <v>0</v>
      </c>
      <c r="X56" s="325">
        <f t="shared" si="154"/>
        <v>0</v>
      </c>
      <c r="Y56" s="926">
        <f t="shared" si="155"/>
        <v>0</v>
      </c>
      <c r="Z56" s="926">
        <f t="shared" si="155"/>
        <v>0</v>
      </c>
      <c r="AA56" s="379">
        <v>0</v>
      </c>
      <c r="AB56" s="325">
        <f t="shared" si="156"/>
        <v>0</v>
      </c>
      <c r="AC56" s="927">
        <f t="shared" si="157"/>
        <v>0</v>
      </c>
      <c r="AD56" s="927">
        <f t="shared" si="157"/>
        <v>0</v>
      </c>
      <c r="AE56" s="928">
        <f t="shared" si="157"/>
        <v>0</v>
      </c>
      <c r="AF56" s="928">
        <f t="shared" si="157"/>
        <v>0</v>
      </c>
      <c r="AG56" s="379"/>
      <c r="AH56" s="325">
        <f t="shared" si="158"/>
        <v>0</v>
      </c>
      <c r="AI56" s="926">
        <f t="shared" si="159"/>
        <v>0</v>
      </c>
      <c r="AJ56" s="926">
        <f t="shared" si="159"/>
        <v>0</v>
      </c>
      <c r="AK56" s="379"/>
      <c r="AL56" s="325">
        <f t="shared" si="160"/>
        <v>0</v>
      </c>
      <c r="AM56" s="926">
        <f t="shared" si="161"/>
        <v>0</v>
      </c>
      <c r="AN56" s="926">
        <f t="shared" si="161"/>
        <v>0</v>
      </c>
      <c r="AO56" s="379">
        <v>0</v>
      </c>
      <c r="AP56" s="325">
        <f t="shared" si="162"/>
        <v>0</v>
      </c>
      <c r="AQ56" s="927">
        <f t="shared" si="163"/>
        <v>0</v>
      </c>
      <c r="AR56" s="927">
        <f t="shared" si="163"/>
        <v>0</v>
      </c>
      <c r="AS56" s="926">
        <f t="shared" si="163"/>
        <v>0</v>
      </c>
      <c r="AT56" s="926">
        <f t="shared" si="163"/>
        <v>0</v>
      </c>
      <c r="AU56" s="379">
        <v>0</v>
      </c>
      <c r="AV56" s="325">
        <f t="shared" si="164"/>
        <v>0</v>
      </c>
      <c r="AW56" s="926">
        <f t="shared" si="165"/>
        <v>0</v>
      </c>
      <c r="AX56" s="926">
        <f t="shared" si="165"/>
        <v>0</v>
      </c>
      <c r="AY56" s="379">
        <v>0</v>
      </c>
      <c r="AZ56" s="325">
        <f t="shared" si="166"/>
        <v>0</v>
      </c>
      <c r="BA56" s="926">
        <f t="shared" si="167"/>
        <v>0</v>
      </c>
      <c r="BB56" s="926">
        <f t="shared" si="167"/>
        <v>0</v>
      </c>
      <c r="BC56" s="379">
        <v>0</v>
      </c>
      <c r="BD56" s="325">
        <f t="shared" si="168"/>
        <v>0</v>
      </c>
      <c r="BE56" s="927">
        <f t="shared" si="168"/>
        <v>0</v>
      </c>
      <c r="BF56" s="927">
        <f t="shared" si="168"/>
        <v>0</v>
      </c>
      <c r="BG56" s="928">
        <f t="shared" si="168"/>
        <v>0</v>
      </c>
      <c r="BH56" s="928">
        <f t="shared" si="168"/>
        <v>0</v>
      </c>
      <c r="BI56" s="926">
        <f t="shared" si="168"/>
        <v>0</v>
      </c>
      <c r="BJ56" s="926">
        <f t="shared" si="168"/>
        <v>0</v>
      </c>
      <c r="BK56" s="1202"/>
      <c r="BL56" s="1202"/>
      <c r="BM56" s="1202"/>
      <c r="BN56" s="1202"/>
      <c r="BO56" s="1202"/>
    </row>
    <row r="57" spans="1:67" x14ac:dyDescent="0.3">
      <c r="A57" s="276"/>
      <c r="B57" s="57" t="s">
        <v>492</v>
      </c>
      <c r="C57" s="16" t="s">
        <v>381</v>
      </c>
      <c r="D57" s="310">
        <f t="shared" ref="D57:E59" si="170">+((D13/1000)/D$3)/24</f>
        <v>0.36386362222222091</v>
      </c>
      <c r="E57" s="310">
        <f t="shared" si="170"/>
        <v>0.42739066801075221</v>
      </c>
      <c r="G57" s="904">
        <v>1.2</v>
      </c>
      <c r="H57" s="266" t="s">
        <v>587</v>
      </c>
      <c r="I57" s="379">
        <v>50.127032294714631</v>
      </c>
      <c r="J57" s="325">
        <f t="shared" si="147"/>
        <v>39.471111111111007</v>
      </c>
      <c r="K57" s="379">
        <v>53.554735551200942</v>
      </c>
      <c r="L57" s="325">
        <f t="shared" ref="L57" si="171">L8/1000/24/L$3</f>
        <v>46.627688172043008</v>
      </c>
      <c r="M57" s="926">
        <f t="shared" si="149"/>
        <v>51.868979851289645</v>
      </c>
      <c r="N57" s="926">
        <f t="shared" si="149"/>
        <v>43.108060109289568</v>
      </c>
      <c r="O57" s="379">
        <v>53.393490362409324</v>
      </c>
      <c r="P57" s="325">
        <f t="shared" si="150"/>
        <v>54.583888888888879</v>
      </c>
      <c r="Q57" s="927">
        <f t="shared" si="151"/>
        <v>52.371565734076356</v>
      </c>
      <c r="R57" s="927">
        <f t="shared" si="151"/>
        <v>46.891300366300321</v>
      </c>
      <c r="S57" s="379">
        <v>53.643163134633191</v>
      </c>
      <c r="T57" s="325">
        <f t="shared" si="152"/>
        <v>57.478091397849454</v>
      </c>
      <c r="U57" s="926">
        <f t="shared" si="153"/>
        <v>52.694676548971955</v>
      </c>
      <c r="V57" s="926">
        <f t="shared" si="153"/>
        <v>49.581386612021824</v>
      </c>
      <c r="W57" s="379">
        <v>52.863562744769652</v>
      </c>
      <c r="X57" s="325">
        <f t="shared" si="154"/>
        <v>55.159811827956844</v>
      </c>
      <c r="Y57" s="926">
        <f t="shared" si="155"/>
        <v>52.728895320669523</v>
      </c>
      <c r="Z57" s="926">
        <f t="shared" si="155"/>
        <v>50.711655773420425</v>
      </c>
      <c r="AA57" s="379">
        <v>40.91349355403424</v>
      </c>
      <c r="AB57" s="325">
        <f t="shared" si="156"/>
        <v>53.146388888888886</v>
      </c>
      <c r="AC57" s="927">
        <f t="shared" si="157"/>
        <v>49.229492487853427</v>
      </c>
      <c r="AD57" s="927">
        <f t="shared" si="157"/>
        <v>55.284420289855014</v>
      </c>
      <c r="AE57" s="928">
        <f t="shared" si="157"/>
        <v>50.791944211385044</v>
      </c>
      <c r="AF57" s="928">
        <f t="shared" si="157"/>
        <v>51.110792349726736</v>
      </c>
      <c r="AG57" s="379">
        <v>53.073795993306831</v>
      </c>
      <c r="AH57" s="325">
        <f t="shared" si="158"/>
        <v>46.1643817204301</v>
      </c>
      <c r="AI57" s="926">
        <f t="shared" si="159"/>
        <v>51.122492833999878</v>
      </c>
      <c r="AJ57" s="926">
        <f t="shared" si="159"/>
        <v>50.394256230529557</v>
      </c>
      <c r="AK57" s="379">
        <v>43.502207665243596</v>
      </c>
      <c r="AL57" s="325">
        <f t="shared" si="160"/>
        <v>52.274305555555557</v>
      </c>
      <c r="AM57" s="926">
        <f t="shared" si="161"/>
        <v>50.185572526365917</v>
      </c>
      <c r="AN57" s="926">
        <f t="shared" si="161"/>
        <v>50.625409836065536</v>
      </c>
      <c r="AO57" s="379">
        <v>43.463859810929264</v>
      </c>
      <c r="AP57" s="325">
        <f t="shared" si="162"/>
        <v>49.897849462365592</v>
      </c>
      <c r="AQ57" s="927">
        <f t="shared" si="163"/>
        <v>46.714495216180723</v>
      </c>
      <c r="AR57" s="927">
        <f t="shared" si="163"/>
        <v>49.414764492753626</v>
      </c>
      <c r="AS57" s="926">
        <f t="shared" si="163"/>
        <v>49.427852183898501</v>
      </c>
      <c r="AT57" s="926">
        <f t="shared" si="163"/>
        <v>50.543393939393908</v>
      </c>
      <c r="AU57" s="379">
        <v>42.558570633582491</v>
      </c>
      <c r="AV57" s="325">
        <f t="shared" si="164"/>
        <v>47.895564516129134</v>
      </c>
      <c r="AW57" s="926">
        <f t="shared" si="165"/>
        <v>48.731944575859949</v>
      </c>
      <c r="AX57" s="926">
        <f t="shared" si="165"/>
        <v>50.275149782135053</v>
      </c>
      <c r="AY57" s="379">
        <v>43.092176803192601</v>
      </c>
      <c r="AZ57" s="325">
        <f t="shared" si="166"/>
        <v>45.090029761904759</v>
      </c>
      <c r="BA57" s="926">
        <f t="shared" si="167"/>
        <v>48.259149672762092</v>
      </c>
      <c r="BB57" s="926">
        <f t="shared" si="167"/>
        <v>49.840469061876227</v>
      </c>
      <c r="BC57" s="379">
        <v>51.825800599380159</v>
      </c>
      <c r="BD57" s="325">
        <f t="shared" si="168"/>
        <v>49.929032258064574</v>
      </c>
      <c r="BE57" s="927">
        <f t="shared" si="168"/>
        <v>45.916627319013713</v>
      </c>
      <c r="BF57" s="927">
        <f t="shared" si="168"/>
        <v>47.723148148148205</v>
      </c>
      <c r="BG57" s="928">
        <f t="shared" si="168"/>
        <v>46.319945157142087</v>
      </c>
      <c r="BH57" s="928">
        <f t="shared" si="168"/>
        <v>48.578250915750935</v>
      </c>
      <c r="BI57" s="926">
        <f t="shared" si="168"/>
        <v>48.562070710365269</v>
      </c>
      <c r="BJ57" s="926">
        <f t="shared" si="168"/>
        <v>49.847990867579895</v>
      </c>
      <c r="BK57" s="1202"/>
      <c r="BL57" s="1202"/>
      <c r="BM57" s="1202"/>
      <c r="BN57" s="1202"/>
      <c r="BO57" s="1202"/>
    </row>
    <row r="58" spans="1:67" ht="15" thickBot="1" x14ac:dyDescent="0.35">
      <c r="A58" s="276"/>
      <c r="B58" s="58" t="s">
        <v>493</v>
      </c>
      <c r="C58" s="14" t="s">
        <v>381</v>
      </c>
      <c r="D58" s="310">
        <f t="shared" si="170"/>
        <v>1.416936111111049</v>
      </c>
      <c r="E58" s="310">
        <f t="shared" si="170"/>
        <v>2.3863646505376503</v>
      </c>
      <c r="G58" s="904">
        <v>1.3</v>
      </c>
      <c r="H58" s="266" t="s">
        <v>483</v>
      </c>
      <c r="I58" s="379">
        <v>5</v>
      </c>
      <c r="J58" s="325">
        <f t="shared" si="147"/>
        <v>3.6841699555555554</v>
      </c>
      <c r="K58" s="379">
        <v>5</v>
      </c>
      <c r="L58" s="325">
        <f t="shared" ref="L58" si="172">L9/1000/24/L$3</f>
        <v>4.8155927419354843</v>
      </c>
      <c r="M58" s="926">
        <f t="shared" si="149"/>
        <v>5</v>
      </c>
      <c r="N58" s="926">
        <f t="shared" si="149"/>
        <v>4.2591553060109284</v>
      </c>
      <c r="O58" s="379">
        <v>5</v>
      </c>
      <c r="P58" s="325">
        <f t="shared" si="150"/>
        <v>4.6961124999999999</v>
      </c>
      <c r="Q58" s="927">
        <f t="shared" si="151"/>
        <v>5</v>
      </c>
      <c r="R58" s="927">
        <f t="shared" si="151"/>
        <v>4.4032071282051284</v>
      </c>
      <c r="S58" s="379">
        <v>5</v>
      </c>
      <c r="T58" s="325">
        <f t="shared" si="152"/>
        <v>3.6459650537634412</v>
      </c>
      <c r="U58" s="926">
        <f t="shared" si="153"/>
        <v>5</v>
      </c>
      <c r="V58" s="926">
        <f t="shared" si="153"/>
        <v>4.2107931584699454</v>
      </c>
      <c r="W58" s="379">
        <v>5</v>
      </c>
      <c r="X58" s="325">
        <f t="shared" si="154"/>
        <v>4.2012163978494623</v>
      </c>
      <c r="Y58" s="926">
        <f t="shared" si="155"/>
        <v>5</v>
      </c>
      <c r="Z58" s="926">
        <f t="shared" si="155"/>
        <v>4.2088527690631805</v>
      </c>
      <c r="AA58" s="379">
        <v>5</v>
      </c>
      <c r="AB58" s="325">
        <f t="shared" si="156"/>
        <v>5.0202749999999998</v>
      </c>
      <c r="AC58" s="927">
        <f t="shared" si="157"/>
        <v>5</v>
      </c>
      <c r="AD58" s="927">
        <f t="shared" si="157"/>
        <v>4.2812051630434782</v>
      </c>
      <c r="AE58" s="928">
        <f t="shared" si="157"/>
        <v>5</v>
      </c>
      <c r="AF58" s="928">
        <f t="shared" si="157"/>
        <v>4.3418728069216765</v>
      </c>
      <c r="AG58" s="379">
        <v>5</v>
      </c>
      <c r="AH58" s="325">
        <f t="shared" si="158"/>
        <v>4.3758062768817201</v>
      </c>
      <c r="AI58" s="926">
        <f t="shared" si="159"/>
        <v>5</v>
      </c>
      <c r="AJ58" s="926">
        <f t="shared" si="159"/>
        <v>4.3467884030373831</v>
      </c>
      <c r="AK58" s="379">
        <v>5</v>
      </c>
      <c r="AL58" s="325">
        <f t="shared" si="160"/>
        <v>4.0547222222222219</v>
      </c>
      <c r="AM58" s="926">
        <f t="shared" si="161"/>
        <v>5</v>
      </c>
      <c r="AN58" s="926">
        <f t="shared" si="161"/>
        <v>4.3108786267076509</v>
      </c>
      <c r="AO58" s="379">
        <v>5</v>
      </c>
      <c r="AP58" s="325">
        <f t="shared" si="162"/>
        <v>4.2198924731182794</v>
      </c>
      <c r="AQ58" s="927">
        <f t="shared" si="163"/>
        <v>5</v>
      </c>
      <c r="AR58" s="927">
        <f t="shared" si="163"/>
        <v>4.2185687817028992</v>
      </c>
      <c r="AS58" s="926">
        <f t="shared" si="163"/>
        <v>5</v>
      </c>
      <c r="AT58" s="926">
        <f t="shared" si="163"/>
        <v>4.3006220057575755</v>
      </c>
      <c r="AU58" s="379">
        <v>5</v>
      </c>
      <c r="AV58" s="325">
        <f t="shared" si="164"/>
        <v>4.5565867473118278</v>
      </c>
      <c r="AW58" s="926">
        <f t="shared" si="165"/>
        <v>5</v>
      </c>
      <c r="AX58" s="926">
        <f t="shared" si="165"/>
        <v>4.3265530743464051</v>
      </c>
      <c r="AY58" s="379">
        <v>5</v>
      </c>
      <c r="AZ58" s="325">
        <f t="shared" si="166"/>
        <v>4.0553539285714288</v>
      </c>
      <c r="BA58" s="926">
        <f t="shared" si="167"/>
        <v>5</v>
      </c>
      <c r="BB58" s="926">
        <f t="shared" si="167"/>
        <v>4.3038178166167675</v>
      </c>
      <c r="BC58" s="379">
        <v>5</v>
      </c>
      <c r="BD58" s="325">
        <f t="shared" si="168"/>
        <v>4.2425567876344088</v>
      </c>
      <c r="BE58" s="927">
        <f t="shared" si="168"/>
        <v>5</v>
      </c>
      <c r="BF58" s="927">
        <f t="shared" si="168"/>
        <v>4.2924817731481477</v>
      </c>
      <c r="BG58" s="928">
        <f t="shared" si="168"/>
        <v>5</v>
      </c>
      <c r="BH58" s="928">
        <f t="shared" si="168"/>
        <v>4.2551191620879116</v>
      </c>
      <c r="BI58" s="926">
        <f t="shared" si="168"/>
        <v>5</v>
      </c>
      <c r="BJ58" s="926">
        <f t="shared" si="168"/>
        <v>4.2986148251141554</v>
      </c>
      <c r="BK58" s="1202"/>
      <c r="BL58" s="1202"/>
      <c r="BM58" s="1202"/>
      <c r="BN58" s="1202"/>
      <c r="BO58" s="1202"/>
    </row>
    <row r="59" spans="1:67" ht="16.2" thickBot="1" x14ac:dyDescent="0.35">
      <c r="A59" s="65"/>
      <c r="B59" s="312" t="s">
        <v>494</v>
      </c>
      <c r="C59" s="313" t="s">
        <v>381</v>
      </c>
      <c r="D59" s="311">
        <f t="shared" si="170"/>
        <v>1.7807997333332697</v>
      </c>
      <c r="E59" s="311">
        <f t="shared" si="170"/>
        <v>2.8137553185484028</v>
      </c>
      <c r="G59" s="904">
        <v>1.4</v>
      </c>
      <c r="H59" s="266" t="s">
        <v>484</v>
      </c>
      <c r="I59" s="379">
        <v>106.30733009796415</v>
      </c>
      <c r="J59" s="325">
        <f t="shared" si="147"/>
        <v>102.23611527777777</v>
      </c>
      <c r="K59" s="379">
        <v>102.9411453814557</v>
      </c>
      <c r="L59" s="325">
        <f t="shared" ref="L59" si="173">L10/1000/24/L$3</f>
        <v>101.32129838709677</v>
      </c>
      <c r="M59" s="926">
        <f t="shared" si="149"/>
        <v>104.59664606170577</v>
      </c>
      <c r="N59" s="926">
        <f t="shared" si="149"/>
        <v>101.77120833333333</v>
      </c>
      <c r="O59" s="379">
        <v>103.03334199517656</v>
      </c>
      <c r="P59" s="325">
        <f t="shared" si="150"/>
        <v>97.690281944444436</v>
      </c>
      <c r="Q59" s="927">
        <f t="shared" si="151"/>
        <v>104.0812710947181</v>
      </c>
      <c r="R59" s="927">
        <f t="shared" si="151"/>
        <v>100.42584798534799</v>
      </c>
      <c r="S59" s="379">
        <v>101.60052933064966</v>
      </c>
      <c r="T59" s="325">
        <f t="shared" si="152"/>
        <v>97.442122322580659</v>
      </c>
      <c r="U59" s="926">
        <f t="shared" si="153"/>
        <v>103.45091867925808</v>
      </c>
      <c r="V59" s="926">
        <f t="shared" si="153"/>
        <v>99.667688185792358</v>
      </c>
      <c r="W59" s="379">
        <v>102.38012972051321</v>
      </c>
      <c r="X59" s="325">
        <f t="shared" si="154"/>
        <v>94.850807795698927</v>
      </c>
      <c r="Y59" s="926">
        <f t="shared" si="155"/>
        <v>103.23396143925096</v>
      </c>
      <c r="Z59" s="926">
        <f t="shared" si="155"/>
        <v>98.691718956427025</v>
      </c>
      <c r="AA59" s="379">
        <v>68.042938528249806</v>
      </c>
      <c r="AB59" s="325">
        <f t="shared" si="156"/>
        <v>97.75559027777777</v>
      </c>
      <c r="AC59" s="927">
        <f t="shared" si="157"/>
        <v>90.920528113408082</v>
      </c>
      <c r="AD59" s="927">
        <f t="shared" si="157"/>
        <v>96.671179804347844</v>
      </c>
      <c r="AE59" s="928">
        <f t="shared" si="157"/>
        <v>97.464941289906506</v>
      </c>
      <c r="AF59" s="928">
        <f t="shared" si="157"/>
        <v>98.538255238615662</v>
      </c>
      <c r="AG59" s="379">
        <v>103.12932796865955</v>
      </c>
      <c r="AH59" s="325">
        <f t="shared" si="158"/>
        <v>87.229855645161294</v>
      </c>
      <c r="AI59" s="926">
        <f t="shared" si="159"/>
        <v>98.285483285426821</v>
      </c>
      <c r="AJ59" s="926">
        <f t="shared" si="159"/>
        <v>96.900122587227415</v>
      </c>
      <c r="AK59" s="379">
        <v>113.39998351681271</v>
      </c>
      <c r="AL59" s="325">
        <f t="shared" si="160"/>
        <v>97.079166666666666</v>
      </c>
      <c r="AM59" s="926">
        <f t="shared" si="161"/>
        <v>100.14382347781032</v>
      </c>
      <c r="AN59" s="926">
        <f t="shared" si="161"/>
        <v>96.922136203551929</v>
      </c>
      <c r="AO59" s="379">
        <v>113.42381912390304</v>
      </c>
      <c r="AP59" s="325">
        <f t="shared" si="162"/>
        <v>96.701612903225808</v>
      </c>
      <c r="AQ59" s="927">
        <f t="shared" si="163"/>
        <v>109.94725071058504</v>
      </c>
      <c r="AR59" s="927">
        <f t="shared" si="163"/>
        <v>93.63315788043478</v>
      </c>
      <c r="AS59" s="926">
        <f t="shared" si="163"/>
        <v>101.64084116882442</v>
      </c>
      <c r="AT59" s="926">
        <f t="shared" si="163"/>
        <v>96.897277213333339</v>
      </c>
      <c r="AU59" s="379">
        <v>115.28510087574236</v>
      </c>
      <c r="AV59" s="325">
        <f t="shared" si="164"/>
        <v>99.408575819892462</v>
      </c>
      <c r="AW59" s="926">
        <f t="shared" si="165"/>
        <v>103.02310277312002</v>
      </c>
      <c r="AX59" s="926">
        <f t="shared" si="165"/>
        <v>97.151689817265805</v>
      </c>
      <c r="AY59" s="379">
        <v>114.10002264085044</v>
      </c>
      <c r="AZ59" s="325">
        <f t="shared" si="166"/>
        <v>99.431472767857144</v>
      </c>
      <c r="BA59" s="926">
        <f t="shared" si="167"/>
        <v>103.95170683388784</v>
      </c>
      <c r="BB59" s="926">
        <f t="shared" si="167"/>
        <v>97.342809346057891</v>
      </c>
      <c r="BC59" s="379">
        <v>106.18684734714077</v>
      </c>
      <c r="BD59" s="325">
        <f t="shared" si="168"/>
        <v>99.317341599462495</v>
      </c>
      <c r="BE59" s="927">
        <f t="shared" si="168"/>
        <v>111.78256698725765</v>
      </c>
      <c r="BF59" s="927">
        <f t="shared" si="168"/>
        <v>99.384274194444501</v>
      </c>
      <c r="BG59" s="928">
        <f t="shared" si="168"/>
        <v>110.854824693555</v>
      </c>
      <c r="BH59" s="928">
        <f t="shared" si="168"/>
        <v>96.47711649725278</v>
      </c>
      <c r="BI59" s="926">
        <f t="shared" si="168"/>
        <v>104.14154068569837</v>
      </c>
      <c r="BJ59" s="926">
        <f t="shared" si="168"/>
        <v>97.510509345662115</v>
      </c>
      <c r="BK59" s="1202"/>
      <c r="BL59" s="1202"/>
      <c r="BM59" s="1202"/>
      <c r="BN59" s="1202"/>
      <c r="BO59" s="1202"/>
    </row>
    <row r="60" spans="1:67" ht="16.2" thickBot="1" x14ac:dyDescent="0.35">
      <c r="A60" s="65"/>
      <c r="B60" s="312"/>
      <c r="C60" s="313"/>
      <c r="D60" s="311"/>
      <c r="E60" s="311"/>
      <c r="G60" s="904"/>
      <c r="H60" s="2520" t="s">
        <v>485</v>
      </c>
      <c r="I60" s="379">
        <v>0.75</v>
      </c>
      <c r="J60" s="325">
        <f t="shared" si="147"/>
        <v>0.67097222222221697</v>
      </c>
      <c r="K60" s="379">
        <v>0.75</v>
      </c>
      <c r="L60" s="325">
        <f t="shared" ref="L60" si="174">L11/1000/24/L$3</f>
        <v>0.66068548387096915</v>
      </c>
      <c r="M60" s="926">
        <f t="shared" si="149"/>
        <v>0.75</v>
      </c>
      <c r="N60" s="926">
        <f t="shared" si="149"/>
        <v>0.66574453551912394</v>
      </c>
      <c r="O60" s="379">
        <v>0.75</v>
      </c>
      <c r="P60" s="325">
        <f t="shared" si="150"/>
        <v>0.45923611111111312</v>
      </c>
      <c r="Q60" s="927">
        <f t="shared" si="151"/>
        <v>0.75</v>
      </c>
      <c r="R60" s="927">
        <f t="shared" si="151"/>
        <v>0.5976648351648346</v>
      </c>
      <c r="S60" s="379">
        <v>0.75</v>
      </c>
      <c r="T60" s="325">
        <f t="shared" si="152"/>
        <v>0.35978494623655949</v>
      </c>
      <c r="U60" s="926">
        <f t="shared" si="153"/>
        <v>0.75</v>
      </c>
      <c r="V60" s="926">
        <f t="shared" si="153"/>
        <v>0.53721994535519091</v>
      </c>
      <c r="W60" s="379">
        <v>0.75</v>
      </c>
      <c r="X60" s="325">
        <f t="shared" si="154"/>
        <v>0.67779569892473079</v>
      </c>
      <c r="Y60" s="926">
        <f t="shared" si="155"/>
        <v>0.75</v>
      </c>
      <c r="Z60" s="926">
        <f t="shared" si="155"/>
        <v>0.56570261437908465</v>
      </c>
      <c r="AA60" s="379">
        <v>0.75</v>
      </c>
      <c r="AB60" s="325">
        <f t="shared" si="156"/>
        <v>0.67204166666666687</v>
      </c>
      <c r="AC60" s="927">
        <f t="shared" si="157"/>
        <v>0.75</v>
      </c>
      <c r="AD60" s="927">
        <f t="shared" si="157"/>
        <v>0.56876358695652163</v>
      </c>
      <c r="AE60" s="928">
        <f t="shared" si="157"/>
        <v>0.75</v>
      </c>
      <c r="AF60" s="928">
        <f t="shared" si="157"/>
        <v>0.58313524590163912</v>
      </c>
      <c r="AG60" s="379">
        <v>0.75</v>
      </c>
      <c r="AH60" s="325">
        <f t="shared" si="158"/>
        <v>0.67728494623655933</v>
      </c>
      <c r="AI60" s="926">
        <f t="shared" si="159"/>
        <v>0.75</v>
      </c>
      <c r="AJ60" s="926">
        <f t="shared" si="159"/>
        <v>0.59677375389408083</v>
      </c>
      <c r="AK60" s="379">
        <v>0.75</v>
      </c>
      <c r="AL60" s="325">
        <f t="shared" si="160"/>
        <v>0.68370833333333192</v>
      </c>
      <c r="AM60" s="926">
        <f t="shared" si="161"/>
        <v>0.75</v>
      </c>
      <c r="AN60" s="926">
        <f t="shared" si="161"/>
        <v>0.60746243169398884</v>
      </c>
      <c r="AO60" s="379">
        <v>0.75</v>
      </c>
      <c r="AP60" s="325">
        <f t="shared" si="162"/>
        <v>0.67502688172043013</v>
      </c>
      <c r="AQ60" s="927">
        <f t="shared" si="163"/>
        <v>0.75</v>
      </c>
      <c r="AR60" s="927">
        <f t="shared" si="163"/>
        <v>0.67861865942028954</v>
      </c>
      <c r="AS60" s="926">
        <f t="shared" si="163"/>
        <v>0.75</v>
      </c>
      <c r="AT60" s="926">
        <f t="shared" si="163"/>
        <v>0.61507878787878756</v>
      </c>
      <c r="AU60" s="379">
        <v>0.75</v>
      </c>
      <c r="AV60" s="325">
        <f t="shared" si="164"/>
        <v>0.67647849462365561</v>
      </c>
      <c r="AW60" s="926">
        <f t="shared" si="165"/>
        <v>0.75</v>
      </c>
      <c r="AX60" s="926">
        <f t="shared" si="165"/>
        <v>0.62129901960784284</v>
      </c>
      <c r="AY60" s="379">
        <v>0.75</v>
      </c>
      <c r="AZ60" s="325">
        <f t="shared" si="166"/>
        <v>0.67891369047619254</v>
      </c>
      <c r="BA60" s="926">
        <f t="shared" si="167"/>
        <v>0.75</v>
      </c>
      <c r="BB60" s="926">
        <f t="shared" si="167"/>
        <v>0.62612899201596806</v>
      </c>
      <c r="BC60" s="379">
        <v>0.75</v>
      </c>
      <c r="BD60" s="325">
        <f t="shared" si="168"/>
        <v>0.68525537634408584</v>
      </c>
      <c r="BE60" s="927">
        <f t="shared" si="168"/>
        <v>0.75</v>
      </c>
      <c r="BF60" s="927">
        <f t="shared" si="168"/>
        <v>0.68025925925925979</v>
      </c>
      <c r="BG60" s="928">
        <f t="shared" si="168"/>
        <v>0.75</v>
      </c>
      <c r="BH60" s="928">
        <f t="shared" si="168"/>
        <v>0.67942994505494503</v>
      </c>
      <c r="BI60" s="926">
        <f t="shared" si="168"/>
        <v>0.75</v>
      </c>
      <c r="BJ60" s="926">
        <f t="shared" si="168"/>
        <v>0.63115068493150683</v>
      </c>
      <c r="BK60" s="1202"/>
      <c r="BL60" s="1202"/>
      <c r="BM60" s="1202"/>
      <c r="BN60" s="1202"/>
      <c r="BO60" s="1202"/>
    </row>
    <row r="61" spans="1:67" ht="15.6" x14ac:dyDescent="0.3">
      <c r="A61" s="65"/>
      <c r="B61" s="314" t="s">
        <v>125</v>
      </c>
      <c r="C61" s="36" t="s">
        <v>381</v>
      </c>
      <c r="D61" s="311">
        <f t="shared" ref="D61:E76" si="175">+((D16/1000)/D$3)/24</f>
        <v>122.30793637777781</v>
      </c>
      <c r="E61" s="311">
        <f t="shared" si="175"/>
        <v>125.68619091801072</v>
      </c>
      <c r="G61" s="904">
        <v>1.5</v>
      </c>
      <c r="H61" s="266" t="s">
        <v>1642</v>
      </c>
      <c r="I61" s="379">
        <v>1</v>
      </c>
      <c r="J61" s="325">
        <f t="shared" si="147"/>
        <v>1.060225</v>
      </c>
      <c r="K61" s="379">
        <v>1</v>
      </c>
      <c r="L61" s="325">
        <f t="shared" ref="L61" si="176">L12/1000/24/L$3</f>
        <v>1.0936501344086016</v>
      </c>
      <c r="M61" s="926">
        <f t="shared" si="149"/>
        <v>1</v>
      </c>
      <c r="N61" s="926">
        <f t="shared" si="149"/>
        <v>1.0772115437158467</v>
      </c>
      <c r="O61" s="379">
        <v>1</v>
      </c>
      <c r="P61" s="325">
        <f t="shared" si="150"/>
        <v>0.83495347222222294</v>
      </c>
      <c r="Q61" s="927">
        <f t="shared" si="151"/>
        <v>1</v>
      </c>
      <c r="R61" s="927">
        <f t="shared" si="151"/>
        <v>0.9973462454212455</v>
      </c>
      <c r="S61" s="379">
        <v>1</v>
      </c>
      <c r="T61" s="325">
        <f t="shared" si="152"/>
        <v>0.77444731182795656</v>
      </c>
      <c r="U61" s="926">
        <f t="shared" si="153"/>
        <v>1</v>
      </c>
      <c r="V61" s="926">
        <f t="shared" si="153"/>
        <v>0.94070799180327869</v>
      </c>
      <c r="W61" s="379">
        <v>1</v>
      </c>
      <c r="X61" s="325">
        <f t="shared" si="154"/>
        <v>0.77545026881720303</v>
      </c>
      <c r="Y61" s="926">
        <f t="shared" si="155"/>
        <v>1</v>
      </c>
      <c r="Z61" s="926">
        <f t="shared" si="155"/>
        <v>0.90722440087145939</v>
      </c>
      <c r="AA61" s="379">
        <v>1</v>
      </c>
      <c r="AB61" s="325">
        <f t="shared" si="156"/>
        <v>0.8017097222222227</v>
      </c>
      <c r="AC61" s="927">
        <f t="shared" si="157"/>
        <v>1</v>
      </c>
      <c r="AD61" s="927">
        <f t="shared" si="157"/>
        <v>0.78367518115942003</v>
      </c>
      <c r="AE61" s="928">
        <f t="shared" si="157"/>
        <v>1</v>
      </c>
      <c r="AF61" s="928">
        <f t="shared" si="157"/>
        <v>0.88992691256830592</v>
      </c>
      <c r="AG61" s="379">
        <v>1</v>
      </c>
      <c r="AH61" s="325">
        <f t="shared" si="158"/>
        <v>0.73208870967741857</v>
      </c>
      <c r="AI61" s="926">
        <f t="shared" si="159"/>
        <v>1</v>
      </c>
      <c r="AJ61" s="926">
        <f t="shared" si="159"/>
        <v>0.86706249999999985</v>
      </c>
      <c r="AK61" s="379">
        <v>1</v>
      </c>
      <c r="AL61" s="325">
        <f t="shared" si="160"/>
        <v>0.65504027777777774</v>
      </c>
      <c r="AM61" s="926">
        <f t="shared" si="161"/>
        <v>1</v>
      </c>
      <c r="AN61" s="926">
        <f t="shared" si="161"/>
        <v>0.84099419398907094</v>
      </c>
      <c r="AO61" s="379">
        <v>1</v>
      </c>
      <c r="AP61" s="325">
        <f t="shared" si="162"/>
        <v>0.57237499999999852</v>
      </c>
      <c r="AQ61" s="927">
        <f t="shared" si="163"/>
        <v>1</v>
      </c>
      <c r="AR61" s="927">
        <f t="shared" si="163"/>
        <v>0.65314764492753541</v>
      </c>
      <c r="AS61" s="926">
        <f t="shared" si="163"/>
        <v>1</v>
      </c>
      <c r="AT61" s="926">
        <f t="shared" si="163"/>
        <v>0.8107134848484846</v>
      </c>
      <c r="AU61" s="379">
        <v>1</v>
      </c>
      <c r="AV61" s="325">
        <f t="shared" si="164"/>
        <v>0.65913615591398034</v>
      </c>
      <c r="AW61" s="926">
        <f t="shared" si="165"/>
        <v>1</v>
      </c>
      <c r="AX61" s="926">
        <f t="shared" si="165"/>
        <v>0.79535761165577334</v>
      </c>
      <c r="AY61" s="379">
        <v>1</v>
      </c>
      <c r="AZ61" s="325">
        <f t="shared" si="166"/>
        <v>0.85355922619047708</v>
      </c>
      <c r="BA61" s="926">
        <f t="shared" si="167"/>
        <v>1</v>
      </c>
      <c r="BB61" s="926">
        <f t="shared" si="167"/>
        <v>0.80023678892215566</v>
      </c>
      <c r="BC61" s="379">
        <v>1</v>
      </c>
      <c r="BD61" s="325">
        <f t="shared" si="168"/>
        <v>0.83729569892473021</v>
      </c>
      <c r="BE61" s="927">
        <f t="shared" si="168"/>
        <v>1</v>
      </c>
      <c r="BF61" s="927">
        <f t="shared" si="168"/>
        <v>0.78098939814814883</v>
      </c>
      <c r="BG61" s="928">
        <f t="shared" si="168"/>
        <v>1</v>
      </c>
      <c r="BH61" s="928">
        <f t="shared" si="168"/>
        <v>0.71636609432234422</v>
      </c>
      <c r="BI61" s="926">
        <f t="shared" si="168"/>
        <v>1</v>
      </c>
      <c r="BJ61" s="926">
        <f t="shared" si="168"/>
        <v>0.80338425799086755</v>
      </c>
      <c r="BK61" s="1202"/>
      <c r="BL61" s="1202"/>
      <c r="BM61" s="1202"/>
      <c r="BN61" s="1202"/>
      <c r="BO61" s="1202"/>
    </row>
    <row r="62" spans="1:67" ht="15.6" x14ac:dyDescent="0.3">
      <c r="A62" s="276"/>
      <c r="B62" s="22" t="s">
        <v>729</v>
      </c>
      <c r="C62" s="13" t="s">
        <v>381</v>
      </c>
      <c r="D62" s="310">
        <f t="shared" si="175"/>
        <v>1.5184583333333332</v>
      </c>
      <c r="E62" s="310">
        <f t="shared" si="175"/>
        <v>1.5746408602150537</v>
      </c>
      <c r="G62" s="907">
        <v>2</v>
      </c>
      <c r="H62" s="802" t="s">
        <v>745</v>
      </c>
      <c r="I62" s="381">
        <f>+I63+I64</f>
        <v>3</v>
      </c>
      <c r="J62" s="323">
        <f t="shared" si="147"/>
        <v>1.672414355277773</v>
      </c>
      <c r="K62" s="381">
        <f>+K63+K64</f>
        <v>3</v>
      </c>
      <c r="L62" s="323">
        <f t="shared" ref="L62" si="177">L13/1000/24/L$3</f>
        <v>1.7553855576612982</v>
      </c>
      <c r="M62" s="923">
        <f t="shared" si="149"/>
        <v>3</v>
      </c>
      <c r="N62" s="923">
        <f t="shared" si="149"/>
        <v>1.7145800482923517</v>
      </c>
      <c r="O62" s="381">
        <f>+O63+O64</f>
        <v>3</v>
      </c>
      <c r="P62" s="323">
        <f t="shared" si="150"/>
        <v>1.2426581236113077</v>
      </c>
      <c r="Q62" s="924">
        <f t="shared" si="151"/>
        <v>3</v>
      </c>
      <c r="R62" s="924">
        <f t="shared" si="151"/>
        <v>1.5590013918040952</v>
      </c>
      <c r="S62" s="381">
        <f>+S63+S64</f>
        <v>3</v>
      </c>
      <c r="T62" s="323">
        <f t="shared" si="152"/>
        <v>1.4625699395159941</v>
      </c>
      <c r="U62" s="923">
        <f t="shared" si="153"/>
        <v>3</v>
      </c>
      <c r="V62" s="923">
        <f t="shared" si="153"/>
        <v>1.5344983178620371</v>
      </c>
      <c r="W62" s="381">
        <f>+W63+W64</f>
        <v>3</v>
      </c>
      <c r="X62" s="323">
        <f t="shared" si="154"/>
        <v>1.4683052446236788</v>
      </c>
      <c r="Y62" s="923">
        <f t="shared" si="155"/>
        <v>3</v>
      </c>
      <c r="Z62" s="923">
        <f t="shared" si="155"/>
        <v>1.5210866494281214</v>
      </c>
      <c r="AA62" s="381">
        <f>+AA63+AA64</f>
        <v>3</v>
      </c>
      <c r="AB62" s="323">
        <f t="shared" si="156"/>
        <v>1.4058523111111128</v>
      </c>
      <c r="AC62" s="924">
        <f t="shared" si="157"/>
        <v>3</v>
      </c>
      <c r="AD62" s="924">
        <f t="shared" si="157"/>
        <v>1.4460076091485135</v>
      </c>
      <c r="AE62" s="925">
        <f t="shared" si="157"/>
        <v>3</v>
      </c>
      <c r="AF62" s="925">
        <f t="shared" si="157"/>
        <v>1.5021957742941856</v>
      </c>
      <c r="AG62" s="381">
        <f>+AG63+AG64</f>
        <v>3</v>
      </c>
      <c r="AH62" s="323">
        <f t="shared" si="158"/>
        <v>1.7969373749999034</v>
      </c>
      <c r="AI62" s="923">
        <f t="shared" si="159"/>
        <v>3</v>
      </c>
      <c r="AJ62" s="923">
        <f t="shared" si="159"/>
        <v>1.5448919874805278</v>
      </c>
      <c r="AK62" s="381">
        <f>+AK63+AK64</f>
        <v>3</v>
      </c>
      <c r="AL62" s="323">
        <f t="shared" si="160"/>
        <v>1.3850379013886105</v>
      </c>
      <c r="AM62" s="923">
        <f t="shared" si="161"/>
        <v>3</v>
      </c>
      <c r="AN62" s="923">
        <f t="shared" si="161"/>
        <v>1.525237796567587</v>
      </c>
      <c r="AO62" s="381">
        <f>+AO63+AO64</f>
        <v>3</v>
      </c>
      <c r="AP62" s="323">
        <f t="shared" si="162"/>
        <v>1.6650627419357327</v>
      </c>
      <c r="AQ62" s="924">
        <f t="shared" si="163"/>
        <v>3</v>
      </c>
      <c r="AR62" s="924">
        <f t="shared" si="163"/>
        <v>1.6181863115941635</v>
      </c>
      <c r="AS62" s="923">
        <f t="shared" si="163"/>
        <v>3</v>
      </c>
      <c r="AT62" s="923">
        <f t="shared" si="163"/>
        <v>1.5409998813181782</v>
      </c>
      <c r="AU62" s="381">
        <f>+AU63+AU64</f>
        <v>3</v>
      </c>
      <c r="AV62" s="323">
        <f t="shared" si="164"/>
        <v>1.719819081989296</v>
      </c>
      <c r="AW62" s="923">
        <f t="shared" si="165"/>
        <v>3</v>
      </c>
      <c r="AX62" s="923">
        <f t="shared" si="165"/>
        <v>1.5591155519744027</v>
      </c>
      <c r="AY62" s="381">
        <f>+AY63+AY64</f>
        <v>3</v>
      </c>
      <c r="AZ62" s="323">
        <f t="shared" si="166"/>
        <v>1.2870148288690155</v>
      </c>
      <c r="BA62" s="923">
        <f t="shared" si="167"/>
        <v>3</v>
      </c>
      <c r="BB62" s="923">
        <f t="shared" si="167"/>
        <v>1.5363047129116758</v>
      </c>
      <c r="BC62" s="381">
        <f>+BC63+BC64</f>
        <v>3</v>
      </c>
      <c r="BD62" s="323">
        <f t="shared" si="168"/>
        <v>1.9524498400538735</v>
      </c>
      <c r="BE62" s="924">
        <f t="shared" si="168"/>
        <v>3</v>
      </c>
      <c r="BF62" s="924">
        <f t="shared" si="168"/>
        <v>1.6652972421296741</v>
      </c>
      <c r="BG62" s="925">
        <f t="shared" si="168"/>
        <v>3</v>
      </c>
      <c r="BH62" s="925">
        <f t="shared" si="168"/>
        <v>1.6414829255952401</v>
      </c>
      <c r="BI62" s="923">
        <f t="shared" si="168"/>
        <v>3</v>
      </c>
      <c r="BJ62" s="923">
        <f t="shared" si="168"/>
        <v>1.5716485456278622</v>
      </c>
      <c r="BK62" s="1202"/>
      <c r="BL62" s="1202"/>
      <c r="BM62" s="1202"/>
      <c r="BN62" s="1202"/>
      <c r="BO62" s="1202"/>
    </row>
    <row r="63" spans="1:67" x14ac:dyDescent="0.3">
      <c r="A63" s="276"/>
      <c r="B63" s="22" t="s">
        <v>721</v>
      </c>
      <c r="C63" s="13" t="s">
        <v>381</v>
      </c>
      <c r="D63" s="310">
        <f t="shared" si="175"/>
        <v>7.0703194444444506</v>
      </c>
      <c r="E63" s="310">
        <f t="shared" si="175"/>
        <v>6.5758870967741947</v>
      </c>
      <c r="G63" s="904">
        <v>2.1</v>
      </c>
      <c r="H63" s="266" t="s">
        <v>492</v>
      </c>
      <c r="I63" s="379">
        <v>0.4</v>
      </c>
      <c r="J63" s="325">
        <f t="shared" si="147"/>
        <v>0.3989109969444431</v>
      </c>
      <c r="K63" s="379">
        <v>0.4</v>
      </c>
      <c r="L63" s="325">
        <f t="shared" ref="L63" si="178">L14/1000/24/L$3</f>
        <v>0.30296465712365594</v>
      </c>
      <c r="M63" s="926">
        <f t="shared" si="149"/>
        <v>0.4</v>
      </c>
      <c r="N63" s="926">
        <f t="shared" si="149"/>
        <v>0.35015138162568238</v>
      </c>
      <c r="O63" s="379">
        <v>0.4</v>
      </c>
      <c r="P63" s="325">
        <f t="shared" si="150"/>
        <v>0.44644526250000283</v>
      </c>
      <c r="Q63" s="927">
        <f t="shared" si="151"/>
        <v>0.39999999999999997</v>
      </c>
      <c r="R63" s="927">
        <f t="shared" si="151"/>
        <v>0.38189661707875511</v>
      </c>
      <c r="S63" s="379">
        <v>0.4</v>
      </c>
      <c r="T63" s="325">
        <f t="shared" si="152"/>
        <v>0.38635129973119098</v>
      </c>
      <c r="U63" s="926">
        <f t="shared" si="153"/>
        <v>0.4</v>
      </c>
      <c r="V63" s="926">
        <f t="shared" si="153"/>
        <v>0.38302854463798058</v>
      </c>
      <c r="W63" s="379">
        <v>0.4</v>
      </c>
      <c r="X63" s="325">
        <f t="shared" si="154"/>
        <v>0.50883365860213436</v>
      </c>
      <c r="Y63" s="926">
        <f t="shared" si="155"/>
        <v>0.39999999999999997</v>
      </c>
      <c r="Z63" s="926">
        <f t="shared" si="155"/>
        <v>0.4085184696895412</v>
      </c>
      <c r="AA63" s="379">
        <v>0.4</v>
      </c>
      <c r="AB63" s="325">
        <f t="shared" si="156"/>
        <v>0.49037192222223053</v>
      </c>
      <c r="AC63" s="927">
        <f t="shared" si="157"/>
        <v>0.4</v>
      </c>
      <c r="AD63" s="927">
        <f t="shared" si="157"/>
        <v>0.46154229755434789</v>
      </c>
      <c r="AE63" s="928">
        <f t="shared" si="157"/>
        <v>0.4</v>
      </c>
      <c r="AF63" s="928">
        <f t="shared" si="157"/>
        <v>0.42193706846539186</v>
      </c>
      <c r="AG63" s="379">
        <v>0.4</v>
      </c>
      <c r="AH63" s="325">
        <f t="shared" si="158"/>
        <v>0.42846224059140114</v>
      </c>
      <c r="AI63" s="926">
        <f t="shared" si="159"/>
        <v>0.4</v>
      </c>
      <c r="AJ63" s="926">
        <f t="shared" si="159"/>
        <v>0.42288230367990726</v>
      </c>
      <c r="AK63" s="379">
        <v>0.4</v>
      </c>
      <c r="AL63" s="325">
        <f t="shared" si="160"/>
        <v>0.2315509569444435</v>
      </c>
      <c r="AM63" s="926">
        <f t="shared" si="161"/>
        <v>0.4</v>
      </c>
      <c r="AN63" s="926">
        <f t="shared" si="161"/>
        <v>0.39935795776980926</v>
      </c>
      <c r="AO63" s="379">
        <v>0.4</v>
      </c>
      <c r="AP63" s="325">
        <f t="shared" si="162"/>
        <v>0.36479580645160919</v>
      </c>
      <c r="AQ63" s="927">
        <f t="shared" si="163"/>
        <v>0.4</v>
      </c>
      <c r="AR63" s="927">
        <f t="shared" si="163"/>
        <v>0.34279921920289813</v>
      </c>
      <c r="AS63" s="926">
        <f t="shared" si="163"/>
        <v>0.4</v>
      </c>
      <c r="AT63" s="926">
        <f t="shared" si="163"/>
        <v>0.39546186071212119</v>
      </c>
      <c r="AU63" s="379">
        <v>0.4</v>
      </c>
      <c r="AV63" s="325">
        <f t="shared" si="164"/>
        <v>0.4380587190860189</v>
      </c>
      <c r="AW63" s="926">
        <f t="shared" si="165"/>
        <v>0.39999999999999997</v>
      </c>
      <c r="AX63" s="926">
        <f t="shared" si="165"/>
        <v>0.39977722871732002</v>
      </c>
      <c r="AY63" s="379">
        <v>0.4</v>
      </c>
      <c r="AZ63" s="325">
        <f t="shared" si="166"/>
        <v>0.48498804315475202</v>
      </c>
      <c r="BA63" s="926">
        <f t="shared" si="167"/>
        <v>0.39999999999999997</v>
      </c>
      <c r="BB63" s="926">
        <f t="shared" si="167"/>
        <v>0.40692065028692515</v>
      </c>
      <c r="BC63" s="379">
        <v>0.4</v>
      </c>
      <c r="BD63" s="325">
        <f t="shared" si="168"/>
        <v>0.51795447715055143</v>
      </c>
      <c r="BE63" s="927">
        <f t="shared" si="168"/>
        <v>0.4</v>
      </c>
      <c r="BF63" s="927">
        <f t="shared" si="168"/>
        <v>0.48017860324074152</v>
      </c>
      <c r="BG63" s="928">
        <f t="shared" si="168"/>
        <v>0.39999999999999997</v>
      </c>
      <c r="BH63" s="928">
        <f t="shared" si="168"/>
        <v>0.41073407944139212</v>
      </c>
      <c r="BI63" s="926">
        <f t="shared" si="168"/>
        <v>0.4</v>
      </c>
      <c r="BJ63" s="926">
        <f t="shared" si="168"/>
        <v>0.41635092051369882</v>
      </c>
      <c r="BK63" s="1202"/>
      <c r="BL63" s="1202"/>
      <c r="BM63" s="1202"/>
      <c r="BN63" s="1202"/>
      <c r="BO63" s="1202"/>
    </row>
    <row r="64" spans="1:67" x14ac:dyDescent="0.3">
      <c r="A64" s="276"/>
      <c r="B64" s="22" t="s">
        <v>634</v>
      </c>
      <c r="C64" s="13" t="s">
        <v>381</v>
      </c>
      <c r="D64" s="310">
        <f t="shared" si="175"/>
        <v>2.1610277777777771</v>
      </c>
      <c r="E64" s="310">
        <f t="shared" si="175"/>
        <v>2.0229032258064517</v>
      </c>
      <c r="G64" s="904">
        <v>2.2000000000000002</v>
      </c>
      <c r="H64" s="266" t="s">
        <v>493</v>
      </c>
      <c r="I64" s="379">
        <v>2.6</v>
      </c>
      <c r="J64" s="325">
        <f t="shared" si="147"/>
        <v>1.2735033583333302</v>
      </c>
      <c r="K64" s="379">
        <v>2.6</v>
      </c>
      <c r="L64" s="325">
        <f t="shared" ref="L64" si="179">L15/1000/24/L$3</f>
        <v>1.4524209005376423</v>
      </c>
      <c r="M64" s="926">
        <f t="shared" si="149"/>
        <v>2.6</v>
      </c>
      <c r="N64" s="926">
        <f t="shared" si="149"/>
        <v>1.3644286666666692</v>
      </c>
      <c r="O64" s="379">
        <v>2.6</v>
      </c>
      <c r="P64" s="325">
        <f t="shared" si="150"/>
        <v>0.79621286111130485</v>
      </c>
      <c r="Q64" s="927">
        <f t="shared" si="151"/>
        <v>2.6</v>
      </c>
      <c r="R64" s="927">
        <f t="shared" si="151"/>
        <v>1.1771047747253403</v>
      </c>
      <c r="S64" s="379">
        <v>2.6</v>
      </c>
      <c r="T64" s="325">
        <f t="shared" si="152"/>
        <v>1.076218639784803</v>
      </c>
      <c r="U64" s="926">
        <f t="shared" si="153"/>
        <v>2.6</v>
      </c>
      <c r="V64" s="926">
        <f t="shared" si="153"/>
        <v>1.1514697732240562</v>
      </c>
      <c r="W64" s="379">
        <v>2.6</v>
      </c>
      <c r="X64" s="325">
        <f t="shared" si="154"/>
        <v>0.95947158602154459</v>
      </c>
      <c r="Y64" s="926">
        <f t="shared" si="155"/>
        <v>2.6</v>
      </c>
      <c r="Z64" s="926">
        <f t="shared" si="155"/>
        <v>1.11256817973858</v>
      </c>
      <c r="AA64" s="379">
        <v>2.6</v>
      </c>
      <c r="AB64" s="325">
        <f t="shared" si="156"/>
        <v>0.91548038888888228</v>
      </c>
      <c r="AC64" s="927">
        <f t="shared" si="157"/>
        <v>2.6</v>
      </c>
      <c r="AD64" s="927">
        <f t="shared" si="157"/>
        <v>0.98446531159416562</v>
      </c>
      <c r="AE64" s="928">
        <f t="shared" si="157"/>
        <v>2.6</v>
      </c>
      <c r="AF64" s="928">
        <f t="shared" si="157"/>
        <v>1.0802587058287934</v>
      </c>
      <c r="AG64" s="379">
        <v>2.6</v>
      </c>
      <c r="AH64" s="325">
        <f t="shared" si="158"/>
        <v>1.368475134408502</v>
      </c>
      <c r="AI64" s="926">
        <f t="shared" si="159"/>
        <v>2.6</v>
      </c>
      <c r="AJ64" s="926">
        <f t="shared" si="159"/>
        <v>1.1220096838006206</v>
      </c>
      <c r="AK64" s="379">
        <v>2.6</v>
      </c>
      <c r="AL64" s="325">
        <f t="shared" si="160"/>
        <v>1.1534869444441671</v>
      </c>
      <c r="AM64" s="926">
        <f t="shared" si="161"/>
        <v>2.6</v>
      </c>
      <c r="AN64" s="926">
        <f t="shared" si="161"/>
        <v>1.1258798387977778</v>
      </c>
      <c r="AO64" s="379">
        <v>2.6</v>
      </c>
      <c r="AP64" s="325">
        <f t="shared" si="162"/>
        <v>1.3002669354841234</v>
      </c>
      <c r="AQ64" s="927">
        <f t="shared" si="163"/>
        <v>2.6</v>
      </c>
      <c r="AR64" s="927">
        <f t="shared" si="163"/>
        <v>1.2753870923912651</v>
      </c>
      <c r="AS64" s="926">
        <f t="shared" si="163"/>
        <v>2.6</v>
      </c>
      <c r="AT64" s="926">
        <f t="shared" si="163"/>
        <v>1.1455380206060568</v>
      </c>
      <c r="AU64" s="379">
        <v>2.6</v>
      </c>
      <c r="AV64" s="325">
        <f t="shared" si="164"/>
        <v>1.281760362903277</v>
      </c>
      <c r="AW64" s="926">
        <f t="shared" si="165"/>
        <v>2.6</v>
      </c>
      <c r="AX64" s="926">
        <f t="shared" si="165"/>
        <v>1.1593383232570824</v>
      </c>
      <c r="AY64" s="379">
        <v>2.6</v>
      </c>
      <c r="AZ64" s="325">
        <f t="shared" si="166"/>
        <v>0.80202678571426345</v>
      </c>
      <c r="BA64" s="926">
        <f t="shared" si="167"/>
        <v>2.6</v>
      </c>
      <c r="BB64" s="926">
        <f t="shared" si="167"/>
        <v>1.1293840626247504</v>
      </c>
      <c r="BC64" s="379">
        <v>2.6</v>
      </c>
      <c r="BD64" s="325">
        <f t="shared" si="168"/>
        <v>1.4344953629033219</v>
      </c>
      <c r="BE64" s="927">
        <f t="shared" si="168"/>
        <v>2.6</v>
      </c>
      <c r="BF64" s="927">
        <f t="shared" si="168"/>
        <v>1.1851186388889328</v>
      </c>
      <c r="BG64" s="928">
        <f t="shared" si="168"/>
        <v>2.6</v>
      </c>
      <c r="BH64" s="928">
        <f t="shared" si="168"/>
        <v>1.2307488461538481</v>
      </c>
      <c r="BI64" s="926">
        <f t="shared" si="168"/>
        <v>2.6</v>
      </c>
      <c r="BJ64" s="926">
        <f t="shared" si="168"/>
        <v>1.1552976251141631</v>
      </c>
      <c r="BK64" s="1202"/>
      <c r="BL64" s="1202"/>
      <c r="BM64" s="1202"/>
      <c r="BN64" s="1202"/>
      <c r="BO64" s="1202"/>
    </row>
    <row r="65" spans="1:67" ht="15.6" x14ac:dyDescent="0.3">
      <c r="A65" s="276"/>
      <c r="B65" s="22" t="s">
        <v>487</v>
      </c>
      <c r="C65" s="13" t="s">
        <v>381</v>
      </c>
      <c r="D65" s="310">
        <f t="shared" si="175"/>
        <v>11.048583333333307</v>
      </c>
      <c r="E65" s="310">
        <f t="shared" si="175"/>
        <v>10.777446236559159</v>
      </c>
      <c r="G65" s="907">
        <v>3</v>
      </c>
      <c r="H65" s="802" t="s">
        <v>746</v>
      </c>
      <c r="I65" s="322">
        <f>+I55-I62</f>
        <v>160.18436239267879</v>
      </c>
      <c r="J65" s="323">
        <f t="shared" si="147"/>
        <v>145.45017921138881</v>
      </c>
      <c r="K65" s="322">
        <f>+K55-K62</f>
        <v>160.24588093265663</v>
      </c>
      <c r="L65" s="323">
        <f t="shared" ref="L65" si="180">L16/1000/24/L$3</f>
        <v>152.76352936169354</v>
      </c>
      <c r="M65" s="923">
        <f t="shared" si="149"/>
        <v>160.21562591299539</v>
      </c>
      <c r="N65" s="923">
        <f t="shared" si="149"/>
        <v>149.16679977957645</v>
      </c>
      <c r="O65" s="322">
        <f>+O55-O62</f>
        <v>160.17683235758588</v>
      </c>
      <c r="P65" s="323">
        <f t="shared" si="150"/>
        <v>157.02181479305537</v>
      </c>
      <c r="Q65" s="924">
        <f t="shared" si="151"/>
        <v>160.20283682879446</v>
      </c>
      <c r="R65" s="924">
        <f t="shared" si="151"/>
        <v>151.75636516863543</v>
      </c>
      <c r="S65" s="322">
        <f>+S55-S62</f>
        <v>158.99369246528286</v>
      </c>
      <c r="T65" s="323">
        <f t="shared" si="152"/>
        <v>158.23784109274206</v>
      </c>
      <c r="U65" s="923">
        <f t="shared" si="153"/>
        <v>159.89559522823004</v>
      </c>
      <c r="V65" s="923">
        <f t="shared" si="153"/>
        <v>153.40329757558058</v>
      </c>
      <c r="W65" s="322">
        <f>+W55-W62</f>
        <v>158.99369246528286</v>
      </c>
      <c r="X65" s="323">
        <f t="shared" si="154"/>
        <v>154.19677674462349</v>
      </c>
      <c r="Y65" s="923">
        <f t="shared" si="155"/>
        <v>159.71285675992047</v>
      </c>
      <c r="Z65" s="923">
        <f t="shared" si="155"/>
        <v>153.56406786473303</v>
      </c>
      <c r="AA65" s="322">
        <f>+AA55-AA62</f>
        <v>112.70643208228404</v>
      </c>
      <c r="AB65" s="323">
        <f t="shared" si="156"/>
        <v>155.99015324444446</v>
      </c>
      <c r="AC65" s="924">
        <f t="shared" ref="AC65:AF74" si="181">AC16/1000/24/AC$3</f>
        <v>143.9000206012615</v>
      </c>
      <c r="AD65" s="924">
        <f t="shared" si="181"/>
        <v>156.14323641621377</v>
      </c>
      <c r="AE65" s="925">
        <f t="shared" si="181"/>
        <v>152.00688550129155</v>
      </c>
      <c r="AF65" s="925">
        <f t="shared" si="181"/>
        <v>153.96178677943985</v>
      </c>
      <c r="AG65" s="322">
        <f>+AG55-AG62</f>
        <v>159.95312396196638</v>
      </c>
      <c r="AH65" s="323">
        <f t="shared" si="158"/>
        <v>137.38247992338719</v>
      </c>
      <c r="AI65" s="923">
        <f t="shared" si="159"/>
        <v>153.15797611942671</v>
      </c>
      <c r="AJ65" s="923">
        <f t="shared" si="159"/>
        <v>151.56011148720793</v>
      </c>
      <c r="AK65" s="322">
        <f>+AK55-AK62</f>
        <v>160.6521911820563</v>
      </c>
      <c r="AL65" s="323">
        <f t="shared" si="160"/>
        <v>153.36190515416695</v>
      </c>
      <c r="AM65" s="923">
        <f t="shared" si="161"/>
        <v>154.07939600417623</v>
      </c>
      <c r="AN65" s="923">
        <f t="shared" si="161"/>
        <v>151.78164349544059</v>
      </c>
      <c r="AO65" s="322">
        <f>+AO55-AO62</f>
        <v>160.63767893483231</v>
      </c>
      <c r="AP65" s="323">
        <f t="shared" si="162"/>
        <v>150.40169397849436</v>
      </c>
      <c r="AQ65" s="924">
        <f t="shared" ref="AQ65:AT74" si="182">AQ16/1000/24/AQ$3</f>
        <v>160.41174592676575</v>
      </c>
      <c r="AR65" s="924">
        <f t="shared" si="182"/>
        <v>146.98007114764496</v>
      </c>
      <c r="AS65" s="923">
        <f t="shared" si="182"/>
        <v>154.81869335272293</v>
      </c>
      <c r="AT65" s="923">
        <f t="shared" si="182"/>
        <v>151.62608554989393</v>
      </c>
      <c r="AU65" s="322">
        <f>+AU55-AU62</f>
        <v>161.59367150932485</v>
      </c>
      <c r="AV65" s="323">
        <f t="shared" si="164"/>
        <v>151.47652265188179</v>
      </c>
      <c r="AW65" s="923">
        <f t="shared" si="165"/>
        <v>155.50504734897999</v>
      </c>
      <c r="AX65" s="923">
        <f t="shared" si="165"/>
        <v>151.61093375303645</v>
      </c>
      <c r="AY65" s="322">
        <f>+AY55-AY62</f>
        <v>160.94219944404304</v>
      </c>
      <c r="AZ65" s="323">
        <f t="shared" si="166"/>
        <v>148.82231454613097</v>
      </c>
      <c r="BA65" s="923">
        <f t="shared" si="167"/>
        <v>155.96085650664995</v>
      </c>
      <c r="BB65" s="923">
        <f t="shared" si="167"/>
        <v>151.37715729257732</v>
      </c>
      <c r="BC65" s="322">
        <f>+BC55-BC62</f>
        <v>161.76264794652093</v>
      </c>
      <c r="BD65" s="323">
        <f t="shared" ref="BD65:BJ74" si="183">BD16/1000/24/BD$3</f>
        <v>153.05903188037638</v>
      </c>
      <c r="BE65" s="924">
        <f t="shared" si="183"/>
        <v>161.44919430627138</v>
      </c>
      <c r="BF65" s="924">
        <f t="shared" si="183"/>
        <v>151.19585553101854</v>
      </c>
      <c r="BG65" s="925">
        <f t="shared" si="183"/>
        <v>160.92476985069709</v>
      </c>
      <c r="BH65" s="925">
        <f t="shared" si="183"/>
        <v>149.06479968887365</v>
      </c>
      <c r="BI65" s="923">
        <f t="shared" si="183"/>
        <v>156.45361139606362</v>
      </c>
      <c r="BJ65" s="923">
        <f t="shared" si="183"/>
        <v>151.52000143565067</v>
      </c>
      <c r="BK65" s="1202"/>
      <c r="BL65" s="1202"/>
      <c r="BM65" s="1202"/>
      <c r="BN65" s="1202"/>
      <c r="BO65" s="1202"/>
    </row>
    <row r="66" spans="1:67" ht="15.6" x14ac:dyDescent="0.3">
      <c r="A66" s="276"/>
      <c r="B66" s="22" t="s">
        <v>722</v>
      </c>
      <c r="C66" s="13" t="s">
        <v>381</v>
      </c>
      <c r="D66" s="310">
        <f t="shared" si="175"/>
        <v>13.06251944444444</v>
      </c>
      <c r="E66" s="310">
        <f t="shared" si="175"/>
        <v>13.210962365591397</v>
      </c>
      <c r="G66" s="907">
        <v>4</v>
      </c>
      <c r="H66" s="802" t="s">
        <v>747</v>
      </c>
      <c r="I66" s="322">
        <f>+I67+I89</f>
        <v>160.18436239267879</v>
      </c>
      <c r="J66" s="323">
        <f t="shared" si="147"/>
        <v>145.45017921138881</v>
      </c>
      <c r="K66" s="322">
        <f>+K67+K89</f>
        <v>160.24588093265663</v>
      </c>
      <c r="L66" s="323">
        <f t="shared" ref="L66" si="184">L17/1000/24/L$3</f>
        <v>152.76352936169351</v>
      </c>
      <c r="M66" s="923">
        <f t="shared" si="149"/>
        <v>160.21562591299539</v>
      </c>
      <c r="N66" s="923">
        <f t="shared" si="149"/>
        <v>149.16679977957645</v>
      </c>
      <c r="O66" s="322">
        <f>+O67+O89</f>
        <v>160.17683235758588</v>
      </c>
      <c r="P66" s="323">
        <f t="shared" si="150"/>
        <v>157.02181340416649</v>
      </c>
      <c r="Q66" s="924">
        <f t="shared" si="151"/>
        <v>160.20283682879446</v>
      </c>
      <c r="R66" s="924">
        <f t="shared" si="151"/>
        <v>151.75636471075998</v>
      </c>
      <c r="S66" s="322">
        <f>+S67+S89</f>
        <v>158.99369246528286</v>
      </c>
      <c r="T66" s="323">
        <f t="shared" si="152"/>
        <v>158.23784109274203</v>
      </c>
      <c r="U66" s="923">
        <f t="shared" si="153"/>
        <v>159.89559522823004</v>
      </c>
      <c r="V66" s="923">
        <f t="shared" si="153"/>
        <v>153.40329723405051</v>
      </c>
      <c r="W66" s="322">
        <f>+W67+W89</f>
        <v>158.99369246528286</v>
      </c>
      <c r="X66" s="323">
        <f t="shared" si="154"/>
        <v>154.19677674462358</v>
      </c>
      <c r="Y66" s="923">
        <f t="shared" si="155"/>
        <v>159.71285675992047</v>
      </c>
      <c r="Z66" s="923">
        <f t="shared" si="155"/>
        <v>153.56406759240193</v>
      </c>
      <c r="AA66" s="322">
        <f>+AA67+AA89</f>
        <v>112.70643208228404</v>
      </c>
      <c r="AB66" s="323">
        <f t="shared" si="156"/>
        <v>155.99015324444443</v>
      </c>
      <c r="AC66" s="924">
        <f t="shared" si="181"/>
        <v>143.9000206012615</v>
      </c>
      <c r="AD66" s="924">
        <f t="shared" si="181"/>
        <v>156.14323641621377</v>
      </c>
      <c r="AE66" s="925">
        <f t="shared" si="181"/>
        <v>152.00688550129155</v>
      </c>
      <c r="AF66" s="925">
        <f t="shared" si="181"/>
        <v>153.96178655175314</v>
      </c>
      <c r="AG66" s="322">
        <f>+AG67+AG89</f>
        <v>159.95312396196638</v>
      </c>
      <c r="AH66" s="323">
        <f t="shared" si="158"/>
        <v>137.38247992338717</v>
      </c>
      <c r="AI66" s="923">
        <f t="shared" si="159"/>
        <v>153.15797611942671</v>
      </c>
      <c r="AJ66" s="923">
        <f t="shared" si="159"/>
        <v>151.56011129250385</v>
      </c>
      <c r="AK66" s="322">
        <f>+AK67+AK89</f>
        <v>160.6521911820563</v>
      </c>
      <c r="AL66" s="323">
        <f t="shared" si="160"/>
        <v>153.36190515416686</v>
      </c>
      <c r="AM66" s="923">
        <f t="shared" si="161"/>
        <v>154.07939600417623</v>
      </c>
      <c r="AN66" s="923">
        <f t="shared" si="161"/>
        <v>151.78164332467554</v>
      </c>
      <c r="AO66" s="322">
        <f>+AO67+AO89</f>
        <v>160.63767893483231</v>
      </c>
      <c r="AP66" s="323">
        <f t="shared" si="162"/>
        <v>150.40169397849439</v>
      </c>
      <c r="AQ66" s="924">
        <f t="shared" si="182"/>
        <v>160.41174592676575</v>
      </c>
      <c r="AR66" s="924">
        <f t="shared" si="182"/>
        <v>146.98007114764496</v>
      </c>
      <c r="AS66" s="923">
        <f t="shared" si="182"/>
        <v>154.81869335272293</v>
      </c>
      <c r="AT66" s="923">
        <f t="shared" si="182"/>
        <v>151.62608539837876</v>
      </c>
      <c r="AU66" s="322">
        <f>+AU67+AU89</f>
        <v>161.59367150932485</v>
      </c>
      <c r="AV66" s="323">
        <f t="shared" si="164"/>
        <v>151.47652265188177</v>
      </c>
      <c r="AW66" s="923">
        <f t="shared" si="165"/>
        <v>155.50504734898001</v>
      </c>
      <c r="AX66" s="923">
        <f t="shared" si="165"/>
        <v>151.61093361687088</v>
      </c>
      <c r="AY66" s="322">
        <f>+AY67+AY89</f>
        <v>160.94219944404304</v>
      </c>
      <c r="AZ66" s="323">
        <f t="shared" si="166"/>
        <v>148.82231454613097</v>
      </c>
      <c r="BA66" s="923">
        <f t="shared" si="167"/>
        <v>155.96085650664998</v>
      </c>
      <c r="BB66" s="923">
        <f t="shared" si="167"/>
        <v>151.37715716782682</v>
      </c>
      <c r="BC66" s="322">
        <f>+BC67+BC89</f>
        <v>161.76264794652093</v>
      </c>
      <c r="BD66" s="323">
        <f t="shared" si="183"/>
        <v>153.05903188037632</v>
      </c>
      <c r="BE66" s="924">
        <f t="shared" si="183"/>
        <v>161.44919430627138</v>
      </c>
      <c r="BF66" s="924">
        <f t="shared" si="183"/>
        <v>151.19585553101854</v>
      </c>
      <c r="BG66" s="925">
        <f t="shared" si="183"/>
        <v>160.92476985069709</v>
      </c>
      <c r="BH66" s="925">
        <f t="shared" si="183"/>
        <v>149.06479968887365</v>
      </c>
      <c r="BI66" s="923">
        <f t="shared" si="183"/>
        <v>156.45361139606365</v>
      </c>
      <c r="BJ66" s="923">
        <f t="shared" si="183"/>
        <v>151.52000132149544</v>
      </c>
      <c r="BK66" s="1202"/>
      <c r="BL66" s="1202"/>
      <c r="BM66" s="1202"/>
      <c r="BN66" s="1202"/>
      <c r="BO66" s="1202"/>
    </row>
    <row r="67" spans="1:67" ht="15.6" x14ac:dyDescent="0.3">
      <c r="A67" s="276"/>
      <c r="B67" s="22" t="s">
        <v>723</v>
      </c>
      <c r="C67" s="13" t="s">
        <v>381</v>
      </c>
      <c r="D67" s="310">
        <f t="shared" si="175"/>
        <v>22.231472222222227</v>
      </c>
      <c r="E67" s="310">
        <f t="shared" si="175"/>
        <v>22.708427419354837</v>
      </c>
      <c r="G67" s="914">
        <v>4.0999999999999996</v>
      </c>
      <c r="H67" s="803" t="s">
        <v>741</v>
      </c>
      <c r="I67" s="326">
        <f>I68+I84</f>
        <v>146.8593623926788</v>
      </c>
      <c r="J67" s="327">
        <f t="shared" si="147"/>
        <v>133.26093189379623</v>
      </c>
      <c r="K67" s="326">
        <f>K68+K84</f>
        <v>146.92088093265664</v>
      </c>
      <c r="L67" s="327">
        <f t="shared" ref="L67" si="185">L18/1000/24/L$3</f>
        <v>139.79950967396951</v>
      </c>
      <c r="M67" s="929">
        <f t="shared" si="149"/>
        <v>146.89062591299543</v>
      </c>
      <c r="N67" s="929">
        <f t="shared" si="149"/>
        <v>136.58381568372036</v>
      </c>
      <c r="O67" s="326">
        <f>O68+O84</f>
        <v>146.85183235758589</v>
      </c>
      <c r="P67" s="327">
        <f t="shared" si="150"/>
        <v>143.45282549074054</v>
      </c>
      <c r="Q67" s="1638">
        <f t="shared" si="151"/>
        <v>146.87783682879447</v>
      </c>
      <c r="R67" s="1638">
        <f t="shared" si="151"/>
        <v>138.84832441130945</v>
      </c>
      <c r="S67" s="326">
        <f>S68+S84</f>
        <v>145.66869246528287</v>
      </c>
      <c r="T67" s="327">
        <f t="shared" si="152"/>
        <v>144.7363386137994</v>
      </c>
      <c r="U67" s="929">
        <f t="shared" si="153"/>
        <v>146.57059522823005</v>
      </c>
      <c r="V67" s="929">
        <f t="shared" si="153"/>
        <v>140.34445916767984</v>
      </c>
      <c r="W67" s="326">
        <f>W68+W84</f>
        <v>145.66869246528287</v>
      </c>
      <c r="X67" s="327">
        <f t="shared" si="154"/>
        <v>140.93425017114683</v>
      </c>
      <c r="Y67" s="929">
        <f t="shared" si="155"/>
        <v>146.38785675992048</v>
      </c>
      <c r="Z67" s="929">
        <f t="shared" si="155"/>
        <v>140.46395930563719</v>
      </c>
      <c r="AA67" s="326">
        <f>AA68+AA84</f>
        <v>99.381432082284036</v>
      </c>
      <c r="AB67" s="327">
        <f t="shared" si="156"/>
        <v>142.56274418287032</v>
      </c>
      <c r="AC67" s="1638">
        <f t="shared" si="181"/>
        <v>130.57502060126154</v>
      </c>
      <c r="AD67" s="1638">
        <f t="shared" si="181"/>
        <v>142.74641932412439</v>
      </c>
      <c r="AE67" s="1637">
        <f t="shared" si="181"/>
        <v>138.68188550129156</v>
      </c>
      <c r="AF67" s="1637">
        <f t="shared" si="181"/>
        <v>140.8080224002656</v>
      </c>
      <c r="AG67" s="326">
        <f>AG68+AG84</f>
        <v>146.62812396196639</v>
      </c>
      <c r="AH67" s="327">
        <f t="shared" si="158"/>
        <v>125.38481260439076</v>
      </c>
      <c r="AI67" s="929">
        <f t="shared" si="159"/>
        <v>139.83297611942669</v>
      </c>
      <c r="AJ67" s="929">
        <f t="shared" si="159"/>
        <v>138.57381911207813</v>
      </c>
      <c r="AK67" s="326">
        <f>AK68+AK84</f>
        <v>147.32719118205631</v>
      </c>
      <c r="AL67" s="327">
        <f t="shared" si="160"/>
        <v>141.07192980185206</v>
      </c>
      <c r="AM67" s="929">
        <f t="shared" si="161"/>
        <v>140.75439600417624</v>
      </c>
      <c r="AN67" s="929">
        <f t="shared" si="161"/>
        <v>138.88096386901753</v>
      </c>
      <c r="AO67" s="326">
        <f>AO68+AO84</f>
        <v>147.31267893483232</v>
      </c>
      <c r="AP67" s="327">
        <f t="shared" si="162"/>
        <v>138.21630998252664</v>
      </c>
      <c r="AQ67" s="1638">
        <f t="shared" si="182"/>
        <v>147.08674592676576</v>
      </c>
      <c r="AR67" s="1638">
        <f t="shared" si="182"/>
        <v>134.82383363315222</v>
      </c>
      <c r="AS67" s="2521">
        <f t="shared" si="182"/>
        <v>141.49369335272294</v>
      </c>
      <c r="AT67" s="2521">
        <f t="shared" si="182"/>
        <v>138.80603924908581</v>
      </c>
      <c r="AU67" s="326">
        <f>AU68+AU84</f>
        <v>148.26867150932486</v>
      </c>
      <c r="AV67" s="327">
        <f t="shared" si="164"/>
        <v>139.5322966760753</v>
      </c>
      <c r="AW67" s="2521">
        <f t="shared" si="165"/>
        <v>142.18004734898</v>
      </c>
      <c r="AX67" s="2521">
        <f t="shared" si="165"/>
        <v>138.8796143478985</v>
      </c>
      <c r="AY67" s="326">
        <f>AY68+AY84</f>
        <v>147.61719944404305</v>
      </c>
      <c r="AZ67" s="327">
        <f t="shared" si="166"/>
        <v>137.95412011309523</v>
      </c>
      <c r="BA67" s="2521">
        <f t="shared" si="167"/>
        <v>142.63585650664996</v>
      </c>
      <c r="BB67" s="2521">
        <f t="shared" si="167"/>
        <v>138.80202800486109</v>
      </c>
      <c r="BC67" s="326">
        <f>BC68+BC84</f>
        <v>148.43764794652094</v>
      </c>
      <c r="BD67" s="327">
        <f t="shared" si="183"/>
        <v>141.46090231630825</v>
      </c>
      <c r="BE67" s="1638">
        <f t="shared" si="183"/>
        <v>148.12419430627139</v>
      </c>
      <c r="BF67" s="1638">
        <f t="shared" si="183"/>
        <v>139.7056059103395</v>
      </c>
      <c r="BG67" s="1637">
        <f t="shared" si="183"/>
        <v>147.5997698506971</v>
      </c>
      <c r="BH67" s="1637">
        <f t="shared" si="183"/>
        <v>137.23789684714592</v>
      </c>
      <c r="BI67" s="2521">
        <f t="shared" si="183"/>
        <v>143.12861139606366</v>
      </c>
      <c r="BJ67" s="2521">
        <f t="shared" si="183"/>
        <v>139.02785020665524</v>
      </c>
      <c r="BK67" s="1202"/>
      <c r="BL67" s="1202"/>
      <c r="BM67" s="1202"/>
      <c r="BN67" s="1202"/>
      <c r="BO67" s="1202"/>
    </row>
    <row r="68" spans="1:67" x14ac:dyDescent="0.3">
      <c r="A68" s="276"/>
      <c r="B68" s="22" t="s">
        <v>82</v>
      </c>
      <c r="C68" s="13" t="s">
        <v>381</v>
      </c>
      <c r="D68" s="310">
        <f t="shared" si="175"/>
        <v>1.3352222222222243</v>
      </c>
      <c r="E68" s="310">
        <f t="shared" si="175"/>
        <v>1.3534677419354828</v>
      </c>
      <c r="G68" s="915" t="s">
        <v>748</v>
      </c>
      <c r="H68" s="830" t="s">
        <v>720</v>
      </c>
      <c r="I68" s="328">
        <f>+SUM(I69:I82)</f>
        <v>144.33780905934546</v>
      </c>
      <c r="J68" s="329">
        <f t="shared" si="147"/>
        <v>131.23587909722215</v>
      </c>
      <c r="K68" s="328">
        <f>+SUM(K69:K82)</f>
        <v>144.3993275993233</v>
      </c>
      <c r="L68" s="329">
        <f t="shared" ref="L68" si="186">L19/1000/24/L$3</f>
        <v>137.53057478494623</v>
      </c>
      <c r="M68" s="930">
        <f t="shared" si="149"/>
        <v>144.36907257966206</v>
      </c>
      <c r="N68" s="930">
        <f t="shared" si="149"/>
        <v>134.434822807377</v>
      </c>
      <c r="O68" s="328">
        <f>+SUM(O69:O82)</f>
        <v>144.39850569091922</v>
      </c>
      <c r="P68" s="329">
        <f t="shared" si="150"/>
        <v>141.2380808888887</v>
      </c>
      <c r="Q68" s="931">
        <f t="shared" si="151"/>
        <v>144.37877580315345</v>
      </c>
      <c r="R68" s="931">
        <f t="shared" si="151"/>
        <v>136.6776551419413</v>
      </c>
      <c r="S68" s="328">
        <f>+SUM(S69:S82)</f>
        <v>143.2153657986162</v>
      </c>
      <c r="T68" s="329">
        <f t="shared" si="152"/>
        <v>142.56308795698934</v>
      </c>
      <c r="U68" s="930">
        <f t="shared" si="153"/>
        <v>144.08315522823003</v>
      </c>
      <c r="V68" s="930">
        <f t="shared" si="153"/>
        <v>138.17313397199447</v>
      </c>
      <c r="W68" s="328">
        <f>+SUM(W69:W82)</f>
        <v>143.2153657986162</v>
      </c>
      <c r="X68" s="329">
        <f t="shared" si="154"/>
        <v>138.82875287634397</v>
      </c>
      <c r="Y68" s="930">
        <f t="shared" si="155"/>
        <v>143.90732861177233</v>
      </c>
      <c r="Z68" s="930">
        <f t="shared" si="155"/>
        <v>138.30597178921562</v>
      </c>
      <c r="AA68" s="328">
        <f>+SUM(AA69:AA82)</f>
        <v>96.960513082284038</v>
      </c>
      <c r="AB68" s="329">
        <f t="shared" si="156"/>
        <v>140.3709321111111</v>
      </c>
      <c r="AC68" s="931">
        <f t="shared" si="181"/>
        <v>128.13226165198617</v>
      </c>
      <c r="AD68" s="931">
        <f t="shared" si="181"/>
        <v>140.58994596920292</v>
      </c>
      <c r="AE68" s="932">
        <f t="shared" si="181"/>
        <v>136.21112934464313</v>
      </c>
      <c r="AF68" s="932">
        <f t="shared" si="181"/>
        <v>138.64448987477226</v>
      </c>
      <c r="AG68" s="328">
        <f>+SUM(AG69:AG82)</f>
        <v>144.17479729529973</v>
      </c>
      <c r="AH68" s="329">
        <f t="shared" si="158"/>
        <v>123.25544502688182</v>
      </c>
      <c r="AI68" s="930">
        <f t="shared" si="159"/>
        <v>137.36474479543915</v>
      </c>
      <c r="AJ68" s="930">
        <f t="shared" si="159"/>
        <v>136.41523571456383</v>
      </c>
      <c r="AK68" s="328">
        <f>+SUM(AK69:AK82)</f>
        <v>144.87386451538964</v>
      </c>
      <c r="AL68" s="329">
        <f t="shared" si="160"/>
        <v>138.86092833333353</v>
      </c>
      <c r="AM68" s="930">
        <f t="shared" si="161"/>
        <v>138.28799722002324</v>
      </c>
      <c r="AN68" s="930">
        <f t="shared" si="161"/>
        <v>136.71593562670762</v>
      </c>
      <c r="AO68" s="328">
        <f>+SUM(AO69:AO82)</f>
        <v>144.85935226816565</v>
      </c>
      <c r="AP68" s="329">
        <f t="shared" si="162"/>
        <v>136.09950053763419</v>
      </c>
      <c r="AQ68" s="931">
        <f t="shared" si="182"/>
        <v>144.63341926009906</v>
      </c>
      <c r="AR68" s="931">
        <f t="shared" si="182"/>
        <v>132.67207785326087</v>
      </c>
      <c r="AS68" s="930">
        <f t="shared" si="182"/>
        <v>139.02876815272293</v>
      </c>
      <c r="AT68" s="930">
        <f t="shared" si="182"/>
        <v>136.64644658030298</v>
      </c>
      <c r="AU68" s="328">
        <f>+SUM(AU69:AU82)</f>
        <v>145.81534484265819</v>
      </c>
      <c r="AV68" s="329">
        <f t="shared" si="164"/>
        <v>137.40327688172047</v>
      </c>
      <c r="AW68" s="930">
        <f t="shared" si="165"/>
        <v>139.71629716379479</v>
      </c>
      <c r="AX68" s="930">
        <f t="shared" si="165"/>
        <v>136.72311893110017</v>
      </c>
      <c r="AY68" s="328">
        <f>+SUM(AY69:AY82)</f>
        <v>145.16387277737638</v>
      </c>
      <c r="AZ68" s="329">
        <f t="shared" si="166"/>
        <v>136.01831770833334</v>
      </c>
      <c r="BA68" s="930">
        <f t="shared" si="167"/>
        <v>140.17298014936449</v>
      </c>
      <c r="BB68" s="930">
        <f t="shared" si="167"/>
        <v>136.66403379865267</v>
      </c>
      <c r="BC68" s="328">
        <f>+SUM(BC69:BC82)</f>
        <v>145.98432127985427</v>
      </c>
      <c r="BD68" s="329">
        <f t="shared" si="183"/>
        <v>139.52130456989249</v>
      </c>
      <c r="BE68" s="931">
        <f t="shared" si="183"/>
        <v>145.67086763960472</v>
      </c>
      <c r="BF68" s="931">
        <f t="shared" si="183"/>
        <v>137.70194356481483</v>
      </c>
      <c r="BG68" s="932">
        <f t="shared" si="183"/>
        <v>145.14644318403043</v>
      </c>
      <c r="BH68" s="932">
        <f t="shared" si="183"/>
        <v>135.15937408424907</v>
      </c>
      <c r="BI68" s="930">
        <f t="shared" si="183"/>
        <v>140.66654610839242</v>
      </c>
      <c r="BJ68" s="930">
        <f t="shared" si="183"/>
        <v>136.90670611073057</v>
      </c>
      <c r="BK68" s="1202"/>
      <c r="BL68" s="1202"/>
      <c r="BM68" s="1202"/>
      <c r="BN68" s="1202"/>
      <c r="BO68" s="1202"/>
    </row>
    <row r="69" spans="1:67" x14ac:dyDescent="0.3">
      <c r="A69" s="276"/>
      <c r="B69" s="22" t="s">
        <v>488</v>
      </c>
      <c r="C69" s="13" t="s">
        <v>381</v>
      </c>
      <c r="D69" s="310">
        <f t="shared" si="175"/>
        <v>5.1045138888889019</v>
      </c>
      <c r="E69" s="310">
        <f t="shared" si="175"/>
        <v>5.8832526881720257</v>
      </c>
      <c r="G69" s="904" t="s">
        <v>749</v>
      </c>
      <c r="H69" s="266" t="s">
        <v>721</v>
      </c>
      <c r="I69" s="324">
        <v>7.3162083750000004</v>
      </c>
      <c r="J69" s="325">
        <f t="shared" si="147"/>
        <v>7.1035774305555544</v>
      </c>
      <c r="K69" s="324">
        <v>7.3162083750000004</v>
      </c>
      <c r="L69" s="325">
        <f t="shared" ref="L69" si="187">L20/1000/24/L$3</f>
        <v>7.0301409139785012</v>
      </c>
      <c r="M69" s="926">
        <f t="shared" si="149"/>
        <v>7.3162083750000004</v>
      </c>
      <c r="N69" s="926">
        <f t="shared" si="149"/>
        <v>7.0662572336065601</v>
      </c>
      <c r="O69" s="324">
        <v>7.3162083750000004</v>
      </c>
      <c r="P69" s="325">
        <f t="shared" si="150"/>
        <v>6.9205679722222033</v>
      </c>
      <c r="Q69" s="927">
        <f t="shared" si="151"/>
        <v>7.3162083750000013</v>
      </c>
      <c r="R69" s="927">
        <f t="shared" si="151"/>
        <v>7.0182278067765518</v>
      </c>
      <c r="S69" s="324">
        <v>7.3162083750000004</v>
      </c>
      <c r="T69" s="325">
        <f t="shared" si="152"/>
        <v>6.9423149731182976</v>
      </c>
      <c r="U69" s="926">
        <f t="shared" si="153"/>
        <v>7.3162083750000004</v>
      </c>
      <c r="V69" s="926">
        <f t="shared" si="153"/>
        <v>6.9989384801912573</v>
      </c>
      <c r="W69" s="324">
        <v>7.3162083750000004</v>
      </c>
      <c r="X69" s="325">
        <f t="shared" si="154"/>
        <v>6.6769094086021372</v>
      </c>
      <c r="Y69" s="926">
        <f t="shared" si="155"/>
        <v>7.3162083749999995</v>
      </c>
      <c r="Z69" s="926">
        <f t="shared" si="155"/>
        <v>6.9336907598039197</v>
      </c>
      <c r="AA69" s="324">
        <v>6.9802600312499994</v>
      </c>
      <c r="AB69" s="325">
        <f t="shared" si="156"/>
        <v>6.5690066666666818</v>
      </c>
      <c r="AC69" s="927">
        <f t="shared" si="181"/>
        <v>7.206660002038042</v>
      </c>
      <c r="AD69" s="927">
        <f t="shared" si="181"/>
        <v>6.7311538677536307</v>
      </c>
      <c r="AE69" s="928">
        <f t="shared" si="181"/>
        <v>7.26113487602459</v>
      </c>
      <c r="AF69" s="928">
        <f t="shared" si="181"/>
        <v>6.8739064822404385</v>
      </c>
      <c r="AG69" s="324">
        <v>7.3162083750000004</v>
      </c>
      <c r="AH69" s="325">
        <f t="shared" si="158"/>
        <v>6.6832915322580568</v>
      </c>
      <c r="AI69" s="926">
        <f t="shared" si="159"/>
        <v>7.2691128127920575</v>
      </c>
      <c r="AJ69" s="926">
        <f t="shared" si="159"/>
        <v>6.8462940362149522</v>
      </c>
      <c r="AK69" s="324">
        <v>7.3162083750000004</v>
      </c>
      <c r="AL69" s="325">
        <f t="shared" si="160"/>
        <v>7.0700426388889159</v>
      </c>
      <c r="AM69" s="926">
        <f t="shared" si="161"/>
        <v>7.2749032507684435</v>
      </c>
      <c r="AN69" s="926">
        <f t="shared" si="161"/>
        <v>6.8738041103142109</v>
      </c>
      <c r="AO69" s="324">
        <v>7.3162083750000004</v>
      </c>
      <c r="AP69" s="325">
        <f t="shared" si="162"/>
        <v>6.989370967741916</v>
      </c>
      <c r="AQ69" s="927">
        <f t="shared" si="182"/>
        <v>7.3162083749999995</v>
      </c>
      <c r="AR69" s="927">
        <f t="shared" si="182"/>
        <v>6.9125414855072451</v>
      </c>
      <c r="AS69" s="926">
        <f t="shared" si="182"/>
        <v>7.2795594647727286</v>
      </c>
      <c r="AT69" s="926">
        <f t="shared" si="182"/>
        <v>6.8868316469696982</v>
      </c>
      <c r="AU69" s="324">
        <v>7.3162083750000004</v>
      </c>
      <c r="AV69" s="325">
        <f t="shared" si="164"/>
        <v>6.7313923387096626</v>
      </c>
      <c r="AW69" s="926">
        <f t="shared" si="165"/>
        <v>7.2832722628676496</v>
      </c>
      <c r="AX69" s="926">
        <f t="shared" si="165"/>
        <v>6.8710845275054471</v>
      </c>
      <c r="AY69" s="324">
        <v>7.3162083750000004</v>
      </c>
      <c r="AZ69" s="325">
        <f t="shared" si="166"/>
        <v>6.9204610119047834</v>
      </c>
      <c r="BA69" s="926">
        <f t="shared" si="167"/>
        <v>7.286033374064373</v>
      </c>
      <c r="BB69" s="926">
        <f t="shared" si="167"/>
        <v>6.8752238735029945</v>
      </c>
      <c r="BC69" s="324">
        <v>7.3162083750000004</v>
      </c>
      <c r="BD69" s="325">
        <f t="shared" si="183"/>
        <v>6.7509587365591335</v>
      </c>
      <c r="BE69" s="927">
        <f t="shared" si="183"/>
        <v>7.3162083750000004</v>
      </c>
      <c r="BF69" s="927">
        <f t="shared" si="183"/>
        <v>6.7969532407407405</v>
      </c>
      <c r="BG69" s="928">
        <f t="shared" si="183"/>
        <v>7.3162083750000004</v>
      </c>
      <c r="BH69" s="928">
        <f t="shared" si="183"/>
        <v>6.8553824633699625</v>
      </c>
      <c r="BI69" s="926">
        <f t="shared" si="183"/>
        <v>7.2885961823630154</v>
      </c>
      <c r="BJ69" s="926">
        <f t="shared" si="183"/>
        <v>6.8646698481735156</v>
      </c>
      <c r="BK69" s="1202"/>
      <c r="BL69" s="1202"/>
      <c r="BM69" s="1202"/>
      <c r="BN69" s="1202"/>
      <c r="BO69" s="1202"/>
    </row>
    <row r="70" spans="1:67" x14ac:dyDescent="0.3">
      <c r="A70" s="276"/>
      <c r="B70" s="22" t="s">
        <v>489</v>
      </c>
      <c r="C70" s="13" t="s">
        <v>381</v>
      </c>
      <c r="D70" s="310">
        <f t="shared" si="175"/>
        <v>2.9443194444444436</v>
      </c>
      <c r="E70" s="310">
        <f t="shared" si="175"/>
        <v>6.5376075268817191</v>
      </c>
      <c r="G70" s="904" t="s">
        <v>750</v>
      </c>
      <c r="H70" s="266" t="s">
        <v>634</v>
      </c>
      <c r="I70" s="324">
        <v>2.9</v>
      </c>
      <c r="J70" s="325">
        <f t="shared" si="147"/>
        <v>2.6860277777777863</v>
      </c>
      <c r="K70" s="324">
        <v>2.9</v>
      </c>
      <c r="L70" s="325">
        <f t="shared" ref="L70" si="188">L21/1000/24/L$3</f>
        <v>2.762379032258059</v>
      </c>
      <c r="M70" s="926">
        <f t="shared" si="149"/>
        <v>2.9</v>
      </c>
      <c r="N70" s="926">
        <f t="shared" si="149"/>
        <v>2.7248292349726793</v>
      </c>
      <c r="O70" s="324">
        <v>2.9</v>
      </c>
      <c r="P70" s="325">
        <f t="shared" si="150"/>
        <v>2.9379444444444447</v>
      </c>
      <c r="Q70" s="927">
        <f t="shared" si="151"/>
        <v>2.9000000000000004</v>
      </c>
      <c r="R70" s="927">
        <f t="shared" si="151"/>
        <v>2.7950869963369973</v>
      </c>
      <c r="S70" s="324">
        <v>2.9</v>
      </c>
      <c r="T70" s="325">
        <f t="shared" si="152"/>
        <v>3.2699731182795664</v>
      </c>
      <c r="U70" s="926">
        <f t="shared" si="153"/>
        <v>2.9</v>
      </c>
      <c r="V70" s="926">
        <f t="shared" si="153"/>
        <v>2.9157547814207652</v>
      </c>
      <c r="W70" s="324">
        <v>2.9</v>
      </c>
      <c r="X70" s="325">
        <f t="shared" si="154"/>
        <v>3.131885752688178</v>
      </c>
      <c r="Y70" s="926">
        <f t="shared" si="155"/>
        <v>2.9</v>
      </c>
      <c r="Z70" s="926">
        <f t="shared" si="155"/>
        <v>2.9595460239651423</v>
      </c>
      <c r="AA70" s="324">
        <v>2.0099999999999998</v>
      </c>
      <c r="AB70" s="325">
        <f t="shared" si="156"/>
        <v>3.12839861111111</v>
      </c>
      <c r="AC70" s="927">
        <f t="shared" si="181"/>
        <v>2.6097826086956522</v>
      </c>
      <c r="AD70" s="927">
        <f t="shared" si="181"/>
        <v>3.1772780797101454</v>
      </c>
      <c r="AE70" s="928">
        <f t="shared" si="181"/>
        <v>2.7540983606557377</v>
      </c>
      <c r="AF70" s="928">
        <f t="shared" si="181"/>
        <v>2.9872267759562847</v>
      </c>
      <c r="AG70" s="324">
        <v>2.9</v>
      </c>
      <c r="AH70" s="325">
        <f t="shared" si="158"/>
        <v>2.8915591397849441</v>
      </c>
      <c r="AI70" s="926">
        <f t="shared" si="159"/>
        <v>2.7752336448598132</v>
      </c>
      <c r="AJ70" s="926">
        <f t="shared" si="159"/>
        <v>2.9733683800623054</v>
      </c>
      <c r="AK70" s="324">
        <v>2.9</v>
      </c>
      <c r="AL70" s="325">
        <f t="shared" si="160"/>
        <v>2.9910416666666664</v>
      </c>
      <c r="AM70" s="926">
        <f t="shared" si="161"/>
        <v>2.790573770491803</v>
      </c>
      <c r="AN70" s="926">
        <f t="shared" si="161"/>
        <v>2.9755413251366121</v>
      </c>
      <c r="AO70" s="324">
        <v>2.9</v>
      </c>
      <c r="AP70" s="325">
        <f t="shared" si="162"/>
        <v>2.9374327956989292</v>
      </c>
      <c r="AQ70" s="927">
        <f t="shared" si="182"/>
        <v>2.9</v>
      </c>
      <c r="AR70" s="927">
        <f t="shared" si="182"/>
        <v>2.9394565217391313</v>
      </c>
      <c r="AS70" s="926">
        <f t="shared" si="182"/>
        <v>2.802909090909091</v>
      </c>
      <c r="AT70" s="926">
        <f t="shared" si="182"/>
        <v>2.9712454545454552</v>
      </c>
      <c r="AU70" s="324">
        <v>2.9</v>
      </c>
      <c r="AV70" s="325">
        <f t="shared" si="164"/>
        <v>2.9492338709677419</v>
      </c>
      <c r="AW70" s="926">
        <f t="shared" si="165"/>
        <v>2.8127450980392155</v>
      </c>
      <c r="AX70" s="926">
        <f t="shared" si="165"/>
        <v>2.9690155228758175</v>
      </c>
      <c r="AY70" s="324">
        <v>2.9</v>
      </c>
      <c r="AZ70" s="325">
        <f t="shared" si="166"/>
        <v>2.7929166666666689</v>
      </c>
      <c r="BA70" s="926">
        <f t="shared" si="167"/>
        <v>2.8200598802395209</v>
      </c>
      <c r="BB70" s="926">
        <f t="shared" si="167"/>
        <v>2.9542527445109785</v>
      </c>
      <c r="BC70" s="324">
        <v>2.9</v>
      </c>
      <c r="BD70" s="325">
        <f t="shared" si="183"/>
        <v>2.8405241935483865</v>
      </c>
      <c r="BE70" s="927">
        <f t="shared" si="183"/>
        <v>2.9</v>
      </c>
      <c r="BF70" s="927">
        <f t="shared" si="183"/>
        <v>2.863157407407408</v>
      </c>
      <c r="BG70" s="928">
        <f t="shared" si="183"/>
        <v>2.9000000000000004</v>
      </c>
      <c r="BH70" s="928">
        <f t="shared" si="183"/>
        <v>2.9017261904761913</v>
      </c>
      <c r="BI70" s="926">
        <f t="shared" si="183"/>
        <v>2.8268493150684932</v>
      </c>
      <c r="BJ70" s="926">
        <f t="shared" si="183"/>
        <v>2.9445936073059364</v>
      </c>
      <c r="BK70" s="1202"/>
      <c r="BL70" s="1202"/>
      <c r="BM70" s="1202"/>
      <c r="BN70" s="1202"/>
      <c r="BO70" s="1202"/>
    </row>
    <row r="71" spans="1:67" x14ac:dyDescent="0.3">
      <c r="A71" s="276"/>
      <c r="B71" s="22" t="s">
        <v>490</v>
      </c>
      <c r="C71" s="13" t="s">
        <v>381</v>
      </c>
      <c r="D71" s="310">
        <f t="shared" si="175"/>
        <v>0.58881527777777698</v>
      </c>
      <c r="E71" s="310">
        <f t="shared" si="175"/>
        <v>0.73001344086021558</v>
      </c>
      <c r="G71" s="904" t="s">
        <v>751</v>
      </c>
      <c r="H71" s="266" t="s">
        <v>487</v>
      </c>
      <c r="I71" s="324">
        <v>15.992662885530034</v>
      </c>
      <c r="J71" s="325">
        <f t="shared" si="147"/>
        <v>13.449930555555529</v>
      </c>
      <c r="K71" s="324">
        <v>15.941694790989782</v>
      </c>
      <c r="L71" s="325">
        <f t="shared" ref="L71" si="189">L22/1000/24/L$3</f>
        <v>14.965631720430101</v>
      </c>
      <c r="M71" s="926">
        <f t="shared" si="149"/>
        <v>15.966761066993184</v>
      </c>
      <c r="N71" s="926">
        <f t="shared" si="149"/>
        <v>14.220204918032772</v>
      </c>
      <c r="O71" s="324">
        <v>15.992662885530034</v>
      </c>
      <c r="P71" s="325">
        <f t="shared" si="150"/>
        <v>16.30136111111111</v>
      </c>
      <c r="Q71" s="927">
        <f t="shared" si="151"/>
        <v>15.975300128049289</v>
      </c>
      <c r="R71" s="927">
        <f t="shared" si="151"/>
        <v>14.906300366300357</v>
      </c>
      <c r="S71" s="324">
        <v>15.651117130611107</v>
      </c>
      <c r="T71" s="325">
        <f t="shared" si="152"/>
        <v>16.737795698924728</v>
      </c>
      <c r="U71" s="926">
        <f t="shared" si="153"/>
        <v>15.892925759847786</v>
      </c>
      <c r="V71" s="926">
        <f t="shared" si="153"/>
        <v>15.371680327868845</v>
      </c>
      <c r="W71" s="324">
        <v>15.651117130611107</v>
      </c>
      <c r="X71" s="325">
        <f t="shared" si="154"/>
        <v>16.700591397849465</v>
      </c>
      <c r="Y71" s="926">
        <f t="shared" si="155"/>
        <v>15.843931854577608</v>
      </c>
      <c r="Z71" s="926">
        <f t="shared" si="155"/>
        <v>15.640936819172106</v>
      </c>
      <c r="AA71" s="324">
        <v>8.9230073067615141</v>
      </c>
      <c r="AB71" s="325">
        <f t="shared" si="156"/>
        <v>17.088652777777774</v>
      </c>
      <c r="AC71" s="927">
        <f t="shared" si="181"/>
        <v>13.457168275007978</v>
      </c>
      <c r="AD71" s="927">
        <f t="shared" si="181"/>
        <v>16.83966938405797</v>
      </c>
      <c r="AE71" s="928">
        <f t="shared" si="181"/>
        <v>14.709354059853659</v>
      </c>
      <c r="AF71" s="928">
        <f t="shared" si="181"/>
        <v>15.87826730418943</v>
      </c>
      <c r="AG71" s="324">
        <v>15.941694790989782</v>
      </c>
      <c r="AH71" s="325">
        <f t="shared" si="158"/>
        <v>13.875201612903222</v>
      </c>
      <c r="AI71" s="926">
        <f t="shared" si="159"/>
        <v>14.887870707821975</v>
      </c>
      <c r="AJ71" s="926">
        <f t="shared" si="159"/>
        <v>15.588103582554512</v>
      </c>
      <c r="AK71" s="324">
        <v>16.164538552131766</v>
      </c>
      <c r="AL71" s="325">
        <f t="shared" si="160"/>
        <v>16.331083333333346</v>
      </c>
      <c r="AM71" s="926">
        <f t="shared" si="161"/>
        <v>15.044838065728916</v>
      </c>
      <c r="AN71" s="926">
        <f t="shared" si="161"/>
        <v>15.679453551912568</v>
      </c>
      <c r="AO71" s="324">
        <v>16.10802608124952</v>
      </c>
      <c r="AP71" s="325">
        <f t="shared" si="162"/>
        <v>14.230940860215044</v>
      </c>
      <c r="AQ71" s="927">
        <f t="shared" si="182"/>
        <v>16.070407647862734</v>
      </c>
      <c r="AR71" s="927">
        <f t="shared" si="182"/>
        <v>14.795901268115941</v>
      </c>
      <c r="AS71" s="926">
        <f t="shared" si="182"/>
        <v>15.164688351114876</v>
      </c>
      <c r="AT71" s="926">
        <f t="shared" si="182"/>
        <v>15.516166666666663</v>
      </c>
      <c r="AU71" s="324">
        <v>16.17415691929272</v>
      </c>
      <c r="AV71" s="325">
        <f t="shared" si="164"/>
        <v>15.903696236559147</v>
      </c>
      <c r="AW71" s="926">
        <f t="shared" si="165"/>
        <v>15.266954774688449</v>
      </c>
      <c r="AX71" s="926">
        <f t="shared" si="165"/>
        <v>15.555426198257077</v>
      </c>
      <c r="AY71" s="324">
        <v>16.105520809154871</v>
      </c>
      <c r="AZ71" s="325">
        <f t="shared" si="166"/>
        <v>15.470639880952382</v>
      </c>
      <c r="BA71" s="926">
        <f t="shared" si="167"/>
        <v>15.337253723685633</v>
      </c>
      <c r="BB71" s="926">
        <f t="shared" si="167"/>
        <v>15.548318363273447</v>
      </c>
      <c r="BC71" s="324">
        <v>16.17415691929272</v>
      </c>
      <c r="BD71" s="325">
        <f t="shared" si="183"/>
        <v>16.382150537634406</v>
      </c>
      <c r="BE71" s="927">
        <f t="shared" si="183"/>
        <v>16.152803462805391</v>
      </c>
      <c r="BF71" s="927">
        <f t="shared" si="183"/>
        <v>15.933768518518519</v>
      </c>
      <c r="BG71" s="928">
        <f t="shared" si="183"/>
        <v>16.111152831076133</v>
      </c>
      <c r="BH71" s="928">
        <f t="shared" si="183"/>
        <v>15.358582875457873</v>
      </c>
      <c r="BI71" s="926">
        <f t="shared" si="183"/>
        <v>15.408333173175553</v>
      </c>
      <c r="BJ71" s="926">
        <f t="shared" si="183"/>
        <v>15.619136986301363</v>
      </c>
      <c r="BK71" s="1202"/>
      <c r="BL71" s="1202"/>
      <c r="BM71" s="1202"/>
      <c r="BN71" s="1202"/>
      <c r="BO71" s="1202"/>
    </row>
    <row r="72" spans="1:67" x14ac:dyDescent="0.3">
      <c r="A72" s="276"/>
      <c r="B72" s="22" t="s">
        <v>756</v>
      </c>
      <c r="C72" s="13" t="s">
        <v>381</v>
      </c>
      <c r="D72" s="310">
        <f t="shared" si="175"/>
        <v>0.52588749999999995</v>
      </c>
      <c r="E72" s="310">
        <f t="shared" si="175"/>
        <v>0.51527553763440859</v>
      </c>
      <c r="G72" s="904" t="s">
        <v>752</v>
      </c>
      <c r="H72" s="266" t="s">
        <v>722</v>
      </c>
      <c r="I72" s="324">
        <v>16.451903063243073</v>
      </c>
      <c r="J72" s="325">
        <f t="shared" si="147"/>
        <v>14.207894444444459</v>
      </c>
      <c r="K72" s="324">
        <v>16.426631322746537</v>
      </c>
      <c r="L72" s="325">
        <f t="shared" ref="L72" si="190">L23/1000/24/L$3</f>
        <v>16.34689247311827</v>
      </c>
      <c r="M72" s="926">
        <f t="shared" si="149"/>
        <v>16.439060047580902</v>
      </c>
      <c r="N72" s="926">
        <f t="shared" si="149"/>
        <v>15.294926229508196</v>
      </c>
      <c r="O72" s="324">
        <v>16.451903063243073</v>
      </c>
      <c r="P72" s="325">
        <f t="shared" si="150"/>
        <v>17.101988888888897</v>
      </c>
      <c r="Q72" s="927">
        <f t="shared" si="151"/>
        <v>16.443294008788214</v>
      </c>
      <c r="R72" s="927">
        <f t="shared" si="151"/>
        <v>15.890661172161174</v>
      </c>
      <c r="S72" s="324">
        <v>16.110734566539875</v>
      </c>
      <c r="T72" s="325">
        <f t="shared" si="152"/>
        <v>17.027599462365529</v>
      </c>
      <c r="U72" s="926">
        <f t="shared" si="153"/>
        <v>16.358791199692323</v>
      </c>
      <c r="V72" s="926">
        <f t="shared" si="153"/>
        <v>16.17955532786884</v>
      </c>
      <c r="W72" s="324">
        <v>16.110734566539875</v>
      </c>
      <c r="X72" s="325">
        <f t="shared" si="154"/>
        <v>16.666750000000054</v>
      </c>
      <c r="Y72" s="926">
        <f t="shared" si="155"/>
        <v>16.308531358988233</v>
      </c>
      <c r="Z72" s="926">
        <f t="shared" si="155"/>
        <v>16.278267973856209</v>
      </c>
      <c r="AA72" s="324">
        <v>11.769946146246152</v>
      </c>
      <c r="AB72" s="325">
        <f t="shared" si="156"/>
        <v>17.000072222222219</v>
      </c>
      <c r="AC72" s="927">
        <f t="shared" si="181"/>
        <v>14.695260081661488</v>
      </c>
      <c r="AD72" s="927">
        <f t="shared" si="181"/>
        <v>16.89703260869565</v>
      </c>
      <c r="AE72" s="928">
        <f t="shared" si="181"/>
        <v>15.564500996243629</v>
      </c>
      <c r="AF72" s="928">
        <f t="shared" si="181"/>
        <v>16.396596539162111</v>
      </c>
      <c r="AG72" s="324">
        <v>16.426631322746537</v>
      </c>
      <c r="AH72" s="325">
        <f t="shared" si="158"/>
        <v>15.03148655913976</v>
      </c>
      <c r="AI72" s="926">
        <f t="shared" si="159"/>
        <v>15.689389034194985</v>
      </c>
      <c r="AJ72" s="926">
        <f t="shared" si="159"/>
        <v>16.19884696261682</v>
      </c>
      <c r="AK72" s="324">
        <v>16.451903063243073</v>
      </c>
      <c r="AL72" s="325">
        <f t="shared" si="160"/>
        <v>17.116591666666707</v>
      </c>
      <c r="AM72" s="926">
        <f t="shared" si="161"/>
        <v>15.783140759077947</v>
      </c>
      <c r="AN72" s="926">
        <f t="shared" si="161"/>
        <v>16.311684426229512</v>
      </c>
      <c r="AO72" s="324">
        <v>16.426631322746537</v>
      </c>
      <c r="AP72" s="325">
        <f t="shared" si="162"/>
        <v>16.179258064516105</v>
      </c>
      <c r="AQ72" s="927">
        <f t="shared" si="182"/>
        <v>16.434872107691064</v>
      </c>
      <c r="AR72" s="927">
        <f t="shared" si="182"/>
        <v>16.098161231884056</v>
      </c>
      <c r="AS72" s="926">
        <f t="shared" si="182"/>
        <v>15.855679695346041</v>
      </c>
      <c r="AT72" s="926">
        <f t="shared" si="182"/>
        <v>16.296756363636366</v>
      </c>
      <c r="AU72" s="324">
        <v>16.679348727711869</v>
      </c>
      <c r="AV72" s="325">
        <f t="shared" si="164"/>
        <v>16.072615591397863</v>
      </c>
      <c r="AW72" s="926">
        <f t="shared" si="165"/>
        <v>15.939123290128203</v>
      </c>
      <c r="AX72" s="926">
        <f t="shared" si="165"/>
        <v>16.274049291939001</v>
      </c>
      <c r="AY72" s="324">
        <v>16.50786191719968</v>
      </c>
      <c r="AZ72" s="325">
        <f t="shared" si="166"/>
        <v>16.044095238095249</v>
      </c>
      <c r="BA72" s="926">
        <f t="shared" si="167"/>
        <v>15.986801977427607</v>
      </c>
      <c r="BB72" s="926">
        <f t="shared" si="167"/>
        <v>16.25477170658683</v>
      </c>
      <c r="BC72" s="324">
        <v>16.679348727711869</v>
      </c>
      <c r="BD72" s="325">
        <f t="shared" si="183"/>
        <v>15.942311827956964</v>
      </c>
      <c r="BE72" s="927">
        <f t="shared" si="183"/>
        <v>16.625997275552525</v>
      </c>
      <c r="BF72" s="927">
        <f t="shared" si="183"/>
        <v>16.018860185185186</v>
      </c>
      <c r="BG72" s="928">
        <f t="shared" si="183"/>
        <v>16.529384553336836</v>
      </c>
      <c r="BH72" s="928">
        <f t="shared" si="183"/>
        <v>16.058946428571428</v>
      </c>
      <c r="BI72" s="926">
        <f t="shared" si="183"/>
        <v>16.045621016492845</v>
      </c>
      <c r="BJ72" s="926">
        <f t="shared" si="183"/>
        <v>16.228234018264839</v>
      </c>
      <c r="BK72" s="1202"/>
      <c r="BL72" s="1202"/>
      <c r="BM72" s="1202"/>
      <c r="BN72" s="1202"/>
      <c r="BO72" s="1202"/>
    </row>
    <row r="73" spans="1:67" x14ac:dyDescent="0.3">
      <c r="A73" s="276"/>
      <c r="B73" s="22" t="s">
        <v>758</v>
      </c>
      <c r="C73" s="13" t="s">
        <v>381</v>
      </c>
      <c r="D73" s="310">
        <f t="shared" si="175"/>
        <v>7.5123108333333333</v>
      </c>
      <c r="E73" s="310">
        <f t="shared" si="175"/>
        <v>7.5122983870967737</v>
      </c>
      <c r="G73" s="904" t="s">
        <v>753</v>
      </c>
      <c r="H73" s="266" t="s">
        <v>723</v>
      </c>
      <c r="I73" s="324">
        <v>29.968130311614729</v>
      </c>
      <c r="J73" s="325">
        <f t="shared" si="147"/>
        <v>26.572722222222232</v>
      </c>
      <c r="K73" s="324">
        <v>29.92539624518972</v>
      </c>
      <c r="L73" s="325">
        <f t="shared" ref="L73" si="191">L24/1000/24/L$3</f>
        <v>28.031344086021509</v>
      </c>
      <c r="M73" s="926">
        <f t="shared" si="149"/>
        <v>29.946412999169226</v>
      </c>
      <c r="N73" s="926">
        <f t="shared" si="149"/>
        <v>27.313989071038261</v>
      </c>
      <c r="O73" s="324">
        <v>29.968130311614729</v>
      </c>
      <c r="P73" s="325">
        <f t="shared" si="150"/>
        <v>27.583430555555555</v>
      </c>
      <c r="Q73" s="927">
        <f t="shared" si="151"/>
        <v>29.953572552722694</v>
      </c>
      <c r="R73" s="927">
        <f t="shared" si="151"/>
        <v>27.402815934065938</v>
      </c>
      <c r="S73" s="324">
        <v>29.347908861067957</v>
      </c>
      <c r="T73" s="325">
        <f t="shared" si="152"/>
        <v>27.436129032258052</v>
      </c>
      <c r="U73" s="926">
        <f t="shared" si="153"/>
        <v>29.79967440156452</v>
      </c>
      <c r="V73" s="926">
        <f t="shared" si="153"/>
        <v>27.411280737704917</v>
      </c>
      <c r="W73" s="324">
        <v>29.347908861067957</v>
      </c>
      <c r="X73" s="325">
        <f t="shared" si="154"/>
        <v>26.852130376344096</v>
      </c>
      <c r="Y73" s="926">
        <f t="shared" si="155"/>
        <v>29.708140207084824</v>
      </c>
      <c r="Z73" s="926">
        <f t="shared" si="155"/>
        <v>27.297988834422657</v>
      </c>
      <c r="AA73" s="324">
        <v>16.964974819011644</v>
      </c>
      <c r="AB73" s="325">
        <f t="shared" si="156"/>
        <v>26.493749999999999</v>
      </c>
      <c r="AC73" s="927">
        <f t="shared" si="181"/>
        <v>25.30999558648438</v>
      </c>
      <c r="AD73" s="927">
        <f t="shared" si="181"/>
        <v>26.932049365942024</v>
      </c>
      <c r="AE73" s="928">
        <f t="shared" si="181"/>
        <v>27.619096700843318</v>
      </c>
      <c r="AF73" s="928">
        <f t="shared" si="181"/>
        <v>27.16614640255009</v>
      </c>
      <c r="AG73" s="324">
        <v>29.92539624518972</v>
      </c>
      <c r="AH73" s="325">
        <f t="shared" si="158"/>
        <v>23.038266129032248</v>
      </c>
      <c r="AI73" s="926">
        <f t="shared" si="159"/>
        <v>27.953186821753317</v>
      </c>
      <c r="AJ73" s="926">
        <f t="shared" si="159"/>
        <v>26.568182437694702</v>
      </c>
      <c r="AK73" s="324">
        <v>29.968130311614729</v>
      </c>
      <c r="AL73" s="325">
        <f t="shared" si="160"/>
        <v>27.874986111111113</v>
      </c>
      <c r="AM73" s="926">
        <f t="shared" si="161"/>
        <v>28.200925775424803</v>
      </c>
      <c r="AN73" s="926">
        <f t="shared" si="161"/>
        <v>26.728855020491803</v>
      </c>
      <c r="AO73" s="324">
        <v>29.92539624518972</v>
      </c>
      <c r="AP73" s="325">
        <f t="shared" si="162"/>
        <v>27.278158602150555</v>
      </c>
      <c r="AQ73" s="927">
        <f t="shared" si="182"/>
        <v>29.93933126685004</v>
      </c>
      <c r="AR73" s="927">
        <f t="shared" si="182"/>
        <v>26.044116847826089</v>
      </c>
      <c r="AS73" s="926">
        <f t="shared" si="182"/>
        <v>28.395320628380119</v>
      </c>
      <c r="AT73" s="926">
        <f t="shared" si="182"/>
        <v>26.790776515151517</v>
      </c>
      <c r="AU73" s="324">
        <v>30.387386152487132</v>
      </c>
      <c r="AV73" s="325">
        <f t="shared" si="164"/>
        <v>27.297715053763447</v>
      </c>
      <c r="AW73" s="926">
        <f t="shared" si="165"/>
        <v>28.597131188011872</v>
      </c>
      <c r="AX73" s="926">
        <f t="shared" si="165"/>
        <v>26.842133033769066</v>
      </c>
      <c r="AY73" s="324">
        <v>30.062755744412971</v>
      </c>
      <c r="AZ73" s="325">
        <f t="shared" si="166"/>
        <v>25.534791666666656</v>
      </c>
      <c r="BA73" s="926">
        <f t="shared" si="167"/>
        <v>28.71999791729101</v>
      </c>
      <c r="BB73" s="926">
        <f t="shared" si="167"/>
        <v>26.73253555389222</v>
      </c>
      <c r="BC73" s="324">
        <v>30.387386152487132</v>
      </c>
      <c r="BD73" s="325">
        <f t="shared" si="183"/>
        <v>28.357244623655916</v>
      </c>
      <c r="BE73" s="927">
        <f t="shared" si="183"/>
        <v>30.286390025530729</v>
      </c>
      <c r="BF73" s="927">
        <f t="shared" si="183"/>
        <v>27.114199074074072</v>
      </c>
      <c r="BG73" s="928">
        <f t="shared" si="183"/>
        <v>30.110953729933904</v>
      </c>
      <c r="BH73" s="928">
        <f t="shared" si="183"/>
        <v>26.573278388278389</v>
      </c>
      <c r="BI73" s="926">
        <f t="shared" si="183"/>
        <v>28.861611712609037</v>
      </c>
      <c r="BJ73" s="926">
        <f t="shared" si="183"/>
        <v>26.870524543378998</v>
      </c>
      <c r="BK73" s="1202"/>
      <c r="BL73" s="1202"/>
      <c r="BM73" s="1202"/>
      <c r="BN73" s="1202"/>
      <c r="BO73" s="1202"/>
    </row>
    <row r="74" spans="1:67" x14ac:dyDescent="0.3">
      <c r="A74" s="276"/>
      <c r="B74" s="22" t="s">
        <v>724</v>
      </c>
      <c r="C74" s="13" t="s">
        <v>381</v>
      </c>
      <c r="D74" s="310">
        <f t="shared" si="175"/>
        <v>34.170291666666692</v>
      </c>
      <c r="E74" s="310">
        <f t="shared" si="175"/>
        <v>33.882594086021491</v>
      </c>
      <c r="G74" s="904" t="s">
        <v>754</v>
      </c>
      <c r="H74" s="266" t="s">
        <v>82</v>
      </c>
      <c r="I74" s="324">
        <v>2</v>
      </c>
      <c r="J74" s="325">
        <f t="shared" si="147"/>
        <v>1.5971527777777765</v>
      </c>
      <c r="K74" s="324">
        <v>2</v>
      </c>
      <c r="L74" s="325">
        <f t="shared" ref="L74" si="192">L25/1000/24/L$3</f>
        <v>1.7266666666666661</v>
      </c>
      <c r="M74" s="926">
        <f t="shared" si="149"/>
        <v>2</v>
      </c>
      <c r="N74" s="926">
        <f t="shared" si="149"/>
        <v>1.662971311475409</v>
      </c>
      <c r="O74" s="324">
        <v>2</v>
      </c>
      <c r="P74" s="325">
        <f t="shared" si="150"/>
        <v>1.8484027777777736</v>
      </c>
      <c r="Q74" s="927">
        <f t="shared" si="151"/>
        <v>2</v>
      </c>
      <c r="R74" s="927">
        <f t="shared" si="151"/>
        <v>1.724102564102562</v>
      </c>
      <c r="S74" s="324">
        <v>2</v>
      </c>
      <c r="T74" s="325">
        <f t="shared" si="152"/>
        <v>1.578319892473123</v>
      </c>
      <c r="U74" s="926">
        <f t="shared" si="153"/>
        <v>2</v>
      </c>
      <c r="V74" s="926">
        <f t="shared" si="153"/>
        <v>1.687059426229508</v>
      </c>
      <c r="W74" s="324">
        <v>2</v>
      </c>
      <c r="X74" s="325">
        <f t="shared" si="154"/>
        <v>1.7245967741935484</v>
      </c>
      <c r="Y74" s="926">
        <f t="shared" si="155"/>
        <v>2</v>
      </c>
      <c r="Z74" s="926">
        <f t="shared" si="155"/>
        <v>1.6946650326797386</v>
      </c>
      <c r="AA74" s="324">
        <v>2</v>
      </c>
      <c r="AB74" s="325">
        <f t="shared" si="156"/>
        <v>1.7524305555555544</v>
      </c>
      <c r="AC74" s="927">
        <f t="shared" si="181"/>
        <v>2</v>
      </c>
      <c r="AD74" s="927">
        <f t="shared" si="181"/>
        <v>1.6843840579710159</v>
      </c>
      <c r="AE74" s="928">
        <f t="shared" si="181"/>
        <v>2</v>
      </c>
      <c r="AF74" s="928">
        <f t="shared" si="181"/>
        <v>1.7041347905282329</v>
      </c>
      <c r="AG74" s="324">
        <v>2</v>
      </c>
      <c r="AH74" s="325">
        <f t="shared" si="158"/>
        <v>1.3938844086021509</v>
      </c>
      <c r="AI74" s="926">
        <f t="shared" si="159"/>
        <v>2</v>
      </c>
      <c r="AJ74" s="926">
        <f t="shared" si="159"/>
        <v>1.6591919781931463</v>
      </c>
      <c r="AK74" s="324">
        <v>2</v>
      </c>
      <c r="AL74" s="325">
        <f t="shared" si="160"/>
        <v>1.6615972222222222</v>
      </c>
      <c r="AM74" s="926">
        <f t="shared" si="161"/>
        <v>2</v>
      </c>
      <c r="AN74" s="926">
        <f t="shared" si="161"/>
        <v>1.6594877049180323</v>
      </c>
      <c r="AO74" s="324">
        <v>2</v>
      </c>
      <c r="AP74" s="325">
        <f t="shared" si="162"/>
        <v>1.5704704301075245</v>
      </c>
      <c r="AQ74" s="927">
        <f t="shared" si="182"/>
        <v>2</v>
      </c>
      <c r="AR74" s="927">
        <f t="shared" si="182"/>
        <v>1.5406838768115936</v>
      </c>
      <c r="AS74" s="926">
        <f t="shared" si="182"/>
        <v>2</v>
      </c>
      <c r="AT74" s="926">
        <f t="shared" si="182"/>
        <v>1.6494530303030297</v>
      </c>
      <c r="AU74" s="324">
        <v>2</v>
      </c>
      <c r="AV74" s="325">
        <f t="shared" si="164"/>
        <v>1.6722849462365654</v>
      </c>
      <c r="AW74" s="926">
        <f t="shared" si="165"/>
        <v>2</v>
      </c>
      <c r="AX74" s="926">
        <f t="shared" si="165"/>
        <v>1.6517660675381263</v>
      </c>
      <c r="AY74" s="324">
        <v>2</v>
      </c>
      <c r="AZ74" s="325">
        <f t="shared" si="166"/>
        <v>1.667514880952379</v>
      </c>
      <c r="BA74" s="926">
        <f t="shared" si="167"/>
        <v>2</v>
      </c>
      <c r="BB74" s="926">
        <f t="shared" si="167"/>
        <v>1.6530863273453091</v>
      </c>
      <c r="BC74" s="324">
        <v>2</v>
      </c>
      <c r="BD74" s="325">
        <f t="shared" si="183"/>
        <v>1.7436155913978455</v>
      </c>
      <c r="BE74" s="927">
        <f t="shared" si="183"/>
        <v>2</v>
      </c>
      <c r="BF74" s="927">
        <f t="shared" si="183"/>
        <v>1.6953703703703709</v>
      </c>
      <c r="BG74" s="928">
        <f t="shared" si="183"/>
        <v>2</v>
      </c>
      <c r="BH74" s="928">
        <f t="shared" si="183"/>
        <v>1.6171771978021978</v>
      </c>
      <c r="BI74" s="926">
        <f t="shared" si="183"/>
        <v>2</v>
      </c>
      <c r="BJ74" s="926">
        <f t="shared" si="183"/>
        <v>1.6607751141552505</v>
      </c>
      <c r="BK74" s="1202"/>
      <c r="BL74" s="1202"/>
      <c r="BM74" s="1202"/>
      <c r="BN74" s="1202"/>
      <c r="BO74" s="1202"/>
    </row>
    <row r="75" spans="1:67" x14ac:dyDescent="0.3">
      <c r="A75" s="276"/>
      <c r="B75" s="22" t="s">
        <v>491</v>
      </c>
      <c r="C75" s="13" t="s">
        <v>381</v>
      </c>
      <c r="D75" s="310">
        <f t="shared" si="175"/>
        <v>4.9680555555555559</v>
      </c>
      <c r="E75" s="310">
        <f t="shared" si="175"/>
        <v>4.4534946236559207</v>
      </c>
      <c r="G75" s="904" t="s">
        <v>755</v>
      </c>
      <c r="H75" s="266" t="s">
        <v>488</v>
      </c>
      <c r="I75" s="324">
        <v>10.22518324061843</v>
      </c>
      <c r="J75" s="325">
        <f t="shared" si="147"/>
        <v>8.9559287037036981</v>
      </c>
      <c r="K75" s="324">
        <v>10.244585865363435</v>
      </c>
      <c r="L75" s="325">
        <f t="shared" ref="L75" si="193">L26/1000/24/L$3</f>
        <v>9.2756895161290416</v>
      </c>
      <c r="M75" s="926">
        <f t="shared" si="149"/>
        <v>10.235043590898679</v>
      </c>
      <c r="N75" s="926">
        <f t="shared" si="149"/>
        <v>9.1184301001821524</v>
      </c>
      <c r="O75" s="324">
        <v>10.22518324061843</v>
      </c>
      <c r="P75" s="325">
        <f t="shared" si="150"/>
        <v>9.6144893518518462</v>
      </c>
      <c r="Q75" s="927">
        <f t="shared" si="151"/>
        <v>10.231792925971124</v>
      </c>
      <c r="R75" s="927">
        <f t="shared" si="151"/>
        <v>9.2819661172161165</v>
      </c>
      <c r="S75" s="324">
        <v>10.244585865363435</v>
      </c>
      <c r="T75" s="325">
        <f t="shared" si="152"/>
        <v>10.539083781362036</v>
      </c>
      <c r="U75" s="926">
        <f t="shared" si="153"/>
        <v>10.235043590898679</v>
      </c>
      <c r="V75" s="926">
        <f t="shared" si="153"/>
        <v>9.6013976548269646</v>
      </c>
      <c r="W75" s="324">
        <v>10.244585865363435</v>
      </c>
      <c r="X75" s="325">
        <f t="shared" si="154"/>
        <v>9.3594233870967418</v>
      </c>
      <c r="Y75" s="926">
        <f t="shared" si="155"/>
        <v>10.236976992914414</v>
      </c>
      <c r="Z75" s="926">
        <f t="shared" si="155"/>
        <v>9.5523701888162655</v>
      </c>
      <c r="AA75" s="324">
        <v>6.3448136709520169</v>
      </c>
      <c r="AB75" s="325">
        <f t="shared" si="156"/>
        <v>9.9762902777777995</v>
      </c>
      <c r="AC75" s="927">
        <f t="shared" ref="AC75:AF82" si="194">AC26/1000/24/AC$3</f>
        <v>8.9729210193597133</v>
      </c>
      <c r="AD75" s="927">
        <f t="shared" si="194"/>
        <v>9.958069897343</v>
      </c>
      <c r="AE75" s="928">
        <f t="shared" si="194"/>
        <v>9.5989174319369717</v>
      </c>
      <c r="AF75" s="928">
        <f t="shared" si="194"/>
        <v>9.6218652853673365</v>
      </c>
      <c r="AG75" s="324">
        <v>9.8953386199533178</v>
      </c>
      <c r="AH75" s="325">
        <f t="shared" si="158"/>
        <v>7.456827060931885</v>
      </c>
      <c r="AI75" s="926">
        <f t="shared" si="159"/>
        <v>9.64185694982719</v>
      </c>
      <c r="AJ75" s="926">
        <f t="shared" si="159"/>
        <v>9.3082382528556593</v>
      </c>
      <c r="AK75" s="324">
        <v>10.22518324061843</v>
      </c>
      <c r="AL75" s="325">
        <f t="shared" si="160"/>
        <v>9.0452273148148095</v>
      </c>
      <c r="AM75" s="926">
        <f t="shared" si="161"/>
        <v>9.7135773954162765</v>
      </c>
      <c r="AN75" s="926">
        <f t="shared" si="161"/>
        <v>9.2759008424408016</v>
      </c>
      <c r="AO75" s="324">
        <v>10.244585865363435</v>
      </c>
      <c r="AP75" s="325">
        <f t="shared" si="162"/>
        <v>9.5561025985663104</v>
      </c>
      <c r="AQ75" s="927">
        <f t="shared" ref="AQ75:AT82" si="195">AQ26/1000/24/AQ$3</f>
        <v>10.120577785471438</v>
      </c>
      <c r="AR75" s="927">
        <f t="shared" si="195"/>
        <v>8.6821482487922648</v>
      </c>
      <c r="AS75" s="926">
        <f t="shared" si="195"/>
        <v>9.7734365320285033</v>
      </c>
      <c r="AT75" s="926">
        <f t="shared" si="195"/>
        <v>9.3074872222222229</v>
      </c>
      <c r="AU75" s="324">
        <v>10.361001613833475</v>
      </c>
      <c r="AV75" s="325">
        <f t="shared" si="164"/>
        <v>9.9575555555555706</v>
      </c>
      <c r="AW75" s="926">
        <f t="shared" si="165"/>
        <v>9.832961099139462</v>
      </c>
      <c r="AX75" s="926">
        <f t="shared" si="165"/>
        <v>9.3733438180827893</v>
      </c>
      <c r="AY75" s="324">
        <v>10.311109150203455</v>
      </c>
      <c r="AZ75" s="325">
        <f t="shared" si="166"/>
        <v>9.694352678571434</v>
      </c>
      <c r="BA75" s="926">
        <f t="shared" si="167"/>
        <v>9.8730453668933311</v>
      </c>
      <c r="BB75" s="926">
        <f t="shared" si="167"/>
        <v>9.400254740518962</v>
      </c>
      <c r="BC75" s="324">
        <v>10.361001613833475</v>
      </c>
      <c r="BD75" s="325">
        <f t="shared" ref="BD75:BJ82" si="196">BD26/1000/24/BD$3</f>
        <v>9.4475515232974665</v>
      </c>
      <c r="BE75" s="927">
        <f t="shared" si="196"/>
        <v>10.34547951403747</v>
      </c>
      <c r="BF75" s="927">
        <f t="shared" si="196"/>
        <v>9.700002160493824</v>
      </c>
      <c r="BG75" s="928">
        <f t="shared" si="196"/>
        <v>10.231792925971124</v>
      </c>
      <c r="BH75" s="928">
        <f t="shared" si="196"/>
        <v>9.1854826007325983</v>
      </c>
      <c r="BI75" s="926">
        <f t="shared" si="196"/>
        <v>9.9144882262224936</v>
      </c>
      <c r="BJ75" s="926">
        <f t="shared" si="196"/>
        <v>9.4042717275494638</v>
      </c>
      <c r="BK75" s="1202"/>
      <c r="BL75" s="1202"/>
      <c r="BM75" s="1202"/>
      <c r="BN75" s="1202"/>
      <c r="BO75" s="1202"/>
    </row>
    <row r="76" spans="1:67" x14ac:dyDescent="0.3">
      <c r="A76" s="276"/>
      <c r="B76" s="22" t="s">
        <v>762</v>
      </c>
      <c r="C76" s="13" t="s">
        <v>381</v>
      </c>
      <c r="D76" s="310">
        <f t="shared" si="175"/>
        <v>3.0618194444444473</v>
      </c>
      <c r="E76" s="310">
        <f t="shared" si="175"/>
        <v>3.1648387096774182</v>
      </c>
      <c r="G76" s="904" t="s">
        <v>757</v>
      </c>
      <c r="H76" s="266" t="s">
        <v>489</v>
      </c>
      <c r="I76" s="324">
        <v>8.6573388681951915</v>
      </c>
      <c r="J76" s="325">
        <f t="shared" si="147"/>
        <v>7.6497592592592687</v>
      </c>
      <c r="K76" s="324">
        <v>8.7087831568856551</v>
      </c>
      <c r="L76" s="325">
        <f t="shared" ref="L76" si="197">L27/1000/24/L$3</f>
        <v>8.2118077956989239</v>
      </c>
      <c r="M76" s="926">
        <f t="shared" si="149"/>
        <v>8.6834826870378858</v>
      </c>
      <c r="N76" s="926">
        <f t="shared" si="149"/>
        <v>7.9353904826958148</v>
      </c>
      <c r="O76" s="324">
        <v>8.6573388681951915</v>
      </c>
      <c r="P76" s="325">
        <f t="shared" si="150"/>
        <v>8.4746157407407203</v>
      </c>
      <c r="Q76" s="927">
        <f t="shared" si="151"/>
        <v>8.6748638456611733</v>
      </c>
      <c r="R76" s="927">
        <f t="shared" si="151"/>
        <v>8.1131570512820463</v>
      </c>
      <c r="S76" s="324">
        <v>8.7087831568856551</v>
      </c>
      <c r="T76" s="325">
        <f t="shared" si="152"/>
        <v>8.9042988351254646</v>
      </c>
      <c r="U76" s="926">
        <f t="shared" si="153"/>
        <v>8.6834826870378858</v>
      </c>
      <c r="V76" s="926">
        <f t="shared" si="153"/>
        <v>8.3141848816029142</v>
      </c>
      <c r="W76" s="324">
        <v>8.7087831568856551</v>
      </c>
      <c r="X76" s="325">
        <f t="shared" si="154"/>
        <v>8.5746774193548507</v>
      </c>
      <c r="Y76" s="926">
        <f t="shared" si="155"/>
        <v>8.6886089260266495</v>
      </c>
      <c r="Z76" s="926">
        <f t="shared" si="155"/>
        <v>8.3669644153957918</v>
      </c>
      <c r="AA76" s="324">
        <v>5.6508367926219956</v>
      </c>
      <c r="AB76" s="325">
        <f t="shared" si="156"/>
        <v>8.5853819444444142</v>
      </c>
      <c r="AC76" s="927">
        <f t="shared" si="194"/>
        <v>7.7116267337562023</v>
      </c>
      <c r="AD76" s="927">
        <f t="shared" si="194"/>
        <v>8.6892361111111107</v>
      </c>
      <c r="AE76" s="928">
        <f t="shared" si="194"/>
        <v>8.1906134943209672</v>
      </c>
      <c r="AF76" s="928">
        <f t="shared" si="194"/>
        <v>8.4027705676988447</v>
      </c>
      <c r="AG76" s="324">
        <v>8.5985453954060898</v>
      </c>
      <c r="AH76" s="325">
        <f t="shared" si="158"/>
        <v>6.1664695340501954</v>
      </c>
      <c r="AI76" s="926">
        <f t="shared" si="159"/>
        <v>8.2497064332632046</v>
      </c>
      <c r="AJ76" s="926">
        <f t="shared" si="159"/>
        <v>8.0788204179646943</v>
      </c>
      <c r="AK76" s="324">
        <v>8.6573388681951915</v>
      </c>
      <c r="AL76" s="325">
        <f t="shared" si="160"/>
        <v>8.2048078703703524</v>
      </c>
      <c r="AM76" s="926">
        <f t="shared" si="161"/>
        <v>8.2998251752630399</v>
      </c>
      <c r="AN76" s="926">
        <f t="shared" si="161"/>
        <v>8.094310678506373</v>
      </c>
      <c r="AO76" s="324">
        <v>8.7087831568856551</v>
      </c>
      <c r="AP76" s="325">
        <f t="shared" si="162"/>
        <v>8.6670743727598758</v>
      </c>
      <c r="AQ76" s="927">
        <f t="shared" si="195"/>
        <v>8.654862512683696</v>
      </c>
      <c r="AR76" s="927">
        <f t="shared" si="195"/>
        <v>7.6737401871980735</v>
      </c>
      <c r="AS76" s="926">
        <f t="shared" si="195"/>
        <v>8.3459258931914064</v>
      </c>
      <c r="AT76" s="926">
        <f t="shared" si="195"/>
        <v>8.1588767676767695</v>
      </c>
      <c r="AU76" s="324">
        <v>8.7087831568856551</v>
      </c>
      <c r="AV76" s="325">
        <f t="shared" si="164"/>
        <v>8.7345743727598641</v>
      </c>
      <c r="AW76" s="926">
        <f t="shared" si="165"/>
        <v>8.3826859427813485</v>
      </c>
      <c r="AX76" s="926">
        <f t="shared" si="165"/>
        <v>8.2171990740740757</v>
      </c>
      <c r="AY76" s="324">
        <v>8.7264999399805863</v>
      </c>
      <c r="AZ76" s="325">
        <f t="shared" si="166"/>
        <v>8.9142931547619035</v>
      </c>
      <c r="BA76" s="926">
        <f t="shared" si="167"/>
        <v>8.4115086730854767</v>
      </c>
      <c r="BB76" s="926">
        <f t="shared" si="167"/>
        <v>8.2756380988023963</v>
      </c>
      <c r="BC76" s="324">
        <v>8.8190209183652204</v>
      </c>
      <c r="BD76" s="325">
        <f t="shared" si="196"/>
        <v>8.464809587813626</v>
      </c>
      <c r="BE76" s="927">
        <f t="shared" si="196"/>
        <v>8.7522658294692626</v>
      </c>
      <c r="BF76" s="927">
        <f t="shared" si="196"/>
        <v>8.6975679012345708</v>
      </c>
      <c r="BG76" s="928">
        <f t="shared" si="196"/>
        <v>8.7030289880172162</v>
      </c>
      <c r="BH76" s="928">
        <f t="shared" si="196"/>
        <v>8.1800286172161201</v>
      </c>
      <c r="BI76" s="926">
        <f t="shared" si="196"/>
        <v>8.4461193021366334</v>
      </c>
      <c r="BJ76" s="926">
        <f t="shared" si="196"/>
        <v>8.2917047184170496</v>
      </c>
      <c r="BK76" s="1202"/>
      <c r="BL76" s="1202"/>
      <c r="BM76" s="1202"/>
      <c r="BN76" s="1202"/>
      <c r="BO76" s="1202"/>
    </row>
    <row r="77" spans="1:67" x14ac:dyDescent="0.3">
      <c r="A77" s="276"/>
      <c r="B77" s="22" t="s">
        <v>765</v>
      </c>
      <c r="C77" s="13" t="s">
        <v>381</v>
      </c>
      <c r="D77" s="310">
        <f>+((D33/1000)/D$3)/24</f>
        <v>1.5425277777777777</v>
      </c>
      <c r="E77" s="310">
        <f>+((E33/1000)/E$3)/24</f>
        <v>1.5533870967741941</v>
      </c>
      <c r="G77" s="904" t="s">
        <v>759</v>
      </c>
      <c r="H77" s="266" t="s">
        <v>490</v>
      </c>
      <c r="I77" s="324">
        <v>7.5263823151439926</v>
      </c>
      <c r="J77" s="325">
        <f t="shared" si="147"/>
        <v>5.3251623148148211</v>
      </c>
      <c r="K77" s="324">
        <v>7.6360278431481712</v>
      </c>
      <c r="L77" s="325">
        <f t="shared" ref="L77" si="198">L28/1000/24/L$3</f>
        <v>5.8918709677419328</v>
      </c>
      <c r="M77" s="926">
        <f t="shared" si="149"/>
        <v>7.5821038129821821</v>
      </c>
      <c r="N77" s="926">
        <f t="shared" si="149"/>
        <v>5.613161794171222</v>
      </c>
      <c r="O77" s="324">
        <v>7.5870789467177344</v>
      </c>
      <c r="P77" s="325">
        <f t="shared" si="150"/>
        <v>5.963657407407406</v>
      </c>
      <c r="Q77" s="927">
        <f t="shared" si="151"/>
        <v>7.5837439669609354</v>
      </c>
      <c r="R77" s="927">
        <f t="shared" si="151"/>
        <v>5.7287097985347986</v>
      </c>
      <c r="S77" s="324">
        <v>7.6360278431481712</v>
      </c>
      <c r="T77" s="325">
        <f t="shared" si="152"/>
        <v>5.8258176523297385</v>
      </c>
      <c r="U77" s="926">
        <f t="shared" si="153"/>
        <v>7.59702921418884</v>
      </c>
      <c r="V77" s="926">
        <f t="shared" si="153"/>
        <v>5.7533847449908908</v>
      </c>
      <c r="W77" s="324">
        <v>7.6360278431481712</v>
      </c>
      <c r="X77" s="325">
        <f t="shared" si="154"/>
        <v>5.3259959677419406</v>
      </c>
      <c r="Y77" s="926">
        <f t="shared" si="155"/>
        <v>7.6049308971805996</v>
      </c>
      <c r="Z77" s="926">
        <f t="shared" si="155"/>
        <v>5.6667896332607119</v>
      </c>
      <c r="AA77" s="324">
        <v>4.4866743154407054</v>
      </c>
      <c r="AB77" s="325">
        <f t="shared" si="156"/>
        <v>5.6298347222222267</v>
      </c>
      <c r="AC77" s="927">
        <f t="shared" si="194"/>
        <v>6.6090647362870403</v>
      </c>
      <c r="AD77" s="927">
        <f t="shared" si="194"/>
        <v>5.5934919987922704</v>
      </c>
      <c r="AE77" s="928">
        <f t="shared" si="194"/>
        <v>7.0937412936166835</v>
      </c>
      <c r="AF77" s="928">
        <f t="shared" si="194"/>
        <v>5.6607314511232545</v>
      </c>
      <c r="AG77" s="324">
        <v>7.8709825460142682</v>
      </c>
      <c r="AH77" s="325">
        <f t="shared" si="158"/>
        <v>3.8911079749103967</v>
      </c>
      <c r="AI77" s="926">
        <f t="shared" si="159"/>
        <v>7.2063323161602595</v>
      </c>
      <c r="AJ77" s="926">
        <f t="shared" si="159"/>
        <v>5.4043841251298028</v>
      </c>
      <c r="AK77" s="324">
        <v>7.8905621045864427</v>
      </c>
      <c r="AL77" s="325">
        <f t="shared" si="160"/>
        <v>5.4669300925925901</v>
      </c>
      <c r="AM77" s="926">
        <f t="shared" si="161"/>
        <v>7.2904589294913471</v>
      </c>
      <c r="AN77" s="926">
        <f t="shared" si="161"/>
        <v>5.4120742030965383</v>
      </c>
      <c r="AO77" s="324">
        <v>7.9297212217307926</v>
      </c>
      <c r="AP77" s="325">
        <f t="shared" si="162"/>
        <v>5.6016066308243682</v>
      </c>
      <c r="AQ77" s="927">
        <f t="shared" si="195"/>
        <v>7.8971595645401109</v>
      </c>
      <c r="AR77" s="927">
        <f t="shared" si="195"/>
        <v>4.9813266908212546</v>
      </c>
      <c r="AS77" s="926">
        <f t="shared" si="195"/>
        <v>7.3625212242528839</v>
      </c>
      <c r="AT77" s="926">
        <f t="shared" si="195"/>
        <v>5.4334396767676765</v>
      </c>
      <c r="AU77" s="324">
        <v>7.9884598974473171</v>
      </c>
      <c r="AV77" s="325">
        <f t="shared" si="164"/>
        <v>5.8259009856630826</v>
      </c>
      <c r="AW77" s="926">
        <f t="shared" si="165"/>
        <v>7.4259333120601632</v>
      </c>
      <c r="AX77" s="926">
        <f t="shared" si="165"/>
        <v>5.4731988289760345</v>
      </c>
      <c r="AY77" s="324">
        <v>7.9339168414248302</v>
      </c>
      <c r="AZ77" s="325">
        <f t="shared" si="166"/>
        <v>5.7923630952381089</v>
      </c>
      <c r="BA77" s="926">
        <f t="shared" si="167"/>
        <v>7.4685187576356435</v>
      </c>
      <c r="BB77" s="926">
        <f t="shared" si="167"/>
        <v>5.4999551147704588</v>
      </c>
      <c r="BC77" s="324">
        <v>8.0471985731638416</v>
      </c>
      <c r="BD77" s="325">
        <f t="shared" si="196"/>
        <v>5.8442746415770488</v>
      </c>
      <c r="BE77" s="927">
        <f t="shared" si="196"/>
        <v>7.9917231572093455</v>
      </c>
      <c r="BF77" s="927">
        <f t="shared" si="196"/>
        <v>5.8217956790123466</v>
      </c>
      <c r="BG77" s="928">
        <f t="shared" si="196"/>
        <v>7.9439217806952271</v>
      </c>
      <c r="BH77" s="928">
        <f t="shared" si="196"/>
        <v>5.3969432234432242</v>
      </c>
      <c r="BI77" s="926">
        <f t="shared" si="196"/>
        <v>7.517666906351737</v>
      </c>
      <c r="BJ77" s="926">
        <f t="shared" si="196"/>
        <v>5.5291986910197863</v>
      </c>
      <c r="BK77" s="1202"/>
      <c r="BL77" s="1202"/>
      <c r="BM77" s="1202"/>
      <c r="BN77" s="1202"/>
      <c r="BO77" s="1202"/>
    </row>
    <row r="78" spans="1:67" x14ac:dyDescent="0.3">
      <c r="A78" s="276"/>
      <c r="B78" s="22" t="s">
        <v>725</v>
      </c>
      <c r="C78" s="13" t="s">
        <v>381</v>
      </c>
      <c r="D78" s="310">
        <f t="shared" ref="D78:E81" si="199">+((D35/1000)/D$3)/24</f>
        <v>0.6318055555555544</v>
      </c>
      <c r="E78" s="310">
        <f t="shared" si="199"/>
        <v>0.59745967741935579</v>
      </c>
      <c r="G78" s="904" t="s">
        <v>760</v>
      </c>
      <c r="H78" s="266" t="s">
        <v>724</v>
      </c>
      <c r="I78" s="379">
        <v>34.4</v>
      </c>
      <c r="J78" s="325">
        <f t="shared" si="147"/>
        <v>35.093465277777661</v>
      </c>
      <c r="K78" s="379">
        <v>34.4</v>
      </c>
      <c r="L78" s="325">
        <f t="shared" ref="L78" si="200">L29/1000/24/L$3</f>
        <v>34.936794354838703</v>
      </c>
      <c r="M78" s="926">
        <f t="shared" si="149"/>
        <v>34.4</v>
      </c>
      <c r="N78" s="926">
        <f t="shared" si="149"/>
        <v>35.01384562841524</v>
      </c>
      <c r="O78" s="379">
        <v>34.4</v>
      </c>
      <c r="P78" s="325">
        <f t="shared" si="150"/>
        <v>35.41569305555543</v>
      </c>
      <c r="Q78" s="927">
        <f t="shared" si="151"/>
        <v>34.4</v>
      </c>
      <c r="R78" s="927">
        <f t="shared" si="151"/>
        <v>35.146322802197716</v>
      </c>
      <c r="S78" s="379">
        <v>34.4</v>
      </c>
      <c r="T78" s="325">
        <f t="shared" si="152"/>
        <v>35.267014784946362</v>
      </c>
      <c r="U78" s="926">
        <f t="shared" si="153"/>
        <v>34.4</v>
      </c>
      <c r="V78" s="926">
        <f t="shared" si="153"/>
        <v>35.176990437158437</v>
      </c>
      <c r="W78" s="379">
        <v>34.4</v>
      </c>
      <c r="X78" s="325">
        <f t="shared" si="154"/>
        <v>35.130483870967602</v>
      </c>
      <c r="Y78" s="926">
        <f t="shared" si="155"/>
        <v>34.4</v>
      </c>
      <c r="Z78" s="926">
        <f t="shared" si="155"/>
        <v>35.167567538126306</v>
      </c>
      <c r="AA78" s="379">
        <v>22.93</v>
      </c>
      <c r="AB78" s="325">
        <f t="shared" si="156"/>
        <v>35.343843055555553</v>
      </c>
      <c r="AC78" s="927">
        <f t="shared" si="194"/>
        <v>30.659782608695654</v>
      </c>
      <c r="AD78" s="927">
        <f t="shared" si="194"/>
        <v>35.246062499999994</v>
      </c>
      <c r="AE78" s="928">
        <f t="shared" si="194"/>
        <v>32.519672131147537</v>
      </c>
      <c r="AF78" s="928">
        <f t="shared" si="194"/>
        <v>35.196465163934384</v>
      </c>
      <c r="AG78" s="379">
        <v>34.4</v>
      </c>
      <c r="AH78" s="325">
        <f t="shared" si="158"/>
        <v>34.867809139785074</v>
      </c>
      <c r="AI78" s="926">
        <f t="shared" si="159"/>
        <v>32.792056074766357</v>
      </c>
      <c r="AJ78" s="926">
        <f t="shared" si="159"/>
        <v>35.148856113707147</v>
      </c>
      <c r="AK78" s="379">
        <v>34.4</v>
      </c>
      <c r="AL78" s="325">
        <f t="shared" si="160"/>
        <v>34.753544444444579</v>
      </c>
      <c r="AM78" s="926">
        <f t="shared" si="161"/>
        <v>32.989754098360656</v>
      </c>
      <c r="AN78" s="926">
        <f t="shared" si="161"/>
        <v>35.100252219945354</v>
      </c>
      <c r="AO78" s="379">
        <v>34.4</v>
      </c>
      <c r="AP78" s="325">
        <f t="shared" si="162"/>
        <v>34.685736559139549</v>
      </c>
      <c r="AQ78" s="927">
        <f t="shared" si="195"/>
        <v>34.4</v>
      </c>
      <c r="AR78" s="927">
        <f t="shared" si="195"/>
        <v>34.769198369565224</v>
      </c>
      <c r="AS78" s="926">
        <f t="shared" si="195"/>
        <v>33.148727272727271</v>
      </c>
      <c r="AT78" s="926">
        <f t="shared" si="195"/>
        <v>35.053524999999972</v>
      </c>
      <c r="AU78" s="379">
        <v>34.4</v>
      </c>
      <c r="AV78" s="325">
        <f t="shared" si="164"/>
        <v>34.098659946236602</v>
      </c>
      <c r="AW78" s="926">
        <f t="shared" si="165"/>
        <v>33.275490196078437</v>
      </c>
      <c r="AX78" s="926">
        <f t="shared" si="165"/>
        <v>34.956790305010877</v>
      </c>
      <c r="AY78" s="379">
        <v>34.4</v>
      </c>
      <c r="AZ78" s="325">
        <f t="shared" si="166"/>
        <v>34.880297619047575</v>
      </c>
      <c r="BA78" s="926">
        <f t="shared" si="167"/>
        <v>33.369760479041915</v>
      </c>
      <c r="BB78" s="926">
        <f t="shared" si="167"/>
        <v>34.950377744510952</v>
      </c>
      <c r="BC78" s="379">
        <v>34.4</v>
      </c>
      <c r="BD78" s="325">
        <f t="shared" si="196"/>
        <v>34.970370967742035</v>
      </c>
      <c r="BE78" s="927">
        <f t="shared" si="196"/>
        <v>34.4</v>
      </c>
      <c r="BF78" s="927">
        <f t="shared" si="196"/>
        <v>34.642092129629667</v>
      </c>
      <c r="BG78" s="928">
        <f t="shared" si="196"/>
        <v>34.4</v>
      </c>
      <c r="BH78" s="928">
        <f t="shared" si="196"/>
        <v>34.706343635531162</v>
      </c>
      <c r="BI78" s="926">
        <f t="shared" si="196"/>
        <v>33.457260273972601</v>
      </c>
      <c r="BJ78" s="926">
        <f t="shared" si="196"/>
        <v>34.952075799086749</v>
      </c>
      <c r="BK78" s="1202"/>
      <c r="BL78" s="1202"/>
      <c r="BM78" s="1202"/>
      <c r="BN78" s="1202"/>
      <c r="BO78" s="1202"/>
    </row>
    <row r="79" spans="1:67" x14ac:dyDescent="0.3">
      <c r="A79" s="276"/>
      <c r="B79" s="2" t="s">
        <v>730</v>
      </c>
      <c r="C79" s="13" t="s">
        <v>381</v>
      </c>
      <c r="D79" s="310">
        <f t="shared" si="199"/>
        <v>0.89579548472222215</v>
      </c>
      <c r="E79" s="310">
        <f t="shared" si="199"/>
        <v>0.86948325672043014</v>
      </c>
      <c r="G79" s="904" t="s">
        <v>761</v>
      </c>
      <c r="H79" s="266" t="s">
        <v>491</v>
      </c>
      <c r="I79" s="379">
        <v>5.4</v>
      </c>
      <c r="J79" s="325">
        <f t="shared" si="147"/>
        <v>5.3286111111111296</v>
      </c>
      <c r="K79" s="379">
        <v>5.4</v>
      </c>
      <c r="L79" s="325">
        <f t="shared" ref="L79" si="201">L30/1000/24/L$3</f>
        <v>5.4528225806451536</v>
      </c>
      <c r="M79" s="926">
        <f t="shared" si="149"/>
        <v>5.4</v>
      </c>
      <c r="N79" s="926">
        <f t="shared" si="149"/>
        <v>5.3917349726776012</v>
      </c>
      <c r="O79" s="379">
        <v>5.4</v>
      </c>
      <c r="P79" s="325">
        <f t="shared" si="150"/>
        <v>5.6149999999999833</v>
      </c>
      <c r="Q79" s="927">
        <f t="shared" si="151"/>
        <v>5.4</v>
      </c>
      <c r="R79" s="927">
        <f t="shared" si="151"/>
        <v>5.465338827838826</v>
      </c>
      <c r="S79" s="379">
        <v>5.4</v>
      </c>
      <c r="T79" s="325">
        <f t="shared" si="152"/>
        <v>5.7459677419355035</v>
      </c>
      <c r="U79" s="926">
        <f t="shared" si="153"/>
        <v>5.4</v>
      </c>
      <c r="V79" s="926">
        <f t="shared" si="153"/>
        <v>5.5366461748633924</v>
      </c>
      <c r="W79" s="379">
        <v>5.4</v>
      </c>
      <c r="X79" s="325">
        <f t="shared" si="154"/>
        <v>5.4611559139784731</v>
      </c>
      <c r="Y79" s="926">
        <f t="shared" si="155"/>
        <v>5.3999999999999995</v>
      </c>
      <c r="Z79" s="926">
        <f t="shared" si="155"/>
        <v>5.5213507625272324</v>
      </c>
      <c r="AA79" s="379">
        <v>5.4</v>
      </c>
      <c r="AB79" s="325">
        <f t="shared" si="156"/>
        <v>5.645833333333333</v>
      </c>
      <c r="AC79" s="927">
        <f t="shared" si="194"/>
        <v>5.4</v>
      </c>
      <c r="AD79" s="927">
        <f t="shared" si="194"/>
        <v>5.6173460144927541</v>
      </c>
      <c r="AE79" s="928">
        <f t="shared" si="194"/>
        <v>5.3999999999999995</v>
      </c>
      <c r="AF79" s="928">
        <f t="shared" si="194"/>
        <v>5.5417577413479044</v>
      </c>
      <c r="AG79" s="379">
        <v>5.4</v>
      </c>
      <c r="AH79" s="325">
        <f t="shared" si="158"/>
        <v>4.8541666666666767</v>
      </c>
      <c r="AI79" s="926">
        <f t="shared" si="159"/>
        <v>5.4</v>
      </c>
      <c r="AJ79" s="926">
        <f t="shared" si="159"/>
        <v>5.442153426791279</v>
      </c>
      <c r="AK79" s="379">
        <v>5.4</v>
      </c>
      <c r="AL79" s="325">
        <f t="shared" si="160"/>
        <v>5.3968055555555514</v>
      </c>
      <c r="AM79" s="926">
        <f t="shared" si="161"/>
        <v>5.4</v>
      </c>
      <c r="AN79" s="926">
        <f t="shared" si="161"/>
        <v>5.4365778688524582</v>
      </c>
      <c r="AO79" s="379">
        <v>5.4</v>
      </c>
      <c r="AP79" s="325">
        <f t="shared" si="162"/>
        <v>5.6479838709677406</v>
      </c>
      <c r="AQ79" s="927">
        <f t="shared" si="195"/>
        <v>5.4</v>
      </c>
      <c r="AR79" s="927">
        <f t="shared" si="195"/>
        <v>5.2985960144927553</v>
      </c>
      <c r="AS79" s="926">
        <f t="shared" si="195"/>
        <v>5.4</v>
      </c>
      <c r="AT79" s="926">
        <f t="shared" si="195"/>
        <v>5.4604090909090903</v>
      </c>
      <c r="AU79" s="379">
        <v>5.4</v>
      </c>
      <c r="AV79" s="325">
        <f t="shared" si="164"/>
        <v>5.4162634408602015</v>
      </c>
      <c r="AW79" s="926">
        <f t="shared" si="165"/>
        <v>5.3999999999999995</v>
      </c>
      <c r="AX79" s="926">
        <f t="shared" si="165"/>
        <v>5.4559368191721127</v>
      </c>
      <c r="AY79" s="379">
        <v>5.4</v>
      </c>
      <c r="AZ79" s="325">
        <f t="shared" si="166"/>
        <v>5.392261904761912</v>
      </c>
      <c r="BA79" s="926">
        <f t="shared" si="167"/>
        <v>5.4</v>
      </c>
      <c r="BB79" s="926">
        <f t="shared" si="167"/>
        <v>5.4505988023952092</v>
      </c>
      <c r="BC79" s="379">
        <v>5.4</v>
      </c>
      <c r="BD79" s="325">
        <f t="shared" si="196"/>
        <v>5.4751344086021501</v>
      </c>
      <c r="BE79" s="927">
        <f t="shared" si="196"/>
        <v>5.4</v>
      </c>
      <c r="BF79" s="927">
        <f t="shared" si="196"/>
        <v>5.4290740740740722</v>
      </c>
      <c r="BG79" s="928">
        <f t="shared" si="196"/>
        <v>5.4</v>
      </c>
      <c r="BH79" s="928">
        <f t="shared" si="196"/>
        <v>5.3631181318681316</v>
      </c>
      <c r="BI79" s="926">
        <f t="shared" si="196"/>
        <v>5.4</v>
      </c>
      <c r="BJ79" s="926">
        <f t="shared" si="196"/>
        <v>5.4526826484018267</v>
      </c>
      <c r="BK79" s="1202"/>
      <c r="BL79" s="1202"/>
      <c r="BM79" s="1202"/>
      <c r="BN79" s="1202"/>
      <c r="BO79" s="1202"/>
    </row>
    <row r="80" spans="1:67" x14ac:dyDescent="0.3">
      <c r="A80" s="276"/>
      <c r="B80" s="2" t="s">
        <v>731</v>
      </c>
      <c r="C80" s="13" t="s">
        <v>381</v>
      </c>
      <c r="D80" s="310">
        <f t="shared" si="199"/>
        <v>0.259755010555556</v>
      </c>
      <c r="E80" s="310">
        <f t="shared" si="199"/>
        <v>0.24748231639784987</v>
      </c>
      <c r="G80" s="904" t="s">
        <v>763</v>
      </c>
      <c r="H80" s="266" t="s">
        <v>725</v>
      </c>
      <c r="I80" s="379">
        <v>0.9</v>
      </c>
      <c r="J80" s="325">
        <f t="shared" si="147"/>
        <v>0.85108333333332953</v>
      </c>
      <c r="K80" s="379">
        <v>0.9</v>
      </c>
      <c r="L80" s="325">
        <f t="shared" ref="L80" si="202">L31/1000/24/L$3</f>
        <v>0.85237903225806677</v>
      </c>
      <c r="M80" s="926">
        <f t="shared" si="149"/>
        <v>0.9</v>
      </c>
      <c r="N80" s="926">
        <f t="shared" si="149"/>
        <v>0.85174180327868776</v>
      </c>
      <c r="O80" s="379">
        <v>0.9</v>
      </c>
      <c r="P80" s="325">
        <f t="shared" si="150"/>
        <v>0.8672638888888875</v>
      </c>
      <c r="Q80" s="927">
        <f t="shared" si="151"/>
        <v>0.89999999999999991</v>
      </c>
      <c r="R80" s="927">
        <f t="shared" si="151"/>
        <v>0.8568589743589734</v>
      </c>
      <c r="S80" s="379">
        <v>0.9</v>
      </c>
      <c r="T80" s="325">
        <f t="shared" si="152"/>
        <v>0.87419354838709806</v>
      </c>
      <c r="U80" s="926">
        <f t="shared" si="153"/>
        <v>0.9</v>
      </c>
      <c r="V80" s="926">
        <f t="shared" si="153"/>
        <v>0.86126366120218556</v>
      </c>
      <c r="W80" s="379">
        <v>0.9</v>
      </c>
      <c r="X80" s="325">
        <f t="shared" si="154"/>
        <v>0.85221774193548172</v>
      </c>
      <c r="Y80" s="926">
        <f t="shared" si="155"/>
        <v>0.90000000000000013</v>
      </c>
      <c r="Z80" s="926">
        <f t="shared" si="155"/>
        <v>0.85943082788670955</v>
      </c>
      <c r="AA80" s="379">
        <v>0.9</v>
      </c>
      <c r="AB80" s="325">
        <f t="shared" si="156"/>
        <v>0.84518055555555793</v>
      </c>
      <c r="AC80" s="927">
        <f t="shared" si="194"/>
        <v>0.9</v>
      </c>
      <c r="AD80" s="927">
        <f t="shared" si="194"/>
        <v>0.85732789855072511</v>
      </c>
      <c r="AE80" s="928">
        <f t="shared" si="194"/>
        <v>0.90000000000000013</v>
      </c>
      <c r="AF80" s="928">
        <f t="shared" si="194"/>
        <v>0.85709471766848799</v>
      </c>
      <c r="AG80" s="379">
        <v>0.9</v>
      </c>
      <c r="AH80" s="325">
        <f t="shared" si="158"/>
        <v>0.8396236559139808</v>
      </c>
      <c r="AI80" s="926">
        <f t="shared" si="159"/>
        <v>0.9</v>
      </c>
      <c r="AJ80" s="926">
        <f t="shared" si="159"/>
        <v>0.85456386292834907</v>
      </c>
      <c r="AK80" s="379">
        <v>0.9</v>
      </c>
      <c r="AL80" s="325">
        <f t="shared" si="160"/>
        <v>0.81559722222222097</v>
      </c>
      <c r="AM80" s="926">
        <f t="shared" si="161"/>
        <v>0.9</v>
      </c>
      <c r="AN80" s="926">
        <f t="shared" si="161"/>
        <v>0.84977288251366134</v>
      </c>
      <c r="AO80" s="379">
        <v>0.9</v>
      </c>
      <c r="AP80" s="325">
        <f t="shared" si="162"/>
        <v>0.79900537634408408</v>
      </c>
      <c r="AQ80" s="927">
        <f t="shared" si="195"/>
        <v>0.9</v>
      </c>
      <c r="AR80" s="927">
        <f t="shared" si="195"/>
        <v>0.81810235507246343</v>
      </c>
      <c r="AS80" s="926">
        <f t="shared" si="195"/>
        <v>0.9</v>
      </c>
      <c r="AT80" s="926">
        <f t="shared" si="195"/>
        <v>0.84404999999999963</v>
      </c>
      <c r="AU80" s="379">
        <v>0.9</v>
      </c>
      <c r="AV80" s="325">
        <f t="shared" si="164"/>
        <v>0.81884408602150693</v>
      </c>
      <c r="AW80" s="926">
        <f t="shared" si="165"/>
        <v>0.90000000000000013</v>
      </c>
      <c r="AX80" s="926">
        <f t="shared" si="165"/>
        <v>0.84149645969498899</v>
      </c>
      <c r="AY80" s="379">
        <v>0.9</v>
      </c>
      <c r="AZ80" s="325">
        <f t="shared" si="166"/>
        <v>0.80145833333333327</v>
      </c>
      <c r="BA80" s="926">
        <f t="shared" si="167"/>
        <v>0.89999999999999991</v>
      </c>
      <c r="BB80" s="926">
        <f t="shared" si="167"/>
        <v>0.83813997005988017</v>
      </c>
      <c r="BC80" s="379">
        <v>0.9</v>
      </c>
      <c r="BD80" s="325">
        <f t="shared" si="196"/>
        <v>0.85708333333333142</v>
      </c>
      <c r="BE80" s="927">
        <f t="shared" si="196"/>
        <v>0.9</v>
      </c>
      <c r="BF80" s="927">
        <f t="shared" si="196"/>
        <v>0.8266064814814813</v>
      </c>
      <c r="BG80" s="928">
        <f t="shared" si="196"/>
        <v>0.89999999999999991</v>
      </c>
      <c r="BH80" s="928">
        <f t="shared" si="196"/>
        <v>0.82230769230769218</v>
      </c>
      <c r="BI80" s="926">
        <f t="shared" si="196"/>
        <v>0.9</v>
      </c>
      <c r="BJ80" s="926">
        <f t="shared" si="196"/>
        <v>0.83974885844748837</v>
      </c>
      <c r="BK80" s="1202"/>
      <c r="BL80" s="1202"/>
      <c r="BM80" s="1202"/>
      <c r="BN80" s="1202"/>
      <c r="BO80" s="1202"/>
    </row>
    <row r="81" spans="1:67" ht="15.6" x14ac:dyDescent="0.3">
      <c r="A81" s="65"/>
      <c r="B81" s="2" t="s">
        <v>737</v>
      </c>
      <c r="C81" s="13" t="s">
        <v>381</v>
      </c>
      <c r="D81" s="310">
        <f t="shared" si="199"/>
        <v>0.47197477138888738</v>
      </c>
      <c r="E81" s="310">
        <f t="shared" si="199"/>
        <v>0.47029550080645333</v>
      </c>
      <c r="G81" s="904" t="s">
        <v>764</v>
      </c>
      <c r="H81" s="266" t="s">
        <v>726</v>
      </c>
      <c r="I81" s="379">
        <v>1.4</v>
      </c>
      <c r="J81" s="325">
        <f t="shared" si="147"/>
        <v>1.3067500000000007</v>
      </c>
      <c r="K81" s="379">
        <v>1.4</v>
      </c>
      <c r="L81" s="325">
        <f t="shared" ref="L81" si="203">L32/1000/24/L$3</f>
        <v>0.84927419354839617</v>
      </c>
      <c r="M81" s="926">
        <f t="shared" si="149"/>
        <v>1.4</v>
      </c>
      <c r="N81" s="926">
        <f t="shared" si="149"/>
        <v>1.074262295081972</v>
      </c>
      <c r="O81" s="379">
        <v>1.4</v>
      </c>
      <c r="P81" s="325">
        <f t="shared" si="150"/>
        <v>1.3830833333333252</v>
      </c>
      <c r="Q81" s="927">
        <f t="shared" si="151"/>
        <v>1.4</v>
      </c>
      <c r="R81" s="927">
        <f t="shared" si="151"/>
        <v>1.1760714285714291</v>
      </c>
      <c r="S81" s="379">
        <v>1.4</v>
      </c>
      <c r="T81" s="325">
        <f t="shared" si="152"/>
        <v>1.1878897849462364</v>
      </c>
      <c r="U81" s="926">
        <f t="shared" si="153"/>
        <v>1.4</v>
      </c>
      <c r="V81" s="926">
        <f t="shared" si="153"/>
        <v>1.1790744535519131</v>
      </c>
      <c r="W81" s="379">
        <v>1.4</v>
      </c>
      <c r="X81" s="325">
        <f t="shared" si="154"/>
        <v>1.190712365591396</v>
      </c>
      <c r="Y81" s="926">
        <f t="shared" si="155"/>
        <v>1.4000000000000001</v>
      </c>
      <c r="Z81" s="926">
        <f t="shared" si="155"/>
        <v>1.1814324618736385</v>
      </c>
      <c r="AA81" s="379">
        <v>1.4</v>
      </c>
      <c r="AB81" s="325">
        <f t="shared" si="156"/>
        <v>1.1422916666666667</v>
      </c>
      <c r="AC81" s="927">
        <f t="shared" si="194"/>
        <v>1.4</v>
      </c>
      <c r="AD81" s="927">
        <f t="shared" si="194"/>
        <v>1.1739719202898546</v>
      </c>
      <c r="AE81" s="928">
        <f t="shared" si="194"/>
        <v>1.4</v>
      </c>
      <c r="AF81" s="928">
        <f t="shared" si="194"/>
        <v>1.1750159380692167</v>
      </c>
      <c r="AG81" s="379">
        <v>1.4</v>
      </c>
      <c r="AH81" s="325">
        <f t="shared" si="158"/>
        <v>1.1870026881720483</v>
      </c>
      <c r="AI81" s="926">
        <f t="shared" si="159"/>
        <v>1.4</v>
      </c>
      <c r="AJ81" s="926">
        <f t="shared" si="159"/>
        <v>1.1767523364485988</v>
      </c>
      <c r="AK81" s="379">
        <v>1.4</v>
      </c>
      <c r="AL81" s="325">
        <f t="shared" si="160"/>
        <v>0.87913888888888325</v>
      </c>
      <c r="AM81" s="926">
        <f t="shared" si="161"/>
        <v>1.4</v>
      </c>
      <c r="AN81" s="926">
        <f t="shared" si="161"/>
        <v>1.1401605191256829</v>
      </c>
      <c r="AO81" s="379">
        <v>1.4</v>
      </c>
      <c r="AP81" s="325">
        <f t="shared" si="162"/>
        <v>0.88817204301075658</v>
      </c>
      <c r="AQ81" s="927">
        <f t="shared" si="195"/>
        <v>1.4</v>
      </c>
      <c r="AR81" s="927">
        <f t="shared" si="195"/>
        <v>0.98591938405797219</v>
      </c>
      <c r="AS81" s="926">
        <f t="shared" si="195"/>
        <v>1.4</v>
      </c>
      <c r="AT81" s="926">
        <f t="shared" si="195"/>
        <v>1.1117545454545459</v>
      </c>
      <c r="AU81" s="379">
        <v>1.4</v>
      </c>
      <c r="AV81" s="325">
        <f t="shared" si="164"/>
        <v>0.80658602150537451</v>
      </c>
      <c r="AW81" s="926">
        <f t="shared" si="165"/>
        <v>1.4000000000000001</v>
      </c>
      <c r="AX81" s="926">
        <f t="shared" si="165"/>
        <v>1.0808387799564272</v>
      </c>
      <c r="AY81" s="379">
        <v>1.4</v>
      </c>
      <c r="AZ81" s="325">
        <f t="shared" si="166"/>
        <v>0.98541666666666228</v>
      </c>
      <c r="BA81" s="926">
        <f t="shared" si="167"/>
        <v>1.4</v>
      </c>
      <c r="BB81" s="926">
        <f t="shared" si="167"/>
        <v>1.0728393213572851</v>
      </c>
      <c r="BC81" s="379">
        <v>1.4</v>
      </c>
      <c r="BD81" s="325">
        <f t="shared" si="196"/>
        <v>1.24905913978495</v>
      </c>
      <c r="BE81" s="927">
        <f t="shared" si="196"/>
        <v>1.4</v>
      </c>
      <c r="BF81" s="927">
        <f t="shared" si="196"/>
        <v>1.0146296296296289</v>
      </c>
      <c r="BG81" s="928">
        <f t="shared" si="196"/>
        <v>1.4</v>
      </c>
      <c r="BH81" s="928">
        <f t="shared" si="196"/>
        <v>1.0001167582417587</v>
      </c>
      <c r="BI81" s="926">
        <f t="shared" si="196"/>
        <v>1.4</v>
      </c>
      <c r="BJ81" s="926">
        <f t="shared" si="196"/>
        <v>1.0878059360730594</v>
      </c>
      <c r="BK81" s="1202"/>
      <c r="BL81" s="1202"/>
      <c r="BM81" s="1202"/>
      <c r="BN81" s="1202"/>
      <c r="BO81" s="1202"/>
    </row>
    <row r="82" spans="1:67" x14ac:dyDescent="0.3">
      <c r="B82" s="22" t="s">
        <v>727</v>
      </c>
      <c r="C82" s="13" t="s">
        <v>381</v>
      </c>
      <c r="D82" s="310">
        <f>+((D40/1000)/D$3)/24</f>
        <v>1.2024613888888884</v>
      </c>
      <c r="E82" s="310">
        <f>+((E40/1000)/E$3)/24</f>
        <v>1.0451474462365573</v>
      </c>
      <c r="G82" s="904" t="s">
        <v>766</v>
      </c>
      <c r="H82" s="266" t="s">
        <v>727</v>
      </c>
      <c r="I82" s="379">
        <v>1.2</v>
      </c>
      <c r="J82" s="325">
        <f t="shared" si="147"/>
        <v>1.1078138888888909</v>
      </c>
      <c r="K82" s="379">
        <v>1.2</v>
      </c>
      <c r="L82" s="325">
        <f t="shared" ref="L82" si="204">L33/1000/24/L$3</f>
        <v>1.1968814516129018</v>
      </c>
      <c r="M82" s="926">
        <f t="shared" si="149"/>
        <v>1.2</v>
      </c>
      <c r="N82" s="926">
        <f t="shared" si="149"/>
        <v>1.1530777322404373</v>
      </c>
      <c r="O82" s="379">
        <v>1.2</v>
      </c>
      <c r="P82" s="325">
        <f t="shared" si="150"/>
        <v>1.2105823611111106</v>
      </c>
      <c r="Q82" s="927">
        <f t="shared" si="151"/>
        <v>1.2</v>
      </c>
      <c r="R82" s="927">
        <f t="shared" si="151"/>
        <v>1.1720353021978021</v>
      </c>
      <c r="S82" s="379">
        <v>1.2</v>
      </c>
      <c r="T82" s="325">
        <f t="shared" si="152"/>
        <v>1.2266896505376341</v>
      </c>
      <c r="U82" s="926">
        <f t="shared" si="153"/>
        <v>1.2</v>
      </c>
      <c r="V82" s="926">
        <f t="shared" si="153"/>
        <v>1.185922882513661</v>
      </c>
      <c r="W82" s="379">
        <v>1.2</v>
      </c>
      <c r="X82" s="325">
        <f t="shared" si="154"/>
        <v>1.1812225000000025</v>
      </c>
      <c r="Y82" s="926">
        <f t="shared" si="155"/>
        <v>1.2</v>
      </c>
      <c r="Z82" s="926">
        <f t="shared" si="155"/>
        <v>1.1849705174291942</v>
      </c>
      <c r="AA82" s="379">
        <v>1.2</v>
      </c>
      <c r="AB82" s="325">
        <f t="shared" si="156"/>
        <v>1.1699657222222202</v>
      </c>
      <c r="AC82" s="927">
        <f t="shared" si="194"/>
        <v>1.2</v>
      </c>
      <c r="AD82" s="927">
        <f t="shared" si="194"/>
        <v>1.1928722644927539</v>
      </c>
      <c r="AE82" s="928">
        <f t="shared" si="194"/>
        <v>1.2</v>
      </c>
      <c r="AF82" s="928">
        <f t="shared" si="194"/>
        <v>1.1825107149362477</v>
      </c>
      <c r="AG82" s="379">
        <v>1.2</v>
      </c>
      <c r="AH82" s="325">
        <f t="shared" si="158"/>
        <v>1.0787489247311834</v>
      </c>
      <c r="AI82" s="926">
        <f t="shared" si="159"/>
        <v>1.2</v>
      </c>
      <c r="AJ82" s="926">
        <f t="shared" si="159"/>
        <v>1.1674798014018692</v>
      </c>
      <c r="AK82" s="379">
        <v>1.2</v>
      </c>
      <c r="AL82" s="325">
        <f t="shared" si="160"/>
        <v>1.2535343055555555</v>
      </c>
      <c r="AM82" s="926">
        <f t="shared" si="161"/>
        <v>1.2</v>
      </c>
      <c r="AN82" s="926">
        <f t="shared" si="161"/>
        <v>1.1780602732240437</v>
      </c>
      <c r="AO82" s="379">
        <v>1.2</v>
      </c>
      <c r="AP82" s="325">
        <f t="shared" si="162"/>
        <v>1.0681873655913978</v>
      </c>
      <c r="AQ82" s="927">
        <f t="shared" si="195"/>
        <v>1.2</v>
      </c>
      <c r="AR82" s="927">
        <f t="shared" si="195"/>
        <v>1.1321853713768117</v>
      </c>
      <c r="AS82" s="926">
        <f t="shared" si="195"/>
        <v>1.2</v>
      </c>
      <c r="AT82" s="926">
        <f t="shared" si="195"/>
        <v>1.1656745999999998</v>
      </c>
      <c r="AU82" s="379">
        <v>1.2</v>
      </c>
      <c r="AV82" s="325">
        <f t="shared" si="164"/>
        <v>1.1179544354838726</v>
      </c>
      <c r="AW82" s="926">
        <f t="shared" si="165"/>
        <v>1.2</v>
      </c>
      <c r="AX82" s="926">
        <f t="shared" si="165"/>
        <v>1.1608402042483661</v>
      </c>
      <c r="AY82" s="379">
        <v>1.2</v>
      </c>
      <c r="AZ82" s="325">
        <f t="shared" si="166"/>
        <v>1.1274549107142871</v>
      </c>
      <c r="BA82" s="926">
        <f t="shared" si="167"/>
        <v>1.2</v>
      </c>
      <c r="BB82" s="926">
        <f t="shared" si="167"/>
        <v>1.1580414371257486</v>
      </c>
      <c r="BC82" s="379">
        <v>1.2</v>
      </c>
      <c r="BD82" s="325">
        <f t="shared" si="196"/>
        <v>1.1962154569892465</v>
      </c>
      <c r="BE82" s="927">
        <f t="shared" si="196"/>
        <v>1.2</v>
      </c>
      <c r="BF82" s="927">
        <f t="shared" si="196"/>
        <v>1.1478667129629636</v>
      </c>
      <c r="BG82" s="928">
        <f t="shared" si="196"/>
        <v>1.2</v>
      </c>
      <c r="BH82" s="928">
        <f t="shared" si="196"/>
        <v>1.1399398809523815</v>
      </c>
      <c r="BI82" s="926">
        <f t="shared" si="196"/>
        <v>1.2</v>
      </c>
      <c r="BJ82" s="926">
        <f t="shared" si="196"/>
        <v>1.1612836141552512</v>
      </c>
      <c r="BK82" s="1202"/>
      <c r="BL82" s="1202"/>
      <c r="BM82" s="1202"/>
      <c r="BN82" s="1202"/>
      <c r="BO82" s="1202"/>
    </row>
    <row r="83" spans="1:67" s="146" customFormat="1" x14ac:dyDescent="0.3">
      <c r="B83" s="146" t="s">
        <v>771</v>
      </c>
      <c r="C83" s="146" t="s">
        <v>381</v>
      </c>
      <c r="D83" s="146">
        <f>+((D41/1000)/D$3)/24</f>
        <v>122.30793637777781</v>
      </c>
      <c r="E83" s="146">
        <f>+((E41/1000)/E$3)/24</f>
        <v>125.68636524059139</v>
      </c>
      <c r="G83" s="151"/>
      <c r="H83" s="151"/>
      <c r="M83" s="151"/>
      <c r="N83" s="151"/>
      <c r="Q83" s="151"/>
      <c r="R83" s="151"/>
      <c r="U83" s="151"/>
      <c r="V83" s="151"/>
      <c r="Y83" s="151"/>
      <c r="Z83" s="151"/>
      <c r="AC83" s="151"/>
      <c r="AD83" s="151"/>
      <c r="AE83" s="151"/>
      <c r="AF83" s="151"/>
      <c r="AI83" s="151"/>
      <c r="AJ83" s="151"/>
      <c r="AM83" s="151"/>
      <c r="AN83" s="151"/>
      <c r="AQ83" s="151"/>
      <c r="AR83" s="151"/>
      <c r="AS83" s="151"/>
      <c r="AT83" s="151"/>
      <c r="AW83" s="151"/>
      <c r="AX83" s="151"/>
      <c r="BA83" s="151"/>
      <c r="BB83" s="151"/>
      <c r="BE83" s="151"/>
      <c r="BF83" s="151"/>
      <c r="BG83" s="151"/>
      <c r="BH83" s="151"/>
      <c r="BI83" s="151"/>
      <c r="BJ83" s="151"/>
      <c r="BK83" s="1202"/>
      <c r="BL83" s="1202"/>
      <c r="BM83" s="1202"/>
      <c r="BN83" s="1202"/>
      <c r="BO83" s="1202"/>
    </row>
    <row r="84" spans="1:67" ht="15" thickBot="1" x14ac:dyDescent="0.35">
      <c r="D84" s="311"/>
      <c r="E84" s="311"/>
      <c r="G84" s="915" t="s">
        <v>767</v>
      </c>
      <c r="H84" s="830" t="s">
        <v>728</v>
      </c>
      <c r="I84" s="380">
        <f>+SUM(I85:I88)</f>
        <v>2.5215533333333338</v>
      </c>
      <c r="J84" s="329">
        <f t="shared" ref="J84:J96" si="205">J35/1000/24/J$3</f>
        <v>2.0250527965740726</v>
      </c>
      <c r="K84" s="380">
        <f>+SUM(K85:K88)</f>
        <v>2.5215533333333333</v>
      </c>
      <c r="L84" s="329">
        <f t="shared" ref="L84" si="206">L35/1000/24/L$3</f>
        <v>2.2689348890232983</v>
      </c>
      <c r="M84" s="930">
        <f t="shared" ref="M84:N96" si="207">M35/1000/24/M$3</f>
        <v>2.5215533333333333</v>
      </c>
      <c r="N84" s="930">
        <f t="shared" si="207"/>
        <v>2.148992876343351</v>
      </c>
      <c r="O84" s="380">
        <f>+SUM(O85:O88)</f>
        <v>2.4533266666666669</v>
      </c>
      <c r="P84" s="329">
        <f t="shared" ref="P84:P96" si="208">P35/1000/24/P$3</f>
        <v>2.2147446018518502</v>
      </c>
      <c r="Q84" s="931">
        <f t="shared" ref="Q84:R96" si="209">Q35/1000/24/Q$3</f>
        <v>2.4990610256410255</v>
      </c>
      <c r="R84" s="931">
        <f t="shared" si="209"/>
        <v>2.1706692693681311</v>
      </c>
      <c r="S84" s="380">
        <f>+SUM(S85:S88)</f>
        <v>2.4533266666666669</v>
      </c>
      <c r="T84" s="329">
        <f t="shared" ref="T84:T96" si="210">T35/1000/24/T$3</f>
        <v>2.1732506568100356</v>
      </c>
      <c r="U84" s="930">
        <f t="shared" ref="U84:V96" si="211">U35/1000/24/U$3</f>
        <v>2.4874400000000003</v>
      </c>
      <c r="V84" s="930">
        <f t="shared" si="211"/>
        <v>2.1713251956853368</v>
      </c>
      <c r="W84" s="380">
        <f>+SUM(W85:W88)</f>
        <v>2.4533266666666669</v>
      </c>
      <c r="X84" s="329">
        <f t="shared" ref="X84:X96" si="212">X35/1000/24/X$3</f>
        <v>2.105497294802869</v>
      </c>
      <c r="Y84" s="930">
        <f t="shared" ref="Y84:Z96" si="213">Y35/1000/24/Y$3</f>
        <v>2.480528148148148</v>
      </c>
      <c r="Z84" s="930">
        <f t="shared" si="213"/>
        <v>2.1579875164215685</v>
      </c>
      <c r="AA84" s="380">
        <f>+SUM(AA85:AA88)</f>
        <v>2.420919</v>
      </c>
      <c r="AB84" s="329">
        <f t="shared" ref="AB84:AB96" si="214">AB35/1000/24/AB$3</f>
        <v>2.1918120717592586</v>
      </c>
      <c r="AC84" s="931">
        <f t="shared" ref="AC84:AF96" si="215">AC35/1000/24/AC$3</f>
        <v>2.4427589492753623</v>
      </c>
      <c r="AD84" s="931">
        <f t="shared" si="215"/>
        <v>2.1564733549214981</v>
      </c>
      <c r="AE84" s="932">
        <f t="shared" si="215"/>
        <v>2.4707561566484513</v>
      </c>
      <c r="AF84" s="932">
        <f t="shared" si="215"/>
        <v>2.1635325254933209</v>
      </c>
      <c r="AG84" s="380">
        <f>+SUM(AG85:AG88)</f>
        <v>2.4533266666666669</v>
      </c>
      <c r="AH84" s="329">
        <f t="shared" ref="AH84:AH96" si="216">AH35/1000/24/AH$3</f>
        <v>2.1293675775089587</v>
      </c>
      <c r="AI84" s="930">
        <f t="shared" ref="AI84:AJ96" si="217">AI35/1000/24/AI$3</f>
        <v>2.4682313239875384</v>
      </c>
      <c r="AJ84" s="930">
        <f t="shared" si="217"/>
        <v>2.1585833975142776</v>
      </c>
      <c r="AK84" s="380">
        <f>+SUM(AK85:AK88)</f>
        <v>2.4533266666666669</v>
      </c>
      <c r="AL84" s="329">
        <f t="shared" ref="AL84:AL96" si="218">AL35/1000/24/AL$3</f>
        <v>2.2110014685185195</v>
      </c>
      <c r="AM84" s="930">
        <f t="shared" ref="AM84:AN96" si="219">AM35/1000/24/AM$3</f>
        <v>2.4663987841530055</v>
      </c>
      <c r="AN84" s="930">
        <f t="shared" si="219"/>
        <v>2.1650282423098806</v>
      </c>
      <c r="AO84" s="380">
        <f>+SUM(AO85:AO88)</f>
        <v>2.4533266666666669</v>
      </c>
      <c r="AP84" s="329">
        <f t="shared" ref="AP84:AP96" si="220">AP35/1000/24/AP$3</f>
        <v>2.116809444892473</v>
      </c>
      <c r="AQ84" s="931">
        <f t="shared" ref="AQ84:AT96" si="221">AQ35/1000/24/AQ$3</f>
        <v>2.4533266666666664</v>
      </c>
      <c r="AR84" s="931">
        <f t="shared" si="221"/>
        <v>2.1517557798913036</v>
      </c>
      <c r="AS84" s="930">
        <f t="shared" si="221"/>
        <v>2.4649251999999997</v>
      </c>
      <c r="AT84" s="930">
        <f t="shared" si="221"/>
        <v>2.1595926687828277</v>
      </c>
      <c r="AU84" s="380">
        <f>+SUM(AU85:AU88)</f>
        <v>2.4533266666666669</v>
      </c>
      <c r="AV84" s="329">
        <f t="shared" ref="AV84:AV96" si="222">AV35/1000/24/AV$3</f>
        <v>2.1290197943548401</v>
      </c>
      <c r="AW84" s="930">
        <f t="shared" ref="AW84:AX96" si="223">AW35/1000/24/AW$3</f>
        <v>2.4637501851851846</v>
      </c>
      <c r="AX84" s="930">
        <f t="shared" si="223"/>
        <v>2.1564954167982928</v>
      </c>
      <c r="AY84" s="380">
        <f>+SUM(AY85:AY88)</f>
        <v>2.4533266666666669</v>
      </c>
      <c r="AZ84" s="329">
        <f t="shared" ref="AZ84:AZ96" si="224">AZ35/1000/24/AZ$3</f>
        <v>1.935802404761906</v>
      </c>
      <c r="BA84" s="930">
        <f t="shared" ref="BA84:BB96" si="225">BA35/1000/24/BA$3</f>
        <v>2.4628763572854289</v>
      </c>
      <c r="BB84" s="930">
        <f t="shared" si="225"/>
        <v>2.1379942062084161</v>
      </c>
      <c r="BC84" s="380">
        <f>+SUM(BC85:BC88)</f>
        <v>2.4533266666666669</v>
      </c>
      <c r="BD84" s="329">
        <f t="shared" ref="BD84:BJ96" si="226">BD35/1000/24/BD$3</f>
        <v>1.9395977464157685</v>
      </c>
      <c r="BE84" s="931">
        <f t="shared" si="226"/>
        <v>2.4533266666666664</v>
      </c>
      <c r="BF84" s="931">
        <f t="shared" si="226"/>
        <v>2.0036623455246914</v>
      </c>
      <c r="BG84" s="932">
        <f t="shared" si="226"/>
        <v>2.4533266666666664</v>
      </c>
      <c r="BH84" s="932">
        <f t="shared" si="226"/>
        <v>2.0785227628968248</v>
      </c>
      <c r="BI84" s="930">
        <f t="shared" si="226"/>
        <v>2.4620652876712321</v>
      </c>
      <c r="BJ84" s="930">
        <f t="shared" si="226"/>
        <v>2.1211440959246577</v>
      </c>
      <c r="BK84" s="1202"/>
      <c r="BL84" s="1202"/>
      <c r="BM84" s="1202"/>
      <c r="BN84" s="1202"/>
      <c r="BO84" s="1202"/>
    </row>
    <row r="85" spans="1:67" ht="21" thickBot="1" x14ac:dyDescent="0.35">
      <c r="A85" s="269"/>
      <c r="B85" s="301" t="s">
        <v>516</v>
      </c>
      <c r="C85" s="207" t="s">
        <v>381</v>
      </c>
      <c r="D85" s="311">
        <f>+((D43/1000)/D$3)/24</f>
        <v>110.28636605083337</v>
      </c>
      <c r="E85" s="311">
        <f>+((E43/1000)/E$3)/24</f>
        <v>113.44019473978493</v>
      </c>
      <c r="G85" s="904" t="s">
        <v>768</v>
      </c>
      <c r="H85" s="266" t="s">
        <v>729</v>
      </c>
      <c r="I85" s="379">
        <v>1.6715533333333334</v>
      </c>
      <c r="J85" s="325">
        <f t="shared" si="205"/>
        <v>1.5147680555555545</v>
      </c>
      <c r="K85" s="379">
        <v>1.6715533333333332</v>
      </c>
      <c r="L85" s="325">
        <f t="shared" ref="L85" si="227">L36/1000/24/L$3</f>
        <v>1.6557514784946237</v>
      </c>
      <c r="M85" s="926">
        <f t="shared" si="207"/>
        <v>1.6715533333333337</v>
      </c>
      <c r="N85" s="926">
        <f t="shared" si="207"/>
        <v>1.5864153688524585</v>
      </c>
      <c r="O85" s="379">
        <v>1.6033266666666666</v>
      </c>
      <c r="P85" s="325">
        <f t="shared" si="208"/>
        <v>1.6648472222222221</v>
      </c>
      <c r="Q85" s="927">
        <f t="shared" si="209"/>
        <v>1.6490610256410259</v>
      </c>
      <c r="R85" s="927">
        <f t="shared" si="209"/>
        <v>1.6122720238095236</v>
      </c>
      <c r="S85" s="379">
        <v>1.6033266666666668</v>
      </c>
      <c r="T85" s="325">
        <f t="shared" si="210"/>
        <v>1.6151774193548387</v>
      </c>
      <c r="U85" s="926">
        <f t="shared" si="211"/>
        <v>1.63744</v>
      </c>
      <c r="V85" s="926">
        <f t="shared" si="211"/>
        <v>1.6130102800546446</v>
      </c>
      <c r="W85" s="379">
        <v>1.6033266666666668</v>
      </c>
      <c r="X85" s="325">
        <f t="shared" si="212"/>
        <v>1.5753266129032257</v>
      </c>
      <c r="Y85" s="926">
        <f t="shared" si="213"/>
        <v>1.6305281481481482</v>
      </c>
      <c r="Z85" s="926">
        <f t="shared" si="213"/>
        <v>1.6053750272331153</v>
      </c>
      <c r="AA85" s="379">
        <v>1.570919</v>
      </c>
      <c r="AB85" s="325">
        <f t="shared" si="214"/>
        <v>1.5514680555555551</v>
      </c>
      <c r="AC85" s="927">
        <f t="shared" si="215"/>
        <v>1.5927589492753622</v>
      </c>
      <c r="AD85" s="927">
        <f t="shared" si="215"/>
        <v>1.5809746376811591</v>
      </c>
      <c r="AE85" s="928">
        <f t="shared" si="215"/>
        <v>1.6207561566484516</v>
      </c>
      <c r="AF85" s="928">
        <f t="shared" si="215"/>
        <v>1.5965378187613843</v>
      </c>
      <c r="AG85" s="379">
        <v>1.6033266666666668</v>
      </c>
      <c r="AH85" s="325">
        <f t="shared" si="216"/>
        <v>1.5273064516129027</v>
      </c>
      <c r="AI85" s="926">
        <f t="shared" si="217"/>
        <v>1.618231323987539</v>
      </c>
      <c r="AJ85" s="926">
        <f t="shared" si="217"/>
        <v>1.5865089758566979</v>
      </c>
      <c r="AK85" s="379">
        <v>1.6033266666666666</v>
      </c>
      <c r="AL85" s="325">
        <f t="shared" si="218"/>
        <v>1.5690472222222231</v>
      </c>
      <c r="AM85" s="926">
        <f t="shared" si="219"/>
        <v>1.6163987841530054</v>
      </c>
      <c r="AN85" s="926">
        <f t="shared" si="219"/>
        <v>1.584362038934426</v>
      </c>
      <c r="AO85" s="379">
        <v>1.6033266666666668</v>
      </c>
      <c r="AP85" s="325">
        <f t="shared" si="220"/>
        <v>1.476849462365591</v>
      </c>
      <c r="AQ85" s="927">
        <f t="shared" si="221"/>
        <v>1.6033266666666668</v>
      </c>
      <c r="AR85" s="927">
        <f t="shared" si="221"/>
        <v>1.523915760869565</v>
      </c>
      <c r="AS85" s="926">
        <f t="shared" si="221"/>
        <v>1.6149252000000001</v>
      </c>
      <c r="AT85" s="926">
        <f t="shared" si="221"/>
        <v>1.5722424393939394</v>
      </c>
      <c r="AU85" s="379">
        <v>1.6033266666666668</v>
      </c>
      <c r="AV85" s="325">
        <f t="shared" si="222"/>
        <v>1.4510295698924727</v>
      </c>
      <c r="AW85" s="926">
        <f t="shared" si="223"/>
        <v>1.6137501851851852</v>
      </c>
      <c r="AX85" s="926">
        <f t="shared" si="223"/>
        <v>1.5599627042483659</v>
      </c>
      <c r="AY85" s="379">
        <v>1.6033266666666666</v>
      </c>
      <c r="AZ85" s="325">
        <f t="shared" si="224"/>
        <v>1.3635386904761917</v>
      </c>
      <c r="BA85" s="926">
        <f t="shared" si="225"/>
        <v>1.612876357285429</v>
      </c>
      <c r="BB85" s="926">
        <f t="shared" si="225"/>
        <v>1.5434960204590817</v>
      </c>
      <c r="BC85" s="379">
        <v>1.6033266666666668</v>
      </c>
      <c r="BD85" s="325">
        <f t="shared" si="226"/>
        <v>1.4580967741935471</v>
      </c>
      <c r="BE85" s="927">
        <f t="shared" si="226"/>
        <v>1.6033266666666668</v>
      </c>
      <c r="BF85" s="927">
        <f t="shared" si="226"/>
        <v>1.426244444444444</v>
      </c>
      <c r="BG85" s="928">
        <f t="shared" si="226"/>
        <v>1.6033266666666666</v>
      </c>
      <c r="BH85" s="928">
        <f t="shared" si="226"/>
        <v>1.4756167582417576</v>
      </c>
      <c r="BI85" s="926">
        <f t="shared" si="226"/>
        <v>1.6120652876712325</v>
      </c>
      <c r="BJ85" s="926">
        <f t="shared" si="226"/>
        <v>1.5362429337899541</v>
      </c>
      <c r="BK85" s="1202"/>
      <c r="BL85" s="1202"/>
      <c r="BM85" s="1202"/>
      <c r="BN85" s="1202"/>
      <c r="BO85" s="1202"/>
    </row>
    <row r="86" spans="1:67" x14ac:dyDescent="0.3">
      <c r="G86" s="904" t="s">
        <v>769</v>
      </c>
      <c r="H86" s="266" t="s">
        <v>730</v>
      </c>
      <c r="I86" s="379">
        <v>0.5</v>
      </c>
      <c r="J86" s="325">
        <f t="shared" si="205"/>
        <v>0.30725601851851897</v>
      </c>
      <c r="K86" s="379">
        <v>0.5</v>
      </c>
      <c r="L86" s="325">
        <f t="shared" ref="L86" si="228">L37/1000/24/L$3</f>
        <v>0.29523297491039385</v>
      </c>
      <c r="M86" s="926">
        <f t="shared" si="207"/>
        <v>0.5</v>
      </c>
      <c r="N86" s="926">
        <f t="shared" si="207"/>
        <v>0.30114594717668486</v>
      </c>
      <c r="O86" s="379">
        <v>0.5</v>
      </c>
      <c r="P86" s="325">
        <f t="shared" si="208"/>
        <v>0.31466990740740697</v>
      </c>
      <c r="Q86" s="927">
        <f t="shared" si="209"/>
        <v>0.5</v>
      </c>
      <c r="R86" s="927">
        <f t="shared" si="209"/>
        <v>0.30560439560439545</v>
      </c>
      <c r="S86" s="379">
        <v>0.5</v>
      </c>
      <c r="T86" s="325">
        <f t="shared" si="210"/>
        <v>0.3273006272401433</v>
      </c>
      <c r="U86" s="926">
        <f t="shared" si="211"/>
        <v>0.5</v>
      </c>
      <c r="V86" s="926">
        <f t="shared" si="211"/>
        <v>0.31111737249544613</v>
      </c>
      <c r="W86" s="379">
        <v>0.5</v>
      </c>
      <c r="X86" s="325">
        <f t="shared" si="212"/>
        <v>0.30991442652329837</v>
      </c>
      <c r="Y86" s="926">
        <f t="shared" si="213"/>
        <v>0.5</v>
      </c>
      <c r="Z86" s="926">
        <f t="shared" si="213"/>
        <v>0.31087363834422665</v>
      </c>
      <c r="AA86" s="379">
        <v>0.5</v>
      </c>
      <c r="AB86" s="325">
        <f t="shared" si="214"/>
        <v>0.36985592592592603</v>
      </c>
      <c r="AC86" s="927">
        <f t="shared" si="215"/>
        <v>0.5</v>
      </c>
      <c r="AD86" s="927">
        <f t="shared" si="215"/>
        <v>0.33531896135265726</v>
      </c>
      <c r="AE86" s="928">
        <f t="shared" si="215"/>
        <v>0.5</v>
      </c>
      <c r="AF86" s="928">
        <f t="shared" si="215"/>
        <v>0.32054286581663638</v>
      </c>
      <c r="AG86" s="379">
        <v>0.5</v>
      </c>
      <c r="AH86" s="325">
        <f t="shared" si="216"/>
        <v>0.3657374551971323</v>
      </c>
      <c r="AI86" s="926">
        <f t="shared" si="217"/>
        <v>0.5</v>
      </c>
      <c r="AJ86" s="926">
        <f t="shared" si="217"/>
        <v>0.32708974558670828</v>
      </c>
      <c r="AK86" s="379">
        <v>0.5</v>
      </c>
      <c r="AL86" s="325">
        <f t="shared" si="218"/>
        <v>0.33826712962962913</v>
      </c>
      <c r="AM86" s="926">
        <f t="shared" si="219"/>
        <v>0.5</v>
      </c>
      <c r="AN86" s="926">
        <f t="shared" si="219"/>
        <v>0.32846401411657555</v>
      </c>
      <c r="AO86" s="379">
        <v>0.5</v>
      </c>
      <c r="AP86" s="325">
        <f t="shared" si="220"/>
        <v>0.33320430107526872</v>
      </c>
      <c r="AQ86" s="927">
        <f t="shared" si="221"/>
        <v>0.5</v>
      </c>
      <c r="AR86" s="927">
        <f t="shared" si="221"/>
        <v>0.34581748188405764</v>
      </c>
      <c r="AS86" s="926">
        <f t="shared" si="221"/>
        <v>0.5</v>
      </c>
      <c r="AT86" s="926">
        <f t="shared" si="221"/>
        <v>0.32899837373737373</v>
      </c>
      <c r="AU86" s="379">
        <v>0.5</v>
      </c>
      <c r="AV86" s="325">
        <f t="shared" si="222"/>
        <v>0.33027553763440887</v>
      </c>
      <c r="AW86" s="926">
        <f t="shared" si="223"/>
        <v>0.5</v>
      </c>
      <c r="AX86" s="926">
        <f t="shared" si="223"/>
        <v>0.32912775962236746</v>
      </c>
      <c r="AY86" s="379">
        <v>0.5</v>
      </c>
      <c r="AZ86" s="325">
        <f t="shared" si="224"/>
        <v>0.33462648809523826</v>
      </c>
      <c r="BA86" s="926">
        <f t="shared" si="225"/>
        <v>0.5</v>
      </c>
      <c r="BB86" s="926">
        <f t="shared" si="225"/>
        <v>0.32958873087159019</v>
      </c>
      <c r="BC86" s="379">
        <v>0.5</v>
      </c>
      <c r="BD86" s="325">
        <f t="shared" si="226"/>
        <v>0.23720206093189977</v>
      </c>
      <c r="BE86" s="927">
        <f t="shared" si="226"/>
        <v>0.5</v>
      </c>
      <c r="BF86" s="927">
        <f t="shared" si="226"/>
        <v>0.29957052469135825</v>
      </c>
      <c r="BG86" s="928">
        <f t="shared" si="226"/>
        <v>0.5</v>
      </c>
      <c r="BH86" s="928">
        <f t="shared" si="226"/>
        <v>0.32294810744810742</v>
      </c>
      <c r="BI86" s="926">
        <f t="shared" si="226"/>
        <v>0.5</v>
      </c>
      <c r="BJ86" s="926">
        <f t="shared" si="226"/>
        <v>0.32174219178082192</v>
      </c>
      <c r="BK86" s="1202"/>
      <c r="BL86" s="1202"/>
      <c r="BM86" s="1202"/>
      <c r="BN86" s="1202"/>
      <c r="BO86" s="1202"/>
    </row>
    <row r="87" spans="1:67" x14ac:dyDescent="0.3">
      <c r="G87" s="904" t="s">
        <v>770</v>
      </c>
      <c r="H87" s="266" t="s">
        <v>731</v>
      </c>
      <c r="I87" s="379">
        <v>0.2</v>
      </c>
      <c r="J87" s="325">
        <f t="shared" si="205"/>
        <v>0.11231511138888882</v>
      </c>
      <c r="K87" s="379">
        <v>0.2</v>
      </c>
      <c r="L87" s="325">
        <f t="shared" ref="L87" si="229">L38/1000/24/L$3</f>
        <v>0.13390204852150536</v>
      </c>
      <c r="M87" s="926">
        <f t="shared" si="207"/>
        <v>0.2</v>
      </c>
      <c r="N87" s="926">
        <f t="shared" si="207"/>
        <v>0.12328552206284152</v>
      </c>
      <c r="O87" s="379">
        <v>0.2</v>
      </c>
      <c r="P87" s="325">
        <f t="shared" si="208"/>
        <v>0.11789719444444444</v>
      </c>
      <c r="Q87" s="927">
        <f t="shared" si="209"/>
        <v>0.19999999999999998</v>
      </c>
      <c r="R87" s="927">
        <f t="shared" si="209"/>
        <v>0.12150915032051281</v>
      </c>
      <c r="S87" s="379">
        <v>0.2</v>
      </c>
      <c r="T87" s="325">
        <f t="shared" si="210"/>
        <v>0.1094425026881717</v>
      </c>
      <c r="U87" s="926">
        <f t="shared" si="211"/>
        <v>0.2</v>
      </c>
      <c r="V87" s="926">
        <f t="shared" si="211"/>
        <v>0.11844303493852448</v>
      </c>
      <c r="W87" s="379">
        <v>0.2</v>
      </c>
      <c r="X87" s="325">
        <f t="shared" si="212"/>
        <v>0.13241297580645159</v>
      </c>
      <c r="Y87" s="926">
        <f t="shared" si="213"/>
        <v>0.19999999999999998</v>
      </c>
      <c r="Z87" s="926">
        <f t="shared" si="213"/>
        <v>0.12127354583333325</v>
      </c>
      <c r="AA87" s="379">
        <v>0.2</v>
      </c>
      <c r="AB87" s="325">
        <f t="shared" si="214"/>
        <v>0.13913364583333362</v>
      </c>
      <c r="AC87" s="927">
        <f t="shared" si="215"/>
        <v>0.2</v>
      </c>
      <c r="AD87" s="927">
        <f t="shared" si="215"/>
        <v>0.12686444791666665</v>
      </c>
      <c r="AE87" s="928">
        <f t="shared" si="215"/>
        <v>0.2</v>
      </c>
      <c r="AF87" s="928">
        <f t="shared" si="215"/>
        <v>0.12420143107923497</v>
      </c>
      <c r="AG87" s="379">
        <v>0.2</v>
      </c>
      <c r="AH87" s="325">
        <f t="shared" si="216"/>
        <v>0.12535431586021478</v>
      </c>
      <c r="AI87" s="926">
        <f t="shared" si="217"/>
        <v>0.2</v>
      </c>
      <c r="AJ87" s="926">
        <f t="shared" si="217"/>
        <v>0.12436843775311519</v>
      </c>
      <c r="AK87" s="379">
        <v>0.2</v>
      </c>
      <c r="AL87" s="325">
        <f t="shared" si="218"/>
        <v>9.7254338888889194E-2</v>
      </c>
      <c r="AM87" s="926">
        <f t="shared" si="219"/>
        <v>0.2</v>
      </c>
      <c r="AN87" s="926">
        <f t="shared" si="219"/>
        <v>0.12103473707308741</v>
      </c>
      <c r="AO87" s="379">
        <v>0.2</v>
      </c>
      <c r="AP87" s="325">
        <f t="shared" si="220"/>
        <v>0.10389412231182757</v>
      </c>
      <c r="AQ87" s="927">
        <f t="shared" si="221"/>
        <v>0.2</v>
      </c>
      <c r="AR87" s="927">
        <f t="shared" si="221"/>
        <v>0.10896012771739119</v>
      </c>
      <c r="AS87" s="926">
        <f t="shared" si="221"/>
        <v>0.2</v>
      </c>
      <c r="AT87" s="926">
        <f t="shared" si="221"/>
        <v>0.11910252231818176</v>
      </c>
      <c r="AU87" s="379">
        <v>0.2</v>
      </c>
      <c r="AV87" s="325">
        <f t="shared" si="222"/>
        <v>9.7003396505376635E-2</v>
      </c>
      <c r="AW87" s="926">
        <f t="shared" si="223"/>
        <v>0.19999999999999998</v>
      </c>
      <c r="AX87" s="926">
        <f t="shared" si="223"/>
        <v>0.11686372199074072</v>
      </c>
      <c r="AY87" s="379">
        <v>0.2</v>
      </c>
      <c r="AZ87" s="325">
        <f t="shared" si="224"/>
        <v>8.2145857142857132E-2</v>
      </c>
      <c r="BA87" s="926">
        <f t="shared" si="225"/>
        <v>0.19999999999999998</v>
      </c>
      <c r="BB87" s="926">
        <f t="shared" si="225"/>
        <v>0.11395324230289418</v>
      </c>
      <c r="BC87" s="379">
        <v>0.2</v>
      </c>
      <c r="BD87" s="325">
        <f t="shared" si="226"/>
        <v>7.5242728494623476E-2</v>
      </c>
      <c r="BE87" s="927">
        <f t="shared" si="226"/>
        <v>0.2</v>
      </c>
      <c r="BF87" s="927">
        <f t="shared" si="226"/>
        <v>8.4885709722222272E-2</v>
      </c>
      <c r="BG87" s="928">
        <f t="shared" si="226"/>
        <v>0.19999999999999998</v>
      </c>
      <c r="BH87" s="928">
        <f t="shared" si="226"/>
        <v>9.7055195741758207E-2</v>
      </c>
      <c r="BI87" s="926">
        <f t="shared" si="226"/>
        <v>0.2</v>
      </c>
      <c r="BJ87" s="926">
        <f t="shared" si="226"/>
        <v>0.11066550003424652</v>
      </c>
      <c r="BK87" s="1202"/>
      <c r="BL87" s="1202"/>
      <c r="BM87" s="1202"/>
      <c r="BN87" s="1202"/>
      <c r="BO87" s="1202"/>
    </row>
    <row r="88" spans="1:67" x14ac:dyDescent="0.3">
      <c r="G88" s="904" t="s">
        <v>770</v>
      </c>
      <c r="H88" s="266" t="s">
        <v>732</v>
      </c>
      <c r="I88" s="379">
        <v>0.15</v>
      </c>
      <c r="J88" s="325">
        <f t="shared" si="205"/>
        <v>9.0713611111110301E-2</v>
      </c>
      <c r="K88" s="379">
        <v>0.15</v>
      </c>
      <c r="L88" s="325">
        <f t="shared" ref="L88" si="230">L39/1000/24/L$3</f>
        <v>0.18404838709677501</v>
      </c>
      <c r="M88" s="926">
        <f t="shared" si="207"/>
        <v>0.15</v>
      </c>
      <c r="N88" s="926">
        <f t="shared" si="207"/>
        <v>0.13814603825136615</v>
      </c>
      <c r="O88" s="379">
        <v>0.15</v>
      </c>
      <c r="P88" s="325">
        <f t="shared" si="208"/>
        <v>0.11733027777777695</v>
      </c>
      <c r="Q88" s="927">
        <f t="shared" si="209"/>
        <v>0.15</v>
      </c>
      <c r="R88" s="927">
        <f t="shared" si="209"/>
        <v>0.13128369963369937</v>
      </c>
      <c r="S88" s="379">
        <v>0.15</v>
      </c>
      <c r="T88" s="325">
        <f t="shared" si="210"/>
        <v>0.12133010752688173</v>
      </c>
      <c r="U88" s="926">
        <f t="shared" si="211"/>
        <v>0.15</v>
      </c>
      <c r="V88" s="926">
        <f t="shared" si="211"/>
        <v>0.12875450819672113</v>
      </c>
      <c r="W88" s="379">
        <v>0.15</v>
      </c>
      <c r="X88" s="325">
        <f t="shared" si="212"/>
        <v>8.7843279569893268E-2</v>
      </c>
      <c r="Y88" s="926">
        <f t="shared" si="213"/>
        <v>0.15</v>
      </c>
      <c r="Z88" s="926">
        <f t="shared" si="213"/>
        <v>0.12046530501089327</v>
      </c>
      <c r="AA88" s="379">
        <v>0.15</v>
      </c>
      <c r="AB88" s="325">
        <f t="shared" si="214"/>
        <v>0.13135444444444447</v>
      </c>
      <c r="AC88" s="927">
        <f t="shared" si="215"/>
        <v>0.15</v>
      </c>
      <c r="AD88" s="927">
        <f t="shared" si="215"/>
        <v>0.11331530797101476</v>
      </c>
      <c r="AE88" s="928">
        <f t="shared" si="215"/>
        <v>0.15</v>
      </c>
      <c r="AF88" s="928">
        <f t="shared" si="215"/>
        <v>0.12225040983606558</v>
      </c>
      <c r="AG88" s="379">
        <v>0.15</v>
      </c>
      <c r="AH88" s="325">
        <f t="shared" si="216"/>
        <v>0.11096935483870891</v>
      </c>
      <c r="AI88" s="926">
        <f t="shared" si="217"/>
        <v>0.15</v>
      </c>
      <c r="AJ88" s="926">
        <f t="shared" si="217"/>
        <v>0.12061623831775693</v>
      </c>
      <c r="AK88" s="379">
        <v>0.15</v>
      </c>
      <c r="AL88" s="325">
        <f t="shared" si="218"/>
        <v>0.20643277777777783</v>
      </c>
      <c r="AM88" s="926">
        <f t="shared" si="219"/>
        <v>0.15</v>
      </c>
      <c r="AN88" s="926">
        <f t="shared" si="219"/>
        <v>0.13116745218579229</v>
      </c>
      <c r="AO88" s="379">
        <v>0.15</v>
      </c>
      <c r="AP88" s="325">
        <f t="shared" si="220"/>
        <v>0.20286155913978579</v>
      </c>
      <c r="AQ88" s="927">
        <f t="shared" si="221"/>
        <v>0.15</v>
      </c>
      <c r="AR88" s="927">
        <f t="shared" si="221"/>
        <v>0.17306240942028991</v>
      </c>
      <c r="AS88" s="926">
        <f t="shared" si="221"/>
        <v>0.15</v>
      </c>
      <c r="AT88" s="926">
        <f t="shared" si="221"/>
        <v>0.13924933333333339</v>
      </c>
      <c r="AU88" s="379">
        <v>0.15</v>
      </c>
      <c r="AV88" s="325">
        <f t="shared" si="222"/>
        <v>0.25071129032258138</v>
      </c>
      <c r="AW88" s="926">
        <f t="shared" si="223"/>
        <v>0.15</v>
      </c>
      <c r="AX88" s="926">
        <f t="shared" si="223"/>
        <v>0.15054123093681929</v>
      </c>
      <c r="AY88" s="379">
        <v>0.15</v>
      </c>
      <c r="AZ88" s="325">
        <f t="shared" si="224"/>
        <v>0.15549136904761876</v>
      </c>
      <c r="BA88" s="926">
        <f t="shared" si="225"/>
        <v>0.15</v>
      </c>
      <c r="BB88" s="926">
        <f t="shared" si="225"/>
        <v>0.15095621257485037</v>
      </c>
      <c r="BC88" s="379">
        <v>0.15</v>
      </c>
      <c r="BD88" s="325">
        <f t="shared" si="226"/>
        <v>0.16905618279569842</v>
      </c>
      <c r="BE88" s="927">
        <f t="shared" si="226"/>
        <v>0.15</v>
      </c>
      <c r="BF88" s="927">
        <f t="shared" si="226"/>
        <v>0.19296166666666667</v>
      </c>
      <c r="BG88" s="928">
        <f t="shared" si="226"/>
        <v>0.15</v>
      </c>
      <c r="BH88" s="928">
        <f t="shared" si="226"/>
        <v>0.18290270146520149</v>
      </c>
      <c r="BI88" s="926">
        <f t="shared" si="226"/>
        <v>0.15</v>
      </c>
      <c r="BJ88" s="926">
        <f t="shared" si="226"/>
        <v>0.15249347031963473</v>
      </c>
      <c r="BK88" s="1202"/>
      <c r="BL88" s="1202"/>
      <c r="BM88" s="1202"/>
      <c r="BN88" s="1202"/>
      <c r="BO88" s="1202"/>
    </row>
    <row r="89" spans="1:67" x14ac:dyDescent="0.3">
      <c r="G89" s="915">
        <v>4.2</v>
      </c>
      <c r="H89" s="830" t="s">
        <v>733</v>
      </c>
      <c r="I89" s="380">
        <f>+I90+I92</f>
        <v>13.324999999999999</v>
      </c>
      <c r="J89" s="329">
        <f t="shared" si="205"/>
        <v>12.189247317592594</v>
      </c>
      <c r="K89" s="380">
        <f>+K90+K92</f>
        <v>13.324999999999999</v>
      </c>
      <c r="L89" s="329">
        <f t="shared" ref="L89" si="231">L40/1000/24/L$3</f>
        <v>12.96401968772402</v>
      </c>
      <c r="M89" s="930">
        <f t="shared" si="207"/>
        <v>13.324999999999999</v>
      </c>
      <c r="N89" s="930">
        <f t="shared" si="207"/>
        <v>12.582984095856103</v>
      </c>
      <c r="O89" s="380">
        <f>+O90+O92</f>
        <v>13.324999999999999</v>
      </c>
      <c r="P89" s="329">
        <f t="shared" si="208"/>
        <v>13.568987913425923</v>
      </c>
      <c r="Q89" s="931">
        <f t="shared" si="209"/>
        <v>13.325000000000001</v>
      </c>
      <c r="R89" s="931">
        <f t="shared" si="209"/>
        <v>12.908040299450549</v>
      </c>
      <c r="S89" s="380">
        <f>+S90+S92</f>
        <v>13.324999999999999</v>
      </c>
      <c r="T89" s="329">
        <f t="shared" si="210"/>
        <v>13.501502478942644</v>
      </c>
      <c r="U89" s="930">
        <f t="shared" si="211"/>
        <v>13.324999999999999</v>
      </c>
      <c r="V89" s="930">
        <f t="shared" si="211"/>
        <v>13.058838066370672</v>
      </c>
      <c r="W89" s="380">
        <f>+W90+W92</f>
        <v>13.324999999999999</v>
      </c>
      <c r="X89" s="329">
        <f t="shared" si="212"/>
        <v>13.262526573476725</v>
      </c>
      <c r="Y89" s="930">
        <f t="shared" si="213"/>
        <v>13.325000000000001</v>
      </c>
      <c r="Z89" s="930">
        <f t="shared" si="213"/>
        <v>13.100108286764709</v>
      </c>
      <c r="AA89" s="380">
        <f>+AA90+AA92</f>
        <v>13.324999999999999</v>
      </c>
      <c r="AB89" s="329">
        <f t="shared" si="214"/>
        <v>13.427409061574066</v>
      </c>
      <c r="AC89" s="931">
        <f t="shared" si="215"/>
        <v>13.324999999999999</v>
      </c>
      <c r="AD89" s="931">
        <f t="shared" si="215"/>
        <v>13.396817092089375</v>
      </c>
      <c r="AE89" s="932">
        <f t="shared" si="215"/>
        <v>13.324999999999999</v>
      </c>
      <c r="AF89" s="932">
        <f t="shared" si="215"/>
        <v>13.153764151487554</v>
      </c>
      <c r="AG89" s="380">
        <f>+AG90+AG92</f>
        <v>13.324999999999999</v>
      </c>
      <c r="AH89" s="329">
        <f t="shared" si="216"/>
        <v>11.997667318996413</v>
      </c>
      <c r="AI89" s="930">
        <f t="shared" si="217"/>
        <v>13.324999999999999</v>
      </c>
      <c r="AJ89" s="930">
        <f t="shared" si="217"/>
        <v>12.986292180425755</v>
      </c>
      <c r="AK89" s="380">
        <f>+AK90+AK92</f>
        <v>13.324999999999999</v>
      </c>
      <c r="AL89" s="329">
        <f t="shared" si="218"/>
        <v>12.289975352314809</v>
      </c>
      <c r="AM89" s="930">
        <f t="shared" si="219"/>
        <v>13.324999999999999</v>
      </c>
      <c r="AN89" s="930">
        <f t="shared" si="219"/>
        <v>12.900679455658015</v>
      </c>
      <c r="AO89" s="380">
        <f>+AO90+AO92</f>
        <v>13.324999999999999</v>
      </c>
      <c r="AP89" s="329">
        <f t="shared" si="220"/>
        <v>12.185383995967745</v>
      </c>
      <c r="AQ89" s="931">
        <f t="shared" si="221"/>
        <v>13.324999999999999</v>
      </c>
      <c r="AR89" s="931">
        <f t="shared" si="221"/>
        <v>12.15623751449275</v>
      </c>
      <c r="AS89" s="930">
        <f t="shared" si="221"/>
        <v>13.324999999999999</v>
      </c>
      <c r="AT89" s="930">
        <f t="shared" si="221"/>
        <v>12.82004614929293</v>
      </c>
      <c r="AU89" s="380">
        <f>+AU90+AU92</f>
        <v>13.324999999999999</v>
      </c>
      <c r="AV89" s="329">
        <f t="shared" si="222"/>
        <v>11.94422597580645</v>
      </c>
      <c r="AW89" s="930">
        <f t="shared" si="223"/>
        <v>13.325000000000001</v>
      </c>
      <c r="AX89" s="930">
        <f t="shared" si="223"/>
        <v>12.731319268972404</v>
      </c>
      <c r="AY89" s="380">
        <f>+AY90+AY92</f>
        <v>13.324999999999999</v>
      </c>
      <c r="AZ89" s="329">
        <f t="shared" si="224"/>
        <v>10.868194433035722</v>
      </c>
      <c r="BA89" s="930">
        <f t="shared" si="225"/>
        <v>13.325000000000001</v>
      </c>
      <c r="BB89" s="930">
        <f t="shared" si="225"/>
        <v>12.575129162965737</v>
      </c>
      <c r="BC89" s="380">
        <f>+BC90+BC92</f>
        <v>13.324999999999999</v>
      </c>
      <c r="BD89" s="329">
        <f t="shared" si="226"/>
        <v>11.598129564068088</v>
      </c>
      <c r="BE89" s="931">
        <f t="shared" si="226"/>
        <v>13.324999999999999</v>
      </c>
      <c r="BF89" s="931">
        <f t="shared" si="226"/>
        <v>11.490249620679013</v>
      </c>
      <c r="BG89" s="932">
        <f t="shared" si="226"/>
        <v>13.325000000000001</v>
      </c>
      <c r="BH89" s="932">
        <f t="shared" si="226"/>
        <v>11.826902841727716</v>
      </c>
      <c r="BI89" s="930">
        <f t="shared" si="226"/>
        <v>13.324999999999999</v>
      </c>
      <c r="BJ89" s="930">
        <f t="shared" si="226"/>
        <v>12.492151114840182</v>
      </c>
      <c r="BK89" s="1202"/>
      <c r="BL89" s="1202"/>
      <c r="BM89" s="1202"/>
      <c r="BN89" s="1202"/>
      <c r="BO89" s="1202"/>
    </row>
    <row r="90" spans="1:67" x14ac:dyDescent="0.3">
      <c r="G90" s="915" t="s">
        <v>772</v>
      </c>
      <c r="H90" s="830" t="s">
        <v>734</v>
      </c>
      <c r="I90" s="380">
        <f>+I91</f>
        <v>7.8</v>
      </c>
      <c r="J90" s="329">
        <f t="shared" si="205"/>
        <v>7.3698055555555557</v>
      </c>
      <c r="K90" s="380">
        <f>+K91</f>
        <v>7.8</v>
      </c>
      <c r="L90" s="329">
        <f t="shared" ref="L90" si="232">L41/1000/24/L$3</f>
        <v>7.6252688172043008</v>
      </c>
      <c r="M90" s="930">
        <f t="shared" si="207"/>
        <v>7.8</v>
      </c>
      <c r="N90" s="930">
        <f t="shared" si="207"/>
        <v>7.4996311475409829</v>
      </c>
      <c r="O90" s="380">
        <f>+O91</f>
        <v>7.8</v>
      </c>
      <c r="P90" s="329">
        <f t="shared" si="208"/>
        <v>8.2266916666666656</v>
      </c>
      <c r="Q90" s="931">
        <f t="shared" si="209"/>
        <v>7.8000000000000007</v>
      </c>
      <c r="R90" s="931">
        <f t="shared" si="209"/>
        <v>7.7393214285714285</v>
      </c>
      <c r="S90" s="380">
        <f>+S91</f>
        <v>7.8</v>
      </c>
      <c r="T90" s="329">
        <f t="shared" si="210"/>
        <v>8.3788759408602136</v>
      </c>
      <c r="U90" s="930">
        <f t="shared" si="211"/>
        <v>7.8</v>
      </c>
      <c r="V90" s="930">
        <f t="shared" si="211"/>
        <v>7.9018311816939892</v>
      </c>
      <c r="W90" s="380">
        <f>+W91</f>
        <v>7.8</v>
      </c>
      <c r="X90" s="329">
        <f t="shared" si="212"/>
        <v>8.2727244623655913</v>
      </c>
      <c r="Y90" s="930">
        <f t="shared" si="213"/>
        <v>7.7999999999999989</v>
      </c>
      <c r="Z90" s="930">
        <f t="shared" si="213"/>
        <v>7.9769794934640519</v>
      </c>
      <c r="AA90" s="380">
        <f>+AA91</f>
        <v>7.8</v>
      </c>
      <c r="AB90" s="329">
        <f t="shared" si="214"/>
        <v>8.2190277777777769</v>
      </c>
      <c r="AC90" s="931">
        <f t="shared" si="215"/>
        <v>7.8</v>
      </c>
      <c r="AD90" s="931">
        <f t="shared" si="215"/>
        <v>8.2909831068840578</v>
      </c>
      <c r="AE90" s="932">
        <f t="shared" si="215"/>
        <v>7.7999999999999989</v>
      </c>
      <c r="AF90" s="932">
        <f t="shared" si="215"/>
        <v>8.01665954007286</v>
      </c>
      <c r="AG90" s="380">
        <f>+AG91</f>
        <v>7.8</v>
      </c>
      <c r="AH90" s="329">
        <f t="shared" si="216"/>
        <v>7.3760752688172042</v>
      </c>
      <c r="AI90" s="930">
        <f t="shared" si="217"/>
        <v>7.8</v>
      </c>
      <c r="AJ90" s="930">
        <f t="shared" si="217"/>
        <v>7.9238646222741442</v>
      </c>
      <c r="AK90" s="380">
        <f>+AK91</f>
        <v>7.8</v>
      </c>
      <c r="AL90" s="329">
        <f t="shared" si="218"/>
        <v>8.0652777777777729</v>
      </c>
      <c r="AM90" s="930">
        <f t="shared" si="219"/>
        <v>7.8</v>
      </c>
      <c r="AN90" s="930">
        <f t="shared" si="219"/>
        <v>7.9412514856557381</v>
      </c>
      <c r="AO90" s="380">
        <f>+AO91</f>
        <v>7.8</v>
      </c>
      <c r="AP90" s="329">
        <f t="shared" si="220"/>
        <v>7.8126344086021513</v>
      </c>
      <c r="AQ90" s="931">
        <f t="shared" si="221"/>
        <v>7.8</v>
      </c>
      <c r="AR90" s="931">
        <f t="shared" si="221"/>
        <v>7.7479166666666659</v>
      </c>
      <c r="AS90" s="930">
        <f t="shared" si="221"/>
        <v>7.8</v>
      </c>
      <c r="AT90" s="930">
        <f t="shared" si="221"/>
        <v>7.9267528333333344</v>
      </c>
      <c r="AU90" s="380">
        <f>+AU91</f>
        <v>7.8</v>
      </c>
      <c r="AV90" s="329">
        <f t="shared" si="222"/>
        <v>7.4837365591397838</v>
      </c>
      <c r="AW90" s="930">
        <f t="shared" si="223"/>
        <v>7.7999999999999989</v>
      </c>
      <c r="AX90" s="930">
        <f t="shared" si="223"/>
        <v>7.8818720996732035</v>
      </c>
      <c r="AY90" s="380">
        <f>+AY91</f>
        <v>7.8</v>
      </c>
      <c r="AZ90" s="329">
        <f t="shared" si="224"/>
        <v>7.4389880952380949</v>
      </c>
      <c r="BA90" s="930">
        <f t="shared" si="225"/>
        <v>7.8000000000000007</v>
      </c>
      <c r="BB90" s="930">
        <f t="shared" si="225"/>
        <v>7.8447440993013977</v>
      </c>
      <c r="BC90" s="380">
        <f>+BC91</f>
        <v>7.8</v>
      </c>
      <c r="BD90" s="329">
        <f t="shared" si="226"/>
        <v>7.9709879032258089</v>
      </c>
      <c r="BE90" s="931">
        <f t="shared" si="226"/>
        <v>7.8</v>
      </c>
      <c r="BF90" s="931">
        <f t="shared" si="226"/>
        <v>7.6376458333333339</v>
      </c>
      <c r="BG90" s="932">
        <f t="shared" si="226"/>
        <v>7.8000000000000007</v>
      </c>
      <c r="BH90" s="932">
        <f t="shared" si="226"/>
        <v>7.6933871336996322</v>
      </c>
      <c r="BI90" s="930">
        <f t="shared" si="226"/>
        <v>7.8</v>
      </c>
      <c r="BJ90" s="930">
        <f t="shared" si="226"/>
        <v>7.8554661757990871</v>
      </c>
      <c r="BK90" s="1202"/>
      <c r="BL90" s="1202"/>
      <c r="BM90" s="1202"/>
      <c r="BN90" s="1202"/>
      <c r="BO90" s="1202"/>
    </row>
    <row r="91" spans="1:67" x14ac:dyDescent="0.3">
      <c r="G91" s="904" t="s">
        <v>773</v>
      </c>
      <c r="H91" s="266" t="s">
        <v>735</v>
      </c>
      <c r="I91" s="324">
        <v>7.8</v>
      </c>
      <c r="J91" s="325">
        <f t="shared" si="205"/>
        <v>7.3698055555555557</v>
      </c>
      <c r="K91" s="324">
        <v>7.8</v>
      </c>
      <c r="L91" s="325">
        <f t="shared" ref="L91" si="233">L42/1000/24/L$3</f>
        <v>7.6252688172043008</v>
      </c>
      <c r="M91" s="926">
        <f t="shared" si="207"/>
        <v>7.8</v>
      </c>
      <c r="N91" s="926">
        <f t="shared" si="207"/>
        <v>7.4996311475409829</v>
      </c>
      <c r="O91" s="324">
        <v>7.8</v>
      </c>
      <c r="P91" s="325">
        <f t="shared" si="208"/>
        <v>8.2266916666666656</v>
      </c>
      <c r="Q91" s="927">
        <f t="shared" si="209"/>
        <v>7.8000000000000007</v>
      </c>
      <c r="R91" s="927">
        <f t="shared" si="209"/>
        <v>7.7393214285714285</v>
      </c>
      <c r="S91" s="324">
        <v>7.8</v>
      </c>
      <c r="T91" s="325">
        <f t="shared" si="210"/>
        <v>8.3788759408602136</v>
      </c>
      <c r="U91" s="926">
        <f t="shared" si="211"/>
        <v>7.8</v>
      </c>
      <c r="V91" s="926">
        <f t="shared" si="211"/>
        <v>7.9018311816939892</v>
      </c>
      <c r="W91" s="324">
        <v>7.8</v>
      </c>
      <c r="X91" s="325">
        <f t="shared" si="212"/>
        <v>8.2727244623655913</v>
      </c>
      <c r="Y91" s="926">
        <f t="shared" si="213"/>
        <v>7.7999999999999989</v>
      </c>
      <c r="Z91" s="926">
        <f t="shared" si="213"/>
        <v>7.9769794934640519</v>
      </c>
      <c r="AA91" s="324">
        <v>7.8</v>
      </c>
      <c r="AB91" s="325">
        <f t="shared" si="214"/>
        <v>8.2190277777777769</v>
      </c>
      <c r="AC91" s="927">
        <f t="shared" si="215"/>
        <v>7.8</v>
      </c>
      <c r="AD91" s="927">
        <f t="shared" si="215"/>
        <v>8.2909831068840578</v>
      </c>
      <c r="AE91" s="928">
        <f t="shared" si="215"/>
        <v>7.7999999999999989</v>
      </c>
      <c r="AF91" s="928">
        <f t="shared" si="215"/>
        <v>8.01665954007286</v>
      </c>
      <c r="AG91" s="324">
        <v>7.8</v>
      </c>
      <c r="AH91" s="325">
        <f t="shared" si="216"/>
        <v>7.3760752688172042</v>
      </c>
      <c r="AI91" s="926">
        <f t="shared" si="217"/>
        <v>7.8</v>
      </c>
      <c r="AJ91" s="926">
        <f t="shared" si="217"/>
        <v>7.9238646222741442</v>
      </c>
      <c r="AK91" s="324">
        <v>7.8</v>
      </c>
      <c r="AL91" s="325">
        <f t="shared" si="218"/>
        <v>8.0652777777777729</v>
      </c>
      <c r="AM91" s="926">
        <f t="shared" si="219"/>
        <v>7.8</v>
      </c>
      <c r="AN91" s="926">
        <f t="shared" si="219"/>
        <v>7.9412514856557381</v>
      </c>
      <c r="AO91" s="324">
        <v>7.8</v>
      </c>
      <c r="AP91" s="325">
        <f t="shared" si="220"/>
        <v>7.8126344086021513</v>
      </c>
      <c r="AQ91" s="927">
        <f t="shared" si="221"/>
        <v>7.8</v>
      </c>
      <c r="AR91" s="927">
        <f t="shared" si="221"/>
        <v>7.7479166666666659</v>
      </c>
      <c r="AS91" s="926">
        <f t="shared" si="221"/>
        <v>7.8</v>
      </c>
      <c r="AT91" s="926">
        <f t="shared" si="221"/>
        <v>7.9267528333333344</v>
      </c>
      <c r="AU91" s="324">
        <v>7.8</v>
      </c>
      <c r="AV91" s="325">
        <f t="shared" si="222"/>
        <v>7.4837365591397838</v>
      </c>
      <c r="AW91" s="926">
        <f t="shared" si="223"/>
        <v>7.7999999999999989</v>
      </c>
      <c r="AX91" s="926">
        <f t="shared" si="223"/>
        <v>7.8818720996732035</v>
      </c>
      <c r="AY91" s="324">
        <v>7.8</v>
      </c>
      <c r="AZ91" s="325">
        <f t="shared" si="224"/>
        <v>7.4389880952380949</v>
      </c>
      <c r="BA91" s="926">
        <f t="shared" si="225"/>
        <v>7.8000000000000007</v>
      </c>
      <c r="BB91" s="926">
        <f t="shared" si="225"/>
        <v>7.8447440993013977</v>
      </c>
      <c r="BC91" s="324">
        <v>7.8</v>
      </c>
      <c r="BD91" s="325">
        <f t="shared" si="226"/>
        <v>7.9709879032258089</v>
      </c>
      <c r="BE91" s="927">
        <f t="shared" si="226"/>
        <v>7.8</v>
      </c>
      <c r="BF91" s="927">
        <f t="shared" si="226"/>
        <v>7.6376458333333339</v>
      </c>
      <c r="BG91" s="928">
        <f t="shared" si="226"/>
        <v>7.8000000000000007</v>
      </c>
      <c r="BH91" s="928">
        <f t="shared" si="226"/>
        <v>7.6933871336996322</v>
      </c>
      <c r="BI91" s="926">
        <f t="shared" si="226"/>
        <v>7.8</v>
      </c>
      <c r="BJ91" s="926">
        <f t="shared" si="226"/>
        <v>7.8554661757990871</v>
      </c>
      <c r="BK91" s="1202"/>
      <c r="BL91" s="1202"/>
      <c r="BM91" s="1202"/>
      <c r="BN91" s="1202"/>
      <c r="BO91" s="1202"/>
    </row>
    <row r="92" spans="1:67" x14ac:dyDescent="0.3">
      <c r="G92" s="915" t="s">
        <v>774</v>
      </c>
      <c r="H92" s="830" t="s">
        <v>736</v>
      </c>
      <c r="I92" s="328">
        <f>+SUM(I93:I96)</f>
        <v>5.5250000000000004</v>
      </c>
      <c r="J92" s="329">
        <f t="shared" si="205"/>
        <v>4.81944176203704</v>
      </c>
      <c r="K92" s="328">
        <f>+SUM(K93:K96)</f>
        <v>5.5250000000000004</v>
      </c>
      <c r="L92" s="329">
        <f t="shared" ref="L92" si="234">L43/1000/24/L$3</f>
        <v>5.3387508705197169</v>
      </c>
      <c r="M92" s="930">
        <f t="shared" si="207"/>
        <v>5.5250000000000004</v>
      </c>
      <c r="N92" s="930">
        <f t="shared" si="207"/>
        <v>5.0833529483151221</v>
      </c>
      <c r="O92" s="328">
        <f>+SUM(O93:O96)</f>
        <v>5.5250000000000004</v>
      </c>
      <c r="P92" s="329">
        <f t="shared" si="208"/>
        <v>5.342296246759255</v>
      </c>
      <c r="Q92" s="931">
        <f t="shared" si="209"/>
        <v>5.5250000000000004</v>
      </c>
      <c r="R92" s="931">
        <f t="shared" si="209"/>
        <v>5.1687188708791219</v>
      </c>
      <c r="S92" s="328">
        <f>+SUM(S93:S96)</f>
        <v>5.5250000000000004</v>
      </c>
      <c r="T92" s="329">
        <f t="shared" si="210"/>
        <v>5.1226265380824296</v>
      </c>
      <c r="U92" s="930">
        <f t="shared" si="211"/>
        <v>5.5250000000000004</v>
      </c>
      <c r="V92" s="930">
        <f t="shared" si="211"/>
        <v>5.157006884676683</v>
      </c>
      <c r="W92" s="328">
        <f>+SUM(W93:W96)</f>
        <v>5.5250000000000004</v>
      </c>
      <c r="X92" s="329">
        <f t="shared" si="212"/>
        <v>4.9898021111111346</v>
      </c>
      <c r="Y92" s="930">
        <f t="shared" si="213"/>
        <v>5.5249999999999995</v>
      </c>
      <c r="Z92" s="930">
        <f t="shared" si="213"/>
        <v>5.1231287933006575</v>
      </c>
      <c r="AA92" s="328">
        <f>+SUM(AA93:AA96)</f>
        <v>5.5250000000000004</v>
      </c>
      <c r="AB92" s="329">
        <f t="shared" si="214"/>
        <v>5.2083812837962897</v>
      </c>
      <c r="AC92" s="931">
        <f t="shared" si="215"/>
        <v>5.5250000000000004</v>
      </c>
      <c r="AD92" s="931">
        <f t="shared" si="215"/>
        <v>5.1058339852053169</v>
      </c>
      <c r="AE92" s="932">
        <f t="shared" si="215"/>
        <v>5.5249999999999995</v>
      </c>
      <c r="AF92" s="932">
        <f t="shared" si="215"/>
        <v>5.1371046114146948</v>
      </c>
      <c r="AG92" s="328">
        <f>+SUM(AG93:AG96)</f>
        <v>5.5250000000000004</v>
      </c>
      <c r="AH92" s="329">
        <f t="shared" si="216"/>
        <v>4.6215920501792098</v>
      </c>
      <c r="AI92" s="930">
        <f t="shared" si="217"/>
        <v>5.5250000000000004</v>
      </c>
      <c r="AJ92" s="930">
        <f t="shared" si="217"/>
        <v>5.0624275581516107</v>
      </c>
      <c r="AK92" s="328">
        <f>+SUM(AK93:AK96)</f>
        <v>5.5250000000000004</v>
      </c>
      <c r="AL92" s="329">
        <f t="shared" si="218"/>
        <v>4.2246975745370383</v>
      </c>
      <c r="AM92" s="930">
        <f t="shared" si="219"/>
        <v>5.5250000000000004</v>
      </c>
      <c r="AN92" s="930">
        <f t="shared" si="219"/>
        <v>4.9594279700022774</v>
      </c>
      <c r="AO92" s="328">
        <f>+SUM(AO93:AO96)</f>
        <v>5.5250000000000004</v>
      </c>
      <c r="AP92" s="329">
        <f t="shared" si="220"/>
        <v>4.3727495873655959</v>
      </c>
      <c r="AQ92" s="931">
        <f t="shared" si="221"/>
        <v>5.5250000000000004</v>
      </c>
      <c r="AR92" s="931">
        <f t="shared" si="221"/>
        <v>4.4083208478260891</v>
      </c>
      <c r="AS92" s="930">
        <f t="shared" si="221"/>
        <v>5.5250000000000004</v>
      </c>
      <c r="AT92" s="930">
        <f t="shared" si="221"/>
        <v>4.893293315959597</v>
      </c>
      <c r="AU92" s="328">
        <f>+SUM(AU93:AU96)</f>
        <v>5.5250000000000004</v>
      </c>
      <c r="AV92" s="329">
        <f t="shared" si="222"/>
        <v>4.4604894166666673</v>
      </c>
      <c r="AW92" s="930">
        <f t="shared" si="223"/>
        <v>5.5249999999999995</v>
      </c>
      <c r="AX92" s="930">
        <f t="shared" si="223"/>
        <v>4.8494471692992036</v>
      </c>
      <c r="AY92" s="328">
        <f>+SUM(AY93:AY96)</f>
        <v>5.5250000000000004</v>
      </c>
      <c r="AZ92" s="329">
        <f t="shared" si="224"/>
        <v>3.4292063377976274</v>
      </c>
      <c r="BA92" s="930">
        <f t="shared" si="225"/>
        <v>5.5250000000000004</v>
      </c>
      <c r="BB92" s="930">
        <f t="shared" si="225"/>
        <v>4.7303850636643405</v>
      </c>
      <c r="BC92" s="328">
        <f>+SUM(BC93:BC96)</f>
        <v>5.5250000000000004</v>
      </c>
      <c r="BD92" s="329">
        <f t="shared" si="226"/>
        <v>3.6271416608422817</v>
      </c>
      <c r="BE92" s="931">
        <f t="shared" si="226"/>
        <v>5.5250000000000004</v>
      </c>
      <c r="BF92" s="931">
        <f t="shared" si="226"/>
        <v>3.8526037873456769</v>
      </c>
      <c r="BG92" s="932">
        <f t="shared" si="226"/>
        <v>5.5250000000000004</v>
      </c>
      <c r="BH92" s="932">
        <f t="shared" si="226"/>
        <v>4.1335157080280833</v>
      </c>
      <c r="BI92" s="930">
        <f t="shared" si="226"/>
        <v>5.5250000000000004</v>
      </c>
      <c r="BJ92" s="930">
        <f t="shared" si="226"/>
        <v>4.6366849390410971</v>
      </c>
      <c r="BK92" s="1202"/>
      <c r="BL92" s="1202"/>
      <c r="BM92" s="1202"/>
      <c r="BN92" s="1202"/>
      <c r="BO92" s="1202"/>
    </row>
    <row r="93" spans="1:67" x14ac:dyDescent="0.3">
      <c r="G93" s="904" t="s">
        <v>775</v>
      </c>
      <c r="H93" s="266" t="s">
        <v>737</v>
      </c>
      <c r="I93" s="379">
        <v>0.52500000000000002</v>
      </c>
      <c r="J93" s="325">
        <f t="shared" si="205"/>
        <v>0.56164401898148075</v>
      </c>
      <c r="K93" s="379">
        <v>0.52500000000000002</v>
      </c>
      <c r="L93" s="325">
        <f t="shared" ref="L93" si="235">L44/1000/24/L$3</f>
        <v>0.5431220775089598</v>
      </c>
      <c r="M93" s="926">
        <f t="shared" si="207"/>
        <v>0.52500000000000002</v>
      </c>
      <c r="N93" s="926">
        <f t="shared" si="207"/>
        <v>0.55223122905282251</v>
      </c>
      <c r="O93" s="379">
        <v>0.52500000000000002</v>
      </c>
      <c r="P93" s="325">
        <f t="shared" si="208"/>
        <v>0.55911638148148191</v>
      </c>
      <c r="Q93" s="927">
        <f t="shared" si="209"/>
        <v>0.52500000000000002</v>
      </c>
      <c r="R93" s="927">
        <f t="shared" si="209"/>
        <v>0.55450105952380924</v>
      </c>
      <c r="S93" s="379">
        <v>0.52500000000000002</v>
      </c>
      <c r="T93" s="325">
        <f t="shared" si="210"/>
        <v>0.54146180689964152</v>
      </c>
      <c r="U93" s="926">
        <f t="shared" si="211"/>
        <v>0.52500000000000002</v>
      </c>
      <c r="V93" s="926">
        <f t="shared" si="211"/>
        <v>0.55118780680783208</v>
      </c>
      <c r="W93" s="379">
        <v>0.52500000000000002</v>
      </c>
      <c r="X93" s="325">
        <f t="shared" si="212"/>
        <v>0.55513426836917734</v>
      </c>
      <c r="Y93" s="926">
        <f t="shared" si="213"/>
        <v>0.52500000000000002</v>
      </c>
      <c r="Z93" s="926">
        <f t="shared" si="213"/>
        <v>0.55198741666666673</v>
      </c>
      <c r="AA93" s="379">
        <v>0.52500000000000002</v>
      </c>
      <c r="AB93" s="325">
        <f t="shared" si="214"/>
        <v>0.57793101990740792</v>
      </c>
      <c r="AC93" s="927">
        <f t="shared" si="215"/>
        <v>0.52500000000000002</v>
      </c>
      <c r="AD93" s="927">
        <f t="shared" si="215"/>
        <v>0.55796096663647421</v>
      </c>
      <c r="AE93" s="928">
        <f t="shared" si="215"/>
        <v>0.52500000000000002</v>
      </c>
      <c r="AF93" s="928">
        <f t="shared" si="215"/>
        <v>0.55624046637826374</v>
      </c>
      <c r="AG93" s="379">
        <v>0.52500000000000002</v>
      </c>
      <c r="AH93" s="325">
        <f t="shared" si="216"/>
        <v>0.51107114964157596</v>
      </c>
      <c r="AI93" s="926">
        <f t="shared" si="217"/>
        <v>0.52500000000000002</v>
      </c>
      <c r="AJ93" s="926">
        <f t="shared" si="217"/>
        <v>0.54969724759865013</v>
      </c>
      <c r="AK93" s="379">
        <v>0.52500000000000002</v>
      </c>
      <c r="AL93" s="325">
        <f t="shared" si="218"/>
        <v>0.40427717175925915</v>
      </c>
      <c r="AM93" s="926">
        <f t="shared" si="219"/>
        <v>0.52500000000000002</v>
      </c>
      <c r="AN93" s="926">
        <f t="shared" si="219"/>
        <v>0.53181773007741362</v>
      </c>
      <c r="AO93" s="379">
        <v>0.52500000000000002</v>
      </c>
      <c r="AP93" s="325">
        <f t="shared" si="220"/>
        <v>0.38879782661290191</v>
      </c>
      <c r="AQ93" s="927">
        <f t="shared" si="221"/>
        <v>0.52500000000000002</v>
      </c>
      <c r="AR93" s="927">
        <f t="shared" si="221"/>
        <v>0.43504623278985421</v>
      </c>
      <c r="AS93" s="926">
        <f t="shared" si="221"/>
        <v>0.52500000000000002</v>
      </c>
      <c r="AT93" s="926">
        <f t="shared" si="221"/>
        <v>0.51569548641414131</v>
      </c>
      <c r="AU93" s="379">
        <v>0.52500000000000002</v>
      </c>
      <c r="AV93" s="325">
        <f t="shared" si="222"/>
        <v>0.43049549193548381</v>
      </c>
      <c r="AW93" s="926">
        <f t="shared" si="223"/>
        <v>0.52500000000000002</v>
      </c>
      <c r="AX93" s="926">
        <f t="shared" si="223"/>
        <v>0.50706411442447352</v>
      </c>
      <c r="AY93" s="379">
        <v>0.52500000000000002</v>
      </c>
      <c r="AZ93" s="325">
        <f t="shared" si="224"/>
        <v>0.36825425446428833</v>
      </c>
      <c r="BA93" s="926">
        <f t="shared" si="225"/>
        <v>0.52500000000000002</v>
      </c>
      <c r="BB93" s="926">
        <f t="shared" si="225"/>
        <v>0.49542735969727231</v>
      </c>
      <c r="BC93" s="379">
        <v>0.52500000000000002</v>
      </c>
      <c r="BD93" s="325">
        <f t="shared" si="226"/>
        <v>0.33581117293906743</v>
      </c>
      <c r="BE93" s="927">
        <f t="shared" si="226"/>
        <v>0.52500000000000002</v>
      </c>
      <c r="BF93" s="927">
        <f t="shared" si="226"/>
        <v>0.37851806373456848</v>
      </c>
      <c r="BG93" s="928">
        <f t="shared" si="226"/>
        <v>0.52500000000000002</v>
      </c>
      <c r="BH93" s="928">
        <f t="shared" si="226"/>
        <v>0.40709274259768002</v>
      </c>
      <c r="BI93" s="926">
        <f t="shared" si="226"/>
        <v>0.52500000000000002</v>
      </c>
      <c r="BJ93" s="926">
        <f t="shared" si="226"/>
        <v>0.48187091643835628</v>
      </c>
      <c r="BK93" s="1202"/>
      <c r="BL93" s="1202"/>
      <c r="BM93" s="1202"/>
      <c r="BN93" s="1202"/>
      <c r="BO93" s="1202"/>
    </row>
    <row r="94" spans="1:67" x14ac:dyDescent="0.3">
      <c r="G94" s="904" t="s">
        <v>776</v>
      </c>
      <c r="H94" s="266" t="s">
        <v>738</v>
      </c>
      <c r="I94" s="379">
        <v>3.5</v>
      </c>
      <c r="J94" s="325">
        <f t="shared" si="205"/>
        <v>3.2660460763888954</v>
      </c>
      <c r="K94" s="379">
        <v>3.5</v>
      </c>
      <c r="L94" s="325">
        <f t="shared" ref="L94" si="236">L45/1000/24/L$3</f>
        <v>3.5180064811827969</v>
      </c>
      <c r="M94" s="926">
        <f t="shared" si="207"/>
        <v>3.5</v>
      </c>
      <c r="N94" s="926">
        <f t="shared" si="207"/>
        <v>3.3940915280054678</v>
      </c>
      <c r="O94" s="379">
        <v>3.5</v>
      </c>
      <c r="P94" s="325">
        <f t="shared" si="208"/>
        <v>3.7419615319444426</v>
      </c>
      <c r="Q94" s="927">
        <f t="shared" si="209"/>
        <v>3.5</v>
      </c>
      <c r="R94" s="927">
        <f t="shared" si="209"/>
        <v>3.5087739468864489</v>
      </c>
      <c r="S94" s="379">
        <v>3.5</v>
      </c>
      <c r="T94" s="325">
        <f t="shared" si="210"/>
        <v>3.5824975268817134</v>
      </c>
      <c r="U94" s="926">
        <f t="shared" si="211"/>
        <v>3.5</v>
      </c>
      <c r="V94" s="926">
        <f t="shared" si="211"/>
        <v>3.5275069877049172</v>
      </c>
      <c r="W94" s="379">
        <v>3.5</v>
      </c>
      <c r="X94" s="325">
        <f t="shared" si="212"/>
        <v>3.5530406922043176</v>
      </c>
      <c r="Y94" s="926">
        <f t="shared" si="213"/>
        <v>3.5</v>
      </c>
      <c r="Z94" s="926">
        <f t="shared" si="213"/>
        <v>3.5326804833878027</v>
      </c>
      <c r="AA94" s="379">
        <v>3.5</v>
      </c>
      <c r="AB94" s="325">
        <f t="shared" si="214"/>
        <v>3.5388672083333268</v>
      </c>
      <c r="AC94" s="927">
        <f t="shared" si="215"/>
        <v>3.5</v>
      </c>
      <c r="AD94" s="927">
        <f t="shared" si="215"/>
        <v>3.5583445765398558</v>
      </c>
      <c r="AE94" s="928">
        <f t="shared" si="215"/>
        <v>3.5</v>
      </c>
      <c r="AF94" s="928">
        <f t="shared" si="215"/>
        <v>3.5336947005919868</v>
      </c>
      <c r="AG94" s="379">
        <v>3.5</v>
      </c>
      <c r="AH94" s="325">
        <f t="shared" si="216"/>
        <v>3.0774270833333359</v>
      </c>
      <c r="AI94" s="926">
        <f t="shared" si="217"/>
        <v>3.5</v>
      </c>
      <c r="AJ94" s="926">
        <f t="shared" si="217"/>
        <v>3.4675998588395651</v>
      </c>
      <c r="AK94" s="379">
        <v>3.5</v>
      </c>
      <c r="AL94" s="325">
        <f t="shared" si="218"/>
        <v>2.4555365138888892</v>
      </c>
      <c r="AM94" s="926">
        <f t="shared" si="219"/>
        <v>3.5</v>
      </c>
      <c r="AN94" s="926">
        <f t="shared" si="219"/>
        <v>3.3431658410177607</v>
      </c>
      <c r="AO94" s="379">
        <v>3.5</v>
      </c>
      <c r="AP94" s="325">
        <f t="shared" si="220"/>
        <v>2.6255485349462386</v>
      </c>
      <c r="AQ94" s="927">
        <f t="shared" si="221"/>
        <v>3.5</v>
      </c>
      <c r="AR94" s="927">
        <f t="shared" si="221"/>
        <v>2.7223732563405818</v>
      </c>
      <c r="AS94" s="926">
        <f t="shared" si="221"/>
        <v>3.5</v>
      </c>
      <c r="AT94" s="926">
        <f t="shared" si="221"/>
        <v>3.262270799242426</v>
      </c>
      <c r="AU94" s="379">
        <v>3.5</v>
      </c>
      <c r="AV94" s="325">
        <f t="shared" si="222"/>
        <v>2.6763127419354809</v>
      </c>
      <c r="AW94" s="926">
        <f t="shared" si="223"/>
        <v>3.5</v>
      </c>
      <c r="AX94" s="926">
        <f t="shared" si="223"/>
        <v>3.2029090352668859</v>
      </c>
      <c r="AY94" s="379">
        <v>3.5</v>
      </c>
      <c r="AZ94" s="325">
        <f t="shared" si="224"/>
        <v>2.4012187500000066</v>
      </c>
      <c r="BA94" s="926">
        <f t="shared" si="225"/>
        <v>3.5</v>
      </c>
      <c r="BB94" s="926">
        <f t="shared" si="225"/>
        <v>3.1357014664421174</v>
      </c>
      <c r="BC94" s="379">
        <v>3.5</v>
      </c>
      <c r="BD94" s="325">
        <f t="shared" si="226"/>
        <v>2.5856702728494532</v>
      </c>
      <c r="BE94" s="927">
        <f t="shared" si="226"/>
        <v>3.5</v>
      </c>
      <c r="BF94" s="927">
        <f t="shared" si="226"/>
        <v>2.5595066495370351</v>
      </c>
      <c r="BG94" s="928">
        <f t="shared" si="226"/>
        <v>3.5</v>
      </c>
      <c r="BH94" s="928">
        <f t="shared" si="226"/>
        <v>2.641834824404762</v>
      </c>
      <c r="BI94" s="926">
        <f t="shared" si="226"/>
        <v>3.5</v>
      </c>
      <c r="BJ94" s="926">
        <f t="shared" si="226"/>
        <v>3.0889864883561655</v>
      </c>
      <c r="BK94" s="1202"/>
      <c r="BL94" s="1202"/>
      <c r="BM94" s="1202"/>
      <c r="BN94" s="1202"/>
      <c r="BO94" s="1202"/>
    </row>
    <row r="95" spans="1:67" x14ac:dyDescent="0.3">
      <c r="G95" s="904" t="s">
        <v>777</v>
      </c>
      <c r="H95" s="266" t="s">
        <v>739</v>
      </c>
      <c r="I95" s="379">
        <v>0.6</v>
      </c>
      <c r="J95" s="325">
        <f t="shared" si="205"/>
        <v>0.3628544444444412</v>
      </c>
      <c r="K95" s="379">
        <v>0.6</v>
      </c>
      <c r="L95" s="325">
        <f t="shared" ref="L95" si="237">L46/1000/24/L$3</f>
        <v>0.73619354838710005</v>
      </c>
      <c r="M95" s="926">
        <f t="shared" si="207"/>
        <v>0.6</v>
      </c>
      <c r="N95" s="926">
        <f t="shared" si="207"/>
        <v>0.5525841530054646</v>
      </c>
      <c r="O95" s="379">
        <v>0.6</v>
      </c>
      <c r="P95" s="325">
        <f t="shared" si="208"/>
        <v>0.4693211111111078</v>
      </c>
      <c r="Q95" s="927">
        <f t="shared" si="209"/>
        <v>0.6</v>
      </c>
      <c r="R95" s="927">
        <f t="shared" si="209"/>
        <v>0.5251347985347975</v>
      </c>
      <c r="S95" s="379">
        <v>0.6</v>
      </c>
      <c r="T95" s="325">
        <f t="shared" si="210"/>
        <v>0.4853204301075269</v>
      </c>
      <c r="U95" s="926">
        <f t="shared" si="211"/>
        <v>0.6</v>
      </c>
      <c r="V95" s="926">
        <f t="shared" si="211"/>
        <v>0.51501803278688452</v>
      </c>
      <c r="W95" s="379">
        <v>0.6</v>
      </c>
      <c r="X95" s="325">
        <f t="shared" si="212"/>
        <v>0.35137311827957307</v>
      </c>
      <c r="Y95" s="926">
        <f t="shared" si="213"/>
        <v>0.6</v>
      </c>
      <c r="Z95" s="926">
        <f t="shared" si="213"/>
        <v>0.48186122004357307</v>
      </c>
      <c r="AA95" s="379">
        <v>0.6</v>
      </c>
      <c r="AB95" s="325">
        <f t="shared" si="214"/>
        <v>0.52541777777777787</v>
      </c>
      <c r="AC95" s="927">
        <f t="shared" si="215"/>
        <v>0.6</v>
      </c>
      <c r="AD95" s="927">
        <f t="shared" si="215"/>
        <v>0.45326123188405903</v>
      </c>
      <c r="AE95" s="928">
        <f t="shared" si="215"/>
        <v>0.6</v>
      </c>
      <c r="AF95" s="928">
        <f t="shared" si="215"/>
        <v>0.48900163934426233</v>
      </c>
      <c r="AG95" s="379">
        <v>0.6</v>
      </c>
      <c r="AH95" s="325">
        <f t="shared" si="216"/>
        <v>0.44387741935483566</v>
      </c>
      <c r="AI95" s="926">
        <f t="shared" si="217"/>
        <v>0.6</v>
      </c>
      <c r="AJ95" s="926">
        <f t="shared" si="217"/>
        <v>0.48246495327102773</v>
      </c>
      <c r="AK95" s="379">
        <v>0.6</v>
      </c>
      <c r="AL95" s="325">
        <f t="shared" si="218"/>
        <v>0.8257311111111113</v>
      </c>
      <c r="AM95" s="926">
        <f t="shared" si="219"/>
        <v>0.6</v>
      </c>
      <c r="AN95" s="926">
        <f t="shared" si="219"/>
        <v>0.52466980874316915</v>
      </c>
      <c r="AO95" s="379">
        <v>0.6</v>
      </c>
      <c r="AP95" s="325">
        <f t="shared" si="220"/>
        <v>0.81144623655914316</v>
      </c>
      <c r="AQ95" s="927">
        <f t="shared" si="221"/>
        <v>0.6</v>
      </c>
      <c r="AR95" s="927">
        <f t="shared" si="221"/>
        <v>0.69224963768115966</v>
      </c>
      <c r="AS95" s="926">
        <f t="shared" si="221"/>
        <v>0.6</v>
      </c>
      <c r="AT95" s="926">
        <f t="shared" si="221"/>
        <v>0.55699733333333357</v>
      </c>
      <c r="AU95" s="379">
        <v>0.6</v>
      </c>
      <c r="AV95" s="325">
        <f t="shared" si="222"/>
        <v>1.0028451612903255</v>
      </c>
      <c r="AW95" s="926">
        <f t="shared" si="223"/>
        <v>0.6</v>
      </c>
      <c r="AX95" s="926">
        <f t="shared" si="223"/>
        <v>0.60216492374727715</v>
      </c>
      <c r="AY95" s="379">
        <v>0.6</v>
      </c>
      <c r="AZ95" s="325">
        <f t="shared" si="224"/>
        <v>0.62196547619047504</v>
      </c>
      <c r="BA95" s="926">
        <f t="shared" si="225"/>
        <v>0.6</v>
      </c>
      <c r="BB95" s="926">
        <f t="shared" si="225"/>
        <v>0.60382485029940147</v>
      </c>
      <c r="BC95" s="379">
        <v>0.6</v>
      </c>
      <c r="BD95" s="325">
        <f t="shared" si="226"/>
        <v>0.67622473118279369</v>
      </c>
      <c r="BE95" s="927">
        <f t="shared" si="226"/>
        <v>0.6</v>
      </c>
      <c r="BF95" s="927">
        <f t="shared" si="226"/>
        <v>0.77184666666666668</v>
      </c>
      <c r="BG95" s="928">
        <f t="shared" si="226"/>
        <v>0.6</v>
      </c>
      <c r="BH95" s="928">
        <f t="shared" si="226"/>
        <v>0.73161080586080596</v>
      </c>
      <c r="BI95" s="926">
        <f t="shared" si="226"/>
        <v>0.6</v>
      </c>
      <c r="BJ95" s="926">
        <f t="shared" si="226"/>
        <v>0.60997388127853891</v>
      </c>
      <c r="BK95" s="1202"/>
      <c r="BL95" s="1202"/>
      <c r="BM95" s="1202"/>
      <c r="BN95" s="1202"/>
      <c r="BO95" s="1202"/>
    </row>
    <row r="96" spans="1:67" ht="15" thickBot="1" x14ac:dyDescent="0.35">
      <c r="G96" s="904" t="s">
        <v>778</v>
      </c>
      <c r="H96" s="266" t="s">
        <v>740</v>
      </c>
      <c r="I96" s="382">
        <v>0.9</v>
      </c>
      <c r="J96" s="330">
        <f t="shared" si="205"/>
        <v>0.62889722222222211</v>
      </c>
      <c r="K96" s="382">
        <v>0.9</v>
      </c>
      <c r="L96" s="330">
        <f t="shared" ref="L96" si="238">L47/1000/24/L$3</f>
        <v>0.54142876344086011</v>
      </c>
      <c r="M96" s="933">
        <f t="shared" si="207"/>
        <v>0.9</v>
      </c>
      <c r="N96" s="933">
        <f t="shared" si="207"/>
        <v>0.58444603825136621</v>
      </c>
      <c r="O96" s="382">
        <v>0.9</v>
      </c>
      <c r="P96" s="330">
        <f t="shared" si="208"/>
        <v>0.57189722222222228</v>
      </c>
      <c r="Q96" s="934">
        <f t="shared" si="209"/>
        <v>0.89999999999999991</v>
      </c>
      <c r="R96" s="934">
        <f t="shared" si="209"/>
        <v>0.58030906593406595</v>
      </c>
      <c r="S96" s="382">
        <v>0.9</v>
      </c>
      <c r="T96" s="330">
        <f t="shared" si="210"/>
        <v>0.51334677419354746</v>
      </c>
      <c r="U96" s="933">
        <f t="shared" si="211"/>
        <v>0.9</v>
      </c>
      <c r="V96" s="933">
        <f t="shared" si="211"/>
        <v>0.56329405737704896</v>
      </c>
      <c r="W96" s="382">
        <v>0.9</v>
      </c>
      <c r="X96" s="330">
        <f t="shared" si="212"/>
        <v>0.53025403225806589</v>
      </c>
      <c r="Y96" s="933">
        <f t="shared" si="213"/>
        <v>0.90000000000000013</v>
      </c>
      <c r="Z96" s="933">
        <f t="shared" si="213"/>
        <v>0.5565996732026145</v>
      </c>
      <c r="AA96" s="382">
        <v>0.9</v>
      </c>
      <c r="AB96" s="330">
        <f t="shared" si="214"/>
        <v>0.56616527777777714</v>
      </c>
      <c r="AC96" s="934">
        <f t="shared" si="215"/>
        <v>0.9</v>
      </c>
      <c r="AD96" s="934">
        <f t="shared" si="215"/>
        <v>0.5362672101449274</v>
      </c>
      <c r="AE96" s="935">
        <f t="shared" si="215"/>
        <v>0.90000000000000013</v>
      </c>
      <c r="AF96" s="935">
        <f t="shared" si="215"/>
        <v>0.55816780510018216</v>
      </c>
      <c r="AG96" s="382">
        <v>0.9</v>
      </c>
      <c r="AH96" s="330">
        <f t="shared" si="216"/>
        <v>0.58921639784946211</v>
      </c>
      <c r="AI96" s="933">
        <f t="shared" si="217"/>
        <v>0.9</v>
      </c>
      <c r="AJ96" s="933">
        <f t="shared" si="217"/>
        <v>0.56266549844236757</v>
      </c>
      <c r="AK96" s="382">
        <v>0.9</v>
      </c>
      <c r="AL96" s="330">
        <f t="shared" si="218"/>
        <v>0.53915277777777848</v>
      </c>
      <c r="AM96" s="933">
        <f t="shared" si="219"/>
        <v>0.9</v>
      </c>
      <c r="AN96" s="933">
        <f t="shared" si="219"/>
        <v>0.55977459016393449</v>
      </c>
      <c r="AO96" s="382">
        <v>0.9</v>
      </c>
      <c r="AP96" s="330">
        <f t="shared" si="220"/>
        <v>0.54695698924731095</v>
      </c>
      <c r="AQ96" s="934">
        <f t="shared" si="221"/>
        <v>0.9</v>
      </c>
      <c r="AR96" s="934">
        <f t="shared" si="221"/>
        <v>0.55865172101449256</v>
      </c>
      <c r="AS96" s="933">
        <f t="shared" si="221"/>
        <v>0.9</v>
      </c>
      <c r="AT96" s="933">
        <f t="shared" si="221"/>
        <v>0.55832969696969703</v>
      </c>
      <c r="AU96" s="382">
        <v>0.9</v>
      </c>
      <c r="AV96" s="330">
        <f t="shared" si="222"/>
        <v>0.35083602150537707</v>
      </c>
      <c r="AW96" s="933">
        <f t="shared" si="223"/>
        <v>0.90000000000000013</v>
      </c>
      <c r="AX96" s="933">
        <f t="shared" si="223"/>
        <v>0.53730909586056652</v>
      </c>
      <c r="AY96" s="382">
        <v>0.9</v>
      </c>
      <c r="AZ96" s="330">
        <f t="shared" si="224"/>
        <v>3.7767857142857304E-2</v>
      </c>
      <c r="BA96" s="933">
        <f t="shared" si="225"/>
        <v>0.89999999999999991</v>
      </c>
      <c r="BB96" s="933">
        <f t="shared" si="225"/>
        <v>0.49543138722554902</v>
      </c>
      <c r="BC96" s="382">
        <v>0.9</v>
      </c>
      <c r="BD96" s="330">
        <f t="shared" si="226"/>
        <v>2.9435483870967255E-2</v>
      </c>
      <c r="BE96" s="934">
        <f t="shared" si="226"/>
        <v>0.9</v>
      </c>
      <c r="BF96" s="934">
        <f t="shared" si="226"/>
        <v>0.14273240740740759</v>
      </c>
      <c r="BG96" s="935">
        <f t="shared" si="226"/>
        <v>0.89999999999999991</v>
      </c>
      <c r="BH96" s="935">
        <f t="shared" si="226"/>
        <v>0.3529773351648352</v>
      </c>
      <c r="BI96" s="933">
        <f t="shared" si="226"/>
        <v>0.9</v>
      </c>
      <c r="BJ96" s="933">
        <f t="shared" si="226"/>
        <v>0.45585365296803654</v>
      </c>
      <c r="BK96" s="1202"/>
      <c r="BL96" s="1202"/>
      <c r="BM96" s="1202"/>
      <c r="BN96" s="1202"/>
      <c r="BO96" s="1202"/>
    </row>
    <row r="97" spans="9:64" x14ac:dyDescent="0.3">
      <c r="O97"/>
      <c r="AA97" s="146"/>
      <c r="AG97" s="146"/>
      <c r="AH97"/>
      <c r="AK97" s="146"/>
      <c r="AO97" s="146"/>
      <c r="BL97" s="1202"/>
    </row>
    <row r="98" spans="9:64" x14ac:dyDescent="0.3">
      <c r="I98" s="1202">
        <f>+I65-I66</f>
        <v>0</v>
      </c>
      <c r="J98" s="1202">
        <f t="shared" ref="J98:BJ98" si="239">+J65-J66</f>
        <v>0</v>
      </c>
      <c r="K98" s="1202">
        <f>+K65-K66</f>
        <v>0</v>
      </c>
      <c r="L98" s="1202">
        <f t="shared" ref="L98" si="240">+L65-L66</f>
        <v>0</v>
      </c>
      <c r="M98" s="1202">
        <f t="shared" si="239"/>
        <v>0</v>
      </c>
      <c r="N98" s="1202">
        <f t="shared" si="239"/>
        <v>0</v>
      </c>
      <c r="O98" s="1202">
        <f>+O65-O66</f>
        <v>0</v>
      </c>
      <c r="P98" s="1202">
        <f t="shared" ref="P98" si="241">+P65-P66</f>
        <v>1.3888888759083784E-6</v>
      </c>
      <c r="Q98" s="1202">
        <f t="shared" si="239"/>
        <v>0</v>
      </c>
      <c r="R98" s="1202">
        <f t="shared" si="239"/>
        <v>4.5787544422637438E-7</v>
      </c>
      <c r="S98" s="1202">
        <f t="shared" si="239"/>
        <v>0</v>
      </c>
      <c r="T98" s="1202">
        <f t="shared" si="239"/>
        <v>0</v>
      </c>
      <c r="U98" s="1202">
        <f t="shared" si="239"/>
        <v>0</v>
      </c>
      <c r="V98" s="1202">
        <f t="shared" si="239"/>
        <v>3.4153006822634779E-7</v>
      </c>
      <c r="W98" s="1202">
        <f t="shared" ref="W98:X98" si="242">+W65-W66</f>
        <v>0</v>
      </c>
      <c r="X98" s="1202">
        <f t="shared" si="242"/>
        <v>0</v>
      </c>
      <c r="Y98" s="1202">
        <f t="shared" si="239"/>
        <v>0</v>
      </c>
      <c r="Z98" s="1202">
        <f t="shared" si="239"/>
        <v>2.7233110699853569E-7</v>
      </c>
      <c r="AA98" s="1202">
        <f t="shared" si="239"/>
        <v>0</v>
      </c>
      <c r="AB98" s="1202">
        <f t="shared" si="239"/>
        <v>0</v>
      </c>
      <c r="AC98" s="1202">
        <f t="shared" si="239"/>
        <v>0</v>
      </c>
      <c r="AD98" s="1202">
        <f t="shared" si="239"/>
        <v>0</v>
      </c>
      <c r="AE98" s="1202">
        <f t="shared" si="239"/>
        <v>0</v>
      </c>
      <c r="AF98" s="1202">
        <f t="shared" si="239"/>
        <v>2.2768671215089853E-7</v>
      </c>
      <c r="AG98" s="1202">
        <f t="shared" ref="AG98:AH98" si="243">+AG65-AG66</f>
        <v>0</v>
      </c>
      <c r="AH98" s="1202">
        <f t="shared" si="243"/>
        <v>0</v>
      </c>
      <c r="AI98" s="1202">
        <f t="shared" si="239"/>
        <v>0</v>
      </c>
      <c r="AJ98" s="1202">
        <f t="shared" si="239"/>
        <v>1.947040857430693E-7</v>
      </c>
      <c r="AK98" s="1202">
        <f t="shared" si="239"/>
        <v>0</v>
      </c>
      <c r="AL98" s="1202">
        <f t="shared" si="239"/>
        <v>0</v>
      </c>
      <c r="AM98" s="1202">
        <f t="shared" si="239"/>
        <v>0</v>
      </c>
      <c r="AN98" s="1202">
        <f t="shared" si="239"/>
        <v>1.7076504832402861E-7</v>
      </c>
      <c r="AO98" s="1202">
        <f t="shared" ref="AO98:AP98" si="244">+AO65-AO66</f>
        <v>0</v>
      </c>
      <c r="AP98" s="1202">
        <f t="shared" si="244"/>
        <v>0</v>
      </c>
      <c r="AQ98" s="1202">
        <f t="shared" si="239"/>
        <v>0</v>
      </c>
      <c r="AR98" s="1202">
        <f t="shared" si="239"/>
        <v>0</v>
      </c>
      <c r="AS98" s="1202">
        <f t="shared" si="239"/>
        <v>0</v>
      </c>
      <c r="AT98" s="1202">
        <f t="shared" si="239"/>
        <v>1.5151516663536313E-7</v>
      </c>
      <c r="AU98" s="1202">
        <f t="shared" si="239"/>
        <v>0</v>
      </c>
      <c r="AV98" s="1202">
        <f t="shared" si="239"/>
        <v>0</v>
      </c>
      <c r="AW98" s="1202">
        <f t="shared" si="239"/>
        <v>0</v>
      </c>
      <c r="AX98" s="1202">
        <f t="shared" si="239"/>
        <v>1.3616556771012256E-7</v>
      </c>
      <c r="AY98" s="1202">
        <f t="shared" ref="AY98:AZ98" si="245">+AY65-AY66</f>
        <v>0</v>
      </c>
      <c r="AZ98" s="1202">
        <f t="shared" si="245"/>
        <v>0</v>
      </c>
      <c r="BA98" s="1202">
        <f t="shared" si="239"/>
        <v>0</v>
      </c>
      <c r="BB98" s="1202">
        <f t="shared" si="239"/>
        <v>1.2475049970817054E-7</v>
      </c>
      <c r="BC98" s="1202">
        <f t="shared" ref="BC98:BD98" si="246">+BC65-BC66</f>
        <v>0</v>
      </c>
      <c r="BD98" s="1202">
        <f t="shared" si="246"/>
        <v>0</v>
      </c>
      <c r="BE98" s="1202">
        <f t="shared" si="239"/>
        <v>0</v>
      </c>
      <c r="BF98" s="1202">
        <f t="shared" si="239"/>
        <v>0</v>
      </c>
      <c r="BG98" s="1202">
        <f t="shared" si="239"/>
        <v>0</v>
      </c>
      <c r="BH98" s="1202">
        <f t="shared" si="239"/>
        <v>0</v>
      </c>
      <c r="BI98" s="1202">
        <f t="shared" si="239"/>
        <v>0</v>
      </c>
      <c r="BJ98" s="1202">
        <f t="shared" si="239"/>
        <v>1.1415522749302909E-7</v>
      </c>
    </row>
    <row r="108" spans="9:64" x14ac:dyDescent="0.3">
      <c r="S108" s="151"/>
      <c r="T108" s="92"/>
      <c r="W108" s="151"/>
      <c r="X108" s="92"/>
    </row>
  </sheetData>
  <mergeCells count="56"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G4:AH4"/>
    <mergeCell ref="AI4:AJ4"/>
    <mergeCell ref="AG53:AH53"/>
    <mergeCell ref="AI53:AJ53"/>
    <mergeCell ref="AE4:AF4"/>
    <mergeCell ref="AE53:AF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BC4:BD4"/>
    <mergeCell ref="BI4:BJ4"/>
    <mergeCell ref="BC53:BD53"/>
    <mergeCell ref="BI53:BJ53"/>
    <mergeCell ref="BE4:BF4"/>
    <mergeCell ref="BG4:BH4"/>
    <mergeCell ref="BE53:BF53"/>
    <mergeCell ref="BG53:BH53"/>
  </mergeCells>
  <pageMargins left="0.45" right="0.45" top="0.5" bottom="0.5" header="0.3" footer="0.3"/>
  <pageSetup scale="31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>
    <tabColor rgb="FF660033"/>
    <pageSetUpPr fitToPage="1"/>
  </sheetPr>
  <dimension ref="A1:BP122"/>
  <sheetViews>
    <sheetView zoomScaleNormal="100" workbookViewId="0">
      <pane xSplit="3" topLeftCell="AX1" activePane="topRight" state="frozen"/>
      <selection pane="topRight" activeCell="K34" sqref="K34"/>
    </sheetView>
  </sheetViews>
  <sheetFormatPr defaultColWidth="11.109375" defaultRowHeight="14.4" x14ac:dyDescent="0.3"/>
  <cols>
    <col min="1" max="1" width="5.44140625" customWidth="1"/>
    <col min="2" max="2" width="74.88671875" bestFit="1" customWidth="1"/>
    <col min="3" max="3" width="23.88671875" customWidth="1"/>
    <col min="4" max="7" width="9.88671875" customWidth="1"/>
    <col min="8" max="9" width="9.88671875" hidden="1" customWidth="1"/>
    <col min="10" max="15" width="11.109375" customWidth="1"/>
    <col min="16" max="17" width="11.109375" hidden="1" customWidth="1"/>
    <col min="18" max="19" width="11.109375" customWidth="1"/>
    <col min="20" max="21" width="11.109375" hidden="1" customWidth="1"/>
    <col min="22" max="29" width="11.109375" customWidth="1"/>
    <col min="30" max="31" width="11.109375" hidden="1" customWidth="1"/>
    <col min="32" max="33" width="11.109375" customWidth="1"/>
    <col min="34" max="35" width="11.109375" hidden="1" customWidth="1"/>
    <col min="36" max="39" width="11.109375" customWidth="1"/>
    <col min="40" max="41" width="11.109375" hidden="1" customWidth="1"/>
    <col min="42" max="43" width="11.109375" customWidth="1"/>
    <col min="44" max="45" width="11.109375" hidden="1" customWidth="1"/>
    <col min="46" max="47" width="11.109375" customWidth="1"/>
    <col min="48" max="49" width="11.109375" hidden="1" customWidth="1"/>
    <col min="50" max="50" width="11.109375" customWidth="1"/>
    <col min="51" max="51" width="9.88671875" bestFit="1" customWidth="1"/>
    <col min="52" max="58" width="11.109375" customWidth="1"/>
  </cols>
  <sheetData>
    <row r="1" spans="1:62" ht="22.8" x14ac:dyDescent="0.4">
      <c r="B1" s="384" t="s">
        <v>1086</v>
      </c>
      <c r="C1" s="44"/>
      <c r="D1" s="522"/>
      <c r="E1" s="44"/>
      <c r="F1" s="44"/>
      <c r="G1" s="44"/>
      <c r="H1" s="44"/>
      <c r="I1" s="44"/>
      <c r="J1" s="151"/>
      <c r="K1" s="151"/>
      <c r="L1" s="92"/>
      <c r="M1" s="92"/>
      <c r="N1" s="151"/>
      <c r="O1" s="151"/>
      <c r="P1" s="92"/>
      <c r="Q1" s="92"/>
      <c r="R1" s="151"/>
      <c r="S1" s="151"/>
      <c r="T1" s="92"/>
      <c r="U1" s="92"/>
      <c r="V1" s="92"/>
      <c r="W1" s="92"/>
      <c r="X1" s="92"/>
      <c r="Y1" s="92"/>
      <c r="Z1" s="92"/>
      <c r="AA1" s="92"/>
    </row>
    <row r="2" spans="1:62" ht="22.8" hidden="1" x14ac:dyDescent="0.4">
      <c r="B2" s="384"/>
      <c r="C2" s="44" t="s">
        <v>1911</v>
      </c>
      <c r="D2" s="2464">
        <f>+'B-FCE'!E50</f>
        <v>29</v>
      </c>
      <c r="E2" s="2464">
        <f>+'B-FCE'!F50</f>
        <v>26.666666666666664</v>
      </c>
      <c r="F2" s="2464">
        <f>+'B-FCE'!G50</f>
        <v>30.000000000000004</v>
      </c>
      <c r="G2" s="2464">
        <f>+'B-FCE'!H50</f>
        <v>29.791666666666664</v>
      </c>
      <c r="H2" s="2464">
        <f>+'B-FCE'!I50</f>
        <v>59</v>
      </c>
      <c r="I2" s="2464">
        <f>+'B-FCE'!J50</f>
        <v>56.458333333333329</v>
      </c>
      <c r="J2" s="2464">
        <f>+'B-FCE'!K50</f>
        <v>29</v>
      </c>
      <c r="K2" s="2464">
        <f>+'B-FCE'!L50</f>
        <v>29.611111111111111</v>
      </c>
      <c r="L2" s="2464">
        <f>+'B-FCE'!M50</f>
        <v>88</v>
      </c>
      <c r="M2" s="2464">
        <f>+'B-FCE'!N50</f>
        <v>86.069444444444429</v>
      </c>
      <c r="N2" s="2464">
        <f>+'B-FCE'!O50</f>
        <v>30</v>
      </c>
      <c r="O2" s="2464">
        <f>+'B-FCE'!P50</f>
        <v>30.999999999999996</v>
      </c>
      <c r="P2" s="2464">
        <f>+'B-FCE'!Q50</f>
        <v>118</v>
      </c>
      <c r="Q2" s="2464">
        <f>+'B-FCE'!R50</f>
        <v>117.06944444444443</v>
      </c>
      <c r="R2" s="2464">
        <f>+'B-FCE'!S50</f>
        <v>30</v>
      </c>
      <c r="S2" s="2464">
        <f>+'B-FCE'!T50</f>
        <v>30.024305555555554</v>
      </c>
      <c r="T2" s="2464">
        <f>+'B-FCE'!U50</f>
        <v>148</v>
      </c>
      <c r="U2" s="2464">
        <f>+'B-FCE'!V50</f>
        <v>147.09374999999997</v>
      </c>
      <c r="V2" s="2464">
        <f>+'B-FCE'!W50</f>
        <v>17.016867469879518</v>
      </c>
      <c r="W2" s="2464">
        <f>+'B-FCE'!X50</f>
        <v>29.673611111111111</v>
      </c>
      <c r="X2" s="2464">
        <f>+'B-FCE'!Y50</f>
        <v>77.016867469879514</v>
      </c>
      <c r="Y2" s="2464">
        <f>+'B-FCE'!Z50</f>
        <v>90.697916666666657</v>
      </c>
      <c r="Z2" s="2464">
        <f>+'B-FCE'!AA50</f>
        <v>165.01686746987951</v>
      </c>
      <c r="AA2" s="2464">
        <f>+'B-FCE'!AB50</f>
        <v>176.76736111111109</v>
      </c>
      <c r="AB2" s="2464">
        <f>+'B-FCE'!AC50</f>
        <v>30.000000000000004</v>
      </c>
      <c r="AC2" s="2464">
        <f>+'B-FCE'!AD50</f>
        <v>26.930555555555561</v>
      </c>
      <c r="AD2" s="2464">
        <f>+'B-FCE'!AE50</f>
        <v>195.01686746987951</v>
      </c>
      <c r="AE2" s="2464">
        <f>+'B-FCE'!AF50</f>
        <v>203.69791666666666</v>
      </c>
      <c r="AF2" s="2464">
        <f>+'B-FCE'!AG50</f>
        <v>29</v>
      </c>
      <c r="AG2" s="2464">
        <f>+'B-FCE'!AH50</f>
        <v>29.107638888888889</v>
      </c>
      <c r="AH2" s="2464">
        <f>+'B-FCE'!AI50</f>
        <v>224.01686746987951</v>
      </c>
      <c r="AI2" s="2464">
        <f>+'B-FCE'!AJ50</f>
        <v>232.80555555555554</v>
      </c>
      <c r="AJ2" s="2464">
        <f>+'B-FCE'!AK50</f>
        <v>30.000000000000004</v>
      </c>
      <c r="AK2" s="2464">
        <f>+'B-FCE'!AL50</f>
        <v>30.697916666666668</v>
      </c>
      <c r="AL2" s="2464">
        <f>+'B-FCE'!AM50</f>
        <v>89</v>
      </c>
      <c r="AM2" s="2464">
        <f>+'B-FCE'!AN50</f>
        <v>86.736111111111114</v>
      </c>
      <c r="AN2" s="2464">
        <f>+'B-FCE'!AO50</f>
        <v>254.01686746987951</v>
      </c>
      <c r="AO2" s="2464">
        <f>+'B-FCE'!AP50</f>
        <v>263.50347222222223</v>
      </c>
      <c r="AP2" s="2464">
        <f>+'B-FCE'!AQ50</f>
        <v>30</v>
      </c>
      <c r="AQ2" s="2464">
        <f>+'B-FCE'!AR50</f>
        <v>30.413194444444393</v>
      </c>
      <c r="AR2" s="2464">
        <f>+'B-FCE'!AS50</f>
        <v>284.01686746987951</v>
      </c>
      <c r="AS2" s="2464">
        <f>+'B-FCE'!AT50</f>
        <v>293.91666666666663</v>
      </c>
      <c r="AT2" s="2464">
        <f>+'B-FCE'!AU50</f>
        <v>27</v>
      </c>
      <c r="AU2" s="2464">
        <f>+'B-FCE'!AV50</f>
        <v>27.576388888888886</v>
      </c>
      <c r="AV2" s="2464">
        <f>+'B-FCE'!AW50</f>
        <v>311.01686746987951</v>
      </c>
      <c r="AW2" s="2464">
        <f>+'B-FCE'!AX50</f>
        <v>321.49305555555554</v>
      </c>
      <c r="AX2" s="2464">
        <f>+'B-FCE'!AY50</f>
        <v>30</v>
      </c>
      <c r="AY2" s="2464">
        <f>+'B-FCE'!AZ50</f>
        <v>29.972222222222232</v>
      </c>
      <c r="AZ2" s="2464">
        <f>+'B-FCE'!BA50</f>
        <v>87</v>
      </c>
      <c r="BA2" s="2464">
        <f>+'B-FCE'!BB50</f>
        <v>87.961805555555515</v>
      </c>
      <c r="BB2" s="2464">
        <f>+'B-FCE'!BC50</f>
        <v>176</v>
      </c>
      <c r="BC2" s="2464">
        <f>+'B-FCE'!BD50</f>
        <v>174.69791666666663</v>
      </c>
      <c r="BD2" s="2464">
        <f>+'B-FCE'!BE50</f>
        <v>341.01686746987951</v>
      </c>
      <c r="BE2" s="2464">
        <f>+'B-FCE'!BF50</f>
        <v>351.46527777777777</v>
      </c>
    </row>
    <row r="3" spans="1:62" ht="15" thickBot="1" x14ac:dyDescent="0.35">
      <c r="B3" s="44"/>
      <c r="C3" s="44" t="s">
        <v>500</v>
      </c>
      <c r="D3" s="2464">
        <v>30</v>
      </c>
      <c r="E3" s="2464">
        <v>30</v>
      </c>
      <c r="F3" s="2464">
        <v>31</v>
      </c>
      <c r="G3" s="2464">
        <v>31</v>
      </c>
      <c r="H3" s="2464">
        <f>+D3+F3</f>
        <v>61</v>
      </c>
      <c r="I3" s="2464">
        <f>+E3+G3</f>
        <v>61</v>
      </c>
      <c r="J3" s="2464">
        <v>30</v>
      </c>
      <c r="K3" s="2464">
        <v>30</v>
      </c>
      <c r="L3" s="2464">
        <f>+H3+J3</f>
        <v>91</v>
      </c>
      <c r="M3" s="2464">
        <f>+I3+K3</f>
        <v>91</v>
      </c>
      <c r="N3" s="2464">
        <v>31</v>
      </c>
      <c r="O3" s="2464">
        <v>31</v>
      </c>
      <c r="P3" s="2464">
        <f>+L3+N3</f>
        <v>122</v>
      </c>
      <c r="Q3" s="2464">
        <f>+M3+O3</f>
        <v>122</v>
      </c>
      <c r="R3" s="2464">
        <v>31</v>
      </c>
      <c r="S3" s="2464">
        <v>31</v>
      </c>
      <c r="T3" s="2464">
        <f>+P3+R3</f>
        <v>153</v>
      </c>
      <c r="U3" s="2464">
        <f>+Q3+S3</f>
        <v>153</v>
      </c>
      <c r="V3" s="2464">
        <v>30</v>
      </c>
      <c r="W3" s="2464">
        <v>30</v>
      </c>
      <c r="X3" s="2464">
        <f>+N3+R3+V3</f>
        <v>92</v>
      </c>
      <c r="Y3" s="2464">
        <f>+O3+S3+W3</f>
        <v>92</v>
      </c>
      <c r="Z3" s="2464">
        <f>+T3+V3</f>
        <v>183</v>
      </c>
      <c r="AA3" s="2464">
        <f>+U3+W3</f>
        <v>183</v>
      </c>
      <c r="AB3" s="2464">
        <v>31</v>
      </c>
      <c r="AC3" s="2464">
        <v>31</v>
      </c>
      <c r="AD3" s="2464">
        <f>+Z3+AB3</f>
        <v>214</v>
      </c>
      <c r="AE3" s="2464">
        <f>+AA3+AC3</f>
        <v>214</v>
      </c>
      <c r="AF3" s="2464">
        <v>30</v>
      </c>
      <c r="AG3" s="2464">
        <v>30</v>
      </c>
      <c r="AH3" s="2464">
        <f>+AD3+AF3</f>
        <v>244</v>
      </c>
      <c r="AI3" s="2464">
        <f>+AE3+AG3</f>
        <v>244</v>
      </c>
      <c r="AJ3" s="2464">
        <v>31</v>
      </c>
      <c r="AK3" s="2464">
        <v>31</v>
      </c>
      <c r="AL3" s="2464">
        <f>+AB3+AF3+AJ3</f>
        <v>92</v>
      </c>
      <c r="AM3" s="2464">
        <f>+AC3+AG3+AK3</f>
        <v>92</v>
      </c>
      <c r="AN3" s="2464">
        <f>+AH3+AJ3</f>
        <v>275</v>
      </c>
      <c r="AO3" s="2464">
        <f>+AI3+AK3</f>
        <v>275</v>
      </c>
      <c r="AP3" s="2464">
        <v>31</v>
      </c>
      <c r="AQ3" s="2464">
        <v>31</v>
      </c>
      <c r="AR3" s="2464">
        <f>+AN3+AP3</f>
        <v>306</v>
      </c>
      <c r="AS3" s="2464">
        <f>+AO3+AQ3</f>
        <v>306</v>
      </c>
      <c r="AT3" s="2464">
        <v>28</v>
      </c>
      <c r="AU3" s="2464">
        <v>28</v>
      </c>
      <c r="AV3" s="2464">
        <f>+AR3+AT3</f>
        <v>334</v>
      </c>
      <c r="AW3" s="2464">
        <f>+AS3+AU3</f>
        <v>334</v>
      </c>
      <c r="AX3" s="2464">
        <v>31</v>
      </c>
      <c r="AY3" s="2464">
        <v>31</v>
      </c>
      <c r="AZ3" s="2464">
        <f>+AP3+AT3+AX3</f>
        <v>90</v>
      </c>
      <c r="BA3" s="2464">
        <f>+AQ3+AU3+AY3</f>
        <v>90</v>
      </c>
      <c r="BB3" s="2464">
        <f>AZ3+AL3</f>
        <v>182</v>
      </c>
      <c r="BC3" s="2464">
        <f>BA3+AM3</f>
        <v>182</v>
      </c>
      <c r="BD3" s="2464">
        <f>+AV3+AX3</f>
        <v>365</v>
      </c>
      <c r="BE3" s="2464">
        <f>+AW3+AY3</f>
        <v>365</v>
      </c>
    </row>
    <row r="4" spans="1:62" ht="15.6" thickTop="1" thickBot="1" x14ac:dyDescent="0.35">
      <c r="B4" s="6410" t="s">
        <v>171</v>
      </c>
      <c r="C4" s="6415" t="s">
        <v>172</v>
      </c>
      <c r="D4" s="5866" t="s">
        <v>1962</v>
      </c>
      <c r="E4" s="6013"/>
      <c r="F4" s="5866" t="s">
        <v>2013</v>
      </c>
      <c r="G4" s="5866"/>
      <c r="H4" s="5867" t="s">
        <v>14</v>
      </c>
      <c r="I4" s="5868"/>
      <c r="J4" s="5957" t="s">
        <v>2043</v>
      </c>
      <c r="K4" s="5954"/>
      <c r="L4" s="5958" t="s">
        <v>637</v>
      </c>
      <c r="M4" s="6412"/>
      <c r="N4" s="5957" t="s">
        <v>2065</v>
      </c>
      <c r="O4" s="5954"/>
      <c r="P4" s="6395" t="s">
        <v>17</v>
      </c>
      <c r="Q4" s="6396"/>
      <c r="R4" s="5957" t="s">
        <v>2068</v>
      </c>
      <c r="S4" s="5954"/>
      <c r="T4" s="6395" t="s">
        <v>18</v>
      </c>
      <c r="U4" s="6396"/>
      <c r="V4" s="5957" t="s">
        <v>2110</v>
      </c>
      <c r="W4" s="5954"/>
      <c r="X4" s="5958" t="s">
        <v>660</v>
      </c>
      <c r="Y4" s="5870"/>
      <c r="Z4" s="5990" t="s">
        <v>657</v>
      </c>
      <c r="AA4" s="5872"/>
      <c r="AB4" s="5957" t="s">
        <v>2135</v>
      </c>
      <c r="AC4" s="5954"/>
      <c r="AD4" s="6395" t="s">
        <v>24</v>
      </c>
      <c r="AE4" s="6396"/>
      <c r="AF4" s="5957" t="s">
        <v>2238</v>
      </c>
      <c r="AG4" s="5954"/>
      <c r="AH4" s="6395" t="s">
        <v>27</v>
      </c>
      <c r="AI4" s="6396"/>
      <c r="AJ4" s="5957" t="s">
        <v>2262</v>
      </c>
      <c r="AK4" s="5954"/>
      <c r="AL4" s="5958" t="s">
        <v>662</v>
      </c>
      <c r="AM4" s="5870"/>
      <c r="AN4" s="6395" t="s">
        <v>1613</v>
      </c>
      <c r="AO4" s="6396"/>
      <c r="AP4" s="5957" t="s">
        <v>2274</v>
      </c>
      <c r="AQ4" s="5954"/>
      <c r="AR4" s="6395" t="s">
        <v>28</v>
      </c>
      <c r="AS4" s="6396"/>
      <c r="AT4" s="5957" t="s">
        <v>2311</v>
      </c>
      <c r="AU4" s="5954"/>
      <c r="AV4" s="6395" t="s">
        <v>30</v>
      </c>
      <c r="AW4" s="6396"/>
      <c r="AX4" s="5957" t="s">
        <v>2329</v>
      </c>
      <c r="AY4" s="5954"/>
      <c r="AZ4" s="5958" t="s">
        <v>663</v>
      </c>
      <c r="BA4" s="5870"/>
      <c r="BB4" s="5990" t="s">
        <v>670</v>
      </c>
      <c r="BC4" s="5872"/>
      <c r="BD4" s="6395" t="s">
        <v>2041</v>
      </c>
      <c r="BE4" s="6396"/>
    </row>
    <row r="5" spans="1:62" ht="15" thickBot="1" x14ac:dyDescent="0.35">
      <c r="B5" s="6411"/>
      <c r="C5" s="5953"/>
      <c r="D5" s="227" t="s">
        <v>173</v>
      </c>
      <c r="E5" s="154" t="s">
        <v>174</v>
      </c>
      <c r="F5" s="541" t="s">
        <v>173</v>
      </c>
      <c r="G5" s="175" t="s">
        <v>174</v>
      </c>
      <c r="H5" s="143" t="s">
        <v>173</v>
      </c>
      <c r="I5" s="212" t="s">
        <v>174</v>
      </c>
      <c r="J5" s="1534" t="s">
        <v>173</v>
      </c>
      <c r="K5" s="395" t="s">
        <v>174</v>
      </c>
      <c r="L5" s="699" t="s">
        <v>173</v>
      </c>
      <c r="M5" s="691" t="s">
        <v>174</v>
      </c>
      <c r="N5" s="1534" t="s">
        <v>173</v>
      </c>
      <c r="O5" s="395" t="s">
        <v>174</v>
      </c>
      <c r="P5" s="1567" t="s">
        <v>173</v>
      </c>
      <c r="Q5" s="1568" t="s">
        <v>174</v>
      </c>
      <c r="R5" s="1534" t="s">
        <v>173</v>
      </c>
      <c r="S5" s="395" t="s">
        <v>174</v>
      </c>
      <c r="T5" s="1567" t="s">
        <v>173</v>
      </c>
      <c r="U5" s="1568" t="s">
        <v>174</v>
      </c>
      <c r="V5" s="1534" t="s">
        <v>173</v>
      </c>
      <c r="W5" s="175" t="s">
        <v>174</v>
      </c>
      <c r="X5" s="699" t="s">
        <v>173</v>
      </c>
      <c r="Y5" s="167" t="s">
        <v>174</v>
      </c>
      <c r="Z5" s="700" t="s">
        <v>173</v>
      </c>
      <c r="AA5" s="494" t="s">
        <v>174</v>
      </c>
      <c r="AB5" s="1534" t="s">
        <v>173</v>
      </c>
      <c r="AC5" s="175" t="s">
        <v>174</v>
      </c>
      <c r="AD5" s="1567" t="s">
        <v>173</v>
      </c>
      <c r="AE5" s="1568" t="s">
        <v>174</v>
      </c>
      <c r="AF5" s="1534" t="s">
        <v>173</v>
      </c>
      <c r="AG5" s="175" t="s">
        <v>174</v>
      </c>
      <c r="AH5" s="1567" t="s">
        <v>173</v>
      </c>
      <c r="AI5" s="1568" t="s">
        <v>174</v>
      </c>
      <c r="AJ5" s="1534" t="s">
        <v>173</v>
      </c>
      <c r="AK5" s="175" t="s">
        <v>174</v>
      </c>
      <c r="AL5" s="699" t="s">
        <v>173</v>
      </c>
      <c r="AM5" s="167" t="s">
        <v>174</v>
      </c>
      <c r="AN5" s="1567" t="s">
        <v>173</v>
      </c>
      <c r="AO5" s="1568" t="s">
        <v>174</v>
      </c>
      <c r="AP5" s="1534" t="s">
        <v>173</v>
      </c>
      <c r="AQ5" s="175" t="s">
        <v>174</v>
      </c>
      <c r="AR5" s="1567" t="s">
        <v>173</v>
      </c>
      <c r="AS5" s="1568" t="s">
        <v>174</v>
      </c>
      <c r="AT5" s="1534" t="s">
        <v>173</v>
      </c>
      <c r="AU5" s="175" t="s">
        <v>174</v>
      </c>
      <c r="AV5" s="1567" t="s">
        <v>173</v>
      </c>
      <c r="AW5" s="1568" t="s">
        <v>174</v>
      </c>
      <c r="AX5" s="1534" t="s">
        <v>173</v>
      </c>
      <c r="AY5" s="175" t="s">
        <v>174</v>
      </c>
      <c r="AZ5" s="699" t="s">
        <v>173</v>
      </c>
      <c r="BA5" s="167" t="s">
        <v>174</v>
      </c>
      <c r="BB5" s="700" t="s">
        <v>173</v>
      </c>
      <c r="BC5" s="494" t="s">
        <v>174</v>
      </c>
      <c r="BD5" s="1567" t="s">
        <v>173</v>
      </c>
      <c r="BE5" s="1568" t="s">
        <v>174</v>
      </c>
    </row>
    <row r="6" spans="1:62" ht="22.65" customHeight="1" x14ac:dyDescent="0.4">
      <c r="B6" s="3023" t="s">
        <v>456</v>
      </c>
      <c r="C6" s="125"/>
      <c r="D6" s="1535"/>
      <c r="E6" s="125"/>
      <c r="F6" s="125"/>
      <c r="G6" s="125"/>
      <c r="H6" s="125"/>
      <c r="I6" s="3024"/>
      <c r="J6" s="1535"/>
      <c r="K6" s="1535"/>
      <c r="L6" s="125"/>
      <c r="M6" s="125"/>
      <c r="N6" s="1535"/>
      <c r="O6" s="1535"/>
      <c r="P6" s="125"/>
      <c r="Q6" s="125"/>
      <c r="R6" s="1535"/>
      <c r="S6" s="1535"/>
      <c r="T6" s="125"/>
      <c r="U6" s="125"/>
      <c r="V6" s="1535"/>
      <c r="W6" s="125"/>
      <c r="X6" s="125"/>
      <c r="Y6" s="125"/>
      <c r="Z6" s="125"/>
      <c r="AA6" s="125"/>
      <c r="AB6" s="1535"/>
      <c r="AC6" s="125"/>
      <c r="AD6" s="125"/>
      <c r="AE6" s="125"/>
      <c r="AF6" s="1535"/>
      <c r="AG6" s="125"/>
      <c r="AH6" s="125"/>
      <c r="AI6" s="125"/>
      <c r="AJ6" s="1535"/>
      <c r="AK6" s="125"/>
      <c r="AL6" s="125"/>
      <c r="AM6" s="125"/>
      <c r="AN6" s="125"/>
      <c r="AO6" s="125"/>
      <c r="AP6" s="1535"/>
      <c r="AQ6" s="125"/>
      <c r="AR6" s="125"/>
      <c r="AS6" s="125"/>
      <c r="AT6" s="1535"/>
      <c r="AU6" s="125"/>
      <c r="AV6" s="125"/>
      <c r="AW6" s="125"/>
      <c r="AX6" s="1535"/>
      <c r="AY6" s="125"/>
      <c r="AZ6" s="125"/>
      <c r="BA6" s="125"/>
      <c r="BB6" s="125"/>
      <c r="BC6" s="125"/>
      <c r="BD6" s="125"/>
      <c r="BE6" s="125"/>
    </row>
    <row r="7" spans="1:62" ht="16.2" thickBot="1" x14ac:dyDescent="0.35">
      <c r="B7" s="3025" t="s">
        <v>664</v>
      </c>
      <c r="C7" s="3026"/>
      <c r="D7" s="2893"/>
      <c r="E7" s="3026"/>
      <c r="F7" s="2893"/>
      <c r="G7" s="3026"/>
      <c r="H7" s="3026"/>
      <c r="I7" s="3027"/>
      <c r="J7" s="2893"/>
      <c r="K7" s="2270"/>
      <c r="L7" s="1575"/>
      <c r="M7" s="1575"/>
      <c r="N7" s="2270"/>
      <c r="O7" s="2270"/>
      <c r="P7" s="1575"/>
      <c r="Q7" s="1575"/>
      <c r="R7" s="2270"/>
      <c r="S7" s="2270"/>
      <c r="T7" s="1575"/>
      <c r="U7" s="1575"/>
      <c r="V7" s="2270"/>
      <c r="W7" s="1575"/>
      <c r="X7" s="1575"/>
      <c r="Y7" s="1575"/>
      <c r="Z7" s="1575"/>
      <c r="AA7" s="1575"/>
      <c r="AB7" s="2270"/>
      <c r="AC7" s="1575"/>
      <c r="AD7" s="1575"/>
      <c r="AE7" s="1575"/>
      <c r="AF7" s="2270"/>
      <c r="AG7" s="1575"/>
      <c r="AH7" s="1575"/>
      <c r="AI7" s="1575"/>
      <c r="AJ7" s="2270"/>
      <c r="AK7" s="1575"/>
      <c r="AL7" s="1575"/>
      <c r="AM7" s="1575"/>
      <c r="AN7" s="1575"/>
      <c r="AO7" s="1575"/>
      <c r="AP7" s="2270"/>
      <c r="AQ7" s="1575"/>
      <c r="AR7" s="1575"/>
      <c r="AS7" s="1575"/>
      <c r="AT7" s="2270"/>
      <c r="AU7" s="1575"/>
      <c r="AV7" s="1575"/>
      <c r="AW7" s="1575"/>
      <c r="AX7" s="2270"/>
      <c r="AY7" s="1575"/>
      <c r="AZ7" s="1575"/>
      <c r="BA7" s="1575"/>
      <c r="BB7" s="1575"/>
      <c r="BC7" s="1575"/>
      <c r="BD7" s="1575"/>
      <c r="BE7" s="1575"/>
    </row>
    <row r="8" spans="1:62" ht="15" thickBot="1" x14ac:dyDescent="0.35">
      <c r="B8" s="2081" t="s">
        <v>374</v>
      </c>
      <c r="C8" s="857" t="s">
        <v>393</v>
      </c>
      <c r="D8" s="946">
        <v>0</v>
      </c>
      <c r="E8" s="87">
        <v>0</v>
      </c>
      <c r="F8" s="946">
        <v>0</v>
      </c>
      <c r="G8" s="87">
        <v>0</v>
      </c>
      <c r="H8" s="1993">
        <f t="shared" ref="H8:I10" si="0">+D8+F8</f>
        <v>0</v>
      </c>
      <c r="I8" s="3028">
        <f t="shared" si="0"/>
        <v>0</v>
      </c>
      <c r="J8" s="946">
        <v>0</v>
      </c>
      <c r="K8" s="87">
        <v>0</v>
      </c>
      <c r="L8" s="708">
        <f t="shared" ref="L8" si="1">+H8+J8</f>
        <v>0</v>
      </c>
      <c r="M8" s="708">
        <f>E8+G8+K8</f>
        <v>0</v>
      </c>
      <c r="N8" s="946">
        <v>0</v>
      </c>
      <c r="O8" s="87">
        <v>0</v>
      </c>
      <c r="P8" s="814">
        <f t="shared" ref="P8:Q10" si="2">+L8+N8</f>
        <v>0</v>
      </c>
      <c r="Q8" s="2271">
        <f t="shared" si="2"/>
        <v>0</v>
      </c>
      <c r="R8" s="946">
        <v>0</v>
      </c>
      <c r="S8" s="87">
        <v>0</v>
      </c>
      <c r="T8" s="814">
        <f t="shared" ref="T8:T10" si="3">+P8+R8</f>
        <v>0</v>
      </c>
      <c r="U8" s="2271">
        <f t="shared" ref="U8:U10" si="4">+Q8+S8</f>
        <v>0</v>
      </c>
      <c r="V8" s="946">
        <v>0</v>
      </c>
      <c r="W8" s="87">
        <v>0</v>
      </c>
      <c r="X8" s="711">
        <f t="shared" ref="X8" si="5">+V8+R8+N8</f>
        <v>0</v>
      </c>
      <c r="Y8" s="1578">
        <f>+O8+S8+W8</f>
        <v>0</v>
      </c>
      <c r="Z8" s="709">
        <f t="shared" ref="Z8" si="6">+T8+V8</f>
        <v>0</v>
      </c>
      <c r="AA8" s="453">
        <f>M8+Y8</f>
        <v>0</v>
      </c>
      <c r="AB8" s="946">
        <v>0</v>
      </c>
      <c r="AC8" s="87">
        <v>0</v>
      </c>
      <c r="AD8" s="1993">
        <f t="shared" ref="AD8:AD10" si="7">+Z8+AB8</f>
        <v>0</v>
      </c>
      <c r="AE8" s="2271">
        <f t="shared" ref="AE8:AE10" si="8">+AA8+AC8</f>
        <v>0</v>
      </c>
      <c r="AF8" s="946">
        <v>0</v>
      </c>
      <c r="AG8" s="87">
        <v>0</v>
      </c>
      <c r="AH8" s="1993">
        <f t="shared" ref="AH8:AH10" si="9">+AD8+AF8</f>
        <v>0</v>
      </c>
      <c r="AI8" s="2271">
        <f t="shared" ref="AI8:AI10" si="10">+AE8+AG8</f>
        <v>0</v>
      </c>
      <c r="AJ8" s="946">
        <v>0</v>
      </c>
      <c r="AK8" s="87">
        <v>0</v>
      </c>
      <c r="AL8" s="711">
        <f t="shared" ref="AL8" si="11">+AJ8+AF8+AB8</f>
        <v>0</v>
      </c>
      <c r="AM8" s="1578">
        <f>+AC8+AG8+AK8</f>
        <v>0</v>
      </c>
      <c r="AN8" s="1993">
        <f t="shared" ref="AN8:AO10" si="12">+AH8+AJ8</f>
        <v>0</v>
      </c>
      <c r="AO8" s="2271">
        <f t="shared" si="12"/>
        <v>0</v>
      </c>
      <c r="AP8" s="946">
        <v>0</v>
      </c>
      <c r="AQ8" s="87">
        <v>0</v>
      </c>
      <c r="AR8" s="1993">
        <f t="shared" ref="AR8:AR10" si="13">+AN8+AP8</f>
        <v>0</v>
      </c>
      <c r="AS8" s="2271">
        <f t="shared" ref="AS8:AS10" si="14">+AO8+AQ8</f>
        <v>0</v>
      </c>
      <c r="AT8" s="946">
        <v>0</v>
      </c>
      <c r="AU8" s="87"/>
      <c r="AV8" s="1993">
        <f t="shared" ref="AV8:AV10" si="15">+AR8+AT8</f>
        <v>0</v>
      </c>
      <c r="AW8" s="2271">
        <f t="shared" ref="AW8:AW10" si="16">+AS8+AU8</f>
        <v>0</v>
      </c>
      <c r="AX8" s="946">
        <v>0</v>
      </c>
      <c r="AY8" s="87"/>
      <c r="AZ8" s="711">
        <f t="shared" ref="AZ8" si="17">+AX8+AT8+AP8</f>
        <v>0</v>
      </c>
      <c r="BA8" s="1578">
        <f>+AQ8+AU8+AY8</f>
        <v>0</v>
      </c>
      <c r="BB8" s="709">
        <f>+AL8+AZ8</f>
        <v>0</v>
      </c>
      <c r="BC8" s="709">
        <f>+AM8+BA8</f>
        <v>0</v>
      </c>
      <c r="BD8" s="1993">
        <f t="shared" ref="BD8:BD10" si="18">+AV8+AX8</f>
        <v>0</v>
      </c>
      <c r="BE8" s="2271">
        <f t="shared" ref="BE8:BE10" si="19">+AW8+AY8</f>
        <v>0</v>
      </c>
      <c r="BF8" s="26"/>
      <c r="BG8" s="26"/>
      <c r="BH8" s="26"/>
      <c r="BI8" s="26"/>
      <c r="BJ8" s="26"/>
    </row>
    <row r="9" spans="1:62" ht="15" thickBot="1" x14ac:dyDescent="0.35">
      <c r="B9" s="2752" t="s">
        <v>373</v>
      </c>
      <c r="C9" s="13" t="s">
        <v>393</v>
      </c>
      <c r="D9" s="152">
        <f>D13*D3*24</f>
        <v>3600</v>
      </c>
      <c r="E9" s="18">
        <f>+'POWER DISTRIBUTION'!J9/1000</f>
        <v>2652.6023679999998</v>
      </c>
      <c r="F9" s="152">
        <f>F13*F3*24</f>
        <v>3720</v>
      </c>
      <c r="G9" s="18">
        <f>+'POWER DISTRIBUTION'!L9/1000</f>
        <v>3582.8009999999999</v>
      </c>
      <c r="H9" s="2538">
        <f t="shared" si="0"/>
        <v>7320</v>
      </c>
      <c r="I9" s="38">
        <f t="shared" si="0"/>
        <v>6235.4033679999993</v>
      </c>
      <c r="J9" s="152">
        <f>J13*J3*24</f>
        <v>3600</v>
      </c>
      <c r="K9" s="18">
        <f>+'POWER DISTRIBUTION'!P9/1000</f>
        <v>3381.201</v>
      </c>
      <c r="L9" s="71">
        <f>D9+F9+J9</f>
        <v>10920</v>
      </c>
      <c r="M9" s="71">
        <f>E9+G9+K9</f>
        <v>9616.6043680000002</v>
      </c>
      <c r="N9" s="152">
        <f>N13*N3*24</f>
        <v>3720</v>
      </c>
      <c r="O9" s="18">
        <f>+'POWER DISTRIBUTION'!T9/1000</f>
        <v>2712.598</v>
      </c>
      <c r="P9" s="432">
        <f t="shared" si="2"/>
        <v>14640</v>
      </c>
      <c r="Q9" s="775">
        <f t="shared" si="2"/>
        <v>12329.202368</v>
      </c>
      <c r="R9" s="152">
        <f>R13*R3*24</f>
        <v>3720</v>
      </c>
      <c r="S9" s="18">
        <f>+'POWER DISTRIBUTION'!X9/1000</f>
        <v>3125.7049999999999</v>
      </c>
      <c r="T9" s="432">
        <f t="shared" si="3"/>
        <v>18360</v>
      </c>
      <c r="U9" s="775">
        <f t="shared" si="4"/>
        <v>15454.907368</v>
      </c>
      <c r="V9" s="152">
        <f>V13*V3*24</f>
        <v>3600</v>
      </c>
      <c r="W9" s="18">
        <f>+'POWER DISTRIBUTION'!AB9/1000</f>
        <v>3614.598</v>
      </c>
      <c r="X9" s="71">
        <f>+N9+R9+V9</f>
        <v>11040</v>
      </c>
      <c r="Y9" s="524">
        <f>+O9+S9+W9</f>
        <v>9452.9009999999998</v>
      </c>
      <c r="Z9" s="635">
        <f>L9+X9</f>
        <v>21960</v>
      </c>
      <c r="AA9" s="449">
        <f>M9+Y9</f>
        <v>19069.505367999998</v>
      </c>
      <c r="AB9" s="152">
        <f>AB13*AB3*24</f>
        <v>3720</v>
      </c>
      <c r="AC9" s="18">
        <f>+'POWER DISTRIBUTION'!AH9/1000</f>
        <v>3255.59987</v>
      </c>
      <c r="AD9" s="432">
        <f t="shared" si="7"/>
        <v>25680</v>
      </c>
      <c r="AE9" s="775">
        <f t="shared" si="8"/>
        <v>22325.105237999996</v>
      </c>
      <c r="AF9" s="152">
        <f>AF13*AF3*24</f>
        <v>3600</v>
      </c>
      <c r="AG9" s="18">
        <f>+'POWER DISTRIBUTION'!AL9/1000</f>
        <v>2919.4</v>
      </c>
      <c r="AH9" s="432">
        <f t="shared" si="9"/>
        <v>29280</v>
      </c>
      <c r="AI9" s="775">
        <f t="shared" si="10"/>
        <v>25244.505237999998</v>
      </c>
      <c r="AJ9" s="152">
        <f>AJ13*AJ3*24</f>
        <v>3720</v>
      </c>
      <c r="AK9" s="18">
        <f>+'POWER DISTRIBUTION'!AP9/1000</f>
        <v>3139.6</v>
      </c>
      <c r="AL9" s="71">
        <f>+AB9+AF9+AJ9</f>
        <v>11040</v>
      </c>
      <c r="AM9" s="524">
        <f>+AC9+AG9+AK9</f>
        <v>9314.59987</v>
      </c>
      <c r="AN9" s="432">
        <f t="shared" si="12"/>
        <v>33000</v>
      </c>
      <c r="AO9" s="775">
        <f t="shared" si="12"/>
        <v>28384.105237999996</v>
      </c>
      <c r="AP9" s="152">
        <f>AP13*AP3*24</f>
        <v>3720</v>
      </c>
      <c r="AQ9" s="18">
        <f>+'POWER DISTRIBUTION'!AV9/1000</f>
        <v>3390.1005399999999</v>
      </c>
      <c r="AR9" s="432">
        <f t="shared" si="13"/>
        <v>36720</v>
      </c>
      <c r="AS9" s="775">
        <f t="shared" si="14"/>
        <v>31774.205777999996</v>
      </c>
      <c r="AT9" s="152">
        <f>AT13*AT3*24</f>
        <v>3360</v>
      </c>
      <c r="AU9" s="18">
        <f>+'POWER DISTRIBUTION'!AZ9/1000</f>
        <v>2725.1978399999998</v>
      </c>
      <c r="AV9" s="432">
        <f t="shared" si="15"/>
        <v>40080</v>
      </c>
      <c r="AW9" s="775">
        <f t="shared" si="16"/>
        <v>34499.403617999997</v>
      </c>
      <c r="AX9" s="152">
        <f>AX13*AX3*24</f>
        <v>3720</v>
      </c>
      <c r="AY9" s="18">
        <f>+'POWER DISTRIBUTION'!BD9/1000</f>
        <v>3156.46225</v>
      </c>
      <c r="AZ9" s="71">
        <f>+AP9+AT9+AX9</f>
        <v>10800</v>
      </c>
      <c r="BA9" s="524">
        <f>+AQ9+AU9+AY9</f>
        <v>9271.7606300000007</v>
      </c>
      <c r="BB9" s="709">
        <f t="shared" ref="BB9:BB10" si="20">+AL9+AZ9</f>
        <v>21840</v>
      </c>
      <c r="BC9" s="709">
        <f t="shared" ref="BC9:BC10" si="21">+AM9+BA9</f>
        <v>18586.360500000003</v>
      </c>
      <c r="BD9" s="432">
        <f t="shared" si="18"/>
        <v>43800</v>
      </c>
      <c r="BE9" s="775">
        <f t="shared" si="19"/>
        <v>37655.865867999993</v>
      </c>
      <c r="BF9" s="26"/>
      <c r="BG9" s="26"/>
      <c r="BH9" s="26"/>
      <c r="BI9" s="26"/>
      <c r="BJ9" s="26"/>
    </row>
    <row r="10" spans="1:62" ht="15.75" customHeight="1" thickBot="1" x14ac:dyDescent="0.35">
      <c r="B10" s="2753" t="s">
        <v>609</v>
      </c>
      <c r="C10" s="724" t="s">
        <v>393</v>
      </c>
      <c r="D10" s="1708"/>
      <c r="E10" s="37"/>
      <c r="F10" s="1708"/>
      <c r="G10" s="37"/>
      <c r="H10" s="584">
        <f t="shared" si="0"/>
        <v>0</v>
      </c>
      <c r="I10" s="43">
        <f t="shared" si="0"/>
        <v>0</v>
      </c>
      <c r="J10" s="1708"/>
      <c r="K10" s="37"/>
      <c r="L10" s="1516">
        <f>D10+F10+J10</f>
        <v>0</v>
      </c>
      <c r="M10" s="1516">
        <f>E10+G10+K10</f>
        <v>0</v>
      </c>
      <c r="N10" s="1708"/>
      <c r="O10" s="37"/>
      <c r="P10" s="716">
        <f t="shared" si="2"/>
        <v>0</v>
      </c>
      <c r="Q10" s="584">
        <f t="shared" si="2"/>
        <v>0</v>
      </c>
      <c r="R10" s="1708"/>
      <c r="S10" s="37"/>
      <c r="T10" s="716">
        <f t="shared" si="3"/>
        <v>0</v>
      </c>
      <c r="U10" s="584">
        <f t="shared" si="4"/>
        <v>0</v>
      </c>
      <c r="V10" s="1708"/>
      <c r="W10" s="37"/>
      <c r="X10" s="1516">
        <f>+N10+R10+V10</f>
        <v>0</v>
      </c>
      <c r="Y10" s="2273">
        <f>+O10+S10+W10</f>
        <v>0</v>
      </c>
      <c r="Z10" s="718">
        <f>L10+X10</f>
        <v>0</v>
      </c>
      <c r="AA10" s="454">
        <f>M10+Y10</f>
        <v>0</v>
      </c>
      <c r="AB10" s="1708"/>
      <c r="AC10" s="37"/>
      <c r="AD10" s="716">
        <f t="shared" si="7"/>
        <v>0</v>
      </c>
      <c r="AE10" s="584">
        <f t="shared" si="8"/>
        <v>0</v>
      </c>
      <c r="AF10" s="1708"/>
      <c r="AG10" s="37"/>
      <c r="AH10" s="716">
        <f t="shared" si="9"/>
        <v>0</v>
      </c>
      <c r="AI10" s="584">
        <f t="shared" si="10"/>
        <v>0</v>
      </c>
      <c r="AJ10" s="1708"/>
      <c r="AK10" s="37"/>
      <c r="AL10" s="1516">
        <f>+AB10+AF10+AJ10</f>
        <v>0</v>
      </c>
      <c r="AM10" s="2273">
        <f>+AC10+AG10+AK10</f>
        <v>0</v>
      </c>
      <c r="AN10" s="716">
        <f t="shared" si="12"/>
        <v>0</v>
      </c>
      <c r="AO10" s="584">
        <f t="shared" si="12"/>
        <v>0</v>
      </c>
      <c r="AP10" s="1708"/>
      <c r="AQ10" s="37"/>
      <c r="AR10" s="716">
        <f t="shared" si="13"/>
        <v>0</v>
      </c>
      <c r="AS10" s="584">
        <f t="shared" si="14"/>
        <v>0</v>
      </c>
      <c r="AT10" s="1708"/>
      <c r="AU10" s="37"/>
      <c r="AV10" s="716">
        <f t="shared" si="15"/>
        <v>0</v>
      </c>
      <c r="AW10" s="584">
        <f t="shared" si="16"/>
        <v>0</v>
      </c>
      <c r="AX10" s="1708"/>
      <c r="AY10" s="37"/>
      <c r="AZ10" s="1516">
        <f>+AP10+AT10+AX10</f>
        <v>0</v>
      </c>
      <c r="BA10" s="2273">
        <f>+AQ10+AU10+AY10</f>
        <v>0</v>
      </c>
      <c r="BB10" s="709">
        <f t="shared" si="20"/>
        <v>0</v>
      </c>
      <c r="BC10" s="709">
        <f t="shared" si="21"/>
        <v>0</v>
      </c>
      <c r="BD10" s="716">
        <f t="shared" si="18"/>
        <v>0</v>
      </c>
      <c r="BE10" s="584">
        <f t="shared" si="19"/>
        <v>0</v>
      </c>
      <c r="BF10" s="26"/>
      <c r="BG10" s="26"/>
      <c r="BH10" s="26"/>
      <c r="BI10" s="26"/>
      <c r="BJ10" s="26"/>
    </row>
    <row r="11" spans="1:62" ht="15" customHeight="1" thickBot="1" x14ac:dyDescent="0.35">
      <c r="B11" s="2274" t="s">
        <v>455</v>
      </c>
      <c r="C11" s="2275" t="s">
        <v>393</v>
      </c>
      <c r="D11" s="1380">
        <f t="shared" ref="D11:I11" si="22">SUM(D8:D10)</f>
        <v>3600</v>
      </c>
      <c r="E11" s="572">
        <f t="shared" si="22"/>
        <v>2652.6023679999998</v>
      </c>
      <c r="F11" s="1380">
        <f t="shared" ref="F11:G11" si="23">SUM(F8:F10)</f>
        <v>3720</v>
      </c>
      <c r="G11" s="572">
        <f t="shared" si="23"/>
        <v>3582.8009999999999</v>
      </c>
      <c r="H11" s="2276">
        <f t="shared" si="22"/>
        <v>7320</v>
      </c>
      <c r="I11" s="571">
        <f t="shared" si="22"/>
        <v>6235.4033679999993</v>
      </c>
      <c r="J11" s="1380">
        <f t="shared" ref="J11:K11" si="24">SUM(J8:J10)</f>
        <v>3600</v>
      </c>
      <c r="K11" s="572">
        <f t="shared" si="24"/>
        <v>3381.201</v>
      </c>
      <c r="L11" s="1556">
        <f t="shared" ref="L11:Q11" si="25">SUM(L8:L10)</f>
        <v>10920</v>
      </c>
      <c r="M11" s="2277">
        <f t="shared" si="25"/>
        <v>9616.6043680000002</v>
      </c>
      <c r="N11" s="1380">
        <f t="shared" si="25"/>
        <v>3720</v>
      </c>
      <c r="O11" s="572">
        <f t="shared" si="25"/>
        <v>2712.598</v>
      </c>
      <c r="P11" s="878">
        <f t="shared" si="25"/>
        <v>14640</v>
      </c>
      <c r="Q11" s="571">
        <f t="shared" si="25"/>
        <v>12329.202368</v>
      </c>
      <c r="R11" s="1380">
        <f t="shared" ref="R11:S11" si="26">SUM(R8:R10)</f>
        <v>3720</v>
      </c>
      <c r="S11" s="572">
        <f t="shared" si="26"/>
        <v>3125.7049999999999</v>
      </c>
      <c r="T11" s="878">
        <f t="shared" ref="T11:W11" si="27">SUM(T8:T10)</f>
        <v>18360</v>
      </c>
      <c r="U11" s="571">
        <f t="shared" si="27"/>
        <v>15454.907368</v>
      </c>
      <c r="V11" s="1380">
        <f t="shared" si="27"/>
        <v>3600</v>
      </c>
      <c r="W11" s="572">
        <f t="shared" si="27"/>
        <v>3614.598</v>
      </c>
      <c r="X11" s="1556">
        <f t="shared" ref="X11:Y11" si="28">SUM(X8:X10)</f>
        <v>11040</v>
      </c>
      <c r="Y11" s="2277">
        <f t="shared" si="28"/>
        <v>9452.9009999999998</v>
      </c>
      <c r="Z11" s="2278">
        <f t="shared" ref="Z11:AE11" si="29">SUM(Z8:Z10)</f>
        <v>21960</v>
      </c>
      <c r="AA11" s="2279">
        <f t="shared" si="29"/>
        <v>19069.505367999998</v>
      </c>
      <c r="AB11" s="1380">
        <f t="shared" si="29"/>
        <v>3720</v>
      </c>
      <c r="AC11" s="572">
        <f t="shared" si="29"/>
        <v>3255.59987</v>
      </c>
      <c r="AD11" s="878">
        <f t="shared" si="29"/>
        <v>25680</v>
      </c>
      <c r="AE11" s="571">
        <f t="shared" si="29"/>
        <v>22325.105237999996</v>
      </c>
      <c r="AF11" s="1380">
        <f t="shared" ref="AF11:AG11" si="30">SUM(AF8:AF10)</f>
        <v>3600</v>
      </c>
      <c r="AG11" s="572">
        <f t="shared" si="30"/>
        <v>2919.4</v>
      </c>
      <c r="AH11" s="878">
        <f t="shared" ref="AH11:AK11" si="31">SUM(AH8:AH10)</f>
        <v>29280</v>
      </c>
      <c r="AI11" s="571">
        <f t="shared" si="31"/>
        <v>25244.505237999998</v>
      </c>
      <c r="AJ11" s="1380">
        <f t="shared" si="31"/>
        <v>3720</v>
      </c>
      <c r="AK11" s="572">
        <f t="shared" si="31"/>
        <v>3139.6</v>
      </c>
      <c r="AL11" s="1556">
        <f t="shared" ref="AL11:AS11" si="32">SUM(AL8:AL10)</f>
        <v>11040</v>
      </c>
      <c r="AM11" s="2277">
        <f t="shared" si="32"/>
        <v>9314.59987</v>
      </c>
      <c r="AN11" s="878">
        <f t="shared" si="32"/>
        <v>33000</v>
      </c>
      <c r="AO11" s="571">
        <f t="shared" si="32"/>
        <v>28384.105237999996</v>
      </c>
      <c r="AP11" s="1380">
        <f t="shared" si="32"/>
        <v>3720</v>
      </c>
      <c r="AQ11" s="572">
        <f t="shared" si="32"/>
        <v>3390.1005399999999</v>
      </c>
      <c r="AR11" s="878">
        <f t="shared" si="32"/>
        <v>36720</v>
      </c>
      <c r="AS11" s="571">
        <f t="shared" si="32"/>
        <v>31774.205777999996</v>
      </c>
      <c r="AT11" s="1380">
        <f t="shared" ref="AT11:AU11" si="33">SUM(AT8:AT10)</f>
        <v>3360</v>
      </c>
      <c r="AU11" s="572">
        <f t="shared" si="33"/>
        <v>2725.1978399999998</v>
      </c>
      <c r="AV11" s="878">
        <f t="shared" ref="AV11:AY11" si="34">SUM(AV8:AV10)</f>
        <v>40080</v>
      </c>
      <c r="AW11" s="571">
        <f t="shared" si="34"/>
        <v>34499.403617999997</v>
      </c>
      <c r="AX11" s="1380">
        <f t="shared" si="34"/>
        <v>3720</v>
      </c>
      <c r="AY11" s="572">
        <f t="shared" si="34"/>
        <v>3156.46225</v>
      </c>
      <c r="AZ11" s="1556">
        <f t="shared" ref="AZ11:BE11" si="35">SUM(AZ8:AZ10)</f>
        <v>10800</v>
      </c>
      <c r="BA11" s="2277">
        <f t="shared" si="35"/>
        <v>9271.7606300000007</v>
      </c>
      <c r="BB11" s="2278">
        <f t="shared" si="35"/>
        <v>21840</v>
      </c>
      <c r="BC11" s="2279">
        <f t="shared" si="35"/>
        <v>18586.360500000003</v>
      </c>
      <c r="BD11" s="878">
        <f t="shared" si="35"/>
        <v>43800</v>
      </c>
      <c r="BE11" s="571">
        <f t="shared" si="35"/>
        <v>37655.865867999993</v>
      </c>
      <c r="BF11" s="26"/>
      <c r="BG11" s="26"/>
      <c r="BH11" s="26"/>
      <c r="BI11" s="26"/>
      <c r="BJ11" s="26"/>
    </row>
    <row r="12" spans="1:62" ht="15" thickBot="1" x14ac:dyDescent="0.35">
      <c r="B12" s="2284" t="s">
        <v>458</v>
      </c>
      <c r="C12" s="1936" t="s">
        <v>381</v>
      </c>
      <c r="D12" s="1758">
        <v>0</v>
      </c>
      <c r="E12" s="2285">
        <f>+E8/(E3*24)</f>
        <v>0</v>
      </c>
      <c r="F12" s="1758">
        <v>0</v>
      </c>
      <c r="G12" s="2285">
        <f>+G8/(G3*24)</f>
        <v>0</v>
      </c>
      <c r="H12" s="2286">
        <v>0</v>
      </c>
      <c r="I12" s="1761">
        <f>+I8/(I3*24)</f>
        <v>0</v>
      </c>
      <c r="J12" s="1758">
        <v>0</v>
      </c>
      <c r="K12" s="2285">
        <f>+K8/(K3*24)</f>
        <v>0</v>
      </c>
      <c r="L12" s="2280">
        <v>0</v>
      </c>
      <c r="M12" s="1947">
        <f>+M8/(M3*24)</f>
        <v>0</v>
      </c>
      <c r="N12" s="1758"/>
      <c r="O12" s="2285">
        <f>+O8/(O3*24)</f>
        <v>0</v>
      </c>
      <c r="P12" s="2286">
        <v>0</v>
      </c>
      <c r="Q12" s="2287">
        <f>+Q8/(Q3*24)</f>
        <v>0</v>
      </c>
      <c r="R12" s="1758"/>
      <c r="S12" s="2285">
        <f>+S8/(S3*24)</f>
        <v>0</v>
      </c>
      <c r="T12" s="2286">
        <v>0</v>
      </c>
      <c r="U12" s="2287">
        <f>+U8/(U3*24)</f>
        <v>0</v>
      </c>
      <c r="V12" s="1758"/>
      <c r="W12" s="2285">
        <f>+W8/(W3*24)</f>
        <v>0</v>
      </c>
      <c r="X12" s="2280">
        <v>0</v>
      </c>
      <c r="Y12" s="1947">
        <f>+Y8/(Y3*24)</f>
        <v>0</v>
      </c>
      <c r="Z12" s="2288">
        <v>0</v>
      </c>
      <c r="AA12" s="2289">
        <f>+AA8/(AA3*24)</f>
        <v>0</v>
      </c>
      <c r="AB12" s="1758"/>
      <c r="AC12" s="2285">
        <f>+AC8/(AC3*24)</f>
        <v>0</v>
      </c>
      <c r="AD12" s="2286">
        <v>0</v>
      </c>
      <c r="AE12" s="2287">
        <f>+AE8/(AE3*24)</f>
        <v>0</v>
      </c>
      <c r="AF12" s="1758"/>
      <c r="AG12" s="2285">
        <f>+AG8/(AG3*24)</f>
        <v>0</v>
      </c>
      <c r="AH12" s="2286">
        <v>0</v>
      </c>
      <c r="AI12" s="2287">
        <f>+AI8/(AI3*24)</f>
        <v>0</v>
      </c>
      <c r="AJ12" s="1758"/>
      <c r="AK12" s="2285">
        <f>+AK8/(AK3*24)</f>
        <v>0</v>
      </c>
      <c r="AL12" s="2280">
        <v>0</v>
      </c>
      <c r="AM12" s="1947">
        <f>+AM8/(AM3*24)</f>
        <v>0</v>
      </c>
      <c r="AN12" s="2286">
        <v>0</v>
      </c>
      <c r="AO12" s="2287">
        <f>+AO8/(AO3*24)</f>
        <v>0</v>
      </c>
      <c r="AP12" s="1758"/>
      <c r="AQ12" s="2285">
        <f>+AQ8/(AQ3*24)</f>
        <v>0</v>
      </c>
      <c r="AR12" s="2286">
        <v>0</v>
      </c>
      <c r="AS12" s="2287">
        <f>+AS8/(AS3*24)</f>
        <v>0</v>
      </c>
      <c r="AT12" s="1758"/>
      <c r="AU12" s="2285">
        <f>+AU8/(AU3*24)</f>
        <v>0</v>
      </c>
      <c r="AV12" s="2286">
        <v>0</v>
      </c>
      <c r="AW12" s="2287">
        <f>+AW8/(AW3*24)</f>
        <v>0</v>
      </c>
      <c r="AX12" s="1758"/>
      <c r="AY12" s="2285">
        <f>+AY8/(AY3*24)</f>
        <v>0</v>
      </c>
      <c r="AZ12" s="2280">
        <v>0</v>
      </c>
      <c r="BA12" s="1947">
        <f>+BA8/(BA3*24)</f>
        <v>0</v>
      </c>
      <c r="BB12" s="2288">
        <v>0</v>
      </c>
      <c r="BC12" s="2289">
        <f>+BC8/(BC3*24)</f>
        <v>0</v>
      </c>
      <c r="BD12" s="2286">
        <v>0</v>
      </c>
      <c r="BE12" s="2287">
        <f>+BE8/(BE3*24)</f>
        <v>0</v>
      </c>
      <c r="BF12" s="26"/>
      <c r="BG12" s="26"/>
      <c r="BH12" s="26"/>
      <c r="BI12" s="26"/>
      <c r="BJ12" s="26"/>
    </row>
    <row r="13" spans="1:62" x14ac:dyDescent="0.3">
      <c r="B13" s="2283" t="s">
        <v>638</v>
      </c>
      <c r="C13" s="784" t="s">
        <v>381</v>
      </c>
      <c r="D13" s="1130">
        <v>5</v>
      </c>
      <c r="E13" s="101">
        <f>+E9/(E3*24)</f>
        <v>3.6841699555555554</v>
      </c>
      <c r="F13" s="1130">
        <v>5</v>
      </c>
      <c r="G13" s="101">
        <f>+G9/(G3*24)</f>
        <v>4.8155927419354834</v>
      </c>
      <c r="H13" s="343">
        <f>+((D13*D3)+(F13*F3))/H3</f>
        <v>5</v>
      </c>
      <c r="I13" s="96">
        <f>+I9/(I3*24)</f>
        <v>4.2591553060109284</v>
      </c>
      <c r="J13" s="1130">
        <v>5</v>
      </c>
      <c r="K13" s="101">
        <f>+K9/(K3*24)</f>
        <v>4.6961124999999999</v>
      </c>
      <c r="L13" s="447">
        <f>+((D13*D3)+(F13*F3)+(J13*J3))/L3</f>
        <v>5</v>
      </c>
      <c r="M13" s="89">
        <f>+M9/(M3*24)</f>
        <v>4.4032071282051284</v>
      </c>
      <c r="N13" s="1130">
        <v>5</v>
      </c>
      <c r="O13" s="101">
        <f>+O9/(O3*24)</f>
        <v>3.6459650537634407</v>
      </c>
      <c r="P13" s="343">
        <f>+((L13*L3)+(N13*N3))/P3</f>
        <v>5</v>
      </c>
      <c r="Q13" s="96">
        <f>+Q9/(Q3*24)</f>
        <v>4.2107931584699454</v>
      </c>
      <c r="R13" s="1130">
        <v>5</v>
      </c>
      <c r="S13" s="101">
        <f>+S9/(S3*24)</f>
        <v>4.2012163978494623</v>
      </c>
      <c r="T13" s="343">
        <f>+((P13*P3)+(R13*R3))/T3</f>
        <v>5</v>
      </c>
      <c r="U13" s="96">
        <f>+U9/(U3*24)</f>
        <v>4.2088527690631805</v>
      </c>
      <c r="V13" s="1130">
        <v>5</v>
      </c>
      <c r="W13" s="101">
        <f>+W9/(W3*24)</f>
        <v>5.0202749999999998</v>
      </c>
      <c r="X13" s="447">
        <f>+((N13*N3)+(R13*R3)+(V13*V3))/X3</f>
        <v>5</v>
      </c>
      <c r="Y13" s="89">
        <f>+Y9/(Y3*24)</f>
        <v>4.2812051630434782</v>
      </c>
      <c r="Z13" s="457">
        <f>+((L13*L3)+(X13*X3))/Z3</f>
        <v>5</v>
      </c>
      <c r="AA13" s="470">
        <f>+AA9/(AA3*24)</f>
        <v>4.3418728069216757</v>
      </c>
      <c r="AB13" s="1130">
        <v>5</v>
      </c>
      <c r="AC13" s="101">
        <f>+AC9/(AC3*24)</f>
        <v>4.3758062768817201</v>
      </c>
      <c r="AD13" s="343">
        <f>+((Z13*Z3)+(AB13*AB3))/AD3</f>
        <v>5</v>
      </c>
      <c r="AE13" s="96">
        <f>+AE9/(AE3*24)</f>
        <v>4.3467884030373822</v>
      </c>
      <c r="AF13" s="1130">
        <v>5</v>
      </c>
      <c r="AG13" s="101">
        <f>+AG9/(AG3*24)</f>
        <v>4.0547222222222228</v>
      </c>
      <c r="AH13" s="343">
        <f>+((AD13*AD3)+(AF13*AF3))/AH3</f>
        <v>5</v>
      </c>
      <c r="AI13" s="96">
        <f>+AI9/(AI3*24)</f>
        <v>4.31087862670765</v>
      </c>
      <c r="AJ13" s="1130">
        <v>5</v>
      </c>
      <c r="AK13" s="101">
        <f>+AK9/(AK3*24)</f>
        <v>4.2198924731182794</v>
      </c>
      <c r="AL13" s="447">
        <f>+((AB13*AB3)+(AF13*AF3)+(AJ13*AJ3))/AL3</f>
        <v>5</v>
      </c>
      <c r="AM13" s="89">
        <f>+AM9/(AM3*24)</f>
        <v>4.2185687817028983</v>
      </c>
      <c r="AN13" s="343">
        <f>+((AH13*AH3)+(AJ13*AJ3))/AN3</f>
        <v>5</v>
      </c>
      <c r="AO13" s="96">
        <f>+AO9/(AO3*24)</f>
        <v>4.3006220057575755</v>
      </c>
      <c r="AP13" s="1130">
        <v>5</v>
      </c>
      <c r="AQ13" s="101">
        <f>+AQ9/(AQ3*24)</f>
        <v>4.5565867473118278</v>
      </c>
      <c r="AR13" s="343">
        <f>+((AN13*AN3)+(AP13*AP3))/AR3</f>
        <v>5</v>
      </c>
      <c r="AS13" s="96">
        <f>+AS9/(AS3*24)</f>
        <v>4.3265530743464042</v>
      </c>
      <c r="AT13" s="1130">
        <v>5</v>
      </c>
      <c r="AU13" s="101">
        <f>+AU9/(AU3*24)</f>
        <v>4.055353928571428</v>
      </c>
      <c r="AV13" s="343">
        <f>+((AR13*AR3)+(AT13*AT3))/AV3</f>
        <v>5</v>
      </c>
      <c r="AW13" s="96">
        <f>+AW9/(AW3*24)</f>
        <v>4.3038178166167658</v>
      </c>
      <c r="AX13" s="1130">
        <v>5</v>
      </c>
      <c r="AY13" s="101">
        <f>+AY9/(AY3*24)</f>
        <v>4.2425567876344088</v>
      </c>
      <c r="AZ13" s="447">
        <f>+((AP13*AP3)+(AT13*AT3)+(AX13*AX3))/AZ3</f>
        <v>5</v>
      </c>
      <c r="BA13" s="89">
        <f>+BA9/(BA3*24)</f>
        <v>4.2924817731481486</v>
      </c>
      <c r="BB13" s="457">
        <f>+((AL13*AL3)+(AZ13*AZ3))/BB3</f>
        <v>5</v>
      </c>
      <c r="BC13" s="470">
        <f>+BC9/(BC3*24)</f>
        <v>4.2551191620879125</v>
      </c>
      <c r="BD13" s="343">
        <f>+((AV13*AV3)+(AX13*AX3))/BD3</f>
        <v>5</v>
      </c>
      <c r="BE13" s="96">
        <f>+BE9/(BE3*24)</f>
        <v>4.2986148251141545</v>
      </c>
      <c r="BF13" s="26"/>
      <c r="BG13" s="26"/>
      <c r="BH13" s="26"/>
      <c r="BI13" s="26"/>
      <c r="BJ13" s="26"/>
    </row>
    <row r="14" spans="1:62" ht="15.75" customHeight="1" thickBot="1" x14ac:dyDescent="0.35">
      <c r="B14" s="1426" t="s">
        <v>610</v>
      </c>
      <c r="C14" s="885" t="s">
        <v>381</v>
      </c>
      <c r="D14" s="229">
        <v>0</v>
      </c>
      <c r="E14" s="1431">
        <f>+E10/(E3*24)</f>
        <v>0</v>
      </c>
      <c r="F14" s="229">
        <v>0</v>
      </c>
      <c r="G14" s="1431">
        <f>+G10/(G3*24)</f>
        <v>0</v>
      </c>
      <c r="H14" s="588">
        <f>+H10/(H3*24)</f>
        <v>0</v>
      </c>
      <c r="I14" s="128">
        <f>+I10/(I3*24)</f>
        <v>0</v>
      </c>
      <c r="J14" s="229">
        <v>0</v>
      </c>
      <c r="K14" s="1431">
        <f>+K10/(K3*24)</f>
        <v>0</v>
      </c>
      <c r="L14" s="589">
        <f>+L10/(L3*24)</f>
        <v>0</v>
      </c>
      <c r="M14" s="168">
        <f>+M10/(M3*24)</f>
        <v>0</v>
      </c>
      <c r="N14" s="229">
        <v>0</v>
      </c>
      <c r="O14" s="1431">
        <f>+O10/(O3*24)</f>
        <v>0</v>
      </c>
      <c r="P14" s="588">
        <f>+P10/(P3*24)</f>
        <v>0</v>
      </c>
      <c r="Q14" s="128">
        <f>+Q10/(Q3*24)</f>
        <v>0</v>
      </c>
      <c r="R14" s="229">
        <v>0</v>
      </c>
      <c r="S14" s="1431">
        <f>+S10/(S3*24)</f>
        <v>0</v>
      </c>
      <c r="T14" s="588">
        <f>+T10/(T3*24)</f>
        <v>0</v>
      </c>
      <c r="U14" s="128">
        <f>+U10/(U3*24)</f>
        <v>0</v>
      </c>
      <c r="V14" s="229">
        <v>0</v>
      </c>
      <c r="W14" s="1431">
        <f>+W10/(W3*24)</f>
        <v>0</v>
      </c>
      <c r="X14" s="589">
        <f>+X10/(X3*24)</f>
        <v>0</v>
      </c>
      <c r="Y14" s="168">
        <f>+Y10/(Y3*24)</f>
        <v>0</v>
      </c>
      <c r="Z14" s="945">
        <f>+Z10/(Z3*24)</f>
        <v>0</v>
      </c>
      <c r="AA14" s="2281">
        <f>+AA10/(AA3*24)</f>
        <v>0</v>
      </c>
      <c r="AB14" s="229">
        <v>0</v>
      </c>
      <c r="AC14" s="1431">
        <f>+AC10/(AC3*24)</f>
        <v>0</v>
      </c>
      <c r="AD14" s="588">
        <f>+AD10/(AD3*24)</f>
        <v>0</v>
      </c>
      <c r="AE14" s="128">
        <f>+AE10/(AE3*24)</f>
        <v>0</v>
      </c>
      <c r="AF14" s="229">
        <v>0</v>
      </c>
      <c r="AG14" s="1431">
        <f>+AG10/(AG3*24)</f>
        <v>0</v>
      </c>
      <c r="AH14" s="588">
        <f>+AH10/(AH3*24)</f>
        <v>0</v>
      </c>
      <c r="AI14" s="128">
        <f>+AI10/(AI3*24)</f>
        <v>0</v>
      </c>
      <c r="AJ14" s="229">
        <v>0</v>
      </c>
      <c r="AK14" s="1431">
        <f>+AK10/(AK3*24)</f>
        <v>0</v>
      </c>
      <c r="AL14" s="589">
        <f>+AL10/(AL3*24)</f>
        <v>0</v>
      </c>
      <c r="AM14" s="168">
        <f>+AM10/(AM3*24)</f>
        <v>0</v>
      </c>
      <c r="AN14" s="588">
        <f>+AN10/(AN3*24)</f>
        <v>0</v>
      </c>
      <c r="AO14" s="128">
        <f>+AO10/(AO3*24)</f>
        <v>0</v>
      </c>
      <c r="AP14" s="229">
        <v>0</v>
      </c>
      <c r="AQ14" s="1431">
        <f>+AQ10/(AQ3*24)</f>
        <v>0</v>
      </c>
      <c r="AR14" s="588">
        <f>+AR10/(AR3*24)</f>
        <v>0</v>
      </c>
      <c r="AS14" s="128">
        <f>+AS10/(AS3*24)</f>
        <v>0</v>
      </c>
      <c r="AT14" s="229"/>
      <c r="AU14" s="1431">
        <f>+AU10/(AU3*24)</f>
        <v>0</v>
      </c>
      <c r="AV14" s="588">
        <f>+AV10/(AV3*24)</f>
        <v>0</v>
      </c>
      <c r="AW14" s="128">
        <f>+AW10/(AW3*24)</f>
        <v>0</v>
      </c>
      <c r="AX14" s="229">
        <v>0</v>
      </c>
      <c r="AY14" s="1431">
        <f>+AY10/(AY3*24)</f>
        <v>0</v>
      </c>
      <c r="AZ14" s="589">
        <f t="shared" ref="AZ14:BE14" si="36">+AZ10/(AZ3*24)</f>
        <v>0</v>
      </c>
      <c r="BA14" s="168">
        <f t="shared" si="36"/>
        <v>0</v>
      </c>
      <c r="BB14" s="945">
        <f t="shared" si="36"/>
        <v>0</v>
      </c>
      <c r="BC14" s="2281">
        <f t="shared" si="36"/>
        <v>0</v>
      </c>
      <c r="BD14" s="588">
        <f t="shared" si="36"/>
        <v>0</v>
      </c>
      <c r="BE14" s="128">
        <f t="shared" si="36"/>
        <v>0</v>
      </c>
      <c r="BF14" s="26"/>
      <c r="BG14" s="26"/>
      <c r="BH14" s="26"/>
      <c r="BI14" s="26"/>
      <c r="BJ14" s="26"/>
    </row>
    <row r="15" spans="1:62" ht="16.2" thickBot="1" x14ac:dyDescent="0.35">
      <c r="B15" s="771" t="s">
        <v>383</v>
      </c>
      <c r="C15" s="35" t="s">
        <v>381</v>
      </c>
      <c r="D15" s="3080">
        <f t="shared" ref="D15:I15" si="37">SUM(D12:D14)</f>
        <v>5</v>
      </c>
      <c r="E15" s="3081">
        <f t="shared" si="37"/>
        <v>3.6841699555555554</v>
      </c>
      <c r="F15" s="3080">
        <f t="shared" ref="F15:G15" si="38">SUM(F12:F14)</f>
        <v>5</v>
      </c>
      <c r="G15" s="3081">
        <f t="shared" si="38"/>
        <v>4.8155927419354834</v>
      </c>
      <c r="H15" s="3082">
        <f t="shared" si="37"/>
        <v>5</v>
      </c>
      <c r="I15" s="3029">
        <f t="shared" si="37"/>
        <v>4.2591553060109284</v>
      </c>
      <c r="J15" s="3080">
        <f t="shared" ref="J15:K15" si="39">SUM(J12:J14)</f>
        <v>5</v>
      </c>
      <c r="K15" s="3081">
        <f t="shared" si="39"/>
        <v>4.6961124999999999</v>
      </c>
      <c r="L15" s="1509">
        <f t="shared" ref="L15:Q15" si="40">SUM(L12:L14)</f>
        <v>5</v>
      </c>
      <c r="M15" s="1510">
        <f t="shared" si="40"/>
        <v>4.4032071282051284</v>
      </c>
      <c r="N15" s="3080">
        <f t="shared" si="40"/>
        <v>5</v>
      </c>
      <c r="O15" s="3081">
        <f t="shared" si="40"/>
        <v>3.6459650537634407</v>
      </c>
      <c r="P15" s="1427">
        <f t="shared" si="40"/>
        <v>5</v>
      </c>
      <c r="Q15" s="1428">
        <f t="shared" si="40"/>
        <v>4.2107931584699454</v>
      </c>
      <c r="R15" s="3080">
        <f t="shared" ref="R15:S15" si="41">SUM(R12:R14)</f>
        <v>5</v>
      </c>
      <c r="S15" s="3081">
        <f t="shared" si="41"/>
        <v>4.2012163978494623</v>
      </c>
      <c r="T15" s="1427">
        <f t="shared" ref="T15:W15" si="42">SUM(T12:T14)</f>
        <v>5</v>
      </c>
      <c r="U15" s="1428">
        <f t="shared" si="42"/>
        <v>4.2088527690631805</v>
      </c>
      <c r="V15" s="3080">
        <f t="shared" si="42"/>
        <v>5</v>
      </c>
      <c r="W15" s="3081">
        <f t="shared" si="42"/>
        <v>5.0202749999999998</v>
      </c>
      <c r="X15" s="1509">
        <f t="shared" ref="X15:Y15" si="43">SUM(X12:X14)</f>
        <v>5</v>
      </c>
      <c r="Y15" s="1510">
        <f t="shared" si="43"/>
        <v>4.2812051630434782</v>
      </c>
      <c r="Z15" s="766">
        <f t="shared" ref="Z15:AE15" si="44">SUM(Z12:Z14)</f>
        <v>5</v>
      </c>
      <c r="AA15" s="2282">
        <f t="shared" si="44"/>
        <v>4.3418728069216757</v>
      </c>
      <c r="AB15" s="3080">
        <f t="shared" si="44"/>
        <v>5</v>
      </c>
      <c r="AC15" s="3081">
        <f t="shared" si="44"/>
        <v>4.3758062768817201</v>
      </c>
      <c r="AD15" s="1427">
        <f t="shared" si="44"/>
        <v>5</v>
      </c>
      <c r="AE15" s="1428">
        <f t="shared" si="44"/>
        <v>4.3467884030373822</v>
      </c>
      <c r="AF15" s="3080">
        <f t="shared" ref="AF15:AG15" si="45">SUM(AF12:AF14)</f>
        <v>5</v>
      </c>
      <c r="AG15" s="3081">
        <f t="shared" si="45"/>
        <v>4.0547222222222228</v>
      </c>
      <c r="AH15" s="1427">
        <f t="shared" ref="AH15:AK15" si="46">SUM(AH12:AH14)</f>
        <v>5</v>
      </c>
      <c r="AI15" s="1428">
        <f t="shared" si="46"/>
        <v>4.31087862670765</v>
      </c>
      <c r="AJ15" s="3080">
        <f t="shared" si="46"/>
        <v>5</v>
      </c>
      <c r="AK15" s="3081">
        <f t="shared" si="46"/>
        <v>4.2198924731182794</v>
      </c>
      <c r="AL15" s="1509">
        <f t="shared" ref="AL15:AS15" si="47">SUM(AL12:AL14)</f>
        <v>5</v>
      </c>
      <c r="AM15" s="1510">
        <f t="shared" si="47"/>
        <v>4.2185687817028983</v>
      </c>
      <c r="AN15" s="1427">
        <f t="shared" si="47"/>
        <v>5</v>
      </c>
      <c r="AO15" s="1428">
        <f t="shared" si="47"/>
        <v>4.3006220057575755</v>
      </c>
      <c r="AP15" s="3080">
        <f t="shared" si="47"/>
        <v>5</v>
      </c>
      <c r="AQ15" s="3081">
        <f t="shared" si="47"/>
        <v>4.5565867473118278</v>
      </c>
      <c r="AR15" s="1427">
        <f t="shared" si="47"/>
        <v>5</v>
      </c>
      <c r="AS15" s="1428">
        <f t="shared" si="47"/>
        <v>4.3265530743464042</v>
      </c>
      <c r="AT15" s="3080">
        <f t="shared" ref="AT15:AU15" si="48">SUM(AT12:AT14)</f>
        <v>5</v>
      </c>
      <c r="AU15" s="3081">
        <f t="shared" si="48"/>
        <v>4.055353928571428</v>
      </c>
      <c r="AV15" s="1427">
        <f t="shared" ref="AV15:AY15" si="49">SUM(AV12:AV14)</f>
        <v>5</v>
      </c>
      <c r="AW15" s="1428">
        <f t="shared" si="49"/>
        <v>4.3038178166167658</v>
      </c>
      <c r="AX15" s="3080">
        <f t="shared" si="49"/>
        <v>5</v>
      </c>
      <c r="AY15" s="3081">
        <f t="shared" si="49"/>
        <v>4.2425567876344088</v>
      </c>
      <c r="AZ15" s="1509">
        <f t="shared" ref="AZ15:BE15" si="50">SUM(AZ12:AZ14)</f>
        <v>5</v>
      </c>
      <c r="BA15" s="1510">
        <f t="shared" si="50"/>
        <v>4.2924817731481486</v>
      </c>
      <c r="BB15" s="766">
        <f t="shared" si="50"/>
        <v>5</v>
      </c>
      <c r="BC15" s="2282">
        <f t="shared" si="50"/>
        <v>4.2551191620879125</v>
      </c>
      <c r="BD15" s="1427">
        <f t="shared" si="50"/>
        <v>5</v>
      </c>
      <c r="BE15" s="1428">
        <f t="shared" si="50"/>
        <v>4.2986148251141545</v>
      </c>
      <c r="BF15" s="26"/>
      <c r="BG15" s="26"/>
      <c r="BH15" s="26"/>
      <c r="BI15" s="26"/>
      <c r="BJ15" s="26"/>
    </row>
    <row r="16" spans="1:62" ht="15.6" x14ac:dyDescent="0.3">
      <c r="A16" s="3866">
        <f>SUM(A18:A19)</f>
        <v>26</v>
      </c>
      <c r="B16" s="3030" t="s">
        <v>375</v>
      </c>
      <c r="C16" s="16" t="s">
        <v>66</v>
      </c>
      <c r="D16" s="946">
        <f>26*D3*24</f>
        <v>18720</v>
      </c>
      <c r="E16" s="28">
        <f>+E22</f>
        <v>18720</v>
      </c>
      <c r="F16" s="946">
        <f>26*F3*24</f>
        <v>19344</v>
      </c>
      <c r="G16" s="28">
        <f>+G22</f>
        <v>19344</v>
      </c>
      <c r="H16" s="943">
        <f>+D16+F16</f>
        <v>38064</v>
      </c>
      <c r="I16" s="61">
        <f>+E16+G16</f>
        <v>38064</v>
      </c>
      <c r="J16" s="946">
        <f>26*J3*24</f>
        <v>18720</v>
      </c>
      <c r="K16" s="28">
        <f>+K22</f>
        <v>18720</v>
      </c>
      <c r="L16" s="944">
        <f>D16+F16+J16</f>
        <v>56784</v>
      </c>
      <c r="M16" s="118">
        <f>E16+G16+K16</f>
        <v>56784</v>
      </c>
      <c r="N16" s="946">
        <f>26*N3*24</f>
        <v>19344</v>
      </c>
      <c r="O16" s="28">
        <f>+O22</f>
        <v>19344</v>
      </c>
      <c r="P16" s="943">
        <f>+L16+N16</f>
        <v>76128</v>
      </c>
      <c r="Q16" s="216">
        <f>+M16+O16</f>
        <v>76128</v>
      </c>
      <c r="R16" s="946">
        <f>26*R3*24</f>
        <v>19344</v>
      </c>
      <c r="S16" s="28">
        <f>+S22</f>
        <v>19344</v>
      </c>
      <c r="T16" s="943">
        <f>+P16+R16</f>
        <v>95472</v>
      </c>
      <c r="U16" s="216">
        <f>+Q16+S16</f>
        <v>95472</v>
      </c>
      <c r="V16" s="946">
        <f>26*V3*24</f>
        <v>18720</v>
      </c>
      <c r="W16" s="28">
        <f>+W22</f>
        <v>18720</v>
      </c>
      <c r="X16" s="944">
        <f>+N16+R16+V16</f>
        <v>57408</v>
      </c>
      <c r="Y16" s="118">
        <f>+O16+S16+W16</f>
        <v>57408</v>
      </c>
      <c r="Z16" s="635">
        <f>L16+X16</f>
        <v>114192</v>
      </c>
      <c r="AA16" s="650">
        <f>M16+Y16</f>
        <v>114192</v>
      </c>
      <c r="AB16" s="946">
        <f>26*AB3*24</f>
        <v>19344</v>
      </c>
      <c r="AC16" s="28">
        <f>+AC22</f>
        <v>19344</v>
      </c>
      <c r="AD16" s="943">
        <f>+Z16+AB16</f>
        <v>133536</v>
      </c>
      <c r="AE16" s="216">
        <f>+AA16+AC16</f>
        <v>133536</v>
      </c>
      <c r="AF16" s="946">
        <f>26*AF3*24</f>
        <v>18720</v>
      </c>
      <c r="AG16" s="28">
        <f>+AG22</f>
        <v>18720</v>
      </c>
      <c r="AH16" s="943">
        <f>+AD16+AF16</f>
        <v>152256</v>
      </c>
      <c r="AI16" s="216">
        <f>+AE16+AG16</f>
        <v>152256</v>
      </c>
      <c r="AJ16" s="946">
        <f>26*AJ3*24</f>
        <v>19344</v>
      </c>
      <c r="AK16" s="28">
        <f>+AK22</f>
        <v>15120</v>
      </c>
      <c r="AL16" s="944">
        <f>+AB16+AF16+AJ16</f>
        <v>57408</v>
      </c>
      <c r="AM16" s="118">
        <f>+AC16+AG16+AK16</f>
        <v>53184</v>
      </c>
      <c r="AN16" s="943">
        <f>+AH16+AJ16</f>
        <v>171600</v>
      </c>
      <c r="AO16" s="216">
        <f>+AI16+AK16</f>
        <v>167376</v>
      </c>
      <c r="AP16" s="946">
        <f>26*AP3*24</f>
        <v>19344</v>
      </c>
      <c r="AQ16" s="28">
        <f>+AQ22</f>
        <v>7200</v>
      </c>
      <c r="AR16" s="943">
        <f>+AN16+AP16</f>
        <v>190944</v>
      </c>
      <c r="AS16" s="216">
        <f>+AO16+AQ16</f>
        <v>174576</v>
      </c>
      <c r="AT16" s="946">
        <f>26*AT3*24</f>
        <v>17472</v>
      </c>
      <c r="AU16" s="28">
        <f>+AU22</f>
        <v>0</v>
      </c>
      <c r="AV16" s="943">
        <f>+AR16+AT16</f>
        <v>208416</v>
      </c>
      <c r="AW16" s="216">
        <f>+AS16+AU16</f>
        <v>174576</v>
      </c>
      <c r="AX16" s="946">
        <f>26*AX3*24</f>
        <v>19344</v>
      </c>
      <c r="AY16" s="28">
        <f>+AY22</f>
        <v>0</v>
      </c>
      <c r="AZ16" s="944">
        <f>+AP16+AT16+AX16</f>
        <v>56160</v>
      </c>
      <c r="BA16" s="118">
        <f>+AQ16+AU16+AY16</f>
        <v>7200</v>
      </c>
      <c r="BB16" s="709">
        <f>+AL16+AZ16</f>
        <v>113568</v>
      </c>
      <c r="BC16" s="709">
        <f>+AM16+BA16</f>
        <v>60384</v>
      </c>
      <c r="BD16" s="943">
        <f>+AV16+AX16</f>
        <v>227760</v>
      </c>
      <c r="BE16" s="216">
        <f>+AW16+AY16</f>
        <v>174576</v>
      </c>
      <c r="BF16" s="26"/>
      <c r="BG16" s="26"/>
      <c r="BH16" s="26"/>
      <c r="BI16" s="26"/>
      <c r="BJ16" s="26"/>
    </row>
    <row r="17" spans="1:62" ht="18" thickBot="1" x14ac:dyDescent="0.35">
      <c r="A17" s="147"/>
      <c r="B17" s="947" t="s">
        <v>376</v>
      </c>
      <c r="C17" s="501"/>
      <c r="D17" s="947"/>
      <c r="E17" s="672"/>
      <c r="F17" s="947"/>
      <c r="G17" s="672"/>
      <c r="H17" s="501"/>
      <c r="I17" s="672"/>
      <c r="J17" s="947"/>
      <c r="K17" s="672"/>
      <c r="L17" s="501"/>
      <c r="M17" s="501"/>
      <c r="N17" s="947"/>
      <c r="O17" s="672"/>
      <c r="P17" s="501"/>
      <c r="Q17" s="501"/>
      <c r="R17" s="947"/>
      <c r="S17" s="672"/>
      <c r="T17" s="501"/>
      <c r="U17" s="501"/>
      <c r="V17" s="947"/>
      <c r="W17" s="672"/>
      <c r="X17" s="501"/>
      <c r="Y17" s="501"/>
      <c r="Z17" s="501"/>
      <c r="AA17" s="501"/>
      <c r="AB17" s="947"/>
      <c r="AC17" s="672"/>
      <c r="AD17" s="501"/>
      <c r="AE17" s="501"/>
      <c r="AF17" s="947"/>
      <c r="AG17" s="672"/>
      <c r="AH17" s="501"/>
      <c r="AI17" s="501"/>
      <c r="AJ17" s="947"/>
      <c r="AK17" s="672"/>
      <c r="AL17" s="501"/>
      <c r="AM17" s="501"/>
      <c r="AN17" s="501"/>
      <c r="AO17" s="501"/>
      <c r="AP17" s="947"/>
      <c r="AQ17" s="672"/>
      <c r="AR17" s="501"/>
      <c r="AS17" s="501"/>
      <c r="AT17" s="947"/>
      <c r="AU17" s="672"/>
      <c r="AV17" s="501"/>
      <c r="AW17" s="501"/>
      <c r="AX17" s="947"/>
      <c r="AY17" s="672"/>
      <c r="AZ17" s="501"/>
      <c r="BA17" s="501"/>
      <c r="BB17" s="501"/>
      <c r="BC17" s="501"/>
      <c r="BD17" s="501"/>
      <c r="BE17" s="501"/>
      <c r="BF17" s="26"/>
      <c r="BG17" s="26"/>
      <c r="BH17" s="26"/>
      <c r="BI17" s="26"/>
      <c r="BJ17" s="26"/>
    </row>
    <row r="18" spans="1:62" ht="15" thickBot="1" x14ac:dyDescent="0.35">
      <c r="A18" s="1517">
        <v>17.5</v>
      </c>
      <c r="B18" s="3031" t="s">
        <v>377</v>
      </c>
      <c r="C18" s="13" t="s">
        <v>66</v>
      </c>
      <c r="D18" s="2767">
        <f>$A$18*D3*24</f>
        <v>12600</v>
      </c>
      <c r="E18" s="249">
        <v>12545.5</v>
      </c>
      <c r="F18" s="2767">
        <f>$A$18*F3*24</f>
        <v>13020</v>
      </c>
      <c r="G18" s="249">
        <v>12957.4</v>
      </c>
      <c r="H18" s="713">
        <f>+D18+F18</f>
        <v>25620</v>
      </c>
      <c r="I18" s="61">
        <f>+E18+G18</f>
        <v>25502.9</v>
      </c>
      <c r="J18" s="2767">
        <f>$A$18*J3*24</f>
        <v>12600</v>
      </c>
      <c r="K18" s="249">
        <v>12576.7</v>
      </c>
      <c r="L18" s="71">
        <f>D18+F18+J18</f>
        <v>38220</v>
      </c>
      <c r="M18" s="71">
        <f>E18+G18+K18</f>
        <v>38079.600000000006</v>
      </c>
      <c r="N18" s="2767">
        <f>$A$18*N3*24</f>
        <v>13020</v>
      </c>
      <c r="O18" s="249">
        <v>12971.8</v>
      </c>
      <c r="P18" s="713">
        <f>+L18+N18</f>
        <v>51240</v>
      </c>
      <c r="Q18" s="216">
        <f>+M18+O18</f>
        <v>51051.400000000009</v>
      </c>
      <c r="R18" s="2767">
        <f>$A$18*R3*24</f>
        <v>13020</v>
      </c>
      <c r="S18" s="249">
        <v>12971.8</v>
      </c>
      <c r="T18" s="713">
        <f>+P18+R18</f>
        <v>64260</v>
      </c>
      <c r="U18" s="216">
        <f>+Q18+S18</f>
        <v>64023.200000000012</v>
      </c>
      <c r="V18" s="2767">
        <f>$A$18*V3*24</f>
        <v>12600</v>
      </c>
      <c r="W18" s="249">
        <v>12552.7</v>
      </c>
      <c r="X18" s="71">
        <f>+N18+R18+V18</f>
        <v>38640</v>
      </c>
      <c r="Y18" s="524">
        <f>+O18+S18+W18</f>
        <v>38496.300000000003</v>
      </c>
      <c r="Z18" s="460">
        <f>L18+X18</f>
        <v>76860</v>
      </c>
      <c r="AA18" s="460">
        <f>M18+Y18</f>
        <v>76575.900000000009</v>
      </c>
      <c r="AB18" s="2767">
        <f>$A$18*AB3*24</f>
        <v>13020</v>
      </c>
      <c r="AC18" s="249">
        <v>12969.4</v>
      </c>
      <c r="AD18" s="713">
        <f>+Z18+AB18</f>
        <v>89880</v>
      </c>
      <c r="AE18" s="216">
        <f>+AA18+AC18</f>
        <v>89545.3</v>
      </c>
      <c r="AF18" s="2767">
        <f>$A$18*AF3*24</f>
        <v>12600</v>
      </c>
      <c r="AG18" s="249">
        <v>12545.5</v>
      </c>
      <c r="AH18" s="713">
        <f>+AD18+AF18</f>
        <v>102480</v>
      </c>
      <c r="AI18" s="216">
        <f>+AE18+AG18</f>
        <v>102090.8</v>
      </c>
      <c r="AJ18" s="2767">
        <f>$A$18*AJ3*24</f>
        <v>13020</v>
      </c>
      <c r="AK18" s="249">
        <v>10117.299999999999</v>
      </c>
      <c r="AL18" s="71">
        <f>+AB18+AF18+AJ18</f>
        <v>38640</v>
      </c>
      <c r="AM18" s="524">
        <f>+AC18+AG18+AK18</f>
        <v>35632.199999999997</v>
      </c>
      <c r="AN18" s="713">
        <f>+AH18+AJ18</f>
        <v>115500</v>
      </c>
      <c r="AO18" s="216">
        <f>+AI18+AK18</f>
        <v>112208.1</v>
      </c>
      <c r="AP18" s="2767">
        <f>$A$18*AP3*24</f>
        <v>13020</v>
      </c>
      <c r="AQ18" s="249">
        <v>4789.2</v>
      </c>
      <c r="AR18" s="713">
        <f>+AN18+AP18</f>
        <v>128520</v>
      </c>
      <c r="AS18" s="216">
        <f>+AO18+AQ18</f>
        <v>116997.3</v>
      </c>
      <c r="AT18" s="2767">
        <f>$A$18*AT3*24</f>
        <v>11760</v>
      </c>
      <c r="AU18" s="249"/>
      <c r="AV18" s="713">
        <f>+AR18+AT18</f>
        <v>140280</v>
      </c>
      <c r="AW18" s="216">
        <f>+AS18+AU18</f>
        <v>116997.3</v>
      </c>
      <c r="AX18" s="2767">
        <f>$A$18*AX3*24</f>
        <v>13020</v>
      </c>
      <c r="AY18" s="249"/>
      <c r="AZ18" s="71">
        <f>+AP18+AT18+AX18</f>
        <v>37800</v>
      </c>
      <c r="BA18" s="524">
        <f>+AQ18+AU18+AY18</f>
        <v>4789.2</v>
      </c>
      <c r="BB18" s="709">
        <f>+AL18+AZ18</f>
        <v>76440</v>
      </c>
      <c r="BC18" s="709">
        <f>+AM18+BA18</f>
        <v>40421.399999999994</v>
      </c>
      <c r="BD18" s="713">
        <f>+AV18+AX18</f>
        <v>153300</v>
      </c>
      <c r="BE18" s="216">
        <f>+AW18+AY18</f>
        <v>116997.3</v>
      </c>
      <c r="BF18" s="26"/>
      <c r="BG18" s="26"/>
      <c r="BH18" s="26"/>
      <c r="BI18" s="26"/>
      <c r="BJ18" s="26"/>
    </row>
    <row r="19" spans="1:62" ht="15" thickBot="1" x14ac:dyDescent="0.35">
      <c r="A19" s="1655">
        <v>8.5</v>
      </c>
      <c r="B19" s="3031" t="s">
        <v>379</v>
      </c>
      <c r="C19" s="13" t="s">
        <v>66</v>
      </c>
      <c r="D19" s="6182">
        <f>$A$19*D3*24</f>
        <v>6120</v>
      </c>
      <c r="E19" s="178">
        <v>6146.4</v>
      </c>
      <c r="F19" s="6182">
        <f>$A$19*F3*24</f>
        <v>6324</v>
      </c>
      <c r="G19" s="178">
        <v>6357.6</v>
      </c>
      <c r="H19" s="5903">
        <f>+D19+F19</f>
        <v>12444</v>
      </c>
      <c r="I19" s="38">
        <f>+E19+G19</f>
        <v>12504</v>
      </c>
      <c r="J19" s="6182">
        <f>$A$19*J3*24</f>
        <v>6120</v>
      </c>
      <c r="K19" s="178">
        <v>6115.2</v>
      </c>
      <c r="L19" s="5920">
        <f>D19+F19+J19</f>
        <v>18564</v>
      </c>
      <c r="M19" s="71">
        <f t="shared" ref="M19:M20" si="51">E19+G19+K19</f>
        <v>18619.2</v>
      </c>
      <c r="N19" s="6182">
        <f>$A$19*N3*24</f>
        <v>6324</v>
      </c>
      <c r="O19" s="178">
        <v>6343.2</v>
      </c>
      <c r="P19" s="5903">
        <f>+L19+N19</f>
        <v>24888</v>
      </c>
      <c r="Q19" s="214">
        <f>+M19+O19</f>
        <v>24962.400000000001</v>
      </c>
      <c r="R19" s="6182">
        <f>$A$19*R3*24</f>
        <v>6324</v>
      </c>
      <c r="S19" s="178">
        <v>6343.2</v>
      </c>
      <c r="T19" s="5903">
        <f>+P19+R19</f>
        <v>31212</v>
      </c>
      <c r="U19" s="214">
        <f>+Q19+S19</f>
        <v>31305.600000000002</v>
      </c>
      <c r="V19" s="6182">
        <f>$A$19*V3*24</f>
        <v>6120</v>
      </c>
      <c r="W19" s="178">
        <v>6139.2</v>
      </c>
      <c r="X19" s="5920">
        <f>N19+R19+V19</f>
        <v>18768</v>
      </c>
      <c r="Y19" s="524">
        <f t="shared" ref="Y19:Y20" si="52">+O19+S19+W19</f>
        <v>18825.599999999999</v>
      </c>
      <c r="Z19" s="5919">
        <f>L19+X19</f>
        <v>37332</v>
      </c>
      <c r="AA19" s="460">
        <f t="shared" ref="Z19:AA21" si="53">M19+Y19</f>
        <v>37444.800000000003</v>
      </c>
      <c r="AB19" s="6182">
        <f>$A$19*AB3*24</f>
        <v>6324</v>
      </c>
      <c r="AC19" s="178">
        <v>6345.6</v>
      </c>
      <c r="AD19" s="5903">
        <f>+Z19+AB19</f>
        <v>43656</v>
      </c>
      <c r="AE19" s="214">
        <f>+AA19+AC19</f>
        <v>43790.400000000001</v>
      </c>
      <c r="AF19" s="6182">
        <f>$A$19*AF3*24</f>
        <v>6120</v>
      </c>
      <c r="AG19" s="178">
        <v>6146.4</v>
      </c>
      <c r="AH19" s="5903">
        <f>+AD19+AF19</f>
        <v>49776</v>
      </c>
      <c r="AI19" s="214">
        <f>+AE19+AG19</f>
        <v>49936.800000000003</v>
      </c>
      <c r="AJ19" s="6182">
        <f>$A$19*AJ3*24</f>
        <v>6324</v>
      </c>
      <c r="AK19" s="178">
        <v>4980</v>
      </c>
      <c r="AL19" s="5920">
        <f>AB19+AF19+AJ19</f>
        <v>18768</v>
      </c>
      <c r="AM19" s="524">
        <f t="shared" ref="AM19:AM20" si="54">+AC19+AG19+AK19</f>
        <v>17472</v>
      </c>
      <c r="AN19" s="5903">
        <f>+AH19+AJ19</f>
        <v>56100</v>
      </c>
      <c r="AO19" s="214">
        <f>+AI19+AK19</f>
        <v>54916.800000000003</v>
      </c>
      <c r="AP19" s="6182">
        <f>$A$19*AP3*24</f>
        <v>6324</v>
      </c>
      <c r="AQ19" s="178">
        <v>2400</v>
      </c>
      <c r="AR19" s="5903">
        <f>+AN19+AP19</f>
        <v>62424</v>
      </c>
      <c r="AS19" s="214">
        <f>+AO19+AQ19</f>
        <v>57316.800000000003</v>
      </c>
      <c r="AT19" s="6182">
        <f>$A$19*AT3*24</f>
        <v>5712</v>
      </c>
      <c r="AU19" s="178"/>
      <c r="AV19" s="5903">
        <f>+AR19+AT19</f>
        <v>68136</v>
      </c>
      <c r="AW19" s="214">
        <f>+AS19+AU19</f>
        <v>57316.800000000003</v>
      </c>
      <c r="AX19" s="6182">
        <f>$A$19*AX3*24</f>
        <v>6324</v>
      </c>
      <c r="AY19" s="178"/>
      <c r="AZ19" s="5920">
        <f>AP19+AT19+AX19</f>
        <v>18360</v>
      </c>
      <c r="BA19" s="524">
        <f t="shared" ref="BA19:BA20" si="55">+AQ19+AU19+AY19</f>
        <v>2400</v>
      </c>
      <c r="BB19" s="5919">
        <f>AL19+AZ19</f>
        <v>37128</v>
      </c>
      <c r="BC19" s="709">
        <f t="shared" ref="BC19:BC21" si="56">+AM19+BA19</f>
        <v>19872</v>
      </c>
      <c r="BD19" s="5903">
        <f>+AV19+AX19</f>
        <v>74460</v>
      </c>
      <c r="BE19" s="214">
        <f>+AW19+AY19</f>
        <v>57316.800000000003</v>
      </c>
      <c r="BF19" s="26"/>
      <c r="BG19" s="26"/>
      <c r="BH19" s="26"/>
      <c r="BI19" s="26"/>
      <c r="BJ19" s="26"/>
    </row>
    <row r="20" spans="1:62" ht="15" customHeight="1" thickBot="1" x14ac:dyDescent="0.35">
      <c r="A20" s="1517">
        <v>0</v>
      </c>
      <c r="B20" s="3031" t="s">
        <v>380</v>
      </c>
      <c r="C20" s="13" t="s">
        <v>66</v>
      </c>
      <c r="D20" s="6183"/>
      <c r="E20" s="178">
        <v>0</v>
      </c>
      <c r="F20" s="6183"/>
      <c r="G20" s="178">
        <v>0</v>
      </c>
      <c r="H20" s="6397"/>
      <c r="I20" s="38">
        <f>+E20+G20</f>
        <v>0</v>
      </c>
      <c r="J20" s="6183"/>
      <c r="K20" s="178">
        <v>0</v>
      </c>
      <c r="L20" s="6403"/>
      <c r="M20" s="71">
        <f t="shared" si="51"/>
        <v>0</v>
      </c>
      <c r="N20" s="6183"/>
      <c r="O20" s="178">
        <v>0</v>
      </c>
      <c r="P20" s="6397"/>
      <c r="Q20" s="214">
        <f>+M20+O20</f>
        <v>0</v>
      </c>
      <c r="R20" s="6183"/>
      <c r="S20" s="178">
        <v>0</v>
      </c>
      <c r="T20" s="6397"/>
      <c r="U20" s="214">
        <f>+Q20+S20</f>
        <v>0</v>
      </c>
      <c r="V20" s="6183"/>
      <c r="W20" s="178">
        <v>0</v>
      </c>
      <c r="X20" s="6403">
        <f t="shared" ref="X20" si="57">+N20+R20+V20</f>
        <v>0</v>
      </c>
      <c r="Y20" s="524">
        <f t="shared" si="52"/>
        <v>0</v>
      </c>
      <c r="Z20" s="6077"/>
      <c r="AA20" s="460">
        <f t="shared" si="53"/>
        <v>0</v>
      </c>
      <c r="AB20" s="6183"/>
      <c r="AC20" s="178">
        <v>0</v>
      </c>
      <c r="AD20" s="6397"/>
      <c r="AE20" s="214">
        <f>+AA20+AC20</f>
        <v>0</v>
      </c>
      <c r="AF20" s="6183"/>
      <c r="AG20" s="178">
        <v>0</v>
      </c>
      <c r="AH20" s="6397"/>
      <c r="AI20" s="214">
        <f>+AE20+AG20</f>
        <v>0</v>
      </c>
      <c r="AJ20" s="6183"/>
      <c r="AK20" s="178">
        <v>0</v>
      </c>
      <c r="AL20" s="6403">
        <f t="shared" ref="AL20" si="58">+AB20+AF20+AJ20</f>
        <v>0</v>
      </c>
      <c r="AM20" s="524">
        <f t="shared" si="54"/>
        <v>0</v>
      </c>
      <c r="AN20" s="6397"/>
      <c r="AO20" s="214">
        <f>+AI20+AK20</f>
        <v>0</v>
      </c>
      <c r="AP20" s="6183"/>
      <c r="AQ20" s="178"/>
      <c r="AR20" s="6397"/>
      <c r="AS20" s="214">
        <f>+AO20+AQ20</f>
        <v>0</v>
      </c>
      <c r="AT20" s="6183"/>
      <c r="AU20" s="178"/>
      <c r="AV20" s="6397"/>
      <c r="AW20" s="214">
        <f>+AS20+AU20</f>
        <v>0</v>
      </c>
      <c r="AX20" s="6183"/>
      <c r="AY20" s="178"/>
      <c r="AZ20" s="6403">
        <f t="shared" ref="AZ20" si="59">+AP20+AT20+AX20</f>
        <v>0</v>
      </c>
      <c r="BA20" s="524">
        <f t="shared" si="55"/>
        <v>0</v>
      </c>
      <c r="BB20" s="6077"/>
      <c r="BC20" s="709">
        <f t="shared" si="56"/>
        <v>0</v>
      </c>
      <c r="BD20" s="6397"/>
      <c r="BE20" s="214">
        <f>+AW20+AY20</f>
        <v>0</v>
      </c>
      <c r="BF20" s="26"/>
      <c r="BG20" s="26"/>
      <c r="BH20" s="26"/>
      <c r="BI20" s="26"/>
      <c r="BJ20" s="26"/>
    </row>
    <row r="21" spans="1:62" ht="15" thickBot="1" x14ac:dyDescent="0.35">
      <c r="B21" s="3032" t="s">
        <v>378</v>
      </c>
      <c r="C21" s="14" t="s">
        <v>66</v>
      </c>
      <c r="D21" s="942">
        <f>+$A$20</f>
        <v>0</v>
      </c>
      <c r="E21" s="366">
        <v>28.1</v>
      </c>
      <c r="F21" s="942">
        <f>+$A$20</f>
        <v>0</v>
      </c>
      <c r="G21" s="366">
        <v>29</v>
      </c>
      <c r="H21" s="948">
        <f>+D21+F21</f>
        <v>0</v>
      </c>
      <c r="I21" s="38">
        <f>+E21+G21</f>
        <v>57.1</v>
      </c>
      <c r="J21" s="942">
        <f>+$A$20</f>
        <v>0</v>
      </c>
      <c r="K21" s="366">
        <v>28.1</v>
      </c>
      <c r="L21" s="71">
        <f>D21+F21+J21</f>
        <v>0</v>
      </c>
      <c r="M21" s="71">
        <f>E21+G21+K21</f>
        <v>85.2</v>
      </c>
      <c r="N21" s="942">
        <f>+$A$20</f>
        <v>0</v>
      </c>
      <c r="O21" s="366">
        <v>29</v>
      </c>
      <c r="P21" s="948">
        <f>+L21+N21</f>
        <v>0</v>
      </c>
      <c r="Q21" s="214">
        <f>+M21+O21</f>
        <v>114.2</v>
      </c>
      <c r="R21" s="942">
        <f>+$A$20</f>
        <v>0</v>
      </c>
      <c r="S21" s="366">
        <v>29</v>
      </c>
      <c r="T21" s="948">
        <f>+P21+R21</f>
        <v>0</v>
      </c>
      <c r="U21" s="214">
        <f>+Q21+S21</f>
        <v>143.19999999999999</v>
      </c>
      <c r="V21" s="942">
        <f>+$A$20</f>
        <v>0</v>
      </c>
      <c r="W21" s="366">
        <v>28.1</v>
      </c>
      <c r="X21" s="71">
        <f>+N21+R21+V21</f>
        <v>0</v>
      </c>
      <c r="Y21" s="524">
        <f>+O21+S21+W21</f>
        <v>86.1</v>
      </c>
      <c r="Z21" s="2199">
        <f t="shared" si="53"/>
        <v>0</v>
      </c>
      <c r="AA21" s="2199">
        <f t="shared" si="53"/>
        <v>171.3</v>
      </c>
      <c r="AB21" s="942">
        <f>+$A$20</f>
        <v>0</v>
      </c>
      <c r="AC21" s="366">
        <v>29</v>
      </c>
      <c r="AD21" s="948">
        <f>+Z21+AB21</f>
        <v>0</v>
      </c>
      <c r="AE21" s="214">
        <f>+AA21+AC21</f>
        <v>200.3</v>
      </c>
      <c r="AF21" s="942">
        <f>+$A$20</f>
        <v>0</v>
      </c>
      <c r="AG21" s="366">
        <v>28.1</v>
      </c>
      <c r="AH21" s="948">
        <f>+AD21+AF21</f>
        <v>0</v>
      </c>
      <c r="AI21" s="214">
        <f>+AE21+AG21</f>
        <v>228.4</v>
      </c>
      <c r="AJ21" s="942">
        <f>+$A$20</f>
        <v>0</v>
      </c>
      <c r="AK21" s="366">
        <v>22.7</v>
      </c>
      <c r="AL21" s="71">
        <f>+AB21+AF21+AJ21</f>
        <v>0</v>
      </c>
      <c r="AM21" s="524">
        <f>+AC21+AG21+AK21</f>
        <v>79.8</v>
      </c>
      <c r="AN21" s="948">
        <f>+AH21+AJ21</f>
        <v>0</v>
      </c>
      <c r="AO21" s="214">
        <f>+AI21+AK21</f>
        <v>251.1</v>
      </c>
      <c r="AP21" s="942">
        <f>+$A$20</f>
        <v>0</v>
      </c>
      <c r="AQ21" s="366">
        <v>10.8</v>
      </c>
      <c r="AR21" s="948">
        <f>+AN21+AP21</f>
        <v>0</v>
      </c>
      <c r="AS21" s="214">
        <f>+AO21+AQ21</f>
        <v>261.89999999999998</v>
      </c>
      <c r="AT21" s="942">
        <f>+$A$20</f>
        <v>0</v>
      </c>
      <c r="AU21" s="366"/>
      <c r="AV21" s="948">
        <f>+AR21+AT21</f>
        <v>0</v>
      </c>
      <c r="AW21" s="214">
        <f>+AS21+AU21</f>
        <v>261.89999999999998</v>
      </c>
      <c r="AX21" s="942">
        <f>+$A$20</f>
        <v>0</v>
      </c>
      <c r="AY21" s="366"/>
      <c r="AZ21" s="71">
        <f>+AP21+AT21+AX21</f>
        <v>0</v>
      </c>
      <c r="BA21" s="524">
        <f>+AQ21+AU21+AY21</f>
        <v>10.8</v>
      </c>
      <c r="BB21" s="2199">
        <f>AL21+AZ21</f>
        <v>0</v>
      </c>
      <c r="BC21" s="709">
        <f t="shared" si="56"/>
        <v>90.6</v>
      </c>
      <c r="BD21" s="948">
        <f>+AV21+AX21</f>
        <v>0</v>
      </c>
      <c r="BE21" s="214">
        <f>+AW21+AY21</f>
        <v>261.89999999999998</v>
      </c>
      <c r="BF21" s="26"/>
      <c r="BG21" s="26"/>
      <c r="BH21" s="26"/>
      <c r="BI21" s="26"/>
      <c r="BJ21" s="26"/>
    </row>
    <row r="22" spans="1:62" ht="16.2" thickBot="1" x14ac:dyDescent="0.35">
      <c r="B22" s="3033" t="s">
        <v>2</v>
      </c>
      <c r="C22" s="15" t="s">
        <v>66</v>
      </c>
      <c r="D22" s="949">
        <f t="shared" ref="D22:I22" si="60">SUM(D18:D21)</f>
        <v>18720</v>
      </c>
      <c r="E22" s="29">
        <f t="shared" si="60"/>
        <v>18720</v>
      </c>
      <c r="F22" s="949">
        <f t="shared" ref="F22:G22" si="61">SUM(F18:F21)</f>
        <v>19344</v>
      </c>
      <c r="G22" s="29">
        <f t="shared" si="61"/>
        <v>19344</v>
      </c>
      <c r="H22" s="39">
        <f t="shared" si="60"/>
        <v>38064</v>
      </c>
      <c r="I22" s="40">
        <f t="shared" si="60"/>
        <v>38064</v>
      </c>
      <c r="J22" s="949">
        <f t="shared" ref="J22:K22" si="62">SUM(J18:J21)</f>
        <v>18720</v>
      </c>
      <c r="K22" s="29">
        <f t="shared" si="62"/>
        <v>18720</v>
      </c>
      <c r="L22" s="349">
        <f t="shared" ref="L22:Q22" si="63">SUM(L18:L21)</f>
        <v>56784</v>
      </c>
      <c r="M22" s="119">
        <f t="shared" si="63"/>
        <v>56784</v>
      </c>
      <c r="N22" s="949">
        <f t="shared" si="63"/>
        <v>19344</v>
      </c>
      <c r="O22" s="29">
        <f t="shared" si="63"/>
        <v>19344</v>
      </c>
      <c r="P22" s="39">
        <f t="shared" si="63"/>
        <v>76128</v>
      </c>
      <c r="Q22" s="215">
        <f t="shared" si="63"/>
        <v>76128.000000000015</v>
      </c>
      <c r="R22" s="949">
        <f t="shared" ref="R22:S22" si="64">SUM(R18:R21)</f>
        <v>19344</v>
      </c>
      <c r="S22" s="29">
        <f t="shared" si="64"/>
        <v>19344</v>
      </c>
      <c r="T22" s="39">
        <f t="shared" ref="T22:W22" si="65">SUM(T18:T21)</f>
        <v>95472</v>
      </c>
      <c r="U22" s="215">
        <f t="shared" si="65"/>
        <v>95472.000000000015</v>
      </c>
      <c r="V22" s="949">
        <f t="shared" si="65"/>
        <v>18720</v>
      </c>
      <c r="W22" s="29">
        <f t="shared" si="65"/>
        <v>18720</v>
      </c>
      <c r="X22" s="349">
        <f t="shared" ref="X22:Y22" si="66">SUM(X18:X21)</f>
        <v>57408</v>
      </c>
      <c r="Y22" s="1579">
        <f t="shared" si="66"/>
        <v>57408</v>
      </c>
      <c r="Z22" s="458">
        <f t="shared" ref="Z22:AE22" si="67">SUM(Z18:Z21)</f>
        <v>114192</v>
      </c>
      <c r="AA22" s="455">
        <f t="shared" si="67"/>
        <v>114192.00000000001</v>
      </c>
      <c r="AB22" s="949">
        <f t="shared" si="67"/>
        <v>19344</v>
      </c>
      <c r="AC22" s="29">
        <f t="shared" si="67"/>
        <v>19344</v>
      </c>
      <c r="AD22" s="39">
        <f t="shared" si="67"/>
        <v>133536</v>
      </c>
      <c r="AE22" s="215">
        <f t="shared" si="67"/>
        <v>133536</v>
      </c>
      <c r="AF22" s="949">
        <f t="shared" ref="AF22:AG22" si="68">SUM(AF18:AF21)</f>
        <v>18720</v>
      </c>
      <c r="AG22" s="29">
        <f t="shared" si="68"/>
        <v>18720</v>
      </c>
      <c r="AH22" s="39">
        <f t="shared" ref="AH22:AK22" si="69">SUM(AH18:AH21)</f>
        <v>152256</v>
      </c>
      <c r="AI22" s="215">
        <f t="shared" si="69"/>
        <v>152256</v>
      </c>
      <c r="AJ22" s="949">
        <f t="shared" si="69"/>
        <v>19344</v>
      </c>
      <c r="AK22" s="29">
        <f t="shared" si="69"/>
        <v>15120</v>
      </c>
      <c r="AL22" s="349">
        <f t="shared" ref="AL22:AS22" si="70">SUM(AL18:AL21)</f>
        <v>57408</v>
      </c>
      <c r="AM22" s="1579">
        <f t="shared" si="70"/>
        <v>53184</v>
      </c>
      <c r="AN22" s="39">
        <f t="shared" si="70"/>
        <v>171600</v>
      </c>
      <c r="AO22" s="215">
        <f t="shared" si="70"/>
        <v>167376.00000000003</v>
      </c>
      <c r="AP22" s="949">
        <f t="shared" si="70"/>
        <v>19344</v>
      </c>
      <c r="AQ22" s="29">
        <f t="shared" si="70"/>
        <v>7200</v>
      </c>
      <c r="AR22" s="39">
        <f t="shared" si="70"/>
        <v>190944</v>
      </c>
      <c r="AS22" s="215">
        <f t="shared" si="70"/>
        <v>174576</v>
      </c>
      <c r="AT22" s="949">
        <f t="shared" ref="AT22:AU22" si="71">SUM(AT18:AT21)</f>
        <v>17472</v>
      </c>
      <c r="AU22" s="29">
        <f t="shared" si="71"/>
        <v>0</v>
      </c>
      <c r="AV22" s="39">
        <f t="shared" ref="AV22:AY22" si="72">SUM(AV18:AV21)</f>
        <v>208416</v>
      </c>
      <c r="AW22" s="215">
        <f t="shared" si="72"/>
        <v>174576</v>
      </c>
      <c r="AX22" s="949">
        <f t="shared" si="72"/>
        <v>19344</v>
      </c>
      <c r="AY22" s="29">
        <f t="shared" si="72"/>
        <v>0</v>
      </c>
      <c r="AZ22" s="349">
        <f t="shared" ref="AZ22:BE22" si="73">SUM(AZ18:AZ21)</f>
        <v>56160</v>
      </c>
      <c r="BA22" s="1579">
        <f t="shared" si="73"/>
        <v>7200</v>
      </c>
      <c r="BB22" s="458">
        <f t="shared" si="73"/>
        <v>113568</v>
      </c>
      <c r="BC22" s="455">
        <f t="shared" si="73"/>
        <v>60383.999999999993</v>
      </c>
      <c r="BD22" s="39">
        <f t="shared" si="73"/>
        <v>227760</v>
      </c>
      <c r="BE22" s="215">
        <f t="shared" si="73"/>
        <v>174576</v>
      </c>
      <c r="BF22" s="26"/>
      <c r="BG22" s="26"/>
      <c r="BH22" s="26"/>
      <c r="BI22" s="26"/>
      <c r="BJ22" s="26"/>
    </row>
    <row r="23" spans="1:62" ht="16.2" thickBot="1" x14ac:dyDescent="0.35">
      <c r="A23" s="146"/>
      <c r="B23" s="743" t="s">
        <v>453</v>
      </c>
      <c r="C23" s="500"/>
      <c r="D23" s="950"/>
      <c r="E23" s="673"/>
      <c r="F23" s="950"/>
      <c r="G23" s="673"/>
      <c r="H23" s="500"/>
      <c r="I23" s="673"/>
      <c r="J23" s="950"/>
      <c r="K23" s="673"/>
      <c r="L23" s="500"/>
      <c r="M23" s="500"/>
      <c r="N23" s="950"/>
      <c r="O23" s="673"/>
      <c r="P23" s="500"/>
      <c r="Q23" s="500"/>
      <c r="R23" s="950"/>
      <c r="S23" s="673"/>
      <c r="T23" s="500"/>
      <c r="U23" s="500"/>
      <c r="V23" s="950"/>
      <c r="W23" s="673"/>
      <c r="X23" s="500"/>
      <c r="Y23" s="500"/>
      <c r="Z23" s="500"/>
      <c r="AA23" s="500"/>
      <c r="AB23" s="950"/>
      <c r="AC23" s="673"/>
      <c r="AD23" s="500"/>
      <c r="AE23" s="500"/>
      <c r="AF23" s="950"/>
      <c r="AG23" s="673"/>
      <c r="AH23" s="500"/>
      <c r="AI23" s="500"/>
      <c r="AJ23" s="950"/>
      <c r="AK23" s="673"/>
      <c r="AL23" s="500"/>
      <c r="AM23" s="500"/>
      <c r="AN23" s="500"/>
      <c r="AO23" s="500"/>
      <c r="AP23" s="950"/>
      <c r="AQ23" s="673"/>
      <c r="AR23" s="500"/>
      <c r="AS23" s="500"/>
      <c r="AT23" s="950"/>
      <c r="AU23" s="673"/>
      <c r="AV23" s="500"/>
      <c r="AW23" s="500"/>
      <c r="AX23" s="950"/>
      <c r="AY23" s="673"/>
      <c r="AZ23" s="500"/>
      <c r="BA23" s="500"/>
      <c r="BB23" s="500"/>
      <c r="BC23" s="500"/>
      <c r="BD23" s="500"/>
      <c r="BE23" s="500"/>
      <c r="BF23" s="26"/>
      <c r="BG23" s="26"/>
      <c r="BH23" s="26"/>
      <c r="BI23" s="26"/>
      <c r="BJ23" s="26"/>
    </row>
    <row r="24" spans="1:62" ht="15" thickBot="1" x14ac:dyDescent="0.35">
      <c r="B24" s="8" t="s">
        <v>555</v>
      </c>
      <c r="C24" s="13" t="s">
        <v>50</v>
      </c>
      <c r="D24" s="2767">
        <v>2250</v>
      </c>
      <c r="E24" s="516">
        <v>2227</v>
      </c>
      <c r="F24" s="2767">
        <v>0</v>
      </c>
      <c r="G24" s="516">
        <v>2302</v>
      </c>
      <c r="H24" s="713">
        <f t="shared" ref="H24:I27" si="74">+D24+F24</f>
        <v>2250</v>
      </c>
      <c r="I24" s="1640">
        <f t="shared" si="74"/>
        <v>4529</v>
      </c>
      <c r="J24" s="2767">
        <v>0</v>
      </c>
      <c r="K24" s="516">
        <v>2230</v>
      </c>
      <c r="L24" s="71">
        <f t="shared" ref="L24:M27" si="75">D24+F24+J24</f>
        <v>2250</v>
      </c>
      <c r="M24" s="71">
        <f t="shared" si="75"/>
        <v>6759</v>
      </c>
      <c r="N24" s="2767">
        <v>0</v>
      </c>
      <c r="O24" s="516">
        <v>2340</v>
      </c>
      <c r="P24" s="713">
        <f t="shared" ref="P24:Q27" si="76">+L24+N24</f>
        <v>2250</v>
      </c>
      <c r="Q24" s="217">
        <f t="shared" si="76"/>
        <v>9099</v>
      </c>
      <c r="R24" s="2767">
        <v>0</v>
      </c>
      <c r="S24" s="516">
        <v>2302</v>
      </c>
      <c r="T24" s="713">
        <f t="shared" ref="T24:T27" si="77">+P24+R24</f>
        <v>2250</v>
      </c>
      <c r="U24" s="217">
        <f t="shared" ref="U24:U27" si="78">+Q24+S24</f>
        <v>11401</v>
      </c>
      <c r="V24" s="2767">
        <v>0</v>
      </c>
      <c r="W24" s="516">
        <v>2228</v>
      </c>
      <c r="X24" s="71">
        <f t="shared" ref="X24:X27" si="79">+N24+R24+V24</f>
        <v>0</v>
      </c>
      <c r="Y24" s="524">
        <f t="shared" ref="Y24:Y27" si="80">+O24+S24+W24</f>
        <v>6870</v>
      </c>
      <c r="Z24" s="788">
        <f>L24+X24</f>
        <v>2250</v>
      </c>
      <c r="AA24" s="495">
        <f>M24+Y24</f>
        <v>13629</v>
      </c>
      <c r="AB24" s="2767">
        <v>0</v>
      </c>
      <c r="AC24" s="516">
        <v>2303</v>
      </c>
      <c r="AD24" s="713">
        <f t="shared" ref="AD24:AD27" si="81">+Z24+AB24</f>
        <v>2250</v>
      </c>
      <c r="AE24" s="217">
        <f t="shared" ref="AE24:AE27" si="82">+AA24+AC24</f>
        <v>15932</v>
      </c>
      <c r="AF24" s="2767"/>
      <c r="AG24" s="516">
        <v>2227</v>
      </c>
      <c r="AH24" s="713">
        <f t="shared" ref="AH24:AH27" si="83">+AD24+AF24</f>
        <v>2250</v>
      </c>
      <c r="AI24" s="217">
        <f t="shared" ref="AI24:AI27" si="84">+AE24+AG24</f>
        <v>18159</v>
      </c>
      <c r="AJ24" s="2767"/>
      <c r="AK24" s="516">
        <v>1572</v>
      </c>
      <c r="AL24" s="71">
        <f t="shared" ref="AL24:AL27" si="85">+AB24+AF24+AJ24</f>
        <v>0</v>
      </c>
      <c r="AM24" s="524">
        <f t="shared" ref="AM24:AM27" si="86">+AC24+AG24+AK24</f>
        <v>6102</v>
      </c>
      <c r="AN24" s="713">
        <f t="shared" ref="AN24:AO27" si="87">+AH24+AJ24</f>
        <v>2250</v>
      </c>
      <c r="AO24" s="217">
        <f t="shared" si="87"/>
        <v>19731</v>
      </c>
      <c r="AP24" s="2767"/>
      <c r="AQ24" s="516">
        <v>1005</v>
      </c>
      <c r="AR24" s="713">
        <f t="shared" ref="AR24:AR27" si="88">+AN24+AP24</f>
        <v>2250</v>
      </c>
      <c r="AS24" s="217">
        <f t="shared" ref="AS24:AS27" si="89">+AO24+AQ24</f>
        <v>20736</v>
      </c>
      <c r="AT24" s="2767"/>
      <c r="AU24" s="516"/>
      <c r="AV24" s="713">
        <f t="shared" ref="AV24:AV27" si="90">+AR24+AT24</f>
        <v>2250</v>
      </c>
      <c r="AW24" s="217">
        <f t="shared" ref="AW24:AW27" si="91">+AS24+AU24</f>
        <v>20736</v>
      </c>
      <c r="AX24" s="2767"/>
      <c r="AY24" s="516"/>
      <c r="AZ24" s="71">
        <f t="shared" ref="AZ24:AZ27" si="92">+AP24+AT24+AX24</f>
        <v>0</v>
      </c>
      <c r="BA24" s="524">
        <f t="shared" ref="BA24:BA27" si="93">+AQ24+AU24+AY24</f>
        <v>1005</v>
      </c>
      <c r="BB24" s="2199">
        <f t="shared" ref="BB24:BB27" si="94">AL24+AZ24</f>
        <v>0</v>
      </c>
      <c r="BC24" s="709">
        <f t="shared" ref="BC24:BC27" si="95">+AM24+BA24</f>
        <v>7107</v>
      </c>
      <c r="BD24" s="713">
        <f t="shared" ref="BD24:BD27" si="96">+AV24+AX24</f>
        <v>2250</v>
      </c>
      <c r="BE24" s="217">
        <f t="shared" ref="BE24:BE27" si="97">+AW24+AY24</f>
        <v>20736</v>
      </c>
      <c r="BF24" s="26"/>
      <c r="BG24" s="26"/>
      <c r="BH24" s="26"/>
      <c r="BI24" s="26"/>
      <c r="BJ24" s="26"/>
    </row>
    <row r="25" spans="1:62" ht="15" customHeight="1" thickBot="1" x14ac:dyDescent="0.35">
      <c r="A25" s="147" t="s">
        <v>470</v>
      </c>
      <c r="B25" s="3034" t="s">
        <v>389</v>
      </c>
      <c r="C25" s="13" t="s">
        <v>1087</v>
      </c>
      <c r="D25" s="152">
        <v>0</v>
      </c>
      <c r="E25" s="18"/>
      <c r="F25" s="152">
        <v>0</v>
      </c>
      <c r="G25" s="18"/>
      <c r="H25" s="60">
        <f t="shared" si="74"/>
        <v>0</v>
      </c>
      <c r="I25" s="88">
        <f t="shared" si="74"/>
        <v>0</v>
      </c>
      <c r="J25" s="152">
        <v>0</v>
      </c>
      <c r="K25" s="18">
        <v>0</v>
      </c>
      <c r="L25" s="71">
        <f t="shared" si="75"/>
        <v>0</v>
      </c>
      <c r="M25" s="71">
        <f t="shared" si="75"/>
        <v>0</v>
      </c>
      <c r="N25" s="152">
        <v>0</v>
      </c>
      <c r="O25" s="18">
        <v>0</v>
      </c>
      <c r="P25" s="60">
        <f t="shared" si="76"/>
        <v>0</v>
      </c>
      <c r="Q25" s="218">
        <f t="shared" si="76"/>
        <v>0</v>
      </c>
      <c r="R25" s="152">
        <v>0</v>
      </c>
      <c r="S25" s="18">
        <v>0</v>
      </c>
      <c r="T25" s="60">
        <f t="shared" si="77"/>
        <v>0</v>
      </c>
      <c r="U25" s="218">
        <f t="shared" si="78"/>
        <v>0</v>
      </c>
      <c r="V25" s="152">
        <v>0</v>
      </c>
      <c r="W25" s="18">
        <v>0</v>
      </c>
      <c r="X25" s="71">
        <f t="shared" si="79"/>
        <v>0</v>
      </c>
      <c r="Y25" s="524">
        <f t="shared" si="80"/>
        <v>0</v>
      </c>
      <c r="Z25" s="788">
        <f t="shared" ref="Z25:Z27" si="98">L25+X25</f>
        <v>0</v>
      </c>
      <c r="AA25" s="495">
        <f t="shared" ref="AA25:AA27" si="99">M25+Y25</f>
        <v>0</v>
      </c>
      <c r="AB25" s="152">
        <v>0</v>
      </c>
      <c r="AC25" s="18">
        <v>0</v>
      </c>
      <c r="AD25" s="60">
        <f t="shared" si="81"/>
        <v>0</v>
      </c>
      <c r="AE25" s="218">
        <f t="shared" si="82"/>
        <v>0</v>
      </c>
      <c r="AF25" s="152"/>
      <c r="AG25" s="18"/>
      <c r="AH25" s="60">
        <f t="shared" si="83"/>
        <v>0</v>
      </c>
      <c r="AI25" s="218">
        <f t="shared" si="84"/>
        <v>0</v>
      </c>
      <c r="AJ25" s="152"/>
      <c r="AK25" s="18"/>
      <c r="AL25" s="71">
        <f t="shared" si="85"/>
        <v>0</v>
      </c>
      <c r="AM25" s="524">
        <f t="shared" si="86"/>
        <v>0</v>
      </c>
      <c r="AN25" s="60">
        <f t="shared" si="87"/>
        <v>0</v>
      </c>
      <c r="AO25" s="218">
        <f t="shared" si="87"/>
        <v>0</v>
      </c>
      <c r="AP25" s="152"/>
      <c r="AQ25" s="18"/>
      <c r="AR25" s="60">
        <f t="shared" si="88"/>
        <v>0</v>
      </c>
      <c r="AS25" s="218">
        <f t="shared" si="89"/>
        <v>0</v>
      </c>
      <c r="AT25" s="152"/>
      <c r="AU25" s="18"/>
      <c r="AV25" s="60">
        <f t="shared" si="90"/>
        <v>0</v>
      </c>
      <c r="AW25" s="218">
        <f t="shared" si="91"/>
        <v>0</v>
      </c>
      <c r="AX25" s="152"/>
      <c r="AY25" s="18"/>
      <c r="AZ25" s="71">
        <f t="shared" si="92"/>
        <v>0</v>
      </c>
      <c r="BA25" s="524">
        <f t="shared" si="93"/>
        <v>0</v>
      </c>
      <c r="BB25" s="2199">
        <f t="shared" si="94"/>
        <v>0</v>
      </c>
      <c r="BC25" s="709">
        <f t="shared" si="95"/>
        <v>0</v>
      </c>
      <c r="BD25" s="60">
        <f t="shared" si="96"/>
        <v>0</v>
      </c>
      <c r="BE25" s="218">
        <f t="shared" si="97"/>
        <v>0</v>
      </c>
      <c r="BF25" s="26"/>
      <c r="BG25" s="26"/>
      <c r="BH25" s="26"/>
      <c r="BI25" s="26"/>
      <c r="BJ25" s="26"/>
    </row>
    <row r="26" spans="1:62" ht="15" thickBot="1" x14ac:dyDescent="0.35">
      <c r="A26" s="147" t="s">
        <v>470</v>
      </c>
      <c r="B26" s="3034" t="s">
        <v>390</v>
      </c>
      <c r="C26" s="13" t="s">
        <v>454</v>
      </c>
      <c r="D26" s="152">
        <f>+EMD!D27</f>
        <v>2160</v>
      </c>
      <c r="E26" s="84">
        <f>+EMD!E27</f>
        <v>2849.78</v>
      </c>
      <c r="F26" s="152">
        <f>+EMD!F27</f>
        <v>0</v>
      </c>
      <c r="G26" s="84">
        <f>+EMD!G27</f>
        <v>2860.0800000000004</v>
      </c>
      <c r="H26" s="60">
        <f t="shared" si="74"/>
        <v>2160</v>
      </c>
      <c r="I26" s="88">
        <f t="shared" si="74"/>
        <v>5709.8600000000006</v>
      </c>
      <c r="J26" s="152">
        <f>+EMD!J27</f>
        <v>0</v>
      </c>
      <c r="K26" s="84">
        <f>+EMD!K27</f>
        <v>2740.2558358915053</v>
      </c>
      <c r="L26" s="71">
        <f t="shared" si="75"/>
        <v>2160</v>
      </c>
      <c r="M26" s="71">
        <f t="shared" si="75"/>
        <v>8450.1158358915054</v>
      </c>
      <c r="N26" s="152">
        <f>+EMD!N27</f>
        <v>0</v>
      </c>
      <c r="O26" s="84">
        <f>+EMD!O27</f>
        <v>2835.84</v>
      </c>
      <c r="P26" s="60">
        <f t="shared" si="76"/>
        <v>2160</v>
      </c>
      <c r="Q26" s="218">
        <f t="shared" si="76"/>
        <v>11285.955835891506</v>
      </c>
      <c r="R26" s="152">
        <f>+EMD!R27</f>
        <v>0</v>
      </c>
      <c r="S26" s="84">
        <f>+EMD!S27</f>
        <v>2743.2</v>
      </c>
      <c r="T26" s="60">
        <f t="shared" si="77"/>
        <v>2160</v>
      </c>
      <c r="U26" s="218">
        <f t="shared" si="78"/>
        <v>14029.155835891506</v>
      </c>
      <c r="V26" s="152">
        <f>+EMD!V27</f>
        <v>0</v>
      </c>
      <c r="W26" s="84">
        <f>+EMD!W27</f>
        <v>2809.67</v>
      </c>
      <c r="X26" s="71">
        <f t="shared" si="79"/>
        <v>0</v>
      </c>
      <c r="Y26" s="524">
        <f t="shared" si="80"/>
        <v>8388.7099999999991</v>
      </c>
      <c r="Z26" s="788">
        <f t="shared" si="98"/>
        <v>2160</v>
      </c>
      <c r="AA26" s="495">
        <f t="shared" si="99"/>
        <v>16838.825835891505</v>
      </c>
      <c r="AB26" s="152">
        <f>+EMD!AB27</f>
        <v>0</v>
      </c>
      <c r="AC26" s="84">
        <f>+EMD!AC27</f>
        <v>3225.3</v>
      </c>
      <c r="AD26" s="60">
        <f t="shared" si="81"/>
        <v>2160</v>
      </c>
      <c r="AE26" s="218">
        <f t="shared" si="82"/>
        <v>20064.125835891504</v>
      </c>
      <c r="AF26" s="152">
        <f>+EMD!AF27</f>
        <v>0</v>
      </c>
      <c r="AG26" s="84">
        <f>+EMD!AG27</f>
        <v>2739.6</v>
      </c>
      <c r="AH26" s="60">
        <f t="shared" si="83"/>
        <v>2160</v>
      </c>
      <c r="AI26" s="218">
        <f t="shared" si="84"/>
        <v>22803.725835891502</v>
      </c>
      <c r="AJ26" s="152">
        <f>+EMD!AJ27</f>
        <v>0</v>
      </c>
      <c r="AK26" s="84">
        <f>+EMD!AK27</f>
        <v>2883.5</v>
      </c>
      <c r="AL26" s="71">
        <f t="shared" si="85"/>
        <v>0</v>
      </c>
      <c r="AM26" s="524">
        <f t="shared" si="86"/>
        <v>8848.4</v>
      </c>
      <c r="AN26" s="60">
        <f t="shared" si="87"/>
        <v>2160</v>
      </c>
      <c r="AO26" s="218">
        <f t="shared" si="87"/>
        <v>25687.225835891502</v>
      </c>
      <c r="AP26" s="152">
        <f>+EMD!AP27</f>
        <v>0</v>
      </c>
      <c r="AQ26" s="84">
        <f>+EMD!AQ27</f>
        <v>1557.38</v>
      </c>
      <c r="AR26" s="60">
        <f t="shared" si="88"/>
        <v>2160</v>
      </c>
      <c r="AS26" s="218">
        <f t="shared" si="89"/>
        <v>27244.605835891503</v>
      </c>
      <c r="AT26" s="152">
        <f>+EMD!AT27</f>
        <v>0</v>
      </c>
      <c r="AU26" s="84">
        <f>+EMD!AU27</f>
        <v>0</v>
      </c>
      <c r="AV26" s="60">
        <f t="shared" si="90"/>
        <v>2160</v>
      </c>
      <c r="AW26" s="218">
        <f t="shared" si="91"/>
        <v>27244.605835891503</v>
      </c>
      <c r="AX26" s="152">
        <f>+EMD!AX27</f>
        <v>0</v>
      </c>
      <c r="AY26" s="84">
        <f>+EMD!AY27</f>
        <v>0</v>
      </c>
      <c r="AZ26" s="71">
        <f t="shared" si="92"/>
        <v>0</v>
      </c>
      <c r="BA26" s="524">
        <f t="shared" si="93"/>
        <v>1557.38</v>
      </c>
      <c r="BB26" s="2199">
        <f t="shared" si="94"/>
        <v>0</v>
      </c>
      <c r="BC26" s="709">
        <f t="shared" si="95"/>
        <v>10405.779999999999</v>
      </c>
      <c r="BD26" s="60">
        <f t="shared" si="96"/>
        <v>2160</v>
      </c>
      <c r="BE26" s="218">
        <f t="shared" si="97"/>
        <v>27244.605835891503</v>
      </c>
      <c r="BF26" s="26"/>
      <c r="BG26" s="26"/>
      <c r="BH26" s="26"/>
      <c r="BI26" s="26"/>
      <c r="BJ26" s="26"/>
    </row>
    <row r="27" spans="1:62" ht="15.75" customHeight="1" thickBot="1" x14ac:dyDescent="0.35">
      <c r="A27" s="147" t="s">
        <v>470</v>
      </c>
      <c r="B27" s="3034" t="s">
        <v>391</v>
      </c>
      <c r="C27" s="13" t="s">
        <v>405</v>
      </c>
      <c r="D27" s="715">
        <v>0</v>
      </c>
      <c r="E27" s="153">
        <v>0</v>
      </c>
      <c r="F27" s="715">
        <v>0</v>
      </c>
      <c r="G27" s="153">
        <v>0</v>
      </c>
      <c r="H27" s="717">
        <f t="shared" si="74"/>
        <v>0</v>
      </c>
      <c r="I27" s="3035">
        <f t="shared" si="74"/>
        <v>0</v>
      </c>
      <c r="J27" s="715">
        <v>0</v>
      </c>
      <c r="K27" s="153">
        <v>0</v>
      </c>
      <c r="L27" s="71">
        <f t="shared" si="75"/>
        <v>0</v>
      </c>
      <c r="M27" s="71">
        <f t="shared" si="75"/>
        <v>0</v>
      </c>
      <c r="N27" s="715">
        <v>0</v>
      </c>
      <c r="O27" s="153">
        <v>0</v>
      </c>
      <c r="P27" s="717">
        <f t="shared" si="76"/>
        <v>0</v>
      </c>
      <c r="Q27" s="219">
        <f t="shared" si="76"/>
        <v>0</v>
      </c>
      <c r="R27" s="715">
        <v>0</v>
      </c>
      <c r="S27" s="153">
        <v>0</v>
      </c>
      <c r="T27" s="717">
        <f t="shared" si="77"/>
        <v>0</v>
      </c>
      <c r="U27" s="219">
        <f t="shared" si="78"/>
        <v>0</v>
      </c>
      <c r="V27" s="715">
        <v>0</v>
      </c>
      <c r="W27" s="153">
        <v>0</v>
      </c>
      <c r="X27" s="71">
        <f t="shared" si="79"/>
        <v>0</v>
      </c>
      <c r="Y27" s="524">
        <f t="shared" si="80"/>
        <v>0</v>
      </c>
      <c r="Z27" s="788">
        <f t="shared" si="98"/>
        <v>0</v>
      </c>
      <c r="AA27" s="495">
        <f t="shared" si="99"/>
        <v>0</v>
      </c>
      <c r="AB27" s="715">
        <v>0</v>
      </c>
      <c r="AC27" s="153">
        <v>0</v>
      </c>
      <c r="AD27" s="717">
        <f t="shared" si="81"/>
        <v>0</v>
      </c>
      <c r="AE27" s="219">
        <f t="shared" si="82"/>
        <v>0</v>
      </c>
      <c r="AF27" s="715"/>
      <c r="AG27" s="153">
        <v>0</v>
      </c>
      <c r="AH27" s="717">
        <f t="shared" si="83"/>
        <v>0</v>
      </c>
      <c r="AI27" s="219">
        <f t="shared" si="84"/>
        <v>0</v>
      </c>
      <c r="AJ27" s="715"/>
      <c r="AK27" s="153">
        <v>0</v>
      </c>
      <c r="AL27" s="71">
        <f t="shared" si="85"/>
        <v>0</v>
      </c>
      <c r="AM27" s="524">
        <f t="shared" si="86"/>
        <v>0</v>
      </c>
      <c r="AN27" s="717">
        <f t="shared" si="87"/>
        <v>0</v>
      </c>
      <c r="AO27" s="219">
        <f t="shared" si="87"/>
        <v>0</v>
      </c>
      <c r="AP27" s="715"/>
      <c r="AQ27" s="153">
        <v>0</v>
      </c>
      <c r="AR27" s="717">
        <f t="shared" si="88"/>
        <v>0</v>
      </c>
      <c r="AS27" s="219">
        <f t="shared" si="89"/>
        <v>0</v>
      </c>
      <c r="AT27" s="715"/>
      <c r="AU27" s="153"/>
      <c r="AV27" s="717">
        <f t="shared" si="90"/>
        <v>0</v>
      </c>
      <c r="AW27" s="219">
        <f t="shared" si="91"/>
        <v>0</v>
      </c>
      <c r="AX27" s="715"/>
      <c r="AY27" s="153"/>
      <c r="AZ27" s="71">
        <f t="shared" si="92"/>
        <v>0</v>
      </c>
      <c r="BA27" s="524">
        <f t="shared" si="93"/>
        <v>0</v>
      </c>
      <c r="BB27" s="2199">
        <f t="shared" si="94"/>
        <v>0</v>
      </c>
      <c r="BC27" s="709">
        <f t="shared" si="95"/>
        <v>0</v>
      </c>
      <c r="BD27" s="717">
        <f t="shared" si="96"/>
        <v>0</v>
      </c>
      <c r="BE27" s="219">
        <f t="shared" si="97"/>
        <v>0</v>
      </c>
      <c r="BF27" s="26"/>
      <c r="BG27" s="26"/>
      <c r="BH27" s="26"/>
      <c r="BI27" s="26"/>
      <c r="BJ27" s="26"/>
    </row>
    <row r="28" spans="1:62" ht="16.2" thickBot="1" x14ac:dyDescent="0.35">
      <c r="B28" s="3036"/>
      <c r="C28" s="951"/>
      <c r="D28" s="952"/>
      <c r="E28" s="674"/>
      <c r="F28" s="952"/>
      <c r="G28" s="674"/>
      <c r="H28" s="116"/>
      <c r="I28" s="674"/>
      <c r="J28" s="952"/>
      <c r="K28" s="674"/>
      <c r="L28" s="116"/>
      <c r="M28" s="116"/>
      <c r="N28" s="952"/>
      <c r="O28" s="674"/>
      <c r="P28" s="116"/>
      <c r="Q28" s="116"/>
      <c r="R28" s="952"/>
      <c r="S28" s="674"/>
      <c r="T28" s="116"/>
      <c r="U28" s="116"/>
      <c r="V28" s="952"/>
      <c r="W28" s="674"/>
      <c r="X28" s="116"/>
      <c r="Y28" s="116"/>
      <c r="Z28" s="116"/>
      <c r="AA28" s="116"/>
      <c r="AB28" s="952"/>
      <c r="AC28" s="674"/>
      <c r="AD28" s="116"/>
      <c r="AE28" s="116"/>
      <c r="AF28" s="952"/>
      <c r="AG28" s="674"/>
      <c r="AH28" s="116"/>
      <c r="AI28" s="116"/>
      <c r="AJ28" s="952"/>
      <c r="AK28" s="674"/>
      <c r="AL28" s="116"/>
      <c r="AM28" s="116"/>
      <c r="AN28" s="116"/>
      <c r="AO28" s="116"/>
      <c r="AP28" s="952"/>
      <c r="AQ28" s="674"/>
      <c r="AR28" s="116"/>
      <c r="AS28" s="116"/>
      <c r="AT28" s="952"/>
      <c r="AU28" s="674"/>
      <c r="AV28" s="116"/>
      <c r="AW28" s="116"/>
      <c r="AX28" s="952"/>
      <c r="AY28" s="674"/>
      <c r="AZ28" s="116"/>
      <c r="BA28" s="116"/>
      <c r="BB28" s="116"/>
      <c r="BC28" s="116"/>
      <c r="BD28" s="116"/>
      <c r="BE28" s="116"/>
      <c r="BF28" s="26"/>
      <c r="BG28" s="26"/>
      <c r="BH28" s="26"/>
      <c r="BI28" s="26"/>
      <c r="BJ28" s="26"/>
    </row>
    <row r="29" spans="1:62" ht="15.6" x14ac:dyDescent="0.3">
      <c r="B29" s="3037" t="s">
        <v>382</v>
      </c>
      <c r="C29" s="115"/>
      <c r="D29" s="953"/>
      <c r="E29" s="675"/>
      <c r="F29" s="953"/>
      <c r="G29" s="675"/>
      <c r="H29" s="115"/>
      <c r="I29" s="675"/>
      <c r="J29" s="953"/>
      <c r="K29" s="675"/>
      <c r="L29" s="115"/>
      <c r="M29" s="115"/>
      <c r="N29" s="953"/>
      <c r="O29" s="675"/>
      <c r="P29" s="115"/>
      <c r="Q29" s="115"/>
      <c r="R29" s="953"/>
      <c r="S29" s="675"/>
      <c r="T29" s="115"/>
      <c r="U29" s="115"/>
      <c r="V29" s="953"/>
      <c r="W29" s="675"/>
      <c r="X29" s="115"/>
      <c r="Y29" s="115"/>
      <c r="Z29" s="115"/>
      <c r="AA29" s="115"/>
      <c r="AB29" s="953"/>
      <c r="AC29" s="675"/>
      <c r="AD29" s="115"/>
      <c r="AE29" s="115"/>
      <c r="AF29" s="953"/>
      <c r="AG29" s="675"/>
      <c r="AH29" s="115"/>
      <c r="AI29" s="115"/>
      <c r="AJ29" s="953"/>
      <c r="AK29" s="675"/>
      <c r="AL29" s="115"/>
      <c r="AM29" s="115"/>
      <c r="AN29" s="115"/>
      <c r="AO29" s="115"/>
      <c r="AP29" s="953"/>
      <c r="AQ29" s="675"/>
      <c r="AR29" s="115"/>
      <c r="AS29" s="115"/>
      <c r="AT29" s="953"/>
      <c r="AU29" s="675"/>
      <c r="AV29" s="115"/>
      <c r="AW29" s="115"/>
      <c r="AX29" s="953"/>
      <c r="AY29" s="675"/>
      <c r="AZ29" s="115"/>
      <c r="BA29" s="115"/>
      <c r="BB29" s="115"/>
      <c r="BC29" s="115"/>
      <c r="BD29" s="115"/>
      <c r="BE29" s="115"/>
      <c r="BF29" s="26"/>
      <c r="BG29" s="26"/>
      <c r="BH29" s="26"/>
      <c r="BI29" s="26"/>
      <c r="BJ29" s="26"/>
    </row>
    <row r="30" spans="1:62" ht="14.25" customHeight="1" x14ac:dyDescent="0.3">
      <c r="B30" s="8" t="s">
        <v>388</v>
      </c>
      <c r="C30" s="13" t="s">
        <v>384</v>
      </c>
      <c r="D30" s="954">
        <f t="shared" ref="D30:K30" si="100">+D16/(D3*24)</f>
        <v>26</v>
      </c>
      <c r="E30" s="117">
        <f t="shared" si="100"/>
        <v>26</v>
      </c>
      <c r="F30" s="954">
        <f t="shared" ref="F30:G30" si="101">+F16/(F3*24)</f>
        <v>26</v>
      </c>
      <c r="G30" s="117">
        <f t="shared" si="101"/>
        <v>26</v>
      </c>
      <c r="H30" s="53">
        <f t="shared" si="100"/>
        <v>26</v>
      </c>
      <c r="I30" s="164">
        <f t="shared" si="100"/>
        <v>26</v>
      </c>
      <c r="J30" s="954">
        <f t="shared" si="100"/>
        <v>26</v>
      </c>
      <c r="K30" s="117">
        <f t="shared" si="100"/>
        <v>26</v>
      </c>
      <c r="L30" s="236">
        <f t="shared" ref="L30:Q30" si="102">+L16/(L3*24)</f>
        <v>26</v>
      </c>
      <c r="M30" s="431">
        <f t="shared" si="102"/>
        <v>26</v>
      </c>
      <c r="N30" s="954">
        <f t="shared" si="102"/>
        <v>26</v>
      </c>
      <c r="O30" s="117">
        <f t="shared" si="102"/>
        <v>26</v>
      </c>
      <c r="P30" s="53">
        <f t="shared" si="102"/>
        <v>26</v>
      </c>
      <c r="Q30" s="430">
        <f t="shared" si="102"/>
        <v>26</v>
      </c>
      <c r="R30" s="954">
        <f t="shared" ref="R30:S30" si="103">+R16/(R3*24)</f>
        <v>26</v>
      </c>
      <c r="S30" s="117">
        <f t="shared" si="103"/>
        <v>26</v>
      </c>
      <c r="T30" s="53">
        <f t="shared" ref="T30:W30" si="104">+T16/(T3*24)</f>
        <v>26</v>
      </c>
      <c r="U30" s="430">
        <f t="shared" si="104"/>
        <v>26</v>
      </c>
      <c r="V30" s="954">
        <f t="shared" si="104"/>
        <v>26</v>
      </c>
      <c r="W30" s="117">
        <f t="shared" si="104"/>
        <v>26</v>
      </c>
      <c r="X30" s="236">
        <f t="shared" ref="X30:Y30" si="105">+X16/(X3*24)</f>
        <v>26</v>
      </c>
      <c r="Y30" s="431">
        <f t="shared" si="105"/>
        <v>26</v>
      </c>
      <c r="Z30" s="457">
        <f t="shared" ref="Z30:AE30" si="106">+Z16/(Z3*24)</f>
        <v>26</v>
      </c>
      <c r="AA30" s="499">
        <f t="shared" si="106"/>
        <v>26</v>
      </c>
      <c r="AB30" s="954">
        <f t="shared" si="106"/>
        <v>26</v>
      </c>
      <c r="AC30" s="117">
        <f t="shared" si="106"/>
        <v>26</v>
      </c>
      <c r="AD30" s="53">
        <f t="shared" si="106"/>
        <v>26</v>
      </c>
      <c r="AE30" s="430">
        <f t="shared" si="106"/>
        <v>26</v>
      </c>
      <c r="AF30" s="954">
        <f t="shared" ref="AF30:AG30" si="107">+AF16/(AF3*24)</f>
        <v>26</v>
      </c>
      <c r="AG30" s="117">
        <f t="shared" si="107"/>
        <v>26</v>
      </c>
      <c r="AH30" s="53">
        <f t="shared" ref="AH30:AK30" si="108">+AH16/(AH3*24)</f>
        <v>26</v>
      </c>
      <c r="AI30" s="430">
        <f t="shared" si="108"/>
        <v>26</v>
      </c>
      <c r="AJ30" s="954">
        <f t="shared" si="108"/>
        <v>26</v>
      </c>
      <c r="AK30" s="117">
        <f t="shared" si="108"/>
        <v>20.322580645161292</v>
      </c>
      <c r="AL30" s="236">
        <f t="shared" ref="AL30:AS30" si="109">+AL16/(AL3*24)</f>
        <v>26</v>
      </c>
      <c r="AM30" s="431">
        <f t="shared" si="109"/>
        <v>24.086956521739129</v>
      </c>
      <c r="AN30" s="53">
        <f t="shared" si="109"/>
        <v>26</v>
      </c>
      <c r="AO30" s="430">
        <f t="shared" si="109"/>
        <v>25.36</v>
      </c>
      <c r="AP30" s="954">
        <f t="shared" si="109"/>
        <v>26</v>
      </c>
      <c r="AQ30" s="117">
        <f t="shared" si="109"/>
        <v>9.67741935483871</v>
      </c>
      <c r="AR30" s="53">
        <f t="shared" si="109"/>
        <v>26</v>
      </c>
      <c r="AS30" s="430">
        <f t="shared" si="109"/>
        <v>23.77124183006536</v>
      </c>
      <c r="AT30" s="954">
        <f t="shared" ref="AT30:AU30" si="110">+AT16/(AT3*24)</f>
        <v>26</v>
      </c>
      <c r="AU30" s="117">
        <f t="shared" si="110"/>
        <v>0</v>
      </c>
      <c r="AV30" s="53">
        <f t="shared" ref="AV30:AY30" si="111">+AV16/(AV3*24)</f>
        <v>26</v>
      </c>
      <c r="AW30" s="430">
        <f t="shared" si="111"/>
        <v>21.778443113772454</v>
      </c>
      <c r="AX30" s="954">
        <f t="shared" si="111"/>
        <v>26</v>
      </c>
      <c r="AY30" s="117">
        <f t="shared" si="111"/>
        <v>0</v>
      </c>
      <c r="AZ30" s="236">
        <f t="shared" ref="AZ30:BE30" si="112">+AZ16/(AZ3*24)</f>
        <v>26</v>
      </c>
      <c r="BA30" s="431">
        <f t="shared" si="112"/>
        <v>3.3333333333333335</v>
      </c>
      <c r="BB30" s="457">
        <f t="shared" si="112"/>
        <v>26</v>
      </c>
      <c r="BC30" s="499">
        <f t="shared" si="112"/>
        <v>13.824175824175825</v>
      </c>
      <c r="BD30" s="53">
        <f t="shared" si="112"/>
        <v>26</v>
      </c>
      <c r="BE30" s="430">
        <f t="shared" si="112"/>
        <v>19.92876712328767</v>
      </c>
      <c r="BF30" s="26"/>
      <c r="BG30" s="26"/>
      <c r="BH30" s="26"/>
      <c r="BI30" s="26"/>
      <c r="BJ30" s="26"/>
    </row>
    <row r="31" spans="1:62" ht="14.25" customHeight="1" x14ac:dyDescent="0.3">
      <c r="B31" s="3034" t="s">
        <v>555</v>
      </c>
      <c r="C31" s="13" t="s">
        <v>385</v>
      </c>
      <c r="D31" s="767">
        <f>+D24/D22*1000</f>
        <v>120.19230769230769</v>
      </c>
      <c r="E31" s="99">
        <f>+(E24*1000)/E16</f>
        <v>118.96367521367522</v>
      </c>
      <c r="F31" s="767">
        <f>+F24/F22*1000</f>
        <v>0</v>
      </c>
      <c r="G31" s="99">
        <f>+(G24*1000)/G16</f>
        <v>119.00330851943755</v>
      </c>
      <c r="H31" s="52">
        <f>+H24/H$22*1000</f>
        <v>59.110970996216899</v>
      </c>
      <c r="I31" s="105">
        <f>+(I24*1000)/I16</f>
        <v>118.98381672971837</v>
      </c>
      <c r="J31" s="767">
        <f>+J24/J22*1000</f>
        <v>0</v>
      </c>
      <c r="K31" s="99">
        <f>+(K24*1000)/K16</f>
        <v>119.12393162393163</v>
      </c>
      <c r="L31" s="76">
        <f>+L24/L$22*1000</f>
        <v>39.623837700760781</v>
      </c>
      <c r="M31" s="348">
        <f>+(M24*1000)/M16</f>
        <v>119.03000845308537</v>
      </c>
      <c r="N31" s="767">
        <f>+N24/N22*1000</f>
        <v>0</v>
      </c>
      <c r="O31" s="99">
        <f>+(O24*1000)/O16</f>
        <v>120.96774193548387</v>
      </c>
      <c r="P31" s="52">
        <f>+P24/P$22*1000</f>
        <v>29.55548549810845</v>
      </c>
      <c r="Q31" s="261">
        <f>+(Q24*1000)/Q16</f>
        <v>119.52238335435057</v>
      </c>
      <c r="R31" s="767">
        <f>+R24/R22*1000</f>
        <v>0</v>
      </c>
      <c r="S31" s="99">
        <f>+(S24*1000)/S16</f>
        <v>119.00330851943755</v>
      </c>
      <c r="T31" s="52">
        <f>+T24/T$22*1000</f>
        <v>23.567119155354447</v>
      </c>
      <c r="U31" s="261">
        <f>+(U24*1000)/U16</f>
        <v>119.41721132897604</v>
      </c>
      <c r="V31" s="767">
        <f>+V24/V22*1000</f>
        <v>0</v>
      </c>
      <c r="W31" s="99">
        <f>+(W24*1000)/W16</f>
        <v>119.01709401709402</v>
      </c>
      <c r="X31" s="76">
        <f>+X24/X$22*1000</f>
        <v>0</v>
      </c>
      <c r="Y31" s="348">
        <f>+(Y24*1000)/Y16</f>
        <v>119.66973244147157</v>
      </c>
      <c r="Z31" s="461">
        <f>+Z24/Z$22*1000</f>
        <v>19.703656998738968</v>
      </c>
      <c r="AA31" s="461">
        <f>+(AA24*1000)/AA16</f>
        <v>119.35161832702816</v>
      </c>
      <c r="AB31" s="767">
        <f>+AB24/AB22*1000</f>
        <v>0</v>
      </c>
      <c r="AC31" s="99">
        <f>+(AC24*1000)/AC16</f>
        <v>119.0550041356493</v>
      </c>
      <c r="AD31" s="52">
        <f>+AD24/AD$22*1000</f>
        <v>16.84938892882818</v>
      </c>
      <c r="AE31" s="261">
        <f>+(AE24*1000)/AE16</f>
        <v>119.30865085070693</v>
      </c>
      <c r="AF31" s="767">
        <f>+AF24/AF22*1000</f>
        <v>0</v>
      </c>
      <c r="AG31" s="99">
        <f>+(AG24*1000)/AG16</f>
        <v>118.96367521367522</v>
      </c>
      <c r="AH31" s="52">
        <f>+AH24/AH$22*1000</f>
        <v>14.777742749054225</v>
      </c>
      <c r="AI31" s="261">
        <f>+(AI24*1000)/AI16</f>
        <v>119.26623581336696</v>
      </c>
      <c r="AJ31" s="767">
        <f>+AJ24/AJ22*1000</f>
        <v>0</v>
      </c>
      <c r="AK31" s="99">
        <f>+(AK24*1000)/AK16</f>
        <v>103.96825396825396</v>
      </c>
      <c r="AL31" s="76">
        <f>+AL24/AL$22*1000</f>
        <v>0</v>
      </c>
      <c r="AM31" s="348">
        <f>+(AM24*1000)/AM16</f>
        <v>114.73375451263539</v>
      </c>
      <c r="AN31" s="52">
        <f>+AN24/AN$22*1000</f>
        <v>13.111888111888112</v>
      </c>
      <c r="AO31" s="261">
        <f>+(AO24*1000)/AO16</f>
        <v>117.88428448523086</v>
      </c>
      <c r="AP31" s="767">
        <f>+AP24/AP22*1000</f>
        <v>0</v>
      </c>
      <c r="AQ31" s="99">
        <f>+(AQ24*1000)/AQ16</f>
        <v>139.58333333333334</v>
      </c>
      <c r="AR31" s="52">
        <f>+AR24/AR$22*1000</f>
        <v>11.783559577677224</v>
      </c>
      <c r="AS31" s="261">
        <f>+(AS24*1000)/AS16</f>
        <v>118.77921363761342</v>
      </c>
      <c r="AT31" s="767">
        <f>+AT24/AT22*1000</f>
        <v>0</v>
      </c>
      <c r="AU31" s="99" t="e">
        <f>+(AU24*1000)/AU16</f>
        <v>#DIV/0!</v>
      </c>
      <c r="AV31" s="52">
        <f>+AV24/AV$22*1000</f>
        <v>10.795716259788117</v>
      </c>
      <c r="AW31" s="261">
        <f>+(AW24*1000)/AW16</f>
        <v>118.77921363761342</v>
      </c>
      <c r="AX31" s="767">
        <f>+AX24/AX22*1000</f>
        <v>0</v>
      </c>
      <c r="AY31" s="99" t="e">
        <f>+(AY24*1000)/AY16</f>
        <v>#DIV/0!</v>
      </c>
      <c r="AZ31" s="76">
        <f>+AZ24/AZ$22*1000</f>
        <v>0</v>
      </c>
      <c r="BA31" s="348">
        <f>+(BA24*1000)/BA16</f>
        <v>139.58333333333334</v>
      </c>
      <c r="BB31" s="461">
        <f>+BB24/BB$22*1000</f>
        <v>0</v>
      </c>
      <c r="BC31" s="461">
        <f>+(BC24*1000)/BC16</f>
        <v>117.69674085850556</v>
      </c>
      <c r="BD31" s="52">
        <f>+BD24/BD$22*1000</f>
        <v>9.8788198103266609</v>
      </c>
      <c r="BE31" s="261">
        <f>+(BE24*1000)/BE16</f>
        <v>118.77921363761342</v>
      </c>
      <c r="BF31" s="26"/>
      <c r="BG31" s="26"/>
      <c r="BH31" s="26"/>
      <c r="BI31" s="26"/>
      <c r="BJ31" s="26"/>
    </row>
    <row r="32" spans="1:62" ht="15" customHeight="1" x14ac:dyDescent="0.3">
      <c r="B32" s="3034" t="s">
        <v>389</v>
      </c>
      <c r="C32" s="13" t="s">
        <v>386</v>
      </c>
      <c r="D32" s="152">
        <f>+D25/D22*1000</f>
        <v>0</v>
      </c>
      <c r="E32" s="18">
        <f>+(E25*1000)/E16</f>
        <v>0</v>
      </c>
      <c r="F32" s="152">
        <f>+F25/F22*1000</f>
        <v>0</v>
      </c>
      <c r="G32" s="18">
        <f>+(G25*1000)/G16</f>
        <v>0</v>
      </c>
      <c r="H32" s="60">
        <f>+H25/H$22*1000</f>
        <v>0</v>
      </c>
      <c r="I32" s="38">
        <f>+(I25*1000)/I16</f>
        <v>0</v>
      </c>
      <c r="J32" s="152">
        <f>+J25/J22*1000</f>
        <v>0</v>
      </c>
      <c r="K32" s="18">
        <f>+(K25*1000)/K16</f>
        <v>0</v>
      </c>
      <c r="L32" s="71">
        <f>+L25/L$22*1000</f>
        <v>0</v>
      </c>
      <c r="M32" s="774">
        <f>+(M25*1000)/M16</f>
        <v>0</v>
      </c>
      <c r="N32" s="152">
        <f>+N25/N22*1000</f>
        <v>0</v>
      </c>
      <c r="O32" s="18">
        <f>+(O25*1000)/O16</f>
        <v>0</v>
      </c>
      <c r="P32" s="60">
        <f>+P25/P$22*1000</f>
        <v>0</v>
      </c>
      <c r="Q32" s="775">
        <f>+(Q25*1000)/Q16</f>
        <v>0</v>
      </c>
      <c r="R32" s="152">
        <f>+R25/R22*1000</f>
        <v>0</v>
      </c>
      <c r="S32" s="18">
        <f>+(S25*1000)/S16</f>
        <v>0</v>
      </c>
      <c r="T32" s="60">
        <f>+T25/T$22*1000</f>
        <v>0</v>
      </c>
      <c r="U32" s="775">
        <f>+(U25*1000)/U16</f>
        <v>0</v>
      </c>
      <c r="V32" s="152">
        <f>+V25/V22*1000</f>
        <v>0</v>
      </c>
      <c r="W32" s="18">
        <f>+(W25*1000)/W16</f>
        <v>0</v>
      </c>
      <c r="X32" s="71">
        <f>+X25/X$22*1000</f>
        <v>0</v>
      </c>
      <c r="Y32" s="774">
        <f>+(Y25*1000)/Y16</f>
        <v>0</v>
      </c>
      <c r="Z32" s="460">
        <f>+Z25/Z$22*1000</f>
        <v>0</v>
      </c>
      <c r="AA32" s="460">
        <f>+(AA25*1000)/AA16</f>
        <v>0</v>
      </c>
      <c r="AB32" s="152">
        <f>+AB25/AB22*1000</f>
        <v>0</v>
      </c>
      <c r="AC32" s="18">
        <f>+(AC25*1000)/AC16</f>
        <v>0</v>
      </c>
      <c r="AD32" s="60">
        <f>+AD25/AD$22*1000</f>
        <v>0</v>
      </c>
      <c r="AE32" s="775">
        <f>+(AE25*1000)/AE16</f>
        <v>0</v>
      </c>
      <c r="AF32" s="152">
        <f>+AF25/AF22*1000</f>
        <v>0</v>
      </c>
      <c r="AG32" s="18">
        <f>+(AG25*1000)/AG16</f>
        <v>0</v>
      </c>
      <c r="AH32" s="60">
        <f>+AH25/AH$22*1000</f>
        <v>0</v>
      </c>
      <c r="AI32" s="775">
        <f>+(AI25*1000)/AI16</f>
        <v>0</v>
      </c>
      <c r="AJ32" s="152">
        <f>+AJ25/AJ22*1000</f>
        <v>0</v>
      </c>
      <c r="AK32" s="18">
        <f>+(AK25*1000)/AK16</f>
        <v>0</v>
      </c>
      <c r="AL32" s="71">
        <f>+AL25/AL$22*1000</f>
        <v>0</v>
      </c>
      <c r="AM32" s="774">
        <f>+(AM25*1000)/AM16</f>
        <v>0</v>
      </c>
      <c r="AN32" s="60">
        <f>+AN25/AN$22*1000</f>
        <v>0</v>
      </c>
      <c r="AO32" s="775">
        <f>+(AO25*1000)/AO16</f>
        <v>0</v>
      </c>
      <c r="AP32" s="152">
        <f>+AP25/AP22*1000</f>
        <v>0</v>
      </c>
      <c r="AQ32" s="18">
        <f>+(AQ25*1000)/AQ16</f>
        <v>0</v>
      </c>
      <c r="AR32" s="60">
        <f>+AR25/AR$22*1000</f>
        <v>0</v>
      </c>
      <c r="AS32" s="775">
        <f>+(AS25*1000)/AS16</f>
        <v>0</v>
      </c>
      <c r="AT32" s="152">
        <f>+AT25/AT22*1000</f>
        <v>0</v>
      </c>
      <c r="AU32" s="18" t="e">
        <f>+(AU25*1000)/AU16</f>
        <v>#DIV/0!</v>
      </c>
      <c r="AV32" s="60">
        <f>+AV25/AV$22*1000</f>
        <v>0</v>
      </c>
      <c r="AW32" s="775">
        <f>+(AW25*1000)/AW16</f>
        <v>0</v>
      </c>
      <c r="AX32" s="152">
        <f>+AX25/AX22*1000</f>
        <v>0</v>
      </c>
      <c r="AY32" s="18" t="e">
        <f>+(AY25*1000)/AY16</f>
        <v>#DIV/0!</v>
      </c>
      <c r="AZ32" s="71">
        <f>+AZ25/AZ$22*1000</f>
        <v>0</v>
      </c>
      <c r="BA32" s="774">
        <f>+(BA25*1000)/BA16</f>
        <v>0</v>
      </c>
      <c r="BB32" s="460">
        <f>+BB25/BB$22*1000</f>
        <v>0</v>
      </c>
      <c r="BC32" s="460">
        <f>+(BC25*1000)/BC16</f>
        <v>0</v>
      </c>
      <c r="BD32" s="60">
        <f>+BD25/BD$22*1000</f>
        <v>0</v>
      </c>
      <c r="BE32" s="775">
        <f>+(BE25*1000)/BE16</f>
        <v>0</v>
      </c>
      <c r="BF32" s="26"/>
      <c r="BG32" s="26"/>
      <c r="BH32" s="26"/>
      <c r="BI32" s="26"/>
      <c r="BJ32" s="26"/>
    </row>
    <row r="33" spans="1:62" x14ac:dyDescent="0.3">
      <c r="B33" s="3034" t="s">
        <v>390</v>
      </c>
      <c r="C33" s="13" t="s">
        <v>386</v>
      </c>
      <c r="D33" s="767">
        <f>+D26/D22*1000</f>
        <v>115.38461538461539</v>
      </c>
      <c r="E33" s="99">
        <f>+(E26*1000)/E16</f>
        <v>152.23183760683762</v>
      </c>
      <c r="F33" s="767">
        <f>+F26/F22*1000</f>
        <v>0</v>
      </c>
      <c r="G33" s="99">
        <f>+(G26*1000)/G16</f>
        <v>147.85359801488835</v>
      </c>
      <c r="H33" s="52">
        <f>+H26/H$22*1000</f>
        <v>56.746532156368218</v>
      </c>
      <c r="I33" s="105">
        <f>+(I26*1000)/I16</f>
        <v>150.00683060109293</v>
      </c>
      <c r="J33" s="767">
        <f>+J26/J22*1000</f>
        <v>0</v>
      </c>
      <c r="K33" s="99">
        <f>+(K26*1000)/K16</f>
        <v>146.38118781471715</v>
      </c>
      <c r="L33" s="76">
        <f>+L26/L$22*1000</f>
        <v>38.03888419273035</v>
      </c>
      <c r="M33" s="348">
        <f>+(M26*1000)/M16</f>
        <v>148.81156374844156</v>
      </c>
      <c r="N33" s="767">
        <f>+N26/N22*1000</f>
        <v>0</v>
      </c>
      <c r="O33" s="99">
        <f>+(O26*1000)/O16</f>
        <v>146.60049627791562</v>
      </c>
      <c r="P33" s="52">
        <f>+P26/P$22*1000</f>
        <v>28.373266078184109</v>
      </c>
      <c r="Q33" s="261">
        <f>+(Q26*1000)/Q16</f>
        <v>148.2497351288817</v>
      </c>
      <c r="R33" s="767">
        <f>+R26/R22*1000</f>
        <v>0</v>
      </c>
      <c r="S33" s="99">
        <f>+(S26*1000)/S16</f>
        <v>141.81141439205956</v>
      </c>
      <c r="T33" s="52">
        <f>+T26/T$22*1000</f>
        <v>22.624434389140269</v>
      </c>
      <c r="U33" s="261">
        <f>+(U26*1000)/U16</f>
        <v>146.9452387704406</v>
      </c>
      <c r="V33" s="767">
        <f>+V26/V22*1000</f>
        <v>0</v>
      </c>
      <c r="W33" s="99">
        <f>+(W26*1000)/W16</f>
        <v>150.08920940170941</v>
      </c>
      <c r="X33" s="76">
        <f>+X26/X$22*1000</f>
        <v>0</v>
      </c>
      <c r="Y33" s="348">
        <f>+(Y26*1000)/Y16</f>
        <v>146.12440774804907</v>
      </c>
      <c r="Z33" s="461">
        <f>+Z26/Z$22*1000</f>
        <v>18.915510718789406</v>
      </c>
      <c r="AA33" s="461">
        <f>+(AA26*1000)/AA16</f>
        <v>147.46064379196005</v>
      </c>
      <c r="AB33" s="767">
        <f>+AB26/AB22*1000</f>
        <v>0</v>
      </c>
      <c r="AC33" s="99">
        <f>+(AC26*1000)/AC16</f>
        <v>166.73387096774192</v>
      </c>
      <c r="AD33" s="52">
        <f>+AD26/AD$22*1000</f>
        <v>16.175413371675056</v>
      </c>
      <c r="AE33" s="261">
        <f>+(AE26*1000)/AE16</f>
        <v>150.25255987817147</v>
      </c>
      <c r="AF33" s="767">
        <f>+AF26/AF22*1000</f>
        <v>0</v>
      </c>
      <c r="AG33" s="99">
        <f>+(AG26*1000)/AG16</f>
        <v>146.34615384615384</v>
      </c>
      <c r="AH33" s="52">
        <f>+AH26/AH$22*1000</f>
        <v>14.186633039092055</v>
      </c>
      <c r="AI33" s="261">
        <f>+(AI26*1000)/AI16</f>
        <v>149.77226405456273</v>
      </c>
      <c r="AJ33" s="767">
        <f>+AJ26/AJ22*1000</f>
        <v>0</v>
      </c>
      <c r="AK33" s="99">
        <f>+(AK26*1000)/AK16</f>
        <v>190.70767195767195</v>
      </c>
      <c r="AL33" s="76">
        <f>+AL26/AL$22*1000</f>
        <v>0</v>
      </c>
      <c r="AM33" s="348">
        <f>+(AM26*1000)/AM16</f>
        <v>166.37334536702767</v>
      </c>
      <c r="AN33" s="52">
        <f>+AN26/AN$22*1000</f>
        <v>12.587412587412588</v>
      </c>
      <c r="AO33" s="261">
        <f>+(AO26*1000)/AO16</f>
        <v>153.470185904141</v>
      </c>
      <c r="AP33" s="767">
        <f>+AP26/AP22*1000</f>
        <v>0</v>
      </c>
      <c r="AQ33" s="99">
        <f>+(AQ26*1000)/AQ16</f>
        <v>216.30277777777778</v>
      </c>
      <c r="AR33" s="52">
        <f>+AR26/AR$22*1000</f>
        <v>11.312217194570135</v>
      </c>
      <c r="AS33" s="261">
        <f>+(AS26*1000)/AS16</f>
        <v>156.06157682551728</v>
      </c>
      <c r="AT33" s="767">
        <f>+AT26/AT22*1000</f>
        <v>0</v>
      </c>
      <c r="AU33" s="99" t="e">
        <f>+(AU26*1000)/AU16</f>
        <v>#DIV/0!</v>
      </c>
      <c r="AV33" s="52">
        <f>+AV26/AV$22*1000</f>
        <v>10.36388760939659</v>
      </c>
      <c r="AW33" s="261">
        <f>+(AW26*1000)/AW16</f>
        <v>156.06157682551728</v>
      </c>
      <c r="AX33" s="767">
        <f>+AX26/AX22*1000</f>
        <v>0</v>
      </c>
      <c r="AY33" s="99" t="e">
        <f>+(AY26*1000)/AY16</f>
        <v>#DIV/0!</v>
      </c>
      <c r="AZ33" s="76">
        <f>+AZ26/AZ$22*1000</f>
        <v>0</v>
      </c>
      <c r="BA33" s="348">
        <f>+(BA26*1000)/BA16</f>
        <v>216.30277777777778</v>
      </c>
      <c r="BB33" s="461">
        <f>+BB26/BB$22*1000</f>
        <v>0</v>
      </c>
      <c r="BC33" s="461">
        <f>+(BC26*1000)/BC16</f>
        <v>172.32677530471645</v>
      </c>
      <c r="BD33" s="52">
        <f>+BD26/BD$22*1000</f>
        <v>9.4836670179135929</v>
      </c>
      <c r="BE33" s="261">
        <f>+(BE26*1000)/BE16</f>
        <v>156.06157682551728</v>
      </c>
      <c r="BF33" s="26"/>
      <c r="BG33" s="26"/>
      <c r="BH33" s="26"/>
      <c r="BI33" s="26"/>
      <c r="BJ33" s="26"/>
    </row>
    <row r="34" spans="1:62" ht="15" customHeight="1" x14ac:dyDescent="0.3">
      <c r="B34" s="3034" t="s">
        <v>391</v>
      </c>
      <c r="C34" s="13" t="s">
        <v>387</v>
      </c>
      <c r="D34" s="152">
        <f>+D27/D22*1000</f>
        <v>0</v>
      </c>
      <c r="E34" s="18">
        <f>+(E27*1000)/E16</f>
        <v>0</v>
      </c>
      <c r="F34" s="152">
        <f>+F27/F22*1000</f>
        <v>0</v>
      </c>
      <c r="G34" s="18">
        <f>+(G27*1000)/G16</f>
        <v>0</v>
      </c>
      <c r="H34" s="60">
        <f>+H27/H$22*1000</f>
        <v>0</v>
      </c>
      <c r="I34" s="38">
        <f>+(I27*1000)/I16</f>
        <v>0</v>
      </c>
      <c r="J34" s="152">
        <f>+J27/J22*1000</f>
        <v>0</v>
      </c>
      <c r="K34" s="18">
        <f>+(K27*1000)/K16</f>
        <v>0</v>
      </c>
      <c r="L34" s="378">
        <f>+L27/L$22*1000</f>
        <v>0</v>
      </c>
      <c r="M34" s="774">
        <f>+(M27*1000)/M16</f>
        <v>0</v>
      </c>
      <c r="N34" s="152">
        <f>+N27/N22*1000</f>
        <v>0</v>
      </c>
      <c r="O34" s="18">
        <f>+(O27*1000)/O16</f>
        <v>0</v>
      </c>
      <c r="P34" s="82">
        <f>+P27/P$22*1000</f>
        <v>0</v>
      </c>
      <c r="Q34" s="775">
        <f>+(Q27*1000)/Q16</f>
        <v>0</v>
      </c>
      <c r="R34" s="152">
        <f>+R27/R22*1000</f>
        <v>0</v>
      </c>
      <c r="S34" s="18">
        <f>+(S27*1000)/S16</f>
        <v>0</v>
      </c>
      <c r="T34" s="82">
        <f>+T27/T$22*1000</f>
        <v>0</v>
      </c>
      <c r="U34" s="775">
        <f>+(U27*1000)/U16</f>
        <v>0</v>
      </c>
      <c r="V34" s="152">
        <f>+V27/V22*1000</f>
        <v>0</v>
      </c>
      <c r="W34" s="18">
        <f>+(W27*1000)/W16</f>
        <v>0</v>
      </c>
      <c r="X34" s="378">
        <f>+X27/X$22*1000</f>
        <v>0</v>
      </c>
      <c r="Y34" s="774">
        <f>+(Y27*1000)/Y16</f>
        <v>0</v>
      </c>
      <c r="Z34" s="460">
        <f>+Z27/Z$22*1000</f>
        <v>0</v>
      </c>
      <c r="AA34" s="460">
        <f>+(AA27*1000)/AA16</f>
        <v>0</v>
      </c>
      <c r="AB34" s="152">
        <f>+AB27/AB22*1000</f>
        <v>0</v>
      </c>
      <c r="AC34" s="18">
        <f>+(AC27*1000)/AC16</f>
        <v>0</v>
      </c>
      <c r="AD34" s="82">
        <f>+AD27/AD$22*1000</f>
        <v>0</v>
      </c>
      <c r="AE34" s="775">
        <f>+(AE27*1000)/AE16</f>
        <v>0</v>
      </c>
      <c r="AF34" s="152">
        <f>+AF27/AF22*1000</f>
        <v>0</v>
      </c>
      <c r="AG34" s="18">
        <f>+(AG27*1000)/AG16</f>
        <v>0</v>
      </c>
      <c r="AH34" s="82">
        <f>+AH27/AH$22*1000</f>
        <v>0</v>
      </c>
      <c r="AI34" s="775">
        <f>+(AI27*1000)/AI16</f>
        <v>0</v>
      </c>
      <c r="AJ34" s="152">
        <f>+AJ27/AJ22*1000</f>
        <v>0</v>
      </c>
      <c r="AK34" s="18">
        <f>+(AK27*1000)/AK16</f>
        <v>0</v>
      </c>
      <c r="AL34" s="378">
        <f>+AL27/AL$22*1000</f>
        <v>0</v>
      </c>
      <c r="AM34" s="774">
        <f>+(AM27*1000)/AM16</f>
        <v>0</v>
      </c>
      <c r="AN34" s="82">
        <f>+AN27/AN$22*1000</f>
        <v>0</v>
      </c>
      <c r="AO34" s="775">
        <f>+(AO27*1000)/AO16</f>
        <v>0</v>
      </c>
      <c r="AP34" s="152">
        <f>+AP27/AP22*1000</f>
        <v>0</v>
      </c>
      <c r="AQ34" s="18">
        <f>+(AQ27*1000)/AQ16</f>
        <v>0</v>
      </c>
      <c r="AR34" s="82">
        <f>+AR27/AR$22*1000</f>
        <v>0</v>
      </c>
      <c r="AS34" s="775">
        <f>+(AS27*1000)/AS16</f>
        <v>0</v>
      </c>
      <c r="AT34" s="152">
        <f>+AT27/AT22*1000</f>
        <v>0</v>
      </c>
      <c r="AU34" s="18" t="e">
        <f>+(AU27*1000)/AU16</f>
        <v>#DIV/0!</v>
      </c>
      <c r="AV34" s="82">
        <f>+AV27/AV$22*1000</f>
        <v>0</v>
      </c>
      <c r="AW34" s="775">
        <f>+(AW27*1000)/AW16</f>
        <v>0</v>
      </c>
      <c r="AX34" s="152">
        <f>+AX27/AX22*1000</f>
        <v>0</v>
      </c>
      <c r="AY34" s="18" t="e">
        <f>+(AY27*1000)/AY16</f>
        <v>#DIV/0!</v>
      </c>
      <c r="AZ34" s="378">
        <f>+AZ27/AZ$22*1000</f>
        <v>0</v>
      </c>
      <c r="BA34" s="774">
        <f>+(BA27*1000)/BA16</f>
        <v>0</v>
      </c>
      <c r="BB34" s="460">
        <f>+BB27/BB$22*1000</f>
        <v>0</v>
      </c>
      <c r="BC34" s="460">
        <f>+(BC27*1000)/BC16</f>
        <v>0</v>
      </c>
      <c r="BD34" s="82">
        <f>+BD27/BD$22*1000</f>
        <v>0</v>
      </c>
      <c r="BE34" s="775">
        <f>+(BE27*1000)/BE16</f>
        <v>0</v>
      </c>
      <c r="BF34" s="26"/>
      <c r="BG34" s="26"/>
      <c r="BH34" s="26"/>
      <c r="BI34" s="26"/>
      <c r="BJ34" s="26"/>
    </row>
    <row r="35" spans="1:62" s="146" customFormat="1" ht="15" customHeight="1" thickBot="1" x14ac:dyDescent="0.35">
      <c r="A35" s="5787">
        <v>1.125079186</v>
      </c>
      <c r="B35" s="5788" t="s">
        <v>392</v>
      </c>
      <c r="C35" s="5789" t="s">
        <v>552</v>
      </c>
      <c r="D35" s="5790">
        <v>0.97424423076923072</v>
      </c>
      <c r="E35" s="5791">
        <v>1.0589999999999999</v>
      </c>
      <c r="F35" s="5792" t="s">
        <v>32</v>
      </c>
      <c r="G35" s="5791">
        <v>1.042</v>
      </c>
      <c r="H35" s="5791" t="e">
        <f>+((D35*D22)+(F35*F22))/H22</f>
        <v>#VALUE!</v>
      </c>
      <c r="I35" s="5793">
        <f>+((E35*E16)+(G35*G16))/I16</f>
        <v>1.050360655737705</v>
      </c>
      <c r="J35" s="5792" t="s">
        <v>32</v>
      </c>
      <c r="K35" s="5791">
        <v>1.0356000000000001</v>
      </c>
      <c r="L35" s="5794" t="e">
        <f>+((H35*H22)+(J35*J22))/L22</f>
        <v>#VALUE!</v>
      </c>
      <c r="M35" s="5795">
        <f>+((I35*I16)+(K35*K16))/M16</f>
        <v>1.0454945054945055</v>
      </c>
      <c r="N35" s="5792" t="s">
        <v>32</v>
      </c>
      <c r="O35" s="5791">
        <v>1.0429999999999999</v>
      </c>
      <c r="P35" s="5794" t="e">
        <f>+((L35*L22)+(N35*N22))/P22</f>
        <v>#VALUE!</v>
      </c>
      <c r="Q35" s="5795">
        <f>+((M35*M16)+(O35*O16))/Q16</f>
        <v>1.0448606557377049</v>
      </c>
      <c r="R35" s="5792" t="s">
        <v>32</v>
      </c>
      <c r="S35" s="5791">
        <v>1.0169999999999999</v>
      </c>
      <c r="T35" s="5794" t="e">
        <f>+((P35*P22)+(R35*R22))/T22</f>
        <v>#VALUE!</v>
      </c>
      <c r="U35" s="5795">
        <f>+((Q35*Q16)+(S35*S16))/U16</f>
        <v>1.0392156862745099</v>
      </c>
      <c r="V35" s="5792" t="s">
        <v>32</v>
      </c>
      <c r="W35" s="5791">
        <v>1.0509999999999999</v>
      </c>
      <c r="X35" s="5794" t="e">
        <f>+((N35*N22)+(R35*R22)+(V35*V22))/X22</f>
        <v>#VALUE!</v>
      </c>
      <c r="Y35" s="5795">
        <f>+((O35*O22)+(S35*S22)+(W35*W22))/Y22</f>
        <v>1.0368478260869565</v>
      </c>
      <c r="Z35" s="5794" t="e">
        <f>+((T35*T22)+(V35*V22))/Z22</f>
        <v>#VALUE!</v>
      </c>
      <c r="AA35" s="5795">
        <f>+((U35*U16)+(W35*W16))/AA16</f>
        <v>1.0411475409836066</v>
      </c>
      <c r="AB35" s="5792" t="s">
        <v>32</v>
      </c>
      <c r="AC35" s="5791">
        <v>1.123</v>
      </c>
      <c r="AD35" s="5794" t="e">
        <f>+((Z35*Z22)+(AB35*AB22))/AD22</f>
        <v>#VALUE!</v>
      </c>
      <c r="AE35" s="5795">
        <f>+((AA35*AA16)+(AC35*AC16))/AE16</f>
        <v>1.0530046728971962</v>
      </c>
      <c r="AF35" s="5792" t="s">
        <v>32</v>
      </c>
      <c r="AG35" s="5791">
        <v>0.442</v>
      </c>
      <c r="AH35" s="5794" t="e">
        <f>+((AD35*AD22)+(AF35*AF22))/AH22</f>
        <v>#VALUE!</v>
      </c>
      <c r="AI35" s="5795">
        <f>+((AE35*AE16)+(AG35*AG16))/AI16-0.076</f>
        <v>0.90188114754098359</v>
      </c>
      <c r="AJ35" s="5792" t="s">
        <v>32</v>
      </c>
      <c r="AK35" s="5791">
        <v>1.17</v>
      </c>
      <c r="AL35" s="5794" t="e">
        <f>+((AB35*AB22)+(AF35*AF22)+(AJ35*AJ22))/AL22</f>
        <v>#VALUE!</v>
      </c>
      <c r="AM35" s="5795">
        <f>+((AC35*AC22)+(AG35*AG22)+(AK35*AK22))/AM22</f>
        <v>0.89665974729241882</v>
      </c>
      <c r="AN35" s="5794" t="e">
        <f>+((AH35*AH22)+(AJ35*AJ22))/AN22</f>
        <v>#VALUE!</v>
      </c>
      <c r="AO35" s="5795">
        <f>+((AI35*AI16)+(AK35*AK16))/AO16+0.159</f>
        <v>1.0851018067106395</v>
      </c>
      <c r="AP35" s="5792" t="s">
        <v>32</v>
      </c>
      <c r="AQ35" s="5791">
        <v>1.4039999999999999</v>
      </c>
      <c r="AR35" s="5795" t="e">
        <f>+((AN35*AN22)+(AP35*AP22))/AR22</f>
        <v>#VALUE!</v>
      </c>
      <c r="AS35" s="5795">
        <f>+((AO35*AO16)+(AQ35*AQ16))/AS16</f>
        <v>1.0982540555402804</v>
      </c>
      <c r="AT35" s="5792" t="s">
        <v>32</v>
      </c>
      <c r="AU35" s="5791"/>
      <c r="AV35" s="5795" t="e">
        <f>+((AR35*AR22)+(AT35*AT22))/AV22</f>
        <v>#VALUE!</v>
      </c>
      <c r="AW35" s="5795">
        <f>+((AS35*AS16)+(AU35*AU16))/AW16</f>
        <v>1.0982540555402804</v>
      </c>
      <c r="AX35" s="5792" t="s">
        <v>32</v>
      </c>
      <c r="AY35" s="5791"/>
      <c r="AZ35" s="5795" t="e">
        <f>+((AP35*AP22)+(AT35*AT22)+(AX35*AX22))/AZ22</f>
        <v>#VALUE!</v>
      </c>
      <c r="BA35" s="5795">
        <f>+((AQ35*AQ22)+(AU35*AU22)+(AY35*AY22))/BA22</f>
        <v>1.4039999999999999</v>
      </c>
      <c r="BB35" s="5795" t="e">
        <f>+((AL35*AL22)+(AZ35*AZ22))/BB22</f>
        <v>#VALUE!</v>
      </c>
      <c r="BC35" s="5795">
        <f>+((AM35*AM16)+(BA35*BA16))/BC16</f>
        <v>0.95715341812400645</v>
      </c>
      <c r="BD35" s="5795" t="e">
        <f>+((AV35*AV22)+(AX35*AX22))/BD22</f>
        <v>#VALUE!</v>
      </c>
      <c r="BE35" s="5795">
        <f>+((AW35*AW16)+(AY35*AY16))/BE16</f>
        <v>1.0982540555402804</v>
      </c>
      <c r="BF35" s="544"/>
      <c r="BG35" s="544"/>
      <c r="BH35" s="544"/>
      <c r="BI35" s="544"/>
      <c r="BJ35" s="544"/>
    </row>
    <row r="36" spans="1:62" ht="23.85" customHeight="1" thickTop="1" x14ac:dyDescent="0.4">
      <c r="B36" s="941" t="s">
        <v>457</v>
      </c>
      <c r="C36" s="209"/>
      <c r="D36" s="3021"/>
      <c r="E36" s="3022"/>
      <c r="F36" s="3021"/>
      <c r="G36" s="3022"/>
      <c r="H36" s="209"/>
      <c r="I36" s="209"/>
      <c r="J36" s="3021"/>
      <c r="K36" s="3022"/>
      <c r="L36" s="134"/>
      <c r="M36" s="134"/>
      <c r="N36" s="3021"/>
      <c r="O36" s="3022"/>
      <c r="P36" s="134"/>
      <c r="Q36" s="134"/>
      <c r="R36" s="3021"/>
      <c r="S36" s="3022"/>
      <c r="T36" s="134"/>
      <c r="U36" s="134"/>
      <c r="V36" s="3021"/>
      <c r="W36" s="3022"/>
      <c r="X36" s="134"/>
      <c r="Y36" s="134"/>
      <c r="Z36" s="134"/>
      <c r="AA36" s="134"/>
      <c r="AB36" s="3021"/>
      <c r="AC36" s="3022"/>
      <c r="AD36" s="134"/>
      <c r="AE36" s="134"/>
      <c r="AF36" s="3021"/>
      <c r="AG36" s="3022"/>
      <c r="AH36" s="134"/>
      <c r="AI36" s="134"/>
      <c r="AJ36" s="3021"/>
      <c r="AK36" s="3022"/>
      <c r="AL36" s="134"/>
      <c r="AM36" s="134"/>
      <c r="AN36" s="134"/>
      <c r="AO36" s="5297"/>
      <c r="AP36" s="3021"/>
      <c r="AQ36" s="3022"/>
      <c r="AR36" s="134"/>
      <c r="AS36" s="134"/>
      <c r="AT36" s="3021"/>
      <c r="AU36" s="3022"/>
      <c r="AV36" s="134"/>
      <c r="AW36" s="134"/>
      <c r="AX36" s="3021"/>
      <c r="AY36" s="3022"/>
      <c r="AZ36" s="134"/>
      <c r="BA36" s="134"/>
      <c r="BB36" s="134"/>
      <c r="BC36" s="134"/>
      <c r="BD36" s="134"/>
      <c r="BE36" s="134"/>
      <c r="BF36" s="26"/>
      <c r="BG36" s="26"/>
      <c r="BH36" s="26"/>
      <c r="BI36" s="26"/>
      <c r="BJ36" s="26"/>
    </row>
    <row r="37" spans="1:62" ht="18" thickBot="1" x14ac:dyDescent="0.35">
      <c r="B37" s="3040" t="s">
        <v>401</v>
      </c>
      <c r="C37" s="3041"/>
      <c r="D37" s="3042"/>
      <c r="E37" s="3043"/>
      <c r="F37" s="3042"/>
      <c r="G37" s="3043"/>
      <c r="H37" s="3041"/>
      <c r="I37" s="3041"/>
      <c r="J37" s="3042"/>
      <c r="K37" s="3043"/>
      <c r="L37" s="7"/>
      <c r="M37" s="410"/>
      <c r="N37" s="3042"/>
      <c r="O37" s="3043"/>
      <c r="P37" s="7"/>
      <c r="Q37" s="410"/>
      <c r="R37" s="3042"/>
      <c r="S37" s="3043"/>
      <c r="T37" s="7"/>
      <c r="U37" s="410"/>
      <c r="V37" s="3042"/>
      <c r="W37" s="3043"/>
      <c r="X37" s="7"/>
      <c r="Y37" s="410"/>
      <c r="Z37" s="7"/>
      <c r="AA37" s="410"/>
      <c r="AB37" s="3042"/>
      <c r="AC37" s="3043"/>
      <c r="AD37" s="7"/>
      <c r="AE37" s="410"/>
      <c r="AF37" s="3042"/>
      <c r="AG37" s="3043"/>
      <c r="AH37" s="7"/>
      <c r="AI37" s="410"/>
      <c r="AJ37" s="3042"/>
      <c r="AK37" s="3043"/>
      <c r="AL37" s="7"/>
      <c r="AM37" s="410"/>
      <c r="AN37" s="7"/>
      <c r="AO37" s="410"/>
      <c r="AP37" s="3042"/>
      <c r="AQ37" s="3043"/>
      <c r="AR37" s="7"/>
      <c r="AS37" s="410"/>
      <c r="AT37" s="3042"/>
      <c r="AU37" s="3043"/>
      <c r="AV37" s="7"/>
      <c r="AW37" s="410"/>
      <c r="AX37" s="3042"/>
      <c r="AY37" s="3043"/>
      <c r="AZ37" s="7"/>
      <c r="BA37" s="410"/>
      <c r="BB37" s="7"/>
      <c r="BC37" s="410"/>
      <c r="BD37" s="7"/>
      <c r="BE37" s="410"/>
      <c r="BF37" s="26"/>
      <c r="BG37" s="26"/>
      <c r="BH37" s="26"/>
      <c r="BI37" s="26"/>
      <c r="BJ37" s="26"/>
    </row>
    <row r="38" spans="1:62" x14ac:dyDescent="0.3">
      <c r="B38" s="6427" t="s">
        <v>394</v>
      </c>
      <c r="C38" s="87" t="s">
        <v>393</v>
      </c>
      <c r="D38" s="6398"/>
      <c r="E38" s="272">
        <v>9374.7000000000007</v>
      </c>
      <c r="F38" s="6398"/>
      <c r="G38" s="272">
        <v>10154.1</v>
      </c>
      <c r="H38" s="6433"/>
      <c r="I38" s="411">
        <f>+E38+G38</f>
        <v>19528.800000000003</v>
      </c>
      <c r="J38" s="6398"/>
      <c r="K38" s="272">
        <v>11468.4</v>
      </c>
      <c r="L38" s="6404"/>
      <c r="M38" s="420">
        <f>E38+G38+K38</f>
        <v>30997.200000000004</v>
      </c>
      <c r="N38" s="6398"/>
      <c r="O38" s="272">
        <v>12012.4</v>
      </c>
      <c r="P38" s="6401"/>
      <c r="Q38" s="411">
        <f>+M38+O38</f>
        <v>43009.600000000006</v>
      </c>
      <c r="R38" s="6398"/>
      <c r="S38" s="272">
        <v>11673</v>
      </c>
      <c r="T38" s="6401"/>
      <c r="U38" s="411">
        <f>+Q38+S38</f>
        <v>54682.600000000006</v>
      </c>
      <c r="V38" s="6398"/>
      <c r="W38" s="272">
        <v>11383.6</v>
      </c>
      <c r="X38" s="6404"/>
      <c r="Y38" s="420">
        <f t="shared" ref="Y38" si="113">+O38+S38+W38</f>
        <v>35069</v>
      </c>
      <c r="Z38" s="6408"/>
      <c r="AA38" s="502">
        <f>M38+Y38</f>
        <v>66066.200000000012</v>
      </c>
      <c r="AB38" s="6398"/>
      <c r="AC38" s="272">
        <v>10642.9</v>
      </c>
      <c r="AD38" s="6401"/>
      <c r="AE38" s="411">
        <f>+AA38+AC38</f>
        <v>76709.100000000006</v>
      </c>
      <c r="AF38" s="6398"/>
      <c r="AG38" s="272">
        <v>11708.9</v>
      </c>
      <c r="AH38" s="6401"/>
      <c r="AI38" s="411">
        <f>+AE38+AG38</f>
        <v>88418</v>
      </c>
      <c r="AJ38" s="6398"/>
      <c r="AK38" s="272">
        <v>11445.4</v>
      </c>
      <c r="AL38" s="6404"/>
      <c r="AM38" s="420">
        <f t="shared" ref="AM38" si="114">+AC38+AG38+AK38</f>
        <v>33797.199999999997</v>
      </c>
      <c r="AN38" s="6401"/>
      <c r="AO38" s="411">
        <f>+AI38+AK38</f>
        <v>99863.4</v>
      </c>
      <c r="AP38" s="6398"/>
      <c r="AQ38" s="272">
        <v>10577.7</v>
      </c>
      <c r="AR38" s="6401"/>
      <c r="AS38" s="411">
        <f>+AO38+AQ38</f>
        <v>110441.09999999999</v>
      </c>
      <c r="AT38" s="6398"/>
      <c r="AU38" s="272">
        <v>9685.7000000000007</v>
      </c>
      <c r="AV38" s="6401"/>
      <c r="AW38" s="411">
        <f>+AS38+AU38</f>
        <v>120126.79999999999</v>
      </c>
      <c r="AX38" s="6398"/>
      <c r="AY38" s="272">
        <v>10958.7</v>
      </c>
      <c r="AZ38" s="6404"/>
      <c r="BA38" s="420">
        <f t="shared" ref="BA38" si="115">+AQ38+AU38+AY38</f>
        <v>31222.100000000002</v>
      </c>
      <c r="BB38" s="6408"/>
      <c r="BC38" s="709">
        <f t="shared" ref="BC38" si="116">+AM38+BA38</f>
        <v>65019.3</v>
      </c>
      <c r="BD38" s="6401"/>
      <c r="BE38" s="411">
        <f>+AW38+AY38</f>
        <v>131085.5</v>
      </c>
      <c r="BF38" s="528"/>
      <c r="BG38" s="528"/>
      <c r="BH38" s="26"/>
      <c r="BI38" s="26"/>
      <c r="BJ38" s="26"/>
    </row>
    <row r="39" spans="1:62" ht="15" thickBot="1" x14ac:dyDescent="0.35">
      <c r="B39" s="6423"/>
      <c r="C39" s="19" t="s">
        <v>381</v>
      </c>
      <c r="D39" s="6399"/>
      <c r="E39" s="676">
        <f>+E38/E$3/24</f>
        <v>13.020416666666668</v>
      </c>
      <c r="F39" s="6399"/>
      <c r="G39" s="676">
        <f>+G38/G$3/24</f>
        <v>13.647983870967742</v>
      </c>
      <c r="H39" s="6402"/>
      <c r="I39" s="412">
        <f>+I38/I$3/24</f>
        <v>13.339344262295084</v>
      </c>
      <c r="J39" s="6399"/>
      <c r="K39" s="676">
        <f>+K38/K$3/24</f>
        <v>15.928333333333333</v>
      </c>
      <c r="L39" s="6405"/>
      <c r="M39" s="421">
        <f>+M38/M$3/24</f>
        <v>14.192857142857145</v>
      </c>
      <c r="N39" s="6399"/>
      <c r="O39" s="676">
        <f>+O38/O$3/24</f>
        <v>16.145698924731182</v>
      </c>
      <c r="P39" s="6402"/>
      <c r="Q39" s="412">
        <f>+Q38/Q$3/24</f>
        <v>14.689071038251369</v>
      </c>
      <c r="R39" s="6399"/>
      <c r="S39" s="676">
        <f>+S38/S$3/24</f>
        <v>15.689516129032258</v>
      </c>
      <c r="T39" s="6402"/>
      <c r="U39" s="412">
        <f>+U38/U$3/24</f>
        <v>14.891775599128541</v>
      </c>
      <c r="V39" s="6399"/>
      <c r="W39" s="676">
        <f>+W38/W$3/24</f>
        <v>15.810555555555554</v>
      </c>
      <c r="X39" s="6405"/>
      <c r="Y39" s="421">
        <f>+Y38/Y$3/24</f>
        <v>15.882699275362318</v>
      </c>
      <c r="Z39" s="6409"/>
      <c r="AA39" s="503">
        <f>+AA38/AA$3/24</f>
        <v>15.042395264116578</v>
      </c>
      <c r="AB39" s="6399"/>
      <c r="AC39" s="676">
        <f>+AC38/AC$3/24</f>
        <v>14.30497311827957</v>
      </c>
      <c r="AD39" s="6402"/>
      <c r="AE39" s="412">
        <f>+AE38/AE$3/24</f>
        <v>14.935572429906543</v>
      </c>
      <c r="AF39" s="6399"/>
      <c r="AG39" s="676">
        <f>+AG38/AG$3/24</f>
        <v>16.262361111111112</v>
      </c>
      <c r="AH39" s="6402"/>
      <c r="AI39" s="412">
        <f>+AI38/AI$3/24</f>
        <v>15.09870218579235</v>
      </c>
      <c r="AJ39" s="6399"/>
      <c r="AK39" s="676">
        <f>+AK38/AK$3/24</f>
        <v>15.383602150537634</v>
      </c>
      <c r="AL39" s="6405"/>
      <c r="AM39" s="421">
        <f>+AM38/AM$3/24</f>
        <v>15.306702898550723</v>
      </c>
      <c r="AN39" s="6402"/>
      <c r="AO39" s="412">
        <f>+AO38/AO$3/24</f>
        <v>15.13081818181818</v>
      </c>
      <c r="AP39" s="6399"/>
      <c r="AQ39" s="676">
        <f>+AQ38/AQ$3/24</f>
        <v>14.217338709677421</v>
      </c>
      <c r="AR39" s="6402"/>
      <c r="AS39" s="412">
        <f>+AS38/AS$3/24</f>
        <v>15.038276143790847</v>
      </c>
      <c r="AT39" s="6399"/>
      <c r="AU39" s="676">
        <f>+AU38/AU$3/24</f>
        <v>14.413244047619047</v>
      </c>
      <c r="AV39" s="6402"/>
      <c r="AW39" s="412">
        <f>+AW38/AW$3/24</f>
        <v>14.985878243512973</v>
      </c>
      <c r="AX39" s="6399"/>
      <c r="AY39" s="676">
        <f>+AY38/AY$3/24</f>
        <v>14.72943548387097</v>
      </c>
      <c r="AZ39" s="6405"/>
      <c r="BA39" s="421">
        <f>+BA38/BA$3/24</f>
        <v>14.454675925925926</v>
      </c>
      <c r="BB39" s="6409"/>
      <c r="BC39" s="503">
        <f>+BC38/BC$3/24</f>
        <v>14.885370879120879</v>
      </c>
      <c r="BD39" s="6402"/>
      <c r="BE39" s="412">
        <f>+BE38/BE$3/24</f>
        <v>14.96409817351598</v>
      </c>
      <c r="BF39" s="528"/>
      <c r="BG39" s="528"/>
      <c r="BH39" s="26"/>
      <c r="BI39" s="26"/>
      <c r="BJ39" s="26"/>
    </row>
    <row r="40" spans="1:62" x14ac:dyDescent="0.3">
      <c r="B40" s="6423" t="s">
        <v>395</v>
      </c>
      <c r="C40" s="18" t="s">
        <v>393</v>
      </c>
      <c r="D40" s="6399"/>
      <c r="E40" s="178">
        <v>9841.6</v>
      </c>
      <c r="F40" s="6399"/>
      <c r="G40" s="178">
        <v>10534.9</v>
      </c>
      <c r="H40" s="6402"/>
      <c r="I40" s="364">
        <f>+E40+G40</f>
        <v>20376.5</v>
      </c>
      <c r="J40" s="6399"/>
      <c r="K40" s="178">
        <v>11245.4</v>
      </c>
      <c r="L40" s="6405"/>
      <c r="M40" s="420">
        <f>E40+G40+K40</f>
        <v>31621.9</v>
      </c>
      <c r="N40" s="6399"/>
      <c r="O40" s="178">
        <v>12133.5</v>
      </c>
      <c r="P40" s="6402"/>
      <c r="Q40" s="364">
        <f>+M40+O40</f>
        <v>43755.4</v>
      </c>
      <c r="R40" s="6399"/>
      <c r="S40" s="178">
        <v>11836.7</v>
      </c>
      <c r="T40" s="6402"/>
      <c r="U40" s="364">
        <f>+Q40+S40</f>
        <v>55592.100000000006</v>
      </c>
      <c r="V40" s="6399"/>
      <c r="W40" s="178">
        <v>11243.3</v>
      </c>
      <c r="X40" s="6405"/>
      <c r="Y40" s="422">
        <f t="shared" ref="Y40" si="117">+O40+S40+W40</f>
        <v>35213.5</v>
      </c>
      <c r="Z40" s="6409"/>
      <c r="AA40" s="502">
        <f>M40+Y40</f>
        <v>66835.399999999994</v>
      </c>
      <c r="AB40" s="6399"/>
      <c r="AC40" s="178">
        <v>10538.6</v>
      </c>
      <c r="AD40" s="6402"/>
      <c r="AE40" s="364">
        <f>+AA40+AC40</f>
        <v>77374</v>
      </c>
      <c r="AF40" s="6399"/>
      <c r="AG40" s="178">
        <v>10998</v>
      </c>
      <c r="AH40" s="6402"/>
      <c r="AI40" s="364">
        <f>+AE40+AG40</f>
        <v>88372</v>
      </c>
      <c r="AJ40" s="6399"/>
      <c r="AK40" s="178">
        <v>10711.7</v>
      </c>
      <c r="AL40" s="6405"/>
      <c r="AM40" s="422">
        <f t="shared" ref="AM40" si="118">+AC40+AG40+AK40</f>
        <v>32248.3</v>
      </c>
      <c r="AN40" s="6402"/>
      <c r="AO40" s="364">
        <f>+AI40+AK40</f>
        <v>99083.7</v>
      </c>
      <c r="AP40" s="6399"/>
      <c r="AQ40" s="178">
        <v>10307.6</v>
      </c>
      <c r="AR40" s="6402"/>
      <c r="AS40" s="364">
        <f>+AO40+AQ40</f>
        <v>109391.3</v>
      </c>
      <c r="AT40" s="6399"/>
      <c r="AU40" s="178">
        <v>9783.4</v>
      </c>
      <c r="AV40" s="6402"/>
      <c r="AW40" s="364">
        <f>+AS40+AU40</f>
        <v>119174.7</v>
      </c>
      <c r="AX40" s="6399"/>
      <c r="AY40" s="178">
        <v>10080.799999999999</v>
      </c>
      <c r="AZ40" s="6405"/>
      <c r="BA40" s="422">
        <f t="shared" ref="BA40" si="119">+AQ40+AU40+AY40</f>
        <v>30171.8</v>
      </c>
      <c r="BB40" s="6409"/>
      <c r="BC40" s="709">
        <f t="shared" ref="BC40" si="120">+AM40+BA40</f>
        <v>62420.1</v>
      </c>
      <c r="BD40" s="6402"/>
      <c r="BE40" s="364">
        <f>+AW40+AY40</f>
        <v>129255.5</v>
      </c>
      <c r="BF40" s="528"/>
      <c r="BG40" s="528"/>
      <c r="BH40" s="26"/>
      <c r="BI40" s="26"/>
      <c r="BJ40" s="26"/>
    </row>
    <row r="41" spans="1:62" ht="15" thickBot="1" x14ac:dyDescent="0.35">
      <c r="B41" s="6423"/>
      <c r="C41" s="19" t="s">
        <v>381</v>
      </c>
      <c r="D41" s="6399"/>
      <c r="E41" s="676">
        <f>+E40/E$3/24</f>
        <v>13.668888888888889</v>
      </c>
      <c r="F41" s="6399"/>
      <c r="G41" s="676">
        <f>+G40/G$3/24</f>
        <v>14.159811827956988</v>
      </c>
      <c r="H41" s="6402"/>
      <c r="I41" s="412">
        <f>+I40/I$3/24</f>
        <v>13.918374316939891</v>
      </c>
      <c r="J41" s="6399"/>
      <c r="K41" s="676">
        <f>+K40/K$3/24</f>
        <v>15.618611111111109</v>
      </c>
      <c r="L41" s="6405"/>
      <c r="M41" s="421">
        <f>+M40/M$3/24</f>
        <v>14.478891941391943</v>
      </c>
      <c r="N41" s="6399"/>
      <c r="O41" s="676">
        <f>+O40/O$3/24</f>
        <v>16.308467741935484</v>
      </c>
      <c r="P41" s="6402"/>
      <c r="Q41" s="412">
        <f>+Q40/Q$3/24</f>
        <v>14.943784153005465</v>
      </c>
      <c r="R41" s="6399"/>
      <c r="S41" s="676">
        <f>+S40/S$3/24</f>
        <v>15.909543010752691</v>
      </c>
      <c r="T41" s="6402"/>
      <c r="U41" s="412">
        <f>+U40/U$3/24</f>
        <v>15.139460784313727</v>
      </c>
      <c r="V41" s="6399"/>
      <c r="W41" s="676">
        <f>+W40/W$3/24</f>
        <v>15.615694444444443</v>
      </c>
      <c r="X41" s="6405"/>
      <c r="Y41" s="421">
        <f>+Y40/Y$3/24</f>
        <v>15.948143115942029</v>
      </c>
      <c r="Z41" s="6409"/>
      <c r="AA41" s="503">
        <f>+AA40/AA$3/24</f>
        <v>15.217531876138432</v>
      </c>
      <c r="AB41" s="6399"/>
      <c r="AC41" s="676">
        <f>+AC40/AC$3/24</f>
        <v>14.164784946236558</v>
      </c>
      <c r="AD41" s="6402"/>
      <c r="AE41" s="412">
        <f>+AE40/AE$3/24</f>
        <v>15.065031152647975</v>
      </c>
      <c r="AF41" s="6399"/>
      <c r="AG41" s="676">
        <f>+AG40/AG$3/24</f>
        <v>15.275</v>
      </c>
      <c r="AH41" s="6402"/>
      <c r="AI41" s="412">
        <f>+AI40/AI$3/24</f>
        <v>15.09084699453552</v>
      </c>
      <c r="AJ41" s="6399"/>
      <c r="AK41" s="676">
        <f>+AK40/AK$3/24</f>
        <v>14.397446236559141</v>
      </c>
      <c r="AL41" s="6405"/>
      <c r="AM41" s="421">
        <f>+AM40/AM$3/24</f>
        <v>14.605208333333332</v>
      </c>
      <c r="AN41" s="6402"/>
      <c r="AO41" s="412">
        <f>+AO40/AO$3/24</f>
        <v>15.012681818181818</v>
      </c>
      <c r="AP41" s="6399"/>
      <c r="AQ41" s="676">
        <f>+AQ40/AQ$3/24</f>
        <v>13.854301075268816</v>
      </c>
      <c r="AR41" s="6402"/>
      <c r="AS41" s="412">
        <f>+AS40/AS$3/24</f>
        <v>14.895329520697167</v>
      </c>
      <c r="AT41" s="6399"/>
      <c r="AU41" s="676">
        <f>+AU40/AU$3/24</f>
        <v>14.558630952380952</v>
      </c>
      <c r="AV41" s="6402"/>
      <c r="AW41" s="412">
        <f>+AW40/AW$3/24</f>
        <v>14.867103293413173</v>
      </c>
      <c r="AX41" s="6399"/>
      <c r="AY41" s="676">
        <f>+AY40/AY$3/24</f>
        <v>13.549462365591397</v>
      </c>
      <c r="AZ41" s="6405"/>
      <c r="BA41" s="421">
        <f>+BA40/BA$3/24</f>
        <v>13.968425925925926</v>
      </c>
      <c r="BB41" s="6409"/>
      <c r="BC41" s="503">
        <f>+BC40/BC$3/24</f>
        <v>14.290315934065935</v>
      </c>
      <c r="BD41" s="6402"/>
      <c r="BE41" s="412">
        <f>+BE40/BE$3/24</f>
        <v>14.755194063926941</v>
      </c>
      <c r="BF41" s="528"/>
      <c r="BG41" s="528"/>
      <c r="BH41" s="26"/>
      <c r="BI41" s="26"/>
      <c r="BJ41" s="26"/>
    </row>
    <row r="42" spans="1:62" x14ac:dyDescent="0.3">
      <c r="B42" s="6423" t="s">
        <v>396</v>
      </c>
      <c r="C42" s="18" t="s">
        <v>393</v>
      </c>
      <c r="D42" s="6399"/>
      <c r="E42" s="178">
        <v>164.9</v>
      </c>
      <c r="F42" s="6399"/>
      <c r="G42" s="178">
        <v>3121.7</v>
      </c>
      <c r="H42" s="6402"/>
      <c r="I42" s="364">
        <f>+E42+G42</f>
        <v>3286.6</v>
      </c>
      <c r="J42" s="6399"/>
      <c r="K42" s="178">
        <v>5106.3</v>
      </c>
      <c r="L42" s="6405"/>
      <c r="M42" s="420">
        <f>E42+G42+K42</f>
        <v>8392.9</v>
      </c>
      <c r="N42" s="6399"/>
      <c r="O42" s="178">
        <v>6393.4</v>
      </c>
      <c r="P42" s="6402"/>
      <c r="Q42" s="364">
        <f>+M42+O42</f>
        <v>14786.3</v>
      </c>
      <c r="R42" s="6399"/>
      <c r="S42" s="178">
        <v>6200.4</v>
      </c>
      <c r="T42" s="6402"/>
      <c r="U42" s="364">
        <f>+Q42+S42</f>
        <v>20986.699999999997</v>
      </c>
      <c r="V42" s="6399"/>
      <c r="W42" s="178">
        <v>5223.8999999999996</v>
      </c>
      <c r="X42" s="6405"/>
      <c r="Y42" s="422">
        <f t="shared" ref="Y42" si="121">+O42+S42+W42</f>
        <v>17817.699999999997</v>
      </c>
      <c r="Z42" s="6409"/>
      <c r="AA42" s="502">
        <f>M42+Y42</f>
        <v>26210.6</v>
      </c>
      <c r="AB42" s="6399"/>
      <c r="AC42" s="178">
        <v>5468.1</v>
      </c>
      <c r="AD42" s="6402"/>
      <c r="AE42" s="364">
        <f>+AA42+AC42</f>
        <v>31678.699999999997</v>
      </c>
      <c r="AF42" s="6399"/>
      <c r="AG42" s="178">
        <v>5732.7</v>
      </c>
      <c r="AH42" s="6402"/>
      <c r="AI42" s="364">
        <f>+AE42+AG42</f>
        <v>37411.399999999994</v>
      </c>
      <c r="AJ42" s="6399"/>
      <c r="AK42" s="178">
        <v>5340</v>
      </c>
      <c r="AL42" s="6405"/>
      <c r="AM42" s="422">
        <f t="shared" ref="AM42" si="122">+AC42+AG42+AK42</f>
        <v>16540.8</v>
      </c>
      <c r="AN42" s="6402"/>
      <c r="AO42" s="364">
        <f>+AI42+AK42</f>
        <v>42751.399999999994</v>
      </c>
      <c r="AP42" s="6399"/>
      <c r="AQ42" s="178">
        <v>5134.6000000000004</v>
      </c>
      <c r="AR42" s="6402"/>
      <c r="AS42" s="364">
        <f>+AO42+AQ42</f>
        <v>47885.999999999993</v>
      </c>
      <c r="AT42" s="6399"/>
      <c r="AU42" s="178">
        <v>1726.6</v>
      </c>
      <c r="AV42" s="6402"/>
      <c r="AW42" s="364">
        <f>+AS42+AU42</f>
        <v>49612.599999999991</v>
      </c>
      <c r="AX42" s="6399"/>
      <c r="AY42" s="178">
        <v>5029.3999999999996</v>
      </c>
      <c r="AZ42" s="6405"/>
      <c r="BA42" s="422">
        <f t="shared" ref="BA42" si="123">+AQ42+AU42+AY42</f>
        <v>11890.6</v>
      </c>
      <c r="BB42" s="6409"/>
      <c r="BC42" s="709">
        <f t="shared" ref="BC42" si="124">+AM42+BA42</f>
        <v>28431.4</v>
      </c>
      <c r="BD42" s="6402"/>
      <c r="BE42" s="364">
        <f>+AW42+AY42</f>
        <v>54641.999999999993</v>
      </c>
      <c r="BF42" s="528"/>
      <c r="BG42" s="528"/>
      <c r="BH42" s="26"/>
      <c r="BI42" s="26"/>
      <c r="BJ42" s="26"/>
    </row>
    <row r="43" spans="1:62" ht="15" thickBot="1" x14ac:dyDescent="0.35">
      <c r="B43" s="6424"/>
      <c r="C43" s="20" t="s">
        <v>381</v>
      </c>
      <c r="D43" s="6400"/>
      <c r="E43" s="676">
        <f>+E42/E$3/24</f>
        <v>0.2290277777777778</v>
      </c>
      <c r="F43" s="6400"/>
      <c r="G43" s="676">
        <f>+G42/G$3/24</f>
        <v>4.1958333333333329</v>
      </c>
      <c r="H43" s="6402"/>
      <c r="I43" s="412">
        <f>+I42/I$3/24</f>
        <v>2.2449453551912568</v>
      </c>
      <c r="J43" s="6400"/>
      <c r="K43" s="676">
        <f>+K42/K$3/24</f>
        <v>7.092083333333334</v>
      </c>
      <c r="L43" s="6405"/>
      <c r="M43" s="421">
        <f>+M42/M$3/24</f>
        <v>3.8429029304029303</v>
      </c>
      <c r="N43" s="6400"/>
      <c r="O43" s="676">
        <f>+O42/O$3/24</f>
        <v>8.5932795698924718</v>
      </c>
      <c r="P43" s="6402"/>
      <c r="Q43" s="412">
        <f>+Q42/Q$3/24</f>
        <v>5.0499658469945352</v>
      </c>
      <c r="R43" s="6400"/>
      <c r="S43" s="676">
        <f>+S42/S$3/24</f>
        <v>8.3338709677419356</v>
      </c>
      <c r="T43" s="6402"/>
      <c r="U43" s="412">
        <f>+U42/U$3/24</f>
        <v>5.7153322440087138</v>
      </c>
      <c r="V43" s="6400"/>
      <c r="W43" s="676">
        <f>+W42/W$3/24</f>
        <v>7.2554166666666662</v>
      </c>
      <c r="X43" s="6405"/>
      <c r="Y43" s="421">
        <f>+Y42/Y$3/24</f>
        <v>8.0696105072463755</v>
      </c>
      <c r="Z43" s="6409"/>
      <c r="AA43" s="503">
        <f>+AA42/AA$3/24</f>
        <v>5.9678051001821482</v>
      </c>
      <c r="AB43" s="6400"/>
      <c r="AC43" s="676">
        <f>+AC42/AC$3/24</f>
        <v>7.3495967741935493</v>
      </c>
      <c r="AD43" s="6402"/>
      <c r="AE43" s="412">
        <f>+AE42/AE$3/24</f>
        <v>6.1679711838006233</v>
      </c>
      <c r="AF43" s="6400"/>
      <c r="AG43" s="676">
        <f>+AG42/AG$3/24</f>
        <v>7.9620833333333332</v>
      </c>
      <c r="AH43" s="6402"/>
      <c r="AI43" s="412">
        <f>+AI42/AI$3/24</f>
        <v>6.3885587431693978</v>
      </c>
      <c r="AJ43" s="6400"/>
      <c r="AK43" s="676">
        <f>+AK42/AK$3/24</f>
        <v>7.1774193548387091</v>
      </c>
      <c r="AL43" s="6405"/>
      <c r="AM43" s="421">
        <f>+AM42/AM$3/24</f>
        <v>7.4913043478260866</v>
      </c>
      <c r="AN43" s="6402"/>
      <c r="AO43" s="412">
        <f>+AO42/AO$3/24</f>
        <v>6.4774848484848482</v>
      </c>
      <c r="AP43" s="6400"/>
      <c r="AQ43" s="676">
        <f>+AQ42/AQ$3/24</f>
        <v>6.9013440860215063</v>
      </c>
      <c r="AR43" s="6402"/>
      <c r="AS43" s="412">
        <f>+AS42/AS$3/24</f>
        <v>6.5204248366013067</v>
      </c>
      <c r="AT43" s="6400"/>
      <c r="AU43" s="676">
        <f>+AU42/AU$3/24</f>
        <v>2.569345238095238</v>
      </c>
      <c r="AV43" s="6402"/>
      <c r="AW43" s="412">
        <f>+AW42/AW$3/24</f>
        <v>6.1891966067864255</v>
      </c>
      <c r="AX43" s="6400"/>
      <c r="AY43" s="676">
        <f>+AY42/AY$3/24</f>
        <v>6.7599462365591387</v>
      </c>
      <c r="AZ43" s="6405"/>
      <c r="BA43" s="421">
        <f>+BA42/BA$3/24</f>
        <v>5.5049074074074076</v>
      </c>
      <c r="BB43" s="6409"/>
      <c r="BC43" s="503">
        <f>+BC42/BC$3/24</f>
        <v>6.5090201465201467</v>
      </c>
      <c r="BD43" s="6402"/>
      <c r="BE43" s="412">
        <f>+BE42/BE$3/24</f>
        <v>6.2376712328767114</v>
      </c>
      <c r="BF43" s="528"/>
      <c r="BG43" s="528"/>
      <c r="BH43" s="26"/>
      <c r="BI43" s="26"/>
      <c r="BJ43" s="26"/>
    </row>
    <row r="44" spans="1:62" ht="18" x14ac:dyDescent="0.3">
      <c r="B44" s="6429" t="s">
        <v>459</v>
      </c>
      <c r="C44" s="34" t="s">
        <v>393</v>
      </c>
      <c r="D44" s="955">
        <f>+D45*D3*24</f>
        <v>23630.129918861181</v>
      </c>
      <c r="E44" s="404">
        <f>+E38+E40+E42</f>
        <v>19381.200000000004</v>
      </c>
      <c r="F44" s="955">
        <f>+F45*F3*24</f>
        <v>26950.27880564905</v>
      </c>
      <c r="G44" s="404">
        <f>+G38+G40+G42</f>
        <v>23810.7</v>
      </c>
      <c r="H44" s="669">
        <f>+D44+F44</f>
        <v>50580.408724510227</v>
      </c>
      <c r="I44" s="413">
        <f>+E44+G44</f>
        <v>43191.900000000009</v>
      </c>
      <c r="J44" s="955">
        <f>+J45*J3*24</f>
        <v>25981.979727601378</v>
      </c>
      <c r="K44" s="404">
        <f>+K38+K40+K42</f>
        <v>27820.1</v>
      </c>
      <c r="L44" s="692">
        <f>D44+F44+J44</f>
        <v>76562.388452111598</v>
      </c>
      <c r="M44" s="423">
        <f>M38+M40+M42</f>
        <v>71012</v>
      </c>
      <c r="N44" s="955">
        <f>+N45*N3*24</f>
        <v>27117.180038833758</v>
      </c>
      <c r="O44" s="404">
        <f>+O38+O40+O42</f>
        <v>30539.300000000003</v>
      </c>
      <c r="P44" s="669">
        <f>+L44+N44</f>
        <v>103679.56849094536</v>
      </c>
      <c r="Q44" s="413">
        <f>+M44+O44</f>
        <v>101551.3</v>
      </c>
      <c r="R44" s="955">
        <f>+R45*R3*24</f>
        <v>26603.2684598864</v>
      </c>
      <c r="S44" s="404">
        <f>+S38+S40+S42</f>
        <v>29710.1</v>
      </c>
      <c r="T44" s="669">
        <f>+P44+R44</f>
        <v>130282.83695083176</v>
      </c>
      <c r="U44" s="413">
        <f>+Q44+S44</f>
        <v>131261.4</v>
      </c>
      <c r="V44" s="955">
        <f>+V45*V3*24</f>
        <v>21383.789432978727</v>
      </c>
      <c r="W44" s="404">
        <f>+W38+W40+W42</f>
        <v>27850.800000000003</v>
      </c>
      <c r="X44" s="692">
        <f t="shared" ref="X44" si="125">+N44+R44+V44</f>
        <v>75104.237931698881</v>
      </c>
      <c r="Y44" s="423">
        <f>Y38+Y40+Y42</f>
        <v>88100.2</v>
      </c>
      <c r="Z44" s="956">
        <f>L44+X44</f>
        <v>151666.62638381048</v>
      </c>
      <c r="AA44" s="505">
        <f>M44+Y44</f>
        <v>159112.20000000001</v>
      </c>
      <c r="AB44" s="955">
        <f>+AB45*AB3*24</f>
        <v>26626.163478279537</v>
      </c>
      <c r="AC44" s="404">
        <f>+AC38+AC40+AC42</f>
        <v>26649.599999999999</v>
      </c>
      <c r="AD44" s="669">
        <f>+Z44+AB44</f>
        <v>178292.78986209002</v>
      </c>
      <c r="AE44" s="413">
        <f>+AA44+AC44</f>
        <v>185761.80000000002</v>
      </c>
      <c r="AF44" s="955">
        <f>+AF45*AF3*24</f>
        <v>18860.256185642058</v>
      </c>
      <c r="AG44" s="404">
        <f>+AG38+AG40+AG42</f>
        <v>28439.600000000002</v>
      </c>
      <c r="AH44" s="669">
        <f>+AD44+AF44</f>
        <v>197153.04604773209</v>
      </c>
      <c r="AI44" s="413">
        <f>+AE44+AG44</f>
        <v>214201.40000000002</v>
      </c>
      <c r="AJ44" s="955">
        <f>+AJ45*AJ3*24</f>
        <v>19476.370958590633</v>
      </c>
      <c r="AK44" s="404">
        <f>+AK38+AK40+AK42</f>
        <v>27497.1</v>
      </c>
      <c r="AL44" s="692">
        <f t="shared" ref="AL44" si="126">+AB44+AF44+AJ44</f>
        <v>64962.790622512228</v>
      </c>
      <c r="AM44" s="423">
        <f>AM38+AM40+AM42</f>
        <v>82586.3</v>
      </c>
      <c r="AN44" s="669">
        <f>+AH44+AJ44</f>
        <v>216629.41700632271</v>
      </c>
      <c r="AO44" s="413">
        <f>+AI44+AK44</f>
        <v>241698.50000000003</v>
      </c>
      <c r="AP44" s="955">
        <f>+AP45*AP3*24</f>
        <v>18780.020995829822</v>
      </c>
      <c r="AQ44" s="404">
        <f>+AQ38+AQ40+AQ42</f>
        <v>26019.9</v>
      </c>
      <c r="AR44" s="669">
        <f>+AN44+AP44</f>
        <v>235409.43800215254</v>
      </c>
      <c r="AS44" s="413">
        <f>+AO44+AQ44</f>
        <v>267718.40000000002</v>
      </c>
      <c r="AT44" s="955">
        <f>+AT45*AT3*24</f>
        <v>17326.016885819503</v>
      </c>
      <c r="AU44" s="404">
        <f>+AU38+AU40+AU42</f>
        <v>21195.699999999997</v>
      </c>
      <c r="AV44" s="669">
        <f>+AR44+AT44</f>
        <v>252735.45488797204</v>
      </c>
      <c r="AW44" s="413">
        <f>+AS44+AU44</f>
        <v>288914.10000000003</v>
      </c>
      <c r="AX44" s="955">
        <f>+AX45*AX3*24</f>
        <v>25674.840090383281</v>
      </c>
      <c r="AY44" s="404">
        <f>+AY38+AY40+AY42</f>
        <v>26068.9</v>
      </c>
      <c r="AZ44" s="692">
        <f t="shared" ref="AZ44" si="127">+AP44+AT44+AX44</f>
        <v>61780.877972032606</v>
      </c>
      <c r="BA44" s="423">
        <f>BA38+BA40+BA42</f>
        <v>73284.5</v>
      </c>
      <c r="BB44" s="956">
        <f>AL44+AZ44</f>
        <v>126743.66859454484</v>
      </c>
      <c r="BC44" s="505">
        <f>AM44+BA44</f>
        <v>155870.79999999999</v>
      </c>
      <c r="BD44" s="669">
        <f>+AV44+AX44</f>
        <v>278410.29497835529</v>
      </c>
      <c r="BE44" s="413">
        <f>+AW44+AY44</f>
        <v>314983.00000000006</v>
      </c>
      <c r="BF44" s="528"/>
      <c r="BG44" s="528"/>
      <c r="BH44" s="26"/>
      <c r="BI44" s="26"/>
      <c r="BJ44" s="26"/>
    </row>
    <row r="45" spans="1:62" ht="18" thickBot="1" x14ac:dyDescent="0.35">
      <c r="B45" s="6430"/>
      <c r="C45" s="21" t="s">
        <v>381</v>
      </c>
      <c r="D45" s="959">
        <v>32.819624887307199</v>
      </c>
      <c r="E45" s="403">
        <f>+E44/E$3/24</f>
        <v>26.91833333333334</v>
      </c>
      <c r="F45" s="959">
        <v>36.223493018345501</v>
      </c>
      <c r="G45" s="403">
        <f>+G44/G$3/24</f>
        <v>32.003629032258068</v>
      </c>
      <c r="H45" s="957">
        <f>+H44/(H3*24)</f>
        <v>34.549459511277476</v>
      </c>
      <c r="I45" s="414">
        <f>+I44/I$3/24</f>
        <v>29.502663934426238</v>
      </c>
      <c r="J45" s="959">
        <v>36.086082955001913</v>
      </c>
      <c r="K45" s="403">
        <f>+K44/K$3/24</f>
        <v>38.639027777777777</v>
      </c>
      <c r="L45" s="958">
        <f>+L44/(L3*24)</f>
        <v>35.056038668549263</v>
      </c>
      <c r="M45" s="424">
        <f>+M44/M$3/24</f>
        <v>32.514652014652015</v>
      </c>
      <c r="N45" s="959">
        <v>36.447822632841074</v>
      </c>
      <c r="O45" s="403">
        <f>+O44/O$3/24</f>
        <v>41.047446236559146</v>
      </c>
      <c r="P45" s="957">
        <f>+P44/(P3*24)</f>
        <v>35.409688692262755</v>
      </c>
      <c r="Q45" s="414">
        <f>+Q44/Q$3/24</f>
        <v>34.682821038251369</v>
      </c>
      <c r="R45" s="959">
        <v>35.757081263288171</v>
      </c>
      <c r="S45" s="403">
        <f>+S44/S$3/24</f>
        <v>39.932930107526879</v>
      </c>
      <c r="T45" s="957">
        <f>+T44/(T3*24)</f>
        <v>35.480075422339802</v>
      </c>
      <c r="U45" s="414">
        <f>+U44/U$3/24</f>
        <v>35.746568627450976</v>
      </c>
      <c r="V45" s="959">
        <v>29.699707545803786</v>
      </c>
      <c r="W45" s="403">
        <f>+W44/W$3/24</f>
        <v>38.681666666666672</v>
      </c>
      <c r="X45" s="958">
        <f>+X44/(X3*24)</f>
        <v>34.014600512544781</v>
      </c>
      <c r="Y45" s="424">
        <f>+Y44/(Y3*24)</f>
        <v>39.900452898550725</v>
      </c>
      <c r="Z45" s="960">
        <f>+Z44/(Z3*24)</f>
        <v>34.532474131104387</v>
      </c>
      <c r="AA45" s="506">
        <f>+AA44/AA$3/24</f>
        <v>36.227732240437163</v>
      </c>
      <c r="AB45" s="959">
        <v>35.7878541374725</v>
      </c>
      <c r="AC45" s="403">
        <f>+AC44/AC$3/24</f>
        <v>35.819354838709678</v>
      </c>
      <c r="AD45" s="957">
        <f>+AD44/(AD3*24)</f>
        <v>34.714328244176407</v>
      </c>
      <c r="AE45" s="414">
        <f>+AE44/AE$3/24</f>
        <v>36.168574766355142</v>
      </c>
      <c r="AF45" s="959">
        <v>26.194800257836192</v>
      </c>
      <c r="AG45" s="403">
        <f>+AG44/AG$3/24</f>
        <v>39.49944444444445</v>
      </c>
      <c r="AH45" s="957">
        <f>+AH44/(AH3*24)</f>
        <v>33.666845295036218</v>
      </c>
      <c r="AI45" s="414">
        <f>+AI44/AI$3/24</f>
        <v>36.578107923497271</v>
      </c>
      <c r="AJ45" s="959">
        <v>26.177917955094937</v>
      </c>
      <c r="AK45" s="403">
        <f>+AK44/AK$3/24</f>
        <v>36.958467741935486</v>
      </c>
      <c r="AL45" s="958">
        <f>+AL44/(AL3*24)</f>
        <v>29.421553723963871</v>
      </c>
      <c r="AM45" s="424">
        <f>+AM44/(AM3*24)</f>
        <v>37.40321557971015</v>
      </c>
      <c r="AN45" s="957">
        <f>+AN44/(AN3*24)</f>
        <v>32.822638940351922</v>
      </c>
      <c r="AO45" s="414">
        <f>+AO44/AO$3/24</f>
        <v>36.620984848484852</v>
      </c>
      <c r="AP45" s="959">
        <v>25.24196370407234</v>
      </c>
      <c r="AQ45" s="403">
        <f>+AQ44/AQ$3/24</f>
        <v>34.972983870967745</v>
      </c>
      <c r="AR45" s="957">
        <f>+AR44/(AR3*24)</f>
        <v>32.054662037330139</v>
      </c>
      <c r="AS45" s="414">
        <f>+AS44/AS$3/24</f>
        <v>36.454030501089328</v>
      </c>
      <c r="AT45" s="959">
        <v>25.782763222945686</v>
      </c>
      <c r="AU45" s="403">
        <f>+AU44/AU$3/24</f>
        <v>31.541220238095235</v>
      </c>
      <c r="AV45" s="957">
        <f>+AV44/(AV3*24)</f>
        <v>31.528874112770964</v>
      </c>
      <c r="AW45" s="2607">
        <f>+AW44/AW$3/24</f>
        <v>36.042178143712583</v>
      </c>
      <c r="AX45" s="959">
        <v>34.509193669870001</v>
      </c>
      <c r="AY45" s="403">
        <f>+AY44/AY$3/24</f>
        <v>35.038844086021506</v>
      </c>
      <c r="AZ45" s="958">
        <f>+AZ44/(AZ3*24)</f>
        <v>28.602258320385467</v>
      </c>
      <c r="BA45" s="424">
        <f>+BA44/(BA3*24)</f>
        <v>33.928009259259262</v>
      </c>
      <c r="BB45" s="960">
        <f>+BB44/(BB3*24)</f>
        <v>29.016407645271254</v>
      </c>
      <c r="BC45" s="506">
        <f>+BC44/BC$3/24</f>
        <v>35.684706959706958</v>
      </c>
      <c r="BD45" s="4431">
        <f>+BD44/(BD3*24)</f>
        <v>31.781997143647864</v>
      </c>
      <c r="BE45" s="2607">
        <f>+BE44/BE$3/24</f>
        <v>35.956963470319643</v>
      </c>
      <c r="BF45" s="528"/>
      <c r="BG45" s="528"/>
      <c r="BH45" s="26"/>
      <c r="BI45" s="26"/>
      <c r="BJ45" s="26"/>
    </row>
    <row r="46" spans="1:62" ht="15" customHeight="1" x14ac:dyDescent="0.3">
      <c r="B46" s="6428" t="s">
        <v>397</v>
      </c>
      <c r="C46" s="28" t="s">
        <v>393</v>
      </c>
      <c r="D46" s="961">
        <f>+D47*D3*24</f>
        <v>2400</v>
      </c>
      <c r="E46" s="405">
        <v>0</v>
      </c>
      <c r="F46" s="961">
        <f>+F47*F3*24</f>
        <v>2480</v>
      </c>
      <c r="G46" s="405">
        <v>1.8</v>
      </c>
      <c r="H46" s="753">
        <f>+D46+F46</f>
        <v>4880</v>
      </c>
      <c r="I46" s="364">
        <f>+E46+G46</f>
        <v>1.8</v>
      </c>
      <c r="J46" s="961">
        <f>+J47*J3*24</f>
        <v>2400</v>
      </c>
      <c r="K46" s="405">
        <v>0</v>
      </c>
      <c r="L46" s="754">
        <f>+H46+J46</f>
        <v>7280</v>
      </c>
      <c r="M46" s="422">
        <f>+I46+K46</f>
        <v>1.8</v>
      </c>
      <c r="N46" s="961">
        <f>+N47*N3*24</f>
        <v>2480</v>
      </c>
      <c r="O46" s="405">
        <v>0</v>
      </c>
      <c r="P46" s="753">
        <f>+L46+N46</f>
        <v>9760</v>
      </c>
      <c r="Q46" s="364">
        <f>+M46+O46</f>
        <v>1.8</v>
      </c>
      <c r="R46" s="961">
        <f>+R47*R3*24</f>
        <v>2480</v>
      </c>
      <c r="S46" s="405">
        <v>0</v>
      </c>
      <c r="T46" s="753">
        <f>+P46+R46</f>
        <v>12240</v>
      </c>
      <c r="U46" s="364">
        <f>+Q46+S46</f>
        <v>1.8</v>
      </c>
      <c r="V46" s="961">
        <f>+V47*V3*24</f>
        <v>2448</v>
      </c>
      <c r="W46" s="405">
        <v>0</v>
      </c>
      <c r="X46" s="754">
        <f t="shared" ref="X46" si="128">+N46+R46+V46</f>
        <v>7408</v>
      </c>
      <c r="Y46" s="422">
        <f t="shared" ref="Y46" si="129">+O46+S46+W46</f>
        <v>0</v>
      </c>
      <c r="Z46" s="756">
        <f>L46+X46</f>
        <v>14688</v>
      </c>
      <c r="AA46" s="504">
        <f>M46+Y46</f>
        <v>1.8</v>
      </c>
      <c r="AB46" s="961">
        <f>+AB47*AB3*24</f>
        <v>2480</v>
      </c>
      <c r="AC46" s="405">
        <v>0</v>
      </c>
      <c r="AD46" s="753">
        <f>+Z46+AB46</f>
        <v>17168</v>
      </c>
      <c r="AE46" s="364">
        <f>+AA46+AC46</f>
        <v>1.8</v>
      </c>
      <c r="AF46" s="961">
        <f>+AF47*AF3*24</f>
        <v>2400</v>
      </c>
      <c r="AG46" s="405">
        <v>0</v>
      </c>
      <c r="AH46" s="753">
        <f>+AD46+AF46</f>
        <v>19568</v>
      </c>
      <c r="AI46" s="364">
        <f>+AE46+AG46</f>
        <v>1.8</v>
      </c>
      <c r="AJ46" s="961">
        <f>+AJ47*AJ3*24</f>
        <v>2480</v>
      </c>
      <c r="AK46" s="405">
        <v>0</v>
      </c>
      <c r="AL46" s="754">
        <f t="shared" ref="AL46" si="130">+AB46+AF46+AJ46</f>
        <v>7360</v>
      </c>
      <c r="AM46" s="422">
        <f t="shared" ref="AM46" si="131">+AC46+AG46+AK46</f>
        <v>0</v>
      </c>
      <c r="AN46" s="753">
        <f>+AH46+AJ46</f>
        <v>22048</v>
      </c>
      <c r="AO46" s="364">
        <f>+AI46+AK46</f>
        <v>1.8</v>
      </c>
      <c r="AP46" s="961">
        <f>+AP47*AP3*24</f>
        <v>2480</v>
      </c>
      <c r="AQ46" s="405">
        <v>0</v>
      </c>
      <c r="AR46" s="753">
        <f>+AN46+AP46</f>
        <v>24528</v>
      </c>
      <c r="AS46" s="364">
        <f>+AO46+AQ46</f>
        <v>1.8</v>
      </c>
      <c r="AT46" s="961">
        <f>+AT47*AT3*24</f>
        <v>2240</v>
      </c>
      <c r="AU46" s="405">
        <v>1342.6</v>
      </c>
      <c r="AV46" s="753">
        <f>+AR46+AT46</f>
        <v>26768</v>
      </c>
      <c r="AW46" s="364">
        <f>+AS46+AU46</f>
        <v>1344.3999999999999</v>
      </c>
      <c r="AX46" s="961">
        <f>+AX47*AX3*24</f>
        <v>2480</v>
      </c>
      <c r="AY46" s="405">
        <v>1344</v>
      </c>
      <c r="AZ46" s="754">
        <f t="shared" ref="AZ46" si="132">+AP46+AT46+AX46</f>
        <v>7200</v>
      </c>
      <c r="BA46" s="422">
        <f t="shared" ref="BA46" si="133">+AQ46+AU46+AY46</f>
        <v>2686.6</v>
      </c>
      <c r="BB46" s="756">
        <f>AL46+AZ46</f>
        <v>14560</v>
      </c>
      <c r="BC46" s="504">
        <f>AM46+BA46</f>
        <v>2686.6</v>
      </c>
      <c r="BD46" s="753">
        <f>+AV46+AX46</f>
        <v>29248</v>
      </c>
      <c r="BE46" s="364">
        <f>+AW46+AY46</f>
        <v>2688.3999999999996</v>
      </c>
      <c r="BF46" s="528"/>
      <c r="BG46" s="528"/>
      <c r="BH46" s="26"/>
      <c r="BI46" s="26"/>
      <c r="BJ46" s="26"/>
    </row>
    <row r="47" spans="1:62" ht="15" customHeight="1" thickBot="1" x14ac:dyDescent="0.35">
      <c r="B47" s="6423"/>
      <c r="C47" s="19" t="s">
        <v>381</v>
      </c>
      <c r="D47" s="962">
        <v>3.3333333333333335</v>
      </c>
      <c r="E47" s="677">
        <f>+E46/E$3/24</f>
        <v>0</v>
      </c>
      <c r="F47" s="962">
        <v>3.3333333333333335</v>
      </c>
      <c r="G47" s="677">
        <f>+G46/G$3/24</f>
        <v>2.4193548387096775E-3</v>
      </c>
      <c r="H47" s="671">
        <f>+H46/(H$3*24)</f>
        <v>3.3333333333333335</v>
      </c>
      <c r="I47" s="415">
        <f>+I46/I$3/24</f>
        <v>1.2295081967213116E-3</v>
      </c>
      <c r="J47" s="962">
        <v>3.3333333333333335</v>
      </c>
      <c r="K47" s="677">
        <f>+K46/K$3/24</f>
        <v>0</v>
      </c>
      <c r="L47" s="693">
        <f>+L46/(L$3*24)</f>
        <v>3.3333333333333335</v>
      </c>
      <c r="M47" s="425">
        <f>+M46/M$3/24</f>
        <v>8.2417582417582418E-4</v>
      </c>
      <c r="N47" s="962">
        <v>3.3333333333333335</v>
      </c>
      <c r="O47" s="677">
        <f>+O46/O$3/24</f>
        <v>0</v>
      </c>
      <c r="P47" s="671">
        <f>+P46/(P$3*24)</f>
        <v>3.3333333333333335</v>
      </c>
      <c r="Q47" s="415">
        <f>+Q46/Q$3/24</f>
        <v>6.1475409836065579E-4</v>
      </c>
      <c r="R47" s="962">
        <v>3.3333333333333335</v>
      </c>
      <c r="S47" s="677">
        <f>+S46/S$3/24</f>
        <v>0</v>
      </c>
      <c r="T47" s="671">
        <f>+T46/(T$3*24)</f>
        <v>3.3333333333333335</v>
      </c>
      <c r="U47" s="415">
        <f>+U46/U$3/24</f>
        <v>4.9019607843137254E-4</v>
      </c>
      <c r="V47" s="962">
        <v>3.4</v>
      </c>
      <c r="W47" s="677">
        <f>+W46/W$3/24</f>
        <v>0</v>
      </c>
      <c r="X47" s="693">
        <f>+X46/(X$3*24)</f>
        <v>3.3550724637681157</v>
      </c>
      <c r="Y47" s="425">
        <f>+Y46/Y$3/24</f>
        <v>0</v>
      </c>
      <c r="Z47" s="963">
        <f>+Z46/(Z$3*24)</f>
        <v>3.3442622950819674</v>
      </c>
      <c r="AA47" s="507">
        <f>+AA46/AA$3/24</f>
        <v>4.0983606557377055E-4</v>
      </c>
      <c r="AB47" s="962">
        <v>3.3333333333333335</v>
      </c>
      <c r="AC47" s="677">
        <f>+AC46/AC$3/24</f>
        <v>0</v>
      </c>
      <c r="AD47" s="671">
        <f>+AD46/(AD$3*24)</f>
        <v>3.3426791277258565</v>
      </c>
      <c r="AE47" s="415">
        <f>+AE46/AE$3/24</f>
        <v>3.504672897196262E-4</v>
      </c>
      <c r="AF47" s="962">
        <v>3.3333333333333335</v>
      </c>
      <c r="AG47" s="677">
        <f>+AG46/AG$3/24</f>
        <v>0</v>
      </c>
      <c r="AH47" s="671">
        <f>+AH46/(AH$3*24)</f>
        <v>3.3415300546448088</v>
      </c>
      <c r="AI47" s="5291">
        <f>+AI46/AI$3/24</f>
        <v>3.073770491803279E-4</v>
      </c>
      <c r="AJ47" s="962">
        <v>3.3333333333333335</v>
      </c>
      <c r="AK47" s="677">
        <f>+AK46/AK$3/24</f>
        <v>0</v>
      </c>
      <c r="AL47" s="693">
        <f>+AL46/(AL$3*24)</f>
        <v>3.3333333333333335</v>
      </c>
      <c r="AM47" s="425">
        <f>+AM46/AM$3/24</f>
        <v>0</v>
      </c>
      <c r="AN47" s="671">
        <f>+AN46/(AN$3*24)</f>
        <v>3.3406060606060608</v>
      </c>
      <c r="AO47" s="415">
        <f>+AO46/AO$3/24</f>
        <v>2.7272727272727274E-4</v>
      </c>
      <c r="AP47" s="962">
        <v>3.3333333333333335</v>
      </c>
      <c r="AQ47" s="677">
        <f>+AQ46/AQ$3/24</f>
        <v>0</v>
      </c>
      <c r="AR47" s="671">
        <f>+AR46/(AR$3*24)</f>
        <v>3.3398692810457518</v>
      </c>
      <c r="AS47" s="415">
        <f>+AS46/AS$3/24</f>
        <v>2.4509803921568627E-4</v>
      </c>
      <c r="AT47" s="962">
        <v>3.3333333333333335</v>
      </c>
      <c r="AU47" s="677">
        <f>+AU46/AU$3/24</f>
        <v>1.9979166666666666</v>
      </c>
      <c r="AV47" s="671">
        <f>+AV46/(AV$3*24)</f>
        <v>3.3393213572854292</v>
      </c>
      <c r="AW47" s="415">
        <f>+AW46/AW$3/24</f>
        <v>0.16771457085828342</v>
      </c>
      <c r="AX47" s="962">
        <v>3.3333333333333335</v>
      </c>
      <c r="AY47" s="677">
        <f>+AY46/AY$3/24</f>
        <v>1.8064516129032258</v>
      </c>
      <c r="AZ47" s="693">
        <f>+AZ46/(AZ$3*24)</f>
        <v>3.3333333333333335</v>
      </c>
      <c r="BA47" s="425">
        <f>+BA46/BA$3/24</f>
        <v>1.2437962962962963</v>
      </c>
      <c r="BB47" s="963">
        <f>+BB46/(BB$3*24)</f>
        <v>3.3333333333333335</v>
      </c>
      <c r="BC47" s="507">
        <f>+BC46/BC$3/24</f>
        <v>0.61506410256410249</v>
      </c>
      <c r="BD47" s="671">
        <f>+BD46/(BD$3*24)</f>
        <v>3.3388127853881278</v>
      </c>
      <c r="BE47" s="415">
        <f>+BE46/BE$3/24</f>
        <v>0.3068949771689497</v>
      </c>
      <c r="BF47" s="528"/>
      <c r="BG47" s="528"/>
      <c r="BH47" s="26"/>
      <c r="BI47" s="26"/>
      <c r="BJ47" s="26"/>
    </row>
    <row r="48" spans="1:62" x14ac:dyDescent="0.3">
      <c r="B48" s="6423" t="s">
        <v>398</v>
      </c>
      <c r="C48" s="18" t="s">
        <v>393</v>
      </c>
      <c r="D48" s="964">
        <f>+D49*D3*24</f>
        <v>10061.333333333332</v>
      </c>
      <c r="E48" s="249">
        <v>9038</v>
      </c>
      <c r="F48" s="964">
        <f>+F49*F3*24</f>
        <v>10414.444444444445</v>
      </c>
      <c r="G48" s="249">
        <v>10878.5</v>
      </c>
      <c r="H48" s="753">
        <f>+D48+F48</f>
        <v>20475.777777777777</v>
      </c>
      <c r="I48" s="364">
        <f>+E48+G48</f>
        <v>19916.5</v>
      </c>
      <c r="J48" s="964">
        <f>+J49*J3*24</f>
        <v>10061.333333333332</v>
      </c>
      <c r="K48" s="249">
        <v>11480.3</v>
      </c>
      <c r="L48" s="754">
        <f>+H48+J48</f>
        <v>30537.111111111109</v>
      </c>
      <c r="M48" s="420">
        <f>E48+G48+K48</f>
        <v>31396.799999999999</v>
      </c>
      <c r="N48" s="964">
        <f>+N49*N3*24</f>
        <v>10313.333333333332</v>
      </c>
      <c r="O48" s="249">
        <v>12224.4</v>
      </c>
      <c r="P48" s="753">
        <f>+L48+N48</f>
        <v>40850.444444444438</v>
      </c>
      <c r="Q48" s="364">
        <f>+M48+O48</f>
        <v>43621.2</v>
      </c>
      <c r="R48" s="964">
        <f>+R49*R3*24</f>
        <v>10247.222222222221</v>
      </c>
      <c r="S48" s="249">
        <v>11328.8</v>
      </c>
      <c r="T48" s="753">
        <f>+P48+R48</f>
        <v>51097.666666666657</v>
      </c>
      <c r="U48" s="364">
        <f>+Q48+S48</f>
        <v>54950</v>
      </c>
      <c r="V48" s="964">
        <f>+V49*V3*24</f>
        <v>5625.9259259259252</v>
      </c>
      <c r="W48" s="249">
        <v>10414.6</v>
      </c>
      <c r="X48" s="754">
        <f t="shared" ref="X48:Y48" si="134">+N48+R48+V48</f>
        <v>26186.481481481482</v>
      </c>
      <c r="Y48" s="422">
        <f t="shared" si="134"/>
        <v>33967.799999999996</v>
      </c>
      <c r="Z48" s="756">
        <f>L48+X48</f>
        <v>56723.592592592591</v>
      </c>
      <c r="AA48" s="504">
        <f>M48+Y48</f>
        <v>65364.599999999991</v>
      </c>
      <c r="AB48" s="964">
        <f>+AB49*AB3*24</f>
        <v>10380.740740740741</v>
      </c>
      <c r="AC48" s="249">
        <v>7696.7</v>
      </c>
      <c r="AD48" s="753">
        <f>+Z48+AB48</f>
        <v>67104.333333333328</v>
      </c>
      <c r="AE48" s="364">
        <f>+AA48+AC48</f>
        <v>73061.299999999988</v>
      </c>
      <c r="AF48" s="964">
        <f>+AF49*AF3*24</f>
        <v>10061.333333333332</v>
      </c>
      <c r="AG48" s="249">
        <v>9197.1</v>
      </c>
      <c r="AH48" s="753">
        <f>+AD48+AF48</f>
        <v>77165.666666666657</v>
      </c>
      <c r="AI48" s="364">
        <f>+AE48+AG48</f>
        <v>82258.399999999994</v>
      </c>
      <c r="AJ48" s="964">
        <f>+AJ49*AJ3*24</f>
        <v>10380.740740740741</v>
      </c>
      <c r="AK48" s="249">
        <v>9626.9</v>
      </c>
      <c r="AL48" s="754">
        <f t="shared" ref="AL48" si="135">+AB48+AF48+AJ48</f>
        <v>30822.814814814814</v>
      </c>
      <c r="AM48" s="422">
        <f t="shared" ref="AM48" si="136">+AC48+AG48+AK48</f>
        <v>26520.699999999997</v>
      </c>
      <c r="AN48" s="753">
        <f>+AH48+AJ48</f>
        <v>87546.407407407401</v>
      </c>
      <c r="AO48" s="364">
        <f>+AI48+AK48</f>
        <v>91885.299999999988</v>
      </c>
      <c r="AP48" s="964">
        <f>+AP49*AP3*24</f>
        <v>10403.555555555555</v>
      </c>
      <c r="AQ48" s="249">
        <v>9614.4</v>
      </c>
      <c r="AR48" s="753">
        <f>+AN48+AP48</f>
        <v>97949.962962962949</v>
      </c>
      <c r="AS48" s="364">
        <f>+AO48+AQ48</f>
        <v>101499.69999999998</v>
      </c>
      <c r="AT48" s="964">
        <f>+AT49*AT3*24</f>
        <v>9391.925925925927</v>
      </c>
      <c r="AU48" s="249">
        <v>7762.2</v>
      </c>
      <c r="AV48" s="753">
        <f>+AR48+AT48</f>
        <v>107341.88888888888</v>
      </c>
      <c r="AW48" s="364">
        <f>+AS48+AU48</f>
        <v>109261.89999999998</v>
      </c>
      <c r="AX48" s="964">
        <f>+AX49*AX3*24</f>
        <v>10403.555555555555</v>
      </c>
      <c r="AY48" s="249">
        <v>9734.2999999999993</v>
      </c>
      <c r="AZ48" s="754">
        <f t="shared" ref="AZ48" si="137">+AP48+AT48+AX48</f>
        <v>30199.037037037036</v>
      </c>
      <c r="BA48" s="422">
        <f t="shared" ref="BA48" si="138">+AQ48+AU48+AY48</f>
        <v>27110.899999999998</v>
      </c>
      <c r="BB48" s="756">
        <f>AL48+AZ48</f>
        <v>61021.851851851854</v>
      </c>
      <c r="BC48" s="504">
        <f>AM48+BA48</f>
        <v>53631.599999999991</v>
      </c>
      <c r="BD48" s="753">
        <f>+AV48+AX48</f>
        <v>117745.44444444444</v>
      </c>
      <c r="BE48" s="364">
        <f>+AW48+AY48</f>
        <v>118996.19999999998</v>
      </c>
      <c r="BF48" s="528"/>
      <c r="BG48" s="528"/>
      <c r="BH48" s="26"/>
      <c r="BI48" s="26"/>
      <c r="BJ48" s="26"/>
    </row>
    <row r="49" spans="1:62" ht="15" thickBot="1" x14ac:dyDescent="0.35">
      <c r="B49" s="6424"/>
      <c r="C49" s="20" t="s">
        <v>381</v>
      </c>
      <c r="D49" s="965">
        <v>13.974074074074073</v>
      </c>
      <c r="E49" s="677">
        <f>+E48/E$3/24</f>
        <v>12.552777777777777</v>
      </c>
      <c r="F49" s="965">
        <v>13.997909199522104</v>
      </c>
      <c r="G49" s="677">
        <f>+G48/G$3/24</f>
        <v>14.621639784946238</v>
      </c>
      <c r="H49" s="671">
        <f>+H48/(H$3*24)</f>
        <v>13.98618700667881</v>
      </c>
      <c r="I49" s="415">
        <f>+I48/I$3/24</f>
        <v>13.604166666666666</v>
      </c>
      <c r="J49" s="965">
        <v>13.974074074074073</v>
      </c>
      <c r="K49" s="677">
        <f>+K48/K$3/24</f>
        <v>15.944861111111109</v>
      </c>
      <c r="L49" s="693">
        <f>+L48/(L$3*24)</f>
        <v>13.982193732193732</v>
      </c>
      <c r="M49" s="425">
        <f>+M48/M$3/24</f>
        <v>14.375824175824176</v>
      </c>
      <c r="N49" s="965">
        <v>13.86200716845878</v>
      </c>
      <c r="O49" s="677">
        <f>+O48/O$3/24</f>
        <v>16.430645161290322</v>
      </c>
      <c r="P49" s="671">
        <f>+P48/(P$3*24)</f>
        <v>13.951654523375833</v>
      </c>
      <c r="Q49" s="415">
        <f>+Q48/Q$3/24</f>
        <v>14.897950819672131</v>
      </c>
      <c r="R49" s="965">
        <v>13.773148148148147</v>
      </c>
      <c r="S49" s="677">
        <f>+S48/S$3/24</f>
        <v>15.226881720430107</v>
      </c>
      <c r="T49" s="671">
        <f>+T48/(T$3*24)</f>
        <v>13.915486564996366</v>
      </c>
      <c r="U49" s="415">
        <f>+U48/U$3/24</f>
        <v>14.964596949891067</v>
      </c>
      <c r="V49" s="965">
        <v>7.8137860082304513</v>
      </c>
      <c r="W49" s="677">
        <f>+W48/W$3/24</f>
        <v>14.464722222222223</v>
      </c>
      <c r="X49" s="693">
        <f>+X48/(X$3*24)</f>
        <v>11.859819511540525</v>
      </c>
      <c r="Y49" s="425">
        <f>+Y48/Y$3/24</f>
        <v>15.383967391304346</v>
      </c>
      <c r="Z49" s="963">
        <f>+Z48/(Z$3*24)</f>
        <v>12.915207785198678</v>
      </c>
      <c r="AA49" s="507">
        <f>+AA48/AA$3/24</f>
        <v>14.882650273224042</v>
      </c>
      <c r="AB49" s="965">
        <v>13.952608522500997</v>
      </c>
      <c r="AC49" s="677">
        <f>+AC48/AC$3/24</f>
        <v>10.345026881720431</v>
      </c>
      <c r="AD49" s="671">
        <f>+AD48/(AD$3*24)</f>
        <v>13.065485462097611</v>
      </c>
      <c r="AE49" s="415">
        <f>+AE48/AE$3/24</f>
        <v>14.225330996884734</v>
      </c>
      <c r="AF49" s="965">
        <v>13.974074074074073</v>
      </c>
      <c r="AG49" s="677">
        <f>+AG48/AG$3/24</f>
        <v>12.77375</v>
      </c>
      <c r="AH49" s="671">
        <f>+AH48/(AH$3*24)</f>
        <v>13.17719717668488</v>
      </c>
      <c r="AI49" s="415">
        <f>+AI48/AI$3/24</f>
        <v>14.046857923497265</v>
      </c>
      <c r="AJ49" s="965">
        <v>13.952608522500997</v>
      </c>
      <c r="AK49" s="677">
        <f>+AK48/AK$3/24</f>
        <v>12.939381720430108</v>
      </c>
      <c r="AL49" s="693">
        <f>+AL48/(AL$3*24)</f>
        <v>13.959608158883521</v>
      </c>
      <c r="AM49" s="425">
        <f>+AM48/AM$3/24</f>
        <v>12.011186594202897</v>
      </c>
      <c r="AN49" s="671">
        <f>+AN48/(AN$3*24)</f>
        <v>13.264607182940516</v>
      </c>
      <c r="AO49" s="415">
        <f>+AO48/AO$3/24</f>
        <v>13.922015151515149</v>
      </c>
      <c r="AP49" s="965">
        <v>13.983273596176822</v>
      </c>
      <c r="AQ49" s="677">
        <f>+AQ48/AQ$3/24</f>
        <v>12.92258064516129</v>
      </c>
      <c r="AR49" s="671">
        <f>+AR48/(AR$3*24)</f>
        <v>13.337413257484062</v>
      </c>
      <c r="AS49" s="415">
        <f>+AS48/AS$3/24</f>
        <v>13.82076525054466</v>
      </c>
      <c r="AT49" s="965">
        <v>13.976080246913581</v>
      </c>
      <c r="AU49" s="677">
        <f>+AU48/AU$3/24</f>
        <v>11.550892857142857</v>
      </c>
      <c r="AV49" s="671">
        <f>+AV48/(AV$3*24)</f>
        <v>13.390954202705698</v>
      </c>
      <c r="AW49" s="415">
        <f>+AW48/AW$3/24</f>
        <v>13.630476546906186</v>
      </c>
      <c r="AX49" s="965">
        <v>13.983273596176822</v>
      </c>
      <c r="AY49" s="677">
        <f>+AY48/AY$3/24</f>
        <v>13.083736559139785</v>
      </c>
      <c r="AZ49" s="693">
        <f>+AZ48/(AZ$3*24)</f>
        <v>13.981035665294923</v>
      </c>
      <c r="BA49" s="425">
        <f>+BA48/BA$3/24</f>
        <v>12.551342592592592</v>
      </c>
      <c r="BB49" s="963">
        <f>+BB48/(BB$3*24)</f>
        <v>13.970204178537513</v>
      </c>
      <c r="BC49" s="507">
        <f>+BC48/BC$3/24</f>
        <v>12.278296703296702</v>
      </c>
      <c r="BD49" s="671">
        <f>+BD48/(BD$3*24)</f>
        <v>13.441260781329273</v>
      </c>
      <c r="BE49" s="415">
        <f>+BE48/BE$3/24</f>
        <v>13.584041095890408</v>
      </c>
      <c r="BF49" s="528"/>
      <c r="BG49" s="528"/>
      <c r="BH49" s="26"/>
      <c r="BI49" s="26"/>
      <c r="BJ49" s="26"/>
    </row>
    <row r="50" spans="1:62" ht="15.6" x14ac:dyDescent="0.3">
      <c r="B50" s="6421" t="s">
        <v>402</v>
      </c>
      <c r="C50" s="127" t="s">
        <v>393</v>
      </c>
      <c r="D50" s="601">
        <f>+D44+D46+D48</f>
        <v>36091.463252194517</v>
      </c>
      <c r="E50" s="678">
        <f>+E44+E46+E48</f>
        <v>28419.200000000004</v>
      </c>
      <c r="F50" s="601">
        <f>+F44+F46+F48</f>
        <v>39844.723250093492</v>
      </c>
      <c r="G50" s="678">
        <f>+G44+G46+G48</f>
        <v>34691</v>
      </c>
      <c r="H50" s="601">
        <f t="shared" ref="H50:I51" si="139">+H44+H46+H48</f>
        <v>75936.186502288008</v>
      </c>
      <c r="I50" s="678">
        <f t="shared" si="139"/>
        <v>63110.200000000012</v>
      </c>
      <c r="J50" s="601">
        <f>+J44+J46+J48</f>
        <v>38443.313060934714</v>
      </c>
      <c r="K50" s="678">
        <f>+K44+K46+K48</f>
        <v>39300.399999999994</v>
      </c>
      <c r="L50" s="1570">
        <f t="shared" ref="L50:Q50" si="140">+L44+L46+L48</f>
        <v>114379.49956322271</v>
      </c>
      <c r="M50" s="1570">
        <f t="shared" si="140"/>
        <v>102410.6</v>
      </c>
      <c r="N50" s="601">
        <f>+N44+N46+N48</f>
        <v>39910.513372167086</v>
      </c>
      <c r="O50" s="678">
        <f>+O44+O46+O48</f>
        <v>42763.700000000004</v>
      </c>
      <c r="P50" s="601">
        <f t="shared" si="140"/>
        <v>154290.01293538979</v>
      </c>
      <c r="Q50" s="601">
        <f t="shared" si="140"/>
        <v>145174.29999999999</v>
      </c>
      <c r="R50" s="601">
        <f>+R44+R46+R48</f>
        <v>39330.490682108619</v>
      </c>
      <c r="S50" s="678">
        <f>+S44+S46+S48</f>
        <v>41038.899999999994</v>
      </c>
      <c r="T50" s="601">
        <f t="shared" ref="T50:U50" si="141">+T44+T46+T48</f>
        <v>193620.50361749841</v>
      </c>
      <c r="U50" s="601">
        <f t="shared" si="141"/>
        <v>186213.19999999998</v>
      </c>
      <c r="V50" s="601">
        <f>+V44+V46+V48</f>
        <v>29457.71535890465</v>
      </c>
      <c r="W50" s="678">
        <f>+W44+W46+W48</f>
        <v>38265.4</v>
      </c>
      <c r="X50" s="1570">
        <f t="shared" ref="X50:Y50" si="142">+X44+X46+X48</f>
        <v>108698.71941318037</v>
      </c>
      <c r="Y50" s="1570">
        <f t="shared" si="142"/>
        <v>122068</v>
      </c>
      <c r="Z50" s="2255">
        <f t="shared" ref="Z50:AE50" si="143">+Z44+Z46+Z48</f>
        <v>223078.21897640306</v>
      </c>
      <c r="AA50" s="2255">
        <f t="shared" si="143"/>
        <v>224478.59999999998</v>
      </c>
      <c r="AB50" s="601">
        <f>+AB44+AB46+AB48</f>
        <v>39486.904219020274</v>
      </c>
      <c r="AC50" s="678">
        <f>+AC44+AC46+AC48</f>
        <v>34346.299999999996</v>
      </c>
      <c r="AD50" s="601">
        <f t="shared" si="143"/>
        <v>262565.12319542334</v>
      </c>
      <c r="AE50" s="601">
        <f t="shared" si="143"/>
        <v>258824.9</v>
      </c>
      <c r="AF50" s="601">
        <f>+AF44+AF46+AF48</f>
        <v>31321.58951897539</v>
      </c>
      <c r="AG50" s="678">
        <f>+AG44+AG46+AG48</f>
        <v>37636.700000000004</v>
      </c>
      <c r="AH50" s="601">
        <f t="shared" ref="AH50:AI51" si="144">+AH44+AH46+AH48</f>
        <v>293886.71271439875</v>
      </c>
      <c r="AI50" s="601">
        <f t="shared" si="144"/>
        <v>296461.59999999998</v>
      </c>
      <c r="AJ50" s="601">
        <f>+AJ44+AJ46+AJ48</f>
        <v>32337.111699331374</v>
      </c>
      <c r="AK50" s="678">
        <f>+AK44+AK46+AK48</f>
        <v>37124</v>
      </c>
      <c r="AL50" s="1570">
        <f t="shared" ref="AL50:AO50" si="145">+AL44+AL46+AL48</f>
        <v>103145.60543732705</v>
      </c>
      <c r="AM50" s="1570">
        <f t="shared" si="145"/>
        <v>109107</v>
      </c>
      <c r="AN50" s="601">
        <f t="shared" si="145"/>
        <v>326223.82441373012</v>
      </c>
      <c r="AO50" s="601">
        <f t="shared" si="145"/>
        <v>333585.59999999998</v>
      </c>
      <c r="AP50" s="601">
        <f>+AP44+AP46+AP48</f>
        <v>31663.576551385377</v>
      </c>
      <c r="AQ50" s="678">
        <f>+AQ44+AQ46+AQ48</f>
        <v>35634.300000000003</v>
      </c>
      <c r="AR50" s="601">
        <f t="shared" ref="AR50:AS50" si="146">+AR44+AR46+AR48</f>
        <v>357887.40096511552</v>
      </c>
      <c r="AS50" s="601">
        <f t="shared" si="146"/>
        <v>369219.9</v>
      </c>
      <c r="AT50" s="601">
        <f>+AT44+AT46+AT48</f>
        <v>28957.94281174543</v>
      </c>
      <c r="AU50" s="678">
        <f>+AU44+AU46+AU48</f>
        <v>30300.499999999996</v>
      </c>
      <c r="AV50" s="601">
        <f t="shared" ref="AV50:AW51" si="147">+AV44+AV46+AV48</f>
        <v>386845.34377686091</v>
      </c>
      <c r="AW50" s="601">
        <f t="shared" si="147"/>
        <v>399520.4</v>
      </c>
      <c r="AX50" s="601">
        <f>+AX44+AX46+AX48</f>
        <v>38558.395645938836</v>
      </c>
      <c r="AY50" s="678">
        <f>+AY44+AY46+AY48</f>
        <v>37147.199999999997</v>
      </c>
      <c r="AZ50" s="1570">
        <f t="shared" ref="AZ50:BE50" si="148">+AZ44+AZ46+AZ48</f>
        <v>99179.915009069649</v>
      </c>
      <c r="BA50" s="1570">
        <f t="shared" si="148"/>
        <v>103082</v>
      </c>
      <c r="BB50" s="2255">
        <f t="shared" si="148"/>
        <v>202325.52044639669</v>
      </c>
      <c r="BC50" s="2255">
        <f t="shared" si="148"/>
        <v>212189</v>
      </c>
      <c r="BD50" s="601">
        <f t="shared" si="148"/>
        <v>425403.73942279973</v>
      </c>
      <c r="BE50" s="601">
        <f t="shared" si="148"/>
        <v>436667.60000000009</v>
      </c>
      <c r="BF50" s="528"/>
      <c r="BG50" s="528"/>
      <c r="BH50" s="26"/>
      <c r="BI50" s="26"/>
      <c r="BJ50" s="26"/>
    </row>
    <row r="51" spans="1:62" ht="16.2" thickBot="1" x14ac:dyDescent="0.35">
      <c r="B51" s="6422"/>
      <c r="C51" s="407" t="s">
        <v>381</v>
      </c>
      <c r="D51" s="3076">
        <v>50.127032294714631</v>
      </c>
      <c r="E51" s="3077">
        <f>+E50/E$3/24</f>
        <v>39.471111111111121</v>
      </c>
      <c r="F51" s="3076">
        <v>53.554735551200942</v>
      </c>
      <c r="G51" s="3077">
        <f>+G50/G$3/24</f>
        <v>46.627688172043008</v>
      </c>
      <c r="H51" s="3078">
        <f t="shared" si="139"/>
        <v>51.868979851289623</v>
      </c>
      <c r="I51" s="3079">
        <f>+I50/I$3/24</f>
        <v>43.108060109289625</v>
      </c>
      <c r="J51" s="3076">
        <v>53.393490362409324</v>
      </c>
      <c r="K51" s="3077">
        <f>+K50/K$3/24</f>
        <v>54.583888888888879</v>
      </c>
      <c r="L51" s="967">
        <f>+L45+L47+L49</f>
        <v>52.371565734076327</v>
      </c>
      <c r="M51" s="426">
        <f>+M50/M$3/24</f>
        <v>46.891300366300364</v>
      </c>
      <c r="N51" s="3076">
        <v>53.643163134633191</v>
      </c>
      <c r="O51" s="3077">
        <f>+O50/O$3/24</f>
        <v>57.478091397849475</v>
      </c>
      <c r="P51" s="966">
        <f>+P45+P47+P49</f>
        <v>52.694676548971927</v>
      </c>
      <c r="Q51" s="416">
        <f>+Q50/Q$3/24</f>
        <v>49.581386612021852</v>
      </c>
      <c r="R51" s="3076">
        <v>52.863562744769652</v>
      </c>
      <c r="S51" s="3077">
        <f>+S50/S$3/24</f>
        <v>55.159811827956986</v>
      </c>
      <c r="T51" s="966">
        <f>+T45+T47+T49</f>
        <v>52.728895320669501</v>
      </c>
      <c r="U51" s="416">
        <f>+U50/U$3/24</f>
        <v>50.711655773420468</v>
      </c>
      <c r="V51" s="3076">
        <v>40.91349355403424</v>
      </c>
      <c r="W51" s="3077">
        <f>+W50/W$3/24</f>
        <v>53.146388888888886</v>
      </c>
      <c r="X51" s="967">
        <f>+X45+X47+X49</f>
        <v>49.22949248785342</v>
      </c>
      <c r="Y51" s="426">
        <f>+Y50/Y$3/24</f>
        <v>55.284420289855071</v>
      </c>
      <c r="Z51" s="968">
        <f>+Z45+Z47+Z49</f>
        <v>50.791944211385029</v>
      </c>
      <c r="AA51" s="508">
        <f>+AA50/AA$3/24</f>
        <v>51.110792349726772</v>
      </c>
      <c r="AB51" s="3076">
        <v>53.073795993306831</v>
      </c>
      <c r="AC51" s="3077">
        <f>+AC50/AC$3/24</f>
        <v>46.1643817204301</v>
      </c>
      <c r="AD51" s="966">
        <f t="shared" ref="AD51" si="149">+AD45+AD47+AD49</f>
        <v>51.122492833999878</v>
      </c>
      <c r="AE51" s="416">
        <f>+AE50/AE$3/24</f>
        <v>50.394256230529599</v>
      </c>
      <c r="AF51" s="3076">
        <v>43.502207665243596</v>
      </c>
      <c r="AG51" s="3077">
        <f>+AG50/AG$3/24</f>
        <v>52.273194444444449</v>
      </c>
      <c r="AH51" s="966">
        <f t="shared" si="144"/>
        <v>50.185572526365902</v>
      </c>
      <c r="AI51" s="416">
        <f>+AI50/AI$3/24</f>
        <v>50.625273224043717</v>
      </c>
      <c r="AJ51" s="3076">
        <v>43.463859810929264</v>
      </c>
      <c r="AK51" s="3077">
        <f>+AK50/AK$3/24</f>
        <v>49.897849462365592</v>
      </c>
      <c r="AL51" s="967">
        <f>+AL45+AL47+AL49</f>
        <v>46.714495216180723</v>
      </c>
      <c r="AM51" s="426">
        <f>+AM50/AM$3/24</f>
        <v>49.414402173913039</v>
      </c>
      <c r="AN51" s="966">
        <f t="shared" ref="AN51" si="150">+AN45+AN47+AN49</f>
        <v>49.427852183898501</v>
      </c>
      <c r="AO51" s="416">
        <f>+AO50/AO$3/24</f>
        <v>50.543272727272722</v>
      </c>
      <c r="AP51" s="3076">
        <v>42.558570633582491</v>
      </c>
      <c r="AQ51" s="3077">
        <f>+AQ50/AQ$3/24</f>
        <v>47.895564516129035</v>
      </c>
      <c r="AR51" s="966">
        <f t="shared" ref="AR51" si="151">+AR45+AR47+AR49</f>
        <v>48.731944575859956</v>
      </c>
      <c r="AS51" s="416">
        <f>+AS50/AS$3/24</f>
        <v>50.275040849673211</v>
      </c>
      <c r="AT51" s="3076">
        <v>43.092176803192601</v>
      </c>
      <c r="AU51" s="3077">
        <f>+AU50/AU$3/24</f>
        <v>45.090029761904759</v>
      </c>
      <c r="AV51" s="966">
        <f t="shared" si="147"/>
        <v>48.259149672762092</v>
      </c>
      <c r="AW51" s="416">
        <f>+AW50/AW$3/24</f>
        <v>49.840369261477043</v>
      </c>
      <c r="AX51" s="3076">
        <v>51.825800599380159</v>
      </c>
      <c r="AY51" s="3077">
        <f>+AY50/AY$3/24</f>
        <v>49.929032258064517</v>
      </c>
      <c r="AZ51" s="967">
        <f>+AZ45+AZ47+AZ49</f>
        <v>45.91662731901372</v>
      </c>
      <c r="BA51" s="426">
        <f>+BA50/BA$3/24</f>
        <v>47.723148148148148</v>
      </c>
      <c r="BB51" s="968">
        <f>+BB45+BB47+BB49</f>
        <v>46.319945157142101</v>
      </c>
      <c r="BC51" s="508">
        <f>+BC50/BC$3/24</f>
        <v>48.578067765567766</v>
      </c>
      <c r="BD51" s="966">
        <f t="shared" ref="BD51" si="152">+BD45+BD47+BD49</f>
        <v>48.562070710365262</v>
      </c>
      <c r="BE51" s="416">
        <f>+BE50/BE$3/24</f>
        <v>49.847899543379008</v>
      </c>
      <c r="BF51" s="528"/>
      <c r="BG51" s="528"/>
      <c r="BH51" s="26"/>
      <c r="BI51" s="26"/>
      <c r="BJ51" s="26"/>
    </row>
    <row r="52" spans="1:62" ht="15.6" x14ac:dyDescent="0.3">
      <c r="B52" s="3048" t="s">
        <v>399</v>
      </c>
      <c r="C52" s="211" t="s">
        <v>393</v>
      </c>
      <c r="D52" s="969">
        <f>+D53*D3*24</f>
        <v>76541.277670534197</v>
      </c>
      <c r="E52" s="406">
        <f>+'POWER DISTRIBUTION'!J10/1000</f>
        <v>73610.002999999997</v>
      </c>
      <c r="F52" s="969">
        <f>+F53*F3*24</f>
        <v>76588.212163803051</v>
      </c>
      <c r="G52" s="406">
        <f>+'POWER DISTRIBUTION'!L10/1000</f>
        <v>75383.046000000002</v>
      </c>
      <c r="H52" s="753">
        <f>+D52+F52</f>
        <v>153129.48983433726</v>
      </c>
      <c r="I52" s="417">
        <f>+E52+G52</f>
        <v>148993.049</v>
      </c>
      <c r="J52" s="969">
        <f>+J53*J3*24</f>
        <v>74184.006236527115</v>
      </c>
      <c r="K52" s="406">
        <f>+'POWER DISTRIBUTION'!P10/1000</f>
        <v>70337.002999999997</v>
      </c>
      <c r="L52" s="754">
        <f>+H52+J52</f>
        <v>227313.49607086438</v>
      </c>
      <c r="M52" s="427">
        <f>E52+G52+K52</f>
        <v>219330.052</v>
      </c>
      <c r="N52" s="969">
        <f>+N53*N3*24</f>
        <v>75590.793822003354</v>
      </c>
      <c r="O52" s="406">
        <f>+'POWER DISTRIBUTION'!T10/1000</f>
        <v>72496.939008000001</v>
      </c>
      <c r="P52" s="753">
        <f>+L52+N52</f>
        <v>302904.28989286773</v>
      </c>
      <c r="Q52" s="417">
        <f>+M52+O52</f>
        <v>291826.99100799998</v>
      </c>
      <c r="R52" s="969">
        <f>+R53*R3*24</f>
        <v>76170.816512061836</v>
      </c>
      <c r="S52" s="406">
        <f>+'POWER DISTRIBUTION'!X10/1000</f>
        <v>70569.001000000004</v>
      </c>
      <c r="T52" s="753">
        <f>+P52+R52</f>
        <v>379075.10640492954</v>
      </c>
      <c r="U52" s="417">
        <f>+Q52+S52</f>
        <v>362395.99200799997</v>
      </c>
      <c r="V52" s="969">
        <f>+V53*V3*24</f>
        <v>48990.915740339857</v>
      </c>
      <c r="W52" s="406">
        <f>+'POWER DISTRIBUTION'!AB10/1000</f>
        <v>70384.024999999994</v>
      </c>
      <c r="X52" s="754">
        <f t="shared" ref="X52:Y52" si="153">+N52+R52+V52</f>
        <v>200752.52607440506</v>
      </c>
      <c r="Y52" s="427">
        <f t="shared" si="153"/>
        <v>213449.965008</v>
      </c>
      <c r="Z52" s="756">
        <f>L52+X52</f>
        <v>428066.02214526944</v>
      </c>
      <c r="AA52" s="509">
        <f>M52+Y52</f>
        <v>432780.017008</v>
      </c>
      <c r="AB52" s="969">
        <f>+AB53*AB3*24</f>
        <v>76728.220008682707</v>
      </c>
      <c r="AC52" s="406">
        <f>+'POWER DISTRIBUTION'!AH10/1000</f>
        <v>64899.012600000002</v>
      </c>
      <c r="AD52" s="753">
        <f>+Z52+AB52</f>
        <v>504794.24215395213</v>
      </c>
      <c r="AE52" s="417">
        <f>+AA52+AC52</f>
        <v>497679.02960800001</v>
      </c>
      <c r="AF52" s="969">
        <f>+AF53*AF3*24</f>
        <v>81647.988132105151</v>
      </c>
      <c r="AG52" s="406">
        <f>+'POWER DISTRIBUTION'!AL10/1000</f>
        <v>69897</v>
      </c>
      <c r="AH52" s="753">
        <f>+AD52+AF52</f>
        <v>586442.23028605734</v>
      </c>
      <c r="AI52" s="417">
        <f>+AE52+AG52</f>
        <v>567576.02960800007</v>
      </c>
      <c r="AJ52" s="969">
        <f>+AJ53*AJ3*24</f>
        <v>84387.321428183874</v>
      </c>
      <c r="AK52" s="406">
        <f>+'POWER DISTRIBUTION'!AP10/1000</f>
        <v>71946</v>
      </c>
      <c r="AL52" s="754">
        <f t="shared" ref="AL52" si="154">+AB52+AF52+AJ52</f>
        <v>242763.52956897172</v>
      </c>
      <c r="AM52" s="427">
        <f t="shared" ref="AM52" si="155">+AC52+AG52+AK52</f>
        <v>206742.01260000002</v>
      </c>
      <c r="AN52" s="753">
        <f>+AH52+AJ52</f>
        <v>670829.55171424127</v>
      </c>
      <c r="AO52" s="417">
        <f>+AI52+AK52</f>
        <v>639522.02960800007</v>
      </c>
      <c r="AP52" s="969">
        <f>+AP53*AP3*24</f>
        <v>85772.115051552304</v>
      </c>
      <c r="AQ52" s="406">
        <f>+'POWER DISTRIBUTION'!AV10/1000</f>
        <v>73959.980409999989</v>
      </c>
      <c r="AR52" s="753">
        <f>+AN52+AP52</f>
        <v>756601.66676579358</v>
      </c>
      <c r="AS52" s="417">
        <f>+AO52+AQ52</f>
        <v>713482.01001800003</v>
      </c>
      <c r="AT52" s="969">
        <f>+AT53*AT3*24</f>
        <v>76675.2152146515</v>
      </c>
      <c r="AU52" s="406">
        <f>+'POWER DISTRIBUTION'!AZ10/1000</f>
        <v>66817.949699999997</v>
      </c>
      <c r="AV52" s="753">
        <f>+AR52+AT52</f>
        <v>833276.88198044512</v>
      </c>
      <c r="AW52" s="417">
        <f>+AS52+AU52</f>
        <v>780299.95971800003</v>
      </c>
      <c r="AX52" s="969">
        <f>+AX53*AX3*24</f>
        <v>79003.014426272726</v>
      </c>
      <c r="AY52" s="406">
        <f>+'POWER DISTRIBUTION'!BD10/1000</f>
        <v>73892.102150000093</v>
      </c>
      <c r="AZ52" s="754">
        <f t="shared" ref="AZ52" si="156">+AP52+AT52+AX52</f>
        <v>241450.3446924765</v>
      </c>
      <c r="BA52" s="427">
        <f t="shared" ref="BA52" si="157">+AQ52+AU52+AY52</f>
        <v>214670.03226000007</v>
      </c>
      <c r="BB52" s="756">
        <f>AL52+AZ52</f>
        <v>484213.87426144822</v>
      </c>
      <c r="BC52" s="509">
        <f>AM52+BA52</f>
        <v>421412.04486000008</v>
      </c>
      <c r="BD52" s="753">
        <f>+AV52+AX52</f>
        <v>912279.89640671783</v>
      </c>
      <c r="BE52" s="417">
        <f>+AW52+AY52</f>
        <v>854192.06186800008</v>
      </c>
      <c r="BF52" s="528"/>
      <c r="BG52" s="528"/>
      <c r="BH52" s="26"/>
      <c r="BI52" s="26"/>
      <c r="BJ52" s="26"/>
    </row>
    <row r="53" spans="1:62" ht="16.2" thickBot="1" x14ac:dyDescent="0.35">
      <c r="B53" s="2768" t="s">
        <v>400</v>
      </c>
      <c r="C53" s="408" t="s">
        <v>381</v>
      </c>
      <c r="D53" s="970">
        <v>106.30733009796415</v>
      </c>
      <c r="E53" s="359">
        <f>+E52/E$3/24</f>
        <v>102.23611527777778</v>
      </c>
      <c r="F53" s="970">
        <v>102.9411453814557</v>
      </c>
      <c r="G53" s="359">
        <f>+G52/G$3/24</f>
        <v>101.32129838709677</v>
      </c>
      <c r="H53" s="418">
        <f>+H52/H$3/24</f>
        <v>104.59664606170578</v>
      </c>
      <c r="I53" s="418">
        <f>+I52/I$3/24</f>
        <v>101.77120833333333</v>
      </c>
      <c r="J53" s="970">
        <v>103.03334199517656</v>
      </c>
      <c r="K53" s="359">
        <f>+K52/K$3/24</f>
        <v>97.690281944444436</v>
      </c>
      <c r="L53" s="428">
        <f>+L52/L$3/24</f>
        <v>104.08127109471813</v>
      </c>
      <c r="M53" s="428">
        <f>+M52/M$3/24</f>
        <v>100.42584798534797</v>
      </c>
      <c r="N53" s="970">
        <v>101.60052933064966</v>
      </c>
      <c r="O53" s="359">
        <f>+O52/O$3/24</f>
        <v>97.442122322580644</v>
      </c>
      <c r="P53" s="418">
        <f>+P52/P$3/24</f>
        <v>103.45091867925811</v>
      </c>
      <c r="Q53" s="418">
        <f>+Q52/Q$3/24</f>
        <v>99.667688185792358</v>
      </c>
      <c r="R53" s="970">
        <v>102.38012972051321</v>
      </c>
      <c r="S53" s="359">
        <f>+S52/S$3/24</f>
        <v>94.850807795698927</v>
      </c>
      <c r="T53" s="418">
        <f>+T52/T$3/24</f>
        <v>103.23396143925096</v>
      </c>
      <c r="U53" s="418">
        <f>+U52/U$3/24</f>
        <v>98.69171895642701</v>
      </c>
      <c r="V53" s="970">
        <v>68.042938528249806</v>
      </c>
      <c r="W53" s="359">
        <f>+W52/W$3/24</f>
        <v>97.755590277777756</v>
      </c>
      <c r="X53" s="428">
        <f>+X52/X$3/24</f>
        <v>90.920528113408082</v>
      </c>
      <c r="Y53" s="428">
        <f>+Y52/Y$3/24</f>
        <v>96.67117980434783</v>
      </c>
      <c r="Z53" s="510">
        <f>+Z52/Z$3/24</f>
        <v>97.46494128990652</v>
      </c>
      <c r="AA53" s="510">
        <f>+AA52/AA$3/24</f>
        <v>98.538255238615662</v>
      </c>
      <c r="AB53" s="970">
        <v>103.12932796865955</v>
      </c>
      <c r="AC53" s="359">
        <f>+AC52/AC$3/24</f>
        <v>87.229855645161294</v>
      </c>
      <c r="AD53" s="418">
        <f>+AD52/AD$3/24</f>
        <v>98.285483285426821</v>
      </c>
      <c r="AE53" s="418">
        <f>+AE52/AE$3/24</f>
        <v>96.900122587227415</v>
      </c>
      <c r="AF53" s="970">
        <v>113.39998351681271</v>
      </c>
      <c r="AG53" s="359">
        <f>+AG52/AG$3/24</f>
        <v>97.079166666666666</v>
      </c>
      <c r="AH53" s="418">
        <f>+AH52/AH$3/24</f>
        <v>100.14382347781033</v>
      </c>
      <c r="AI53" s="418">
        <f>+AI52/AI$3/24</f>
        <v>96.922136203551929</v>
      </c>
      <c r="AJ53" s="970">
        <v>113.42381912390304</v>
      </c>
      <c r="AK53" s="359">
        <f>+AK52/AK$3/24</f>
        <v>96.701612903225808</v>
      </c>
      <c r="AL53" s="428">
        <f>+AL52/AL$3/24</f>
        <v>109.94725071058502</v>
      </c>
      <c r="AM53" s="428">
        <f>+AM52/AM$3/24</f>
        <v>93.633157880434794</v>
      </c>
      <c r="AN53" s="418">
        <f>+AN52/AN$3/24</f>
        <v>101.64084116882442</v>
      </c>
      <c r="AO53" s="418">
        <f>+AO52/AO$3/24</f>
        <v>96.897277213333339</v>
      </c>
      <c r="AP53" s="970">
        <v>115.28510087574236</v>
      </c>
      <c r="AQ53" s="359">
        <f>+AQ52/AQ$3/24</f>
        <v>99.408575819892462</v>
      </c>
      <c r="AR53" s="418">
        <f>+AR52/AR$3/24</f>
        <v>103.02310277312004</v>
      </c>
      <c r="AS53" s="418">
        <f>+AS52/AS$3/24</f>
        <v>97.15168981726579</v>
      </c>
      <c r="AT53" s="970">
        <v>114.10002264085044</v>
      </c>
      <c r="AU53" s="359">
        <f>+AU52/AU$3/24</f>
        <v>99.431472767857144</v>
      </c>
      <c r="AV53" s="418">
        <f>+AV52/AV$3/24</f>
        <v>103.95170683388785</v>
      </c>
      <c r="AW53" s="418">
        <f>+AW52/AW$3/24</f>
        <v>97.342809346057891</v>
      </c>
      <c r="AX53" s="970">
        <v>106.18684734714077</v>
      </c>
      <c r="AY53" s="359">
        <f>+AY52/AY$3/24</f>
        <v>99.317341599462495</v>
      </c>
      <c r="AZ53" s="428">
        <f t="shared" ref="AZ53:BE53" si="158">+AZ52/AZ$3/24</f>
        <v>111.78256698725765</v>
      </c>
      <c r="BA53" s="428">
        <f t="shared" si="158"/>
        <v>99.384274194444473</v>
      </c>
      <c r="BB53" s="510">
        <f t="shared" si="158"/>
        <v>110.85482469355499</v>
      </c>
      <c r="BC53" s="510">
        <f t="shared" si="158"/>
        <v>96.477116497252766</v>
      </c>
      <c r="BD53" s="418">
        <f t="shared" si="158"/>
        <v>104.14154068569837</v>
      </c>
      <c r="BE53" s="418">
        <f t="shared" si="158"/>
        <v>97.510509345662115</v>
      </c>
      <c r="BF53" s="528"/>
      <c r="BG53" s="528"/>
      <c r="BH53" s="26"/>
      <c r="BI53" s="26"/>
      <c r="BJ53" s="26"/>
    </row>
    <row r="54" spans="1:62" ht="17.399999999999999" x14ac:dyDescent="0.3">
      <c r="B54" s="3049" t="s">
        <v>461</v>
      </c>
      <c r="C54" s="126" t="s">
        <v>393</v>
      </c>
      <c r="D54" s="602">
        <f t="shared" ref="D54:K54" si="159">+D50+D52</f>
        <v>112632.74092272871</v>
      </c>
      <c r="E54" s="679">
        <f t="shared" si="159"/>
        <v>102029.20300000001</v>
      </c>
      <c r="F54" s="602">
        <f t="shared" ref="F54:G54" si="160">+F50+F52</f>
        <v>116432.93541389654</v>
      </c>
      <c r="G54" s="679">
        <f t="shared" si="160"/>
        <v>110074.046</v>
      </c>
      <c r="H54" s="602">
        <f t="shared" si="159"/>
        <v>229065.67633662527</v>
      </c>
      <c r="I54" s="679">
        <f t="shared" si="159"/>
        <v>212103.24900000001</v>
      </c>
      <c r="J54" s="602">
        <f t="shared" si="159"/>
        <v>112627.31929746183</v>
      </c>
      <c r="K54" s="679">
        <f t="shared" si="159"/>
        <v>109637.40299999999</v>
      </c>
      <c r="L54" s="1569">
        <f t="shared" ref="L54:O55" si="161">+L50+L52</f>
        <v>341692.99563408707</v>
      </c>
      <c r="M54" s="1569">
        <f t="shared" si="161"/>
        <v>321740.652</v>
      </c>
      <c r="N54" s="602">
        <f t="shared" si="161"/>
        <v>115501.30719417044</v>
      </c>
      <c r="O54" s="679">
        <f t="shared" si="161"/>
        <v>115260.639008</v>
      </c>
      <c r="P54" s="602">
        <f t="shared" ref="P54:S55" si="162">+P50+P52</f>
        <v>457194.30282825755</v>
      </c>
      <c r="Q54" s="602">
        <f t="shared" si="162"/>
        <v>437001.29100799997</v>
      </c>
      <c r="R54" s="602">
        <f t="shared" si="162"/>
        <v>115501.30719417045</v>
      </c>
      <c r="S54" s="679">
        <f t="shared" si="162"/>
        <v>111607.901</v>
      </c>
      <c r="T54" s="602">
        <f t="shared" ref="T54:W54" si="163">+T50+T52</f>
        <v>572695.61002242798</v>
      </c>
      <c r="U54" s="602">
        <f t="shared" si="163"/>
        <v>548609.19200799998</v>
      </c>
      <c r="V54" s="602">
        <f t="shared" si="163"/>
        <v>78448.631099244507</v>
      </c>
      <c r="W54" s="679">
        <f t="shared" si="163"/>
        <v>108649.42499999999</v>
      </c>
      <c r="X54" s="1569">
        <f t="shared" ref="X54:Y54" si="164">+X50+X52</f>
        <v>309451.24548758543</v>
      </c>
      <c r="Y54" s="1569">
        <f t="shared" si="164"/>
        <v>335517.96500800003</v>
      </c>
      <c r="Z54" s="2256">
        <f t="shared" ref="Z54:AC54" si="165">+Z50+Z52</f>
        <v>651144.24112167256</v>
      </c>
      <c r="AA54" s="2256">
        <f t="shared" si="165"/>
        <v>657258.61700799991</v>
      </c>
      <c r="AB54" s="602">
        <f t="shared" si="165"/>
        <v>116215.12422770298</v>
      </c>
      <c r="AC54" s="679">
        <f t="shared" si="165"/>
        <v>99245.312600000005</v>
      </c>
      <c r="AD54" s="602">
        <f t="shared" ref="AD54:AG54" si="166">+AD50+AD52</f>
        <v>767359.36534937541</v>
      </c>
      <c r="AE54" s="602">
        <f t="shared" si="166"/>
        <v>756503.92960799998</v>
      </c>
      <c r="AF54" s="602">
        <f t="shared" si="166"/>
        <v>112969.57765108054</v>
      </c>
      <c r="AG54" s="679">
        <f t="shared" si="166"/>
        <v>107533.70000000001</v>
      </c>
      <c r="AH54" s="602">
        <f t="shared" ref="AH54:AK54" si="167">+AH50+AH52</f>
        <v>880328.94300045609</v>
      </c>
      <c r="AI54" s="602">
        <f t="shared" si="167"/>
        <v>864037.62960800005</v>
      </c>
      <c r="AJ54" s="602">
        <f t="shared" si="167"/>
        <v>116724.43312751525</v>
      </c>
      <c r="AK54" s="679">
        <f t="shared" si="167"/>
        <v>109070</v>
      </c>
      <c r="AL54" s="1569">
        <f t="shared" ref="AL54:AS55" si="168">+AL50+AL52</f>
        <v>345909.13500629878</v>
      </c>
      <c r="AM54" s="1569">
        <f t="shared" si="168"/>
        <v>315849.01260000002</v>
      </c>
      <c r="AN54" s="602">
        <f t="shared" si="168"/>
        <v>997053.37612797134</v>
      </c>
      <c r="AO54" s="602">
        <f t="shared" si="168"/>
        <v>973107.62960800005</v>
      </c>
      <c r="AP54" s="602">
        <f t="shared" si="168"/>
        <v>117435.69160293767</v>
      </c>
      <c r="AQ54" s="679">
        <f t="shared" si="168"/>
        <v>109594.28040999999</v>
      </c>
      <c r="AR54" s="602">
        <f t="shared" si="168"/>
        <v>1114489.0677309092</v>
      </c>
      <c r="AS54" s="602">
        <f t="shared" si="168"/>
        <v>1082701.9100180001</v>
      </c>
      <c r="AT54" s="602">
        <f t="shared" ref="AT54:AU54" si="169">+AT50+AT52</f>
        <v>105633.15802639694</v>
      </c>
      <c r="AU54" s="679">
        <f t="shared" si="169"/>
        <v>97118.449699999997</v>
      </c>
      <c r="AV54" s="602">
        <f t="shared" ref="AV54:AY54" si="170">+AV50+AV52</f>
        <v>1220122.225757306</v>
      </c>
      <c r="AW54" s="602">
        <f t="shared" si="170"/>
        <v>1179820.3597180001</v>
      </c>
      <c r="AX54" s="602">
        <f t="shared" si="170"/>
        <v>117561.41007221155</v>
      </c>
      <c r="AY54" s="679">
        <f t="shared" si="170"/>
        <v>111039.30215000009</v>
      </c>
      <c r="AZ54" s="1569">
        <f t="shared" ref="AZ54:BE54" si="171">+AZ50+AZ52</f>
        <v>340630.25970154617</v>
      </c>
      <c r="BA54" s="1569">
        <f t="shared" si="171"/>
        <v>317752.03226000007</v>
      </c>
      <c r="BB54" s="2256">
        <f t="shared" si="171"/>
        <v>686539.39470784494</v>
      </c>
      <c r="BC54" s="2256">
        <f t="shared" si="171"/>
        <v>633601.04486000002</v>
      </c>
      <c r="BD54" s="602">
        <f t="shared" si="171"/>
        <v>1337683.6358295176</v>
      </c>
      <c r="BE54" s="602">
        <f t="shared" si="171"/>
        <v>1290859.6618680002</v>
      </c>
      <c r="BF54" s="528"/>
      <c r="BG54" s="528"/>
      <c r="BH54" s="26"/>
      <c r="BI54" s="26"/>
      <c r="BJ54" s="26"/>
    </row>
    <row r="55" spans="1:62" ht="18" thickBot="1" x14ac:dyDescent="0.35">
      <c r="B55" s="2765" t="s">
        <v>462</v>
      </c>
      <c r="C55" s="21" t="s">
        <v>381</v>
      </c>
      <c r="D55" s="714">
        <f>+D51+D53</f>
        <v>156.43436239267879</v>
      </c>
      <c r="E55" s="714">
        <f>+E51+E53</f>
        <v>141.7072263888889</v>
      </c>
      <c r="F55" s="714">
        <f>+F51+F53</f>
        <v>156.49588093265663</v>
      </c>
      <c r="G55" s="714">
        <f>+G51+G53</f>
        <v>147.94898655913977</v>
      </c>
      <c r="H55" s="670">
        <f>+H51+H53</f>
        <v>156.46562591299539</v>
      </c>
      <c r="I55" s="419">
        <f>+I54/I$3/24</f>
        <v>144.87926844262296</v>
      </c>
      <c r="J55" s="714">
        <f>+J51+J53</f>
        <v>156.42683235758588</v>
      </c>
      <c r="K55" s="714">
        <f>+K51+K53</f>
        <v>152.2741708333333</v>
      </c>
      <c r="L55" s="2257">
        <f t="shared" si="161"/>
        <v>156.45283682879446</v>
      </c>
      <c r="M55" s="429">
        <f>+M54/M$3/24</f>
        <v>147.31714835164834</v>
      </c>
      <c r="N55" s="714">
        <f>+N51+N53</f>
        <v>155.24369246528286</v>
      </c>
      <c r="O55" s="714">
        <f>+O51+O53</f>
        <v>154.92021372043013</v>
      </c>
      <c r="P55" s="670">
        <f t="shared" si="162"/>
        <v>156.14559522823004</v>
      </c>
      <c r="Q55" s="419">
        <f>+Q54/Q$3/24</f>
        <v>149.24907479781419</v>
      </c>
      <c r="R55" s="714">
        <f>+R51+R53</f>
        <v>155.24369246528286</v>
      </c>
      <c r="S55" s="714">
        <f>+S51+S53</f>
        <v>150.01061962365591</v>
      </c>
      <c r="T55" s="670">
        <f t="shared" ref="T55" si="172">+T51+T53</f>
        <v>155.96285675992047</v>
      </c>
      <c r="U55" s="419">
        <f>+U54/U$3/24</f>
        <v>149.40337472984749</v>
      </c>
      <c r="V55" s="714">
        <f>+V51+V53</f>
        <v>108.95643208228404</v>
      </c>
      <c r="W55" s="714">
        <f>+W51+W53</f>
        <v>150.90197916666665</v>
      </c>
      <c r="X55" s="2257">
        <f t="shared" ref="X55" si="173">+X51+X53</f>
        <v>140.1500206012615</v>
      </c>
      <c r="Y55" s="429">
        <f>+Y54/Y$3/24</f>
        <v>151.95560009420291</v>
      </c>
      <c r="Z55" s="2258">
        <f>+Z51+Z53</f>
        <v>148.25688550129155</v>
      </c>
      <c r="AA55" s="511">
        <f>+AA54/AA$3/24</f>
        <v>149.64904758834243</v>
      </c>
      <c r="AB55" s="714">
        <f>+AB51+AB53</f>
        <v>156.20312396196638</v>
      </c>
      <c r="AC55" s="714">
        <f>+AC51+AC53</f>
        <v>133.39423736559138</v>
      </c>
      <c r="AD55" s="670">
        <f>+AD51+AD53</f>
        <v>149.40797611942671</v>
      </c>
      <c r="AE55" s="419">
        <f>+AE54/AE$3/24</f>
        <v>147.29437881775701</v>
      </c>
      <c r="AF55" s="714">
        <f>+AF51+AF53</f>
        <v>156.9021911820563</v>
      </c>
      <c r="AG55" s="714">
        <f>+AG51+AG53</f>
        <v>149.35236111111112</v>
      </c>
      <c r="AH55" s="670">
        <f>+AH51+AH53</f>
        <v>150.32939600417623</v>
      </c>
      <c r="AI55" s="419">
        <f>+AI54/AI$3/24</f>
        <v>147.54740942759562</v>
      </c>
      <c r="AJ55" s="714">
        <f>+AJ51+AJ53</f>
        <v>156.88767893483231</v>
      </c>
      <c r="AK55" s="714">
        <f>+AK51+AK53</f>
        <v>146.59946236559139</v>
      </c>
      <c r="AL55" s="2257">
        <f t="shared" si="168"/>
        <v>156.66174592676575</v>
      </c>
      <c r="AM55" s="429">
        <f>+AM54/AM$3/24</f>
        <v>143.04756005434783</v>
      </c>
      <c r="AN55" s="670">
        <f>+AN51+AN53</f>
        <v>151.06869335272293</v>
      </c>
      <c r="AO55" s="419">
        <f>+AO54/AO$3/24</f>
        <v>147.44054994060608</v>
      </c>
      <c r="AP55" s="714">
        <f>+AP51+AP53</f>
        <v>157.84367150932485</v>
      </c>
      <c r="AQ55" s="714">
        <f>+AQ51+AQ53</f>
        <v>147.3041403360215</v>
      </c>
      <c r="AR55" s="670">
        <f>+AR51+AR53</f>
        <v>151.75504734897999</v>
      </c>
      <c r="AS55" s="419">
        <f>+AS54/AS$3/24</f>
        <v>147.42673066693899</v>
      </c>
      <c r="AT55" s="714">
        <f>+AT51+AT53</f>
        <v>157.19219944404304</v>
      </c>
      <c r="AU55" s="714">
        <f>+AU51+AU53</f>
        <v>144.5215025297619</v>
      </c>
      <c r="AV55" s="670">
        <f>+AV51+AV53</f>
        <v>152.21085650664995</v>
      </c>
      <c r="AW55" s="419">
        <f>+AW54/AW$3/24</f>
        <v>147.18317860753493</v>
      </c>
      <c r="AX55" s="714">
        <f>+AX51+AX53</f>
        <v>158.01264794652093</v>
      </c>
      <c r="AY55" s="714">
        <f>+AY51+AY53</f>
        <v>149.246373857527</v>
      </c>
      <c r="AZ55" s="2608">
        <f t="shared" ref="AZ55" si="174">+AZ51+AZ53</f>
        <v>157.69919430627138</v>
      </c>
      <c r="BA55" s="2609">
        <f>+BA54/BA$3/24</f>
        <v>147.10742234259263</v>
      </c>
      <c r="BB55" s="2610">
        <f>+BB51+BB53</f>
        <v>157.17476985069709</v>
      </c>
      <c r="BC55" s="2611">
        <f>+BC54/BC$3/24</f>
        <v>145.05518426282052</v>
      </c>
      <c r="BD55" s="2612">
        <f>+BD51+BD53</f>
        <v>152.70361139606365</v>
      </c>
      <c r="BE55" s="2607">
        <f>+BE54/BE$3/24</f>
        <v>147.3584088890411</v>
      </c>
      <c r="BF55" s="528"/>
      <c r="BG55" s="528"/>
      <c r="BH55" s="26"/>
      <c r="BI55" s="26"/>
      <c r="BJ55" s="26"/>
    </row>
    <row r="56" spans="1:62" ht="15" thickBot="1" x14ac:dyDescent="0.35">
      <c r="B56" s="3050" t="s">
        <v>403</v>
      </c>
      <c r="C56" s="6"/>
      <c r="D56" s="972"/>
      <c r="E56" s="680"/>
      <c r="F56" s="972"/>
      <c r="G56" s="680"/>
      <c r="H56" s="6"/>
      <c r="I56" s="680"/>
      <c r="J56" s="972"/>
      <c r="K56" s="680"/>
      <c r="L56" s="6"/>
      <c r="M56" s="6"/>
      <c r="N56" s="972"/>
      <c r="O56" s="680"/>
      <c r="P56" s="6"/>
      <c r="Q56" s="6"/>
      <c r="R56" s="972"/>
      <c r="S56" s="680"/>
      <c r="T56" s="6"/>
      <c r="U56" s="6"/>
      <c r="V56" s="972"/>
      <c r="W56" s="680"/>
      <c r="X56" s="6"/>
      <c r="Y56" s="6"/>
      <c r="Z56" s="2261"/>
      <c r="AA56" s="2261"/>
      <c r="AB56" s="972"/>
      <c r="AC56" s="680"/>
      <c r="AD56" s="6"/>
      <c r="AE56" s="6"/>
      <c r="AF56" s="972"/>
      <c r="AG56" s="680"/>
      <c r="AH56" s="6"/>
      <c r="AI56" s="6"/>
      <c r="AJ56" s="972"/>
      <c r="AK56" s="680"/>
      <c r="AL56" s="6"/>
      <c r="AM56" s="6"/>
      <c r="AN56" s="6"/>
      <c r="AO56" s="6"/>
      <c r="AP56" s="972"/>
      <c r="AQ56" s="680"/>
      <c r="AR56" s="6"/>
      <c r="AS56" s="6"/>
      <c r="AT56" s="972"/>
      <c r="AU56" s="680"/>
      <c r="AV56" s="6"/>
      <c r="AW56" s="6"/>
      <c r="AX56" s="972"/>
      <c r="AY56" s="680"/>
      <c r="AZ56" s="6"/>
      <c r="BA56" s="6"/>
      <c r="BB56" s="2261"/>
      <c r="BC56" s="2261"/>
      <c r="BD56" s="6"/>
      <c r="BE56" s="6"/>
      <c r="BF56" s="528"/>
      <c r="BG56" s="528"/>
      <c r="BH56" s="26"/>
      <c r="BI56" s="26"/>
      <c r="BJ56" s="26"/>
    </row>
    <row r="57" spans="1:62" x14ac:dyDescent="0.3">
      <c r="B57" s="8" t="s">
        <v>63</v>
      </c>
      <c r="C57" s="13" t="s">
        <v>66</v>
      </c>
      <c r="D57" s="152">
        <f>D65*D3*24</f>
        <v>208507.11711459071</v>
      </c>
      <c r="E57" s="18">
        <v>165311.72</v>
      </c>
      <c r="F57" s="152">
        <f>F65*F3*24</f>
        <v>227486.624326833</v>
      </c>
      <c r="G57" s="18">
        <v>189017.32</v>
      </c>
      <c r="H57" s="60">
        <f>+D57+F57</f>
        <v>435993.74144142371</v>
      </c>
      <c r="I57" s="38">
        <f>+E57+G57</f>
        <v>354329.04000000004</v>
      </c>
      <c r="J57" s="152">
        <f>J65*J3*24</f>
        <v>219678.40370610653</v>
      </c>
      <c r="K57" s="18">
        <v>206451.84000000003</v>
      </c>
      <c r="L57" s="754">
        <f t="shared" ref="L57:L58" si="175">+H57+J57</f>
        <v>655672.14514753025</v>
      </c>
      <c r="M57" s="422">
        <f t="shared" ref="M57:M58" si="176">+I57+K57</f>
        <v>560780.88000000012</v>
      </c>
      <c r="N57" s="152">
        <f>N65*N3*24</f>
        <v>228279.40518446034</v>
      </c>
      <c r="O57" s="18">
        <v>218006.16</v>
      </c>
      <c r="P57" s="60">
        <f>+L57+N57</f>
        <v>883951.55033199058</v>
      </c>
      <c r="Q57" s="214">
        <f>+M57+O57</f>
        <v>778787.04000000015</v>
      </c>
      <c r="R57" s="152">
        <f>R65*R3*24</f>
        <v>225838.32518446038</v>
      </c>
      <c r="S57" s="18">
        <v>209120.88</v>
      </c>
      <c r="T57" s="60">
        <f>+P57+R57</f>
        <v>1109789.875516451</v>
      </c>
      <c r="U57" s="214">
        <f>+Q57+S57</f>
        <v>987907.92000000016</v>
      </c>
      <c r="V57" s="152">
        <f>V65*V3*24</f>
        <v>163918.51348963828</v>
      </c>
      <c r="W57" s="18">
        <v>199066.56000000003</v>
      </c>
      <c r="X57" s="71">
        <f t="shared" ref="X57:Y58" si="177">+N57+R57+V57</f>
        <v>618036.24385855906</v>
      </c>
      <c r="Y57" s="524">
        <f t="shared" si="177"/>
        <v>626193.60000000009</v>
      </c>
      <c r="Z57" s="709">
        <f>L57+X57</f>
        <v>1273708.3890060894</v>
      </c>
      <c r="AA57" s="453">
        <f>M57+Y57</f>
        <v>1186974.4800000002</v>
      </c>
      <c r="AB57" s="152">
        <f>AB65*AB3*24</f>
        <v>225947.07652182781</v>
      </c>
      <c r="AC57" s="18">
        <v>180510.72</v>
      </c>
      <c r="AD57" s="60">
        <f>+Z57+AB57</f>
        <v>1499655.4655279173</v>
      </c>
      <c r="AE57" s="214">
        <f>+AA57+AC57</f>
        <v>1367485.2000000002</v>
      </c>
      <c r="AF57" s="152">
        <f>AF65*AF3*24</f>
        <v>185850.21688179977</v>
      </c>
      <c r="AG57" s="18">
        <v>197251.20000000001</v>
      </c>
      <c r="AH57" s="60">
        <f>+AD57+AF57</f>
        <v>1685505.682409717</v>
      </c>
      <c r="AI57" s="214">
        <f>+AE57+AG57</f>
        <v>1564736.4000000001</v>
      </c>
      <c r="AJ57" s="152">
        <f>AJ65*AJ3*24</f>
        <v>191985.5620533055</v>
      </c>
      <c r="AK57" s="18">
        <v>203551.92</v>
      </c>
      <c r="AL57" s="71">
        <f t="shared" ref="AL57:AL58" si="178">+AB57+AF57+AJ57</f>
        <v>603782.85545693315</v>
      </c>
      <c r="AM57" s="524">
        <f t="shared" ref="AM57:AM58" si="179">+AC57+AG57+AK57</f>
        <v>581313.84000000008</v>
      </c>
      <c r="AN57" s="60">
        <f>+AH57+AJ57</f>
        <v>1877491.2444630226</v>
      </c>
      <c r="AO57" s="214">
        <f>+AI57+AK57</f>
        <v>1768288.32</v>
      </c>
      <c r="AP57" s="152">
        <f>AP65*AP3*24</f>
        <v>188677.89973019162</v>
      </c>
      <c r="AQ57" s="18">
        <v>197320.08</v>
      </c>
      <c r="AR57" s="60">
        <f>+AN57+AP57</f>
        <v>2066169.1441932141</v>
      </c>
      <c r="AS57" s="214">
        <f>+AO57+AQ57</f>
        <v>1965608.4000000001</v>
      </c>
      <c r="AT57" s="152">
        <f>AT65*AT3*24</f>
        <v>172144.98020764263</v>
      </c>
      <c r="AU57" s="18">
        <v>169245.6</v>
      </c>
      <c r="AV57" s="60">
        <f>+AR57+AT57</f>
        <v>2238314.1244008569</v>
      </c>
      <c r="AW57" s="214">
        <f>+AS57+AU57</f>
        <v>2134854</v>
      </c>
      <c r="AX57" s="152">
        <f>AX65*AX3*24</f>
        <v>221428.29042932059</v>
      </c>
      <c r="AY57" s="18">
        <v>205252.8</v>
      </c>
      <c r="AZ57" s="71">
        <f t="shared" ref="AZ57:AZ58" si="180">+AP57+AT57+AX57</f>
        <v>582251.17036715476</v>
      </c>
      <c r="BA57" s="524">
        <f t="shared" ref="BA57:BA58" si="181">+AQ57+AU57+AY57</f>
        <v>571818.48</v>
      </c>
      <c r="BB57" s="709">
        <f>AL57+AZ57</f>
        <v>1186034.0258240879</v>
      </c>
      <c r="BC57" s="453">
        <f>AM57+BA57</f>
        <v>1153132.32</v>
      </c>
      <c r="BD57" s="60">
        <f>+AV57+AX57</f>
        <v>2459742.4148301776</v>
      </c>
      <c r="BE57" s="214">
        <f>+AW57+AY57</f>
        <v>2340106.7999999998</v>
      </c>
      <c r="BF57" s="528"/>
      <c r="BG57" s="528"/>
      <c r="BH57" s="26"/>
      <c r="BI57" s="26"/>
      <c r="BJ57" s="26"/>
    </row>
    <row r="58" spans="1:62" ht="15" thickBot="1" x14ac:dyDescent="0.35">
      <c r="B58" s="3051" t="s">
        <v>56</v>
      </c>
      <c r="C58" s="14" t="s">
        <v>66</v>
      </c>
      <c r="D58" s="1293">
        <f>D66*D3*24</f>
        <v>45360</v>
      </c>
      <c r="E58" s="18">
        <v>39576</v>
      </c>
      <c r="F58" s="1293">
        <f>F66*F3*24</f>
        <v>46872</v>
      </c>
      <c r="G58" s="18">
        <v>48268</v>
      </c>
      <c r="H58" s="60">
        <f>+D58+F58</f>
        <v>92232</v>
      </c>
      <c r="I58" s="38">
        <f>+E58+G58</f>
        <v>87844</v>
      </c>
      <c r="J58" s="1293">
        <f>J66*J3*24</f>
        <v>45360</v>
      </c>
      <c r="K58" s="18">
        <v>46415.839999999989</v>
      </c>
      <c r="L58" s="754">
        <f t="shared" si="175"/>
        <v>137592</v>
      </c>
      <c r="M58" s="422">
        <f t="shared" si="176"/>
        <v>134259.84</v>
      </c>
      <c r="N58" s="1293">
        <f>N66*N3*24</f>
        <v>46872</v>
      </c>
      <c r="O58" s="18">
        <v>48772.800000000003</v>
      </c>
      <c r="P58" s="60">
        <f>+L58+N58</f>
        <v>184464</v>
      </c>
      <c r="Q58" s="214">
        <f>+M58+O58</f>
        <v>183032.64</v>
      </c>
      <c r="R58" s="1293">
        <f>R66*R3*24</f>
        <v>46872</v>
      </c>
      <c r="S58" s="18">
        <v>50068</v>
      </c>
      <c r="T58" s="60">
        <f>+P58+R58</f>
        <v>231336</v>
      </c>
      <c r="U58" s="214">
        <f>+Q58+S58</f>
        <v>233100.64</v>
      </c>
      <c r="V58" s="1293">
        <f>V66*V3*24</f>
        <v>45360</v>
      </c>
      <c r="W58" s="18">
        <v>45636.799999999988</v>
      </c>
      <c r="X58" s="71">
        <f t="shared" si="177"/>
        <v>139104</v>
      </c>
      <c r="Y58" s="524">
        <f t="shared" si="177"/>
        <v>144477.59999999998</v>
      </c>
      <c r="Z58" s="718">
        <f>L58+X58</f>
        <v>276696</v>
      </c>
      <c r="AA58" s="454">
        <f>M58+Y58</f>
        <v>278737.43999999994</v>
      </c>
      <c r="AB58" s="1293">
        <f>AB66*AB3*24</f>
        <v>46872</v>
      </c>
      <c r="AC58" s="18">
        <v>46608</v>
      </c>
      <c r="AD58" s="60">
        <f>+Z58+AB58</f>
        <v>323568</v>
      </c>
      <c r="AE58" s="214">
        <f>+AA58+AC58</f>
        <v>325345.43999999994</v>
      </c>
      <c r="AF58" s="1293">
        <f>AF66*AF3*24</f>
        <v>45360</v>
      </c>
      <c r="AG58" s="18">
        <v>48792</v>
      </c>
      <c r="AH58" s="60">
        <f>+AD58+AF58</f>
        <v>368928</v>
      </c>
      <c r="AI58" s="214">
        <f>+AE58+AG58</f>
        <v>374137.43999999994</v>
      </c>
      <c r="AJ58" s="1293">
        <f>AJ66*AJ3*24</f>
        <v>46872</v>
      </c>
      <c r="AK58" s="18">
        <v>49228</v>
      </c>
      <c r="AL58" s="71">
        <f t="shared" si="178"/>
        <v>139104</v>
      </c>
      <c r="AM58" s="524">
        <f t="shared" si="179"/>
        <v>144628</v>
      </c>
      <c r="AN58" s="60">
        <f>+AH58+AJ58</f>
        <v>415800</v>
      </c>
      <c r="AO58" s="214">
        <f>+AI58+AK58</f>
        <v>423365.43999999994</v>
      </c>
      <c r="AP58" s="1293">
        <f>AP66*AP3*24</f>
        <v>46872</v>
      </c>
      <c r="AQ58" s="18">
        <v>47007.199999999997</v>
      </c>
      <c r="AR58" s="60">
        <f>+AN58+AP58</f>
        <v>462672</v>
      </c>
      <c r="AS58" s="214">
        <f>+AO58+AQ58</f>
        <v>470372.63999999996</v>
      </c>
      <c r="AT58" s="1293">
        <f>AT66*AT3*24</f>
        <v>42336</v>
      </c>
      <c r="AU58" s="18">
        <v>42920.800000000003</v>
      </c>
      <c r="AV58" s="60">
        <f>+AR58+AT58</f>
        <v>505008</v>
      </c>
      <c r="AW58" s="214">
        <f>+AS58+AU58</f>
        <v>513293.43999999994</v>
      </c>
      <c r="AX58" s="1293">
        <f>AX66*AX3*24</f>
        <v>46872</v>
      </c>
      <c r="AY58" s="18">
        <v>44519.44</v>
      </c>
      <c r="AZ58" s="71">
        <f t="shared" si="180"/>
        <v>136080</v>
      </c>
      <c r="BA58" s="524">
        <f t="shared" si="181"/>
        <v>134447.44</v>
      </c>
      <c r="BB58" s="718">
        <f>AL58+AZ58</f>
        <v>275184</v>
      </c>
      <c r="BC58" s="454">
        <f>AM58+BA58</f>
        <v>279075.44</v>
      </c>
      <c r="BD58" s="60">
        <f>+AV58+AX58</f>
        <v>551880</v>
      </c>
      <c r="BE58" s="214">
        <f>+AW58+AY58</f>
        <v>557812.87999999989</v>
      </c>
      <c r="BF58" s="528"/>
      <c r="BG58" s="528"/>
      <c r="BH58" s="26"/>
      <c r="BI58" s="26"/>
      <c r="BJ58" s="26"/>
    </row>
    <row r="59" spans="1:62" ht="15.6" x14ac:dyDescent="0.3">
      <c r="B59" s="6425" t="s">
        <v>2</v>
      </c>
      <c r="C59" s="36" t="s">
        <v>66</v>
      </c>
      <c r="D59" s="973">
        <f t="shared" ref="D59:I59" si="182">SUM(D57:D58)</f>
        <v>253867.11711459071</v>
      </c>
      <c r="E59" s="127">
        <f t="shared" si="182"/>
        <v>204887.72</v>
      </c>
      <c r="F59" s="973">
        <f t="shared" ref="F59:G59" si="183">SUM(F57:F58)</f>
        <v>274358.624326833</v>
      </c>
      <c r="G59" s="127">
        <f t="shared" si="183"/>
        <v>237285.32</v>
      </c>
      <c r="H59" s="937">
        <f t="shared" si="182"/>
        <v>528225.74144142377</v>
      </c>
      <c r="I59" s="3052">
        <f t="shared" si="182"/>
        <v>442173.04000000004</v>
      </c>
      <c r="J59" s="973">
        <f t="shared" ref="J59:K59" si="184">SUM(J57:J58)</f>
        <v>265038.40370610653</v>
      </c>
      <c r="K59" s="127">
        <f t="shared" si="184"/>
        <v>252867.68000000002</v>
      </c>
      <c r="L59" s="974">
        <f t="shared" ref="L59:Q59" si="185">SUM(L57:L58)</f>
        <v>793264.14514753025</v>
      </c>
      <c r="M59" s="237">
        <f t="shared" si="185"/>
        <v>695040.72000000009</v>
      </c>
      <c r="N59" s="973">
        <f t="shared" si="185"/>
        <v>275151.40518446034</v>
      </c>
      <c r="O59" s="127">
        <f t="shared" si="185"/>
        <v>266778.96000000002</v>
      </c>
      <c r="P59" s="937">
        <f t="shared" si="185"/>
        <v>1068415.5503319907</v>
      </c>
      <c r="Q59" s="220">
        <f t="shared" si="185"/>
        <v>961819.68000000017</v>
      </c>
      <c r="R59" s="973">
        <f t="shared" ref="R59:S59" si="186">SUM(R57:R58)</f>
        <v>272710.32518446038</v>
      </c>
      <c r="S59" s="127">
        <f t="shared" si="186"/>
        <v>259188.88</v>
      </c>
      <c r="T59" s="937">
        <f t="shared" ref="T59:W59" si="187">SUM(T57:T58)</f>
        <v>1341125.875516451</v>
      </c>
      <c r="U59" s="220">
        <f t="shared" si="187"/>
        <v>1221008.56</v>
      </c>
      <c r="V59" s="973">
        <f t="shared" si="187"/>
        <v>209278.51348963828</v>
      </c>
      <c r="W59" s="127">
        <f t="shared" si="187"/>
        <v>244703.36000000002</v>
      </c>
      <c r="X59" s="974">
        <f t="shared" ref="X59:Y59" si="188">SUM(X57:X58)</f>
        <v>757140.24385855906</v>
      </c>
      <c r="Y59" s="237">
        <f t="shared" si="188"/>
        <v>770671.20000000007</v>
      </c>
      <c r="Z59" s="2259">
        <f t="shared" ref="Z59:AE59" si="189">SUM(Z57:Z58)</f>
        <v>1550404.3890060894</v>
      </c>
      <c r="AA59" s="2260">
        <f t="shared" si="189"/>
        <v>1465711.9200000002</v>
      </c>
      <c r="AB59" s="973">
        <f t="shared" si="189"/>
        <v>272819.07652182784</v>
      </c>
      <c r="AC59" s="127">
        <f t="shared" si="189"/>
        <v>227118.72</v>
      </c>
      <c r="AD59" s="937">
        <f t="shared" si="189"/>
        <v>1823223.4655279173</v>
      </c>
      <c r="AE59" s="220">
        <f t="shared" si="189"/>
        <v>1692830.6400000001</v>
      </c>
      <c r="AF59" s="973">
        <f t="shared" ref="AF59:AG59" si="190">SUM(AF57:AF58)</f>
        <v>231210.21688179977</v>
      </c>
      <c r="AG59" s="127">
        <f t="shared" si="190"/>
        <v>246043.2</v>
      </c>
      <c r="AH59" s="937">
        <f t="shared" ref="AH59:AK59" si="191">SUM(AH57:AH58)</f>
        <v>2054433.682409717</v>
      </c>
      <c r="AI59" s="220">
        <f t="shared" si="191"/>
        <v>1938873.84</v>
      </c>
      <c r="AJ59" s="973">
        <f t="shared" si="191"/>
        <v>238857.5620533055</v>
      </c>
      <c r="AK59" s="127">
        <f t="shared" si="191"/>
        <v>252779.92</v>
      </c>
      <c r="AL59" s="974">
        <f t="shared" ref="AL59:AS59" si="192">SUM(AL57:AL58)</f>
        <v>742886.85545693315</v>
      </c>
      <c r="AM59" s="237">
        <f t="shared" si="192"/>
        <v>725941.84000000008</v>
      </c>
      <c r="AN59" s="937">
        <f t="shared" si="192"/>
        <v>2293291.2444630228</v>
      </c>
      <c r="AO59" s="220">
        <f t="shared" si="192"/>
        <v>2191653.7599999998</v>
      </c>
      <c r="AP59" s="973">
        <f t="shared" si="192"/>
        <v>235549.89973019162</v>
      </c>
      <c r="AQ59" s="127">
        <f t="shared" si="192"/>
        <v>244327.27999999997</v>
      </c>
      <c r="AR59" s="937">
        <f t="shared" si="192"/>
        <v>2528841.1441932144</v>
      </c>
      <c r="AS59" s="220">
        <f t="shared" si="192"/>
        <v>2435981.04</v>
      </c>
      <c r="AT59" s="973">
        <f t="shared" ref="AT59:AU59" si="193">SUM(AT57:AT58)</f>
        <v>214480.98020764263</v>
      </c>
      <c r="AU59" s="127">
        <f t="shared" si="193"/>
        <v>212166.40000000002</v>
      </c>
      <c r="AV59" s="937">
        <f t="shared" ref="AV59:AY59" si="194">SUM(AV57:AV58)</f>
        <v>2743322.1244008569</v>
      </c>
      <c r="AW59" s="220">
        <f t="shared" si="194"/>
        <v>2648147.44</v>
      </c>
      <c r="AX59" s="973">
        <f t="shared" si="194"/>
        <v>268300.29042932059</v>
      </c>
      <c r="AY59" s="127">
        <f t="shared" si="194"/>
        <v>249772.24</v>
      </c>
      <c r="AZ59" s="974">
        <f t="shared" ref="AZ59:BE59" si="195">SUM(AZ57:AZ58)</f>
        <v>718331.17036715476</v>
      </c>
      <c r="BA59" s="237">
        <f t="shared" si="195"/>
        <v>706265.91999999993</v>
      </c>
      <c r="BB59" s="2259">
        <f t="shared" si="195"/>
        <v>1461218.0258240879</v>
      </c>
      <c r="BC59" s="2260">
        <f t="shared" si="195"/>
        <v>1432207.76</v>
      </c>
      <c r="BD59" s="937">
        <f t="shared" si="195"/>
        <v>3011622.4148301776</v>
      </c>
      <c r="BE59" s="220">
        <f t="shared" si="195"/>
        <v>2897919.6799999997</v>
      </c>
      <c r="BF59" s="528"/>
      <c r="BG59" s="528"/>
      <c r="BH59" s="26"/>
      <c r="BI59" s="26"/>
      <c r="BJ59" s="26"/>
    </row>
    <row r="60" spans="1:62" ht="16.2" thickBot="1" x14ac:dyDescent="0.35">
      <c r="B60" s="6426"/>
      <c r="C60" s="35" t="s">
        <v>460</v>
      </c>
      <c r="D60" s="976">
        <f t="shared" ref="D60:K60" si="196">+D59/(D3*24)</f>
        <v>352.59321821470934</v>
      </c>
      <c r="E60" s="681">
        <f t="shared" si="196"/>
        <v>284.56627777777777</v>
      </c>
      <c r="F60" s="976">
        <f t="shared" ref="F60:G60" si="197">+F59/(F3*24)</f>
        <v>368.76159183714111</v>
      </c>
      <c r="G60" s="681">
        <f t="shared" si="197"/>
        <v>318.93188172043011</v>
      </c>
      <c r="H60" s="975">
        <f t="shared" si="196"/>
        <v>360.80993267856815</v>
      </c>
      <c r="I60" s="3053">
        <f t="shared" si="196"/>
        <v>302.03076502732245</v>
      </c>
      <c r="J60" s="976">
        <f t="shared" si="196"/>
        <v>368.10889403625907</v>
      </c>
      <c r="K60" s="681">
        <f t="shared" si="196"/>
        <v>351.20511111111114</v>
      </c>
      <c r="L60" s="977">
        <f t="shared" ref="L60:Q60" si="198">+L59/(L3*24)</f>
        <v>363.2161836756091</v>
      </c>
      <c r="M60" s="238">
        <f t="shared" si="198"/>
        <v>318.24208791208792</v>
      </c>
      <c r="N60" s="976">
        <f t="shared" si="198"/>
        <v>369.8271575059951</v>
      </c>
      <c r="O60" s="681">
        <f t="shared" si="198"/>
        <v>358.57387096774198</v>
      </c>
      <c r="P60" s="975">
        <f t="shared" si="198"/>
        <v>364.89602128824816</v>
      </c>
      <c r="Q60" s="221">
        <f t="shared" si="198"/>
        <v>328.49032786885249</v>
      </c>
      <c r="R60" s="976">
        <f t="shared" ref="R60:S60" si="199">+R59/(R3*24)</f>
        <v>366.54613600061879</v>
      </c>
      <c r="S60" s="681">
        <f t="shared" si="199"/>
        <v>348.37215053763441</v>
      </c>
      <c r="T60" s="975">
        <f t="shared" ref="T60:W60" si="200">+T59/(T3*24)</f>
        <v>365.23035825611407</v>
      </c>
      <c r="U60" s="221">
        <f t="shared" si="200"/>
        <v>332.51867102396517</v>
      </c>
      <c r="V60" s="976">
        <f t="shared" si="200"/>
        <v>290.66460206894203</v>
      </c>
      <c r="W60" s="681">
        <f t="shared" si="200"/>
        <v>339.86577777777779</v>
      </c>
      <c r="X60" s="977">
        <f t="shared" ref="X60:Y60" si="201">+X59/(X3*24)</f>
        <v>342.90771913884015</v>
      </c>
      <c r="Y60" s="238">
        <f t="shared" si="201"/>
        <v>349.03586956521741</v>
      </c>
      <c r="Z60" s="978">
        <f t="shared" ref="Z60:AE60" si="202">+Z59/(Z3*24)</f>
        <v>353.00646379920067</v>
      </c>
      <c r="AA60" s="512">
        <f t="shared" si="202"/>
        <v>333.72311475409839</v>
      </c>
      <c r="AB60" s="976">
        <f t="shared" si="202"/>
        <v>366.69230715299443</v>
      </c>
      <c r="AC60" s="681">
        <f t="shared" si="202"/>
        <v>305.26709677419353</v>
      </c>
      <c r="AD60" s="975">
        <f t="shared" si="202"/>
        <v>354.98899250932971</v>
      </c>
      <c r="AE60" s="221">
        <f t="shared" si="202"/>
        <v>329.60098130841124</v>
      </c>
      <c r="AF60" s="976">
        <f t="shared" ref="AF60:AG60" si="203">+AF59/(AF3*24)</f>
        <v>321.12530122472191</v>
      </c>
      <c r="AG60" s="681">
        <f t="shared" si="203"/>
        <v>341.72666666666669</v>
      </c>
      <c r="AH60" s="975">
        <f t="shared" ref="AH60:AK60" si="204">+AH59/(AH3*24)</f>
        <v>350.82542390876313</v>
      </c>
      <c r="AI60" s="221">
        <f t="shared" si="204"/>
        <v>331.09184426229507</v>
      </c>
      <c r="AJ60" s="976">
        <f t="shared" si="204"/>
        <v>321.04511028670095</v>
      </c>
      <c r="AK60" s="681">
        <f t="shared" si="204"/>
        <v>339.7579569892473</v>
      </c>
      <c r="AL60" s="977">
        <f t="shared" ref="AL60:AS60" si="205">+AL59/(AL3*24)</f>
        <v>336.45238018882844</v>
      </c>
      <c r="AM60" s="238">
        <f t="shared" si="205"/>
        <v>328.77800724637683</v>
      </c>
      <c r="AN60" s="975">
        <f t="shared" si="205"/>
        <v>347.46837037318528</v>
      </c>
      <c r="AO60" s="221">
        <f t="shared" si="205"/>
        <v>332.06875151515146</v>
      </c>
      <c r="AP60" s="976">
        <f t="shared" si="205"/>
        <v>316.59932759434361</v>
      </c>
      <c r="AQ60" s="681">
        <f t="shared" si="205"/>
        <v>328.39688172043009</v>
      </c>
      <c r="AR60" s="975">
        <f t="shared" si="205"/>
        <v>344.34111440539414</v>
      </c>
      <c r="AS60" s="221">
        <f t="shared" si="205"/>
        <v>331.69676470588234</v>
      </c>
      <c r="AT60" s="976">
        <f t="shared" ref="AT60:AU60" si="206">+AT59/(AT3*24)</f>
        <v>319.16812530899199</v>
      </c>
      <c r="AU60" s="681">
        <f t="shared" si="206"/>
        <v>315.72380952380956</v>
      </c>
      <c r="AV60" s="975">
        <f t="shared" ref="AV60:AY60" si="207">+AV59/(AV3*24)</f>
        <v>342.23080394222268</v>
      </c>
      <c r="AW60" s="221">
        <f t="shared" si="207"/>
        <v>330.35771457085826</v>
      </c>
      <c r="AX60" s="976">
        <f t="shared" si="207"/>
        <v>360.61866993188249</v>
      </c>
      <c r="AY60" s="681">
        <f t="shared" si="207"/>
        <v>335.715376344086</v>
      </c>
      <c r="AZ60" s="977">
        <f t="shared" ref="AZ60:BE60" si="208">+AZ59/(AZ3*24)</f>
        <v>332.56072702183093</v>
      </c>
      <c r="BA60" s="238">
        <f t="shared" si="208"/>
        <v>326.97496296296293</v>
      </c>
      <c r="BB60" s="978">
        <f t="shared" si="208"/>
        <v>334.52793631503846</v>
      </c>
      <c r="BC60" s="512">
        <f t="shared" si="208"/>
        <v>327.88639194139193</v>
      </c>
      <c r="BD60" s="975">
        <f t="shared" si="208"/>
        <v>343.79251310846774</v>
      </c>
      <c r="BE60" s="221">
        <f t="shared" si="208"/>
        <v>330.81274885844743</v>
      </c>
      <c r="BF60" s="528"/>
      <c r="BG60" s="528"/>
      <c r="BH60" s="26"/>
      <c r="BI60" s="26"/>
      <c r="BJ60" s="26"/>
    </row>
    <row r="61" spans="1:62" ht="16.2" thickBot="1" x14ac:dyDescent="0.35">
      <c r="B61" s="3054" t="s">
        <v>64</v>
      </c>
      <c r="C61" s="15" t="s">
        <v>66</v>
      </c>
      <c r="D61" s="450">
        <f>+D68*D3*24</f>
        <v>2160</v>
      </c>
      <c r="E61" s="29">
        <v>3519.7200000000012</v>
      </c>
      <c r="F61" s="450">
        <f>+F68*F3*24</f>
        <v>2232</v>
      </c>
      <c r="G61" s="29">
        <v>6036.0400000000081</v>
      </c>
      <c r="H61" s="39">
        <f>+D61+F61</f>
        <v>4392</v>
      </c>
      <c r="I61" s="40">
        <f>+E61+G61</f>
        <v>9555.7600000000093</v>
      </c>
      <c r="J61" s="450">
        <f>+J68*J3*24</f>
        <v>2160</v>
      </c>
      <c r="K61" s="29">
        <v>8146.4000000000233</v>
      </c>
      <c r="L61" s="349">
        <f>+H61+J61</f>
        <v>6552</v>
      </c>
      <c r="M61" s="119">
        <f t="shared" ref="M61" si="209">+I61+K61</f>
        <v>17702.160000000033</v>
      </c>
      <c r="N61" s="450">
        <f>+N68*N3*24</f>
        <v>2232</v>
      </c>
      <c r="O61" s="29">
        <v>9116.4000000000233</v>
      </c>
      <c r="P61" s="39">
        <f>+L61+N61</f>
        <v>8784</v>
      </c>
      <c r="Q61" s="215">
        <f>+M61+O61</f>
        <v>26818.560000000056</v>
      </c>
      <c r="R61" s="450">
        <f>+R68*R3*24</f>
        <v>2232</v>
      </c>
      <c r="S61" s="29">
        <v>9166.640000000014</v>
      </c>
      <c r="T61" s="39">
        <f>+P61+R61</f>
        <v>11016</v>
      </c>
      <c r="U61" s="215">
        <f>+Q61+S61</f>
        <v>35985.20000000007</v>
      </c>
      <c r="V61" s="450">
        <f>+V68*V3*24</f>
        <v>2160</v>
      </c>
      <c r="W61" s="29">
        <v>7028.4800000000105</v>
      </c>
      <c r="X61" s="349">
        <f t="shared" ref="X61:Y61" si="210">+N61+R61+V61</f>
        <v>6624</v>
      </c>
      <c r="Y61" s="119">
        <f t="shared" si="210"/>
        <v>25311.520000000048</v>
      </c>
      <c r="Z61" s="458">
        <f>L61+X61</f>
        <v>13176</v>
      </c>
      <c r="AA61" s="497">
        <f>M61+Y61</f>
        <v>43013.68000000008</v>
      </c>
      <c r="AB61" s="450">
        <f>+AB68*AB3*24</f>
        <v>2232</v>
      </c>
      <c r="AC61" s="29">
        <v>6540.320000000007</v>
      </c>
      <c r="AD61" s="39">
        <f>+Z61+AB61</f>
        <v>15408</v>
      </c>
      <c r="AE61" s="215">
        <f>+AA61+AC61</f>
        <v>49554.000000000087</v>
      </c>
      <c r="AF61" s="450">
        <f>+AF68*AF3*24</f>
        <v>2160</v>
      </c>
      <c r="AG61" s="29">
        <v>7404.4800000000105</v>
      </c>
      <c r="AH61" s="39">
        <f>+AD61+AF61</f>
        <v>17568</v>
      </c>
      <c r="AI61" s="215">
        <f>+AE61+AG61</f>
        <v>56958.480000000098</v>
      </c>
      <c r="AJ61" s="450">
        <f>+AJ68*AJ3*24</f>
        <v>2232</v>
      </c>
      <c r="AK61" s="29">
        <v>6087.2799999999988</v>
      </c>
      <c r="AL61" s="349">
        <f t="shared" ref="AL61" si="211">+AB61+AF61+AJ61</f>
        <v>6624</v>
      </c>
      <c r="AM61" s="119">
        <f t="shared" ref="AM61" si="212">+AC61+AG61+AK61</f>
        <v>20032.080000000016</v>
      </c>
      <c r="AN61" s="39">
        <f>+AH61+AJ61</f>
        <v>19800</v>
      </c>
      <c r="AO61" s="215">
        <f>+AI61+AK61</f>
        <v>63045.760000000097</v>
      </c>
      <c r="AP61" s="450">
        <f>+AP68*AP3*24</f>
        <v>2232</v>
      </c>
      <c r="AQ61" s="29">
        <v>5042.0799999999581</v>
      </c>
      <c r="AR61" s="39">
        <f>+AN61+AP61</f>
        <v>22032</v>
      </c>
      <c r="AS61" s="215">
        <f>+AO61+AQ61</f>
        <v>68087.840000000055</v>
      </c>
      <c r="AT61" s="450">
        <f>+AT68*AT3*24</f>
        <v>2016</v>
      </c>
      <c r="AU61" s="29">
        <v>9505.0000000000291</v>
      </c>
      <c r="AV61" s="39">
        <f>+AR61+AT61</f>
        <v>24048</v>
      </c>
      <c r="AW61" s="215">
        <f>+AS61+AU61</f>
        <v>77592.840000000084</v>
      </c>
      <c r="AX61" s="450">
        <f>+AX68*AX3*24</f>
        <v>2232</v>
      </c>
      <c r="AY61" s="29">
        <v>12937.760000000009</v>
      </c>
      <c r="AZ61" s="349">
        <f t="shared" ref="AZ61" si="213">+AP61+AT61+AX61</f>
        <v>6480</v>
      </c>
      <c r="BA61" s="119">
        <f t="shared" ref="BA61" si="214">+AQ61+AU61+AY61</f>
        <v>27484.839999999997</v>
      </c>
      <c r="BB61" s="458">
        <f>AN61+AZ61</f>
        <v>26280</v>
      </c>
      <c r="BC61" s="497">
        <f>AM61+BA61</f>
        <v>47516.920000000013</v>
      </c>
      <c r="BD61" s="39">
        <f>+AV61+AX61</f>
        <v>26280</v>
      </c>
      <c r="BE61" s="215">
        <f>+AW61+AY61</f>
        <v>90530.600000000093</v>
      </c>
      <c r="BF61" s="528"/>
      <c r="BG61" s="528"/>
      <c r="BH61" s="26"/>
      <c r="BI61" s="26"/>
      <c r="BJ61" s="26"/>
    </row>
    <row r="62" spans="1:62" ht="18" thickBot="1" x14ac:dyDescent="0.35">
      <c r="B62" s="3055" t="s">
        <v>65</v>
      </c>
      <c r="C62" s="2766" t="s">
        <v>66</v>
      </c>
      <c r="D62" s="731">
        <f t="shared" ref="D62:K62" si="215">+D59-D61</f>
        <v>251707.11711459071</v>
      </c>
      <c r="E62" s="682">
        <f t="shared" si="215"/>
        <v>201368</v>
      </c>
      <c r="F62" s="731">
        <f t="shared" ref="F62:G62" si="216">+F59-F61</f>
        <v>272126.624326833</v>
      </c>
      <c r="G62" s="682">
        <f t="shared" si="216"/>
        <v>231249.28</v>
      </c>
      <c r="H62" s="979">
        <f t="shared" si="215"/>
        <v>523833.74144142377</v>
      </c>
      <c r="I62" s="3056">
        <f t="shared" si="215"/>
        <v>432617.28</v>
      </c>
      <c r="J62" s="731">
        <f t="shared" si="215"/>
        <v>262878.40370610653</v>
      </c>
      <c r="K62" s="682">
        <f t="shared" si="215"/>
        <v>244721.28</v>
      </c>
      <c r="L62" s="74">
        <f t="shared" ref="L62:Q62" si="217">+L59-L61</f>
        <v>786712.14514753025</v>
      </c>
      <c r="M62" s="75">
        <f t="shared" si="217"/>
        <v>677338.56</v>
      </c>
      <c r="N62" s="731">
        <f t="shared" si="217"/>
        <v>272919.40518446034</v>
      </c>
      <c r="O62" s="682">
        <f t="shared" si="217"/>
        <v>257662.56</v>
      </c>
      <c r="P62" s="979">
        <f t="shared" si="217"/>
        <v>1059631.5503319907</v>
      </c>
      <c r="Q62" s="50">
        <f t="shared" si="217"/>
        <v>935001.12000000011</v>
      </c>
      <c r="R62" s="731">
        <f t="shared" ref="R62:S62" si="218">+R59-R61</f>
        <v>270478.32518446038</v>
      </c>
      <c r="S62" s="682">
        <f t="shared" si="218"/>
        <v>250022.24</v>
      </c>
      <c r="T62" s="979">
        <f t="shared" ref="T62:W62" si="219">+T59-T61</f>
        <v>1330109.875516451</v>
      </c>
      <c r="U62" s="50">
        <f t="shared" si="219"/>
        <v>1185023.3599999999</v>
      </c>
      <c r="V62" s="731">
        <f t="shared" si="219"/>
        <v>207118.51348963828</v>
      </c>
      <c r="W62" s="682">
        <f t="shared" si="219"/>
        <v>237674.88</v>
      </c>
      <c r="X62" s="74">
        <f t="shared" ref="X62:Y62" si="220">+X59-X61</f>
        <v>750516.24385855906</v>
      </c>
      <c r="Y62" s="75">
        <f t="shared" si="220"/>
        <v>745359.68</v>
      </c>
      <c r="Z62" s="980">
        <f t="shared" ref="Z62:AE62" si="221">+Z59-Z61</f>
        <v>1537228.3890060894</v>
      </c>
      <c r="AA62" s="513">
        <f t="shared" si="221"/>
        <v>1422698.24</v>
      </c>
      <c r="AB62" s="731">
        <f t="shared" si="221"/>
        <v>270587.07652182784</v>
      </c>
      <c r="AC62" s="682">
        <f t="shared" si="221"/>
        <v>220578.4</v>
      </c>
      <c r="AD62" s="979">
        <f t="shared" si="221"/>
        <v>1807815.4655279173</v>
      </c>
      <c r="AE62" s="50">
        <f t="shared" si="221"/>
        <v>1643276.6400000001</v>
      </c>
      <c r="AF62" s="731">
        <f t="shared" ref="AF62:AG62" si="222">+AF59-AF61</f>
        <v>229050.21688179977</v>
      </c>
      <c r="AG62" s="682">
        <f t="shared" si="222"/>
        <v>238638.72</v>
      </c>
      <c r="AH62" s="979">
        <f t="shared" ref="AH62:AK62" si="223">+AH59-AH61</f>
        <v>2036865.682409717</v>
      </c>
      <c r="AI62" s="50">
        <f t="shared" si="223"/>
        <v>1881915.3599999999</v>
      </c>
      <c r="AJ62" s="731">
        <f t="shared" si="223"/>
        <v>236625.5620533055</v>
      </c>
      <c r="AK62" s="682">
        <f t="shared" si="223"/>
        <v>246692.64</v>
      </c>
      <c r="AL62" s="74">
        <f t="shared" ref="AL62:AS62" si="224">+AL59-AL61</f>
        <v>736262.85545693315</v>
      </c>
      <c r="AM62" s="75">
        <f t="shared" si="224"/>
        <v>705909.76000000001</v>
      </c>
      <c r="AN62" s="979">
        <f t="shared" si="224"/>
        <v>2273491.2444630228</v>
      </c>
      <c r="AO62" s="50">
        <f t="shared" si="224"/>
        <v>2128607.9999999995</v>
      </c>
      <c r="AP62" s="731">
        <f t="shared" si="224"/>
        <v>233317.89973019162</v>
      </c>
      <c r="AQ62" s="682">
        <f t="shared" si="224"/>
        <v>239285.2</v>
      </c>
      <c r="AR62" s="979">
        <f t="shared" si="224"/>
        <v>2506809.1441932144</v>
      </c>
      <c r="AS62" s="50">
        <f t="shared" si="224"/>
        <v>2367893.2000000002</v>
      </c>
      <c r="AT62" s="731">
        <f t="shared" ref="AT62:AU62" si="225">+AT59-AT61</f>
        <v>212464.98020764263</v>
      </c>
      <c r="AU62" s="682">
        <f t="shared" si="225"/>
        <v>202661.4</v>
      </c>
      <c r="AV62" s="979">
        <f t="shared" ref="AV62:AY62" si="226">+AV59-AV61</f>
        <v>2719274.1244008569</v>
      </c>
      <c r="AW62" s="50">
        <f t="shared" si="226"/>
        <v>2570554.5999999996</v>
      </c>
      <c r="AX62" s="731">
        <f t="shared" si="226"/>
        <v>266068.29042932059</v>
      </c>
      <c r="AY62" s="682">
        <f t="shared" si="226"/>
        <v>236834.47999999998</v>
      </c>
      <c r="AZ62" s="74">
        <f t="shared" ref="AZ62:BE62" si="227">+AZ59-AZ61</f>
        <v>711851.17036715476</v>
      </c>
      <c r="BA62" s="75">
        <f t="shared" si="227"/>
        <v>678781.08</v>
      </c>
      <c r="BB62" s="980">
        <f t="shared" si="227"/>
        <v>1434938.0258240879</v>
      </c>
      <c r="BC62" s="513">
        <f t="shared" si="227"/>
        <v>1384690.84</v>
      </c>
      <c r="BD62" s="979">
        <f t="shared" si="227"/>
        <v>2985342.4148301776</v>
      </c>
      <c r="BE62" s="50">
        <f t="shared" si="227"/>
        <v>2807389.0799999996</v>
      </c>
      <c r="BF62" s="528"/>
      <c r="BG62" s="528"/>
      <c r="BH62" s="26"/>
      <c r="BI62" s="26"/>
      <c r="BJ62" s="26"/>
    </row>
    <row r="63" spans="1:62" ht="20.399999999999999" x14ac:dyDescent="0.3">
      <c r="A63" s="3039"/>
      <c r="B63" s="981" t="s">
        <v>480</v>
      </c>
      <c r="C63" s="51"/>
      <c r="D63" s="981"/>
      <c r="E63" s="683"/>
      <c r="F63" s="981"/>
      <c r="G63" s="683"/>
      <c r="H63" s="51"/>
      <c r="I63" s="683"/>
      <c r="J63" s="981"/>
      <c r="K63" s="683"/>
      <c r="L63" s="3860"/>
      <c r="M63" s="51"/>
      <c r="N63" s="981"/>
      <c r="O63" s="683"/>
      <c r="P63" s="51"/>
      <c r="Q63" s="51"/>
      <c r="R63" s="981"/>
      <c r="S63" s="683"/>
      <c r="T63" s="51"/>
      <c r="U63" s="51"/>
      <c r="V63" s="981"/>
      <c r="W63" s="683"/>
      <c r="X63" s="51"/>
      <c r="Y63" s="51"/>
      <c r="Z63" s="51"/>
      <c r="AA63" s="51"/>
      <c r="AB63" s="981"/>
      <c r="AC63" s="683"/>
      <c r="AD63" s="51"/>
      <c r="AE63" s="51"/>
      <c r="AF63" s="981"/>
      <c r="AG63" s="683"/>
      <c r="AH63" s="51"/>
      <c r="AI63" s="51"/>
      <c r="AJ63" s="981"/>
      <c r="AK63" s="683"/>
      <c r="AL63" s="51"/>
      <c r="AM63" s="51"/>
      <c r="AN63" s="51"/>
      <c r="AO63" s="51"/>
      <c r="AP63" s="981"/>
      <c r="AQ63" s="683"/>
      <c r="AR63" s="51"/>
      <c r="AS63" s="51"/>
      <c r="AT63" s="981"/>
      <c r="AU63" s="683"/>
      <c r="AV63" s="51"/>
      <c r="AW63" s="51"/>
      <c r="AX63" s="981"/>
      <c r="AY63" s="683"/>
      <c r="AZ63" s="51"/>
      <c r="BA63" s="51"/>
      <c r="BB63" s="51"/>
      <c r="BC63" s="51"/>
      <c r="BD63" s="51"/>
      <c r="BE63" s="51"/>
      <c r="BF63" s="528"/>
      <c r="BG63" s="528"/>
      <c r="BH63" s="26"/>
      <c r="BI63" s="26"/>
      <c r="BJ63" s="26"/>
    </row>
    <row r="64" spans="1:62" ht="15.75" customHeight="1" x14ac:dyDescent="0.3">
      <c r="A64" s="3039"/>
      <c r="B64" s="982" t="s">
        <v>375</v>
      </c>
      <c r="C64" s="45"/>
      <c r="D64" s="982"/>
      <c r="E64" s="684"/>
      <c r="F64" s="982"/>
      <c r="G64" s="684"/>
      <c r="H64" s="45"/>
      <c r="I64" s="684"/>
      <c r="J64" s="982"/>
      <c r="K64" s="684"/>
      <c r="L64" s="45"/>
      <c r="M64" s="45"/>
      <c r="N64" s="982"/>
      <c r="O64" s="684"/>
      <c r="P64" s="45"/>
      <c r="Q64" s="45"/>
      <c r="R64" s="982"/>
      <c r="S64" s="684"/>
      <c r="T64" s="45"/>
      <c r="U64" s="45"/>
      <c r="V64" s="982"/>
      <c r="W64" s="684"/>
      <c r="X64" s="45"/>
      <c r="Y64" s="45"/>
      <c r="Z64" s="45"/>
      <c r="AA64" s="45"/>
      <c r="AB64" s="982"/>
      <c r="AC64" s="684"/>
      <c r="AD64" s="45"/>
      <c r="AE64" s="45"/>
      <c r="AF64" s="982"/>
      <c r="AG64" s="684"/>
      <c r="AH64" s="45"/>
      <c r="AI64" s="45"/>
      <c r="AJ64" s="982"/>
      <c r="AK64" s="684"/>
      <c r="AL64" s="45"/>
      <c r="AM64" s="45"/>
      <c r="AN64" s="45"/>
      <c r="AO64" s="45"/>
      <c r="AP64" s="982"/>
      <c r="AQ64" s="684"/>
      <c r="AR64" s="45"/>
      <c r="AS64" s="45"/>
      <c r="AT64" s="982"/>
      <c r="AU64" s="684"/>
      <c r="AV64" s="45"/>
      <c r="AW64" s="45"/>
      <c r="AX64" s="982"/>
      <c r="AY64" s="684"/>
      <c r="AZ64" s="45"/>
      <c r="BA64" s="45"/>
      <c r="BB64" s="45"/>
      <c r="BC64" s="45"/>
      <c r="BD64" s="45"/>
      <c r="BE64" s="45"/>
      <c r="BF64" s="528"/>
      <c r="BG64" s="528"/>
      <c r="BH64" s="26"/>
      <c r="BI64" s="26"/>
      <c r="BJ64" s="26"/>
    </row>
    <row r="65" spans="1:62" ht="15.6" x14ac:dyDescent="0.3">
      <c r="A65" s="3039"/>
      <c r="B65" s="3057" t="s">
        <v>471</v>
      </c>
      <c r="C65" s="2535" t="s">
        <v>481</v>
      </c>
      <c r="D65" s="152">
        <v>289.59321821470928</v>
      </c>
      <c r="E65" s="18">
        <v>229.5996111111111</v>
      </c>
      <c r="F65" s="152">
        <v>305.76159183714111</v>
      </c>
      <c r="G65" s="18">
        <v>254.05553763440861</v>
      </c>
      <c r="H65" s="3058">
        <f>+((D65*D$3)+(F$3*F65))/H$3</f>
        <v>297.80993267856809</v>
      </c>
      <c r="I65" s="105">
        <f>+((E65*E$3)+(G$3*G65))/I$3</f>
        <v>242.02803278688523</v>
      </c>
      <c r="J65" s="152">
        <v>305.10889403625907</v>
      </c>
      <c r="K65" s="18">
        <v>286.73866666666669</v>
      </c>
      <c r="L65" s="348">
        <f>+((D$3*D65)+(F$3*F65)+(J$3*J65))/L$3</f>
        <v>300.21618367560905</v>
      </c>
      <c r="M65" s="348">
        <f>+((E$3*E65)+(G$3*G65)+(K$3*K65))/M$3</f>
        <v>256.76780219780221</v>
      </c>
      <c r="N65" s="152">
        <v>306.8271575059951</v>
      </c>
      <c r="O65" s="18">
        <v>293.0190322580645</v>
      </c>
      <c r="P65" s="261">
        <f>+((L65*L$3)+(N$3*N65))/P$3</f>
        <v>301.89602128824816</v>
      </c>
      <c r="Q65" s="261">
        <f>+((M65*M$3)+(O$3*O65))/Q$3</f>
        <v>265.9791803278689</v>
      </c>
      <c r="R65" s="152">
        <v>303.54613600061879</v>
      </c>
      <c r="S65" s="18">
        <v>281.07645161290321</v>
      </c>
      <c r="T65" s="261">
        <f>+((P65*P$3)+(R$3*R65))/T$3</f>
        <v>302.23035825611407</v>
      </c>
      <c r="U65" s="261">
        <f>+((Q65*Q$3)+(S$3*S65))/U$3</f>
        <v>269.0381045751634</v>
      </c>
      <c r="V65" s="152">
        <v>227.66460206894209</v>
      </c>
      <c r="W65" s="18">
        <v>276.4813333333334</v>
      </c>
      <c r="X65" s="348">
        <f>+((N65*N$3)+(R65*R$3)+(V$3*V65))/X$3</f>
        <v>279.90771913884015</v>
      </c>
      <c r="Y65" s="348">
        <f>+((O65*O$3)+(S65*S$3)+(W$3*W65))/Y$3</f>
        <v>283.60217391304349</v>
      </c>
      <c r="Z65" s="498">
        <f>+((T65*T$3)+(V$3*V65))/Z$3</f>
        <v>290.00646379920067</v>
      </c>
      <c r="AA65" s="498">
        <f>+((M65*M$3)+(Y$3*Y65))/AA$3</f>
        <v>270.258306010929</v>
      </c>
      <c r="AB65" s="152">
        <v>303.69230715299437</v>
      </c>
      <c r="AC65" s="18">
        <v>242.62193548387097</v>
      </c>
      <c r="AD65" s="261">
        <f>+((Z65*Z$3)+(AB$3*AB65))/AD$3</f>
        <v>291.98899250932965</v>
      </c>
      <c r="AE65" s="261">
        <f>+((AA65*AA$3)+(AC$3*AC65))/AE$3</f>
        <v>266.25490654205612</v>
      </c>
      <c r="AF65" s="152">
        <v>258.12530122472191</v>
      </c>
      <c r="AG65" s="18">
        <v>273.96000000000004</v>
      </c>
      <c r="AH65" s="261">
        <f>+((AD65*AD$3)+(AF$3*AF65))/AH$3</f>
        <v>287.82542390876313</v>
      </c>
      <c r="AI65" s="261">
        <f>+((AE65*AE$3)+(AG$3*AG65))/AI$3</f>
        <v>267.2022540983607</v>
      </c>
      <c r="AJ65" s="152">
        <v>258.04511028670095</v>
      </c>
      <c r="AK65" s="18">
        <v>273.59129032258068</v>
      </c>
      <c r="AL65" s="348">
        <f>+((AB65*AB$3)+(AF65*AF$3)+(AJ$3*AJ65))/AL$3</f>
        <v>273.45238018882839</v>
      </c>
      <c r="AM65" s="348">
        <f>+((AC65*AC$3)+(AG65*AG$3)+(AK$3*AK65))/AM$3</f>
        <v>263.27619565217395</v>
      </c>
      <c r="AN65" s="261">
        <f>+((AH65*AH$3)+(AJ$3*AJ65))/AN$3</f>
        <v>284.46837037318522</v>
      </c>
      <c r="AO65" s="261">
        <f>+((AI65*AI$3)+(AK$3*AK65))/AO$3</f>
        <v>267.9224727272728</v>
      </c>
      <c r="AP65" s="152">
        <v>253.59932759434361</v>
      </c>
      <c r="AQ65" s="18">
        <v>265.21516129032256</v>
      </c>
      <c r="AR65" s="261">
        <f>+((AN65*AN$3)+(AP$3*AP65))/AR$3</f>
        <v>281.34111440539408</v>
      </c>
      <c r="AS65" s="261">
        <f>+((AO65*AO$3)+(AQ$3*AQ65))/AS$3</f>
        <v>267.64820261437916</v>
      </c>
      <c r="AT65" s="152">
        <v>256.16812530899199</v>
      </c>
      <c r="AU65" s="18">
        <v>251.85357142857143</v>
      </c>
      <c r="AV65" s="261">
        <f>+((AR65*AR$3)+(AT$3*AT65))/AV$3</f>
        <v>279.23080394222268</v>
      </c>
      <c r="AW65" s="261">
        <f>+((AS65*AS$3)+(AU$3*AU65))/AW$3</f>
        <v>266.32410179640721</v>
      </c>
      <c r="AX65" s="152">
        <v>297.61866993188249</v>
      </c>
      <c r="AY65" s="18">
        <v>275.87741935483871</v>
      </c>
      <c r="AZ65" s="348">
        <f>+((AP65*AP$3)+(AT65*AT$3)+(AX$3*AX65))/AZ$3</f>
        <v>269.56072702183093</v>
      </c>
      <c r="BA65" s="348">
        <f>+((AQ65*AQ$3)+(AU65*AU$3)+(AY$3*AY65))/BA$3</f>
        <v>264.7307777777778</v>
      </c>
      <c r="BB65" s="498">
        <f>+((AL65*AL$3)+(AZ$3*AZ65))/BB$3</f>
        <v>271.52793631503846</v>
      </c>
      <c r="BC65" s="498">
        <f>+((AM65*AM$3)+(BA$3*BA65))/BC$3</f>
        <v>263.99549450549455</v>
      </c>
      <c r="BD65" s="261">
        <f>+((AV65*AV$3)+(AX$3*AX65))/BD$3</f>
        <v>280.79251310846774</v>
      </c>
      <c r="BE65" s="261">
        <f>+((AW65*AW$3)+(AY$3*AY65))/BE$3</f>
        <v>267.13547945205477</v>
      </c>
      <c r="BF65" s="528"/>
      <c r="BG65" s="528"/>
      <c r="BH65" s="26"/>
      <c r="BI65" s="26"/>
      <c r="BJ65" s="26"/>
    </row>
    <row r="66" spans="1:62" ht="16.2" thickBot="1" x14ac:dyDescent="0.35">
      <c r="A66" s="3039"/>
      <c r="B66" s="3059" t="s">
        <v>56</v>
      </c>
      <c r="C66" s="3060" t="s">
        <v>481</v>
      </c>
      <c r="D66" s="1293">
        <v>63</v>
      </c>
      <c r="E66" s="99">
        <v>54.966666666666669</v>
      </c>
      <c r="F66" s="1293">
        <v>63</v>
      </c>
      <c r="G66" s="99">
        <v>64.876344086021504</v>
      </c>
      <c r="H66" s="3058">
        <f>+((D66*D$3)+(F$3*F66))/H$3</f>
        <v>63</v>
      </c>
      <c r="I66" s="105">
        <f>+((E66*E$3)+(G$3*G66))/I$3</f>
        <v>60.002732240437155</v>
      </c>
      <c r="J66" s="1293">
        <v>63</v>
      </c>
      <c r="K66" s="99">
        <v>64.466444444444434</v>
      </c>
      <c r="L66" s="348">
        <f>+((D$3*D66)+(F$3*F66)+(J$3*J66))/L$3</f>
        <v>63</v>
      </c>
      <c r="M66" s="348">
        <f>+((E$3*E66)+(G$3*G66)+(K$3*K66))/M$3</f>
        <v>61.474285714285713</v>
      </c>
      <c r="N66" s="1293">
        <v>63</v>
      </c>
      <c r="O66" s="99">
        <v>65.554838709677426</v>
      </c>
      <c r="P66" s="261">
        <f>+((L66*L$3)+(N$3*N66))/P$3</f>
        <v>63</v>
      </c>
      <c r="Q66" s="261">
        <f>+((M66*M$3)+(O$3*O66))/Q$3</f>
        <v>62.511147540983615</v>
      </c>
      <c r="R66" s="1293">
        <v>63</v>
      </c>
      <c r="S66" s="99">
        <v>67.295698924731184</v>
      </c>
      <c r="T66" s="261">
        <f>+((P66*P$3)+(R$3*R66))/T$3</f>
        <v>63</v>
      </c>
      <c r="U66" s="261">
        <f>+((Q66*Q$3)+(S$3*S66))/U$3</f>
        <v>63.480566448801746</v>
      </c>
      <c r="V66" s="1293">
        <v>63</v>
      </c>
      <c r="W66" s="99">
        <v>63.384444444444426</v>
      </c>
      <c r="X66" s="348">
        <f>+((N66*N$3)+(R66*R$3)+(V$3*V66))/X$3</f>
        <v>63</v>
      </c>
      <c r="Y66" s="348">
        <f>+((O66*O$3)+(S66*S$3)+(W$3*W66))/Y$3</f>
        <v>65.43369565217391</v>
      </c>
      <c r="Z66" s="498">
        <f>+((T66*T$3)+(V$3*V66))/Z$3</f>
        <v>63</v>
      </c>
      <c r="AA66" s="498">
        <f>+((M66*M$3)+(Y$3*Y66))/AA$3</f>
        <v>63.464808743169399</v>
      </c>
      <c r="AB66" s="1293">
        <v>63</v>
      </c>
      <c r="AC66" s="99">
        <v>62.645161290322584</v>
      </c>
      <c r="AD66" s="261">
        <f>+((Z66*Z$3)+(AB$3*AB66))/AD$3</f>
        <v>63</v>
      </c>
      <c r="AE66" s="261">
        <f>+((AA66*AA$3)+(AC$3*AC66))/AE$3</f>
        <v>63.346074766355137</v>
      </c>
      <c r="AF66" s="1293">
        <v>63</v>
      </c>
      <c r="AG66" s="99">
        <v>67.766666666666666</v>
      </c>
      <c r="AH66" s="261">
        <f>+((AD66*AD$3)+(AF$3*AF66))/AH$3</f>
        <v>63</v>
      </c>
      <c r="AI66" s="261">
        <f>+((AE66*AE$3)+(AG$3*AG66))/AI$3</f>
        <v>63.889590163934422</v>
      </c>
      <c r="AJ66" s="1293">
        <v>63</v>
      </c>
      <c r="AK66" s="99">
        <v>66.166666666666671</v>
      </c>
      <c r="AL66" s="348">
        <f>+((AB66*AB$3)+(AF66*AF$3)+(AJ$3*AJ66))/AL$3</f>
        <v>63</v>
      </c>
      <c r="AM66" s="348">
        <f>+((AC66*AC$3)+(AG66*AG$3)+(AK$3*AK66))/AM$3</f>
        <v>65.501811594202906</v>
      </c>
      <c r="AN66" s="261">
        <f>+((AH66*AH$3)+(AJ$3*AJ66))/AN$3</f>
        <v>63</v>
      </c>
      <c r="AO66" s="261">
        <f>+((AI66*AI$3)+(AK$3*AK66))/AO$3</f>
        <v>64.146278787878785</v>
      </c>
      <c r="AP66" s="1293">
        <v>63</v>
      </c>
      <c r="AQ66" s="99">
        <v>63.181720430107525</v>
      </c>
      <c r="AR66" s="261">
        <f>+((AN66*AN$3)+(AP$3*AP66))/AR$3</f>
        <v>63</v>
      </c>
      <c r="AS66" s="261">
        <f>+((AO66*AO$3)+(AQ$3*AQ66))/AS$3</f>
        <v>64.048562091503271</v>
      </c>
      <c r="AT66" s="1293">
        <v>63</v>
      </c>
      <c r="AU66" s="99">
        <v>63.870238095238101</v>
      </c>
      <c r="AV66" s="261">
        <f>+((AR66*AR$3)+(AT$3*AT66))/AV$3</f>
        <v>63</v>
      </c>
      <c r="AW66" s="261">
        <f>+((AS66*AS$3)+(AU$3*AU66))/AW$3</f>
        <v>64.0336127744511</v>
      </c>
      <c r="AX66" s="1293">
        <v>63</v>
      </c>
      <c r="AY66" s="99">
        <v>59.837956989247317</v>
      </c>
      <c r="AZ66" s="348">
        <f>+((AP66*AP$3)+(AT66*AT$3)+(AX$3*AX66))/AZ$3</f>
        <v>63</v>
      </c>
      <c r="BA66" s="348">
        <f>+((AQ66*AQ$3)+(AU66*AU$3)+(AY$3*AY66))/BA$3</f>
        <v>62.244185185185195</v>
      </c>
      <c r="BB66" s="498">
        <f>+((AL66*AL$3)+(AZ$3*AZ66))/BB$3</f>
        <v>63</v>
      </c>
      <c r="BC66" s="498">
        <f>+((AM66*AM$3)+(BA$3*BA66))/BC$3</f>
        <v>63.890897435897436</v>
      </c>
      <c r="BD66" s="261">
        <f>+((AV66*AV$3)+(AX$3*AX66))/BD$3</f>
        <v>63</v>
      </c>
      <c r="BE66" s="261">
        <f>+((AW66*AW$3)+(AY$3*AY66))/BE$3</f>
        <v>63.677269406392696</v>
      </c>
      <c r="BF66" s="528"/>
      <c r="BG66" s="528"/>
      <c r="BH66" s="26"/>
      <c r="BI66" s="26"/>
      <c r="BJ66" s="26"/>
    </row>
    <row r="67" spans="1:62" ht="18" thickBot="1" x14ac:dyDescent="0.35">
      <c r="A67" s="3039"/>
      <c r="B67" s="3061" t="s">
        <v>478</v>
      </c>
      <c r="C67" s="47" t="s">
        <v>481</v>
      </c>
      <c r="D67" s="593">
        <f t="shared" ref="D67:I67" si="228">SUM(D65:D66)</f>
        <v>352.59321821470928</v>
      </c>
      <c r="E67" s="137">
        <f t="shared" si="228"/>
        <v>284.56627777777777</v>
      </c>
      <c r="F67" s="593">
        <f t="shared" ref="F67:G67" si="229">SUM(F65:F66)</f>
        <v>368.76159183714111</v>
      </c>
      <c r="G67" s="137">
        <f t="shared" si="229"/>
        <v>318.93188172043011</v>
      </c>
      <c r="H67" s="837">
        <f t="shared" si="228"/>
        <v>360.80993267856809</v>
      </c>
      <c r="I67" s="3062">
        <f t="shared" si="228"/>
        <v>302.03076502732239</v>
      </c>
      <c r="J67" s="593">
        <f t="shared" ref="J67:K67" si="230">SUM(J65:J66)</f>
        <v>368.10889403625907</v>
      </c>
      <c r="K67" s="137">
        <f t="shared" si="230"/>
        <v>351.20511111111114</v>
      </c>
      <c r="L67" s="1496">
        <f t="shared" ref="L67:Q67" si="231">SUM(L65:L66)</f>
        <v>363.21618367560905</v>
      </c>
      <c r="M67" s="597">
        <f t="shared" si="231"/>
        <v>318.24208791208792</v>
      </c>
      <c r="N67" s="593">
        <f t="shared" si="231"/>
        <v>369.8271575059951</v>
      </c>
      <c r="O67" s="137">
        <f t="shared" si="231"/>
        <v>358.57387096774193</v>
      </c>
      <c r="P67" s="837">
        <f t="shared" si="231"/>
        <v>364.89602128824816</v>
      </c>
      <c r="Q67" s="596">
        <f t="shared" si="231"/>
        <v>328.49032786885255</v>
      </c>
      <c r="R67" s="593">
        <f t="shared" ref="R67:S67" si="232">SUM(R65:R66)</f>
        <v>366.54613600061879</v>
      </c>
      <c r="S67" s="137">
        <f t="shared" si="232"/>
        <v>348.37215053763441</v>
      </c>
      <c r="T67" s="837">
        <f t="shared" ref="T67:W67" si="233">SUM(T65:T66)</f>
        <v>365.23035825611407</v>
      </c>
      <c r="U67" s="596">
        <f t="shared" si="233"/>
        <v>332.51867102396517</v>
      </c>
      <c r="V67" s="593">
        <f t="shared" si="233"/>
        <v>290.66460206894209</v>
      </c>
      <c r="W67" s="137">
        <f t="shared" si="233"/>
        <v>339.86577777777779</v>
      </c>
      <c r="X67" s="1496">
        <f t="shared" ref="X67:Y67" si="234">SUM(X65:X66)</f>
        <v>342.90771913884015</v>
      </c>
      <c r="Y67" s="597">
        <f t="shared" si="234"/>
        <v>349.03586956521741</v>
      </c>
      <c r="Z67" s="983">
        <f t="shared" ref="Z67:AE67" si="235">SUM(Z65:Z66)</f>
        <v>353.00646379920067</v>
      </c>
      <c r="AA67" s="514">
        <f t="shared" si="235"/>
        <v>333.72311475409839</v>
      </c>
      <c r="AB67" s="593">
        <f t="shared" si="235"/>
        <v>366.69230715299437</v>
      </c>
      <c r="AC67" s="137">
        <f t="shared" si="235"/>
        <v>305.26709677419353</v>
      </c>
      <c r="AD67" s="837">
        <f t="shared" si="235"/>
        <v>354.98899250932965</v>
      </c>
      <c r="AE67" s="596">
        <f t="shared" si="235"/>
        <v>329.60098130841124</v>
      </c>
      <c r="AF67" s="593">
        <f t="shared" ref="AF67:AG67" si="236">SUM(AF65:AF66)</f>
        <v>321.12530122472191</v>
      </c>
      <c r="AG67" s="137">
        <f t="shared" si="236"/>
        <v>341.72666666666669</v>
      </c>
      <c r="AH67" s="837">
        <f t="shared" ref="AH67:AK67" si="237">SUM(AH65:AH66)</f>
        <v>350.82542390876313</v>
      </c>
      <c r="AI67" s="596">
        <f t="shared" si="237"/>
        <v>331.09184426229513</v>
      </c>
      <c r="AJ67" s="593">
        <f t="shared" si="237"/>
        <v>321.04511028670095</v>
      </c>
      <c r="AK67" s="137">
        <f t="shared" si="237"/>
        <v>339.75795698924736</v>
      </c>
      <c r="AL67" s="1496">
        <f t="shared" ref="AL67:AS67" si="238">SUM(AL65:AL66)</f>
        <v>336.45238018882839</v>
      </c>
      <c r="AM67" s="597">
        <f t="shared" si="238"/>
        <v>328.77800724637689</v>
      </c>
      <c r="AN67" s="837">
        <f t="shared" si="238"/>
        <v>347.46837037318522</v>
      </c>
      <c r="AO67" s="596">
        <f t="shared" si="238"/>
        <v>332.06875151515158</v>
      </c>
      <c r="AP67" s="593">
        <f t="shared" si="238"/>
        <v>316.59932759434361</v>
      </c>
      <c r="AQ67" s="137">
        <f t="shared" si="238"/>
        <v>328.39688172043009</v>
      </c>
      <c r="AR67" s="837">
        <f t="shared" si="238"/>
        <v>344.34111440539408</v>
      </c>
      <c r="AS67" s="596">
        <f t="shared" si="238"/>
        <v>331.6967647058824</v>
      </c>
      <c r="AT67" s="593">
        <f t="shared" ref="AT67:AU67" si="239">SUM(AT65:AT66)</f>
        <v>319.16812530899199</v>
      </c>
      <c r="AU67" s="137">
        <f t="shared" si="239"/>
        <v>315.72380952380951</v>
      </c>
      <c r="AV67" s="837">
        <f t="shared" ref="AV67:AY67" si="240">SUM(AV65:AV66)</f>
        <v>342.23080394222268</v>
      </c>
      <c r="AW67" s="596">
        <f t="shared" si="240"/>
        <v>330.35771457085832</v>
      </c>
      <c r="AX67" s="593">
        <f t="shared" si="240"/>
        <v>360.61866993188249</v>
      </c>
      <c r="AY67" s="137">
        <f t="shared" si="240"/>
        <v>335.71537634408605</v>
      </c>
      <c r="AZ67" s="1496">
        <f t="shared" ref="AZ67:BE67" si="241">SUM(AZ65:AZ66)</f>
        <v>332.56072702183093</v>
      </c>
      <c r="BA67" s="597">
        <f t="shared" si="241"/>
        <v>326.97496296296299</v>
      </c>
      <c r="BB67" s="983">
        <f t="shared" si="241"/>
        <v>334.52793631503846</v>
      </c>
      <c r="BC67" s="514">
        <f t="shared" si="241"/>
        <v>327.88639194139199</v>
      </c>
      <c r="BD67" s="837">
        <f t="shared" si="241"/>
        <v>343.79251310846774</v>
      </c>
      <c r="BE67" s="596">
        <f t="shared" si="241"/>
        <v>330.81274885844743</v>
      </c>
      <c r="BF67" s="528"/>
      <c r="BG67" s="528"/>
      <c r="BH67" s="26"/>
      <c r="BI67" s="26"/>
      <c r="BJ67" s="26"/>
    </row>
    <row r="68" spans="1:62" ht="15.6" x14ac:dyDescent="0.3">
      <c r="A68" s="3039"/>
      <c r="B68" s="3063" t="s">
        <v>474</v>
      </c>
      <c r="C68" s="48" t="s">
        <v>481</v>
      </c>
      <c r="D68" s="2767">
        <v>3</v>
      </c>
      <c r="E68" s="545">
        <v>4.8885000000000014</v>
      </c>
      <c r="F68" s="2767">
        <v>3</v>
      </c>
      <c r="G68" s="545">
        <v>8.1129569892473228</v>
      </c>
      <c r="H68" s="53">
        <f>+((D68*D$3)+(F$3*F68))/H$3</f>
        <v>3</v>
      </c>
      <c r="I68" s="105">
        <f>+((E68*E$3)+(G$3*G68))/I$3</f>
        <v>6.5271584699453609</v>
      </c>
      <c r="J68" s="2767">
        <v>3</v>
      </c>
      <c r="K68" s="545">
        <v>11.314444444444478</v>
      </c>
      <c r="L68" s="236">
        <f>+((D$3*D68)+(F$3*F68)+(J$3*J68))/L$3</f>
        <v>3</v>
      </c>
      <c r="M68" s="77">
        <f>+((E$3*E68)+(G$3*G68)+(K$3*K68))/M$3</f>
        <v>8.1053846153846294</v>
      </c>
      <c r="N68" s="2767">
        <v>3</v>
      </c>
      <c r="O68" s="545">
        <v>12.253225806451644</v>
      </c>
      <c r="P68" s="53">
        <f>+((L68*L$3)+(N$3*N68))/P$3</f>
        <v>3</v>
      </c>
      <c r="Q68" s="55">
        <f>+((M68*M$3)+(O$3*O68))/Q$3</f>
        <v>9.1593442622951002</v>
      </c>
      <c r="R68" s="2767">
        <v>3</v>
      </c>
      <c r="S68" s="545">
        <v>12.320752688172062</v>
      </c>
      <c r="T68" s="53">
        <f>+((P68*P$3)+(R$3*R68))/T$3</f>
        <v>3</v>
      </c>
      <c r="U68" s="55">
        <f>+((Q68*Q$3)+(S$3*S68))/U$3</f>
        <v>9.7998910675381463</v>
      </c>
      <c r="V68" s="2767">
        <v>3</v>
      </c>
      <c r="W68" s="545">
        <v>9.7617777777777928</v>
      </c>
      <c r="X68" s="236">
        <f>+((N68*N$3)+(R68*R$3)+(V$3*V68))/X$3</f>
        <v>3</v>
      </c>
      <c r="Y68" s="77">
        <f>+((O68*O$3)+(S68*S$3)+(W$3*W68))/Y$3</f>
        <v>11.463550724637704</v>
      </c>
      <c r="Z68" s="788">
        <f>+((L68*L$3)+(X$3*X68))/Z$3</f>
        <v>3</v>
      </c>
      <c r="AA68" s="498">
        <f>+((M68*M$3)+(Y$3*Y68))/AA$3</f>
        <v>9.7936429872495641</v>
      </c>
      <c r="AB68" s="2767">
        <v>3</v>
      </c>
      <c r="AC68" s="545">
        <v>8.7907526881720521</v>
      </c>
      <c r="AD68" s="53">
        <f>+((Z68*Z$3)+(AB$3*AB68))/AD$3</f>
        <v>3</v>
      </c>
      <c r="AE68" s="55">
        <f>+((AA68*AA$3)+(AC$3*AC68))/AE$3</f>
        <v>9.6483644859813271</v>
      </c>
      <c r="AF68" s="2767">
        <v>3</v>
      </c>
      <c r="AG68" s="545">
        <v>10.284000000000015</v>
      </c>
      <c r="AH68" s="53">
        <f>+((AD68*AD$3)+(AF$3*AF68))/AH$3</f>
        <v>3</v>
      </c>
      <c r="AI68" s="55">
        <f>+((AE68*AE$3)+(AG$3*AG68))/AI$3</f>
        <v>9.7265163934426422</v>
      </c>
      <c r="AJ68" s="2767">
        <v>3</v>
      </c>
      <c r="AK68" s="545">
        <v>8.1818279569892454</v>
      </c>
      <c r="AL68" s="236">
        <f>+((AB68*AB$3)+(AF68*AF$3)+(AJ$3*AJ68))/AL$3</f>
        <v>3</v>
      </c>
      <c r="AM68" s="77">
        <f>+((AC68*AC$3)+(AG68*AG$3)+(AK$3*AK68))/AM$3</f>
        <v>9.0725000000000051</v>
      </c>
      <c r="AN68" s="53">
        <f>+((AH68*AH$3)+(AJ$3*AJ68))/AN$3</f>
        <v>3</v>
      </c>
      <c r="AO68" s="55">
        <f>+((AI68*AI$3)+(AK$3*AK68))/AO$3</f>
        <v>9.5523878787878953</v>
      </c>
      <c r="AP68" s="2767">
        <v>3</v>
      </c>
      <c r="AQ68" s="545">
        <v>6.7769892473117714</v>
      </c>
      <c r="AR68" s="53">
        <f>+((AN68*AN$3)+(AP$3*AP68))/AR$3</f>
        <v>3</v>
      </c>
      <c r="AS68" s="55">
        <f>+((AO68*AO$3)+(AQ$3*AQ68))/AS$3</f>
        <v>9.2712200435729937</v>
      </c>
      <c r="AT68" s="2767">
        <v>3</v>
      </c>
      <c r="AU68" s="545">
        <v>14.144345238095282</v>
      </c>
      <c r="AV68" s="53">
        <f>+((AR68*AR$3)+(AT$3*AT68))/AV$3</f>
        <v>3</v>
      </c>
      <c r="AW68" s="55">
        <f>+((AS68*AS$3)+(AU$3*AU68))/AW$3</f>
        <v>9.6797455089820481</v>
      </c>
      <c r="AX68" s="2767">
        <v>3</v>
      </c>
      <c r="AY68" s="545">
        <v>17.38946236559141</v>
      </c>
      <c r="AZ68" s="236">
        <f>+((AP68*AP$3)+(AT68*AT$3)+(AX$3*AX68))/AZ$3</f>
        <v>3</v>
      </c>
      <c r="BA68" s="77">
        <f>+((AQ68*AQ$3)+(AU68*AU$3)+(AY$3*AY68))/BA$3</f>
        <v>12.72446296296296</v>
      </c>
      <c r="BB68" s="788">
        <f>+((AL68*AL$3)+(AZ$3*AZ68))/BB$3</f>
        <v>3</v>
      </c>
      <c r="BC68" s="498">
        <f>+((AM68*AM$3)+(BA$3*BA68))/BC$3</f>
        <v>10.878415750915751</v>
      </c>
      <c r="BD68" s="53">
        <f>+((AV68*AV$3)+(AX$3*AX68))/BD$3</f>
        <v>3</v>
      </c>
      <c r="BE68" s="55">
        <f>+((AW68*AW$3)+(AY$3*AY68))/BE$3</f>
        <v>10.334543378995445</v>
      </c>
      <c r="BF68" s="528"/>
      <c r="BG68" s="528"/>
      <c r="BH68" s="26"/>
      <c r="BI68" s="26"/>
      <c r="BJ68" s="26"/>
    </row>
    <row r="69" spans="1:62" ht="17.399999999999999" x14ac:dyDescent="0.3">
      <c r="A69" s="3039"/>
      <c r="B69" s="1342" t="s">
        <v>479</v>
      </c>
      <c r="C69" s="3064" t="s">
        <v>481</v>
      </c>
      <c r="D69" s="730">
        <f t="shared" ref="D69:K69" si="242">+D67-D68</f>
        <v>349.59321821470928</v>
      </c>
      <c r="E69" s="243">
        <f t="shared" si="242"/>
        <v>279.67777777777775</v>
      </c>
      <c r="F69" s="730">
        <f t="shared" ref="F69:G69" si="243">+F67-F68</f>
        <v>365.76159183714111</v>
      </c>
      <c r="G69" s="243">
        <f t="shared" si="243"/>
        <v>310.81892473118279</v>
      </c>
      <c r="H69" s="984">
        <f t="shared" si="242"/>
        <v>357.80993267856809</v>
      </c>
      <c r="I69" s="2493">
        <f t="shared" si="242"/>
        <v>295.50360655737705</v>
      </c>
      <c r="J69" s="730">
        <f t="shared" si="242"/>
        <v>365.10889403625907</v>
      </c>
      <c r="K69" s="243">
        <f t="shared" si="242"/>
        <v>339.89066666666668</v>
      </c>
      <c r="L69" s="78">
        <f t="shared" ref="L69:Q69" si="244">+L67-L68</f>
        <v>360.21618367560905</v>
      </c>
      <c r="M69" s="79">
        <f t="shared" si="244"/>
        <v>310.13670329670327</v>
      </c>
      <c r="N69" s="730">
        <f t="shared" si="244"/>
        <v>366.8271575059951</v>
      </c>
      <c r="O69" s="243">
        <f t="shared" si="244"/>
        <v>346.32064516129026</v>
      </c>
      <c r="P69" s="984">
        <f t="shared" si="244"/>
        <v>361.89602128824816</v>
      </c>
      <c r="Q69" s="56">
        <f t="shared" si="244"/>
        <v>319.33098360655742</v>
      </c>
      <c r="R69" s="730">
        <f t="shared" ref="R69:S69" si="245">+R67-R68</f>
        <v>363.54613600061879</v>
      </c>
      <c r="S69" s="243">
        <f t="shared" si="245"/>
        <v>336.05139784946238</v>
      </c>
      <c r="T69" s="984">
        <f t="shared" ref="T69:W69" si="246">+T67-T68</f>
        <v>362.23035825611407</v>
      </c>
      <c r="U69" s="56">
        <f t="shared" si="246"/>
        <v>322.718779956427</v>
      </c>
      <c r="V69" s="730">
        <f t="shared" si="246"/>
        <v>287.66460206894209</v>
      </c>
      <c r="W69" s="243">
        <f t="shared" si="246"/>
        <v>330.10399999999998</v>
      </c>
      <c r="X69" s="78">
        <f t="shared" ref="X69:Y69" si="247">+X67-X68</f>
        <v>339.90771913884015</v>
      </c>
      <c r="Y69" s="79">
        <f t="shared" si="247"/>
        <v>337.57231884057973</v>
      </c>
      <c r="Z69" s="985">
        <f t="shared" ref="Z69:AE69" si="248">+Z67-Z68</f>
        <v>350.00646379920067</v>
      </c>
      <c r="AA69" s="515">
        <f t="shared" si="248"/>
        <v>323.92947176684885</v>
      </c>
      <c r="AB69" s="730">
        <f t="shared" si="248"/>
        <v>363.69230715299437</v>
      </c>
      <c r="AC69" s="243">
        <f t="shared" si="248"/>
        <v>296.47634408602147</v>
      </c>
      <c r="AD69" s="984">
        <f t="shared" si="248"/>
        <v>351.98899250932965</v>
      </c>
      <c r="AE69" s="56">
        <f t="shared" si="248"/>
        <v>319.95261682242989</v>
      </c>
      <c r="AF69" s="730">
        <f t="shared" ref="AF69:AG69" si="249">+AF67-AF68</f>
        <v>318.12530122472191</v>
      </c>
      <c r="AG69" s="243">
        <f t="shared" si="249"/>
        <v>331.4426666666667</v>
      </c>
      <c r="AH69" s="984">
        <f t="shared" ref="AH69:AK69" si="250">+AH67-AH68</f>
        <v>347.82542390876313</v>
      </c>
      <c r="AI69" s="56">
        <f t="shared" si="250"/>
        <v>321.36532786885249</v>
      </c>
      <c r="AJ69" s="730">
        <f t="shared" si="250"/>
        <v>318.04511028670095</v>
      </c>
      <c r="AK69" s="243">
        <f t="shared" si="250"/>
        <v>331.57612903225811</v>
      </c>
      <c r="AL69" s="78">
        <f t="shared" ref="AL69:AS69" si="251">+AL67-AL68</f>
        <v>333.45238018882839</v>
      </c>
      <c r="AM69" s="79">
        <f t="shared" si="251"/>
        <v>319.7055072463769</v>
      </c>
      <c r="AN69" s="984">
        <f t="shared" si="251"/>
        <v>344.46837037318522</v>
      </c>
      <c r="AO69" s="56">
        <f t="shared" si="251"/>
        <v>322.51636363636368</v>
      </c>
      <c r="AP69" s="730">
        <f t="shared" si="251"/>
        <v>313.59932759434361</v>
      </c>
      <c r="AQ69" s="5391">
        <f t="shared" si="251"/>
        <v>321.61989247311834</v>
      </c>
      <c r="AR69" s="984">
        <f t="shared" si="251"/>
        <v>341.34111440539408</v>
      </c>
      <c r="AS69" s="56">
        <f t="shared" si="251"/>
        <v>322.42554466230939</v>
      </c>
      <c r="AT69" s="730">
        <f t="shared" ref="AT69:AU69" si="252">+AT67-AT68</f>
        <v>316.16812530899199</v>
      </c>
      <c r="AU69" s="5391">
        <f t="shared" si="252"/>
        <v>301.57946428571421</v>
      </c>
      <c r="AV69" s="984">
        <f t="shared" ref="AV69:AY69" si="253">+AV67-AV68</f>
        <v>339.23080394222268</v>
      </c>
      <c r="AW69" s="56">
        <f t="shared" si="253"/>
        <v>320.6779690618763</v>
      </c>
      <c r="AX69" s="730">
        <f t="shared" si="253"/>
        <v>357.61866993188249</v>
      </c>
      <c r="AY69" s="5391">
        <f t="shared" si="253"/>
        <v>318.32591397849467</v>
      </c>
      <c r="AZ69" s="78">
        <f t="shared" ref="AZ69:BE69" si="254">+AZ67-AZ68</f>
        <v>329.56072702183093</v>
      </c>
      <c r="BA69" s="79">
        <f t="shared" si="254"/>
        <v>314.25050000000005</v>
      </c>
      <c r="BB69" s="985">
        <f t="shared" si="254"/>
        <v>331.52793631503846</v>
      </c>
      <c r="BC69" s="515">
        <f t="shared" si="254"/>
        <v>317.00797619047626</v>
      </c>
      <c r="BD69" s="984">
        <f t="shared" si="254"/>
        <v>340.79251310846774</v>
      </c>
      <c r="BE69" s="56">
        <f t="shared" si="254"/>
        <v>320.47820547945201</v>
      </c>
      <c r="BF69" s="528"/>
      <c r="BG69" s="528"/>
      <c r="BH69" s="26"/>
      <c r="BI69" s="26"/>
      <c r="BJ69" s="26"/>
    </row>
    <row r="70" spans="1:62" ht="17.399999999999999" x14ac:dyDescent="0.3">
      <c r="B70" s="3065" t="s">
        <v>477</v>
      </c>
      <c r="C70" s="46"/>
      <c r="D70" s="986"/>
      <c r="E70" s="686"/>
      <c r="F70" s="986"/>
      <c r="G70" s="686"/>
      <c r="H70" s="604"/>
      <c r="I70" s="686"/>
      <c r="J70" s="986"/>
      <c r="K70" s="686"/>
      <c r="L70" s="604"/>
      <c r="M70" s="604"/>
      <c r="N70" s="986"/>
      <c r="O70" s="686"/>
      <c r="P70" s="604"/>
      <c r="Q70" s="604"/>
      <c r="R70" s="986"/>
      <c r="S70" s="686"/>
      <c r="T70" s="604"/>
      <c r="U70" s="604"/>
      <c r="V70" s="986"/>
      <c r="W70" s="686"/>
      <c r="X70" s="604"/>
      <c r="Y70" s="604"/>
      <c r="Z70" s="604"/>
      <c r="AA70" s="604"/>
      <c r="AB70" s="986"/>
      <c r="AC70" s="686"/>
      <c r="AD70" s="604"/>
      <c r="AE70" s="604"/>
      <c r="AF70" s="986"/>
      <c r="AG70" s="686"/>
      <c r="AH70" s="604"/>
      <c r="AI70" s="604"/>
      <c r="AJ70" s="986"/>
      <c r="AK70" s="686"/>
      <c r="AL70" s="604"/>
      <c r="AM70" s="604"/>
      <c r="AN70" s="604"/>
      <c r="AO70" s="604"/>
      <c r="AP70" s="986"/>
      <c r="AQ70" s="686"/>
      <c r="AR70" s="604"/>
      <c r="AS70" s="604"/>
      <c r="AT70" s="986"/>
      <c r="AU70" s="686"/>
      <c r="AV70" s="604"/>
      <c r="AW70" s="604"/>
      <c r="AX70" s="986"/>
      <c r="AY70" s="686"/>
      <c r="AZ70" s="604"/>
      <c r="BA70" s="604"/>
      <c r="BB70" s="604"/>
      <c r="BC70" s="604"/>
      <c r="BD70" s="604"/>
      <c r="BE70" s="604"/>
      <c r="BF70" s="528"/>
      <c r="BG70" s="528"/>
      <c r="BH70" s="26"/>
      <c r="BI70" s="26"/>
      <c r="BJ70" s="26"/>
    </row>
    <row r="71" spans="1:62" ht="15.6" x14ac:dyDescent="0.3">
      <c r="B71" s="3057" t="s">
        <v>2005</v>
      </c>
      <c r="C71" s="2535" t="s">
        <v>481</v>
      </c>
      <c r="D71" s="767">
        <v>23</v>
      </c>
      <c r="E71" s="81">
        <v>20.690999999999999</v>
      </c>
      <c r="F71" s="767">
        <v>23</v>
      </c>
      <c r="G71" s="81">
        <v>17.47451612903226</v>
      </c>
      <c r="H71" s="3058">
        <f t="shared" ref="H71:I78" si="255">+((D71*D$3)+(F$3*F71))/H$3</f>
        <v>23</v>
      </c>
      <c r="I71" s="105">
        <f t="shared" si="255"/>
        <v>19.056393442622952</v>
      </c>
      <c r="J71" s="767">
        <v>23</v>
      </c>
      <c r="K71" s="81">
        <v>19.844333333333335</v>
      </c>
      <c r="L71" s="348">
        <f t="shared" ref="L71:L78" si="256">+((H71*H$3)+(J$3*J71))/L$3</f>
        <v>23</v>
      </c>
      <c r="M71" s="348">
        <f t="shared" ref="M71:M78" si="257">+((I71*I$3)+(K$3*K71))/M$3</f>
        <v>19.316153846153846</v>
      </c>
      <c r="N71" s="767">
        <v>23</v>
      </c>
      <c r="O71" s="81">
        <v>19.520967741935486</v>
      </c>
      <c r="P71" s="261">
        <f t="shared" ref="P71:P78" si="258">+((L71*L$3)+(N$3*N71))/P$3</f>
        <v>23</v>
      </c>
      <c r="Q71" s="261">
        <f t="shared" ref="Q71:Q78" si="259">+((M71*M$3)+(O$3*O71))/Q$3</f>
        <v>19.368196721311477</v>
      </c>
      <c r="R71" s="767">
        <v>23</v>
      </c>
      <c r="S71" s="81">
        <v>14.385806451612904</v>
      </c>
      <c r="T71" s="261">
        <f t="shared" ref="T71:T78" si="260">+((P71*P$3)+(R$3*R71))/T$3</f>
        <v>23</v>
      </c>
      <c r="U71" s="261">
        <f t="shared" ref="U71:U78" si="261">+((Q71*Q$3)+(S$3*S71))/U$3</f>
        <v>18.358692810457516</v>
      </c>
      <c r="V71" s="767">
        <v>23</v>
      </c>
      <c r="W71" s="81">
        <v>14.848666666666665</v>
      </c>
      <c r="X71" s="348">
        <f t="shared" ref="X71:Y73" si="262">+((N71*N$3)+(R71*R$3)+(V$3*V71))/X$3</f>
        <v>23</v>
      </c>
      <c r="Y71" s="348">
        <f t="shared" si="262"/>
        <v>16.267065217391306</v>
      </c>
      <c r="Z71" s="662">
        <f t="shared" ref="Z71:Z78" si="263">+((L71*L$3)+(X$3*X71))/Z$3</f>
        <v>23</v>
      </c>
      <c r="AA71" s="662">
        <f>+((M71*M$3)+(Y$3*Y71))/AA$3</f>
        <v>17.783278688524589</v>
      </c>
      <c r="AB71" s="767">
        <v>23</v>
      </c>
      <c r="AC71" s="81">
        <v>15.74516129032258</v>
      </c>
      <c r="AD71" s="261">
        <f t="shared" ref="AD71:AD78" si="264">+((Z71*Z$3)+(AB$3*AB71))/AD$3</f>
        <v>23</v>
      </c>
      <c r="AE71" s="261">
        <f t="shared" ref="AE71:AE78" si="265">+((AA71*AA$3)+(AC$3*AC71))/AE$3</f>
        <v>17.48803738317757</v>
      </c>
      <c r="AF71" s="767">
        <v>23</v>
      </c>
      <c r="AG71" s="81">
        <v>15.930999999999999</v>
      </c>
      <c r="AH71" s="261">
        <f t="shared" ref="AH71:AH78" si="266">+((AD71*AD$3)+(AF$3*AF71))/AH$3</f>
        <v>23</v>
      </c>
      <c r="AI71" s="261">
        <f t="shared" ref="AI71:AI78" si="267">+((AE71*AE$3)+(AG$3*AG71))/AI$3</f>
        <v>17.296598360655736</v>
      </c>
      <c r="AJ71" s="767">
        <v>23</v>
      </c>
      <c r="AK71" s="81">
        <v>15.706774193548387</v>
      </c>
      <c r="AL71" s="348">
        <f t="shared" ref="AL71:AL78" si="268">+((AB71*AB$3)+(AF71*AF$3)+(AJ$3*AJ71))/AL$3</f>
        <v>23</v>
      </c>
      <c r="AM71" s="348">
        <f t="shared" ref="AM71:AM78" si="269">+((AC71*AC$3)+(AG71*AG$3)+(AK$3*AK71))/AM$3</f>
        <v>15.792826086956522</v>
      </c>
      <c r="AN71" s="261">
        <f t="shared" ref="AN71:AO78" si="270">+((AH71*AH$3)+(AJ$3*AJ71))/AN$3</f>
        <v>23</v>
      </c>
      <c r="AO71" s="261">
        <f t="shared" si="270"/>
        <v>17.117381818181816</v>
      </c>
      <c r="AP71" s="767">
        <v>23</v>
      </c>
      <c r="AQ71" s="81">
        <v>15.76483870967742</v>
      </c>
      <c r="AR71" s="261">
        <f t="shared" ref="AR71:AR78" si="271">+((AN71*AN$3)+(AP$3*AP71))/AR$3</f>
        <v>23</v>
      </c>
      <c r="AS71" s="261">
        <f t="shared" ref="AS71:AS78" si="272">+((AO71*AO$3)+(AQ$3*AQ71))/AS$3</f>
        <v>16.980359477124178</v>
      </c>
      <c r="AT71" s="767">
        <v>23</v>
      </c>
      <c r="AU71" s="81">
        <v>17.728928571428572</v>
      </c>
      <c r="AV71" s="261">
        <f t="shared" ref="AV71:AV78" si="273">+((AR71*AR$3)+(AT$3*AT71))/AV$3</f>
        <v>23</v>
      </c>
      <c r="AW71" s="261">
        <f t="shared" ref="AW71:AW78" si="274">+((AS71*AS$3)+(AU$3*AU71))/AW$3</f>
        <v>17.043113772455087</v>
      </c>
      <c r="AX71" s="767">
        <v>23</v>
      </c>
      <c r="AY71" s="81">
        <v>18.416129032258066</v>
      </c>
      <c r="AZ71" s="348">
        <f t="shared" ref="AZ71:AZ78" si="275">+((AP71*AP$3)+(AT71*AT$3)+(AX$3*AX71))/AZ$3</f>
        <v>23</v>
      </c>
      <c r="BA71" s="348">
        <f t="shared" ref="BA71:BA78" si="276">+((AQ71*AQ$3)+(AU71*AU$3)+(AY$3*AY71))/BA$3</f>
        <v>17.289111111111115</v>
      </c>
      <c r="BB71" s="662">
        <f t="shared" ref="BB71:BC78" si="277">+((AL71*AL$3)+(AZ$3*AZ71))/BB$3</f>
        <v>23</v>
      </c>
      <c r="BC71" s="662">
        <f t="shared" si="277"/>
        <v>16.532747252747257</v>
      </c>
      <c r="BD71" s="261">
        <f t="shared" ref="BD71:BD78" si="278">+((AV71*AV$3)+(AX$3*AX71))/BD$3</f>
        <v>23</v>
      </c>
      <c r="BE71" s="261">
        <f t="shared" ref="BE71:BE78" si="279">+((AW71*AW$3)+(AY$3*AY71))/BE$3</f>
        <v>17.159726027397259</v>
      </c>
      <c r="BF71" s="528"/>
      <c r="BG71" s="528"/>
      <c r="BH71" s="26"/>
      <c r="BI71" s="26"/>
      <c r="BJ71" s="26"/>
    </row>
    <row r="72" spans="1:62" ht="15.75" customHeight="1" x14ac:dyDescent="0.3">
      <c r="B72" s="3057" t="s">
        <v>2006</v>
      </c>
      <c r="C72" s="2535" t="s">
        <v>481</v>
      </c>
      <c r="D72" s="767">
        <v>19</v>
      </c>
      <c r="E72" s="81">
        <v>0</v>
      </c>
      <c r="F72" s="767">
        <v>19</v>
      </c>
      <c r="G72" s="81">
        <v>0</v>
      </c>
      <c r="H72" s="3058">
        <f t="shared" si="255"/>
        <v>19</v>
      </c>
      <c r="I72" s="105">
        <f t="shared" si="255"/>
        <v>0</v>
      </c>
      <c r="J72" s="767">
        <v>19</v>
      </c>
      <c r="K72" s="81">
        <v>0</v>
      </c>
      <c r="L72" s="348">
        <f t="shared" si="256"/>
        <v>19</v>
      </c>
      <c r="M72" s="348">
        <f t="shared" si="257"/>
        <v>0</v>
      </c>
      <c r="N72" s="767">
        <v>19</v>
      </c>
      <c r="O72" s="81">
        <v>0</v>
      </c>
      <c r="P72" s="261">
        <f t="shared" si="258"/>
        <v>19</v>
      </c>
      <c r="Q72" s="261">
        <f t="shared" si="259"/>
        <v>0</v>
      </c>
      <c r="R72" s="767">
        <v>19</v>
      </c>
      <c r="S72" s="81">
        <v>0</v>
      </c>
      <c r="T72" s="261">
        <f t="shared" si="260"/>
        <v>19</v>
      </c>
      <c r="U72" s="261">
        <f t="shared" si="261"/>
        <v>0</v>
      </c>
      <c r="V72" s="767">
        <v>19</v>
      </c>
      <c r="W72" s="81">
        <v>0</v>
      </c>
      <c r="X72" s="348">
        <f t="shared" si="262"/>
        <v>19</v>
      </c>
      <c r="Y72" s="348">
        <f t="shared" si="262"/>
        <v>0</v>
      </c>
      <c r="Z72" s="662">
        <f t="shared" si="263"/>
        <v>19</v>
      </c>
      <c r="AA72" s="662">
        <f t="shared" ref="AA72:AA78" si="280">+((M72*M$3)+(Y$3*Y72))/AA$3</f>
        <v>0</v>
      </c>
      <c r="AB72" s="767">
        <v>19</v>
      </c>
      <c r="AC72" s="81">
        <v>0</v>
      </c>
      <c r="AD72" s="261">
        <f t="shared" si="264"/>
        <v>19</v>
      </c>
      <c r="AE72" s="261">
        <f t="shared" si="265"/>
        <v>0</v>
      </c>
      <c r="AF72" s="767">
        <v>19</v>
      </c>
      <c r="AG72" s="81">
        <v>2.0350000000000001</v>
      </c>
      <c r="AH72" s="261">
        <f t="shared" si="266"/>
        <v>19</v>
      </c>
      <c r="AI72" s="261">
        <f t="shared" si="267"/>
        <v>0.25020491803278688</v>
      </c>
      <c r="AJ72" s="767">
        <v>19</v>
      </c>
      <c r="AK72" s="81">
        <v>9.9215053763440864</v>
      </c>
      <c r="AL72" s="348">
        <f t="shared" si="268"/>
        <v>19</v>
      </c>
      <c r="AM72" s="348">
        <f t="shared" si="269"/>
        <v>4.0067028985507251</v>
      </c>
      <c r="AN72" s="261">
        <f t="shared" si="270"/>
        <v>19</v>
      </c>
      <c r="AO72" s="261">
        <f t="shared" si="270"/>
        <v>1.3404242424242425</v>
      </c>
      <c r="AP72" s="767">
        <v>19</v>
      </c>
      <c r="AQ72" s="81">
        <v>7.7421505376344086</v>
      </c>
      <c r="AR72" s="261">
        <f t="shared" si="271"/>
        <v>19</v>
      </c>
      <c r="AS72" s="261">
        <f t="shared" si="272"/>
        <v>1.9889651416122005</v>
      </c>
      <c r="AT72" s="767">
        <v>19</v>
      </c>
      <c r="AU72" s="81">
        <v>7.7541071428571433</v>
      </c>
      <c r="AV72" s="261">
        <f t="shared" si="273"/>
        <v>19</v>
      </c>
      <c r="AW72" s="261">
        <f t="shared" si="274"/>
        <v>2.4722704590818365</v>
      </c>
      <c r="AX72" s="767">
        <v>19</v>
      </c>
      <c r="AY72" s="81">
        <v>9.921397849462366</v>
      </c>
      <c r="AZ72" s="348">
        <f t="shared" si="275"/>
        <v>19</v>
      </c>
      <c r="BA72" s="348">
        <f t="shared" si="276"/>
        <v>8.4964999999999993</v>
      </c>
      <c r="BB72" s="662">
        <f t="shared" si="277"/>
        <v>19</v>
      </c>
      <c r="BC72" s="662">
        <f t="shared" si="277"/>
        <v>6.2269322344322351</v>
      </c>
      <c r="BD72" s="261">
        <f t="shared" si="278"/>
        <v>19</v>
      </c>
      <c r="BE72" s="261">
        <f t="shared" si="279"/>
        <v>3.1049360730593607</v>
      </c>
      <c r="BF72" s="528"/>
      <c r="BG72" s="528"/>
      <c r="BH72" s="26"/>
      <c r="BI72" s="26"/>
      <c r="BJ72" s="26"/>
    </row>
    <row r="73" spans="1:62" ht="15.6" x14ac:dyDescent="0.3">
      <c r="B73" s="3057" t="s">
        <v>2007</v>
      </c>
      <c r="C73" s="2535" t="s">
        <v>481</v>
      </c>
      <c r="D73" s="767">
        <v>8</v>
      </c>
      <c r="E73" s="81">
        <v>7.8146666666666675</v>
      </c>
      <c r="F73" s="767">
        <v>8</v>
      </c>
      <c r="G73" s="81">
        <v>5.2432258064516128</v>
      </c>
      <c r="H73" s="3058">
        <f t="shared" si="255"/>
        <v>8</v>
      </c>
      <c r="I73" s="105">
        <f t="shared" si="255"/>
        <v>6.5078688524590165</v>
      </c>
      <c r="J73" s="767">
        <v>8</v>
      </c>
      <c r="K73" s="81">
        <v>5.5400000000000009</v>
      </c>
      <c r="L73" s="348">
        <f t="shared" si="256"/>
        <v>8</v>
      </c>
      <c r="M73" s="348">
        <f t="shared" si="257"/>
        <v>6.1887912087912094</v>
      </c>
      <c r="N73" s="767">
        <v>8</v>
      </c>
      <c r="O73" s="81">
        <v>6.5196774193548395</v>
      </c>
      <c r="P73" s="261">
        <f t="shared" si="258"/>
        <v>8</v>
      </c>
      <c r="Q73" s="261">
        <f t="shared" si="259"/>
        <v>6.272868852459017</v>
      </c>
      <c r="R73" s="767">
        <v>8</v>
      </c>
      <c r="S73" s="81">
        <v>7.6626881720430111</v>
      </c>
      <c r="T73" s="261">
        <f t="shared" si="260"/>
        <v>8</v>
      </c>
      <c r="U73" s="261">
        <f t="shared" si="261"/>
        <v>6.5544662309368205</v>
      </c>
      <c r="V73" s="767">
        <v>9</v>
      </c>
      <c r="W73" s="81">
        <v>8.9433333333333316</v>
      </c>
      <c r="X73" s="348">
        <f t="shared" si="262"/>
        <v>8.3260869565217384</v>
      </c>
      <c r="Y73" s="348">
        <f t="shared" si="262"/>
        <v>7.6951449275362327</v>
      </c>
      <c r="Z73" s="662">
        <f t="shared" si="263"/>
        <v>8.1639344262295079</v>
      </c>
      <c r="AA73" s="662">
        <f t="shared" si="280"/>
        <v>6.9460837887067397</v>
      </c>
      <c r="AB73" s="767">
        <v>8</v>
      </c>
      <c r="AC73" s="81">
        <v>9.0180645161290318</v>
      </c>
      <c r="AD73" s="261">
        <f t="shared" si="264"/>
        <v>8.1401869158878508</v>
      </c>
      <c r="AE73" s="261">
        <f t="shared" si="265"/>
        <v>7.2462305295950156</v>
      </c>
      <c r="AF73" s="767">
        <v>8</v>
      </c>
      <c r="AG73" s="81">
        <v>11.641</v>
      </c>
      <c r="AH73" s="261">
        <f t="shared" si="266"/>
        <v>8.1229508196721305</v>
      </c>
      <c r="AI73" s="261">
        <f t="shared" si="267"/>
        <v>7.786571038251366</v>
      </c>
      <c r="AJ73" s="767">
        <v>8</v>
      </c>
      <c r="AK73" s="81">
        <v>12.986451612903226</v>
      </c>
      <c r="AL73" s="348">
        <f t="shared" si="268"/>
        <v>8</v>
      </c>
      <c r="AM73" s="348">
        <f t="shared" si="269"/>
        <v>11.210543478260869</v>
      </c>
      <c r="AN73" s="261">
        <f t="shared" si="270"/>
        <v>8.1090909090909093</v>
      </c>
      <c r="AO73" s="261">
        <f t="shared" si="270"/>
        <v>8.3727393939393941</v>
      </c>
      <c r="AP73" s="767">
        <v>8</v>
      </c>
      <c r="AQ73" s="81">
        <v>14.035806451612903</v>
      </c>
      <c r="AR73" s="261">
        <f t="shared" si="271"/>
        <v>8.0980392156862742</v>
      </c>
      <c r="AS73" s="261">
        <f t="shared" si="272"/>
        <v>8.9464488017429211</v>
      </c>
      <c r="AT73" s="767">
        <v>8</v>
      </c>
      <c r="AU73" s="81">
        <v>14.574285714285715</v>
      </c>
      <c r="AV73" s="261">
        <f t="shared" si="273"/>
        <v>8.0898203592814379</v>
      </c>
      <c r="AW73" s="261">
        <f t="shared" si="274"/>
        <v>9.4182435129740529</v>
      </c>
      <c r="AX73" s="767">
        <v>8</v>
      </c>
      <c r="AY73" s="81">
        <v>7.1574193548387095</v>
      </c>
      <c r="AZ73" s="348">
        <f t="shared" si="275"/>
        <v>8</v>
      </c>
      <c r="BA73" s="348">
        <f t="shared" si="276"/>
        <v>11.834111111111113</v>
      </c>
      <c r="BB73" s="662">
        <f t="shared" si="277"/>
        <v>8</v>
      </c>
      <c r="BC73" s="662">
        <f t="shared" si="277"/>
        <v>11.518901098901098</v>
      </c>
      <c r="BD73" s="261">
        <f t="shared" si="278"/>
        <v>8.082191780821919</v>
      </c>
      <c r="BE73" s="261">
        <f t="shared" si="279"/>
        <v>9.2262283105022842</v>
      </c>
      <c r="BF73" s="528"/>
      <c r="BG73" s="528"/>
      <c r="BH73" s="26"/>
      <c r="BI73" s="26"/>
      <c r="BJ73" s="26"/>
    </row>
    <row r="74" spans="1:62" ht="15.6" x14ac:dyDescent="0.3">
      <c r="B74" s="4782" t="s">
        <v>2008</v>
      </c>
      <c r="C74" s="4783" t="s">
        <v>481</v>
      </c>
      <c r="D74" s="4784">
        <f t="shared" ref="D74:M74" si="281">SUM(D71:D73)</f>
        <v>50</v>
      </c>
      <c r="E74" s="4784">
        <f t="shared" si="281"/>
        <v>28.505666666666666</v>
      </c>
      <c r="F74" s="4784">
        <f t="shared" si="281"/>
        <v>50</v>
      </c>
      <c r="G74" s="4784">
        <f t="shared" si="281"/>
        <v>22.717741935483872</v>
      </c>
      <c r="H74" s="4683">
        <f t="shared" si="281"/>
        <v>50</v>
      </c>
      <c r="I74" s="4699">
        <f t="shared" si="281"/>
        <v>25.564262295081967</v>
      </c>
      <c r="J74" s="4784">
        <f t="shared" si="281"/>
        <v>50</v>
      </c>
      <c r="K74" s="4784">
        <f t="shared" si="281"/>
        <v>25.384333333333338</v>
      </c>
      <c r="L74" s="4684">
        <f t="shared" si="281"/>
        <v>50</v>
      </c>
      <c r="M74" s="4684">
        <f t="shared" si="281"/>
        <v>25.504945054945054</v>
      </c>
      <c r="N74" s="4784">
        <f t="shared" ref="N74:O74" si="282">SUM(N71:N73)</f>
        <v>50</v>
      </c>
      <c r="O74" s="4784">
        <f t="shared" si="282"/>
        <v>26.040645161290325</v>
      </c>
      <c r="P74" s="4683">
        <f t="shared" ref="P74:U74" si="283">SUM(P71:P73)</f>
        <v>50</v>
      </c>
      <c r="Q74" s="4683">
        <f t="shared" si="283"/>
        <v>25.641065573770494</v>
      </c>
      <c r="R74" s="4784">
        <f t="shared" si="283"/>
        <v>50</v>
      </c>
      <c r="S74" s="4784">
        <f t="shared" si="283"/>
        <v>22.048494623655916</v>
      </c>
      <c r="T74" s="4683">
        <f t="shared" si="283"/>
        <v>50</v>
      </c>
      <c r="U74" s="4683">
        <f t="shared" si="283"/>
        <v>24.913159041394337</v>
      </c>
      <c r="V74" s="4784">
        <f t="shared" ref="V74:W74" si="284">SUM(V71:V73)</f>
        <v>51</v>
      </c>
      <c r="W74" s="4784">
        <f t="shared" si="284"/>
        <v>23.791999999999994</v>
      </c>
      <c r="X74" s="4684">
        <f t="shared" ref="X74:AC74" si="285">SUM(X71:X73)</f>
        <v>50.326086956521735</v>
      </c>
      <c r="Y74" s="4684">
        <f t="shared" si="285"/>
        <v>23.962210144927539</v>
      </c>
      <c r="Z74" s="4781">
        <f t="shared" si="285"/>
        <v>50.16393442622951</v>
      </c>
      <c r="AA74" s="4781">
        <f t="shared" si="285"/>
        <v>24.72936247723133</v>
      </c>
      <c r="AB74" s="4784">
        <f t="shared" si="285"/>
        <v>50</v>
      </c>
      <c r="AC74" s="4784">
        <f t="shared" si="285"/>
        <v>24.763225806451612</v>
      </c>
      <c r="AD74" s="4683">
        <f t="shared" ref="AD74:AG74" si="286">SUM(AD71:AD73)</f>
        <v>50.140186915887853</v>
      </c>
      <c r="AE74" s="4683">
        <f t="shared" si="286"/>
        <v>24.734267912772587</v>
      </c>
      <c r="AF74" s="4784">
        <f t="shared" si="286"/>
        <v>50</v>
      </c>
      <c r="AG74" s="4784">
        <f t="shared" si="286"/>
        <v>29.606999999999999</v>
      </c>
      <c r="AH74" s="4683">
        <f t="shared" ref="AH74:AK74" si="287">SUM(AH71:AH73)</f>
        <v>50.122950819672127</v>
      </c>
      <c r="AI74" s="4683">
        <f t="shared" si="287"/>
        <v>25.333374316939889</v>
      </c>
      <c r="AJ74" s="4784">
        <f t="shared" si="287"/>
        <v>50</v>
      </c>
      <c r="AK74" s="4784">
        <f t="shared" si="287"/>
        <v>38.614731182795701</v>
      </c>
      <c r="AL74" s="4684">
        <f t="shared" ref="AL74:AQ74" si="288">SUM(AL71:AL73)</f>
        <v>50</v>
      </c>
      <c r="AM74" s="4684">
        <f t="shared" si="288"/>
        <v>31.010072463768118</v>
      </c>
      <c r="AN74" s="4683">
        <f t="shared" si="288"/>
        <v>50.109090909090909</v>
      </c>
      <c r="AO74" s="4683">
        <f t="shared" si="288"/>
        <v>26.830545454545451</v>
      </c>
      <c r="AP74" s="4784">
        <f t="shared" si="288"/>
        <v>50</v>
      </c>
      <c r="AQ74" s="4784">
        <f t="shared" si="288"/>
        <v>37.542795698924735</v>
      </c>
      <c r="AR74" s="4683">
        <f t="shared" ref="AR74:AU74" si="289">SUM(AR71:AR73)</f>
        <v>50.098039215686271</v>
      </c>
      <c r="AS74" s="4683">
        <f t="shared" si="289"/>
        <v>27.915773420479301</v>
      </c>
      <c r="AT74" s="4784">
        <f t="shared" si="289"/>
        <v>50</v>
      </c>
      <c r="AU74" s="4784">
        <f t="shared" si="289"/>
        <v>40.057321428571427</v>
      </c>
      <c r="AV74" s="4683">
        <f t="shared" ref="AV74:AY74" si="290">SUM(AV71:AV73)</f>
        <v>50.08982035928144</v>
      </c>
      <c r="AW74" s="4683">
        <f t="shared" si="290"/>
        <v>28.933627744510979</v>
      </c>
      <c r="AX74" s="4784">
        <f t="shared" si="290"/>
        <v>50</v>
      </c>
      <c r="AY74" s="4784">
        <f t="shared" si="290"/>
        <v>35.494946236559144</v>
      </c>
      <c r="AZ74" s="4684">
        <f t="shared" ref="AZ74:BE74" si="291">SUM(AZ71:AZ73)</f>
        <v>50</v>
      </c>
      <c r="BA74" s="4684">
        <f t="shared" si="291"/>
        <v>37.619722222222229</v>
      </c>
      <c r="BB74" s="4781">
        <f t="shared" si="291"/>
        <v>50</v>
      </c>
      <c r="BC74" s="4781">
        <f t="shared" si="291"/>
        <v>34.278580586080587</v>
      </c>
      <c r="BD74" s="4683">
        <f t="shared" si="291"/>
        <v>50.082191780821915</v>
      </c>
      <c r="BE74" s="4683">
        <f t="shared" si="291"/>
        <v>29.490890410958905</v>
      </c>
      <c r="BF74" s="528"/>
      <c r="BG74" s="528"/>
      <c r="BH74" s="26"/>
      <c r="BI74" s="26"/>
      <c r="BJ74" s="26"/>
    </row>
    <row r="75" spans="1:62" ht="15.6" x14ac:dyDescent="0.3">
      <c r="B75" s="3057" t="s">
        <v>2009</v>
      </c>
      <c r="C75" s="2535" t="s">
        <v>481</v>
      </c>
      <c r="D75" s="767">
        <v>9</v>
      </c>
      <c r="E75" s="81">
        <v>6.3179999999999996</v>
      </c>
      <c r="F75" s="767">
        <v>9</v>
      </c>
      <c r="G75" s="81">
        <v>6.6790322580645158</v>
      </c>
      <c r="H75" s="3058">
        <f t="shared" si="255"/>
        <v>9</v>
      </c>
      <c r="I75" s="105">
        <f t="shared" si="255"/>
        <v>6.5014754098360648</v>
      </c>
      <c r="J75" s="767">
        <v>9</v>
      </c>
      <c r="K75" s="81">
        <v>3.8310000000000008</v>
      </c>
      <c r="L75" s="348">
        <f t="shared" si="256"/>
        <v>9</v>
      </c>
      <c r="M75" s="348">
        <f t="shared" si="257"/>
        <v>5.6210989010989012</v>
      </c>
      <c r="N75" s="767">
        <v>9</v>
      </c>
      <c r="O75" s="81">
        <v>0.54516129032258065</v>
      </c>
      <c r="P75" s="261">
        <f t="shared" si="258"/>
        <v>9</v>
      </c>
      <c r="Q75" s="261">
        <f t="shared" si="259"/>
        <v>4.3313114754098354</v>
      </c>
      <c r="R75" s="767">
        <v>9</v>
      </c>
      <c r="S75" s="81">
        <v>0.3470967741935484</v>
      </c>
      <c r="T75" s="261">
        <f t="shared" si="260"/>
        <v>9</v>
      </c>
      <c r="U75" s="261">
        <f t="shared" si="261"/>
        <v>3.5240522875816991</v>
      </c>
      <c r="V75" s="767">
        <v>6</v>
      </c>
      <c r="W75" s="81">
        <v>0.60433333333333339</v>
      </c>
      <c r="X75" s="348">
        <f t="shared" ref="X75:Y78" si="292">+((N75*N$3)+(R75*R$3)+(V$3*V75))/X$3</f>
        <v>8.0217391304347831</v>
      </c>
      <c r="Y75" s="348">
        <f t="shared" si="292"/>
        <v>0.49771739130434783</v>
      </c>
      <c r="Z75" s="662">
        <f t="shared" si="263"/>
        <v>8.5081967213114762</v>
      </c>
      <c r="AA75" s="662">
        <f t="shared" si="280"/>
        <v>3.0454098360655735</v>
      </c>
      <c r="AB75" s="767">
        <v>9</v>
      </c>
      <c r="AC75" s="81">
        <v>0.38096774193548388</v>
      </c>
      <c r="AD75" s="261">
        <f t="shared" si="264"/>
        <v>8.5794392523364493</v>
      </c>
      <c r="AE75" s="261">
        <f t="shared" si="265"/>
        <v>2.6594392523364481</v>
      </c>
      <c r="AF75" s="767">
        <v>9</v>
      </c>
      <c r="AG75" s="81">
        <v>0.4433333333333333</v>
      </c>
      <c r="AH75" s="261">
        <f t="shared" si="266"/>
        <v>8.6311475409836067</v>
      </c>
      <c r="AI75" s="261">
        <f t="shared" si="267"/>
        <v>2.3869672131147537</v>
      </c>
      <c r="AJ75" s="767">
        <v>9</v>
      </c>
      <c r="AK75" s="81">
        <v>0.46548387096774191</v>
      </c>
      <c r="AL75" s="348">
        <f t="shared" si="268"/>
        <v>9</v>
      </c>
      <c r="AM75" s="348">
        <f t="shared" si="269"/>
        <v>0.42978260869565216</v>
      </c>
      <c r="AN75" s="261">
        <f t="shared" si="270"/>
        <v>8.672727272727272</v>
      </c>
      <c r="AO75" s="370">
        <f t="shared" si="270"/>
        <v>2.1703636363636356</v>
      </c>
      <c r="AP75" s="767">
        <v>9</v>
      </c>
      <c r="AQ75" s="81">
        <v>0.43548387096774194</v>
      </c>
      <c r="AR75" s="261">
        <f t="shared" si="271"/>
        <v>8.7058823529411757</v>
      </c>
      <c r="AS75" s="261">
        <f t="shared" si="272"/>
        <v>1.9946078431372543</v>
      </c>
      <c r="AT75" s="767">
        <v>9</v>
      </c>
      <c r="AU75" s="81">
        <v>3.2142857142857147E-2</v>
      </c>
      <c r="AV75" s="261">
        <f t="shared" si="273"/>
        <v>8.7305389221556879</v>
      </c>
      <c r="AW75" s="261">
        <f t="shared" si="274"/>
        <v>1.8300898203592808</v>
      </c>
      <c r="AX75" s="767">
        <v>9</v>
      </c>
      <c r="AY75" s="81">
        <v>0.6832258064516129</v>
      </c>
      <c r="AZ75" s="348">
        <f t="shared" si="275"/>
        <v>9</v>
      </c>
      <c r="BA75" s="348">
        <f t="shared" si="276"/>
        <v>0.39533333333333331</v>
      </c>
      <c r="BB75" s="662">
        <f t="shared" si="277"/>
        <v>9</v>
      </c>
      <c r="BC75" s="662">
        <f t="shared" si="277"/>
        <v>0.41274725274725277</v>
      </c>
      <c r="BD75" s="261">
        <f t="shared" si="278"/>
        <v>8.7534246575342465</v>
      </c>
      <c r="BE75" s="261">
        <f t="shared" si="279"/>
        <v>1.7326849315068487</v>
      </c>
      <c r="BF75" s="528"/>
      <c r="BG75" s="528"/>
      <c r="BH75" s="26"/>
      <c r="BI75" s="26"/>
      <c r="BJ75" s="26"/>
    </row>
    <row r="76" spans="1:62" ht="15.6" x14ac:dyDescent="0.3">
      <c r="B76" s="3057" t="s">
        <v>621</v>
      </c>
      <c r="C76" s="2535" t="s">
        <v>481</v>
      </c>
      <c r="D76" s="767">
        <v>13.5</v>
      </c>
      <c r="E76" s="81">
        <v>12.186333333333334</v>
      </c>
      <c r="F76" s="767">
        <v>13.5</v>
      </c>
      <c r="G76" s="81">
        <v>12.798709677419355</v>
      </c>
      <c r="H76" s="3058">
        <f t="shared" si="255"/>
        <v>13.5</v>
      </c>
      <c r="I76" s="105">
        <f t="shared" si="255"/>
        <v>12.497540983606557</v>
      </c>
      <c r="J76" s="767">
        <v>13.5</v>
      </c>
      <c r="K76" s="81">
        <v>12.927333333333333</v>
      </c>
      <c r="L76" s="348">
        <f t="shared" si="256"/>
        <v>13.5</v>
      </c>
      <c r="M76" s="348">
        <f t="shared" si="257"/>
        <v>12.639230769230769</v>
      </c>
      <c r="N76" s="767">
        <v>13.5</v>
      </c>
      <c r="O76" s="81">
        <v>12.632580645161289</v>
      </c>
      <c r="P76" s="261">
        <f t="shared" si="258"/>
        <v>13.5</v>
      </c>
      <c r="Q76" s="261">
        <f t="shared" si="259"/>
        <v>12.637540983606558</v>
      </c>
      <c r="R76" s="767">
        <v>13.5</v>
      </c>
      <c r="S76" s="81">
        <v>13.253870967741934</v>
      </c>
      <c r="T76" s="261">
        <f t="shared" si="260"/>
        <v>13.5</v>
      </c>
      <c r="U76" s="261">
        <f t="shared" si="261"/>
        <v>12.762418300653595</v>
      </c>
      <c r="V76" s="767">
        <v>10.5</v>
      </c>
      <c r="W76" s="81">
        <v>12.871333333333332</v>
      </c>
      <c r="X76" s="348">
        <f t="shared" si="292"/>
        <v>12.521739130434783</v>
      </c>
      <c r="Y76" s="348">
        <f t="shared" si="292"/>
        <v>12.919782608695652</v>
      </c>
      <c r="Z76" s="662">
        <f t="shared" si="263"/>
        <v>13.008196721311476</v>
      </c>
      <c r="AA76" s="662">
        <f t="shared" si="280"/>
        <v>12.780273224043716</v>
      </c>
      <c r="AB76" s="767">
        <v>13.5</v>
      </c>
      <c r="AC76" s="81">
        <v>12.23</v>
      </c>
      <c r="AD76" s="261">
        <f t="shared" si="264"/>
        <v>13.079439252336449</v>
      </c>
      <c r="AE76" s="261">
        <f t="shared" si="265"/>
        <v>12.700560747663552</v>
      </c>
      <c r="AF76" s="767">
        <v>13.5</v>
      </c>
      <c r="AG76" s="81">
        <v>13.702333333333334</v>
      </c>
      <c r="AH76" s="261">
        <f t="shared" si="266"/>
        <v>13.131147540983607</v>
      </c>
      <c r="AI76" s="261">
        <f t="shared" si="267"/>
        <v>12.823729508196722</v>
      </c>
      <c r="AJ76" s="767">
        <v>13.5</v>
      </c>
      <c r="AK76" s="81">
        <v>13.423225806451612</v>
      </c>
      <c r="AL76" s="348">
        <f t="shared" si="268"/>
        <v>13.5</v>
      </c>
      <c r="AM76" s="348">
        <f t="shared" si="269"/>
        <v>13.112173913043478</v>
      </c>
      <c r="AN76" s="261">
        <f t="shared" si="270"/>
        <v>13.172727272727272</v>
      </c>
      <c r="AO76" s="261">
        <f t="shared" si="270"/>
        <v>12.891309090909091</v>
      </c>
      <c r="AP76" s="767">
        <v>13.5</v>
      </c>
      <c r="AQ76" s="81">
        <v>13.655161290322582</v>
      </c>
      <c r="AR76" s="261">
        <f t="shared" si="271"/>
        <v>13.205882352941176</v>
      </c>
      <c r="AS76" s="261">
        <f t="shared" si="272"/>
        <v>12.968692810457517</v>
      </c>
      <c r="AT76" s="767">
        <v>13.5</v>
      </c>
      <c r="AU76" s="81">
        <v>12.957500000000001</v>
      </c>
      <c r="AV76" s="261">
        <f t="shared" si="273"/>
        <v>13.230538922155688</v>
      </c>
      <c r="AW76" s="261">
        <f t="shared" si="274"/>
        <v>12.967754491017965</v>
      </c>
      <c r="AX76" s="767">
        <v>13.5</v>
      </c>
      <c r="AY76" s="81">
        <v>12.420645161290322</v>
      </c>
      <c r="AZ76" s="348">
        <f t="shared" si="275"/>
        <v>13.5</v>
      </c>
      <c r="BA76" s="348">
        <f t="shared" si="276"/>
        <v>13.01288888888889</v>
      </c>
      <c r="BB76" s="662">
        <f t="shared" si="277"/>
        <v>13.5</v>
      </c>
      <c r="BC76" s="662">
        <f t="shared" si="277"/>
        <v>13.063076923076924</v>
      </c>
      <c r="BD76" s="261">
        <f t="shared" si="278"/>
        <v>13.253424657534246</v>
      </c>
      <c r="BE76" s="261">
        <f t="shared" si="279"/>
        <v>12.921287671232879</v>
      </c>
      <c r="BF76" s="528"/>
      <c r="BG76" s="528"/>
      <c r="BH76" s="26"/>
      <c r="BI76" s="26"/>
      <c r="BJ76" s="26"/>
    </row>
    <row r="77" spans="1:62" ht="15.6" x14ac:dyDescent="0.3">
      <c r="B77" s="3057" t="s">
        <v>472</v>
      </c>
      <c r="C77" s="2535" t="s">
        <v>481</v>
      </c>
      <c r="D77" s="767">
        <v>110</v>
      </c>
      <c r="E77" s="81">
        <v>98.714333333333343</v>
      </c>
      <c r="F77" s="767">
        <v>110</v>
      </c>
      <c r="G77" s="81">
        <v>107.83387096774193</v>
      </c>
      <c r="H77" s="3058">
        <f t="shared" si="255"/>
        <v>110</v>
      </c>
      <c r="I77" s="105">
        <f t="shared" si="255"/>
        <v>103.3488524590164</v>
      </c>
      <c r="J77" s="767">
        <v>110</v>
      </c>
      <c r="K77" s="81">
        <v>112.11233333333332</v>
      </c>
      <c r="L77" s="348">
        <f t="shared" si="256"/>
        <v>110</v>
      </c>
      <c r="M77" s="348">
        <f t="shared" si="257"/>
        <v>106.23791208791211</v>
      </c>
      <c r="N77" s="767">
        <v>110</v>
      </c>
      <c r="O77" s="81">
        <v>111.24741935483871</v>
      </c>
      <c r="P77" s="261">
        <f t="shared" si="258"/>
        <v>110</v>
      </c>
      <c r="Q77" s="261">
        <f t="shared" si="259"/>
        <v>107.51081967213116</v>
      </c>
      <c r="R77" s="767">
        <v>110</v>
      </c>
      <c r="S77" s="81">
        <v>108.71677419354839</v>
      </c>
      <c r="T77" s="261">
        <f t="shared" si="260"/>
        <v>110</v>
      </c>
      <c r="U77" s="261">
        <f t="shared" si="261"/>
        <v>107.75516339869282</v>
      </c>
      <c r="V77" s="767">
        <v>67</v>
      </c>
      <c r="W77" s="81">
        <v>106.62566666666666</v>
      </c>
      <c r="X77" s="348">
        <f t="shared" si="292"/>
        <v>95.978260869565219</v>
      </c>
      <c r="Y77" s="348">
        <f t="shared" si="292"/>
        <v>108.88760869565218</v>
      </c>
      <c r="Z77" s="662">
        <f t="shared" si="263"/>
        <v>102.95081967213115</v>
      </c>
      <c r="AA77" s="662">
        <f t="shared" si="280"/>
        <v>107.57000000000001</v>
      </c>
      <c r="AB77" s="767">
        <v>110</v>
      </c>
      <c r="AC77" s="81">
        <v>86.475268817204295</v>
      </c>
      <c r="AD77" s="261">
        <f t="shared" si="264"/>
        <v>103.97196261682242</v>
      </c>
      <c r="AE77" s="261">
        <f t="shared" si="265"/>
        <v>104.51422118380063</v>
      </c>
      <c r="AF77" s="767">
        <v>110</v>
      </c>
      <c r="AG77" s="81">
        <v>98.193000000000012</v>
      </c>
      <c r="AH77" s="261">
        <f t="shared" si="266"/>
        <v>104.71311475409836</v>
      </c>
      <c r="AI77" s="261">
        <f t="shared" si="267"/>
        <v>103.73702185792351</v>
      </c>
      <c r="AJ77" s="767">
        <v>110</v>
      </c>
      <c r="AK77" s="81">
        <v>98.45</v>
      </c>
      <c r="AL77" s="348">
        <f t="shared" si="268"/>
        <v>110</v>
      </c>
      <c r="AM77" s="348">
        <f t="shared" si="269"/>
        <v>94.331231884057971</v>
      </c>
      <c r="AN77" s="261">
        <f t="shared" si="270"/>
        <v>105.30909090909091</v>
      </c>
      <c r="AO77" s="261">
        <f t="shared" si="270"/>
        <v>103.14103030303032</v>
      </c>
      <c r="AP77" s="767">
        <v>110</v>
      </c>
      <c r="AQ77" s="81">
        <v>98.391935483870981</v>
      </c>
      <c r="AR77" s="261">
        <f t="shared" si="271"/>
        <v>105.78431372549019</v>
      </c>
      <c r="AS77" s="261">
        <f t="shared" si="272"/>
        <v>102.65991285403052</v>
      </c>
      <c r="AT77" s="767">
        <v>110</v>
      </c>
      <c r="AU77" s="81">
        <v>95.142499999999998</v>
      </c>
      <c r="AV77" s="261">
        <f t="shared" si="273"/>
        <v>106.1377245508982</v>
      </c>
      <c r="AW77" s="261">
        <f t="shared" si="274"/>
        <v>102.02971057884234</v>
      </c>
      <c r="AX77" s="767">
        <v>110</v>
      </c>
      <c r="AY77" s="81">
        <v>101.0325806451613</v>
      </c>
      <c r="AZ77" s="348">
        <f t="shared" si="275"/>
        <v>110</v>
      </c>
      <c r="BA77" s="348">
        <f t="shared" si="276"/>
        <v>98.290555555555571</v>
      </c>
      <c r="BB77" s="662">
        <f t="shared" si="277"/>
        <v>110</v>
      </c>
      <c r="BC77" s="662">
        <f t="shared" si="277"/>
        <v>96.28913919413921</v>
      </c>
      <c r="BD77" s="261">
        <f t="shared" si="278"/>
        <v>106.46575342465754</v>
      </c>
      <c r="BE77" s="261">
        <f t="shared" si="279"/>
        <v>101.94502283105025</v>
      </c>
      <c r="BF77" s="528"/>
      <c r="BG77" s="528"/>
      <c r="BH77" s="26"/>
      <c r="BI77" s="26"/>
      <c r="BJ77" s="26"/>
    </row>
    <row r="78" spans="1:62" ht="16.2" thickBot="1" x14ac:dyDescent="0.35">
      <c r="B78" s="3059" t="s">
        <v>473</v>
      </c>
      <c r="C78" s="3060" t="s">
        <v>481</v>
      </c>
      <c r="D78" s="767">
        <v>11.2</v>
      </c>
      <c r="E78" s="99">
        <v>8.9121111111111109</v>
      </c>
      <c r="F78" s="767">
        <v>11.2</v>
      </c>
      <c r="G78" s="99">
        <v>9.6602150537634408</v>
      </c>
      <c r="H78" s="3058">
        <f t="shared" si="255"/>
        <v>11.200000000000001</v>
      </c>
      <c r="I78" s="105">
        <f t="shared" si="255"/>
        <v>9.2922950819672128</v>
      </c>
      <c r="J78" s="767">
        <v>11.2</v>
      </c>
      <c r="K78" s="99">
        <v>9.4386666666666663</v>
      </c>
      <c r="L78" s="348">
        <f t="shared" si="256"/>
        <v>11.200000000000001</v>
      </c>
      <c r="M78" s="348">
        <f t="shared" si="257"/>
        <v>9.3405494505494495</v>
      </c>
      <c r="N78" s="767">
        <v>11.2</v>
      </c>
      <c r="O78" s="99">
        <v>9.1267741935483873</v>
      </c>
      <c r="P78" s="261">
        <f t="shared" si="258"/>
        <v>11.200000000000001</v>
      </c>
      <c r="Q78" s="261">
        <f t="shared" si="259"/>
        <v>9.2862295081967208</v>
      </c>
      <c r="R78" s="767">
        <v>11.2</v>
      </c>
      <c r="S78" s="99">
        <v>9.7677419354838726</v>
      </c>
      <c r="T78" s="261">
        <f t="shared" si="260"/>
        <v>11.200000000000001</v>
      </c>
      <c r="U78" s="261">
        <f t="shared" si="261"/>
        <v>9.3837908496732005</v>
      </c>
      <c r="V78" s="767">
        <v>11.2</v>
      </c>
      <c r="W78" s="99">
        <v>9.1474316939890699</v>
      </c>
      <c r="X78" s="348">
        <f t="shared" si="292"/>
        <v>11.200000000000001</v>
      </c>
      <c r="Y78" s="348">
        <f t="shared" si="292"/>
        <v>9.349488595866001</v>
      </c>
      <c r="Z78" s="662">
        <f t="shared" si="263"/>
        <v>11.200000000000003</v>
      </c>
      <c r="AA78" s="662">
        <f t="shared" si="280"/>
        <v>9.3450434471020323</v>
      </c>
      <c r="AB78" s="767">
        <v>11.2</v>
      </c>
      <c r="AC78" s="99">
        <v>10.503225806451614</v>
      </c>
      <c r="AD78" s="261">
        <f t="shared" si="264"/>
        <v>11.200000000000001</v>
      </c>
      <c r="AE78" s="261">
        <f t="shared" si="265"/>
        <v>9.5128175271947288</v>
      </c>
      <c r="AF78" s="767">
        <v>11.2</v>
      </c>
      <c r="AG78" s="99">
        <v>10.523333333333333</v>
      </c>
      <c r="AH78" s="261">
        <f t="shared" si="266"/>
        <v>11.200000000000001</v>
      </c>
      <c r="AI78" s="261">
        <f t="shared" si="267"/>
        <v>9.6370612738511134</v>
      </c>
      <c r="AJ78" s="767">
        <v>11.2</v>
      </c>
      <c r="AK78" s="99">
        <v>10.543978494623655</v>
      </c>
      <c r="AL78" s="348">
        <f t="shared" si="268"/>
        <v>11.200000000000001</v>
      </c>
      <c r="AM78" s="348">
        <f t="shared" si="269"/>
        <v>10.523514492753621</v>
      </c>
      <c r="AN78" s="261">
        <f t="shared" si="270"/>
        <v>11.2</v>
      </c>
      <c r="AO78" s="261">
        <f t="shared" si="270"/>
        <v>9.7392955787382007</v>
      </c>
      <c r="AP78" s="767">
        <v>11.2</v>
      </c>
      <c r="AQ78" s="99">
        <v>9.2935483870967737</v>
      </c>
      <c r="AR78" s="261">
        <f t="shared" si="271"/>
        <v>11.2</v>
      </c>
      <c r="AS78" s="261">
        <f t="shared" si="272"/>
        <v>9.6941381835065528</v>
      </c>
      <c r="AT78" s="767">
        <v>11.2</v>
      </c>
      <c r="AU78" s="99">
        <v>6.7485714285714291</v>
      </c>
      <c r="AV78" s="261">
        <f t="shared" si="273"/>
        <v>11.2</v>
      </c>
      <c r="AW78" s="261">
        <f t="shared" si="274"/>
        <v>9.4472044435718718</v>
      </c>
      <c r="AX78" s="767">
        <v>11.2</v>
      </c>
      <c r="AY78" s="99">
        <v>5.1429032258064522</v>
      </c>
      <c r="AZ78" s="348">
        <f t="shared" si="275"/>
        <v>11.2</v>
      </c>
      <c r="BA78" s="348">
        <f t="shared" si="276"/>
        <v>7.072111111111111</v>
      </c>
      <c r="BB78" s="662">
        <f t="shared" si="277"/>
        <v>11.200000000000001</v>
      </c>
      <c r="BC78" s="662">
        <f t="shared" si="277"/>
        <v>8.8167765567765564</v>
      </c>
      <c r="BD78" s="261">
        <f t="shared" si="278"/>
        <v>11.2</v>
      </c>
      <c r="BE78" s="261">
        <f t="shared" si="279"/>
        <v>9.0816336552137127</v>
      </c>
      <c r="BF78" s="528"/>
      <c r="BG78" s="528"/>
      <c r="BH78" s="26"/>
      <c r="BI78" s="26"/>
      <c r="BJ78" s="26"/>
    </row>
    <row r="79" spans="1:62" ht="18" thickBot="1" x14ac:dyDescent="0.35">
      <c r="B79" s="242" t="s">
        <v>2010</v>
      </c>
      <c r="C79" s="47" t="s">
        <v>481</v>
      </c>
      <c r="D79" s="987">
        <f>SUM(D75:D78)</f>
        <v>143.69999999999999</v>
      </c>
      <c r="E79" s="987">
        <f>SUM(E75:E78)</f>
        <v>126.13077777777779</v>
      </c>
      <c r="F79" s="987">
        <f>SUM(F75:F78)</f>
        <v>143.69999999999999</v>
      </c>
      <c r="G79" s="987">
        <f>SUM(G75:G78)</f>
        <v>136.97182795698924</v>
      </c>
      <c r="H79" s="837">
        <f t="shared" ref="H79:I79" si="293">SUM(H75:H78)</f>
        <v>143.69999999999999</v>
      </c>
      <c r="I79" s="3062">
        <f t="shared" si="293"/>
        <v>131.64016393442623</v>
      </c>
      <c r="J79" s="987">
        <f>SUM(J75:J78)</f>
        <v>143.69999999999999</v>
      </c>
      <c r="K79" s="987">
        <f>SUM(K75:K78)</f>
        <v>138.30933333333334</v>
      </c>
      <c r="L79" s="1564">
        <f t="shared" ref="L79:BE79" si="294">SUM(L75:L78)</f>
        <v>143.69999999999999</v>
      </c>
      <c r="M79" s="1565">
        <f t="shared" si="294"/>
        <v>133.83879120879124</v>
      </c>
      <c r="N79" s="987">
        <f t="shared" si="294"/>
        <v>143.69999999999999</v>
      </c>
      <c r="O79" s="987">
        <f t="shared" si="294"/>
        <v>133.55193548387098</v>
      </c>
      <c r="P79" s="837">
        <f t="shared" si="294"/>
        <v>143.69999999999999</v>
      </c>
      <c r="Q79" s="596">
        <f t="shared" si="294"/>
        <v>133.76590163934426</v>
      </c>
      <c r="R79" s="987">
        <f t="shared" si="294"/>
        <v>143.69999999999999</v>
      </c>
      <c r="S79" s="987">
        <f t="shared" si="294"/>
        <v>132.08548387096775</v>
      </c>
      <c r="T79" s="837">
        <f t="shared" si="294"/>
        <v>143.69999999999999</v>
      </c>
      <c r="U79" s="596">
        <f t="shared" si="294"/>
        <v>133.42542483660131</v>
      </c>
      <c r="V79" s="987">
        <f t="shared" si="294"/>
        <v>94.7</v>
      </c>
      <c r="W79" s="987">
        <f t="shared" si="294"/>
        <v>129.24876502732241</v>
      </c>
      <c r="X79" s="1564">
        <f t="shared" si="294"/>
        <v>127.72173913043478</v>
      </c>
      <c r="Y79" s="1565">
        <f t="shared" si="294"/>
        <v>131.65459729151817</v>
      </c>
      <c r="Z79" s="983">
        <f t="shared" si="294"/>
        <v>135.66721311475411</v>
      </c>
      <c r="AA79" s="514">
        <f t="shared" si="294"/>
        <v>132.74072650721132</v>
      </c>
      <c r="AB79" s="987">
        <f t="shared" si="294"/>
        <v>143.69999999999999</v>
      </c>
      <c r="AC79" s="987">
        <f t="shared" si="294"/>
        <v>109.58946236559139</v>
      </c>
      <c r="AD79" s="987">
        <f t="shared" si="294"/>
        <v>136.83084112149533</v>
      </c>
      <c r="AE79" s="140">
        <f t="shared" si="294"/>
        <v>129.38703871099537</v>
      </c>
      <c r="AF79" s="987">
        <f t="shared" si="294"/>
        <v>143.69999999999999</v>
      </c>
      <c r="AG79" s="987">
        <f t="shared" si="294"/>
        <v>122.86200000000002</v>
      </c>
      <c r="AH79" s="987">
        <f t="shared" si="294"/>
        <v>137.67540983606557</v>
      </c>
      <c r="AI79" s="140">
        <f t="shared" si="294"/>
        <v>128.5847798530861</v>
      </c>
      <c r="AJ79" s="987">
        <f t="shared" si="294"/>
        <v>143.69999999999999</v>
      </c>
      <c r="AK79" s="987">
        <f t="shared" si="294"/>
        <v>122.88268817204302</v>
      </c>
      <c r="AL79" s="1564">
        <f t="shared" si="294"/>
        <v>143.69999999999999</v>
      </c>
      <c r="AM79" s="1565">
        <f t="shared" si="294"/>
        <v>118.39670289855071</v>
      </c>
      <c r="AN79" s="987">
        <f t="shared" si="294"/>
        <v>138.35454545454544</v>
      </c>
      <c r="AO79" s="140">
        <f t="shared" si="294"/>
        <v>127.94199860904124</v>
      </c>
      <c r="AP79" s="987">
        <f t="shared" ref="AP79:AQ79" si="295">SUM(AP75:AP78)</f>
        <v>143.69999999999999</v>
      </c>
      <c r="AQ79" s="987">
        <f t="shared" si="295"/>
        <v>121.77612903225808</v>
      </c>
      <c r="AR79" s="987">
        <f t="shared" si="294"/>
        <v>138.89607843137253</v>
      </c>
      <c r="AS79" s="140">
        <f t="shared" si="294"/>
        <v>127.31735169113185</v>
      </c>
      <c r="AT79" s="987">
        <f t="shared" si="294"/>
        <v>143.69999999999999</v>
      </c>
      <c r="AU79" s="987">
        <f t="shared" si="294"/>
        <v>114.88071428571428</v>
      </c>
      <c r="AV79" s="987">
        <f t="shared" si="294"/>
        <v>139.29880239520958</v>
      </c>
      <c r="AW79" s="140">
        <f t="shared" si="294"/>
        <v>126.27475933379147</v>
      </c>
      <c r="AX79" s="987">
        <f t="shared" ref="AX79:AY79" si="296">SUM(AX75:AX78)</f>
        <v>143.69999999999999</v>
      </c>
      <c r="AY79" s="987">
        <f t="shared" si="296"/>
        <v>119.27935483870969</v>
      </c>
      <c r="AZ79" s="1564">
        <f t="shared" si="294"/>
        <v>143.69999999999999</v>
      </c>
      <c r="BA79" s="1565">
        <f t="shared" si="294"/>
        <v>118.7708888888889</v>
      </c>
      <c r="BB79" s="983">
        <f t="shared" si="294"/>
        <v>143.69999999999999</v>
      </c>
      <c r="BC79" s="514">
        <f t="shared" si="294"/>
        <v>118.58173992673994</v>
      </c>
      <c r="BD79" s="987">
        <f t="shared" si="294"/>
        <v>139.67260273972602</v>
      </c>
      <c r="BE79" s="140">
        <f t="shared" si="294"/>
        <v>125.68062908900369</v>
      </c>
      <c r="BF79" s="528"/>
      <c r="BG79" s="528"/>
      <c r="BH79" s="26"/>
      <c r="BI79" s="26"/>
      <c r="BJ79" s="26"/>
    </row>
    <row r="80" spans="1:62" ht="17.399999999999999" x14ac:dyDescent="0.3">
      <c r="B80" s="3066" t="s">
        <v>476</v>
      </c>
      <c r="C80" s="54"/>
      <c r="D80" s="988"/>
      <c r="E80" s="687"/>
      <c r="F80" s="988"/>
      <c r="G80" s="687"/>
      <c r="H80" s="603"/>
      <c r="I80" s="687"/>
      <c r="J80" s="988"/>
      <c r="K80" s="687"/>
      <c r="L80" s="603"/>
      <c r="M80" s="603"/>
      <c r="N80" s="988"/>
      <c r="O80" s="687"/>
      <c r="P80" s="603"/>
      <c r="Q80" s="603"/>
      <c r="R80" s="988"/>
      <c r="S80" s="687"/>
      <c r="T80" s="603"/>
      <c r="U80" s="603"/>
      <c r="V80" s="988"/>
      <c r="W80" s="687"/>
      <c r="X80" s="603"/>
      <c r="Y80" s="603"/>
      <c r="Z80" s="603"/>
      <c r="AA80" s="603"/>
      <c r="AB80" s="988"/>
      <c r="AC80" s="687"/>
      <c r="AD80" s="603"/>
      <c r="AE80" s="603"/>
      <c r="AF80" s="988"/>
      <c r="AG80" s="687"/>
      <c r="AH80" s="603"/>
      <c r="AI80" s="603"/>
      <c r="AJ80" s="988"/>
      <c r="AK80" s="687"/>
      <c r="AL80" s="603"/>
      <c r="AM80" s="603"/>
      <c r="AN80" s="603"/>
      <c r="AO80" s="603"/>
      <c r="AP80" s="988"/>
      <c r="AQ80" s="687"/>
      <c r="AR80" s="603"/>
      <c r="AS80" s="603"/>
      <c r="AT80" s="988"/>
      <c r="AU80" s="687"/>
      <c r="AV80" s="603"/>
      <c r="AW80" s="603"/>
      <c r="AX80" s="988"/>
      <c r="AY80" s="687"/>
      <c r="AZ80" s="603"/>
      <c r="BA80" s="603"/>
      <c r="BB80" s="603"/>
      <c r="BC80" s="603"/>
      <c r="BD80" s="603"/>
      <c r="BE80" s="603"/>
      <c r="BF80" s="528"/>
      <c r="BG80" s="528"/>
      <c r="BH80" s="26"/>
      <c r="BI80" s="26"/>
      <c r="BJ80" s="26"/>
    </row>
    <row r="81" spans="1:68" ht="15.75" customHeight="1" x14ac:dyDescent="0.3">
      <c r="B81" s="3057" t="s">
        <v>620</v>
      </c>
      <c r="C81" s="2535" t="s">
        <v>481</v>
      </c>
      <c r="D81" s="767">
        <v>50</v>
      </c>
      <c r="E81" s="767">
        <v>0</v>
      </c>
      <c r="F81" s="767">
        <v>50</v>
      </c>
      <c r="G81" s="767">
        <v>5.9032258064516133E-2</v>
      </c>
      <c r="H81" s="3058">
        <f>+((D81*D$3)+(F$3*F81))/H$3</f>
        <v>50</v>
      </c>
      <c r="I81" s="105">
        <f>+((E81*E$3)+(G$3*G81))/I$3</f>
        <v>3.0000000000000002E-2</v>
      </c>
      <c r="J81" s="767">
        <v>50</v>
      </c>
      <c r="K81" s="767">
        <v>0</v>
      </c>
      <c r="L81" s="348">
        <f>+((H81*H$3)+(J$3*J81))/L$3</f>
        <v>50</v>
      </c>
      <c r="M81" s="348">
        <f>+((I81*I$3)+(K$3*K81))/M$3</f>
        <v>2.0109890109890109E-2</v>
      </c>
      <c r="N81" s="767">
        <v>50</v>
      </c>
      <c r="O81" s="767">
        <v>0</v>
      </c>
      <c r="P81" s="261">
        <f>+((L81*L$3)+(N$3*N81))/P$3</f>
        <v>50</v>
      </c>
      <c r="Q81" s="261">
        <f>+((M81*M$3)+(O$3*O81))/Q$3</f>
        <v>1.4999999999999999E-2</v>
      </c>
      <c r="R81" s="767">
        <v>50</v>
      </c>
      <c r="S81" s="767">
        <v>0</v>
      </c>
      <c r="T81" s="261">
        <f>+((P81*P$3)+(R$3*R81))/T$3</f>
        <v>50</v>
      </c>
      <c r="U81" s="261">
        <f>+((Q81*Q$3)+(S$3*S81))/U$3</f>
        <v>1.1960784313725489E-2</v>
      </c>
      <c r="V81" s="767">
        <v>51</v>
      </c>
      <c r="W81" s="767">
        <v>0</v>
      </c>
      <c r="X81" s="348">
        <f t="shared" ref="X81:Y82" si="297">+((N81*N$3)+(R81*R$3)+(V$3*V81))/X$3</f>
        <v>50.326086956521742</v>
      </c>
      <c r="Y81" s="348">
        <f t="shared" si="297"/>
        <v>0</v>
      </c>
      <c r="Z81" s="662">
        <f>+((L81*L$3)+(X$3*X81))/Z$3</f>
        <v>50.16393442622951</v>
      </c>
      <c r="AA81" s="662">
        <f>+((M81*M$3)+(Y$3*Y81))/AA$3</f>
        <v>9.9999999999999985E-3</v>
      </c>
      <c r="AB81" s="767">
        <v>50</v>
      </c>
      <c r="AC81" s="767">
        <v>0</v>
      </c>
      <c r="AD81" s="261">
        <f>+((Z81*Z$3)+(AB$3*AB81))/AD$3</f>
        <v>50.140186915887853</v>
      </c>
      <c r="AE81" s="261">
        <f>+((AA81*AA$3)+(AC$3*AC81))/AE$3</f>
        <v>8.551401869158877E-3</v>
      </c>
      <c r="AF81" s="767">
        <v>50</v>
      </c>
      <c r="AG81" s="767">
        <v>0</v>
      </c>
      <c r="AH81" s="261">
        <f>+((AD81*AD$3)+(AF$3*AF81))/AH$3</f>
        <v>50.122950819672134</v>
      </c>
      <c r="AI81" s="261">
        <f>+((AE81*AE$3)+(AG$3*AG81))/AI$3</f>
        <v>7.4999999999999989E-3</v>
      </c>
      <c r="AJ81" s="767">
        <v>50</v>
      </c>
      <c r="AK81" s="767">
        <v>0</v>
      </c>
      <c r="AL81" s="348">
        <f t="shared" ref="AL81:AL82" si="298">+((AB81*AB$3)+(AF81*AF$3)+(AJ$3*AJ81))/AL$3</f>
        <v>50</v>
      </c>
      <c r="AM81" s="348">
        <f t="shared" ref="AM81:AM82" si="299">+((AC81*AC$3)+(AG81*AG$3)+(AK$3*AK81))/AM$3</f>
        <v>0</v>
      </c>
      <c r="AN81" s="261">
        <f>+((AH81*AH$3)+(AJ$3*AJ81))/AN$3</f>
        <v>50.109090909090909</v>
      </c>
      <c r="AO81" s="261">
        <f>+((AI81*AI$3)+(AK$3*AK81))/AO$3</f>
        <v>6.6545454545454529E-3</v>
      </c>
      <c r="AP81" s="767">
        <v>50</v>
      </c>
      <c r="AQ81" s="767">
        <v>0</v>
      </c>
      <c r="AR81" s="261">
        <f>+((AN81*AN$3)+(AP$3*AP81))/AR$3</f>
        <v>50.098039215686278</v>
      </c>
      <c r="AS81" s="261">
        <f>+((AO81*AO$3)+(AQ$3*AQ81))/AS$3</f>
        <v>5.9803921568627435E-3</v>
      </c>
      <c r="AT81" s="767">
        <v>50</v>
      </c>
      <c r="AU81" s="767">
        <v>5.7142857142857141E-2</v>
      </c>
      <c r="AV81" s="261">
        <f>+((AR81*AR$3)+(AT$3*AT81))/AV$3</f>
        <v>50.08982035928144</v>
      </c>
      <c r="AW81" s="370">
        <f>+((AS81*AS$3)+(AU$3*AU81))/AW$3</f>
        <v>1.026946107784431E-2</v>
      </c>
      <c r="AX81" s="767">
        <v>50</v>
      </c>
      <c r="AY81" s="767">
        <v>1.0516129032258064</v>
      </c>
      <c r="AZ81" s="348">
        <f t="shared" ref="AZ81:AZ82" si="300">+((AP81*AP$3)+(AT81*AT$3)+(AX$3*AX81))/AZ$3</f>
        <v>50</v>
      </c>
      <c r="BA81" s="348">
        <f t="shared" ref="BA81:BA82" si="301">+((AQ81*AQ$3)+(AU81*AU$3)+(AY$3*AY81))/BA$3</f>
        <v>0.37999999999999995</v>
      </c>
      <c r="BB81" s="662">
        <f>+((AL81*AL$3)+(AZ$3*AZ81))/BB$3</f>
        <v>50</v>
      </c>
      <c r="BC81" s="662">
        <f>+((AM81*AM$3)+(BA$3*BA81))/BC$3</f>
        <v>0.18791208791208788</v>
      </c>
      <c r="BD81" s="261">
        <f>+((AV81*AV$3)+(AX$3*AX81))/BD$3</f>
        <v>50.082191780821915</v>
      </c>
      <c r="BE81" s="261">
        <f>+((AW81*AW$3)+(AY$3*AY81))/BE$3</f>
        <v>9.871232876712327E-2</v>
      </c>
      <c r="BF81" s="528"/>
      <c r="BG81" s="528"/>
      <c r="BH81" s="26"/>
      <c r="BI81" s="26"/>
      <c r="BJ81" s="26"/>
    </row>
    <row r="82" spans="1:68" ht="16.2" thickBot="1" x14ac:dyDescent="0.35">
      <c r="B82" s="3059" t="s">
        <v>475</v>
      </c>
      <c r="C82" s="3060" t="s">
        <v>481</v>
      </c>
      <c r="D82" s="1323">
        <v>155.89321821470929</v>
      </c>
      <c r="E82" s="3038">
        <v>125.04133333333333</v>
      </c>
      <c r="F82" s="1323">
        <v>172.06159183714112</v>
      </c>
      <c r="G82" s="3038">
        <v>151.07032258064518</v>
      </c>
      <c r="H82" s="3067">
        <f>+((D82*D$3)+(F$3*F82))/H$3</f>
        <v>164.10993267856807</v>
      </c>
      <c r="I82" s="106">
        <f>+((E82*E$3)+(G$3*G82))/I$3</f>
        <v>138.26918032786887</v>
      </c>
      <c r="J82" s="1323">
        <v>171.40889403625908</v>
      </c>
      <c r="K82" s="3038">
        <v>176.197</v>
      </c>
      <c r="L82" s="989">
        <f>+((H82*H$3)+(J$3*J82))/L$3</f>
        <v>166.51618367560908</v>
      </c>
      <c r="M82" s="989">
        <f>+((I82*I$3)+(K$3*K82))/M$3</f>
        <v>150.77285714285713</v>
      </c>
      <c r="N82" s="1323">
        <v>173.12715750599511</v>
      </c>
      <c r="O82" s="3038">
        <v>186.72806451612902</v>
      </c>
      <c r="P82" s="598">
        <f>+((L82*L$3)+(N$3*N82))/P$3</f>
        <v>168.19602128824818</v>
      </c>
      <c r="Q82" s="598">
        <f>+((M82*M$3)+(O$3*O82))/Q$3</f>
        <v>159.90901639344264</v>
      </c>
      <c r="R82" s="1323">
        <v>169.8461360006188</v>
      </c>
      <c r="S82" s="3038">
        <v>181.9174193548387</v>
      </c>
      <c r="T82" s="598">
        <f>+((P82*P$3)+(R$3*R82))/T$3</f>
        <v>168.53035825611411</v>
      </c>
      <c r="U82" s="598">
        <f>+((Q82*Q$3)+(S$3*S82))/U$3</f>
        <v>164.36823529411765</v>
      </c>
      <c r="V82" s="1323">
        <v>141.9646020689421</v>
      </c>
      <c r="W82" s="3038">
        <v>177.12199999999999</v>
      </c>
      <c r="X82" s="989">
        <f t="shared" si="297"/>
        <v>161.85989305188366</v>
      </c>
      <c r="Y82" s="989">
        <f t="shared" si="297"/>
        <v>181.97467391304346</v>
      </c>
      <c r="Z82" s="662">
        <f>+((L82*L$3)+(X$3*X82))/Z$3</f>
        <v>164.17531625821707</v>
      </c>
      <c r="AA82" s="662">
        <f>+((M82*M$3)+(Y$3*Y82))/AA$3</f>
        <v>166.45901639344262</v>
      </c>
      <c r="AB82" s="1323">
        <v>169.99230715299439</v>
      </c>
      <c r="AC82" s="3038">
        <v>162.1236559139785</v>
      </c>
      <c r="AD82" s="598">
        <f>+((Z82*Z$3)+(AB$3*AB82))/AD$3</f>
        <v>165.0179644719465</v>
      </c>
      <c r="AE82" s="598">
        <f>+((AA82*AA$3)+(AC$3*AC82))/AE$3</f>
        <v>165.83099688473521</v>
      </c>
      <c r="AF82" s="1323">
        <v>124.42530122472192</v>
      </c>
      <c r="AG82" s="130">
        <v>178.97366666666665</v>
      </c>
      <c r="AH82" s="598">
        <f>+((AD82*AD$3)+(AF$3*AF82))/AH$3</f>
        <v>160.02706325302543</v>
      </c>
      <c r="AI82" s="598">
        <f>+((AE82*AE$3)+(AG$3*AG82))/AI$3</f>
        <v>167.44689890710384</v>
      </c>
      <c r="AJ82" s="1323">
        <v>124.34511028670096</v>
      </c>
      <c r="AK82" s="130">
        <v>170.07870967741934</v>
      </c>
      <c r="AL82" s="989">
        <f t="shared" si="298"/>
        <v>139.7523801888284</v>
      </c>
      <c r="AM82" s="989">
        <f t="shared" si="299"/>
        <v>170.29873188405793</v>
      </c>
      <c r="AN82" s="598">
        <f>+((AH82*AH$3)+(AJ$3*AJ82))/AN$3</f>
        <v>156.00473400954888</v>
      </c>
      <c r="AO82" s="598">
        <f>+((AI82*AI$3)+(AK$3*AK82))/AO$3</f>
        <v>167.74357575757577</v>
      </c>
      <c r="AP82" s="1323">
        <v>119.89932759434362</v>
      </c>
      <c r="AQ82" s="130">
        <v>162.30096774193549</v>
      </c>
      <c r="AR82" s="598">
        <f>+((AN82*AN$3)+(AP$3*AP82))/AR$3</f>
        <v>152.34699675833525</v>
      </c>
      <c r="AS82" s="598">
        <f>+((AO82*AO$3)+(AQ$3*AQ82))/AS$3</f>
        <v>167.19220043572986</v>
      </c>
      <c r="AT82" s="1323">
        <v>122.468125308992</v>
      </c>
      <c r="AU82" s="130">
        <v>146.58428571428573</v>
      </c>
      <c r="AV82" s="598">
        <f>+((AR82*AR$3)+(AT$3*AT82))/AV$3</f>
        <v>149.84218118773163</v>
      </c>
      <c r="AW82" s="598">
        <f>+((AS82*AS$3)+(AU$3*AU82))/AW$3</f>
        <v>165.46459081836329</v>
      </c>
      <c r="AX82" s="1323">
        <v>163.9186699318825</v>
      </c>
      <c r="AY82" s="130">
        <v>162.5</v>
      </c>
      <c r="AZ82" s="989">
        <f t="shared" si="300"/>
        <v>135.86072702183094</v>
      </c>
      <c r="BA82" s="989">
        <f t="shared" si="301"/>
        <v>157.47988888888889</v>
      </c>
      <c r="BB82" s="662">
        <f>+((AL82*AL$3)+(AZ$3*AZ82))/BB$3</f>
        <v>137.82793631503844</v>
      </c>
      <c r="BC82" s="662">
        <f>+((AM82*AM$3)+(BA$3*BA82))/BC$3</f>
        <v>163.9597435897436</v>
      </c>
      <c r="BD82" s="598">
        <f>+((AV82*AV$3)+(AX$3*AX82))/BD$3</f>
        <v>151.03771858791978</v>
      </c>
      <c r="BE82" s="598">
        <f>+((AW82*AW$3)+(AY$3*AY82))/BE$3</f>
        <v>165.21280365296806</v>
      </c>
      <c r="BF82" s="528"/>
      <c r="BG82" s="528"/>
      <c r="BH82" s="26"/>
      <c r="BI82" s="26"/>
      <c r="BJ82" s="26"/>
    </row>
    <row r="83" spans="1:68" ht="18" thickBot="1" x14ac:dyDescent="0.35">
      <c r="A83" s="146"/>
      <c r="B83" s="242" t="s">
        <v>2</v>
      </c>
      <c r="C83" s="203" t="s">
        <v>481</v>
      </c>
      <c r="D83" s="987">
        <f t="shared" ref="D83:I83" si="302">SUM(D81:D82)</f>
        <v>205.89321821470929</v>
      </c>
      <c r="E83" s="140">
        <f t="shared" si="302"/>
        <v>125.04133333333333</v>
      </c>
      <c r="F83" s="987">
        <f t="shared" ref="F83:G83" si="303">SUM(F81:F82)</f>
        <v>222.06159183714112</v>
      </c>
      <c r="G83" s="140">
        <f t="shared" si="303"/>
        <v>151.1293548387097</v>
      </c>
      <c r="H83" s="599">
        <f t="shared" si="302"/>
        <v>214.10993267856807</v>
      </c>
      <c r="I83" s="166">
        <f t="shared" si="302"/>
        <v>138.29918032786887</v>
      </c>
      <c r="J83" s="987">
        <f t="shared" ref="J83:K83" si="304">SUM(J81:J82)</f>
        <v>221.40889403625908</v>
      </c>
      <c r="K83" s="140">
        <f t="shared" si="304"/>
        <v>176.197</v>
      </c>
      <c r="L83" s="2200">
        <f t="shared" ref="L83:Q83" si="305">SUM(L81:L82)</f>
        <v>216.51618367560908</v>
      </c>
      <c r="M83" s="2263">
        <f t="shared" si="305"/>
        <v>150.79296703296703</v>
      </c>
      <c r="N83" s="987">
        <f t="shared" si="305"/>
        <v>223.12715750599511</v>
      </c>
      <c r="O83" s="140">
        <f t="shared" si="305"/>
        <v>186.72806451612902</v>
      </c>
      <c r="P83" s="599">
        <f t="shared" si="305"/>
        <v>218.19602128824818</v>
      </c>
      <c r="Q83" s="599">
        <f t="shared" si="305"/>
        <v>159.92401639344263</v>
      </c>
      <c r="R83" s="987">
        <f t="shared" ref="R83:S83" si="306">SUM(R81:R82)</f>
        <v>219.8461360006188</v>
      </c>
      <c r="S83" s="140">
        <f t="shared" si="306"/>
        <v>181.9174193548387</v>
      </c>
      <c r="T83" s="599">
        <f t="shared" ref="T83:W83" si="307">SUM(T81:T82)</f>
        <v>218.53035825611411</v>
      </c>
      <c r="U83" s="599">
        <f t="shared" si="307"/>
        <v>164.38019607843137</v>
      </c>
      <c r="V83" s="987">
        <f t="shared" si="307"/>
        <v>192.9646020689421</v>
      </c>
      <c r="W83" s="140">
        <f t="shared" si="307"/>
        <v>177.12199999999999</v>
      </c>
      <c r="X83" s="2200">
        <f t="shared" ref="X83:Y83" si="308">SUM(X81:X82)</f>
        <v>212.18598000840541</v>
      </c>
      <c r="Y83" s="2263">
        <f t="shared" si="308"/>
        <v>181.97467391304346</v>
      </c>
      <c r="Z83" s="2265">
        <f t="shared" ref="Z83:AE83" si="309">SUM(Z81:Z82)</f>
        <v>214.33925068444657</v>
      </c>
      <c r="AA83" s="514">
        <f t="shared" si="309"/>
        <v>166.46901639344262</v>
      </c>
      <c r="AB83" s="987">
        <f t="shared" si="309"/>
        <v>219.99230715299439</v>
      </c>
      <c r="AC83" s="140">
        <f t="shared" si="309"/>
        <v>162.1236559139785</v>
      </c>
      <c r="AD83" s="599">
        <f t="shared" si="309"/>
        <v>215.15815138783435</v>
      </c>
      <c r="AE83" s="599">
        <f t="shared" si="309"/>
        <v>165.83954828660438</v>
      </c>
      <c r="AF83" s="987">
        <f t="shared" ref="AF83:AG83" si="310">SUM(AF81:AF82)</f>
        <v>174.42530122472192</v>
      </c>
      <c r="AG83" s="140">
        <f t="shared" si="310"/>
        <v>178.97366666666665</v>
      </c>
      <c r="AH83" s="599">
        <f t="shared" ref="AH83:AK83" si="311">SUM(AH81:AH82)</f>
        <v>210.15001407269756</v>
      </c>
      <c r="AI83" s="599">
        <f t="shared" si="311"/>
        <v>167.45439890710384</v>
      </c>
      <c r="AJ83" s="987">
        <f t="shared" si="311"/>
        <v>174.34511028670096</v>
      </c>
      <c r="AK83" s="140">
        <f t="shared" si="311"/>
        <v>170.07870967741934</v>
      </c>
      <c r="AL83" s="2200">
        <f t="shared" ref="AL83:AS83" si="312">SUM(AL81:AL82)</f>
        <v>189.7523801888284</v>
      </c>
      <c r="AM83" s="2263">
        <f t="shared" si="312"/>
        <v>170.29873188405793</v>
      </c>
      <c r="AN83" s="599">
        <f t="shared" si="312"/>
        <v>206.11382491863981</v>
      </c>
      <c r="AO83" s="599">
        <f t="shared" si="312"/>
        <v>167.75023030303032</v>
      </c>
      <c r="AP83" s="987">
        <f t="shared" si="312"/>
        <v>169.89932759434362</v>
      </c>
      <c r="AQ83" s="140">
        <f t="shared" si="312"/>
        <v>162.30096774193549</v>
      </c>
      <c r="AR83" s="599">
        <f t="shared" si="312"/>
        <v>202.44503597402152</v>
      </c>
      <c r="AS83" s="599">
        <f t="shared" si="312"/>
        <v>167.19818082788672</v>
      </c>
      <c r="AT83" s="987">
        <f t="shared" ref="AT83:AU83" si="313">SUM(AT81:AT82)</f>
        <v>172.468125308992</v>
      </c>
      <c r="AU83" s="140">
        <f t="shared" si="313"/>
        <v>146.64142857142858</v>
      </c>
      <c r="AV83" s="599">
        <f t="shared" ref="AV83:AY83" si="314">SUM(AV81:AV82)</f>
        <v>199.93200154701307</v>
      </c>
      <c r="AW83" s="599">
        <f t="shared" si="314"/>
        <v>165.47486027944115</v>
      </c>
      <c r="AX83" s="987">
        <f t="shared" si="314"/>
        <v>213.9186699318825</v>
      </c>
      <c r="AY83" s="140">
        <f t="shared" si="314"/>
        <v>163.55161290322582</v>
      </c>
      <c r="AZ83" s="2200">
        <f t="shared" ref="AZ83:BE83" si="315">SUM(AZ81:AZ82)</f>
        <v>185.86072702183094</v>
      </c>
      <c r="BA83" s="2263">
        <f t="shared" si="315"/>
        <v>157.85988888888889</v>
      </c>
      <c r="BB83" s="2265">
        <f t="shared" si="315"/>
        <v>187.82793631503844</v>
      </c>
      <c r="BC83" s="514">
        <f t="shared" si="315"/>
        <v>164.14765567765568</v>
      </c>
      <c r="BD83" s="599">
        <f t="shared" si="315"/>
        <v>201.1199103687417</v>
      </c>
      <c r="BE83" s="599">
        <f t="shared" si="315"/>
        <v>165.3115159817352</v>
      </c>
      <c r="BF83" s="528"/>
      <c r="BG83" s="528"/>
      <c r="BH83" s="26"/>
      <c r="BI83" s="26"/>
      <c r="BJ83" s="26"/>
    </row>
    <row r="84" spans="1:68" x14ac:dyDescent="0.3">
      <c r="A84" s="146"/>
      <c r="B84" s="3068" t="s">
        <v>69</v>
      </c>
      <c r="C84" s="16" t="s">
        <v>301</v>
      </c>
      <c r="D84" s="357">
        <f>+EMD!D29/(EMD!D$3*24)</f>
        <v>13.932556311116757</v>
      </c>
      <c r="E84" s="357">
        <f>+EMD!E29/(EMD!E$3*24)</f>
        <v>13.135506914203756</v>
      </c>
      <c r="F84" s="357">
        <f>+EMD!F29/(EMD!F$3*24)</f>
        <v>13.668448660781573</v>
      </c>
      <c r="G84" s="357">
        <f>+EMD!G29/(EMD!G$3*24)</f>
        <v>13.67234010585174</v>
      </c>
      <c r="H84" s="96">
        <f>+EMD!H29/(EMD!H$3*24)</f>
        <v>13.798337669143139</v>
      </c>
      <c r="I84" s="96">
        <f>+EMD!I29/(EMD!I$3*24)</f>
        <v>13.408323782090434</v>
      </c>
      <c r="J84" s="357">
        <f>+EMD!J29/(EMD!J$3*24)</f>
        <v>13.60715924968606</v>
      </c>
      <c r="K84" s="357">
        <f>+EMD!K29/(EMD!K$3*24)</f>
        <v>13.459575738063657</v>
      </c>
      <c r="L84" s="1561">
        <f>+EMD!L29/(EMD!L$3*24)</f>
        <v>13.735311816574871</v>
      </c>
      <c r="M84" s="94">
        <f>+EMD!M29/(EMD!M$3*24)</f>
        <v>13.425220031312376</v>
      </c>
      <c r="N84" s="357">
        <f>+EMD!N29/(EMD!N$3*24)</f>
        <v>14.016350297389403</v>
      </c>
      <c r="O84" s="357">
        <f>+EMD!O29/(EMD!O$3*24)</f>
        <v>13.209585987070374</v>
      </c>
      <c r="P84" s="96">
        <f>+EMD!P29/(EMD!P$3*24)</f>
        <v>13.806723233831024</v>
      </c>
      <c r="Q84" s="96">
        <f>+EMD!Q29/(EMD!Q$3*24)</f>
        <v>13.370427774168917</v>
      </c>
      <c r="R84" s="357">
        <f>+EMD!R29/(EMD!R$3*24)</f>
        <v>14.009944971945608</v>
      </c>
      <c r="S84" s="357">
        <f>+EMD!S29/(EMD!S$3*24)</f>
        <v>12.749850001262205</v>
      </c>
      <c r="T84" s="96">
        <f>+EMD!T29/(EMD!T$3*24)</f>
        <v>13.847898880115679</v>
      </c>
      <c r="U84" s="96">
        <f>+EMD!U29/(EMD!U$3*24)</f>
        <v>13.244689794037493</v>
      </c>
      <c r="V84" s="357">
        <f>+EMD!V29/(EMD!V$3*24)</f>
        <v>16.249584213170632</v>
      </c>
      <c r="W84" s="357">
        <f>+EMD!W29/(EMD!W$3*24)</f>
        <v>13.468819444444444</v>
      </c>
      <c r="X84" s="1561">
        <f>+EMD!X29/(EMD!X$3*24)</f>
        <v>14.742420432005481</v>
      </c>
      <c r="Y84" s="94">
        <f>+EMD!Y29/(EMD!Y$3*24)</f>
        <v>13.13920759751786</v>
      </c>
      <c r="Z84" s="2266">
        <f>+EMD!Z29/(EMD!Z$3*24)</f>
        <v>14.241617787173867</v>
      </c>
      <c r="AA84" s="470">
        <f>+EMD!AA29/(EMD!AA$3*24)</f>
        <v>13.281432359677975</v>
      </c>
      <c r="AB84" s="357">
        <f>+EMD!AB29/(EMD!AB$3*24)</f>
        <v>13.662043335337779</v>
      </c>
      <c r="AC84" s="357">
        <f>+EMD!AC29/(EMD!AC$3*24)</f>
        <v>13.02002688172043</v>
      </c>
      <c r="AD84" s="96">
        <f>+EMD!AD29/(EMD!AD$3*24)</f>
        <v>14.157660740412565</v>
      </c>
      <c r="AE84" s="96">
        <f>+EMD!AE29/(EMD!AE$3*24)</f>
        <v>13.243565211001881</v>
      </c>
      <c r="AF84" s="357">
        <f>+EMD!AF29/(EMD!AF$3*24)</f>
        <v>13.6077420441871</v>
      </c>
      <c r="AG84" s="357">
        <f>+EMD!AG29/(EMD!AG$3*24)</f>
        <v>13.801555555555556</v>
      </c>
      <c r="AH84" s="96">
        <f>+EMD!AH29/(EMD!AH$3*24)</f>
        <v>14.090047785958614</v>
      </c>
      <c r="AI84" s="96">
        <f>+EMD!AI29/(EMD!AI$3*24)</f>
        <v>13.31217058123389</v>
      </c>
      <c r="AJ84" s="357">
        <f>+EMD!AJ29/(EMD!AJ$3*24)</f>
        <v>13.64422823067404</v>
      </c>
      <c r="AK84" s="357">
        <f>+EMD!AK29/(EMD!AK$3*24)</f>
        <v>13.933175431337423</v>
      </c>
      <c r="AL84" s="1561">
        <f>+EMD!AL29/(EMD!AL$3*24)</f>
        <v>13.638333476869342</v>
      </c>
      <c r="AM84" s="94">
        <f>+EMD!AM29/(EMD!AM$3*24)</f>
        <v>13.582564547515871</v>
      </c>
      <c r="AN84" s="96">
        <f>+EMD!AN29/(EMD!AN$3*24)</f>
        <v>14.039791763362899</v>
      </c>
      <c r="AO84" s="96">
        <f>+EMD!AO29/(EMD!AO$3*24)</f>
        <v>13.382174764336471</v>
      </c>
      <c r="AP84" s="357">
        <f>+EMD!AP29/(EMD!AP$3*24)</f>
        <v>13.388637586328436</v>
      </c>
      <c r="AQ84" s="357">
        <f>+EMD!AQ29/(EMD!AQ$3*24)</f>
        <v>12.942567204301076</v>
      </c>
      <c r="AR84" s="96">
        <f>+EMD!AR29/(EMD!AR$3*24)</f>
        <v>13.973825163728691</v>
      </c>
      <c r="AS84" s="96">
        <f>+EMD!AS29/(EMD!AS$3*24)</f>
        <v>13.337639357927657</v>
      </c>
      <c r="AT84" s="357">
        <f>+EMD!AT29/(EMD!AT$3*24)</f>
        <v>13.573886205805215</v>
      </c>
      <c r="AU84" s="357">
        <f>+EMD!AU29/(EMD!AU$3*24)</f>
        <v>11.713392857142857</v>
      </c>
      <c r="AV84" s="96">
        <f>+EMD!AV29/(EMD!AV$3*24)</f>
        <v>13.940297346896783</v>
      </c>
      <c r="AW84" s="96">
        <f>+EMD!AW29/(EMD!AW$3*24)</f>
        <v>13.201474980616355</v>
      </c>
      <c r="AX84" s="357">
        <f>+EMD!AX29/(EMD!AX$3*24)</f>
        <v>13.38863758632843</v>
      </c>
      <c r="AY84" s="357">
        <f>+EMD!AY29/(EMD!AY$3*24)</f>
        <v>12.712930107526882</v>
      </c>
      <c r="AZ84" s="378">
        <f>+EMD!AZ29/(EMD!AZ$3*24)</f>
        <v>13.446270490165654</v>
      </c>
      <c r="BA84" s="2264">
        <f>+EMD!BA29/(EMD!BA$3*24)</f>
        <v>12.481060185185186</v>
      </c>
      <c r="BB84" s="2266">
        <f>+EMD!BB29/(EMD!BB$3*24)</f>
        <v>13.543357274653232</v>
      </c>
      <c r="BC84" s="470">
        <f>+EMD!BC29/(EMD!BC$3*24)</f>
        <v>13.037864588121577</v>
      </c>
      <c r="BD84" s="96">
        <f>+EMD!BD29/(EMD!BD$3*24)</f>
        <v>13.893444052163581</v>
      </c>
      <c r="BE84" s="96">
        <f>+EMD!BE29/(EMD!BE$3*24)</f>
        <v>13.159982128381358</v>
      </c>
      <c r="BF84" s="528"/>
      <c r="BG84" s="528"/>
      <c r="BH84" s="26"/>
      <c r="BI84" s="26"/>
      <c r="BJ84" s="26"/>
    </row>
    <row r="85" spans="1:68" x14ac:dyDescent="0.3">
      <c r="A85" s="146"/>
      <c r="B85" s="9" t="s">
        <v>1796</v>
      </c>
      <c r="C85" s="16" t="s">
        <v>301</v>
      </c>
      <c r="D85" s="357">
        <f>EMD!D63/(EMD!D$3*24)</f>
        <v>179.15559169862769</v>
      </c>
      <c r="E85" s="357">
        <f>EMD!E63/(EMD!E$3*24)</f>
        <v>162.94527777777779</v>
      </c>
      <c r="F85" s="357">
        <f>EMD!F63/(EMD!F$3*24)</f>
        <v>175.50149435661794</v>
      </c>
      <c r="G85" s="357">
        <f>EMD!G63/(EMD!G$3*24)</f>
        <v>177.4697580645161</v>
      </c>
      <c r="H85" s="96">
        <f>EMD!H63/(EMD!H$3*24)</f>
        <v>177.29859141006537</v>
      </c>
      <c r="I85" s="96">
        <f>EMD!I63/(EMD!I$3*24)</f>
        <v>170.32657103825136</v>
      </c>
      <c r="J85" s="357">
        <f>EMD!J63/(EMD!J$3*24)</f>
        <v>174.42701023795351</v>
      </c>
      <c r="K85" s="357">
        <f>EMD!K63/(EMD!K$3*24)</f>
        <v>185.34583333333322</v>
      </c>
      <c r="L85" s="378">
        <f>EMD!L63/(EMD!L$3*24)</f>
        <v>176.35191629838013</v>
      </c>
      <c r="M85" s="2264">
        <f>EMD!M63/(EMD!M$3*24)</f>
        <v>175.27797619047612</v>
      </c>
      <c r="N85" s="357">
        <f>EMD!N63/(EMD!N$3*24)</f>
        <v>175.63226539998277</v>
      </c>
      <c r="O85" s="357">
        <f>EMD!O63/(EMD!O$3*24)</f>
        <v>189.48521505376345</v>
      </c>
      <c r="P85" s="96">
        <f>EMD!P63/(EMD!P$3*24)</f>
        <v>176.16905418485294</v>
      </c>
      <c r="Q85" s="96">
        <f>EMD!Q63/(EMD!Q$3*24)</f>
        <v>178.88801229508192</v>
      </c>
      <c r="R85" s="357">
        <f>EMD!R63/(EMD!R$3*24)</f>
        <v>172.30081378707962</v>
      </c>
      <c r="S85" s="357">
        <f>EMD!S63/(EMD!S$3*24)</f>
        <v>183.62096774193549</v>
      </c>
      <c r="T85" s="96">
        <f>EMD!T63/(EMD!T$3*24)</f>
        <v>175.38529305850673</v>
      </c>
      <c r="U85" s="96">
        <f>EMD!U63/(EMD!U$3*24)</f>
        <v>179.84697712418296</v>
      </c>
      <c r="V85" s="357">
        <f>EMD!V63/(EMD!V$3*24)</f>
        <v>94.401878197540327</v>
      </c>
      <c r="W85" s="357">
        <f>EMD!W63/(EMD!W$3*24)</f>
        <v>187.52361111111111</v>
      </c>
      <c r="X85" s="378">
        <f>EMD!X63/(EMD!X$3*24)</f>
        <v>148.02154131222983</v>
      </c>
      <c r="Y85" s="2264">
        <f>EMD!Y63/(EMD!Y$3*24)</f>
        <v>186.86956521739131</v>
      </c>
      <c r="Z85" s="2266">
        <f>EMD!Z63/(EMD!Z$3*24)</f>
        <v>162.10932340916796</v>
      </c>
      <c r="AA85" s="470">
        <f>EMD!AA63/(EMD!AA$3*24)</f>
        <v>181.10544171220397</v>
      </c>
      <c r="AB85" s="357">
        <f>EMD!AB63/(EMD!AB$3*24)</f>
        <v>173.68159878771439</v>
      </c>
      <c r="AC85" s="357">
        <f>EMD!AC63/(EMD!AC$3*24)</f>
        <v>155.1236559139785</v>
      </c>
      <c r="AD85" s="96">
        <f>EMD!AD63/(EMD!AD$3*24)</f>
        <v>163.78568105746209</v>
      </c>
      <c r="AE85" s="96">
        <f>EMD!AE63/(EMD!AE$3*24)</f>
        <v>177.34172507788159</v>
      </c>
      <c r="AF85" s="357">
        <f>EMD!AF63/(EMD!AF$3*24)</f>
        <v>171.23096348608073</v>
      </c>
      <c r="AG85" s="357">
        <f>EMD!AG63/(EMD!AG$3*24)</f>
        <v>185.33083333333335</v>
      </c>
      <c r="AH85" s="96">
        <f>EMD!AH63/(EMD!AH$3*24)</f>
        <v>164.70108463475125</v>
      </c>
      <c r="AI85" s="96">
        <f>EMD!AI63/(EMD!AI$3*24)</f>
        <v>178.32399248633877</v>
      </c>
      <c r="AJ85" s="357">
        <f>EMD!AJ63/(EMD!AJ$3*24)</f>
        <v>170.8411590694063</v>
      </c>
      <c r="AK85" s="357">
        <f>EMD!AK63/(EMD!AK$3*24)</f>
        <v>188.39032258064515</v>
      </c>
      <c r="AL85" s="378">
        <f>EMD!AL63/(EMD!AL$3*24)</f>
        <v>171.92537389296916</v>
      </c>
      <c r="AM85" s="2264">
        <f>EMD!AM63/(EMD!AM$3*24)</f>
        <v>176.18324275362318</v>
      </c>
      <c r="AN85" s="96">
        <f>EMD!AN63/(EMD!AN$3*24)</f>
        <v>165.39323848011236</v>
      </c>
      <c r="AO85" s="96">
        <f>EMD!AO63/(EMD!AO$3*24)</f>
        <v>179.45874242424239</v>
      </c>
      <c r="AP85" s="357">
        <f>EMD!AP63/(EMD!AP$3*24)</f>
        <v>167.76853008253218</v>
      </c>
      <c r="AQ85" s="357">
        <f>EMD!AQ63/(EMD!AQ$3*24)</f>
        <v>187.16935483870967</v>
      </c>
      <c r="AR85" s="96">
        <f>EMD!AR63/(EMD!AR$3*24)</f>
        <v>165.63387259669739</v>
      </c>
      <c r="AS85" s="96">
        <f>EMD!AS63/(EMD!AS$3*24)</f>
        <v>180.23988289760345</v>
      </c>
      <c r="AT85" s="357">
        <f>EMD!AT63/(EMD!AT$3*24)</f>
        <v>169.77390732927094</v>
      </c>
      <c r="AU85" s="357">
        <f>EMD!AU63/(EMD!AU$3*24)</f>
        <v>188.6264880952381</v>
      </c>
      <c r="AV85" s="96">
        <f>EMD!AV63/(EMD!AV$3*24)</f>
        <v>165.9809413766736</v>
      </c>
      <c r="AW85" s="96">
        <f>EMD!AW63/(EMD!AW$3*24)</f>
        <v>180.94295159680635</v>
      </c>
      <c r="AX85" s="357">
        <f>EMD!AX63/(EMD!AX$3*24)</f>
        <v>170.24315953710484</v>
      </c>
      <c r="AY85" s="357">
        <f>EMD!AY63/(EMD!AY$3*24)</f>
        <v>184.47849462365591</v>
      </c>
      <c r="AZ85" s="378">
        <f>EMD!AZ63/(EMD!AZ$3*24)</f>
        <v>169.24479759364814</v>
      </c>
      <c r="BA85" s="2264">
        <f>EMD!BA63/(EMD!BA$3*24)</f>
        <v>186.69583333333333</v>
      </c>
      <c r="BB85" s="2266">
        <f>EMD!BB63/(EMD!BB$3*24)</f>
        <v>170.59981418451372</v>
      </c>
      <c r="BC85" s="470">
        <f>EMD!BC63/(EMD!BC$3*24)</f>
        <v>181.38177655677654</v>
      </c>
      <c r="BD85" s="96">
        <f>EMD!BD63/(EMD!BD$3*24)</f>
        <v>166.34293798755951</v>
      </c>
      <c r="BE85" s="96">
        <f>EMD!BE63/(EMD!BE$3*24)</f>
        <v>181.24323059360728</v>
      </c>
      <c r="BF85" s="528"/>
      <c r="BG85" s="528"/>
      <c r="BH85" s="26"/>
      <c r="BI85" s="26"/>
      <c r="BJ85" s="26"/>
      <c r="BP85">
        <v>11</v>
      </c>
    </row>
    <row r="86" spans="1:68" x14ac:dyDescent="0.3">
      <c r="A86" s="146"/>
      <c r="B86" s="9" t="s">
        <v>464</v>
      </c>
      <c r="C86" s="16" t="s">
        <v>301</v>
      </c>
      <c r="D86" s="357">
        <f>EMD!D85/(EMD!D$3*24)</f>
        <v>9.2592067988668578</v>
      </c>
      <c r="E86" s="357">
        <f>EMD!E85/(EMD!E$3*24)</f>
        <v>7.1967833333333324</v>
      </c>
      <c r="F86" s="357">
        <f>EMD!F85/(EMD!F$3*24)</f>
        <v>16.731030491333879</v>
      </c>
      <c r="G86" s="357">
        <f>EMD!G85/(EMD!G$3*24)</f>
        <v>6.0047903225806456</v>
      </c>
      <c r="H86" s="96">
        <f>EMD!H85/(EMD!H$3*24)</f>
        <v>13.056363101596</v>
      </c>
      <c r="I86" s="96">
        <f>EMD!I85/(EMD!I$3*24)</f>
        <v>6.5910163934426222</v>
      </c>
      <c r="J86" s="357">
        <f>EMD!J85/(EMD!J$3*24)</f>
        <v>16.75920679886686</v>
      </c>
      <c r="K86" s="357">
        <f>EMD!K85/(EMD!K$3*24)</f>
        <v>9.3086263888888876</v>
      </c>
      <c r="L86" s="378">
        <f>EMD!L85/(EMD!L$3*24)</f>
        <v>14.277080803992986</v>
      </c>
      <c r="M86" s="2264">
        <f>EMD!M85/(EMD!M$3*24)</f>
        <v>7.4869317765567764</v>
      </c>
      <c r="N86" s="357">
        <f>EMD!N85/(EMD!N$3*24)</f>
        <v>16.350269578726124</v>
      </c>
      <c r="O86" s="357">
        <f>EMD!O85/(EMD!O$3*24)</f>
        <v>7.1327741935483866</v>
      </c>
      <c r="P86" s="96">
        <f>EMD!P85/(EMD!P$3*24)</f>
        <v>14.803874672982554</v>
      </c>
      <c r="Q86" s="96">
        <f>EMD!Q85/(EMD!Q$3*24)</f>
        <v>7.3969409153005463</v>
      </c>
      <c r="R86" s="357">
        <f>EMD!R85/(EMD!R$3*24)</f>
        <v>16.350269578726124</v>
      </c>
      <c r="S86" s="357">
        <f>EMD!S85/(EMD!S$3*24)</f>
        <v>2.7147522225794392</v>
      </c>
      <c r="T86" s="96">
        <f>EMD!T85/(EMD!T$3*24)</f>
        <v>15.117196516629946</v>
      </c>
      <c r="U86" s="96">
        <f>EMD!U85/(EMD!U$3*24)</f>
        <v>6.4482621605662045</v>
      </c>
      <c r="V86" s="357">
        <f>EMD!V85/(EMD!V$3*24)</f>
        <v>10.49338999055713</v>
      </c>
      <c r="W86" s="357">
        <f>EMD!W85/(EMD!W$3*24)</f>
        <v>0.81486111111111115</v>
      </c>
      <c r="X86" s="378">
        <f>EMD!X85/(EMD!X$3*24)</f>
        <v>14.4404175391058</v>
      </c>
      <c r="Y86" s="2264">
        <f>EMD!Y85/(EMD!Y$3*24)</f>
        <v>3.5839038286227818</v>
      </c>
      <c r="Z86" s="2266">
        <f>EMD!Z85/(EMD!Z$3*24)</f>
        <v>14.359195446781941</v>
      </c>
      <c r="AA86" s="470">
        <f>EMD!AA85/(EMD!AA$3*24)</f>
        <v>5.5247537918030742</v>
      </c>
      <c r="AB86" s="357">
        <f>EMD!AB85/(EMD!AB$3*24)</f>
        <v>16.731030491333875</v>
      </c>
      <c r="AC86" s="357">
        <f>EMD!AC85/(EMD!AC$3*24)</f>
        <v>3.9899193548387095</v>
      </c>
      <c r="AD86" s="96">
        <f>EMD!AD85/(EMD!AD$3*24)</f>
        <v>14.70277902800208</v>
      </c>
      <c r="AE86" s="96">
        <f>EMD!AE85/(EMD!AE$3*24)</f>
        <v>5.3024179621493577</v>
      </c>
      <c r="AF86" s="357">
        <f>EMD!AF85/(EMD!AF$3*24)</f>
        <v>0</v>
      </c>
      <c r="AG86" s="357">
        <f>EMD!AG85/(EMD!AG$3*24)</f>
        <v>4.189166666666666</v>
      </c>
      <c r="AH86" s="96">
        <f>EMD!AH85/(EMD!AH$3*24)</f>
        <v>12.895060295051005</v>
      </c>
      <c r="AI86" s="96">
        <f>EMD!AI85/(EMD!AI$3*24)</f>
        <v>5.1655428028686989</v>
      </c>
      <c r="AJ86" s="357">
        <f>EMD!AJ85/(EMD!AJ$3*24)</f>
        <v>0</v>
      </c>
      <c r="AK86" s="357">
        <f>EMD!AK85/(EMD!AK$3*24)</f>
        <v>1.3539354838709681</v>
      </c>
      <c r="AL86" s="378">
        <f>EMD!AL85/(EMD!AL$3*24)</f>
        <v>5.637629839471197</v>
      </c>
      <c r="AM86" s="2264">
        <f>EMD!AM85/(EMD!AM$3*24)</f>
        <v>3.1666793478260873</v>
      </c>
      <c r="AN86" s="96">
        <f>EMD!AN85/(EMD!AN$3*24)</f>
        <v>11.441435316336165</v>
      </c>
      <c r="AO86" s="96">
        <f>EMD!AO85/(EMD!AO$3*24)</f>
        <v>4.7358707050907736</v>
      </c>
      <c r="AP86" s="357">
        <f>EMD!AP85/(EMD!AP$3*24)</f>
        <v>0</v>
      </c>
      <c r="AQ86" s="357">
        <f>EMD!AQ85/(EMD!AQ$3*24)</f>
        <v>0.92567204301075279</v>
      </c>
      <c r="AR86" s="96">
        <f>EMD!AR85/(EMD!AR$3*24)</f>
        <v>10.28233566010603</v>
      </c>
      <c r="AS86" s="96">
        <f>EMD!AS85/(EMD!AS$3*24)</f>
        <v>4.349870187036915</v>
      </c>
      <c r="AT86" s="357">
        <f>EMD!AT85/(EMD!AT$3*24)</f>
        <v>0</v>
      </c>
      <c r="AU86" s="357">
        <f>EMD!AU85/(EMD!AU$3*24)</f>
        <v>1.4376488095238096</v>
      </c>
      <c r="AV86" s="96">
        <f>EMD!AV85/(EMD!AV$3*24)</f>
        <v>9.4203434490791764</v>
      </c>
      <c r="AW86" s="96">
        <f>EMD!AW85/(EMD!AW$3*24)</f>
        <v>4.1057318679639607</v>
      </c>
      <c r="AX86" s="357">
        <f>EMD!AX85/(EMD!AX$3*24)</f>
        <v>17.035639221420087</v>
      </c>
      <c r="AY86" s="357">
        <f>EMD!AY85/(EMD!AY$3*24)</f>
        <v>2.784274193548387</v>
      </c>
      <c r="AZ86" s="378">
        <f>EMD!AZ85/(EMD!AZ$3*24)</f>
        <v>5.8678312873780296</v>
      </c>
      <c r="BA86" s="2264">
        <f>EMD!BA85/(EMD!BA$3*24)</f>
        <v>1.725138888888889</v>
      </c>
      <c r="BB86" s="2266">
        <f>EMD!BB85/(EMD!BB$3*24)</f>
        <v>5.7514657203042461</v>
      </c>
      <c r="BC86" s="470">
        <f>EMD!BC85/(EMD!BC$3*24)</f>
        <v>2.4538296703296707</v>
      </c>
      <c r="BD86" s="96">
        <f>EMD!BD85/(EMD!BD$3*24)</f>
        <v>10.067121994127309</v>
      </c>
      <c r="BE86" s="96">
        <f>EMD!BE85/(EMD!BE$3*24)</f>
        <v>3.9934984764382544</v>
      </c>
      <c r="BF86" s="528"/>
      <c r="BG86" s="528"/>
      <c r="BH86" s="26"/>
      <c r="BI86" s="26"/>
      <c r="BJ86" s="26"/>
    </row>
    <row r="87" spans="1:68" x14ac:dyDescent="0.3">
      <c r="A87" s="146"/>
      <c r="B87" s="9" t="s">
        <v>105</v>
      </c>
      <c r="C87" s="13" t="s">
        <v>463</v>
      </c>
      <c r="D87" s="728">
        <f>EMD!D98/(EMD!D$3*24)</f>
        <v>0.10345663334377342</v>
      </c>
      <c r="E87" s="728">
        <f>EMD!E98/(EMD!E$3*24)</f>
        <v>0.82604546923575961</v>
      </c>
      <c r="F87" s="728">
        <f>EMD!F98/(EMD!F$3*24)</f>
        <v>0.55407779418634195</v>
      </c>
      <c r="G87" s="728">
        <f>EMD!G98/(EMD!G$3*24)</f>
        <v>0.39237824646191166</v>
      </c>
      <c r="H87" s="745">
        <f>EMD!H98/(EMD!H$3*24)</f>
        <v>0.33246082983753777</v>
      </c>
      <c r="I87" s="3069">
        <f>EMD!I98/(EMD!I$3*24)</f>
        <v>0.60565720848183691</v>
      </c>
      <c r="J87" s="728">
        <f>EMD!J98/(EMD!J$3*24)</f>
        <v>0.63203809401793165</v>
      </c>
      <c r="K87" s="728">
        <f>EMD!K98/(EMD!K$3*24)</f>
        <v>0.18054556962336044</v>
      </c>
      <c r="L87" s="378">
        <f>EMD!L98/(EMD!L$3*24)</f>
        <v>0.43122256528162373</v>
      </c>
      <c r="M87" s="2264">
        <f>EMD!M98/(EMD!M$3*24)</f>
        <v>0.46551051435266882</v>
      </c>
      <c r="N87" s="728">
        <f>EMD!N98/(EMD!N$3*24)</f>
        <v>0.56053191340348529</v>
      </c>
      <c r="O87" s="728">
        <f>EMD!O98/(EMD!O$3*24)</f>
        <v>2.7382760462842957E-2</v>
      </c>
      <c r="P87" s="745">
        <f>EMD!P98/(EMD!P$3*24)</f>
        <v>0.46407985865685086</v>
      </c>
      <c r="Q87" s="745">
        <f>EMD!Q98/(EMD!Q$3*24)</f>
        <v>0.3541829703314836</v>
      </c>
      <c r="R87" s="728">
        <f>EMD!R98/(EMD!R$3*24)</f>
        <v>0.56053191340348529</v>
      </c>
      <c r="S87" s="728">
        <f>EMD!S98/(EMD!S$3*24)</f>
        <v>0.44465578125963956</v>
      </c>
      <c r="T87" s="745">
        <f>EMD!T98/(EMD!T$3*24)</f>
        <v>0.48362243184080944</v>
      </c>
      <c r="U87" s="745">
        <f>EMD!U98/(EMD!U$3*24)</f>
        <v>0.37251406274176357</v>
      </c>
      <c r="V87" s="728">
        <f>EMD!V98/(EMD!V$3*24)</f>
        <v>2.7665566724346125</v>
      </c>
      <c r="W87" s="728">
        <f>EMD!W98/(EMD!W$3*24)</f>
        <v>0.25999166666666668</v>
      </c>
      <c r="X87" s="378">
        <f>EMD!X98/(EMD!X$3*24)</f>
        <v>1.2798878130875484</v>
      </c>
      <c r="Y87" s="2264">
        <f>EMD!Y98/(EMD!Y$3*24)</f>
        <v>0.2438363564499669</v>
      </c>
      <c r="Z87" s="2267">
        <f>EMD!Z98/(EMD!Z$3*24)</f>
        <v>0.85787394669225259</v>
      </c>
      <c r="AA87" s="746">
        <f>EMD!AA98/(EMD!AA$3*24)</f>
        <v>0.35406776830322312</v>
      </c>
      <c r="AB87" s="728">
        <f>EMD!AB98/(EMD!AB$3*24)</f>
        <v>0.51387779499587349</v>
      </c>
      <c r="AC87" s="728">
        <f>EMD!AC98/(EMD!AC$3*24)</f>
        <v>1.3094489247311829</v>
      </c>
      <c r="AD87" s="745">
        <f>EMD!AD98/(EMD!AD$3*24)</f>
        <v>0.80804272845586111</v>
      </c>
      <c r="AE87" s="745">
        <f>EMD!AE98/(EMD!AE$3*24)</f>
        <v>0.49246410404746027</v>
      </c>
      <c r="AF87" s="728">
        <f>EMD!AF98/(EMD!AF$3*24)</f>
        <v>0.10177324844790192</v>
      </c>
      <c r="AG87" s="728">
        <f>EMD!AG98/(EMD!AG$3*24)</f>
        <v>0.33855277777777781</v>
      </c>
      <c r="AH87" s="745">
        <f>EMD!AH98/(EMD!AH$3*24)</f>
        <v>0.72120631697947279</v>
      </c>
      <c r="AI87" s="745">
        <f>EMD!AI98/(EMD!AI$3*24)</f>
        <v>0.47354058032577795</v>
      </c>
      <c r="AJ87" s="728">
        <f>EMD!AJ98/(EMD!AJ$3*24)</f>
        <v>0.11726313456904514</v>
      </c>
      <c r="AK87" s="728">
        <f>EMD!AK98/(EMD!AK$3*24)</f>
        <v>0.34876202959643682</v>
      </c>
      <c r="AL87" s="378">
        <f>EMD!AL98/(EMD!AL$3*24)</f>
        <v>0.24585398119510363</v>
      </c>
      <c r="AM87" s="2264">
        <f>EMD!AM98/(EMD!AM$3*24)</f>
        <v>0.66914264040749505</v>
      </c>
      <c r="AN87" s="96">
        <f>EMD!AN98/(EMD!AN$3*24)</f>
        <v>0.65312544914411541</v>
      </c>
      <c r="AO87" s="96">
        <f>EMD!AO98/(EMD!AO$3*24)</f>
        <v>0.45947463460719767</v>
      </c>
      <c r="AP87" s="728">
        <f>EMD!AP98/(EMD!AP$3*24)</f>
        <v>0.11726313456904514</v>
      </c>
      <c r="AQ87" s="728">
        <f>EMD!AQ98/(EMD!AQ$3*24)</f>
        <v>0.43515994623655918</v>
      </c>
      <c r="AR87" s="745">
        <f>EMD!AR98/(EMD!AR$3*24)</f>
        <v>0.5988387440727847</v>
      </c>
      <c r="AS87" s="745">
        <f>EMD!AS98/(EMD!AS$3*24)</f>
        <v>0.45701138186376694</v>
      </c>
      <c r="AT87" s="728">
        <f>EMD!AT98/(EMD!AT$3*24)</f>
        <v>8.1765478874760156E-2</v>
      </c>
      <c r="AU87" s="728">
        <f>EMD!AU98/(EMD!AU$3*24)</f>
        <v>0.17035863095238094</v>
      </c>
      <c r="AV87" s="745">
        <f>EMD!AV98/(EMD!AV$3*24)</f>
        <v>0.55549128471486642</v>
      </c>
      <c r="AW87" s="745">
        <f>EMD!AW98/(EMD!AW$3*24)</f>
        <v>0.43298061232628549</v>
      </c>
      <c r="AX87" s="728">
        <f>EMD!AX98/(EMD!AX$3*24)</f>
        <v>0.3739394862884699</v>
      </c>
      <c r="AY87" s="728">
        <f>EMD!AY98/(EMD!AY$3*24)</f>
        <v>0.51630645161290323</v>
      </c>
      <c r="AZ87" s="378">
        <f>EMD!AZ98/(EMD!AZ$3*24)</f>
        <v>0.19463016283418055</v>
      </c>
      <c r="BA87" s="2264">
        <f>EMD!BA98/(EMD!BA$3*24)</f>
        <v>0.38072777777777783</v>
      </c>
      <c r="BB87" s="2266">
        <f>EMD!BB98/(EMD!BB$3*24)</f>
        <v>0.22052352156607574</v>
      </c>
      <c r="BC87" s="470">
        <f>EMD!BC98/(EMD!BC$3*24)</f>
        <v>0.5265199061400524</v>
      </c>
      <c r="BD87" s="96">
        <f>EMD!BD98/(EMD!BD$3*24)</f>
        <v>0.54007181690330952</v>
      </c>
      <c r="BE87" s="96">
        <f>EMD!BE98/(EMD!BE$3*24)</f>
        <v>0.44005760141638178</v>
      </c>
      <c r="BF87" s="528"/>
      <c r="BG87" s="528"/>
      <c r="BH87" s="26"/>
      <c r="BI87" s="26"/>
      <c r="BJ87" s="26"/>
    </row>
    <row r="88" spans="1:68" x14ac:dyDescent="0.3">
      <c r="A88" s="146"/>
      <c r="B88" s="2845" t="s">
        <v>408</v>
      </c>
      <c r="C88" s="18" t="s">
        <v>406</v>
      </c>
      <c r="D88" s="152">
        <v>8000</v>
      </c>
      <c r="E88" s="178">
        <v>8036.5</v>
      </c>
      <c r="F88" s="152">
        <v>8000</v>
      </c>
      <c r="G88" s="178">
        <v>8037.7</v>
      </c>
      <c r="H88" s="2538">
        <f>+((D88*(D87*D3*24))+(F88*(F87*24*F3)))/(H87*24*H3)</f>
        <v>7999.9999999999991</v>
      </c>
      <c r="I88" s="38">
        <f>+((E88*(E87*E3*24))+(G88*(G87*24*G3)))/(I87*24*I3)</f>
        <v>8036.8950855412713</v>
      </c>
      <c r="J88" s="152">
        <v>8000</v>
      </c>
      <c r="K88" s="178">
        <v>8037.7</v>
      </c>
      <c r="L88" s="71">
        <f>+((H88*(H87*H3*24))+(J88*(J87*24*J3)))/(L87*24*L3)</f>
        <v>7999.9999999999982</v>
      </c>
      <c r="M88" s="68">
        <f>+((E88*(E87*E3*24))+(G88*(G87*G3*24))+(K88*(K87*24*K3)))/(M87*24*M3)</f>
        <v>8036.9980024972065</v>
      </c>
      <c r="N88" s="152">
        <v>8000</v>
      </c>
      <c r="O88" s="178">
        <v>8032.4</v>
      </c>
      <c r="P88" s="775">
        <f>+((L88*(L87*L3*24))+(N88*(N87*24*N3)))/(P87*24*P3)</f>
        <v>7999.9999999999982</v>
      </c>
      <c r="Q88" s="775">
        <f>+((M88*(M87*M3*24))+(O88*(O87*24*O3)))/(Q87*24*Q3)</f>
        <v>8036.9076748667776</v>
      </c>
      <c r="R88" s="152">
        <v>8000</v>
      </c>
      <c r="S88" s="178">
        <v>8031.9</v>
      </c>
      <c r="T88" s="775">
        <f>+((P88*(P87*P3*24))+(R88*(R87*24*R3)))/(T87*24*T3)</f>
        <v>7999.9999999999982</v>
      </c>
      <c r="U88" s="775">
        <f>+((Q88*(Q87*Q3*24))+(S88*(S87*24*S3)))/(U87*24*U3)</f>
        <v>8035.6965535238351</v>
      </c>
      <c r="V88" s="152">
        <v>8000</v>
      </c>
      <c r="W88" s="178">
        <v>8032</v>
      </c>
      <c r="X88" s="71">
        <f>+((N88*(N87*N3*24))+(R88*(R87*R3*24))+(V88*(V87*24*V3)))/(X87*24*X3)</f>
        <v>8000.0000000000009</v>
      </c>
      <c r="Y88" s="68">
        <f>+((O88*(O87*O3*24))+(S88*(S87*S3*24))+(W88*(W87*24*W3)))/(Y87*24*Y3)</f>
        <v>8031.9536892413498</v>
      </c>
      <c r="Z88" s="780">
        <v>8000</v>
      </c>
      <c r="AA88" s="496">
        <f>+((M88*(M87*M3*24))+(Y88*(Y87*24*Y3)))/(AA87*24*AA3)</f>
        <v>8035.251573824421</v>
      </c>
      <c r="AB88" s="152">
        <v>8000</v>
      </c>
      <c r="AC88" s="178">
        <v>8032.3</v>
      </c>
      <c r="AD88" s="775">
        <f>+((Z88*(Z87*Z3*24))+(AB88*(AB87*24*AB3)))/(AD87*24*AD3)</f>
        <v>8000.0000000000027</v>
      </c>
      <c r="AE88" s="775">
        <f>+((AA88*(AA87*AA3*24))+(AC88*(AC87*24*AC3)))/(AE87*24*AE3)</f>
        <v>8034.1146913962366</v>
      </c>
      <c r="AF88" s="152">
        <v>8000</v>
      </c>
      <c r="AG88" s="178">
        <v>8031.8</v>
      </c>
      <c r="AH88" s="775">
        <f>+((AD88*(AD87*AD3*24))+(AF88*(AF87*24*AF3)))/(AH87*24*AH3)</f>
        <v>8000.0000000000027</v>
      </c>
      <c r="AI88" s="775">
        <f>+((AE88*(AE87*AE3*24))+(AG88*(AG87*24*AG3)))/(AI87*24*AI3)</f>
        <v>8033.9112245257975</v>
      </c>
      <c r="AJ88" s="152">
        <v>8000</v>
      </c>
      <c r="AK88" s="178">
        <v>8032.4</v>
      </c>
      <c r="AL88" s="71">
        <f>+((AB88*(AB87*AB3*24))+(AF88*(AF87*AF3*24))+(AJ88*(AJ87*24*AJ3)))/(AL87*24*AL3)</f>
        <v>8000</v>
      </c>
      <c r="AM88" s="68">
        <f>+((AC88*(AC87*AC3*24))+(AG88*(AG87*AG3*24))+(AK88*(AK87*24*AK3)))/(AM87*24*AM3)</f>
        <v>8032.2350705577555</v>
      </c>
      <c r="AN88" s="775">
        <f>+((AH88*(AH87*AH3*24))+(AJ88*(AJ87*24*AJ3)))/(AN87*24*AN3)</f>
        <v>8000.0000000000027</v>
      </c>
      <c r="AO88" s="775">
        <f>+((AI88*(AI87*AI3*24))+(AK88*(AK87*24*AK3)))/(AO87*24*AO3)</f>
        <v>8033.7819164501989</v>
      </c>
      <c r="AP88" s="152">
        <v>8000</v>
      </c>
      <c r="AQ88" s="178">
        <v>8029.6</v>
      </c>
      <c r="AR88" s="775">
        <f>+((AN88*(AN87*AN3*24))+(AP88*(AP87*24*AP3)))/(AR87*24*AR3)</f>
        <v>8000.0000000000036</v>
      </c>
      <c r="AS88" s="775">
        <f>+((AO88*(AO87*AO3*24))+(AQ88*(AQ87*24*AQ3)))/(AS87*24*AS3)</f>
        <v>8033.3785149422147</v>
      </c>
      <c r="AT88" s="152">
        <v>8000</v>
      </c>
      <c r="AU88" s="178">
        <v>8030</v>
      </c>
      <c r="AV88" s="775">
        <f>+((AR88*(AR87*AR3*24))+(AT88*(AT87*24*AT3)))/(AV87*24*AV3)</f>
        <v>8000.0000000000036</v>
      </c>
      <c r="AW88" s="775">
        <f>+((AS88*(AS87*AS3*24))+(AU88*(AU87*24*AU3)))/(AW87*24*AW3)</f>
        <v>8033.2670769959796</v>
      </c>
      <c r="AX88" s="152">
        <v>8000</v>
      </c>
      <c r="AY88" s="178"/>
      <c r="AZ88" s="71">
        <f>+((AP88*(AP87*AP3*24))+(AT88*(AT87*AT3*24))+(AX88*(AX87*24*AX3)))/(AZ87*24*AZ3)</f>
        <v>8000.0000000000009</v>
      </c>
      <c r="BA88" s="68">
        <f>+((AQ88*(AQ87*AQ3*24))+(AU88*(AU87*AU3*24))+(AY88*(AY87*24*AY3)))/(BA87*24*BA3)</f>
        <v>4279.0096165725472</v>
      </c>
      <c r="BB88" s="780">
        <v>8000</v>
      </c>
      <c r="BC88" s="496">
        <f>+((AM88*(AM87*AM3*24))+(BA88*(BA87*24*BA3)))/(BC87*24*BC3)</f>
        <v>6690.163912480265</v>
      </c>
      <c r="BD88" s="775">
        <f>+((AV88*(AV87*AV3*24))+(AX88*(AX87*24*AX3)))/(BD87*24*BD3)</f>
        <v>8000.0000000000027</v>
      </c>
      <c r="BE88" s="775">
        <f>+((AW88*(AW87*AW3*24))+(AY88*(AY87*24*AY3)))/(BE87*24*BE3)</f>
        <v>7232.7712727417411</v>
      </c>
      <c r="BF88" s="528"/>
      <c r="BG88" s="528"/>
      <c r="BH88" s="26"/>
      <c r="BI88" s="26"/>
      <c r="BJ88" s="26"/>
    </row>
    <row r="89" spans="1:68" x14ac:dyDescent="0.3">
      <c r="A89" s="146"/>
      <c r="B89" s="9" t="s">
        <v>404</v>
      </c>
      <c r="C89" s="13" t="s">
        <v>405</v>
      </c>
      <c r="D89" s="1333">
        <v>7.1999999999999993</v>
      </c>
      <c r="E89" s="2052">
        <v>41.16</v>
      </c>
      <c r="F89" s="1333">
        <v>7.4399999999999995</v>
      </c>
      <c r="G89" s="2052">
        <v>34.97</v>
      </c>
      <c r="H89" s="2873">
        <f>+D89+F89</f>
        <v>14.639999999999999</v>
      </c>
      <c r="I89" s="2806">
        <f>+E89+G89</f>
        <v>76.13</v>
      </c>
      <c r="J89" s="1333">
        <v>7.1999999999999993</v>
      </c>
      <c r="K89" s="2052">
        <v>19.22</v>
      </c>
      <c r="L89" s="378">
        <f>+H89+J89</f>
        <v>21.839999999999996</v>
      </c>
      <c r="M89" s="2264">
        <f>+I89+K89</f>
        <v>95.35</v>
      </c>
      <c r="N89" s="1333">
        <v>7.4399999999999995</v>
      </c>
      <c r="O89" s="2052">
        <v>15.46</v>
      </c>
      <c r="P89" s="370">
        <f>+L89+N89</f>
        <v>29.279999999999994</v>
      </c>
      <c r="Q89" s="370">
        <f>+M89+O89</f>
        <v>110.81</v>
      </c>
      <c r="R89" s="1333">
        <v>29.759999999999998</v>
      </c>
      <c r="S89" s="2052">
        <v>39.08</v>
      </c>
      <c r="T89" s="370">
        <f>+P89+R89</f>
        <v>59.039999999999992</v>
      </c>
      <c r="U89" s="370">
        <f>+Q89+S89</f>
        <v>149.88999999999999</v>
      </c>
      <c r="V89" s="1333">
        <v>50.400000000000006</v>
      </c>
      <c r="W89" s="2052">
        <v>25.47</v>
      </c>
      <c r="X89" s="378">
        <f t="shared" ref="X89:Y89" si="316">+N89+R89+V89</f>
        <v>87.6</v>
      </c>
      <c r="Y89" s="2264">
        <f t="shared" si="316"/>
        <v>80.009999999999991</v>
      </c>
      <c r="Z89" s="2268">
        <f>+L89+X89</f>
        <v>109.44</v>
      </c>
      <c r="AA89" s="635">
        <f>+M89+Y89</f>
        <v>175.35999999999999</v>
      </c>
      <c r="AB89" s="1333">
        <v>29.759999999999998</v>
      </c>
      <c r="AC89" s="2052">
        <v>29.25</v>
      </c>
      <c r="AD89" s="370">
        <f>+Z89+AB89</f>
        <v>139.19999999999999</v>
      </c>
      <c r="AE89" s="370">
        <f>+AA89+AC89</f>
        <v>204.60999999999999</v>
      </c>
      <c r="AF89" s="1333">
        <v>7.1999999999999993</v>
      </c>
      <c r="AG89" s="2052">
        <v>4.92</v>
      </c>
      <c r="AH89" s="370">
        <f>+AD89+AF89</f>
        <v>146.39999999999998</v>
      </c>
      <c r="AI89" s="370">
        <f>+AE89+AG89</f>
        <v>209.52999999999997</v>
      </c>
      <c r="AJ89" s="1333">
        <v>7.4399999999999995</v>
      </c>
      <c r="AK89" s="2052">
        <v>12.49</v>
      </c>
      <c r="AL89" s="378">
        <f t="shared" ref="AL89" si="317">+AB89+AF89+AJ89</f>
        <v>44.399999999999991</v>
      </c>
      <c r="AM89" s="2264">
        <f t="shared" ref="AM89" si="318">+AC89+AG89+AK89</f>
        <v>46.660000000000004</v>
      </c>
      <c r="AN89" s="370">
        <f>+AH89+AJ89</f>
        <v>153.83999999999997</v>
      </c>
      <c r="AO89" s="370">
        <f>+AI89+AK89</f>
        <v>222.01999999999998</v>
      </c>
      <c r="AP89" s="1333">
        <v>22.32</v>
      </c>
      <c r="AQ89" s="2052">
        <v>21.9</v>
      </c>
      <c r="AR89" s="370">
        <f>+AN89+AP89</f>
        <v>176.15999999999997</v>
      </c>
      <c r="AS89" s="370">
        <f>+AO89+AQ89</f>
        <v>243.92</v>
      </c>
      <c r="AT89" s="1333">
        <v>6.72</v>
      </c>
      <c r="AU89" s="2052">
        <v>30.6</v>
      </c>
      <c r="AV89" s="370">
        <f>+AR89+AT89</f>
        <v>182.87999999999997</v>
      </c>
      <c r="AW89" s="370">
        <f>+AS89+AU89</f>
        <v>274.52</v>
      </c>
      <c r="AX89" s="1333">
        <v>14.879999999999999</v>
      </c>
      <c r="AY89" s="2052"/>
      <c r="AZ89" s="378">
        <f t="shared" ref="AZ89" si="319">+AP89+AT89+AX89</f>
        <v>43.92</v>
      </c>
      <c r="BA89" s="2264">
        <f t="shared" ref="BA89" si="320">+AQ89+AU89+AY89</f>
        <v>52.5</v>
      </c>
      <c r="BB89" s="2268">
        <f>+AL89+AZ89</f>
        <v>88.32</v>
      </c>
      <c r="BC89" s="635">
        <f>+AM89+BA89</f>
        <v>99.16</v>
      </c>
      <c r="BD89" s="370">
        <f>+AV89+AX89</f>
        <v>197.75999999999996</v>
      </c>
      <c r="BE89" s="370">
        <f>+AW89+AY89</f>
        <v>274.52</v>
      </c>
      <c r="BF89" s="528"/>
      <c r="BG89" s="528"/>
      <c r="BH89" s="26"/>
      <c r="BI89" s="26"/>
      <c r="BJ89" s="26"/>
    </row>
    <row r="90" spans="1:68" x14ac:dyDescent="0.3">
      <c r="A90" s="146"/>
      <c r="B90" s="2845" t="s">
        <v>409</v>
      </c>
      <c r="C90" s="18" t="s">
        <v>410</v>
      </c>
      <c r="D90" s="152">
        <v>9135</v>
      </c>
      <c r="E90" s="178">
        <v>9135</v>
      </c>
      <c r="F90" s="152">
        <v>9135</v>
      </c>
      <c r="G90" s="178">
        <v>9135</v>
      </c>
      <c r="H90" s="2538">
        <f>+AVERAGE(D90,F90)</f>
        <v>9135</v>
      </c>
      <c r="I90" s="38">
        <f>+AVERAGE(E90,G90)</f>
        <v>9135</v>
      </c>
      <c r="J90" s="152">
        <v>9135</v>
      </c>
      <c r="K90" s="178">
        <v>9135</v>
      </c>
      <c r="L90" s="71">
        <f>+AVERAGE(H90,J90)</f>
        <v>9135</v>
      </c>
      <c r="M90" s="68">
        <f>+AVERAGE(I90,K90)</f>
        <v>9135</v>
      </c>
      <c r="N90" s="152">
        <v>9135</v>
      </c>
      <c r="O90" s="178">
        <v>9135</v>
      </c>
      <c r="P90" s="775">
        <f>+AVERAGE(L90,N90)</f>
        <v>9135</v>
      </c>
      <c r="Q90" s="775">
        <f>+AVERAGE(M90,O90)</f>
        <v>9135</v>
      </c>
      <c r="R90" s="152">
        <v>9135</v>
      </c>
      <c r="S90" s="178">
        <v>9135</v>
      </c>
      <c r="T90" s="775">
        <f>+AVERAGE(P90,R90)</f>
        <v>9135</v>
      </c>
      <c r="U90" s="775">
        <f>+AVERAGE(Q90,S90)</f>
        <v>9135</v>
      </c>
      <c r="V90" s="152">
        <v>9135</v>
      </c>
      <c r="W90" s="178">
        <v>9135</v>
      </c>
      <c r="X90" s="71">
        <f>+AVERAGE(T90,V90)</f>
        <v>9135</v>
      </c>
      <c r="Y90" s="68">
        <f>+AVERAGE(U90,W90)</f>
        <v>9135</v>
      </c>
      <c r="Z90" s="780">
        <v>9135</v>
      </c>
      <c r="AA90" s="496">
        <f>+AVERAGE(M90,Y90)</f>
        <v>9135</v>
      </c>
      <c r="AB90" s="152">
        <v>9135</v>
      </c>
      <c r="AC90" s="178">
        <v>9135</v>
      </c>
      <c r="AD90" s="775">
        <f>+AVERAGE(Z90,AB90)</f>
        <v>9135</v>
      </c>
      <c r="AE90" s="775">
        <f>+AVERAGE(AA90,AC90)</f>
        <v>9135</v>
      </c>
      <c r="AF90" s="152">
        <v>9135</v>
      </c>
      <c r="AG90" s="178">
        <v>9135</v>
      </c>
      <c r="AH90" s="775">
        <f>+AVERAGE(AD90,AF90)</f>
        <v>9135</v>
      </c>
      <c r="AI90" s="775">
        <f>+AVERAGE(AE90,AG90)</f>
        <v>9135</v>
      </c>
      <c r="AJ90" s="152">
        <v>9135</v>
      </c>
      <c r="AK90" s="178">
        <v>9135</v>
      </c>
      <c r="AL90" s="71">
        <f>+AVERAGE(AH90,AJ90)</f>
        <v>9135</v>
      </c>
      <c r="AM90" s="68">
        <f>+AVERAGE(AI90,AK90)</f>
        <v>9135</v>
      </c>
      <c r="AN90" s="775">
        <f>+AVERAGE(AH90,AJ90)</f>
        <v>9135</v>
      </c>
      <c r="AO90" s="775">
        <f>+AVERAGE(AI90,AK90)</f>
        <v>9135</v>
      </c>
      <c r="AP90" s="152">
        <v>9135</v>
      </c>
      <c r="AQ90" s="178">
        <v>9135</v>
      </c>
      <c r="AR90" s="775">
        <f>+AVERAGE(AN90,AP90)</f>
        <v>9135</v>
      </c>
      <c r="AS90" s="775">
        <f>+AVERAGE(AO90,AQ90)</f>
        <v>9135</v>
      </c>
      <c r="AT90" s="152">
        <v>9135</v>
      </c>
      <c r="AU90" s="178">
        <v>9135</v>
      </c>
      <c r="AV90" s="775">
        <f>+AVERAGE(AR90,AT90)</f>
        <v>9135</v>
      </c>
      <c r="AW90" s="775">
        <f>+AVERAGE(AS90,AU90)</f>
        <v>9135</v>
      </c>
      <c r="AX90" s="152">
        <v>9135</v>
      </c>
      <c r="AY90" s="178"/>
      <c r="AZ90" s="71">
        <f>+AVERAGE(AV90,AX90)</f>
        <v>9135</v>
      </c>
      <c r="BA90" s="68">
        <f>+AVERAGE(AW90,AY90)</f>
        <v>9135</v>
      </c>
      <c r="BB90" s="780">
        <v>9135</v>
      </c>
      <c r="BC90" s="496">
        <f>+AVERAGE(AM90,BA90)</f>
        <v>9135</v>
      </c>
      <c r="BD90" s="775">
        <f>+AVERAGE(AV90,AX90)</f>
        <v>9135</v>
      </c>
      <c r="BE90" s="775">
        <f>+AVERAGE(AW90,AY90)</f>
        <v>9135</v>
      </c>
      <c r="BF90" s="528"/>
      <c r="BG90" s="528"/>
      <c r="BH90" s="26"/>
      <c r="BI90" s="26"/>
      <c r="BJ90" s="26"/>
    </row>
    <row r="91" spans="1:68" ht="15.75" customHeight="1" thickBot="1" x14ac:dyDescent="0.35">
      <c r="B91" s="3070" t="s">
        <v>407</v>
      </c>
      <c r="C91" s="18" t="s">
        <v>504</v>
      </c>
      <c r="D91" s="990">
        <v>0.81018790810276275</v>
      </c>
      <c r="E91" s="393">
        <v>0.98599999999999999</v>
      </c>
      <c r="F91" s="990">
        <v>0.81016705335218786</v>
      </c>
      <c r="G91" s="393">
        <v>0.92800000000000005</v>
      </c>
      <c r="H91" s="3071">
        <f>+((D91*D59)+(F59*F91))/H59</f>
        <v>0.8101770762173971</v>
      </c>
      <c r="I91" s="2805">
        <f>+((E91*E59)+(G59*G91))/I59</f>
        <v>0.95487519745663374</v>
      </c>
      <c r="J91" s="990">
        <v>0.8105300386187142</v>
      </c>
      <c r="K91" s="393">
        <v>0.86</v>
      </c>
      <c r="L91" s="390">
        <f>+((H91*H59)+(J59*J91))/L59</f>
        <v>0.81029500489473061</v>
      </c>
      <c r="M91" s="1560">
        <f>+((I91*I59)+(K59*K91))/M59</f>
        <v>0.92035798086765341</v>
      </c>
      <c r="N91" s="990">
        <v>0.8107332763866002</v>
      </c>
      <c r="O91" s="393">
        <v>0.83</v>
      </c>
      <c r="P91" s="376">
        <f>+((L91*L59)+(N59*N91))/P59</f>
        <v>0.81040787391540581</v>
      </c>
      <c r="Q91" s="376">
        <f>+((M91*M59)+(O59*O91))/Q59</f>
        <v>0.89529547833747791</v>
      </c>
      <c r="R91" s="990">
        <v>0.81065204786321643</v>
      </c>
      <c r="S91" s="393">
        <v>0.82499999999999996</v>
      </c>
      <c r="T91" s="376">
        <f>+((P91*P59)+(R59*R91))/T59</f>
        <v>0.81045752530005566</v>
      </c>
      <c r="U91" s="376">
        <f>+((Q91*Q59)+(S59*S91))/U59</f>
        <v>0.88037354666866552</v>
      </c>
      <c r="V91" s="990">
        <v>0.85209170545439683</v>
      </c>
      <c r="W91" s="393">
        <v>0.84399999999999997</v>
      </c>
      <c r="X91" s="390">
        <f>+((N91*N59)+(R91*R59)+(V59*V91))/X59</f>
        <v>0.82213575930647742</v>
      </c>
      <c r="Y91" s="1560">
        <f>+((O91*O59)+(S91*S59)+(W59*W91))/Y59</f>
        <v>0.83276369824122132</v>
      </c>
      <c r="Z91" s="2269">
        <f>+((L91*L59)+(X91*X59))/Z59</f>
        <v>0.81607743930110277</v>
      </c>
      <c r="AA91" s="2269">
        <f>+((M91*M59)+(Y91*Y59))/AA59</f>
        <v>0.87430091468451721</v>
      </c>
      <c r="AB91" s="990">
        <v>0.81016819161264075</v>
      </c>
      <c r="AC91" s="393">
        <v>0.89100000000000001</v>
      </c>
      <c r="AD91" s="376">
        <f>+((Z91*Z59)+(AB59*AB91))/AD59</f>
        <v>0.81519320567434983</v>
      </c>
      <c r="AE91" s="376">
        <f>+((AA91*AA59)+(AC59*AC91))/AE59</f>
        <v>0.87654134842455356</v>
      </c>
      <c r="AF91" s="990">
        <v>0.80979401416769259</v>
      </c>
      <c r="AG91" s="393">
        <v>0.875</v>
      </c>
      <c r="AH91" s="376">
        <f>+((AD91*AD59)+(AF59*AF91))/AH59</f>
        <v>0.81458556949220917</v>
      </c>
      <c r="AI91" s="376">
        <f>+((AE91*AE59)+(AG59*AG91))/AI59</f>
        <v>0.87634575122226621</v>
      </c>
      <c r="AJ91" s="990">
        <v>0.80979446222515539</v>
      </c>
      <c r="AK91" s="393">
        <v>0.87050000000000005</v>
      </c>
      <c r="AL91" s="390">
        <f>+((AB91*AB59)+(AF91*AF59)+(AJ59*AJ91))/AL59</f>
        <v>0.80993157181344799</v>
      </c>
      <c r="AM91" s="1560">
        <f>+((AC91*AC59)+(AG91*AG59)+(AK59*AK91))/AM59</f>
        <v>0.87843882903897641</v>
      </c>
      <c r="AN91" s="376">
        <f>+((AH91*AH59)+(AJ59*AJ91))/AN59</f>
        <v>0.81408655210655978</v>
      </c>
      <c r="AO91" s="376">
        <f>+((AI91*AI59)+(AK59*AK91))/AO59-0.001</f>
        <v>0.87467151674541899</v>
      </c>
      <c r="AP91" s="990">
        <v>0.80979446222515539</v>
      </c>
      <c r="AQ91" s="393">
        <v>0.874</v>
      </c>
      <c r="AR91" s="376">
        <f>+((AN91*AN59)+(AP59*AP91))/AR59</f>
        <v>0.81368676371197468</v>
      </c>
      <c r="AS91" s="376">
        <f>+((AO91*AO59)+(AQ59*AQ91))/AS59</f>
        <v>0.87460416406196662</v>
      </c>
      <c r="AT91" s="990">
        <v>0.80979446222515539</v>
      </c>
      <c r="AU91" s="393">
        <v>0.876</v>
      </c>
      <c r="AV91" s="376">
        <f>+((AR91*AR59)+(AT59*AT91))/AV59</f>
        <v>0.81338245215091842</v>
      </c>
      <c r="AW91" s="376">
        <f>+((AS91*AS59)+(AU59*AU91))/AW59</f>
        <v>0.8747159967648932</v>
      </c>
      <c r="AX91" s="990">
        <v>0.80982005757063757</v>
      </c>
      <c r="AY91" s="393"/>
      <c r="AZ91" s="390">
        <f>+((AP91*AP59)+(AT91*AT59)+(AX59*AX91))/AZ59</f>
        <v>0.80980402221490644</v>
      </c>
      <c r="BA91" s="1560">
        <f>+((AQ91*AQ59)+(AU91*AU59)+(AY59*AY91))/BA59</f>
        <v>0.56550910614517547</v>
      </c>
      <c r="BB91" s="2269">
        <f>+((AL91*AL59)+(AZ91*AZ59))/BB59</f>
        <v>0.80986886874602004</v>
      </c>
      <c r="BC91" s="2269">
        <f>+((AM91*AM59)+(BA91*BA59))/BC59</f>
        <v>0.72412350914786272</v>
      </c>
      <c r="BD91" s="376">
        <f>+((AV91*AV59)+(AX59*AX91))/BD59</f>
        <v>0.81306508451020532</v>
      </c>
      <c r="BE91" s="376">
        <f>+((AW91*AW59)+(AY59*AY91))/BE59</f>
        <v>0.79932406116928689</v>
      </c>
      <c r="BF91" s="528"/>
      <c r="BG91" s="528"/>
      <c r="BH91" s="26"/>
      <c r="BI91" s="26"/>
      <c r="BJ91" s="26"/>
    </row>
    <row r="92" spans="1:68" ht="15" thickBot="1" x14ac:dyDescent="0.35">
      <c r="A92" s="146"/>
      <c r="B92" s="3222" t="s">
        <v>62</v>
      </c>
      <c r="C92" s="3223"/>
      <c r="D92" s="3222"/>
      <c r="E92" s="3224"/>
      <c r="F92" s="3222"/>
      <c r="G92" s="3224"/>
      <c r="H92" s="3223"/>
      <c r="I92" s="3224"/>
      <c r="J92" s="3222"/>
      <c r="K92" s="3224"/>
      <c r="L92" s="2262"/>
      <c r="M92" s="2262"/>
      <c r="N92" s="3222"/>
      <c r="O92" s="3224"/>
      <c r="P92" s="409"/>
      <c r="Q92" s="409"/>
      <c r="R92" s="3222"/>
      <c r="S92" s="3224"/>
      <c r="T92" s="409"/>
      <c r="U92" s="409"/>
      <c r="V92" s="3222"/>
      <c r="W92" s="3224"/>
      <c r="X92" s="2262"/>
      <c r="Y92" s="2262"/>
      <c r="Z92" s="409"/>
      <c r="AA92" s="409"/>
      <c r="AB92" s="3222"/>
      <c r="AC92" s="3224"/>
      <c r="AD92" s="409"/>
      <c r="AE92" s="409"/>
      <c r="AF92" s="3222"/>
      <c r="AG92" s="3224"/>
      <c r="AH92" s="409"/>
      <c r="AI92" s="409"/>
      <c r="AJ92" s="3222"/>
      <c r="AK92" s="3224"/>
      <c r="AL92" s="2262"/>
      <c r="AM92" s="2262"/>
      <c r="AN92" s="409"/>
      <c r="AO92" s="409"/>
      <c r="AP92" s="3222"/>
      <c r="AQ92" s="3224"/>
      <c r="AR92" s="409"/>
      <c r="AS92" s="409"/>
      <c r="AT92" s="3222"/>
      <c r="AU92" s="3224"/>
      <c r="AV92" s="409"/>
      <c r="AW92" s="409"/>
      <c r="AX92" s="3222"/>
      <c r="AY92" s="3224"/>
      <c r="AZ92" s="2262"/>
      <c r="BA92" s="2262"/>
      <c r="BB92" s="409"/>
      <c r="BC92" s="409"/>
      <c r="BD92" s="409"/>
      <c r="BE92" s="409"/>
      <c r="BF92" s="528"/>
      <c r="BG92" s="528"/>
      <c r="BH92" s="26"/>
      <c r="BI92" s="26"/>
      <c r="BJ92" s="26"/>
    </row>
    <row r="93" spans="1:68" x14ac:dyDescent="0.3">
      <c r="B93" s="855" t="s">
        <v>412</v>
      </c>
      <c r="C93" s="141" t="s">
        <v>354</v>
      </c>
      <c r="D93" s="3225"/>
      <c r="E93" s="141">
        <v>46.019999999999996</v>
      </c>
      <c r="F93" s="3225"/>
      <c r="G93" s="141">
        <v>42.2</v>
      </c>
      <c r="H93" s="6413"/>
      <c r="I93" s="3028">
        <f>+E93+G93</f>
        <v>88.22</v>
      </c>
      <c r="J93" s="3225"/>
      <c r="K93" s="141">
        <v>29.099999999999987</v>
      </c>
      <c r="L93" s="6406"/>
      <c r="M93" s="235">
        <f>E93+G93+K93</f>
        <v>117.32</v>
      </c>
      <c r="N93" s="3225"/>
      <c r="O93" s="141">
        <v>22.5</v>
      </c>
      <c r="P93" s="6393"/>
      <c r="Q93" s="213">
        <f>+M93+O93</f>
        <v>139.82</v>
      </c>
      <c r="R93" s="3225"/>
      <c r="S93" s="141">
        <v>21.3</v>
      </c>
      <c r="T93" s="6393"/>
      <c r="U93" s="213">
        <f>+Q93+S93</f>
        <v>161.12</v>
      </c>
      <c r="V93" s="3225"/>
      <c r="W93" s="141">
        <v>24.999999999999986</v>
      </c>
      <c r="X93" s="6406"/>
      <c r="Y93" s="239">
        <f t="shared" ref="Y93:Y112" si="321">+O93+S93+W93</f>
        <v>68.799999999999983</v>
      </c>
      <c r="Z93" s="6431"/>
      <c r="AA93" s="496">
        <f>M93+Y93</f>
        <v>186.11999999999998</v>
      </c>
      <c r="AB93" s="3225"/>
      <c r="AC93" s="87">
        <v>25.9</v>
      </c>
      <c r="AD93" s="6393"/>
      <c r="AE93" s="214">
        <f>+AA93+AC93</f>
        <v>212.01999999999998</v>
      </c>
      <c r="AF93" s="3225"/>
      <c r="AG93" s="141">
        <v>34.299999999999997</v>
      </c>
      <c r="AH93" s="6393"/>
      <c r="AI93" s="214">
        <f>+AE93+AG93</f>
        <v>246.32</v>
      </c>
      <c r="AJ93" s="3225"/>
      <c r="AK93" s="141">
        <v>41.900000000000006</v>
      </c>
      <c r="AL93" s="6406"/>
      <c r="AM93" s="239">
        <f t="shared" ref="AM93:AM112" si="322">+AC93+AG93+AK93</f>
        <v>102.1</v>
      </c>
      <c r="AN93" s="6393"/>
      <c r="AO93" s="213">
        <f t="shared" ref="AO93:AO112" si="323">+AI93+AK93</f>
        <v>288.22000000000003</v>
      </c>
      <c r="AP93" s="3225"/>
      <c r="AQ93" s="141">
        <v>46.7</v>
      </c>
      <c r="AR93" s="6393"/>
      <c r="AS93" s="214">
        <f>+AO93+AQ93</f>
        <v>334.92</v>
      </c>
      <c r="AT93" s="3225"/>
      <c r="AU93" s="141">
        <v>65.3</v>
      </c>
      <c r="AV93" s="6393"/>
      <c r="AW93" s="214">
        <f>+AS93+AU93</f>
        <v>400.22</v>
      </c>
      <c r="AX93" s="3225"/>
      <c r="AY93" s="141">
        <v>70</v>
      </c>
      <c r="AZ93" s="6406"/>
      <c r="BA93" s="239">
        <f t="shared" ref="BA93:BA112" si="324">+AQ93+AU93+AY93</f>
        <v>182</v>
      </c>
      <c r="BB93" s="6431"/>
      <c r="BC93" s="496">
        <f>AM93+BA93</f>
        <v>284.10000000000002</v>
      </c>
      <c r="BD93" s="6393"/>
      <c r="BE93" s="214">
        <f>+AW93+AY93</f>
        <v>470.22</v>
      </c>
      <c r="BF93" s="528"/>
      <c r="BG93" s="528"/>
      <c r="BH93" s="26"/>
      <c r="BI93" s="26"/>
      <c r="BJ93" s="26"/>
    </row>
    <row r="94" spans="1:68" x14ac:dyDescent="0.3">
      <c r="B94" s="9" t="s">
        <v>1157</v>
      </c>
      <c r="C94" s="99" t="s">
        <v>1166</v>
      </c>
      <c r="D94" s="992"/>
      <c r="E94" s="18">
        <v>17.856000000000002</v>
      </c>
      <c r="F94" s="992"/>
      <c r="G94" s="18">
        <v>16.992000000000001</v>
      </c>
      <c r="H94" s="6394"/>
      <c r="I94" s="3072">
        <f t="shared" ref="I94:I112" si="325">+E94+G94</f>
        <v>34.847999999999999</v>
      </c>
      <c r="J94" s="992"/>
      <c r="K94" s="18">
        <v>13.44</v>
      </c>
      <c r="L94" s="6407"/>
      <c r="M94" s="235">
        <f t="shared" ref="M94:M112" si="326">E94+G94+K94</f>
        <v>48.287999999999997</v>
      </c>
      <c r="N94" s="992"/>
      <c r="O94" s="18">
        <v>8.2560000000000002</v>
      </c>
      <c r="P94" s="6394"/>
      <c r="Q94" s="213">
        <f t="shared" ref="Q94:Q112" si="327">+M94+O94</f>
        <v>56.543999999999997</v>
      </c>
      <c r="R94" s="992"/>
      <c r="S94" s="18">
        <v>7.2</v>
      </c>
      <c r="T94" s="6394"/>
      <c r="U94" s="213">
        <f t="shared" ref="U94:U112" si="328">+Q94+S94</f>
        <v>63.744</v>
      </c>
      <c r="V94" s="992"/>
      <c r="W94" s="18">
        <v>8.64</v>
      </c>
      <c r="X94" s="6407"/>
      <c r="Y94" s="239">
        <f t="shared" si="321"/>
        <v>24.096</v>
      </c>
      <c r="Z94" s="6432"/>
      <c r="AA94" s="496">
        <f t="shared" ref="AA94:AA112" si="329">M94+Y94</f>
        <v>72.384</v>
      </c>
      <c r="AB94" s="992"/>
      <c r="AC94" s="18">
        <v>9.84</v>
      </c>
      <c r="AD94" s="6394"/>
      <c r="AE94" s="214">
        <f t="shared" ref="AE94:AE112" si="330">+AA94+AC94</f>
        <v>82.224000000000004</v>
      </c>
      <c r="AF94" s="992"/>
      <c r="AG94" s="18">
        <v>12.959999999999999</v>
      </c>
      <c r="AH94" s="6394"/>
      <c r="AI94" s="214">
        <f t="shared" ref="AI94:AI112" si="331">+AE94+AG94</f>
        <v>95.183999999999997</v>
      </c>
      <c r="AJ94" s="992"/>
      <c r="AK94" s="18">
        <v>15.84</v>
      </c>
      <c r="AL94" s="6407"/>
      <c r="AM94" s="239">
        <f t="shared" si="322"/>
        <v>38.64</v>
      </c>
      <c r="AN94" s="6394"/>
      <c r="AO94" s="213">
        <f t="shared" si="323"/>
        <v>111.024</v>
      </c>
      <c r="AP94" s="992"/>
      <c r="AQ94" s="18">
        <v>18.768000000000001</v>
      </c>
      <c r="AR94" s="6394"/>
      <c r="AS94" s="214">
        <f t="shared" ref="AS94:AS112" si="332">+AO94+AQ94</f>
        <v>129.792</v>
      </c>
      <c r="AT94" s="992"/>
      <c r="AU94" s="18">
        <v>26.927999999999997</v>
      </c>
      <c r="AV94" s="6394"/>
      <c r="AW94" s="214">
        <f t="shared" ref="AW94:AW112" si="333">+AS94+AU94</f>
        <v>156.72</v>
      </c>
      <c r="AX94" s="992"/>
      <c r="AY94" s="18">
        <v>32.159999999999997</v>
      </c>
      <c r="AZ94" s="6407"/>
      <c r="BA94" s="239">
        <f t="shared" si="324"/>
        <v>77.855999999999995</v>
      </c>
      <c r="BB94" s="6432"/>
      <c r="BC94" s="496">
        <f t="shared" ref="BC94:BC112" si="334">AM94+BA94</f>
        <v>116.496</v>
      </c>
      <c r="BD94" s="6394"/>
      <c r="BE94" s="214">
        <f t="shared" ref="BE94:BE112" si="335">+AW94+AY94</f>
        <v>188.88</v>
      </c>
      <c r="BF94" s="528"/>
      <c r="BG94" s="528"/>
      <c r="BH94" s="26"/>
      <c r="BI94" s="26"/>
      <c r="BJ94" s="26"/>
    </row>
    <row r="95" spans="1:68" x14ac:dyDescent="0.3">
      <c r="B95" s="9" t="s">
        <v>1158</v>
      </c>
      <c r="C95" s="99" t="s">
        <v>1250</v>
      </c>
      <c r="D95" s="992"/>
      <c r="E95" s="18">
        <v>450</v>
      </c>
      <c r="F95" s="992"/>
      <c r="G95" s="18">
        <v>465</v>
      </c>
      <c r="H95" s="6394"/>
      <c r="I95" s="3072">
        <f t="shared" si="325"/>
        <v>915</v>
      </c>
      <c r="J95" s="992"/>
      <c r="K95" s="18">
        <v>455</v>
      </c>
      <c r="L95" s="6407"/>
      <c r="M95" s="235">
        <f t="shared" si="326"/>
        <v>1370</v>
      </c>
      <c r="N95" s="992"/>
      <c r="O95" s="18">
        <v>465</v>
      </c>
      <c r="P95" s="6394"/>
      <c r="Q95" s="213">
        <f t="shared" si="327"/>
        <v>1835</v>
      </c>
      <c r="R95" s="992"/>
      <c r="S95" s="18">
        <v>475</v>
      </c>
      <c r="T95" s="6394"/>
      <c r="U95" s="213">
        <f t="shared" si="328"/>
        <v>2310</v>
      </c>
      <c r="V95" s="992"/>
      <c r="W95" s="18">
        <v>450</v>
      </c>
      <c r="X95" s="6407"/>
      <c r="Y95" s="239">
        <f t="shared" si="321"/>
        <v>1390</v>
      </c>
      <c r="Z95" s="6432"/>
      <c r="AA95" s="496">
        <f t="shared" si="329"/>
        <v>2760</v>
      </c>
      <c r="AB95" s="992"/>
      <c r="AC95" s="18">
        <v>420</v>
      </c>
      <c r="AD95" s="6394"/>
      <c r="AE95" s="214">
        <f t="shared" si="330"/>
        <v>3180</v>
      </c>
      <c r="AF95" s="992"/>
      <c r="AG95" s="18">
        <v>450</v>
      </c>
      <c r="AH95" s="6394"/>
      <c r="AI95" s="214">
        <f t="shared" si="331"/>
        <v>3630</v>
      </c>
      <c r="AJ95" s="992"/>
      <c r="AK95" s="18">
        <v>460</v>
      </c>
      <c r="AL95" s="6407"/>
      <c r="AM95" s="239">
        <f t="shared" si="322"/>
        <v>1330</v>
      </c>
      <c r="AN95" s="6394"/>
      <c r="AO95" s="213">
        <f t="shared" si="323"/>
        <v>4090</v>
      </c>
      <c r="AP95" s="992"/>
      <c r="AQ95" s="18">
        <v>470</v>
      </c>
      <c r="AR95" s="6394"/>
      <c r="AS95" s="214">
        <f t="shared" si="332"/>
        <v>4560</v>
      </c>
      <c r="AT95" s="992"/>
      <c r="AU95" s="18">
        <v>420</v>
      </c>
      <c r="AV95" s="6394"/>
      <c r="AW95" s="214">
        <f t="shared" si="333"/>
        <v>4980</v>
      </c>
      <c r="AX95" s="992"/>
      <c r="AY95" s="18">
        <v>465</v>
      </c>
      <c r="AZ95" s="6407"/>
      <c r="BA95" s="239">
        <f t="shared" si="324"/>
        <v>1355</v>
      </c>
      <c r="BB95" s="6432"/>
      <c r="BC95" s="496">
        <f t="shared" si="334"/>
        <v>2685</v>
      </c>
      <c r="BD95" s="6394"/>
      <c r="BE95" s="214">
        <f t="shared" si="335"/>
        <v>5445</v>
      </c>
      <c r="BF95" s="528"/>
      <c r="BG95" s="528"/>
      <c r="BH95" s="26"/>
      <c r="BI95" s="26"/>
      <c r="BJ95" s="26"/>
    </row>
    <row r="96" spans="1:68" x14ac:dyDescent="0.3">
      <c r="B96" s="9" t="s">
        <v>1159</v>
      </c>
      <c r="C96" s="99" t="s">
        <v>1167</v>
      </c>
      <c r="D96" s="992"/>
      <c r="E96" s="18">
        <v>861</v>
      </c>
      <c r="F96" s="992"/>
      <c r="G96" s="18">
        <v>898</v>
      </c>
      <c r="H96" s="6394"/>
      <c r="I96" s="3072">
        <f t="shared" si="325"/>
        <v>1759</v>
      </c>
      <c r="J96" s="992"/>
      <c r="K96" s="18">
        <v>857</v>
      </c>
      <c r="L96" s="6407"/>
      <c r="M96" s="235">
        <f t="shared" si="326"/>
        <v>2616</v>
      </c>
      <c r="N96" s="992"/>
      <c r="O96" s="18">
        <v>872</v>
      </c>
      <c r="P96" s="6394"/>
      <c r="Q96" s="213">
        <f t="shared" si="327"/>
        <v>3488</v>
      </c>
      <c r="R96" s="992"/>
      <c r="S96" s="18">
        <v>773</v>
      </c>
      <c r="T96" s="6394"/>
      <c r="U96" s="213">
        <f t="shared" si="328"/>
        <v>4261</v>
      </c>
      <c r="V96" s="992"/>
      <c r="W96" s="18">
        <v>756</v>
      </c>
      <c r="X96" s="6407"/>
      <c r="Y96" s="239">
        <f t="shared" si="321"/>
        <v>2401</v>
      </c>
      <c r="Z96" s="6432"/>
      <c r="AA96" s="496">
        <f t="shared" si="329"/>
        <v>5017</v>
      </c>
      <c r="AB96" s="992"/>
      <c r="AC96" s="18">
        <v>658</v>
      </c>
      <c r="AD96" s="6394"/>
      <c r="AE96" s="214">
        <f t="shared" si="330"/>
        <v>5675</v>
      </c>
      <c r="AF96" s="992"/>
      <c r="AG96" s="18">
        <v>623</v>
      </c>
      <c r="AH96" s="6394"/>
      <c r="AI96" s="214">
        <f t="shared" si="331"/>
        <v>6298</v>
      </c>
      <c r="AJ96" s="992"/>
      <c r="AK96" s="18">
        <v>748</v>
      </c>
      <c r="AL96" s="6407"/>
      <c r="AM96" s="239">
        <f t="shared" si="322"/>
        <v>2029</v>
      </c>
      <c r="AN96" s="6394"/>
      <c r="AO96" s="213">
        <f t="shared" si="323"/>
        <v>7046</v>
      </c>
      <c r="AP96" s="992"/>
      <c r="AQ96" s="18">
        <v>727</v>
      </c>
      <c r="AR96" s="6394"/>
      <c r="AS96" s="214">
        <f t="shared" si="332"/>
        <v>7773</v>
      </c>
      <c r="AT96" s="992"/>
      <c r="AU96" s="18">
        <v>715</v>
      </c>
      <c r="AV96" s="6394"/>
      <c r="AW96" s="214">
        <f t="shared" si="333"/>
        <v>8488</v>
      </c>
      <c r="AX96" s="992"/>
      <c r="AY96" s="18">
        <v>765</v>
      </c>
      <c r="AZ96" s="6407"/>
      <c r="BA96" s="239">
        <f t="shared" si="324"/>
        <v>2207</v>
      </c>
      <c r="BB96" s="6432"/>
      <c r="BC96" s="496">
        <f t="shared" si="334"/>
        <v>4236</v>
      </c>
      <c r="BD96" s="6394"/>
      <c r="BE96" s="214">
        <f t="shared" si="335"/>
        <v>9253</v>
      </c>
      <c r="BF96" s="528"/>
      <c r="BG96" s="528"/>
      <c r="BH96" s="26"/>
      <c r="BI96" s="26"/>
      <c r="BJ96" s="26"/>
    </row>
    <row r="97" spans="1:62" x14ac:dyDescent="0.3">
      <c r="B97" s="9" t="s">
        <v>1160</v>
      </c>
      <c r="C97" s="99" t="s">
        <v>1250</v>
      </c>
      <c r="D97" s="992"/>
      <c r="E97" s="18">
        <v>225</v>
      </c>
      <c r="F97" s="992"/>
      <c r="G97" s="18">
        <v>210</v>
      </c>
      <c r="H97" s="6394"/>
      <c r="I97" s="3072">
        <f t="shared" si="325"/>
        <v>435</v>
      </c>
      <c r="J97" s="992"/>
      <c r="K97" s="18">
        <v>144</v>
      </c>
      <c r="L97" s="6407"/>
      <c r="M97" s="235">
        <f t="shared" si="326"/>
        <v>579</v>
      </c>
      <c r="N97" s="992"/>
      <c r="O97" s="18">
        <v>227</v>
      </c>
      <c r="P97" s="6394"/>
      <c r="Q97" s="213">
        <f t="shared" si="327"/>
        <v>806</v>
      </c>
      <c r="R97" s="992"/>
      <c r="S97" s="18">
        <v>183.5</v>
      </c>
      <c r="T97" s="6394"/>
      <c r="U97" s="213">
        <f t="shared" si="328"/>
        <v>989.5</v>
      </c>
      <c r="V97" s="992"/>
      <c r="W97" s="18">
        <v>240</v>
      </c>
      <c r="X97" s="6407"/>
      <c r="Y97" s="239">
        <f t="shared" si="321"/>
        <v>650.5</v>
      </c>
      <c r="Z97" s="6432"/>
      <c r="AA97" s="496">
        <f t="shared" si="329"/>
        <v>1229.5</v>
      </c>
      <c r="AB97" s="992"/>
      <c r="AC97" s="18">
        <v>145</v>
      </c>
      <c r="AD97" s="6394"/>
      <c r="AE97" s="214">
        <f t="shared" si="330"/>
        <v>1374.5</v>
      </c>
      <c r="AF97" s="992"/>
      <c r="AG97" s="18">
        <v>233</v>
      </c>
      <c r="AH97" s="6394"/>
      <c r="AI97" s="214">
        <f t="shared" si="331"/>
        <v>1607.5</v>
      </c>
      <c r="AJ97" s="992"/>
      <c r="AK97" s="18">
        <v>260</v>
      </c>
      <c r="AL97" s="6407"/>
      <c r="AM97" s="239">
        <f t="shared" si="322"/>
        <v>638</v>
      </c>
      <c r="AN97" s="6394"/>
      <c r="AO97" s="213">
        <f t="shared" si="323"/>
        <v>1867.5</v>
      </c>
      <c r="AP97" s="992"/>
      <c r="AQ97" s="18">
        <v>193</v>
      </c>
      <c r="AR97" s="6394"/>
      <c r="AS97" s="214">
        <f t="shared" si="332"/>
        <v>2060.5</v>
      </c>
      <c r="AT97" s="992"/>
      <c r="AU97" s="18">
        <v>155</v>
      </c>
      <c r="AV97" s="6394"/>
      <c r="AW97" s="214">
        <f t="shared" si="333"/>
        <v>2215.5</v>
      </c>
      <c r="AX97" s="992"/>
      <c r="AY97" s="18">
        <v>152</v>
      </c>
      <c r="AZ97" s="6407"/>
      <c r="BA97" s="239">
        <f t="shared" si="324"/>
        <v>500</v>
      </c>
      <c r="BB97" s="6432"/>
      <c r="BC97" s="496">
        <f t="shared" si="334"/>
        <v>1138</v>
      </c>
      <c r="BD97" s="6394"/>
      <c r="BE97" s="214">
        <f t="shared" si="335"/>
        <v>2367.5</v>
      </c>
      <c r="BF97" s="528"/>
      <c r="BG97" s="528"/>
      <c r="BH97" s="26"/>
      <c r="BI97" s="26"/>
      <c r="BJ97" s="26"/>
    </row>
    <row r="98" spans="1:62" x14ac:dyDescent="0.3">
      <c r="B98" s="9" t="s">
        <v>1161</v>
      </c>
      <c r="C98" s="99" t="s">
        <v>1250</v>
      </c>
      <c r="D98" s="992"/>
      <c r="E98" s="18">
        <v>279</v>
      </c>
      <c r="F98" s="992"/>
      <c r="G98" s="18">
        <v>244</v>
      </c>
      <c r="H98" s="6394"/>
      <c r="I98" s="3072">
        <f t="shared" si="325"/>
        <v>523</v>
      </c>
      <c r="J98" s="992"/>
      <c r="K98" s="18">
        <v>247</v>
      </c>
      <c r="L98" s="6407"/>
      <c r="M98" s="235">
        <f t="shared" si="326"/>
        <v>770</v>
      </c>
      <c r="N98" s="992"/>
      <c r="O98" s="18">
        <v>257</v>
      </c>
      <c r="P98" s="6394"/>
      <c r="Q98" s="213">
        <f t="shared" si="327"/>
        <v>1027</v>
      </c>
      <c r="R98" s="992"/>
      <c r="S98" s="18">
        <v>234</v>
      </c>
      <c r="T98" s="6394"/>
      <c r="U98" s="213">
        <f t="shared" si="328"/>
        <v>1261</v>
      </c>
      <c r="V98" s="992"/>
      <c r="W98" s="18">
        <v>234</v>
      </c>
      <c r="X98" s="6407"/>
      <c r="Y98" s="239">
        <f t="shared" si="321"/>
        <v>725</v>
      </c>
      <c r="Z98" s="6432"/>
      <c r="AA98" s="496">
        <f t="shared" si="329"/>
        <v>1495</v>
      </c>
      <c r="AB98" s="992"/>
      <c r="AC98" s="18">
        <v>177</v>
      </c>
      <c r="AD98" s="6394"/>
      <c r="AE98" s="214">
        <f t="shared" si="330"/>
        <v>1672</v>
      </c>
      <c r="AF98" s="992"/>
      <c r="AG98" s="18">
        <v>144</v>
      </c>
      <c r="AH98" s="6394"/>
      <c r="AI98" s="214">
        <f t="shared" si="331"/>
        <v>1816</v>
      </c>
      <c r="AJ98" s="992"/>
      <c r="AK98" s="18">
        <v>246</v>
      </c>
      <c r="AL98" s="6407"/>
      <c r="AM98" s="239">
        <f t="shared" si="322"/>
        <v>567</v>
      </c>
      <c r="AN98" s="6394"/>
      <c r="AO98" s="213">
        <f t="shared" si="323"/>
        <v>2062</v>
      </c>
      <c r="AP98" s="992"/>
      <c r="AQ98" s="18">
        <v>248</v>
      </c>
      <c r="AR98" s="6394"/>
      <c r="AS98" s="214">
        <f t="shared" si="332"/>
        <v>2310</v>
      </c>
      <c r="AT98" s="992"/>
      <c r="AU98" s="18">
        <v>215</v>
      </c>
      <c r="AV98" s="6394"/>
      <c r="AW98" s="214">
        <f t="shared" si="333"/>
        <v>2525</v>
      </c>
      <c r="AX98" s="992"/>
      <c r="AY98" s="18">
        <v>184</v>
      </c>
      <c r="AZ98" s="6407"/>
      <c r="BA98" s="239">
        <f t="shared" si="324"/>
        <v>647</v>
      </c>
      <c r="BB98" s="6432"/>
      <c r="BC98" s="496">
        <f t="shared" si="334"/>
        <v>1214</v>
      </c>
      <c r="BD98" s="6394"/>
      <c r="BE98" s="214">
        <f t="shared" si="335"/>
        <v>2709</v>
      </c>
      <c r="BF98" s="528"/>
      <c r="BG98" s="528"/>
      <c r="BH98" s="26"/>
      <c r="BI98" s="26"/>
      <c r="BJ98" s="26"/>
    </row>
    <row r="99" spans="1:62" x14ac:dyDescent="0.3">
      <c r="A99" s="146"/>
      <c r="B99" s="3073" t="s">
        <v>1818</v>
      </c>
      <c r="C99" s="99" t="s">
        <v>1250</v>
      </c>
      <c r="D99" s="992"/>
      <c r="E99" s="178">
        <v>24</v>
      </c>
      <c r="F99" s="992"/>
      <c r="G99" s="178">
        <v>0</v>
      </c>
      <c r="H99" s="6394"/>
      <c r="I99" s="3072">
        <f t="shared" si="325"/>
        <v>24</v>
      </c>
      <c r="J99" s="992"/>
      <c r="K99" s="178">
        <v>0</v>
      </c>
      <c r="L99" s="6407"/>
      <c r="M99" s="235">
        <f t="shared" si="326"/>
        <v>24</v>
      </c>
      <c r="N99" s="992"/>
      <c r="O99" s="178">
        <v>0</v>
      </c>
      <c r="P99" s="6394"/>
      <c r="Q99" s="213">
        <f t="shared" si="327"/>
        <v>24</v>
      </c>
      <c r="R99" s="992"/>
      <c r="S99" s="178">
        <v>2</v>
      </c>
      <c r="T99" s="6394"/>
      <c r="U99" s="213">
        <f t="shared" si="328"/>
        <v>26</v>
      </c>
      <c r="V99" s="992"/>
      <c r="W99" s="178"/>
      <c r="X99" s="6407"/>
      <c r="Y99" s="239">
        <f t="shared" si="321"/>
        <v>2</v>
      </c>
      <c r="Z99" s="6432"/>
      <c r="AA99" s="496">
        <f t="shared" si="329"/>
        <v>26</v>
      </c>
      <c r="AB99" s="992"/>
      <c r="AC99" s="178"/>
      <c r="AD99" s="6394"/>
      <c r="AE99" s="214">
        <f t="shared" si="330"/>
        <v>26</v>
      </c>
      <c r="AF99" s="992"/>
      <c r="AG99" s="178"/>
      <c r="AH99" s="6394"/>
      <c r="AI99" s="214">
        <f t="shared" si="331"/>
        <v>26</v>
      </c>
      <c r="AJ99" s="992"/>
      <c r="AK99" s="178"/>
      <c r="AL99" s="6407"/>
      <c r="AM99" s="239">
        <f t="shared" si="322"/>
        <v>0</v>
      </c>
      <c r="AN99" s="6394"/>
      <c r="AO99" s="213">
        <f t="shared" si="323"/>
        <v>26</v>
      </c>
      <c r="AP99" s="992"/>
      <c r="AQ99" s="178">
        <v>0</v>
      </c>
      <c r="AR99" s="6394"/>
      <c r="AS99" s="214">
        <f t="shared" si="332"/>
        <v>26</v>
      </c>
      <c r="AT99" s="992"/>
      <c r="AU99" s="178"/>
      <c r="AV99" s="6394"/>
      <c r="AW99" s="214">
        <f t="shared" si="333"/>
        <v>26</v>
      </c>
      <c r="AX99" s="992"/>
      <c r="AY99" s="178"/>
      <c r="AZ99" s="6407"/>
      <c r="BA99" s="239">
        <f t="shared" si="324"/>
        <v>0</v>
      </c>
      <c r="BB99" s="6432"/>
      <c r="BC99" s="496">
        <f t="shared" si="334"/>
        <v>0</v>
      </c>
      <c r="BD99" s="6394"/>
      <c r="BE99" s="214">
        <f t="shared" si="335"/>
        <v>26</v>
      </c>
      <c r="BF99" s="528"/>
      <c r="BG99" s="528"/>
      <c r="BH99" s="26"/>
      <c r="BI99" s="26"/>
      <c r="BJ99" s="26"/>
    </row>
    <row r="100" spans="1:62" x14ac:dyDescent="0.3">
      <c r="A100" s="146"/>
      <c r="B100" s="3073" t="s">
        <v>1162</v>
      </c>
      <c r="C100" s="99" t="s">
        <v>1250</v>
      </c>
      <c r="D100" s="992"/>
      <c r="E100" s="178">
        <v>4906</v>
      </c>
      <c r="F100" s="992"/>
      <c r="G100" s="178">
        <v>4880</v>
      </c>
      <c r="H100" s="6394"/>
      <c r="I100" s="3072">
        <f t="shared" si="325"/>
        <v>9786</v>
      </c>
      <c r="J100" s="992"/>
      <c r="K100" s="178">
        <v>5370</v>
      </c>
      <c r="L100" s="6407"/>
      <c r="M100" s="235">
        <f t="shared" si="326"/>
        <v>15156</v>
      </c>
      <c r="N100" s="992"/>
      <c r="O100" s="178">
        <v>5250</v>
      </c>
      <c r="P100" s="6394"/>
      <c r="Q100" s="213">
        <f t="shared" si="327"/>
        <v>20406</v>
      </c>
      <c r="R100" s="992"/>
      <c r="S100" s="178">
        <v>4390</v>
      </c>
      <c r="T100" s="6394"/>
      <c r="U100" s="213">
        <f t="shared" si="328"/>
        <v>24796</v>
      </c>
      <c r="V100" s="992"/>
      <c r="W100" s="178">
        <v>4790</v>
      </c>
      <c r="X100" s="6407"/>
      <c r="Y100" s="239">
        <f t="shared" si="321"/>
        <v>14430</v>
      </c>
      <c r="Z100" s="6432"/>
      <c r="AA100" s="496">
        <f t="shared" si="329"/>
        <v>29586</v>
      </c>
      <c r="AB100" s="992"/>
      <c r="AC100" s="178">
        <v>3940</v>
      </c>
      <c r="AD100" s="6394"/>
      <c r="AE100" s="214">
        <f t="shared" si="330"/>
        <v>33526</v>
      </c>
      <c r="AF100" s="992"/>
      <c r="AG100" s="178">
        <v>3180</v>
      </c>
      <c r="AH100" s="6394"/>
      <c r="AI100" s="214">
        <f t="shared" si="331"/>
        <v>36706</v>
      </c>
      <c r="AJ100" s="992"/>
      <c r="AK100" s="178">
        <v>5565</v>
      </c>
      <c r="AL100" s="6407"/>
      <c r="AM100" s="239">
        <f t="shared" si="322"/>
        <v>12685</v>
      </c>
      <c r="AN100" s="6394"/>
      <c r="AO100" s="213">
        <f t="shared" si="323"/>
        <v>42271</v>
      </c>
      <c r="AP100" s="992"/>
      <c r="AQ100" s="178">
        <v>6185</v>
      </c>
      <c r="AR100" s="6394"/>
      <c r="AS100" s="214">
        <f t="shared" si="332"/>
        <v>48456</v>
      </c>
      <c r="AT100" s="992"/>
      <c r="AU100" s="178">
        <v>6030</v>
      </c>
      <c r="AV100" s="6394"/>
      <c r="AW100" s="214">
        <f t="shared" si="333"/>
        <v>54486</v>
      </c>
      <c r="AX100" s="992"/>
      <c r="AY100" s="178">
        <v>4540</v>
      </c>
      <c r="AZ100" s="6407"/>
      <c r="BA100" s="239">
        <f t="shared" si="324"/>
        <v>16755</v>
      </c>
      <c r="BB100" s="6432"/>
      <c r="BC100" s="496">
        <f t="shared" si="334"/>
        <v>29440</v>
      </c>
      <c r="BD100" s="6394"/>
      <c r="BE100" s="214">
        <f t="shared" si="335"/>
        <v>59026</v>
      </c>
      <c r="BF100" s="528"/>
      <c r="BG100" s="528"/>
      <c r="BH100" s="26"/>
      <c r="BI100" s="26"/>
      <c r="BJ100" s="26"/>
    </row>
    <row r="101" spans="1:62" x14ac:dyDescent="0.3">
      <c r="A101" s="146"/>
      <c r="B101" s="3073" t="s">
        <v>1163</v>
      </c>
      <c r="C101" s="99" t="s">
        <v>1250</v>
      </c>
      <c r="D101" s="992"/>
      <c r="E101" s="178">
        <v>11</v>
      </c>
      <c r="F101" s="992"/>
      <c r="G101" s="178">
        <v>10</v>
      </c>
      <c r="H101" s="6394"/>
      <c r="I101" s="3072">
        <f t="shared" si="325"/>
        <v>21</v>
      </c>
      <c r="J101" s="992"/>
      <c r="K101" s="178">
        <v>2</v>
      </c>
      <c r="L101" s="6407"/>
      <c r="M101" s="235">
        <f t="shared" si="326"/>
        <v>23</v>
      </c>
      <c r="N101" s="992"/>
      <c r="O101" s="178">
        <v>2</v>
      </c>
      <c r="P101" s="6394"/>
      <c r="Q101" s="213">
        <f t="shared" si="327"/>
        <v>25</v>
      </c>
      <c r="R101" s="992"/>
      <c r="S101" s="178"/>
      <c r="T101" s="6394"/>
      <c r="U101" s="213">
        <f t="shared" si="328"/>
        <v>25</v>
      </c>
      <c r="V101" s="992"/>
      <c r="W101" s="178"/>
      <c r="X101" s="6407"/>
      <c r="Y101" s="239">
        <f t="shared" si="321"/>
        <v>2</v>
      </c>
      <c r="Z101" s="6432"/>
      <c r="AA101" s="496">
        <f t="shared" si="329"/>
        <v>25</v>
      </c>
      <c r="AB101" s="992"/>
      <c r="AC101" s="178"/>
      <c r="AD101" s="6394"/>
      <c r="AE101" s="214">
        <f t="shared" si="330"/>
        <v>25</v>
      </c>
      <c r="AF101" s="992"/>
      <c r="AG101" s="178">
        <v>5</v>
      </c>
      <c r="AH101" s="6394"/>
      <c r="AI101" s="214">
        <f t="shared" si="331"/>
        <v>30</v>
      </c>
      <c r="AJ101" s="992"/>
      <c r="AK101" s="178"/>
      <c r="AL101" s="6407"/>
      <c r="AM101" s="239">
        <f t="shared" si="322"/>
        <v>5</v>
      </c>
      <c r="AN101" s="6394"/>
      <c r="AO101" s="213">
        <f t="shared" si="323"/>
        <v>30</v>
      </c>
      <c r="AP101" s="992"/>
      <c r="AQ101" s="178">
        <v>0</v>
      </c>
      <c r="AR101" s="6394"/>
      <c r="AS101" s="214">
        <f t="shared" si="332"/>
        <v>30</v>
      </c>
      <c r="AT101" s="992"/>
      <c r="AU101" s="178"/>
      <c r="AV101" s="6394"/>
      <c r="AW101" s="214">
        <f t="shared" si="333"/>
        <v>30</v>
      </c>
      <c r="AX101" s="992"/>
      <c r="AY101" s="178"/>
      <c r="AZ101" s="6407"/>
      <c r="BA101" s="239">
        <f t="shared" si="324"/>
        <v>0</v>
      </c>
      <c r="BB101" s="6432"/>
      <c r="BC101" s="496">
        <f t="shared" si="334"/>
        <v>5</v>
      </c>
      <c r="BD101" s="6394"/>
      <c r="BE101" s="214">
        <f t="shared" si="335"/>
        <v>30</v>
      </c>
      <c r="BF101" s="528"/>
      <c r="BG101" s="528"/>
      <c r="BH101" s="26"/>
      <c r="BI101" s="26"/>
      <c r="BJ101" s="26"/>
    </row>
    <row r="102" spans="1:62" x14ac:dyDescent="0.3">
      <c r="A102" s="146"/>
      <c r="B102" s="3073" t="s">
        <v>1164</v>
      </c>
      <c r="C102" s="99" t="s">
        <v>1250</v>
      </c>
      <c r="D102" s="992"/>
      <c r="E102" s="178">
        <v>840</v>
      </c>
      <c r="F102" s="992"/>
      <c r="G102" s="178">
        <v>455</v>
      </c>
      <c r="H102" s="6394"/>
      <c r="I102" s="3072">
        <f t="shared" si="325"/>
        <v>1295</v>
      </c>
      <c r="J102" s="992"/>
      <c r="K102" s="178">
        <v>697</v>
      </c>
      <c r="L102" s="6407"/>
      <c r="M102" s="235">
        <f t="shared" si="326"/>
        <v>1992</v>
      </c>
      <c r="N102" s="992"/>
      <c r="O102" s="178">
        <v>493</v>
      </c>
      <c r="P102" s="6394"/>
      <c r="Q102" s="213">
        <f t="shared" si="327"/>
        <v>2485</v>
      </c>
      <c r="R102" s="992"/>
      <c r="S102" s="178">
        <v>612</v>
      </c>
      <c r="T102" s="6394"/>
      <c r="U102" s="213">
        <f t="shared" si="328"/>
        <v>3097</v>
      </c>
      <c r="V102" s="992"/>
      <c r="W102" s="178">
        <v>577</v>
      </c>
      <c r="X102" s="6407"/>
      <c r="Y102" s="239">
        <f t="shared" si="321"/>
        <v>1682</v>
      </c>
      <c r="Z102" s="6432"/>
      <c r="AA102" s="496">
        <f t="shared" si="329"/>
        <v>3674</v>
      </c>
      <c r="AB102" s="992"/>
      <c r="AC102" s="178">
        <v>527</v>
      </c>
      <c r="AD102" s="6394"/>
      <c r="AE102" s="214">
        <f t="shared" si="330"/>
        <v>4201</v>
      </c>
      <c r="AF102" s="992"/>
      <c r="AG102" s="178">
        <v>175</v>
      </c>
      <c r="AH102" s="6394"/>
      <c r="AI102" s="214">
        <f t="shared" si="331"/>
        <v>4376</v>
      </c>
      <c r="AJ102" s="992"/>
      <c r="AK102" s="178">
        <v>250</v>
      </c>
      <c r="AL102" s="6407"/>
      <c r="AM102" s="239">
        <f t="shared" si="322"/>
        <v>952</v>
      </c>
      <c r="AN102" s="6394"/>
      <c r="AO102" s="213">
        <f t="shared" si="323"/>
        <v>4626</v>
      </c>
      <c r="AP102" s="992"/>
      <c r="AQ102" s="178">
        <v>460</v>
      </c>
      <c r="AR102" s="6394"/>
      <c r="AS102" s="214">
        <f t="shared" si="332"/>
        <v>5086</v>
      </c>
      <c r="AT102" s="992"/>
      <c r="AU102" s="178">
        <v>455</v>
      </c>
      <c r="AV102" s="6394"/>
      <c r="AW102" s="214">
        <f t="shared" si="333"/>
        <v>5541</v>
      </c>
      <c r="AX102" s="992"/>
      <c r="AY102" s="178">
        <v>320</v>
      </c>
      <c r="AZ102" s="6407"/>
      <c r="BA102" s="239">
        <f t="shared" si="324"/>
        <v>1235</v>
      </c>
      <c r="BB102" s="6432"/>
      <c r="BC102" s="496">
        <f t="shared" si="334"/>
        <v>2187</v>
      </c>
      <c r="BD102" s="6394"/>
      <c r="BE102" s="214">
        <f t="shared" si="335"/>
        <v>5861</v>
      </c>
      <c r="BF102" s="528"/>
      <c r="BG102" s="528"/>
      <c r="BH102" s="26"/>
      <c r="BI102" s="26"/>
      <c r="BJ102" s="26"/>
    </row>
    <row r="103" spans="1:62" x14ac:dyDescent="0.3">
      <c r="A103" s="146"/>
      <c r="B103" s="3073" t="s">
        <v>1165</v>
      </c>
      <c r="C103" s="99" t="s">
        <v>1250</v>
      </c>
      <c r="D103" s="992"/>
      <c r="E103" s="178">
        <v>95</v>
      </c>
      <c r="F103" s="992"/>
      <c r="G103" s="178">
        <v>84</v>
      </c>
      <c r="H103" s="6394"/>
      <c r="I103" s="3072">
        <f t="shared" si="325"/>
        <v>179</v>
      </c>
      <c r="J103" s="992"/>
      <c r="K103" s="178">
        <v>99</v>
      </c>
      <c r="L103" s="6407"/>
      <c r="M103" s="235">
        <f t="shared" si="326"/>
        <v>278</v>
      </c>
      <c r="N103" s="992"/>
      <c r="O103" s="178">
        <v>91</v>
      </c>
      <c r="P103" s="6394"/>
      <c r="Q103" s="213">
        <f t="shared" si="327"/>
        <v>369</v>
      </c>
      <c r="R103" s="992"/>
      <c r="S103" s="178">
        <v>85</v>
      </c>
      <c r="T103" s="6394"/>
      <c r="U103" s="213">
        <f t="shared" si="328"/>
        <v>454</v>
      </c>
      <c r="V103" s="992"/>
      <c r="W103" s="178">
        <v>83</v>
      </c>
      <c r="X103" s="6407"/>
      <c r="Y103" s="239">
        <f t="shared" si="321"/>
        <v>259</v>
      </c>
      <c r="Z103" s="6432"/>
      <c r="AA103" s="496">
        <f t="shared" si="329"/>
        <v>537</v>
      </c>
      <c r="AB103" s="992"/>
      <c r="AC103" s="178">
        <v>66</v>
      </c>
      <c r="AD103" s="6394"/>
      <c r="AE103" s="214">
        <f t="shared" si="330"/>
        <v>603</v>
      </c>
      <c r="AF103" s="992"/>
      <c r="AG103" s="178">
        <v>61</v>
      </c>
      <c r="AH103" s="6394"/>
      <c r="AI103" s="214">
        <f t="shared" si="331"/>
        <v>664</v>
      </c>
      <c r="AJ103" s="992"/>
      <c r="AK103" s="178">
        <v>85</v>
      </c>
      <c r="AL103" s="6407"/>
      <c r="AM103" s="239">
        <f t="shared" si="322"/>
        <v>212</v>
      </c>
      <c r="AN103" s="6394"/>
      <c r="AO103" s="213">
        <f t="shared" si="323"/>
        <v>749</v>
      </c>
      <c r="AP103" s="992"/>
      <c r="AQ103" s="178">
        <v>97</v>
      </c>
      <c r="AR103" s="6394"/>
      <c r="AS103" s="214">
        <f t="shared" si="332"/>
        <v>846</v>
      </c>
      <c r="AT103" s="992"/>
      <c r="AU103" s="178">
        <v>83</v>
      </c>
      <c r="AV103" s="6394"/>
      <c r="AW103" s="214">
        <f t="shared" si="333"/>
        <v>929</v>
      </c>
      <c r="AX103" s="992"/>
      <c r="AY103" s="178">
        <v>67</v>
      </c>
      <c r="AZ103" s="6407"/>
      <c r="BA103" s="239">
        <f t="shared" si="324"/>
        <v>247</v>
      </c>
      <c r="BB103" s="6432"/>
      <c r="BC103" s="496">
        <f t="shared" si="334"/>
        <v>459</v>
      </c>
      <c r="BD103" s="6394"/>
      <c r="BE103" s="214">
        <f t="shared" si="335"/>
        <v>996</v>
      </c>
      <c r="BF103" s="528"/>
      <c r="BG103" s="528"/>
      <c r="BH103" s="26"/>
      <c r="BI103" s="26"/>
      <c r="BJ103" s="26"/>
    </row>
    <row r="104" spans="1:62" ht="15" customHeight="1" x14ac:dyDescent="0.3">
      <c r="A104" s="146"/>
      <c r="B104" s="3073" t="s">
        <v>1368</v>
      </c>
      <c r="C104" s="99" t="s">
        <v>1250</v>
      </c>
      <c r="D104" s="992"/>
      <c r="E104" s="178">
        <v>228.94</v>
      </c>
      <c r="F104" s="992"/>
      <c r="G104" s="178">
        <v>230.79</v>
      </c>
      <c r="H104" s="6394"/>
      <c r="I104" s="3072">
        <f t="shared" si="325"/>
        <v>459.73</v>
      </c>
      <c r="J104" s="992"/>
      <c r="K104" s="178">
        <v>237</v>
      </c>
      <c r="L104" s="6407"/>
      <c r="M104" s="235">
        <f t="shared" si="326"/>
        <v>696.73</v>
      </c>
      <c r="N104" s="992"/>
      <c r="O104" s="178">
        <v>172.55</v>
      </c>
      <c r="P104" s="6394"/>
      <c r="Q104" s="213">
        <f t="shared" si="327"/>
        <v>869.28</v>
      </c>
      <c r="R104" s="992"/>
      <c r="S104" s="178">
        <v>57.12</v>
      </c>
      <c r="T104" s="6394"/>
      <c r="U104" s="213">
        <f t="shared" si="328"/>
        <v>926.4</v>
      </c>
      <c r="V104" s="992"/>
      <c r="W104" s="178">
        <v>244.8</v>
      </c>
      <c r="X104" s="6407"/>
      <c r="Y104" s="239">
        <f t="shared" si="321"/>
        <v>474.47</v>
      </c>
      <c r="Z104" s="6432"/>
      <c r="AA104" s="496">
        <f t="shared" si="329"/>
        <v>1171.2</v>
      </c>
      <c r="AB104" s="992"/>
      <c r="AC104" s="178">
        <v>199.04</v>
      </c>
      <c r="AD104" s="6394"/>
      <c r="AE104" s="214">
        <f t="shared" si="330"/>
        <v>1370.24</v>
      </c>
      <c r="AF104" s="992"/>
      <c r="AG104" s="178">
        <v>219.27</v>
      </c>
      <c r="AH104" s="6394"/>
      <c r="AI104" s="214">
        <f t="shared" si="331"/>
        <v>1589.51</v>
      </c>
      <c r="AJ104" s="992"/>
      <c r="AK104" s="178">
        <v>244.02999999999997</v>
      </c>
      <c r="AL104" s="6407"/>
      <c r="AM104" s="235">
        <f t="shared" si="322"/>
        <v>662.33999999999992</v>
      </c>
      <c r="AN104" s="6394"/>
      <c r="AO104" s="213">
        <f t="shared" si="323"/>
        <v>1833.54</v>
      </c>
      <c r="AP104" s="992"/>
      <c r="AQ104" s="178">
        <v>252.39</v>
      </c>
      <c r="AR104" s="6394"/>
      <c r="AS104" s="214">
        <f t="shared" si="332"/>
        <v>2085.9299999999998</v>
      </c>
      <c r="AT104" s="992"/>
      <c r="AU104" s="178">
        <v>219.93</v>
      </c>
      <c r="AV104" s="6394"/>
      <c r="AW104" s="214">
        <f t="shared" si="333"/>
        <v>2305.8599999999997</v>
      </c>
      <c r="AX104" s="992"/>
      <c r="AY104" s="178">
        <v>237.41</v>
      </c>
      <c r="AZ104" s="6407"/>
      <c r="BA104" s="239">
        <f t="shared" si="324"/>
        <v>709.73</v>
      </c>
      <c r="BB104" s="6432"/>
      <c r="BC104" s="496">
        <f t="shared" si="334"/>
        <v>1372.07</v>
      </c>
      <c r="BD104" s="6394"/>
      <c r="BE104" s="214">
        <f t="shared" si="335"/>
        <v>2543.2699999999995</v>
      </c>
      <c r="BF104" s="528"/>
      <c r="BG104" s="528"/>
      <c r="BH104" s="26"/>
      <c r="BI104" s="26"/>
      <c r="BJ104" s="26"/>
    </row>
    <row r="105" spans="1:62" ht="15" customHeight="1" x14ac:dyDescent="0.3">
      <c r="A105" s="146"/>
      <c r="B105" s="3073" t="s">
        <v>1369</v>
      </c>
      <c r="C105" s="99" t="s">
        <v>1250</v>
      </c>
      <c r="D105" s="992"/>
      <c r="E105" s="178">
        <v>163.48000000000002</v>
      </c>
      <c r="F105" s="992"/>
      <c r="G105" s="178">
        <v>164.38</v>
      </c>
      <c r="H105" s="6394"/>
      <c r="I105" s="3072">
        <f t="shared" si="325"/>
        <v>327.86</v>
      </c>
      <c r="J105" s="992"/>
      <c r="K105" s="178">
        <v>169.88</v>
      </c>
      <c r="L105" s="6407"/>
      <c r="M105" s="235">
        <f t="shared" si="326"/>
        <v>497.74</v>
      </c>
      <c r="N105" s="992"/>
      <c r="O105" s="178">
        <v>123.02</v>
      </c>
      <c r="P105" s="6394"/>
      <c r="Q105" s="213">
        <f t="shared" si="327"/>
        <v>620.76</v>
      </c>
      <c r="R105" s="992"/>
      <c r="S105" s="178"/>
      <c r="T105" s="6394"/>
      <c r="U105" s="213">
        <f t="shared" si="328"/>
        <v>620.76</v>
      </c>
      <c r="V105" s="992"/>
      <c r="W105" s="178"/>
      <c r="X105" s="6407"/>
      <c r="Y105" s="239">
        <f t="shared" si="321"/>
        <v>123.02</v>
      </c>
      <c r="Z105" s="6432"/>
      <c r="AA105" s="496">
        <f t="shared" si="329"/>
        <v>620.76</v>
      </c>
      <c r="AB105" s="992"/>
      <c r="AC105" s="178"/>
      <c r="AD105" s="6394"/>
      <c r="AE105" s="214">
        <f t="shared" si="330"/>
        <v>620.76</v>
      </c>
      <c r="AF105" s="992"/>
      <c r="AG105" s="178"/>
      <c r="AH105" s="6394"/>
      <c r="AI105" s="214">
        <f t="shared" si="331"/>
        <v>620.76</v>
      </c>
      <c r="AJ105" s="992"/>
      <c r="AK105" s="178"/>
      <c r="AL105" s="6407"/>
      <c r="AM105" s="239">
        <f t="shared" si="322"/>
        <v>0</v>
      </c>
      <c r="AN105" s="6394"/>
      <c r="AO105" s="213">
        <f t="shared" si="323"/>
        <v>620.76</v>
      </c>
      <c r="AP105" s="992"/>
      <c r="AQ105" s="178"/>
      <c r="AR105" s="6394"/>
      <c r="AS105" s="214">
        <f t="shared" si="332"/>
        <v>620.76</v>
      </c>
      <c r="AT105" s="992"/>
      <c r="AU105" s="178"/>
      <c r="AV105" s="6394"/>
      <c r="AW105" s="214">
        <f t="shared" si="333"/>
        <v>620.76</v>
      </c>
      <c r="AX105" s="992"/>
      <c r="AY105" s="178"/>
      <c r="AZ105" s="6407"/>
      <c r="BA105" s="239">
        <f t="shared" si="324"/>
        <v>0</v>
      </c>
      <c r="BB105" s="6432"/>
      <c r="BC105" s="496">
        <f t="shared" si="334"/>
        <v>0</v>
      </c>
      <c r="BD105" s="6394"/>
      <c r="BE105" s="214">
        <f t="shared" si="335"/>
        <v>620.76</v>
      </c>
      <c r="BF105" s="528"/>
      <c r="BG105" s="528"/>
      <c r="BH105" s="26"/>
      <c r="BI105" s="26"/>
      <c r="BJ105" s="26"/>
    </row>
    <row r="106" spans="1:62" ht="15" customHeight="1" x14ac:dyDescent="0.3">
      <c r="A106" s="146"/>
      <c r="B106" s="3073" t="s">
        <v>1370</v>
      </c>
      <c r="C106" s="99" t="s">
        <v>1250</v>
      </c>
      <c r="D106" s="992"/>
      <c r="E106" s="178">
        <v>46.67</v>
      </c>
      <c r="F106" s="992"/>
      <c r="G106" s="178">
        <v>81.66</v>
      </c>
      <c r="H106" s="6394"/>
      <c r="I106" s="3072">
        <f t="shared" si="325"/>
        <v>128.32999999999998</v>
      </c>
      <c r="J106" s="992"/>
      <c r="K106" s="178">
        <v>81.67</v>
      </c>
      <c r="L106" s="6407"/>
      <c r="M106" s="235">
        <f t="shared" si="326"/>
        <v>210</v>
      </c>
      <c r="N106" s="992"/>
      <c r="O106" s="178">
        <v>40.840000000000003</v>
      </c>
      <c r="P106" s="6394"/>
      <c r="Q106" s="213">
        <f t="shared" si="327"/>
        <v>250.84</v>
      </c>
      <c r="R106" s="992"/>
      <c r="S106" s="178"/>
      <c r="T106" s="6394"/>
      <c r="U106" s="213">
        <f t="shared" si="328"/>
        <v>250.84</v>
      </c>
      <c r="V106" s="992"/>
      <c r="W106" s="178">
        <v>122.49</v>
      </c>
      <c r="X106" s="6407"/>
      <c r="Y106" s="239">
        <f t="shared" si="321"/>
        <v>163.32999999999998</v>
      </c>
      <c r="Z106" s="6432"/>
      <c r="AA106" s="496">
        <f t="shared" si="329"/>
        <v>373.33</v>
      </c>
      <c r="AB106" s="992"/>
      <c r="AC106" s="178">
        <v>46.67</v>
      </c>
      <c r="AD106" s="6394"/>
      <c r="AE106" s="214">
        <f t="shared" si="330"/>
        <v>420</v>
      </c>
      <c r="AF106" s="992"/>
      <c r="AG106" s="178">
        <v>40.840000000000003</v>
      </c>
      <c r="AH106" s="6394"/>
      <c r="AI106" s="214">
        <f t="shared" si="331"/>
        <v>460.84000000000003</v>
      </c>
      <c r="AJ106" s="992"/>
      <c r="AK106" s="178">
        <v>81.66</v>
      </c>
      <c r="AL106" s="6407"/>
      <c r="AM106" s="239">
        <f t="shared" si="322"/>
        <v>169.17000000000002</v>
      </c>
      <c r="AN106" s="6394"/>
      <c r="AO106" s="213">
        <f t="shared" si="323"/>
        <v>542.5</v>
      </c>
      <c r="AP106" s="992"/>
      <c r="AQ106" s="178">
        <v>81.67</v>
      </c>
      <c r="AR106" s="6394"/>
      <c r="AS106" s="214">
        <f t="shared" si="332"/>
        <v>624.16999999999996</v>
      </c>
      <c r="AT106" s="992"/>
      <c r="AU106" s="178">
        <v>81.67</v>
      </c>
      <c r="AV106" s="6394"/>
      <c r="AW106" s="214">
        <f t="shared" si="333"/>
        <v>705.83999999999992</v>
      </c>
      <c r="AX106" s="992"/>
      <c r="AY106" s="178">
        <v>116.66</v>
      </c>
      <c r="AZ106" s="6407"/>
      <c r="BA106" s="239">
        <f t="shared" si="324"/>
        <v>280</v>
      </c>
      <c r="BB106" s="6432"/>
      <c r="BC106" s="496">
        <f t="shared" si="334"/>
        <v>449.17</v>
      </c>
      <c r="BD106" s="6394"/>
      <c r="BE106" s="214">
        <f t="shared" si="335"/>
        <v>822.49999999999989</v>
      </c>
      <c r="BF106" s="528"/>
      <c r="BG106" s="528"/>
      <c r="BH106" s="26"/>
      <c r="BI106" s="26"/>
      <c r="BJ106" s="26"/>
    </row>
    <row r="107" spans="1:62" ht="15" customHeight="1" x14ac:dyDescent="0.3">
      <c r="B107" s="9" t="s">
        <v>1128</v>
      </c>
      <c r="C107" s="99" t="s">
        <v>1250</v>
      </c>
      <c r="D107" s="992"/>
      <c r="E107" s="178">
        <v>2128</v>
      </c>
      <c r="F107" s="992"/>
      <c r="G107" s="178">
        <v>2131</v>
      </c>
      <c r="H107" s="6394"/>
      <c r="I107" s="3072">
        <f t="shared" si="325"/>
        <v>4259</v>
      </c>
      <c r="J107" s="992"/>
      <c r="K107" s="178">
        <v>2204</v>
      </c>
      <c r="L107" s="6407"/>
      <c r="M107" s="235">
        <f t="shared" si="326"/>
        <v>6463</v>
      </c>
      <c r="N107" s="992"/>
      <c r="O107" s="178">
        <v>1597</v>
      </c>
      <c r="P107" s="6394"/>
      <c r="Q107" s="213">
        <f t="shared" si="327"/>
        <v>8060</v>
      </c>
      <c r="R107" s="992"/>
      <c r="S107" s="178">
        <v>532</v>
      </c>
      <c r="T107" s="6394"/>
      <c r="U107" s="213">
        <f t="shared" si="328"/>
        <v>8592</v>
      </c>
      <c r="V107" s="992"/>
      <c r="W107" s="178">
        <v>2280</v>
      </c>
      <c r="X107" s="6407"/>
      <c r="Y107" s="239">
        <f t="shared" si="321"/>
        <v>4409</v>
      </c>
      <c r="Z107" s="6432"/>
      <c r="AA107" s="496">
        <f t="shared" si="329"/>
        <v>10872</v>
      </c>
      <c r="AB107" s="992"/>
      <c r="AC107" s="178">
        <v>1826</v>
      </c>
      <c r="AD107" s="6394"/>
      <c r="AE107" s="214">
        <f t="shared" si="330"/>
        <v>12698</v>
      </c>
      <c r="AF107" s="992"/>
      <c r="AG107" s="178">
        <v>2051</v>
      </c>
      <c r="AH107" s="6394"/>
      <c r="AI107" s="214">
        <f t="shared" si="331"/>
        <v>14749</v>
      </c>
      <c r="AJ107" s="992"/>
      <c r="AK107" s="178">
        <v>2279</v>
      </c>
      <c r="AL107" s="6407"/>
      <c r="AM107" s="239">
        <f t="shared" si="322"/>
        <v>6156</v>
      </c>
      <c r="AN107" s="6394"/>
      <c r="AO107" s="213">
        <f t="shared" si="323"/>
        <v>17028</v>
      </c>
      <c r="AP107" s="992"/>
      <c r="AQ107" s="178">
        <v>2355</v>
      </c>
      <c r="AR107" s="6394"/>
      <c r="AS107" s="214">
        <f t="shared" si="332"/>
        <v>19383</v>
      </c>
      <c r="AT107" s="992"/>
      <c r="AU107" s="178">
        <v>2051</v>
      </c>
      <c r="AV107" s="6394"/>
      <c r="AW107" s="214">
        <f t="shared" si="333"/>
        <v>21434</v>
      </c>
      <c r="AX107" s="992"/>
      <c r="AY107" s="178">
        <v>2155</v>
      </c>
      <c r="AZ107" s="6407"/>
      <c r="BA107" s="239">
        <f t="shared" si="324"/>
        <v>6561</v>
      </c>
      <c r="BB107" s="6432"/>
      <c r="BC107" s="496">
        <f t="shared" si="334"/>
        <v>12717</v>
      </c>
      <c r="BD107" s="6394"/>
      <c r="BE107" s="214">
        <f t="shared" si="335"/>
        <v>23589</v>
      </c>
      <c r="BF107" s="528"/>
      <c r="BG107" s="528"/>
      <c r="BH107" s="26"/>
      <c r="BI107" s="26"/>
      <c r="BJ107" s="26"/>
    </row>
    <row r="108" spans="1:62" ht="15" customHeight="1" x14ac:dyDescent="0.3">
      <c r="B108" s="9" t="s">
        <v>1406</v>
      </c>
      <c r="C108" s="99" t="s">
        <v>1250</v>
      </c>
      <c r="D108" s="992"/>
      <c r="E108" s="178">
        <v>46.68</v>
      </c>
      <c r="F108" s="992"/>
      <c r="G108" s="178">
        <v>46.66</v>
      </c>
      <c r="H108" s="6394"/>
      <c r="I108" s="3072">
        <f t="shared" si="325"/>
        <v>93.34</v>
      </c>
      <c r="J108" s="992"/>
      <c r="K108" s="178">
        <v>46.67</v>
      </c>
      <c r="L108" s="6407"/>
      <c r="M108" s="235">
        <f t="shared" si="326"/>
        <v>140.01</v>
      </c>
      <c r="N108" s="992"/>
      <c r="O108" s="178">
        <v>46.68</v>
      </c>
      <c r="P108" s="6394"/>
      <c r="Q108" s="213">
        <f t="shared" si="327"/>
        <v>186.69</v>
      </c>
      <c r="R108" s="992"/>
      <c r="S108" s="178"/>
      <c r="T108" s="6394"/>
      <c r="U108" s="213">
        <f t="shared" si="328"/>
        <v>186.69</v>
      </c>
      <c r="V108" s="992"/>
      <c r="W108" s="178"/>
      <c r="X108" s="6407"/>
      <c r="Y108" s="239">
        <f t="shared" si="321"/>
        <v>46.68</v>
      </c>
      <c r="Z108" s="6432"/>
      <c r="AA108" s="496">
        <f t="shared" si="329"/>
        <v>186.69</v>
      </c>
      <c r="AB108" s="992"/>
      <c r="AC108" s="178">
        <v>46.66</v>
      </c>
      <c r="AD108" s="6394"/>
      <c r="AE108" s="214">
        <f t="shared" si="330"/>
        <v>233.35</v>
      </c>
      <c r="AF108" s="992"/>
      <c r="AG108" s="178">
        <v>46.68</v>
      </c>
      <c r="AH108" s="6394"/>
      <c r="AI108" s="214">
        <f t="shared" si="331"/>
        <v>280.02999999999997</v>
      </c>
      <c r="AJ108" s="992"/>
      <c r="AK108" s="178">
        <v>46.66</v>
      </c>
      <c r="AL108" s="6407"/>
      <c r="AM108" s="239">
        <f t="shared" si="322"/>
        <v>140</v>
      </c>
      <c r="AN108" s="6394"/>
      <c r="AO108" s="213">
        <f t="shared" si="323"/>
        <v>326.68999999999994</v>
      </c>
      <c r="AP108" s="992"/>
      <c r="AQ108" s="178">
        <v>46.66</v>
      </c>
      <c r="AR108" s="6394"/>
      <c r="AS108" s="214">
        <f t="shared" si="332"/>
        <v>373.34999999999991</v>
      </c>
      <c r="AT108" s="992"/>
      <c r="AU108" s="178">
        <v>46.68</v>
      </c>
      <c r="AV108" s="6394"/>
      <c r="AW108" s="214">
        <f t="shared" si="333"/>
        <v>420.02999999999992</v>
      </c>
      <c r="AX108" s="992"/>
      <c r="AY108" s="178"/>
      <c r="AZ108" s="6407"/>
      <c r="BA108" s="239">
        <f t="shared" si="324"/>
        <v>93.34</v>
      </c>
      <c r="BB108" s="6432"/>
      <c r="BC108" s="496">
        <f t="shared" si="334"/>
        <v>233.34</v>
      </c>
      <c r="BD108" s="6394"/>
      <c r="BE108" s="214">
        <f t="shared" si="335"/>
        <v>420.02999999999992</v>
      </c>
      <c r="BF108" s="528"/>
      <c r="BG108" s="528"/>
      <c r="BH108" s="26"/>
      <c r="BI108" s="26"/>
      <c r="BJ108" s="26"/>
    </row>
    <row r="109" spans="1:62" ht="15" customHeight="1" x14ac:dyDescent="0.3">
      <c r="B109" s="9" t="s">
        <v>1449</v>
      </c>
      <c r="C109" s="99" t="s">
        <v>411</v>
      </c>
      <c r="D109" s="992"/>
      <c r="E109" s="18">
        <v>11.66</v>
      </c>
      <c r="F109" s="992"/>
      <c r="G109" s="18">
        <v>46.66</v>
      </c>
      <c r="H109" s="6394"/>
      <c r="I109" s="3072">
        <f t="shared" si="325"/>
        <v>58.319999999999993</v>
      </c>
      <c r="J109" s="992"/>
      <c r="K109" s="18">
        <v>46.67</v>
      </c>
      <c r="L109" s="6407"/>
      <c r="M109" s="235">
        <f t="shared" si="326"/>
        <v>104.99</v>
      </c>
      <c r="N109" s="992"/>
      <c r="O109" s="18">
        <v>0</v>
      </c>
      <c r="P109" s="6394"/>
      <c r="Q109" s="213">
        <f t="shared" si="327"/>
        <v>104.99</v>
      </c>
      <c r="R109" s="992"/>
      <c r="S109" s="18"/>
      <c r="T109" s="6394"/>
      <c r="U109" s="213">
        <f t="shared" si="328"/>
        <v>104.99</v>
      </c>
      <c r="V109" s="992"/>
      <c r="W109" s="18"/>
      <c r="X109" s="6407"/>
      <c r="Y109" s="239">
        <f t="shared" si="321"/>
        <v>0</v>
      </c>
      <c r="Z109" s="6432"/>
      <c r="AA109" s="496">
        <f t="shared" si="329"/>
        <v>104.99</v>
      </c>
      <c r="AB109" s="992"/>
      <c r="AC109" s="18"/>
      <c r="AD109" s="6394"/>
      <c r="AE109" s="214">
        <f t="shared" si="330"/>
        <v>104.99</v>
      </c>
      <c r="AF109" s="992"/>
      <c r="AG109" s="18"/>
      <c r="AH109" s="6394"/>
      <c r="AI109" s="214">
        <f t="shared" si="331"/>
        <v>104.99</v>
      </c>
      <c r="AJ109" s="992"/>
      <c r="AK109" s="18"/>
      <c r="AL109" s="6407"/>
      <c r="AM109" s="235">
        <f t="shared" si="322"/>
        <v>0</v>
      </c>
      <c r="AN109" s="6394"/>
      <c r="AO109" s="213">
        <f t="shared" si="323"/>
        <v>104.99</v>
      </c>
      <c r="AP109" s="992"/>
      <c r="AQ109" s="18"/>
      <c r="AR109" s="6394"/>
      <c r="AS109" s="214">
        <f t="shared" si="332"/>
        <v>104.99</v>
      </c>
      <c r="AT109" s="992"/>
      <c r="AU109" s="18"/>
      <c r="AV109" s="6394"/>
      <c r="AW109" s="214">
        <f t="shared" si="333"/>
        <v>104.99</v>
      </c>
      <c r="AX109" s="992"/>
      <c r="AY109" s="18">
        <v>46.66</v>
      </c>
      <c r="AZ109" s="6407"/>
      <c r="BA109" s="239">
        <f t="shared" si="324"/>
        <v>46.66</v>
      </c>
      <c r="BB109" s="6432"/>
      <c r="BC109" s="496">
        <f t="shared" si="334"/>
        <v>46.66</v>
      </c>
      <c r="BD109" s="6394"/>
      <c r="BE109" s="214">
        <f t="shared" si="335"/>
        <v>151.64999999999998</v>
      </c>
      <c r="BF109" s="528"/>
      <c r="BG109" s="528"/>
      <c r="BH109" s="26"/>
      <c r="BI109" s="26"/>
      <c r="BJ109" s="26"/>
    </row>
    <row r="110" spans="1:62" ht="15" customHeight="1" x14ac:dyDescent="0.3">
      <c r="B110" s="4938" t="s">
        <v>2106</v>
      </c>
      <c r="C110" s="4939"/>
      <c r="D110" s="992"/>
      <c r="E110" s="4878"/>
      <c r="F110" s="992"/>
      <c r="G110" s="4878"/>
      <c r="H110" s="6394"/>
      <c r="I110" s="3072">
        <f t="shared" si="325"/>
        <v>0</v>
      </c>
      <c r="J110" s="992"/>
      <c r="K110" s="4878"/>
      <c r="L110" s="6407"/>
      <c r="M110" s="235">
        <f t="shared" si="326"/>
        <v>0</v>
      </c>
      <c r="N110" s="992"/>
      <c r="O110" s="4878"/>
      <c r="P110" s="6394"/>
      <c r="Q110" s="4940"/>
      <c r="R110" s="992"/>
      <c r="S110" s="4878">
        <v>40.81</v>
      </c>
      <c r="T110" s="6394"/>
      <c r="U110" s="213">
        <f t="shared" si="328"/>
        <v>40.81</v>
      </c>
      <c r="V110" s="992"/>
      <c r="W110" s="4878">
        <v>174.8</v>
      </c>
      <c r="X110" s="6407"/>
      <c r="Y110" s="239">
        <f t="shared" si="321"/>
        <v>215.61</v>
      </c>
      <c r="Z110" s="6432"/>
      <c r="AA110" s="496">
        <f t="shared" si="329"/>
        <v>215.61</v>
      </c>
      <c r="AB110" s="992"/>
      <c r="AC110" s="4878">
        <v>141.52999999999997</v>
      </c>
      <c r="AD110" s="6394"/>
      <c r="AE110" s="214">
        <f t="shared" si="330"/>
        <v>357.14</v>
      </c>
      <c r="AF110" s="992"/>
      <c r="AG110" s="4878">
        <v>156.13</v>
      </c>
      <c r="AH110" s="6394"/>
      <c r="AI110" s="214">
        <f t="shared" si="331"/>
        <v>513.27</v>
      </c>
      <c r="AJ110" s="992"/>
      <c r="AK110" s="4878">
        <v>174.52</v>
      </c>
      <c r="AL110" s="6407"/>
      <c r="AM110" s="235">
        <f t="shared" si="322"/>
        <v>472.17999999999995</v>
      </c>
      <c r="AN110" s="6394"/>
      <c r="AO110" s="213">
        <f t="shared" si="323"/>
        <v>687.79</v>
      </c>
      <c r="AP110" s="992"/>
      <c r="AQ110" s="4878">
        <v>180.46</v>
      </c>
      <c r="AR110" s="6394"/>
      <c r="AS110" s="214">
        <f t="shared" si="332"/>
        <v>868.25</v>
      </c>
      <c r="AT110" s="992"/>
      <c r="AU110" s="4878">
        <v>157.66999999999999</v>
      </c>
      <c r="AV110" s="6394"/>
      <c r="AW110" s="214">
        <f t="shared" si="333"/>
        <v>1025.92</v>
      </c>
      <c r="AX110" s="992"/>
      <c r="AY110" s="4878">
        <v>169.45000000000002</v>
      </c>
      <c r="AZ110" s="6407"/>
      <c r="BA110" s="4941"/>
      <c r="BB110" s="6432"/>
      <c r="BC110" s="4942"/>
      <c r="BD110" s="6394"/>
      <c r="BE110" s="4943"/>
      <c r="BF110" s="528"/>
      <c r="BG110" s="528"/>
      <c r="BH110" s="26"/>
      <c r="BI110" s="26"/>
      <c r="BJ110" s="26"/>
    </row>
    <row r="111" spans="1:62" ht="15" customHeight="1" x14ac:dyDescent="0.3">
      <c r="B111" s="4938" t="s">
        <v>2131</v>
      </c>
      <c r="C111" s="4939"/>
      <c r="D111" s="992"/>
      <c r="E111" s="4878"/>
      <c r="F111" s="992"/>
      <c r="G111" s="4878"/>
      <c r="H111" s="6394"/>
      <c r="I111" s="3072">
        <f t="shared" si="325"/>
        <v>0</v>
      </c>
      <c r="J111" s="992"/>
      <c r="K111" s="4878"/>
      <c r="L111" s="6407"/>
      <c r="M111" s="235">
        <f t="shared" si="326"/>
        <v>0</v>
      </c>
      <c r="N111" s="992"/>
      <c r="O111" s="4878"/>
      <c r="P111" s="6394"/>
      <c r="Q111" s="4940"/>
      <c r="R111" s="992"/>
      <c r="S111" s="4878"/>
      <c r="T111" s="6394"/>
      <c r="U111" s="4940"/>
      <c r="V111" s="992"/>
      <c r="W111" s="4878">
        <v>93.32</v>
      </c>
      <c r="X111" s="6407"/>
      <c r="Y111" s="239">
        <f t="shared" si="321"/>
        <v>93.32</v>
      </c>
      <c r="Z111" s="6432"/>
      <c r="AA111" s="496">
        <f t="shared" si="329"/>
        <v>93.32</v>
      </c>
      <c r="AB111" s="992"/>
      <c r="AC111" s="4878">
        <v>11.88</v>
      </c>
      <c r="AD111" s="6394"/>
      <c r="AE111" s="214">
        <f t="shared" si="330"/>
        <v>105.19999999999999</v>
      </c>
      <c r="AF111" s="992"/>
      <c r="AG111" s="4878"/>
      <c r="AH111" s="6394"/>
      <c r="AI111" s="214">
        <f t="shared" si="331"/>
        <v>105.19999999999999</v>
      </c>
      <c r="AJ111" s="992"/>
      <c r="AK111" s="4878">
        <v>46.66</v>
      </c>
      <c r="AL111" s="6407"/>
      <c r="AM111" s="235">
        <f t="shared" si="322"/>
        <v>58.54</v>
      </c>
      <c r="AN111" s="6394"/>
      <c r="AO111" s="213">
        <f t="shared" si="323"/>
        <v>151.85999999999999</v>
      </c>
      <c r="AP111" s="992"/>
      <c r="AQ111" s="4878">
        <v>46.68</v>
      </c>
      <c r="AR111" s="6394"/>
      <c r="AS111" s="214">
        <f t="shared" si="332"/>
        <v>198.54</v>
      </c>
      <c r="AT111" s="992"/>
      <c r="AU111" s="4878">
        <v>46.66</v>
      </c>
      <c r="AV111" s="6394"/>
      <c r="AW111" s="214">
        <f t="shared" si="333"/>
        <v>245.2</v>
      </c>
      <c r="AX111" s="992"/>
      <c r="AY111" s="4878">
        <v>81.66</v>
      </c>
      <c r="AZ111" s="6407"/>
      <c r="BA111" s="4941"/>
      <c r="BB111" s="6432"/>
      <c r="BC111" s="4942"/>
      <c r="BD111" s="6394"/>
      <c r="BE111" s="4943"/>
      <c r="BF111" s="528"/>
      <c r="BG111" s="528"/>
      <c r="BH111" s="26"/>
      <c r="BI111" s="26"/>
      <c r="BJ111" s="26"/>
    </row>
    <row r="112" spans="1:62" ht="15.75" customHeight="1" thickBot="1" x14ac:dyDescent="0.35">
      <c r="B112" s="12" t="s">
        <v>2002</v>
      </c>
      <c r="C112" s="1783" t="s">
        <v>411</v>
      </c>
      <c r="D112" s="3074"/>
      <c r="E112" s="37">
        <v>1428</v>
      </c>
      <c r="F112" s="3074"/>
      <c r="G112" s="37">
        <v>1431</v>
      </c>
      <c r="H112" s="6414"/>
      <c r="I112" s="3075">
        <f t="shared" si="325"/>
        <v>2859</v>
      </c>
      <c r="J112" s="3074"/>
      <c r="K112" s="37">
        <v>1479</v>
      </c>
      <c r="L112" s="6407"/>
      <c r="M112" s="235">
        <f t="shared" si="326"/>
        <v>4338</v>
      </c>
      <c r="N112" s="3074"/>
      <c r="O112" s="37">
        <v>1072</v>
      </c>
      <c r="P112" s="6394"/>
      <c r="Q112" s="213">
        <f t="shared" si="327"/>
        <v>5410</v>
      </c>
      <c r="R112" s="3074"/>
      <c r="S112" s="37">
        <v>357</v>
      </c>
      <c r="T112" s="6394"/>
      <c r="U112" s="213">
        <f t="shared" si="328"/>
        <v>5767</v>
      </c>
      <c r="V112" s="3074"/>
      <c r="W112" s="37">
        <v>1530</v>
      </c>
      <c r="X112" s="6407"/>
      <c r="Y112" s="239">
        <f t="shared" si="321"/>
        <v>2959</v>
      </c>
      <c r="Z112" s="6432"/>
      <c r="AA112" s="496">
        <f t="shared" si="329"/>
        <v>7297</v>
      </c>
      <c r="AB112" s="3074"/>
      <c r="AC112" s="37">
        <v>1228</v>
      </c>
      <c r="AD112" s="6394"/>
      <c r="AE112" s="214">
        <f t="shared" si="330"/>
        <v>8525</v>
      </c>
      <c r="AF112" s="3074"/>
      <c r="AG112" s="37">
        <v>1376</v>
      </c>
      <c r="AH112" s="6394"/>
      <c r="AI112" s="214">
        <f t="shared" si="331"/>
        <v>9901</v>
      </c>
      <c r="AJ112" s="3074"/>
      <c r="AK112" s="37">
        <v>1529</v>
      </c>
      <c r="AL112" s="6407"/>
      <c r="AM112" s="239">
        <f t="shared" si="322"/>
        <v>4133</v>
      </c>
      <c r="AN112" s="6394"/>
      <c r="AO112" s="213">
        <f t="shared" si="323"/>
        <v>11430</v>
      </c>
      <c r="AP112" s="3074"/>
      <c r="AQ112" s="37">
        <v>1580</v>
      </c>
      <c r="AR112" s="6394"/>
      <c r="AS112" s="214">
        <f t="shared" si="332"/>
        <v>13010</v>
      </c>
      <c r="AT112" s="3074"/>
      <c r="AU112" s="37">
        <v>1376</v>
      </c>
      <c r="AV112" s="6394"/>
      <c r="AW112" s="214">
        <f t="shared" si="333"/>
        <v>14386</v>
      </c>
      <c r="AX112" s="3074"/>
      <c r="AY112" s="37">
        <v>1480</v>
      </c>
      <c r="AZ112" s="6407"/>
      <c r="BA112" s="239">
        <f t="shared" si="324"/>
        <v>4436</v>
      </c>
      <c r="BB112" s="6432"/>
      <c r="BC112" s="496">
        <f t="shared" si="334"/>
        <v>8569</v>
      </c>
      <c r="BD112" s="6394"/>
      <c r="BE112" s="214">
        <f t="shared" si="335"/>
        <v>15866</v>
      </c>
      <c r="BF112" s="528"/>
      <c r="BG112" s="528"/>
      <c r="BH112" s="26"/>
      <c r="BI112" s="26"/>
      <c r="BJ112" s="26"/>
    </row>
    <row r="113" spans="2:62" ht="24" thickTop="1" thickBot="1" x14ac:dyDescent="0.45">
      <c r="B113" s="3044" t="s">
        <v>413</v>
      </c>
      <c r="C113" s="3045"/>
      <c r="D113" s="3046"/>
      <c r="E113" s="3047"/>
      <c r="F113" s="3046"/>
      <c r="G113" s="3047"/>
      <c r="H113" s="3045"/>
      <c r="I113" s="3045"/>
      <c r="J113" s="3046"/>
      <c r="K113" s="3047"/>
      <c r="L113" s="135"/>
      <c r="M113" s="135"/>
      <c r="N113" s="3046"/>
      <c r="O113" s="3047"/>
      <c r="P113" s="135"/>
      <c r="Q113" s="135"/>
      <c r="R113" s="3046"/>
      <c r="S113" s="3047"/>
      <c r="T113" s="135"/>
      <c r="U113" s="135"/>
      <c r="V113" s="3046"/>
      <c r="W113" s="3047"/>
      <c r="X113" s="135"/>
      <c r="Y113" s="135"/>
      <c r="Z113" s="135"/>
      <c r="AA113" s="135"/>
      <c r="AB113" s="3046"/>
      <c r="AC113" s="3047"/>
      <c r="AD113" s="135"/>
      <c r="AE113" s="135"/>
      <c r="AF113" s="3046"/>
      <c r="AG113" s="3047"/>
      <c r="AH113" s="135"/>
      <c r="AI113" s="135"/>
      <c r="AJ113" s="3046"/>
      <c r="AK113" s="3047"/>
      <c r="AL113" s="135"/>
      <c r="AM113" s="135"/>
      <c r="AN113" s="135"/>
      <c r="AO113" s="135"/>
      <c r="AP113" s="3046"/>
      <c r="AQ113" s="3047"/>
      <c r="AR113" s="135"/>
      <c r="AS113" s="135"/>
      <c r="AT113" s="3046"/>
      <c r="AU113" s="3047"/>
      <c r="AV113" s="135"/>
      <c r="AW113" s="135"/>
      <c r="AX113" s="3046"/>
      <c r="AY113" s="3047"/>
      <c r="AZ113" s="135"/>
      <c r="BA113" s="135"/>
      <c r="BB113" s="135"/>
      <c r="BC113" s="135"/>
      <c r="BD113" s="135"/>
      <c r="BE113" s="135"/>
      <c r="BF113" s="528"/>
      <c r="BG113" s="528"/>
      <c r="BH113" s="26"/>
      <c r="BI113" s="26"/>
      <c r="BJ113" s="26"/>
    </row>
    <row r="114" spans="2:62" x14ac:dyDescent="0.3">
      <c r="B114" s="6417" t="s">
        <v>374</v>
      </c>
      <c r="C114" s="857" t="s">
        <v>393</v>
      </c>
      <c r="D114" s="363">
        <f t="shared" ref="D114:AE114" si="336">+D8+D50</f>
        <v>36091.463252194517</v>
      </c>
      <c r="E114" s="80">
        <f t="shared" si="336"/>
        <v>28419.200000000004</v>
      </c>
      <c r="F114" s="363">
        <f t="shared" ref="F114:G114" si="337">+F8+F50</f>
        <v>39844.723250093492</v>
      </c>
      <c r="G114" s="80">
        <f t="shared" si="337"/>
        <v>34691</v>
      </c>
      <c r="H114" s="707">
        <f t="shared" si="336"/>
        <v>75936.186502288008</v>
      </c>
      <c r="I114" s="222">
        <f t="shared" si="336"/>
        <v>63110.200000000012</v>
      </c>
      <c r="J114" s="363">
        <f t="shared" si="336"/>
        <v>38443.313060934714</v>
      </c>
      <c r="K114" s="80">
        <f t="shared" si="336"/>
        <v>39300.399999999994</v>
      </c>
      <c r="L114" s="708">
        <f t="shared" si="336"/>
        <v>114379.49956322271</v>
      </c>
      <c r="M114" s="1511">
        <f t="shared" si="336"/>
        <v>102410.6</v>
      </c>
      <c r="N114" s="363">
        <f t="shared" ref="N114:O114" si="338">+N8+N50</f>
        <v>39910.513372167086</v>
      </c>
      <c r="O114" s="80">
        <f t="shared" si="338"/>
        <v>42763.700000000004</v>
      </c>
      <c r="P114" s="707">
        <f t="shared" ref="P114:S114" si="339">+P8+P50</f>
        <v>154290.01293538979</v>
      </c>
      <c r="Q114" s="222">
        <f t="shared" si="339"/>
        <v>145174.29999999999</v>
      </c>
      <c r="R114" s="363">
        <f t="shared" si="339"/>
        <v>39330.490682108619</v>
      </c>
      <c r="S114" s="80">
        <f t="shared" si="339"/>
        <v>41038.899999999994</v>
      </c>
      <c r="T114" s="707">
        <f>+T8+T50</f>
        <v>193620.50361749841</v>
      </c>
      <c r="U114" s="222">
        <f>+U8+U50</f>
        <v>186213.19999999998</v>
      </c>
      <c r="V114" s="363">
        <f>+V8+V50</f>
        <v>29457.71535890465</v>
      </c>
      <c r="W114" s="80">
        <f>+W8+W50</f>
        <v>38265.4</v>
      </c>
      <c r="X114" s="708">
        <f t="shared" ref="X114:Y114" si="340">+X8+X50</f>
        <v>108698.71941318037</v>
      </c>
      <c r="Y114" s="1511">
        <f t="shared" si="340"/>
        <v>122068</v>
      </c>
      <c r="Z114" s="709">
        <f t="shared" ref="Z114" si="341">+Z8+Z50</f>
        <v>223078.21897640306</v>
      </c>
      <c r="AA114" s="521">
        <f t="shared" si="336"/>
        <v>224478.59999999998</v>
      </c>
      <c r="AB114" s="363">
        <f>+AB8+AB50</f>
        <v>39486.904219020274</v>
      </c>
      <c r="AC114" s="80">
        <f>+AC8+AC50</f>
        <v>34346.299999999996</v>
      </c>
      <c r="AD114" s="707">
        <f t="shared" si="336"/>
        <v>262565.12319542334</v>
      </c>
      <c r="AE114" s="222">
        <f t="shared" si="336"/>
        <v>258824.9</v>
      </c>
      <c r="AF114" s="363">
        <f>+AF8+AF50</f>
        <v>31321.58951897539</v>
      </c>
      <c r="AG114" s="80">
        <f>+AG8+AG50</f>
        <v>37636.700000000004</v>
      </c>
      <c r="AH114" s="707">
        <f t="shared" ref="AH114:AI114" si="342">+AH8+AH50</f>
        <v>293886.71271439875</v>
      </c>
      <c r="AI114" s="222">
        <f t="shared" si="342"/>
        <v>296461.59999999998</v>
      </c>
      <c r="AJ114" s="363">
        <f>+AJ8+AJ50</f>
        <v>32337.111699331374</v>
      </c>
      <c r="AK114" s="80">
        <f>+AK8+AK50</f>
        <v>37124</v>
      </c>
      <c r="AL114" s="708">
        <f t="shared" ref="AL114:AS114" si="343">+AL8+AL50</f>
        <v>103145.60543732705</v>
      </c>
      <c r="AM114" s="1511">
        <f t="shared" si="343"/>
        <v>109107</v>
      </c>
      <c r="AN114" s="707">
        <f t="shared" si="343"/>
        <v>326223.82441373012</v>
      </c>
      <c r="AO114" s="222">
        <f t="shared" si="343"/>
        <v>333585.59999999998</v>
      </c>
      <c r="AP114" s="363">
        <f>+AP8+AP50</f>
        <v>31663.576551385377</v>
      </c>
      <c r="AQ114" s="80">
        <f>+AQ8+AQ50</f>
        <v>35634.300000000003</v>
      </c>
      <c r="AR114" s="707">
        <f t="shared" si="343"/>
        <v>357887.40096511552</v>
      </c>
      <c r="AS114" s="222">
        <f t="shared" si="343"/>
        <v>369219.9</v>
      </c>
      <c r="AT114" s="363">
        <f>+AT8+AT50</f>
        <v>28957.94281174543</v>
      </c>
      <c r="AU114" s="80">
        <f>+AU8+AU50</f>
        <v>30300.499999999996</v>
      </c>
      <c r="AV114" s="707">
        <f t="shared" ref="AV114:AW114" si="344">+AV8+AV50</f>
        <v>386845.34377686091</v>
      </c>
      <c r="AW114" s="222">
        <f t="shared" si="344"/>
        <v>399520.4</v>
      </c>
      <c r="AX114" s="363">
        <f>+AX8+AX50</f>
        <v>38558.395645938836</v>
      </c>
      <c r="AY114" s="80">
        <f>+AY8+AY50</f>
        <v>37147.199999999997</v>
      </c>
      <c r="AZ114" s="708">
        <f t="shared" ref="AZ114:BE114" si="345">+AZ8+AZ50</f>
        <v>99179.915009069649</v>
      </c>
      <c r="BA114" s="1511">
        <f t="shared" si="345"/>
        <v>103082</v>
      </c>
      <c r="BB114" s="709">
        <f t="shared" si="345"/>
        <v>202325.52044639669</v>
      </c>
      <c r="BC114" s="521">
        <f t="shared" si="345"/>
        <v>212189</v>
      </c>
      <c r="BD114" s="707">
        <f t="shared" si="345"/>
        <v>425403.73942279973</v>
      </c>
      <c r="BE114" s="222">
        <f t="shared" si="345"/>
        <v>436667.60000000009</v>
      </c>
      <c r="BF114" s="528"/>
      <c r="BG114" s="528"/>
      <c r="BH114" s="26"/>
      <c r="BI114" s="26"/>
      <c r="BJ114" s="26"/>
    </row>
    <row r="115" spans="2:62" ht="15" thickBot="1" x14ac:dyDescent="0.35">
      <c r="B115" s="6418"/>
      <c r="C115" s="724" t="s">
        <v>381</v>
      </c>
      <c r="D115" s="993">
        <f t="shared" ref="D115:M115" si="346">+D12+D51</f>
        <v>50.127032294714631</v>
      </c>
      <c r="E115" s="689">
        <f t="shared" si="346"/>
        <v>39.471111111111121</v>
      </c>
      <c r="F115" s="993">
        <f t="shared" ref="F115:G115" si="347">+F12+F51</f>
        <v>53.554735551200942</v>
      </c>
      <c r="G115" s="689">
        <f t="shared" si="347"/>
        <v>46.627688172043008</v>
      </c>
      <c r="H115" s="1989">
        <f t="shared" si="346"/>
        <v>51.868979851289623</v>
      </c>
      <c r="I115" s="2754">
        <f t="shared" si="346"/>
        <v>43.108060109289625</v>
      </c>
      <c r="J115" s="993">
        <f t="shared" si="346"/>
        <v>53.393490362409324</v>
      </c>
      <c r="K115" s="689">
        <f t="shared" si="346"/>
        <v>54.583888888888879</v>
      </c>
      <c r="L115" s="749">
        <f t="shared" si="346"/>
        <v>52.371565734076327</v>
      </c>
      <c r="M115" s="1512">
        <f t="shared" si="346"/>
        <v>46.891300366300364</v>
      </c>
      <c r="N115" s="993">
        <f t="shared" ref="N115:O115" si="348">+N12+N51</f>
        <v>53.643163134633191</v>
      </c>
      <c r="O115" s="689">
        <f t="shared" si="348"/>
        <v>57.478091397849475</v>
      </c>
      <c r="P115" s="748">
        <f t="shared" ref="P115:S115" si="349">+P12+P51</f>
        <v>52.694676548971927</v>
      </c>
      <c r="Q115" s="223">
        <f t="shared" si="349"/>
        <v>49.581386612021852</v>
      </c>
      <c r="R115" s="993">
        <f t="shared" si="349"/>
        <v>52.863562744769652</v>
      </c>
      <c r="S115" s="689">
        <f t="shared" si="349"/>
        <v>55.159811827956986</v>
      </c>
      <c r="T115" s="748">
        <f>+T12+T51</f>
        <v>52.728895320669501</v>
      </c>
      <c r="U115" s="223">
        <f>+U12+U51</f>
        <v>50.711655773420468</v>
      </c>
      <c r="V115" s="993">
        <f>+V12+V51</f>
        <v>40.91349355403424</v>
      </c>
      <c r="W115" s="689">
        <f>+W12+W51</f>
        <v>53.146388888888886</v>
      </c>
      <c r="X115" s="749">
        <f t="shared" ref="X115" si="350">+X12+X51</f>
        <v>49.22949248785342</v>
      </c>
      <c r="Y115" s="1512">
        <f>+Y12+Y51</f>
        <v>55.284420289855071</v>
      </c>
      <c r="Z115" s="750">
        <f t="shared" ref="Z115" si="351">+Z12+Z51</f>
        <v>50.791944211385029</v>
      </c>
      <c r="AA115" s="663">
        <f>+AA12+AA51</f>
        <v>51.110792349726772</v>
      </c>
      <c r="AB115" s="993">
        <f>+AB12+AB51</f>
        <v>53.073795993306831</v>
      </c>
      <c r="AC115" s="689">
        <f>+AC12+AC51</f>
        <v>46.1643817204301</v>
      </c>
      <c r="AD115" s="748">
        <f t="shared" ref="AD115:AE115" si="352">+AD12+AD51</f>
        <v>51.122492833999878</v>
      </c>
      <c r="AE115" s="223">
        <f t="shared" si="352"/>
        <v>50.394256230529599</v>
      </c>
      <c r="AF115" s="993">
        <f>+AF12+AF51</f>
        <v>43.502207665243596</v>
      </c>
      <c r="AG115" s="689">
        <f>+AG12+AG51</f>
        <v>52.273194444444449</v>
      </c>
      <c r="AH115" s="748">
        <f t="shared" ref="AH115:AI115" si="353">+AH12+AH51</f>
        <v>50.185572526365902</v>
      </c>
      <c r="AI115" s="223">
        <f t="shared" si="353"/>
        <v>50.625273224043717</v>
      </c>
      <c r="AJ115" s="993">
        <f>+AJ12+AJ51</f>
        <v>43.463859810929264</v>
      </c>
      <c r="AK115" s="689">
        <f>+AK12+AK51</f>
        <v>49.897849462365592</v>
      </c>
      <c r="AL115" s="749">
        <f t="shared" ref="AL115:AS115" si="354">+AL12+AL51</f>
        <v>46.714495216180723</v>
      </c>
      <c r="AM115" s="1512">
        <f>+AM12+AM51</f>
        <v>49.414402173913039</v>
      </c>
      <c r="AN115" s="748">
        <f t="shared" si="354"/>
        <v>49.427852183898501</v>
      </c>
      <c r="AO115" s="223">
        <f t="shared" si="354"/>
        <v>50.543272727272722</v>
      </c>
      <c r="AP115" s="993">
        <f>+AP12+AP51</f>
        <v>42.558570633582491</v>
      </c>
      <c r="AQ115" s="689">
        <f>+AQ12+AQ51</f>
        <v>47.895564516129035</v>
      </c>
      <c r="AR115" s="748">
        <f t="shared" si="354"/>
        <v>48.731944575859956</v>
      </c>
      <c r="AS115" s="2754">
        <f t="shared" si="354"/>
        <v>50.275040849673211</v>
      </c>
      <c r="AT115" s="993">
        <f>+AT12+AT51</f>
        <v>43.092176803192601</v>
      </c>
      <c r="AU115" s="689">
        <f>+AU12+AU51</f>
        <v>45.090029761904759</v>
      </c>
      <c r="AV115" s="748">
        <f t="shared" ref="AV115:AW115" si="355">+AV12+AV51</f>
        <v>48.259149672762092</v>
      </c>
      <c r="AW115" s="2754">
        <f t="shared" si="355"/>
        <v>49.840369261477043</v>
      </c>
      <c r="AX115" s="993">
        <f>+AX12+AX51</f>
        <v>51.825800599380159</v>
      </c>
      <c r="AY115" s="689">
        <f>+AY12+AY51</f>
        <v>49.929032258064517</v>
      </c>
      <c r="AZ115" s="749">
        <f t="shared" ref="AZ115:BE115" si="356">+AZ12+AZ51</f>
        <v>45.91662731901372</v>
      </c>
      <c r="BA115" s="1512">
        <f>+BA12+BA51</f>
        <v>47.723148148148148</v>
      </c>
      <c r="BB115" s="750">
        <f t="shared" ref="BB115" si="357">+BB12+BB51</f>
        <v>46.319945157142101</v>
      </c>
      <c r="BC115" s="663">
        <f>+BC12+BC51</f>
        <v>48.578067765567766</v>
      </c>
      <c r="BD115" s="748">
        <f t="shared" si="356"/>
        <v>48.562070710365262</v>
      </c>
      <c r="BE115" s="223">
        <f t="shared" si="356"/>
        <v>49.847899543379008</v>
      </c>
      <c r="BF115" s="528"/>
      <c r="BG115" s="528"/>
      <c r="BH115" s="26"/>
      <c r="BI115" s="26"/>
      <c r="BJ115" s="26"/>
    </row>
    <row r="116" spans="2:62" ht="15.75" customHeight="1" x14ac:dyDescent="0.3">
      <c r="B116" s="6419" t="s">
        <v>399</v>
      </c>
      <c r="C116" s="857" t="s">
        <v>393</v>
      </c>
      <c r="D116" s="363">
        <f t="shared" ref="D116:AE116" si="358">+D9+D52</f>
        <v>80141.277670534197</v>
      </c>
      <c r="E116" s="80">
        <f t="shared" si="358"/>
        <v>76262.60536799999</v>
      </c>
      <c r="F116" s="363">
        <f t="shared" ref="F116:G116" si="359">+F9+F52</f>
        <v>80308.212163803051</v>
      </c>
      <c r="G116" s="80">
        <f t="shared" si="359"/>
        <v>78965.847000000009</v>
      </c>
      <c r="H116" s="707">
        <f t="shared" si="358"/>
        <v>160449.48983433726</v>
      </c>
      <c r="I116" s="222">
        <f t="shared" si="358"/>
        <v>155228.452368</v>
      </c>
      <c r="J116" s="363">
        <f t="shared" si="358"/>
        <v>77784.006236527115</v>
      </c>
      <c r="K116" s="80">
        <f t="shared" si="358"/>
        <v>73718.203999999998</v>
      </c>
      <c r="L116" s="708">
        <f t="shared" si="358"/>
        <v>238233.49607086438</v>
      </c>
      <c r="M116" s="1511">
        <f t="shared" si="358"/>
        <v>228946.656368</v>
      </c>
      <c r="N116" s="363">
        <f t="shared" ref="N116:O116" si="360">+N9+N52</f>
        <v>79310.793822003354</v>
      </c>
      <c r="O116" s="80">
        <f t="shared" si="360"/>
        <v>75209.537007999999</v>
      </c>
      <c r="P116" s="707">
        <f t="shared" ref="P116:S116" si="361">+P9+P52</f>
        <v>317544.28989286773</v>
      </c>
      <c r="Q116" s="222">
        <f t="shared" si="361"/>
        <v>304156.19337599998</v>
      </c>
      <c r="R116" s="363">
        <f t="shared" si="361"/>
        <v>79890.816512061836</v>
      </c>
      <c r="S116" s="80">
        <f t="shared" si="361"/>
        <v>73694.706000000006</v>
      </c>
      <c r="T116" s="707">
        <f>+T9+T52</f>
        <v>397435.10640492954</v>
      </c>
      <c r="U116" s="222">
        <f>+U9+U52</f>
        <v>377850.89937599999</v>
      </c>
      <c r="V116" s="363">
        <f>+V9+V52</f>
        <v>52590.915740339857</v>
      </c>
      <c r="W116" s="80">
        <f>+W9+W52</f>
        <v>73998.622999999992</v>
      </c>
      <c r="X116" s="708">
        <f t="shared" ref="X116:Y116" si="362">+X9+X52</f>
        <v>211792.52607440506</v>
      </c>
      <c r="Y116" s="1511">
        <f t="shared" si="362"/>
        <v>222902.86600800001</v>
      </c>
      <c r="Z116" s="709">
        <f t="shared" ref="Z116" si="363">+Z9+Z52</f>
        <v>450026.02214526944</v>
      </c>
      <c r="AA116" s="521">
        <f t="shared" si="358"/>
        <v>451849.52237600001</v>
      </c>
      <c r="AB116" s="363">
        <f>+AB9+AB52</f>
        <v>80448.220008682707</v>
      </c>
      <c r="AC116" s="80">
        <f>+AC9+AC52</f>
        <v>68154.612470000007</v>
      </c>
      <c r="AD116" s="707">
        <f t="shared" si="358"/>
        <v>530474.24215395213</v>
      </c>
      <c r="AE116" s="222">
        <f t="shared" si="358"/>
        <v>520004.134846</v>
      </c>
      <c r="AF116" s="363">
        <f>+AF9+AF52</f>
        <v>85247.988132105151</v>
      </c>
      <c r="AG116" s="80">
        <f>+AG9+AG52</f>
        <v>72816.399999999994</v>
      </c>
      <c r="AH116" s="707">
        <f t="shared" ref="AH116:AI116" si="364">+AH9+AH52</f>
        <v>615722.23028605734</v>
      </c>
      <c r="AI116" s="222">
        <f t="shared" si="364"/>
        <v>592820.53484600002</v>
      </c>
      <c r="AJ116" s="363">
        <f>+AJ9+AJ52</f>
        <v>88107.321428183874</v>
      </c>
      <c r="AK116" s="80">
        <f>+AK9+AK52</f>
        <v>75085.600000000006</v>
      </c>
      <c r="AL116" s="708">
        <f t="shared" ref="AL116:AS116" si="365">+AL9+AL52</f>
        <v>253803.52956897172</v>
      </c>
      <c r="AM116" s="1511">
        <f t="shared" si="365"/>
        <v>216056.61247000002</v>
      </c>
      <c r="AN116" s="707">
        <f t="shared" si="365"/>
        <v>703829.55171424127</v>
      </c>
      <c r="AO116" s="222">
        <f t="shared" si="365"/>
        <v>667906.13484600012</v>
      </c>
      <c r="AP116" s="363">
        <f>+AP9+AP52</f>
        <v>89492.115051552304</v>
      </c>
      <c r="AQ116" s="80">
        <f>+AQ9+AQ52</f>
        <v>77350.080949999989</v>
      </c>
      <c r="AR116" s="707">
        <f t="shared" si="365"/>
        <v>793321.66676579358</v>
      </c>
      <c r="AS116" s="222">
        <f t="shared" si="365"/>
        <v>745256.21579599997</v>
      </c>
      <c r="AT116" s="363">
        <f>+AT9+AT52</f>
        <v>80035.2152146515</v>
      </c>
      <c r="AU116" s="80">
        <f>+AU9+AU52</f>
        <v>69543.147539999991</v>
      </c>
      <c r="AV116" s="707">
        <f t="shared" ref="AV116:AW116" si="366">+AV9+AV52</f>
        <v>873356.88198044512</v>
      </c>
      <c r="AW116" s="222">
        <f t="shared" si="366"/>
        <v>814799.36333600001</v>
      </c>
      <c r="AX116" s="363">
        <f>+AX9+AX52</f>
        <v>82723.014426272726</v>
      </c>
      <c r="AY116" s="80">
        <f>+AY9+AY52</f>
        <v>77048.56440000009</v>
      </c>
      <c r="AZ116" s="708">
        <f t="shared" ref="AZ116:BE116" si="367">+AZ9+AZ52</f>
        <v>252250.3446924765</v>
      </c>
      <c r="BA116" s="1511">
        <f t="shared" si="367"/>
        <v>223941.79289000007</v>
      </c>
      <c r="BB116" s="709">
        <f t="shared" si="367"/>
        <v>506053.87426144822</v>
      </c>
      <c r="BC116" s="521">
        <f t="shared" si="367"/>
        <v>439998.40536000009</v>
      </c>
      <c r="BD116" s="707">
        <f t="shared" si="367"/>
        <v>956079.89640671783</v>
      </c>
      <c r="BE116" s="222">
        <f t="shared" si="367"/>
        <v>891847.92773600004</v>
      </c>
      <c r="BF116" s="528"/>
      <c r="BG116" s="528"/>
      <c r="BH116" s="26"/>
      <c r="BI116" s="26"/>
      <c r="BJ116" s="26"/>
    </row>
    <row r="117" spans="2:62" ht="15" thickBot="1" x14ac:dyDescent="0.35">
      <c r="B117" s="6420"/>
      <c r="C117" s="724" t="s">
        <v>381</v>
      </c>
      <c r="D117" s="993">
        <f t="shared" ref="D117:AE117" si="368">+D13+D53</f>
        <v>111.30733009796415</v>
      </c>
      <c r="E117" s="689">
        <f t="shared" si="368"/>
        <v>105.92028523333335</v>
      </c>
      <c r="F117" s="993">
        <f t="shared" ref="F117:G117" si="369">+F13+F53</f>
        <v>107.9411453814557</v>
      </c>
      <c r="G117" s="689">
        <f t="shared" si="369"/>
        <v>106.13689112903226</v>
      </c>
      <c r="H117" s="1989">
        <f t="shared" si="368"/>
        <v>109.59664606170578</v>
      </c>
      <c r="I117" s="2754">
        <f t="shared" si="368"/>
        <v>106.03036363934426</v>
      </c>
      <c r="J117" s="993">
        <f t="shared" si="368"/>
        <v>108.03334199517656</v>
      </c>
      <c r="K117" s="689">
        <f t="shared" si="368"/>
        <v>102.38639444444443</v>
      </c>
      <c r="L117" s="749">
        <f t="shared" si="368"/>
        <v>109.08127109471813</v>
      </c>
      <c r="M117" s="1512">
        <f t="shared" si="368"/>
        <v>104.8290551135531</v>
      </c>
      <c r="N117" s="993">
        <f t="shared" ref="N117:O117" si="370">+N13+N53</f>
        <v>106.60052933064966</v>
      </c>
      <c r="O117" s="689">
        <f t="shared" si="370"/>
        <v>101.08808737634409</v>
      </c>
      <c r="P117" s="748">
        <f t="shared" ref="P117:S117" si="371">+P13+P53</f>
        <v>108.45091867925811</v>
      </c>
      <c r="Q117" s="223">
        <f t="shared" si="371"/>
        <v>103.8784813442623</v>
      </c>
      <c r="R117" s="993">
        <f t="shared" si="371"/>
        <v>107.38012972051321</v>
      </c>
      <c r="S117" s="689">
        <f t="shared" si="371"/>
        <v>99.052024193548391</v>
      </c>
      <c r="T117" s="748">
        <f>+T13+T53</f>
        <v>108.23396143925096</v>
      </c>
      <c r="U117" s="223">
        <f>+U13+U53</f>
        <v>102.9005717254902</v>
      </c>
      <c r="V117" s="993">
        <f>+V13+V53</f>
        <v>73.042938528249806</v>
      </c>
      <c r="W117" s="689">
        <f>+W13+W53</f>
        <v>102.77586527777775</v>
      </c>
      <c r="X117" s="749">
        <f t="shared" ref="X117:Y117" si="372">+X13+X53</f>
        <v>95.920528113408082</v>
      </c>
      <c r="Y117" s="1512">
        <f t="shared" si="372"/>
        <v>100.95238496739131</v>
      </c>
      <c r="Z117" s="750">
        <f t="shared" ref="Z117" si="373">+Z13+Z53</f>
        <v>102.46494128990652</v>
      </c>
      <c r="AA117" s="663">
        <f t="shared" si="368"/>
        <v>102.88012804553733</v>
      </c>
      <c r="AB117" s="993">
        <f>+AB13+AB53</f>
        <v>108.12932796865955</v>
      </c>
      <c r="AC117" s="689">
        <f>+AC13+AC53</f>
        <v>91.605661922043012</v>
      </c>
      <c r="AD117" s="748">
        <f t="shared" si="368"/>
        <v>103.28548328542682</v>
      </c>
      <c r="AE117" s="223">
        <f t="shared" si="368"/>
        <v>101.24691099026479</v>
      </c>
      <c r="AF117" s="993">
        <f>+AF13+AF53</f>
        <v>118.39998351681271</v>
      </c>
      <c r="AG117" s="689">
        <f>+AG13+AG53</f>
        <v>101.13388888888889</v>
      </c>
      <c r="AH117" s="748">
        <f t="shared" ref="AH117:AI117" si="374">+AH13+AH53</f>
        <v>105.14382347781033</v>
      </c>
      <c r="AI117" s="223">
        <f t="shared" si="374"/>
        <v>101.23301483025958</v>
      </c>
      <c r="AJ117" s="993">
        <f>+AJ13+AJ53</f>
        <v>118.42381912390304</v>
      </c>
      <c r="AK117" s="689">
        <f>+AK13+AK53</f>
        <v>100.92150537634409</v>
      </c>
      <c r="AL117" s="749">
        <f t="shared" ref="AL117:AS117" si="375">+AL13+AL53</f>
        <v>114.94725071058502</v>
      </c>
      <c r="AM117" s="1512">
        <f t="shared" si="375"/>
        <v>97.851726662137693</v>
      </c>
      <c r="AN117" s="748">
        <f t="shared" si="375"/>
        <v>106.64084116882442</v>
      </c>
      <c r="AO117" s="223">
        <f t="shared" si="375"/>
        <v>101.19789921909091</v>
      </c>
      <c r="AP117" s="993">
        <f>+AP13+AP53</f>
        <v>120.28510087574236</v>
      </c>
      <c r="AQ117" s="689">
        <f>+AQ13+AQ53</f>
        <v>103.96516256720429</v>
      </c>
      <c r="AR117" s="748">
        <f t="shared" si="375"/>
        <v>108.02310277312004</v>
      </c>
      <c r="AS117" s="2754">
        <f t="shared" si="375"/>
        <v>101.4782428916122</v>
      </c>
      <c r="AT117" s="993">
        <f>+AT13+AT53</f>
        <v>119.10002264085044</v>
      </c>
      <c r="AU117" s="689">
        <f>+AU13+AU53</f>
        <v>103.48682669642858</v>
      </c>
      <c r="AV117" s="748">
        <f t="shared" ref="AV117:AW117" si="376">+AV13+AV53</f>
        <v>108.95170683388785</v>
      </c>
      <c r="AW117" s="2754">
        <f t="shared" si="376"/>
        <v>101.64662716267466</v>
      </c>
      <c r="AX117" s="993">
        <f>+AX13+AX53</f>
        <v>111.18684734714077</v>
      </c>
      <c r="AY117" s="689">
        <f>+AY13+AY53</f>
        <v>103.55989838709691</v>
      </c>
      <c r="AZ117" s="749">
        <f t="shared" ref="AZ117:BE117" si="377">+AZ13+AZ53</f>
        <v>116.78256698725765</v>
      </c>
      <c r="BA117" s="1512">
        <f t="shared" si="377"/>
        <v>103.67675596759263</v>
      </c>
      <c r="BB117" s="750">
        <f t="shared" si="377"/>
        <v>115.85482469355499</v>
      </c>
      <c r="BC117" s="663">
        <f t="shared" si="377"/>
        <v>100.73223565934067</v>
      </c>
      <c r="BD117" s="748">
        <f t="shared" si="377"/>
        <v>109.14154068569837</v>
      </c>
      <c r="BE117" s="223">
        <f t="shared" si="377"/>
        <v>101.80912417077627</v>
      </c>
      <c r="BF117" s="528"/>
      <c r="BG117" s="528"/>
      <c r="BH117" s="26"/>
      <c r="BI117" s="26"/>
      <c r="BJ117" s="26"/>
    </row>
    <row r="118" spans="2:62" ht="18.75" customHeight="1" x14ac:dyDescent="0.3">
      <c r="B118" s="6028" t="s">
        <v>461</v>
      </c>
      <c r="C118" s="835" t="s">
        <v>393</v>
      </c>
      <c r="D118" s="994">
        <f t="shared" ref="D118:E119" si="378">+D114+D116</f>
        <v>116232.74092272871</v>
      </c>
      <c r="E118" s="208">
        <f t="shared" si="378"/>
        <v>104681.805368</v>
      </c>
      <c r="F118" s="994">
        <f t="shared" ref="F118:G118" si="379">+F114+F116</f>
        <v>120152.93541389654</v>
      </c>
      <c r="G118" s="208">
        <f t="shared" si="379"/>
        <v>113656.84700000001</v>
      </c>
      <c r="H118" s="790">
        <f t="shared" ref="H118:K119" si="380">+H114+H116</f>
        <v>236385.67633662527</v>
      </c>
      <c r="I118" s="224">
        <f t="shared" si="380"/>
        <v>218338.65236800001</v>
      </c>
      <c r="J118" s="994">
        <f t="shared" si="380"/>
        <v>116227.31929746183</v>
      </c>
      <c r="K118" s="208">
        <f t="shared" si="380"/>
        <v>113018.60399999999</v>
      </c>
      <c r="L118" s="1495">
        <f t="shared" ref="L118:Q118" si="381">+L114+L116</f>
        <v>352612.99563408707</v>
      </c>
      <c r="M118" s="1513">
        <f t="shared" si="381"/>
        <v>331357.256368</v>
      </c>
      <c r="N118" s="994">
        <f t="shared" si="381"/>
        <v>119221.30719417044</v>
      </c>
      <c r="O118" s="208">
        <f t="shared" si="381"/>
        <v>117973.237008</v>
      </c>
      <c r="P118" s="790">
        <f t="shared" si="381"/>
        <v>471834.30282825755</v>
      </c>
      <c r="Q118" s="224">
        <f t="shared" si="381"/>
        <v>449330.49337599997</v>
      </c>
      <c r="R118" s="994">
        <f t="shared" ref="R118:S118" si="382">+R114+R116</f>
        <v>119221.30719417045</v>
      </c>
      <c r="S118" s="208">
        <f t="shared" si="382"/>
        <v>114733.606</v>
      </c>
      <c r="T118" s="790">
        <f t="shared" ref="T118:W118" si="383">+T114+T116</f>
        <v>591055.61002242798</v>
      </c>
      <c r="U118" s="224">
        <f t="shared" si="383"/>
        <v>564064.099376</v>
      </c>
      <c r="V118" s="994">
        <f t="shared" si="383"/>
        <v>82048.631099244507</v>
      </c>
      <c r="W118" s="208">
        <f t="shared" si="383"/>
        <v>112264.02299999999</v>
      </c>
      <c r="X118" s="1495">
        <f t="shared" ref="X118:Y118" si="384">+X114+X116</f>
        <v>320491.24548758543</v>
      </c>
      <c r="Y118" s="1513">
        <f t="shared" si="384"/>
        <v>344970.86600799998</v>
      </c>
      <c r="Z118" s="789">
        <f t="shared" ref="Z118" si="385">+Z114+Z116</f>
        <v>673104.24112167256</v>
      </c>
      <c r="AA118" s="664">
        <f t="shared" ref="AA118:AE118" si="386">+AA114+AA116</f>
        <v>676328.12237600004</v>
      </c>
      <c r="AB118" s="994">
        <f t="shared" si="386"/>
        <v>119935.12422770298</v>
      </c>
      <c r="AC118" s="208">
        <f t="shared" si="386"/>
        <v>102500.91247000001</v>
      </c>
      <c r="AD118" s="790">
        <f t="shared" si="386"/>
        <v>793039.36534937541</v>
      </c>
      <c r="AE118" s="224">
        <f t="shared" si="386"/>
        <v>778829.03484600002</v>
      </c>
      <c r="AF118" s="994">
        <f t="shared" ref="AF118:AG118" si="387">+AF114+AF116</f>
        <v>116569.57765108054</v>
      </c>
      <c r="AG118" s="208">
        <f t="shared" si="387"/>
        <v>110453.1</v>
      </c>
      <c r="AH118" s="790">
        <f t="shared" ref="AH118:AK118" si="388">+AH114+AH116</f>
        <v>909608.94300045609</v>
      </c>
      <c r="AI118" s="224">
        <f t="shared" si="388"/>
        <v>889282.134846</v>
      </c>
      <c r="AJ118" s="994">
        <f t="shared" si="388"/>
        <v>120444.43312751525</v>
      </c>
      <c r="AK118" s="208">
        <f t="shared" si="388"/>
        <v>112209.60000000001</v>
      </c>
      <c r="AL118" s="1495">
        <f t="shared" ref="AL118:AS118" si="389">+AL114+AL116</f>
        <v>356949.13500629878</v>
      </c>
      <c r="AM118" s="1513">
        <f t="shared" si="389"/>
        <v>325163.61247000005</v>
      </c>
      <c r="AN118" s="790">
        <f t="shared" si="389"/>
        <v>1030053.3761279713</v>
      </c>
      <c r="AO118" s="224">
        <f t="shared" si="389"/>
        <v>1001491.7348460001</v>
      </c>
      <c r="AP118" s="994">
        <f t="shared" si="389"/>
        <v>121155.69160293767</v>
      </c>
      <c r="AQ118" s="208">
        <f t="shared" si="389"/>
        <v>112984.38094999999</v>
      </c>
      <c r="AR118" s="790">
        <f t="shared" si="389"/>
        <v>1151209.0677309092</v>
      </c>
      <c r="AS118" s="224">
        <f t="shared" si="389"/>
        <v>1114476.115796</v>
      </c>
      <c r="AT118" s="994">
        <f t="shared" ref="AT118:AU118" si="390">+AT114+AT116</f>
        <v>108993.15802639694</v>
      </c>
      <c r="AU118" s="208">
        <f t="shared" si="390"/>
        <v>99843.647539999991</v>
      </c>
      <c r="AV118" s="790">
        <f t="shared" ref="AV118:AY118" si="391">+AV114+AV116</f>
        <v>1260202.225757306</v>
      </c>
      <c r="AW118" s="224">
        <f t="shared" si="391"/>
        <v>1214319.763336</v>
      </c>
      <c r="AX118" s="994">
        <f t="shared" si="391"/>
        <v>121281.41007221155</v>
      </c>
      <c r="AY118" s="208">
        <f t="shared" si="391"/>
        <v>114195.76440000009</v>
      </c>
      <c r="AZ118" s="1495">
        <f t="shared" ref="AZ118:BE119" si="392">+AZ114+AZ116</f>
        <v>351430.25970154617</v>
      </c>
      <c r="BA118" s="1513">
        <f t="shared" si="392"/>
        <v>327023.79289000004</v>
      </c>
      <c r="BB118" s="789">
        <f t="shared" si="392"/>
        <v>708379.39470784494</v>
      </c>
      <c r="BC118" s="664">
        <f t="shared" si="392"/>
        <v>652187.40536000009</v>
      </c>
      <c r="BD118" s="790">
        <f t="shared" si="392"/>
        <v>1381483.6358295176</v>
      </c>
      <c r="BE118" s="224">
        <f t="shared" si="392"/>
        <v>1328515.5277360003</v>
      </c>
      <c r="BF118" s="528"/>
      <c r="BG118" s="528"/>
      <c r="BH118" s="26"/>
      <c r="BI118" s="26"/>
      <c r="BJ118" s="26"/>
    </row>
    <row r="119" spans="2:62" ht="18" thickBot="1" x14ac:dyDescent="0.35">
      <c r="B119" s="6416"/>
      <c r="C119" s="995" t="s">
        <v>381</v>
      </c>
      <c r="D119" s="997">
        <f t="shared" si="378"/>
        <v>161.43436239267879</v>
      </c>
      <c r="E119" s="690">
        <f t="shared" si="378"/>
        <v>145.39139634444447</v>
      </c>
      <c r="F119" s="997">
        <f t="shared" ref="F119:G119" si="393">+F115+F117</f>
        <v>161.49588093265663</v>
      </c>
      <c r="G119" s="690">
        <f t="shared" si="393"/>
        <v>152.76457930107529</v>
      </c>
      <c r="H119" s="996">
        <f t="shared" si="380"/>
        <v>161.46562591299539</v>
      </c>
      <c r="I119" s="2606">
        <f t="shared" si="380"/>
        <v>149.1384237486339</v>
      </c>
      <c r="J119" s="997">
        <f t="shared" si="380"/>
        <v>161.42683235758588</v>
      </c>
      <c r="K119" s="690">
        <f t="shared" si="380"/>
        <v>156.97028333333333</v>
      </c>
      <c r="L119" s="1514">
        <f t="shared" ref="L119:Q119" si="394">+L115+L117</f>
        <v>161.45283682879446</v>
      </c>
      <c r="M119" s="1515">
        <f t="shared" si="394"/>
        <v>151.72035547985345</v>
      </c>
      <c r="N119" s="997">
        <f t="shared" si="394"/>
        <v>160.24369246528286</v>
      </c>
      <c r="O119" s="690">
        <f t="shared" si="394"/>
        <v>158.56617877419356</v>
      </c>
      <c r="P119" s="996">
        <f t="shared" si="394"/>
        <v>161.14559522823004</v>
      </c>
      <c r="Q119" s="665">
        <f t="shared" si="394"/>
        <v>153.45986795628414</v>
      </c>
      <c r="R119" s="997">
        <f t="shared" ref="R119:S119" si="395">+R115+R117</f>
        <v>160.24369246528286</v>
      </c>
      <c r="S119" s="690">
        <f t="shared" si="395"/>
        <v>154.21183602150538</v>
      </c>
      <c r="T119" s="996">
        <f t="shared" ref="T119:W119" si="396">+T115+T117</f>
        <v>160.96285675992047</v>
      </c>
      <c r="U119" s="665">
        <f t="shared" si="396"/>
        <v>153.61222749891067</v>
      </c>
      <c r="V119" s="997">
        <f t="shared" si="396"/>
        <v>113.95643208228404</v>
      </c>
      <c r="W119" s="690">
        <f t="shared" si="396"/>
        <v>155.92225416666665</v>
      </c>
      <c r="X119" s="1514">
        <f t="shared" ref="X119:Y119" si="397">+X115+X117</f>
        <v>145.1500206012615</v>
      </c>
      <c r="Y119" s="1515">
        <f t="shared" si="397"/>
        <v>156.23680525724637</v>
      </c>
      <c r="Z119" s="998">
        <f t="shared" ref="Z119" si="398">+Z115+Z117</f>
        <v>153.25688550129155</v>
      </c>
      <c r="AA119" s="666">
        <f t="shared" ref="AA119:AE119" si="399">+AA115+AA117</f>
        <v>153.99092039526411</v>
      </c>
      <c r="AB119" s="997">
        <f t="shared" si="399"/>
        <v>161.20312396196638</v>
      </c>
      <c r="AC119" s="690">
        <f t="shared" si="399"/>
        <v>137.77004364247313</v>
      </c>
      <c r="AD119" s="996">
        <f t="shared" si="399"/>
        <v>154.40797611942671</v>
      </c>
      <c r="AE119" s="665">
        <f t="shared" si="399"/>
        <v>151.64116722079439</v>
      </c>
      <c r="AF119" s="997">
        <f t="shared" ref="AF119:AG119" si="400">+AF115+AF117</f>
        <v>161.9021911820563</v>
      </c>
      <c r="AG119" s="690">
        <f t="shared" si="400"/>
        <v>153.40708333333333</v>
      </c>
      <c r="AH119" s="996">
        <f t="shared" ref="AH119:AK119" si="401">+AH115+AH117</f>
        <v>155.32939600417623</v>
      </c>
      <c r="AI119" s="665">
        <f t="shared" si="401"/>
        <v>151.8582880543033</v>
      </c>
      <c r="AJ119" s="997">
        <f t="shared" si="401"/>
        <v>161.88767893483231</v>
      </c>
      <c r="AK119" s="690">
        <f t="shared" si="401"/>
        <v>150.81935483870967</v>
      </c>
      <c r="AL119" s="1514">
        <f t="shared" ref="AL119:AM119" si="402">+AL115+AL117</f>
        <v>161.66174592676575</v>
      </c>
      <c r="AM119" s="1515">
        <f t="shared" si="402"/>
        <v>147.26612883605074</v>
      </c>
      <c r="AN119" s="996">
        <f>+AN115+AN117</f>
        <v>156.06869335272293</v>
      </c>
      <c r="AO119" s="665">
        <f>+AO115+AO117</f>
        <v>151.74117194636364</v>
      </c>
      <c r="AP119" s="997">
        <f t="shared" ref="AP119:AQ119" si="403">+AP115+AP117</f>
        <v>162.84367150932485</v>
      </c>
      <c r="AQ119" s="690">
        <f t="shared" si="403"/>
        <v>151.86072708333333</v>
      </c>
      <c r="AR119" s="2499">
        <f t="shared" ref="AR119:AU119" si="404">+AR115+AR117</f>
        <v>156.75504734897999</v>
      </c>
      <c r="AS119" s="2606">
        <f t="shared" si="404"/>
        <v>151.7532837412854</v>
      </c>
      <c r="AT119" s="997">
        <f t="shared" si="404"/>
        <v>162.19219944404304</v>
      </c>
      <c r="AU119" s="690">
        <f t="shared" si="404"/>
        <v>148.57685645833334</v>
      </c>
      <c r="AV119" s="2499">
        <f t="shared" ref="AV119:AY119" si="405">+AV115+AV117</f>
        <v>157.21085650664995</v>
      </c>
      <c r="AW119" s="2606">
        <f t="shared" si="405"/>
        <v>151.4869964241517</v>
      </c>
      <c r="AX119" s="997">
        <f t="shared" si="405"/>
        <v>163.01264794652093</v>
      </c>
      <c r="AY119" s="690">
        <f t="shared" si="405"/>
        <v>153.48893064516142</v>
      </c>
      <c r="AZ119" s="1514">
        <f t="shared" ref="AZ119:BE119" si="406">+AZ115+AZ117</f>
        <v>162.69919430627138</v>
      </c>
      <c r="BA119" s="1515">
        <f t="shared" si="406"/>
        <v>151.39990411574078</v>
      </c>
      <c r="BB119" s="2604">
        <f t="shared" si="392"/>
        <v>162.17476985069709</v>
      </c>
      <c r="BC119" s="2605">
        <f t="shared" si="392"/>
        <v>149.31030342490845</v>
      </c>
      <c r="BD119" s="2499">
        <f t="shared" si="406"/>
        <v>157.70361139606365</v>
      </c>
      <c r="BE119" s="2606">
        <f t="shared" si="406"/>
        <v>151.65702371415529</v>
      </c>
      <c r="BF119" s="528"/>
      <c r="BG119" s="528"/>
      <c r="BH119" s="26"/>
      <c r="BI119" s="26"/>
      <c r="BJ119" s="26"/>
    </row>
    <row r="122" spans="2:62" hidden="1" x14ac:dyDescent="0.3">
      <c r="D122" s="26">
        <f t="shared" ref="D122:AF122" si="407">D83+D79+D74-D69</f>
        <v>50</v>
      </c>
      <c r="E122" s="26">
        <f t="shared" si="407"/>
        <v>0</v>
      </c>
      <c r="F122" s="26">
        <f t="shared" si="407"/>
        <v>50</v>
      </c>
      <c r="G122" s="26">
        <f t="shared" si="407"/>
        <v>0</v>
      </c>
      <c r="H122" s="26">
        <f t="shared" si="407"/>
        <v>50</v>
      </c>
      <c r="I122" s="26">
        <f t="shared" si="407"/>
        <v>0</v>
      </c>
      <c r="J122" s="26">
        <f t="shared" si="407"/>
        <v>50</v>
      </c>
      <c r="K122" s="26">
        <f t="shared" si="407"/>
        <v>0</v>
      </c>
      <c r="L122" s="26">
        <f t="shared" si="407"/>
        <v>50</v>
      </c>
      <c r="M122" s="26">
        <f t="shared" si="407"/>
        <v>0</v>
      </c>
      <c r="N122" s="26">
        <f t="shared" si="407"/>
        <v>50</v>
      </c>
      <c r="O122" s="26">
        <f t="shared" si="407"/>
        <v>0</v>
      </c>
      <c r="P122" s="26">
        <f t="shared" si="407"/>
        <v>50</v>
      </c>
      <c r="Q122" s="26">
        <f t="shared" si="407"/>
        <v>0</v>
      </c>
      <c r="R122" s="26">
        <f t="shared" si="407"/>
        <v>50</v>
      </c>
      <c r="S122" s="26">
        <f t="shared" si="407"/>
        <v>0</v>
      </c>
      <c r="T122" s="26">
        <f t="shared" si="407"/>
        <v>50</v>
      </c>
      <c r="U122" s="26">
        <f t="shared" si="407"/>
        <v>0</v>
      </c>
      <c r="V122" s="26">
        <f t="shared" si="407"/>
        <v>51</v>
      </c>
      <c r="W122" s="26">
        <f t="shared" si="407"/>
        <v>5.8765027322351671E-2</v>
      </c>
      <c r="X122" s="26">
        <f t="shared" si="407"/>
        <v>50.326086956521806</v>
      </c>
      <c r="Y122" s="26">
        <f t="shared" si="407"/>
        <v>1.916250890946003E-2</v>
      </c>
      <c r="Z122" s="26">
        <f t="shared" si="407"/>
        <v>50.163934426229503</v>
      </c>
      <c r="AA122" s="26">
        <f t="shared" si="407"/>
        <v>9.6336110364632077E-3</v>
      </c>
      <c r="AB122" s="26">
        <f t="shared" si="407"/>
        <v>50</v>
      </c>
      <c r="AC122" s="26">
        <f t="shared" si="407"/>
        <v>0</v>
      </c>
      <c r="AD122" s="26">
        <f t="shared" si="407"/>
        <v>50.140186915887909</v>
      </c>
      <c r="AE122" s="26">
        <f t="shared" si="407"/>
        <v>8.2380879424022169E-3</v>
      </c>
      <c r="AF122" s="26">
        <f t="shared" si="407"/>
        <v>50</v>
      </c>
      <c r="AG122" s="26">
        <f>AG83+AG79+AG74-AG69</f>
        <v>0</v>
      </c>
      <c r="AI122" s="26">
        <f t="shared" ref="AI122:AO122" si="408">AI83+AI79+AI74-AI69</f>
        <v>7.2252082773616166E-3</v>
      </c>
      <c r="AJ122" s="26">
        <f t="shared" si="408"/>
        <v>50</v>
      </c>
      <c r="AK122" s="26">
        <f t="shared" si="408"/>
        <v>0</v>
      </c>
      <c r="AL122" s="26">
        <f t="shared" si="408"/>
        <v>50</v>
      </c>
      <c r="AM122" s="26">
        <f t="shared" si="408"/>
        <v>0</v>
      </c>
      <c r="AN122" s="26">
        <f t="shared" si="408"/>
        <v>50.10909090909098</v>
      </c>
      <c r="AO122" s="26">
        <f t="shared" si="408"/>
        <v>6.4107302533216171E-3</v>
      </c>
      <c r="AP122" s="26">
        <f t="shared" ref="AP122:BE122" si="409">AP83+AP79+AP74-AP69</f>
        <v>50</v>
      </c>
      <c r="AQ122" s="26">
        <f t="shared" si="409"/>
        <v>0</v>
      </c>
      <c r="AR122" s="26">
        <f t="shared" si="409"/>
        <v>50.098039215686242</v>
      </c>
      <c r="AS122" s="26">
        <f t="shared" si="409"/>
        <v>5.7612771884691938E-3</v>
      </c>
      <c r="AT122" s="26">
        <f t="shared" si="409"/>
        <v>50</v>
      </c>
      <c r="AU122" s="26">
        <f t="shared" si="409"/>
        <v>0</v>
      </c>
      <c r="AV122" s="26">
        <f t="shared" si="409"/>
        <v>50.089820359281418</v>
      </c>
      <c r="AW122" s="26">
        <f t="shared" si="409"/>
        <v>5.2782958672992208E-3</v>
      </c>
      <c r="AX122" s="26">
        <f t="shared" si="409"/>
        <v>50</v>
      </c>
      <c r="AY122" s="26">
        <f t="shared" si="409"/>
        <v>0</v>
      </c>
      <c r="AZ122" s="26">
        <f t="shared" si="409"/>
        <v>50</v>
      </c>
      <c r="BA122" s="26">
        <f t="shared" si="409"/>
        <v>0</v>
      </c>
      <c r="BB122" s="26">
        <f t="shared" si="409"/>
        <v>50</v>
      </c>
      <c r="BC122" s="26">
        <f t="shared" si="409"/>
        <v>0</v>
      </c>
      <c r="BD122" s="26">
        <f t="shared" si="409"/>
        <v>50.082191780821859</v>
      </c>
      <c r="BE122" s="26">
        <f t="shared" si="409"/>
        <v>4.8300022457965497E-3</v>
      </c>
      <c r="BF122" s="26"/>
    </row>
  </sheetData>
  <mergeCells count="109">
    <mergeCell ref="BB4:BC4"/>
    <mergeCell ref="BB19:BB20"/>
    <mergeCell ref="BB38:BB43"/>
    <mergeCell ref="BB93:BB112"/>
    <mergeCell ref="H38:H43"/>
    <mergeCell ref="L19:L20"/>
    <mergeCell ref="AX4:AY4"/>
    <mergeCell ref="P19:P20"/>
    <mergeCell ref="J4:K4"/>
    <mergeCell ref="N4:O4"/>
    <mergeCell ref="AD93:AD112"/>
    <mergeCell ref="AB4:AC4"/>
    <mergeCell ref="AD4:AE4"/>
    <mergeCell ref="AB19:AB20"/>
    <mergeCell ref="AD19:AD20"/>
    <mergeCell ref="AB38:AB43"/>
    <mergeCell ref="AD38:AD43"/>
    <mergeCell ref="Z93:Z112"/>
    <mergeCell ref="X4:Y4"/>
    <mergeCell ref="X19:X20"/>
    <mergeCell ref="X38:X43"/>
    <mergeCell ref="X93:X112"/>
    <mergeCell ref="V4:W4"/>
    <mergeCell ref="Z4:AA4"/>
    <mergeCell ref="BD4:BE4"/>
    <mergeCell ref="AX19:AX20"/>
    <mergeCell ref="BD19:BD20"/>
    <mergeCell ref="AX38:AX43"/>
    <mergeCell ref="BD38:BD43"/>
    <mergeCell ref="AR93:AR112"/>
    <mergeCell ref="AP4:AQ4"/>
    <mergeCell ref="AR4:AS4"/>
    <mergeCell ref="AP19:AP20"/>
    <mergeCell ref="AR19:AR20"/>
    <mergeCell ref="AP38:AP43"/>
    <mergeCell ref="AR38:AR43"/>
    <mergeCell ref="AV93:AV112"/>
    <mergeCell ref="AT4:AU4"/>
    <mergeCell ref="AV4:AW4"/>
    <mergeCell ref="AT19:AT20"/>
    <mergeCell ref="AV19:AV20"/>
    <mergeCell ref="AT38:AT43"/>
    <mergeCell ref="AV38:AV43"/>
    <mergeCell ref="BD93:BD112"/>
    <mergeCell ref="AZ4:BA4"/>
    <mergeCell ref="AZ19:AZ20"/>
    <mergeCell ref="AZ38:AZ43"/>
    <mergeCell ref="AZ93:AZ112"/>
    <mergeCell ref="B118:B119"/>
    <mergeCell ref="B114:B115"/>
    <mergeCell ref="B116:B117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4:B5"/>
    <mergeCell ref="L4:M4"/>
    <mergeCell ref="J19:J20"/>
    <mergeCell ref="T93:T112"/>
    <mergeCell ref="H93:H112"/>
    <mergeCell ref="C4:C5"/>
    <mergeCell ref="D4:E4"/>
    <mergeCell ref="F4:G4"/>
    <mergeCell ref="L93:L112"/>
    <mergeCell ref="P93:P112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V19:V20"/>
    <mergeCell ref="Z19:Z20"/>
    <mergeCell ref="V38:V43"/>
    <mergeCell ref="Z38:Z43"/>
    <mergeCell ref="AH93:AH112"/>
    <mergeCell ref="AF4:AG4"/>
    <mergeCell ref="AH4:AI4"/>
    <mergeCell ref="AF19:AF20"/>
    <mergeCell ref="AH19:AH20"/>
    <mergeCell ref="AF38:AF43"/>
    <mergeCell ref="AH38:AH43"/>
    <mergeCell ref="AN93:AN112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2"/>
  </mergeCells>
  <pageMargins left="1.2" right="0.7" top="0.25" bottom="0.25" header="0.3" footer="0.3"/>
  <pageSetup scale="3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>
    <tabColor rgb="FF00FF00"/>
    <pageSetUpPr fitToPage="1"/>
  </sheetPr>
  <dimension ref="A1:CQ43"/>
  <sheetViews>
    <sheetView zoomScaleNormal="100" workbookViewId="0">
      <pane xSplit="3" topLeftCell="AM1" activePane="topRight" state="frozen"/>
      <selection activeCell="S123" sqref="S123"/>
      <selection pane="topRight" activeCell="BB21" sqref="BB21"/>
    </sheetView>
  </sheetViews>
  <sheetFormatPr defaultColWidth="8.88671875" defaultRowHeight="14.4" x14ac:dyDescent="0.3"/>
  <cols>
    <col min="2" max="2" width="51.88671875" bestFit="1" customWidth="1"/>
    <col min="3" max="3" width="10.33203125" customWidth="1"/>
    <col min="4" max="4" width="11.109375" style="86" customWidth="1"/>
    <col min="5" max="5" width="11.33203125" style="92" customWidth="1"/>
    <col min="6" max="6" width="8.6640625" style="86" customWidth="1"/>
    <col min="7" max="7" width="10.44140625" style="92" customWidth="1"/>
    <col min="8" max="8" width="7.6640625" style="86" hidden="1" customWidth="1"/>
    <col min="9" max="9" width="10.109375" style="92" hidden="1" customWidth="1"/>
    <col min="10" max="10" width="10.6640625" style="86" customWidth="1"/>
    <col min="11" max="11" width="10.6640625" style="92" customWidth="1"/>
    <col min="12" max="12" width="10.6640625" style="86" customWidth="1"/>
    <col min="13" max="13" width="10.6640625" style="92" customWidth="1"/>
    <col min="14" max="14" width="7.88671875" style="86" customWidth="1"/>
    <col min="15" max="15" width="7.88671875" style="92" customWidth="1"/>
    <col min="16" max="16" width="7.88671875" style="86" hidden="1" customWidth="1"/>
    <col min="17" max="17" width="10.109375" style="92" hidden="1" customWidth="1"/>
    <col min="18" max="18" width="7.88671875" customWidth="1"/>
    <col min="19" max="19" width="8.44140625" customWidth="1"/>
    <col min="20" max="21" width="10.6640625" hidden="1" customWidth="1"/>
    <col min="22" max="22" width="7.88671875" customWidth="1"/>
    <col min="23" max="23" width="8.44140625" customWidth="1"/>
    <col min="24" max="24" width="8.88671875" customWidth="1"/>
    <col min="25" max="25" width="10.109375" customWidth="1"/>
    <col min="26" max="26" width="9" customWidth="1"/>
    <col min="27" max="27" width="10.109375" customWidth="1"/>
    <col min="28" max="28" width="7.88671875" customWidth="1"/>
    <col min="29" max="29" width="11.33203125" customWidth="1"/>
    <col min="30" max="30" width="9" hidden="1" customWidth="1"/>
    <col min="31" max="31" width="10.109375" hidden="1" customWidth="1"/>
    <col min="32" max="32" width="8.88671875" customWidth="1"/>
    <col min="33" max="33" width="11.33203125" customWidth="1"/>
    <col min="34" max="34" width="8.88671875" hidden="1" customWidth="1"/>
    <col min="35" max="35" width="10.109375" hidden="1" customWidth="1"/>
    <col min="36" max="36" width="8.88671875" customWidth="1"/>
    <col min="37" max="37" width="11.33203125" customWidth="1"/>
    <col min="38" max="38" width="8.88671875" customWidth="1"/>
    <col min="39" max="39" width="13.109375" customWidth="1"/>
    <col min="40" max="40" width="8.88671875" hidden="1" customWidth="1"/>
    <col min="41" max="41" width="10.109375" hidden="1" customWidth="1"/>
    <col min="42" max="42" width="8.88671875" customWidth="1"/>
    <col min="43" max="43" width="11.33203125" customWidth="1"/>
    <col min="44" max="44" width="8.88671875" hidden="1" customWidth="1"/>
    <col min="45" max="45" width="11.33203125" hidden="1" customWidth="1"/>
    <col min="46" max="46" width="8.88671875" customWidth="1"/>
    <col min="47" max="47" width="11.33203125" customWidth="1"/>
    <col min="48" max="48" width="8.88671875" hidden="1" customWidth="1"/>
    <col min="49" max="49" width="11.33203125" hidden="1" customWidth="1"/>
    <col min="50" max="50" width="8.88671875" customWidth="1"/>
    <col min="51" max="51" width="13.109375" customWidth="1"/>
    <col min="52" max="52" width="8.88671875" customWidth="1"/>
    <col min="53" max="53" width="13.109375" customWidth="1"/>
    <col min="54" max="54" width="8.88671875" customWidth="1"/>
    <col min="55" max="55" width="13.109375" customWidth="1"/>
    <col min="56" max="56" width="8.88671875" customWidth="1"/>
    <col min="57" max="57" width="14.33203125" customWidth="1"/>
    <col min="58" max="61" width="8.88671875" customWidth="1"/>
  </cols>
  <sheetData>
    <row r="1" spans="2:95" ht="15.6" x14ac:dyDescent="0.3">
      <c r="B1" s="801" t="s">
        <v>371</v>
      </c>
      <c r="C1" s="795"/>
      <c r="D1" s="795"/>
      <c r="E1" s="795"/>
      <c r="F1" s="795"/>
      <c r="G1" s="795"/>
      <c r="H1" s="795"/>
      <c r="I1" s="795"/>
      <c r="J1" s="796"/>
      <c r="K1" s="796"/>
      <c r="L1" s="796"/>
      <c r="M1" s="796"/>
      <c r="N1" s="796"/>
      <c r="O1" s="796"/>
      <c r="P1" s="796"/>
      <c r="Q1" s="796"/>
      <c r="R1" s="796"/>
      <c r="S1" s="796"/>
      <c r="T1" s="796"/>
      <c r="U1" s="796"/>
      <c r="V1" s="796"/>
      <c r="W1" s="796"/>
      <c r="X1" s="796"/>
      <c r="Y1" s="796"/>
      <c r="Z1" s="796"/>
      <c r="AA1" s="796"/>
    </row>
    <row r="2" spans="2:95" s="92" customFormat="1" ht="16.2" thickBot="1" x14ac:dyDescent="0.35">
      <c r="B2" s="1136"/>
      <c r="C2" s="1136"/>
      <c r="D2" s="1136"/>
      <c r="E2" s="1136"/>
      <c r="F2" s="1136"/>
      <c r="G2" s="1136"/>
      <c r="H2" s="1136"/>
      <c r="I2" s="1136"/>
      <c r="J2" s="1137"/>
      <c r="K2" s="1137"/>
      <c r="L2" s="1137"/>
      <c r="M2" s="1137"/>
      <c r="N2" s="1137"/>
      <c r="O2" s="1137"/>
      <c r="P2" s="1137"/>
      <c r="Q2" s="1137"/>
      <c r="R2" s="1137"/>
      <c r="S2" s="1137"/>
      <c r="T2" s="1137"/>
      <c r="U2" s="1137"/>
      <c r="V2" s="1137"/>
      <c r="W2" s="1137"/>
      <c r="X2" s="1137"/>
      <c r="Y2" s="1137"/>
      <c r="Z2" s="1137"/>
      <c r="AA2" s="1137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</row>
    <row r="3" spans="2:95" s="833" customFormat="1" ht="15.6" x14ac:dyDescent="0.3">
      <c r="B3" s="6440" t="s">
        <v>171</v>
      </c>
      <c r="C3" s="6442" t="s">
        <v>172</v>
      </c>
      <c r="D3" s="6315" t="s">
        <v>1962</v>
      </c>
      <c r="E3" s="6322"/>
      <c r="F3" s="6322" t="s">
        <v>2013</v>
      </c>
      <c r="G3" s="6322"/>
      <c r="H3" s="6434" t="s">
        <v>14</v>
      </c>
      <c r="I3" s="6434"/>
      <c r="J3" s="6322" t="s">
        <v>2043</v>
      </c>
      <c r="K3" s="6322"/>
      <c r="L3" s="6317" t="s">
        <v>637</v>
      </c>
      <c r="M3" s="6317"/>
      <c r="N3" s="6322" t="s">
        <v>2065</v>
      </c>
      <c r="O3" s="6322"/>
      <c r="P3" s="6437" t="s">
        <v>17</v>
      </c>
      <c r="Q3" s="6437"/>
      <c r="R3" s="6322" t="s">
        <v>2068</v>
      </c>
      <c r="S3" s="6322"/>
      <c r="T3" s="6437" t="s">
        <v>18</v>
      </c>
      <c r="U3" s="6437"/>
      <c r="V3" s="6322" t="s">
        <v>2110</v>
      </c>
      <c r="W3" s="6322"/>
      <c r="X3" s="6317" t="s">
        <v>660</v>
      </c>
      <c r="Y3" s="6317"/>
      <c r="Z3" s="6318" t="s">
        <v>657</v>
      </c>
      <c r="AA3" s="6318"/>
      <c r="AB3" s="6322" t="s">
        <v>2135</v>
      </c>
      <c r="AC3" s="6322"/>
      <c r="AD3" s="6437" t="s">
        <v>24</v>
      </c>
      <c r="AE3" s="6437"/>
      <c r="AF3" s="6322" t="s">
        <v>2238</v>
      </c>
      <c r="AG3" s="6322"/>
      <c r="AH3" s="6434" t="s">
        <v>27</v>
      </c>
      <c r="AI3" s="6320"/>
      <c r="AJ3" s="6444" t="s">
        <v>2262</v>
      </c>
      <c r="AK3" s="6445"/>
      <c r="AL3" s="6447" t="s">
        <v>662</v>
      </c>
      <c r="AM3" s="6447"/>
      <c r="AN3" s="6446" t="s">
        <v>1613</v>
      </c>
      <c r="AO3" s="6446"/>
      <c r="AP3" s="6445" t="s">
        <v>2274</v>
      </c>
      <c r="AQ3" s="6445"/>
      <c r="AR3" s="6446" t="s">
        <v>28</v>
      </c>
      <c r="AS3" s="6446"/>
      <c r="AT3" s="6445" t="s">
        <v>2311</v>
      </c>
      <c r="AU3" s="6445"/>
      <c r="AV3" s="6449" t="s">
        <v>30</v>
      </c>
      <c r="AW3" s="6449"/>
      <c r="AX3" s="6445" t="s">
        <v>2329</v>
      </c>
      <c r="AY3" s="6445"/>
      <c r="AZ3" s="6447" t="s">
        <v>663</v>
      </c>
      <c r="BA3" s="6447"/>
      <c r="BB3" s="6450" t="s">
        <v>670</v>
      </c>
      <c r="BC3" s="6450"/>
      <c r="BD3" s="6449" t="s">
        <v>2041</v>
      </c>
      <c r="BE3" s="6449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</row>
    <row r="4" spans="2:95" s="92" customFormat="1" ht="16.2" thickBot="1" x14ac:dyDescent="0.35">
      <c r="B4" s="6441"/>
      <c r="C4" s="6443"/>
      <c r="D4" s="4076" t="s">
        <v>173</v>
      </c>
      <c r="E4" s="4077" t="s">
        <v>174</v>
      </c>
      <c r="F4" s="4077" t="s">
        <v>173</v>
      </c>
      <c r="G4" s="4077" t="s">
        <v>174</v>
      </c>
      <c r="H4" s="4078" t="s">
        <v>173</v>
      </c>
      <c r="I4" s="4078" t="s">
        <v>174</v>
      </c>
      <c r="J4" s="4077" t="s">
        <v>173</v>
      </c>
      <c r="K4" s="4077" t="s">
        <v>174</v>
      </c>
      <c r="L4" s="4079" t="s">
        <v>173</v>
      </c>
      <c r="M4" s="4079" t="s">
        <v>174</v>
      </c>
      <c r="N4" s="4077" t="s">
        <v>173</v>
      </c>
      <c r="O4" s="4077" t="s">
        <v>174</v>
      </c>
      <c r="P4" s="4080" t="s">
        <v>173</v>
      </c>
      <c r="Q4" s="4080" t="s">
        <v>174</v>
      </c>
      <c r="R4" s="4077" t="s">
        <v>173</v>
      </c>
      <c r="S4" s="4077" t="s">
        <v>174</v>
      </c>
      <c r="T4" s="4080" t="s">
        <v>173</v>
      </c>
      <c r="U4" s="4080" t="s">
        <v>174</v>
      </c>
      <c r="V4" s="4077" t="s">
        <v>173</v>
      </c>
      <c r="W4" s="4077" t="s">
        <v>174</v>
      </c>
      <c r="X4" s="4079" t="s">
        <v>173</v>
      </c>
      <c r="Y4" s="4079" t="s">
        <v>174</v>
      </c>
      <c r="Z4" s="4081" t="s">
        <v>173</v>
      </c>
      <c r="AA4" s="4081" t="s">
        <v>174</v>
      </c>
      <c r="AB4" s="4077" t="s">
        <v>173</v>
      </c>
      <c r="AC4" s="4077" t="s">
        <v>174</v>
      </c>
      <c r="AD4" s="4080" t="s">
        <v>173</v>
      </c>
      <c r="AE4" s="4080" t="s">
        <v>174</v>
      </c>
      <c r="AF4" s="4077" t="s">
        <v>173</v>
      </c>
      <c r="AG4" s="4077" t="s">
        <v>174</v>
      </c>
      <c r="AH4" s="4078" t="s">
        <v>173</v>
      </c>
      <c r="AI4" s="1164" t="s">
        <v>174</v>
      </c>
      <c r="AJ4" s="4075" t="s">
        <v>173</v>
      </c>
      <c r="AK4" s="2633" t="s">
        <v>174</v>
      </c>
      <c r="AL4" s="2634" t="s">
        <v>173</v>
      </c>
      <c r="AM4" s="2634" t="s">
        <v>174</v>
      </c>
      <c r="AN4" s="2635" t="s">
        <v>173</v>
      </c>
      <c r="AO4" s="2635" t="s">
        <v>174</v>
      </c>
      <c r="AP4" s="2633" t="s">
        <v>173</v>
      </c>
      <c r="AQ4" s="2633" t="s">
        <v>174</v>
      </c>
      <c r="AR4" s="2635" t="s">
        <v>173</v>
      </c>
      <c r="AS4" s="2635" t="s">
        <v>174</v>
      </c>
      <c r="AT4" s="2633" t="s">
        <v>173</v>
      </c>
      <c r="AU4" s="2633" t="s">
        <v>174</v>
      </c>
      <c r="AV4" s="4505" t="s">
        <v>173</v>
      </c>
      <c r="AW4" s="4505" t="s">
        <v>174</v>
      </c>
      <c r="AX4" s="2633" t="s">
        <v>173</v>
      </c>
      <c r="AY4" s="2633" t="s">
        <v>174</v>
      </c>
      <c r="AZ4" s="2634" t="s">
        <v>173</v>
      </c>
      <c r="BA4" s="2634" t="s">
        <v>174</v>
      </c>
      <c r="BB4" s="2636" t="s">
        <v>173</v>
      </c>
      <c r="BC4" s="2636" t="s">
        <v>174</v>
      </c>
      <c r="BD4" s="4505" t="s">
        <v>173</v>
      </c>
      <c r="BE4" s="4505" t="s">
        <v>174</v>
      </c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</row>
    <row r="5" spans="2:95" ht="15.6" x14ac:dyDescent="0.3">
      <c r="B5" s="1679" t="s">
        <v>421</v>
      </c>
      <c r="C5" s="4071" t="s">
        <v>1154</v>
      </c>
      <c r="D5" s="5774">
        <f>+'Maj Techno Summ'!E27</f>
        <v>2.850000000000001</v>
      </c>
      <c r="E5" s="5775">
        <f>+'Maj Techno Summ'!F27</f>
        <v>2.98</v>
      </c>
      <c r="F5" s="5774">
        <f>+'Maj Techno Summ'!G27</f>
        <v>2.850000000000001</v>
      </c>
      <c r="G5" s="5775">
        <f>+'Maj Techno Summ'!H27</f>
        <v>2.97</v>
      </c>
      <c r="H5" s="4082">
        <f>+'Maj Techno Summ'!I27</f>
        <v>2.850000000000001</v>
      </c>
      <c r="I5" s="4082">
        <f>+'Maj Techno Summ'!J27</f>
        <v>2.9746662068530263</v>
      </c>
      <c r="J5" s="5774">
        <f>+'Maj Techno Summ'!K27</f>
        <v>2.850000000000001</v>
      </c>
      <c r="K5" s="5775">
        <f>+'Maj Techno Summ'!L27</f>
        <v>2.96</v>
      </c>
      <c r="L5" s="4083">
        <f>+'Maj Techno Summ'!M27</f>
        <v>2.850000000000001</v>
      </c>
      <c r="M5" s="4083">
        <f>+'Maj Techno Summ'!N27</f>
        <v>2.9694697654381894</v>
      </c>
      <c r="N5" s="5774">
        <f>+'Maj Techno Summ'!O27</f>
        <v>2.850000000000001</v>
      </c>
      <c r="O5" s="5775">
        <f>+'Maj Techno Summ'!P27</f>
        <v>2.9</v>
      </c>
      <c r="P5" s="4082">
        <f>+'Maj Techno Summ'!Q27</f>
        <v>2.850000000000001</v>
      </c>
      <c r="Q5" s="4082">
        <f>+'Maj Techno Summ'!R27</f>
        <v>2.9507385309739966</v>
      </c>
      <c r="R5" s="5774">
        <f>+'Maj Techno Summ'!S27</f>
        <v>2.850000000000001</v>
      </c>
      <c r="S5" s="5775">
        <f>+'Maj Techno Summ'!T27</f>
        <v>2.9</v>
      </c>
      <c r="T5" s="4082">
        <f>+'Maj Techno Summ'!U27</f>
        <v>2.850000000000001</v>
      </c>
      <c r="U5" s="4082">
        <f>+'Maj Techno Summ'!V27</f>
        <v>2.9405071644058229</v>
      </c>
      <c r="V5" s="5774">
        <f>+'Maj Techno Summ'!W27</f>
        <v>2.850000000000001</v>
      </c>
      <c r="W5" s="5775">
        <f>+'Maj Techno Summ'!X27</f>
        <v>2.9049999999999998</v>
      </c>
      <c r="X5" s="4083">
        <f>+'Maj Techno Summ'!Y27</f>
        <v>2.850000000000001</v>
      </c>
      <c r="Y5" s="4083">
        <f>+'Maj Techno Summ'!Z27</f>
        <v>2.9015794263163683</v>
      </c>
      <c r="Z5" s="4084">
        <f>+'Maj Techno Summ'!AA27</f>
        <v>2.850000000000001</v>
      </c>
      <c r="AA5" s="4084">
        <f>+'Maj Techno Summ'!AB27</f>
        <v>2.9347752735827703</v>
      </c>
      <c r="AB5" s="5774">
        <f>+'Maj Techno Summ'!AC27</f>
        <v>2.850000000000001</v>
      </c>
      <c r="AC5" s="5775">
        <f>+'Maj Techno Summ'!AD27</f>
        <v>2.94</v>
      </c>
      <c r="AD5" s="4082">
        <f>+'Maj Techno Summ'!AE27</f>
        <v>2.850000000000001</v>
      </c>
      <c r="AE5" s="4082">
        <f>+'Maj Techno Summ'!AF27</f>
        <v>2.9353661917784351</v>
      </c>
      <c r="AF5" s="5774">
        <f>+'Maj Techno Summ'!AG27</f>
        <v>2.850000000000001</v>
      </c>
      <c r="AG5" s="5775">
        <f>+'Maj Techno Summ'!AH27</f>
        <v>2.86</v>
      </c>
      <c r="AH5" s="4082">
        <f>+'Maj Techno Summ'!AI27</f>
        <v>2.850000000000001</v>
      </c>
      <c r="AI5" s="4085">
        <f>+'Maj Techno Summ'!AJ27</f>
        <v>2.92583079145178</v>
      </c>
      <c r="AJ5" s="5774">
        <f>+'Maj Techno Summ'!AK27</f>
        <v>2.850000000000001</v>
      </c>
      <c r="AK5" s="5775">
        <f>+'Maj Techno Summ'!AL27</f>
        <v>2.87</v>
      </c>
      <c r="AL5" s="2617">
        <f>+'Maj Techno Summ'!AM27</f>
        <v>2.850000000000001</v>
      </c>
      <c r="AM5" s="2617">
        <f>+'Maj Techno Summ'!AN27</f>
        <v>2.8859377390882455</v>
      </c>
      <c r="AN5" s="2616">
        <f>+'Maj Techno Summ'!AO27</f>
        <v>2.850000000000001</v>
      </c>
      <c r="AO5" s="2616">
        <f>+'Maj Techno Summ'!AP27</f>
        <v>2.919442703985236</v>
      </c>
      <c r="AP5" s="5774">
        <f>+'Maj Techno Summ'!AQ27</f>
        <v>2.85</v>
      </c>
      <c r="AQ5" s="5775">
        <f>+'Maj Techno Summ'!AR27</f>
        <v>2.88</v>
      </c>
      <c r="AR5" s="2616">
        <f>+'Maj Techno Summ'!AS27</f>
        <v>2.850000000000001</v>
      </c>
      <c r="AS5" s="2616">
        <f>+'Maj Techno Summ'!AT27</f>
        <v>2.9154913069435064</v>
      </c>
      <c r="AT5" s="5774">
        <f>+'Maj Techno Summ'!AU27</f>
        <v>2.85</v>
      </c>
      <c r="AU5" s="5775">
        <f>+'Maj Techno Summ'!AV27</f>
        <v>2.86</v>
      </c>
      <c r="AV5" s="2616">
        <f>+'Maj Techno Summ'!AW27</f>
        <v>2.850000000000001</v>
      </c>
      <c r="AW5" s="2616">
        <f>+'Maj Techno Summ'!AX27</f>
        <v>2.9113201473324035</v>
      </c>
      <c r="AX5" s="5774">
        <f>+'Maj Techno Summ'!AY27</f>
        <v>2.85</v>
      </c>
      <c r="AY5" s="5775">
        <f>+'Maj Techno Summ'!AZ27</f>
        <v>2.87</v>
      </c>
      <c r="AZ5" s="2617">
        <f>+'Maj Techno Summ'!BA27</f>
        <v>2.850000000000001</v>
      </c>
      <c r="BA5" s="2617">
        <f>+'Maj Techno Summ'!BB27</f>
        <v>2.8706576616643975</v>
      </c>
      <c r="BB5" s="2618">
        <f>+'Maj Techno Summ'!BC27</f>
        <v>2.850000000000001</v>
      </c>
      <c r="BC5" s="2618">
        <f>+'Maj Techno Summ'!BD27</f>
        <v>2.8782315390123565</v>
      </c>
      <c r="BD5" s="2616">
        <f>+'Maj Techno Summ'!BE27</f>
        <v>2.850000000000001</v>
      </c>
      <c r="BE5" s="2616">
        <f>+'Maj Techno Summ'!BF27</f>
        <v>2.9076318381507082</v>
      </c>
    </row>
    <row r="6" spans="2:95" ht="15.6" x14ac:dyDescent="0.3">
      <c r="B6" s="1680" t="s">
        <v>368</v>
      </c>
      <c r="C6" s="4072" t="s">
        <v>1155</v>
      </c>
      <c r="D6" s="5776">
        <f>+'Maj Techno Summ'!E28</f>
        <v>2.2695881506742244</v>
      </c>
      <c r="E6" s="5777">
        <f>+'Maj Techno Summ'!F28</f>
        <v>2.33</v>
      </c>
      <c r="F6" s="5776">
        <f>+'Maj Techno Summ'!G28</f>
        <v>2.2695881506742244</v>
      </c>
      <c r="G6" s="5777">
        <f>+'Maj Techno Summ'!H28</f>
        <v>2.3199999999999998</v>
      </c>
      <c r="H6" s="4082">
        <f>+'Maj Techno Summ'!I28</f>
        <v>2.2695881506742244</v>
      </c>
      <c r="I6" s="4082">
        <f>+'Maj Techno Summ'!J28</f>
        <v>2.3246662068530264</v>
      </c>
      <c r="J6" s="5776">
        <f>+'Maj Techno Summ'!K28</f>
        <v>2.2695881506742244</v>
      </c>
      <c r="K6" s="5777">
        <f>+'Maj Techno Summ'!L28</f>
        <v>2.34</v>
      </c>
      <c r="L6" s="4083">
        <f>+'Maj Techno Summ'!M28</f>
        <v>2.2695881506742244</v>
      </c>
      <c r="M6" s="4083">
        <f>+'Maj Techno Summ'!N28</f>
        <v>2.3300991833924942</v>
      </c>
      <c r="N6" s="5776">
        <f>+'Maj Techno Summ'!O28</f>
        <v>2.2695881506742244</v>
      </c>
      <c r="O6" s="5777">
        <f>+'Maj Techno Summ'!P28</f>
        <v>2.35</v>
      </c>
      <c r="P6" s="4082">
        <f>+'Maj Techno Summ'!Q28</f>
        <v>2.2695881506742244</v>
      </c>
      <c r="Q6" s="4082">
        <f>+'Maj Techno Summ'!R28</f>
        <v>2.3354650696820594</v>
      </c>
      <c r="R6" s="5776">
        <f>+'Maj Techno Summ'!S28</f>
        <v>2.2695881506742244</v>
      </c>
      <c r="S6" s="5777">
        <f>+'Maj Techno Summ'!T28</f>
        <v>2.4</v>
      </c>
      <c r="T6" s="4082">
        <f>+'Maj Techno Summ'!U28</f>
        <v>2.2695881506742244</v>
      </c>
      <c r="U6" s="4082">
        <f>+'Maj Techno Summ'!V28</f>
        <v>2.3484784643519361</v>
      </c>
      <c r="V6" s="5776">
        <f>+'Maj Techno Summ'!W28</f>
        <v>2.2695881506742244</v>
      </c>
      <c r="W6" s="5777">
        <f>+'Maj Techno Summ'!X28</f>
        <v>2.4500000000000002</v>
      </c>
      <c r="X6" s="4083">
        <f>+'Maj Techno Summ'!Y28</f>
        <v>2.2695881506742244</v>
      </c>
      <c r="Y6" s="4083">
        <f>+'Maj Techno Summ'!Z28</f>
        <v>2.3981330008034742</v>
      </c>
      <c r="Z6" s="4084">
        <f>+'Maj Techno Summ'!AA28</f>
        <v>2.2695881506742244</v>
      </c>
      <c r="AA6" s="4084">
        <f>+'Maj Techno Summ'!AB28</f>
        <v>2.3748669979974975</v>
      </c>
      <c r="AB6" s="5776">
        <f>+'Maj Techno Summ'!AC28</f>
        <v>2.2695881506742244</v>
      </c>
      <c r="AC6" s="5775">
        <f>+'Maj Techno Summ'!AD28</f>
        <v>2.78</v>
      </c>
      <c r="AD6" s="4082">
        <f>+'Maj Techno Summ'!AE28</f>
        <v>2.2695881506742244</v>
      </c>
      <c r="AE6" s="4082">
        <f>+'Maj Techno Summ'!AF28</f>
        <v>2.4206876675273259</v>
      </c>
      <c r="AF6" s="5776">
        <f>+'Maj Techno Summ'!AG28</f>
        <v>2.2695881506742244</v>
      </c>
      <c r="AG6" s="5775">
        <f>+'Maj Techno Summ'!AH28</f>
        <v>2.41</v>
      </c>
      <c r="AH6" s="4082">
        <f>+'Maj Techno Summ'!AI28</f>
        <v>2.2695881506742244</v>
      </c>
      <c r="AI6" s="4085">
        <f>+'Maj Techno Summ'!AJ28</f>
        <v>2.409335453941547</v>
      </c>
      <c r="AJ6" s="5776">
        <f>+'Maj Techno Summ'!AK28</f>
        <v>2.2695881506742244</v>
      </c>
      <c r="AK6" s="5775">
        <f>+'Maj Techno Summ'!AL28</f>
        <v>2.4</v>
      </c>
      <c r="AL6" s="2617">
        <f>+'Maj Techno Summ'!AM28</f>
        <v>2.2695881506742244</v>
      </c>
      <c r="AM6" s="2620">
        <f>+'Maj Techno Summ'!AN28</f>
        <v>2.5094618298531417</v>
      </c>
      <c r="AN6" s="2616">
        <f>+'Maj Techno Summ'!AO28</f>
        <v>2.2695881506742244</v>
      </c>
      <c r="AO6" s="2616">
        <f>+'Maj Techno Summ'!AP28</f>
        <v>2.4082673032890525</v>
      </c>
      <c r="AP6" s="5776">
        <f>+'Maj Techno Summ'!AQ28</f>
        <v>2.2695881506742244</v>
      </c>
      <c r="AQ6" s="5775">
        <f>+'Maj Techno Summ'!AR28</f>
        <v>2.4</v>
      </c>
      <c r="AR6" s="2616">
        <f>+'Maj Techno Summ'!AS28</f>
        <v>2.2695881506742244</v>
      </c>
      <c r="AS6" s="2616">
        <f>+'Maj Techno Summ'!AT28</f>
        <v>2.4074390791953979</v>
      </c>
      <c r="AT6" s="5776">
        <f>+'Maj Techno Summ'!AU28</f>
        <v>2.2695881506742244</v>
      </c>
      <c r="AU6" s="5775">
        <f>+'Maj Techno Summ'!AV28</f>
        <v>2.48</v>
      </c>
      <c r="AV6" s="2616">
        <f>+'Maj Techno Summ'!AW28</f>
        <v>2.2695881506742244</v>
      </c>
      <c r="AW6" s="2621">
        <f>+'Maj Techno Summ'!AX28</f>
        <v>2.4128933241731332</v>
      </c>
      <c r="AX6" s="5776">
        <f>+'Maj Techno Summ'!AY28</f>
        <v>2.2695881506742244</v>
      </c>
      <c r="AY6" s="5775">
        <f>+'Maj Techno Summ'!AZ28</f>
        <v>2.37</v>
      </c>
      <c r="AZ6" s="2620">
        <f>+'Maj Techno Summ'!BA28</f>
        <v>2.2695881506742244</v>
      </c>
      <c r="BA6" s="2620">
        <f>+'Maj Techno Summ'!BB28</f>
        <v>2.4115605155409652</v>
      </c>
      <c r="BB6" s="2622">
        <f>+'Maj Techno Summ'!BC28</f>
        <v>2.2695881506742244</v>
      </c>
      <c r="BC6" s="2622">
        <f>+'Maj Techno Summ'!BD28</f>
        <v>2.4600872687920416</v>
      </c>
      <c r="BD6" s="2621">
        <f>+'Maj Techno Summ'!BE28</f>
        <v>2.2695881506742244</v>
      </c>
      <c r="BE6" s="2621">
        <f>+'Maj Techno Summ'!BF28</f>
        <v>2.4090645904537564</v>
      </c>
    </row>
    <row r="7" spans="2:95" ht="15.6" x14ac:dyDescent="0.3">
      <c r="B7" s="1680" t="s">
        <v>422</v>
      </c>
      <c r="C7" s="4072" t="s">
        <v>532</v>
      </c>
      <c r="D7" s="5774">
        <f>+'Maj Techno Summ'!E29</f>
        <v>0.5</v>
      </c>
      <c r="E7" s="5775">
        <f>+'Maj Techno Summ'!F29</f>
        <v>0.5</v>
      </c>
      <c r="F7" s="5774">
        <f>+'Maj Techno Summ'!G29</f>
        <v>0.5</v>
      </c>
      <c r="G7" s="5775">
        <f>+'Maj Techno Summ'!H29</f>
        <v>0.49199999999999999</v>
      </c>
      <c r="H7" s="4082">
        <f>+'Maj Techno Summ'!I29</f>
        <v>0.5</v>
      </c>
      <c r="I7" s="4082">
        <f>+'Maj Techno Summ'!J29</f>
        <v>0.49573296548242118</v>
      </c>
      <c r="J7" s="5774">
        <f>+'Maj Techno Summ'!K29</f>
        <v>0.5</v>
      </c>
      <c r="K7" s="5775">
        <f>+'Maj Techno Summ'!L29</f>
        <v>0.5</v>
      </c>
      <c r="L7" s="4083">
        <f>+'Maj Techno Summ'!M29</f>
        <v>0.5</v>
      </c>
      <c r="M7" s="4083">
        <f>+'Maj Techno Summ'!N29</f>
        <v>0.49724483525951413</v>
      </c>
      <c r="N7" s="5774">
        <f>+'Maj Techno Summ'!O29</f>
        <v>0.5</v>
      </c>
      <c r="O7" s="5775">
        <f>+'Maj Techno Summ'!P29</f>
        <v>0.5</v>
      </c>
      <c r="P7" s="4082">
        <f>+'Maj Techno Summ'!Q29</f>
        <v>0.5</v>
      </c>
      <c r="Q7" s="4082">
        <f>+'Maj Techno Summ'!R29</f>
        <v>0.49798771435829897</v>
      </c>
      <c r="R7" s="5774">
        <f>+'Maj Techno Summ'!S29</f>
        <v>0.5</v>
      </c>
      <c r="S7" s="5775">
        <f>+'Maj Techno Summ'!T29</f>
        <v>0.5</v>
      </c>
      <c r="T7" s="4082">
        <f>+'Maj Techno Summ'!U29</f>
        <v>0.5</v>
      </c>
      <c r="U7" s="4082">
        <f>+'Maj Techno Summ'!V29</f>
        <v>0.49839348944963274</v>
      </c>
      <c r="V7" s="5774">
        <f>+'Maj Techno Summ'!W29</f>
        <v>0.5</v>
      </c>
      <c r="W7" s="5775">
        <f>+'Maj Techno Summ'!X29</f>
        <v>0.5</v>
      </c>
      <c r="X7" s="4083">
        <f>+'Maj Techno Summ'!Y29</f>
        <v>0.5</v>
      </c>
      <c r="Y7" s="4083">
        <f>+'Maj Techno Summ'!Z29</f>
        <v>0.5</v>
      </c>
      <c r="Z7" s="4084">
        <f>+'Maj Techno Summ'!AA29</f>
        <v>0.5</v>
      </c>
      <c r="AA7" s="4084">
        <f>+'Maj Techno Summ'!AB29</f>
        <v>0.49865282705754593</v>
      </c>
      <c r="AB7" s="5774">
        <f>+'Maj Techno Summ'!AC29</f>
        <v>0.5</v>
      </c>
      <c r="AC7" s="5775">
        <f>+'Maj Techno Summ'!AD29</f>
        <v>0.5</v>
      </c>
      <c r="AD7" s="4082">
        <f>+'Maj Techno Summ'!AE29</f>
        <v>0.5</v>
      </c>
      <c r="AE7" s="4082">
        <f>+'Maj Techno Summ'!AF29</f>
        <v>0.49880519273965673</v>
      </c>
      <c r="AF7" s="5774">
        <f>+'Maj Techno Summ'!AG29</f>
        <v>0.5</v>
      </c>
      <c r="AG7" s="5775">
        <f>+'Maj Techno Summ'!AH29</f>
        <v>0.46</v>
      </c>
      <c r="AH7" s="4082">
        <f>+'Maj Techno Summ'!AI29</f>
        <v>0.5</v>
      </c>
      <c r="AI7" s="4085">
        <f>+'Maj Techno Summ'!AJ29</f>
        <v>0.49389552384443852</v>
      </c>
      <c r="AJ7" s="5774">
        <f>+'Maj Techno Summ'!AK29</f>
        <v>0.5</v>
      </c>
      <c r="AK7" s="5775">
        <f>+'Maj Techno Summ'!AL29</f>
        <v>0.49</v>
      </c>
      <c r="AL7" s="2617">
        <f>+'Maj Techno Summ'!AM29</f>
        <v>0.5</v>
      </c>
      <c r="AM7" s="2617">
        <f>+'Maj Techno Summ'!AN29</f>
        <v>0.48208007551300947</v>
      </c>
      <c r="AN7" s="2616">
        <f>+'Maj Techno Summ'!AO29</f>
        <v>0.5</v>
      </c>
      <c r="AO7" s="2616">
        <f>+'Maj Techno Summ'!AP29</f>
        <v>0.49344980300833369</v>
      </c>
      <c r="AP7" s="5774">
        <f>+'Maj Techno Summ'!AQ29</f>
        <v>0.5</v>
      </c>
      <c r="AQ7" s="5775">
        <f>+'Maj Techno Summ'!AR29</f>
        <v>0.5</v>
      </c>
      <c r="AR7" s="2616">
        <f>+'Maj Techno Summ'!AS29</f>
        <v>0.5</v>
      </c>
      <c r="AS7" s="2616">
        <f>+'Maj Techno Summ'!AT29</f>
        <v>0.49410600621958684</v>
      </c>
      <c r="AT7" s="5774">
        <f>+'Maj Techno Summ'!AU29</f>
        <v>0.5</v>
      </c>
      <c r="AU7" s="5775">
        <f>+'Maj Techno Summ'!AV29</f>
        <v>0.52</v>
      </c>
      <c r="AV7" s="2616">
        <f>+'Maj Techno Summ'!AW29</f>
        <v>0.5</v>
      </c>
      <c r="AW7" s="2616">
        <f>+'Maj Techno Summ'!AX29</f>
        <v>0.49605240083481861</v>
      </c>
      <c r="AX7" s="5774">
        <f>+'Maj Techno Summ'!AY29</f>
        <v>0.5</v>
      </c>
      <c r="AY7" s="5775">
        <f>+'Maj Techno Summ'!AZ29</f>
        <v>0.5</v>
      </c>
      <c r="AZ7" s="2617">
        <f>+'Maj Techno Summ'!BA29</f>
        <v>0.5</v>
      </c>
      <c r="BA7" s="2617">
        <f>+'Maj Techno Summ'!BB29</f>
        <v>0.50565536150682489</v>
      </c>
      <c r="BB7" s="2618">
        <f>+'Maj Techno Summ'!BC29</f>
        <v>0.5</v>
      </c>
      <c r="BC7" s="2618">
        <f>+'Maj Techno Summ'!BD29</f>
        <v>0.49396979738255292</v>
      </c>
      <c r="BD7" s="2616">
        <f>+'Maj Techno Summ'!BE29</f>
        <v>0.5</v>
      </c>
      <c r="BE7" s="2616">
        <f>+'Maj Techno Summ'!BF29</f>
        <v>0.49640477049433274</v>
      </c>
    </row>
    <row r="8" spans="2:95" ht="18.75" customHeight="1" x14ac:dyDescent="0.3">
      <c r="B8" s="1680" t="s">
        <v>602</v>
      </c>
      <c r="C8" s="4072" t="s">
        <v>354</v>
      </c>
      <c r="D8" s="1572">
        <f>+'B-FCE'!E18</f>
        <v>94248</v>
      </c>
      <c r="E8" s="4064">
        <f>+'B-FCE'!F18</f>
        <v>82292.874200000006</v>
      </c>
      <c r="F8" s="1572">
        <f>+'B-FCE'!G18</f>
        <v>97240</v>
      </c>
      <c r="G8" s="4064">
        <f>+'B-FCE'!H18</f>
        <v>88384.934200000003</v>
      </c>
      <c r="H8" s="5772">
        <f>+'B-FCE'!I18</f>
        <v>191488</v>
      </c>
      <c r="I8" s="5772">
        <f>+'B-FCE'!J18</f>
        <v>170677.80840000001</v>
      </c>
      <c r="J8" s="1572">
        <f>+'B-FCE'!K18</f>
        <v>94248</v>
      </c>
      <c r="K8" s="4064">
        <f>+'B-FCE'!L18</f>
        <v>82876.476500000019</v>
      </c>
      <c r="L8" s="4070">
        <f>+'B-FCE'!M18</f>
        <v>285736</v>
      </c>
      <c r="M8" s="4070">
        <f>+'B-FCE'!N18</f>
        <v>253554.28490000003</v>
      </c>
      <c r="N8" s="1572">
        <f>+'B-FCE'!O18</f>
        <v>95370</v>
      </c>
      <c r="O8" s="4064">
        <f>+'B-FCE'!P18</f>
        <v>93382.704500000007</v>
      </c>
      <c r="P8" s="5772">
        <f>+'B-FCE'!Q18</f>
        <v>381106</v>
      </c>
      <c r="Q8" s="5772">
        <f>+'B-FCE'!R18</f>
        <v>346936.98940000002</v>
      </c>
      <c r="R8" s="1572">
        <f>+'B-FCE'!S18</f>
        <v>95370</v>
      </c>
      <c r="S8" s="4064">
        <f>+'B-FCE'!T18</f>
        <v>91267.827300000004</v>
      </c>
      <c r="T8" s="5772">
        <f>+'B-FCE'!U18</f>
        <v>476476</v>
      </c>
      <c r="U8" s="5772">
        <f>+'B-FCE'!V18</f>
        <v>438204.81670000002</v>
      </c>
      <c r="V8" s="1572">
        <f>+'B-FCE'!W18</f>
        <v>52360</v>
      </c>
      <c r="W8" s="4064">
        <f>+'B-FCE'!X18</f>
        <v>85644.341079999984</v>
      </c>
      <c r="X8" s="4070">
        <f>+'B-FCE'!Y18</f>
        <v>243100</v>
      </c>
      <c r="Y8" s="4070">
        <f>+'B-FCE'!Z18</f>
        <v>270294.87287999998</v>
      </c>
      <c r="Z8" s="5773">
        <f>+'B-FCE'!AA18</f>
        <v>528836</v>
      </c>
      <c r="AA8" s="5773">
        <f>+'B-FCE'!AB18</f>
        <v>523849.15778000001</v>
      </c>
      <c r="AB8" s="1572">
        <f>+'B-FCE'!AC18</f>
        <v>97240</v>
      </c>
      <c r="AC8" s="4064">
        <f>+'B-FCE'!AD18</f>
        <v>78915.736300000004</v>
      </c>
      <c r="AD8" s="5772">
        <f>+'B-FCE'!AE18</f>
        <v>626076</v>
      </c>
      <c r="AE8" s="5772">
        <f>+'B-FCE'!AF18</f>
        <v>602764.89408</v>
      </c>
      <c r="AF8" s="1572">
        <f>+'B-FCE'!AG18</f>
        <v>94248</v>
      </c>
      <c r="AG8" s="4064">
        <f>+'B-FCE'!AH18</f>
        <v>94911.346619999982</v>
      </c>
      <c r="AH8" s="5772">
        <f>+'B-FCE'!AI18</f>
        <v>720324</v>
      </c>
      <c r="AI8" s="1165">
        <f>+'B-FCE'!AJ18</f>
        <v>697676.24069999997</v>
      </c>
      <c r="AJ8" s="1572">
        <f>+'B-FCE'!AK18</f>
        <v>97240</v>
      </c>
      <c r="AK8" s="4064">
        <f>+'B-FCE'!AL18</f>
        <v>97411.773899999986</v>
      </c>
      <c r="AL8" s="2540">
        <f>+'B-FCE'!AM18</f>
        <v>288728</v>
      </c>
      <c r="AM8" s="2540">
        <f>+'B-FCE'!AN18</f>
        <v>271238.85681999999</v>
      </c>
      <c r="AN8" s="2549">
        <f>+'B-FCE'!AO18</f>
        <v>817564</v>
      </c>
      <c r="AO8" s="2549">
        <f>+'B-FCE'!AP18</f>
        <v>795088.01459999999</v>
      </c>
      <c r="AP8" s="1572">
        <f>+'B-FCE'!AQ18</f>
        <v>98736</v>
      </c>
      <c r="AQ8" s="4064">
        <f>+'B-FCE'!AR18</f>
        <v>94120.661200000002</v>
      </c>
      <c r="AR8" s="2549">
        <f>+'B-FCE'!AS18</f>
        <v>916300</v>
      </c>
      <c r="AS8" s="2549">
        <f>+'B-FCE'!AT18</f>
        <v>889208.67579999997</v>
      </c>
      <c r="AT8" s="1572">
        <f>+'B-FCE'!AU18</f>
        <v>88264</v>
      </c>
      <c r="AU8" s="4064">
        <f>+'B-FCE'!AV18</f>
        <v>71994.837500000009</v>
      </c>
      <c r="AV8" s="2549">
        <f>+'B-FCE'!AW18</f>
        <v>1004564</v>
      </c>
      <c r="AW8" s="2549">
        <f>+'B-FCE'!AX18</f>
        <v>961203.51329999999</v>
      </c>
      <c r="AX8" s="1572">
        <f>+'B-FCE'!AY18</f>
        <v>98736</v>
      </c>
      <c r="AY8" s="4064">
        <f>+'B-FCE'!AZ18</f>
        <v>86992.666500000036</v>
      </c>
      <c r="AZ8" s="2540">
        <f>+'B-FCE'!BA18</f>
        <v>285736</v>
      </c>
      <c r="BA8" s="2540">
        <f>+'B-FCE'!BB18</f>
        <v>253108.16520000005</v>
      </c>
      <c r="BB8" s="2541">
        <f>+'B-FCE'!BC18</f>
        <v>574464</v>
      </c>
      <c r="BC8" s="2541">
        <f>+'B-FCE'!BD18</f>
        <v>524347.02202000003</v>
      </c>
      <c r="BD8" s="2549">
        <f>+'B-FCE'!BE18</f>
        <v>1103300</v>
      </c>
      <c r="BE8" s="2549">
        <f>+'B-FCE'!BF18</f>
        <v>1048196.1798</v>
      </c>
    </row>
    <row r="9" spans="2:95" ht="15.6" x14ac:dyDescent="0.3">
      <c r="B9" s="1681" t="s">
        <v>605</v>
      </c>
      <c r="C9" s="4072" t="s">
        <v>354</v>
      </c>
      <c r="D9" s="1572">
        <f>+'Maj Production Summ'!E28</f>
        <v>92363.04</v>
      </c>
      <c r="E9" s="4064">
        <f>+'Maj Production Summ'!F28</f>
        <v>70955.830536000009</v>
      </c>
      <c r="F9" s="1572">
        <f>+'Maj Production Summ'!G28</f>
        <v>95295.2</v>
      </c>
      <c r="G9" s="4064">
        <f>+'Maj Production Summ'!H28</f>
        <v>75418.546496999988</v>
      </c>
      <c r="H9" s="5772">
        <f>+'Maj Production Summ'!I28</f>
        <v>187658.23999999999</v>
      </c>
      <c r="I9" s="5772">
        <f>+'Maj Production Summ'!J28</f>
        <v>146374.377033</v>
      </c>
      <c r="J9" s="1572">
        <f>+'Maj Production Summ'!K28</f>
        <v>92363.04</v>
      </c>
      <c r="K9" s="4064">
        <f>+'Maj Production Summ'!L28</f>
        <v>72846.055192</v>
      </c>
      <c r="L9" s="4070">
        <f>+'Maj Production Summ'!M28</f>
        <v>280021.27999999997</v>
      </c>
      <c r="M9" s="4070">
        <f>+'Maj Production Summ'!N28</f>
        <v>219220.432225</v>
      </c>
      <c r="N9" s="1572">
        <f>+'Maj Production Summ'!O28</f>
        <v>93462.6</v>
      </c>
      <c r="O9" s="4064">
        <f>+'Maj Production Summ'!P28</f>
        <v>75682.969600000011</v>
      </c>
      <c r="P9" s="5772">
        <f>+'Maj Production Summ'!Q28</f>
        <v>373483.88</v>
      </c>
      <c r="Q9" s="5772">
        <f>+'Maj Production Summ'!R28</f>
        <v>294903.40182500001</v>
      </c>
      <c r="R9" s="1572">
        <f>+'Maj Production Summ'!S28</f>
        <v>93462.6</v>
      </c>
      <c r="S9" s="4064">
        <f>+'Maj Production Summ'!T28</f>
        <v>80832.023354799981</v>
      </c>
      <c r="T9" s="5772">
        <f>+'Maj Production Summ'!U28</f>
        <v>466946.48</v>
      </c>
      <c r="U9" s="5772">
        <f>+'Maj Production Summ'!V28</f>
        <v>375735.42517980002</v>
      </c>
      <c r="V9" s="1572">
        <f>+'Maj Production Summ'!W28</f>
        <v>51312.800000000003</v>
      </c>
      <c r="W9" s="4064">
        <f>+'Maj Production Summ'!X28</f>
        <v>79584.048650599972</v>
      </c>
      <c r="X9" s="4070">
        <f>+'Maj Production Summ'!Y28</f>
        <v>238238</v>
      </c>
      <c r="Y9" s="4070">
        <f>+'Maj Production Summ'!Z28</f>
        <v>236099.04160539998</v>
      </c>
      <c r="Z9" s="5773">
        <f>+'Maj Production Summ'!AA28</f>
        <v>518259.27999999997</v>
      </c>
      <c r="AA9" s="5773">
        <f>+'Maj Production Summ'!AB28</f>
        <v>455319.47383039998</v>
      </c>
      <c r="AB9" s="1572">
        <f>+'Maj Production Summ'!AC28</f>
        <v>95295.2</v>
      </c>
      <c r="AC9" s="4064">
        <f>+'Maj Production Summ'!AD28</f>
        <v>63840.921898000001</v>
      </c>
      <c r="AD9" s="5772">
        <f>+'Maj Production Summ'!AE28</f>
        <v>613554.48</v>
      </c>
      <c r="AE9" s="5772">
        <f>+'Maj Production Summ'!AF28</f>
        <v>519160.39572839998</v>
      </c>
      <c r="AF9" s="1572">
        <f>+'Maj Production Summ'!AG28</f>
        <v>92363.04</v>
      </c>
      <c r="AG9" s="4064">
        <f>+'Maj Production Summ'!AH28</f>
        <v>88321.763468000005</v>
      </c>
      <c r="AH9" s="5772">
        <f>+'Maj Production Summ'!AI28</f>
        <v>705917.52</v>
      </c>
      <c r="AI9" s="1165">
        <f>+'Maj Production Summ'!AJ28</f>
        <v>607482.15919639997</v>
      </c>
      <c r="AJ9" s="1572">
        <f>+'Maj Production Summ'!AK28</f>
        <v>95295.2</v>
      </c>
      <c r="AK9" s="4064">
        <f>+'Maj Production Summ'!AL28</f>
        <v>84104.854628999979</v>
      </c>
      <c r="AL9" s="2540">
        <f>+'Maj Production Summ'!AM28</f>
        <v>282953.44</v>
      </c>
      <c r="AM9" s="2540">
        <f>+'Maj Production Summ'!AN28</f>
        <v>236267.53999499997</v>
      </c>
      <c r="AN9" s="2549">
        <f>+'Maj Production Summ'!AO28</f>
        <v>801212.72</v>
      </c>
      <c r="AO9" s="2549">
        <f>+'Maj Production Summ'!AP28</f>
        <v>691587.01382539992</v>
      </c>
      <c r="AP9" s="1572">
        <f>+'Maj Production Summ'!AQ28</f>
        <v>96761.279999999999</v>
      </c>
      <c r="AQ9" s="4064">
        <f>+'Maj Production Summ'!AR28</f>
        <v>81040.671480000005</v>
      </c>
      <c r="AR9" s="2549">
        <f>+'Maj Production Summ'!AS28</f>
        <v>897974</v>
      </c>
      <c r="AS9" s="2549">
        <f>+'Maj Production Summ'!AT28</f>
        <v>772627.68530539994</v>
      </c>
      <c r="AT9" s="1572">
        <f>+'Maj Production Summ'!AU28</f>
        <v>86498.72</v>
      </c>
      <c r="AU9" s="4064">
        <f>+'Maj Production Summ'!AV28</f>
        <v>67236.848248000024</v>
      </c>
      <c r="AV9" s="2549">
        <f>+'Maj Production Summ'!AW28</f>
        <v>984472.72</v>
      </c>
      <c r="AW9" s="2549">
        <f>+'Maj Production Summ'!AX28</f>
        <v>839864.53355339996</v>
      </c>
      <c r="AX9" s="1572">
        <f>+'Maj Production Summ'!AY28</f>
        <v>96761.279999999999</v>
      </c>
      <c r="AY9" s="4064">
        <f>+'Maj Production Summ'!AZ28</f>
        <v>71373.051535000021</v>
      </c>
      <c r="AZ9" s="2540">
        <f>+'Maj Production Summ'!BA28</f>
        <v>280021.28000000003</v>
      </c>
      <c r="BA9" s="2540">
        <f>+'Maj Production Summ'!BB28</f>
        <v>219650.57126300008</v>
      </c>
      <c r="BB9" s="2541">
        <f>+'Maj Production Summ'!BC28</f>
        <v>562974.71999999997</v>
      </c>
      <c r="BC9" s="2541">
        <f>+'Maj Production Summ'!BD28</f>
        <v>455918.11125800002</v>
      </c>
      <c r="BD9" s="2549">
        <f>+'Maj Production Summ'!BE28</f>
        <v>1081234</v>
      </c>
      <c r="BE9" s="2549">
        <f>+'Maj Production Summ'!BF28</f>
        <v>911237.58508839994</v>
      </c>
    </row>
    <row r="10" spans="2:95" ht="15.6" x14ac:dyDescent="0.3">
      <c r="B10" s="1681" t="s">
        <v>607</v>
      </c>
      <c r="C10" s="4072" t="s">
        <v>354</v>
      </c>
      <c r="D10" s="1572">
        <v>0</v>
      </c>
      <c r="E10" s="4064">
        <f>+'Direct sales IPT details'!E107</f>
        <v>11652.96</v>
      </c>
      <c r="F10" s="1572">
        <v>0</v>
      </c>
      <c r="G10" s="4064">
        <f>+'Direct sales IPT details'!G107</f>
        <v>9682.7800000000043</v>
      </c>
      <c r="H10" s="5772">
        <f t="shared" ref="H10" si="0">+D10+F10</f>
        <v>0</v>
      </c>
      <c r="I10" s="5772">
        <f t="shared" ref="I10" si="1">+E10+G10</f>
        <v>21335.740000000005</v>
      </c>
      <c r="J10" s="1572">
        <v>0</v>
      </c>
      <c r="K10" s="4064">
        <f>+'Direct sales IPT details'!K107</f>
        <v>10995.34</v>
      </c>
      <c r="L10" s="4070">
        <f t="shared" ref="L10:M13" si="2">+D10+F10+J10</f>
        <v>0</v>
      </c>
      <c r="M10" s="4070">
        <f t="shared" si="2"/>
        <v>32331.080000000005</v>
      </c>
      <c r="N10" s="1572">
        <v>0</v>
      </c>
      <c r="O10" s="4064">
        <f>+'Direct sales IPT details'!O107</f>
        <v>7669.560000000004</v>
      </c>
      <c r="P10" s="5772">
        <f t="shared" ref="P10:P13" si="3">+L10+N10</f>
        <v>0</v>
      </c>
      <c r="Q10" s="5772">
        <f t="shared" ref="Q10:Q13" si="4">+M10+O10</f>
        <v>40000.640000000007</v>
      </c>
      <c r="R10" s="1572">
        <v>0</v>
      </c>
      <c r="S10" s="4064">
        <f>+'Direct sales IPT details'!S107</f>
        <v>9528.32</v>
      </c>
      <c r="T10" s="5772">
        <f t="shared" ref="T10:T13" si="5">+P10+R10</f>
        <v>0</v>
      </c>
      <c r="U10" s="5772">
        <f t="shared" ref="U10:U13" si="6">+Q10+S10</f>
        <v>49528.960000000006</v>
      </c>
      <c r="V10" s="1572">
        <v>0</v>
      </c>
      <c r="W10" s="4064">
        <f>+'Direct sales IPT details'!W107</f>
        <v>1893.0800000000002</v>
      </c>
      <c r="X10" s="4070">
        <f t="shared" ref="X10" si="7">+P10+R10+V10</f>
        <v>0</v>
      </c>
      <c r="Y10" s="4070">
        <f>+O10+S10+W10</f>
        <v>19090.960000000006</v>
      </c>
      <c r="Z10" s="5773">
        <f>+X10+L10</f>
        <v>0</v>
      </c>
      <c r="AA10" s="5773">
        <f>+Y10+M10</f>
        <v>51422.040000000008</v>
      </c>
      <c r="AB10" s="1572">
        <v>0</v>
      </c>
      <c r="AC10" s="4064">
        <f>+'Direct sales IPT details'!AC107</f>
        <v>0</v>
      </c>
      <c r="AD10" s="5772">
        <f t="shared" ref="AD10:AD13" si="8">+Z10+AB10</f>
        <v>0</v>
      </c>
      <c r="AE10" s="5772">
        <f t="shared" ref="AE10:AE13" si="9">+AA10+AC10</f>
        <v>51422.040000000008</v>
      </c>
      <c r="AF10" s="1572">
        <v>0</v>
      </c>
      <c r="AG10" s="4064">
        <f>+'Direct sales IPT details'!AG107</f>
        <v>9014.26</v>
      </c>
      <c r="AH10" s="5772">
        <f t="shared" ref="AH10:AH13" si="10">+AD10+AF10</f>
        <v>0</v>
      </c>
      <c r="AI10" s="1165">
        <f t="shared" ref="AI10:AI13" si="11">+AE10+AG10</f>
        <v>60436.30000000001</v>
      </c>
      <c r="AJ10" s="1572">
        <v>0</v>
      </c>
      <c r="AK10" s="4064">
        <f>+'Direct sales IPT details'!AK107</f>
        <v>6343.67</v>
      </c>
      <c r="AL10" s="2540">
        <f t="shared" ref="AL10" si="12">+AD10+AF10+AJ10</f>
        <v>0</v>
      </c>
      <c r="AM10" s="2540">
        <f>+AC10+AG10+AK10</f>
        <v>15357.93</v>
      </c>
      <c r="AN10" s="2549">
        <f t="shared" ref="AN10:AN13" si="13">+AH10+AJ10</f>
        <v>0</v>
      </c>
      <c r="AO10" s="2549">
        <f t="shared" ref="AO10:AO13" si="14">+AI10+AK10</f>
        <v>66779.970000000016</v>
      </c>
      <c r="AP10" s="1572">
        <v>0</v>
      </c>
      <c r="AQ10" s="4064">
        <f>+'Direct sales IPT details'!AQ107</f>
        <v>3157.06</v>
      </c>
      <c r="AR10" s="2549">
        <f t="shared" ref="AR10:AR13" si="15">+AN10+AP10</f>
        <v>0</v>
      </c>
      <c r="AS10" s="2549">
        <f t="shared" ref="AS10:AS13" si="16">+AO10+AQ10</f>
        <v>69937.030000000013</v>
      </c>
      <c r="AT10" s="1572">
        <v>0</v>
      </c>
      <c r="AU10" s="4064">
        <f>+'Direct sales IPT details'!AU107</f>
        <v>13556.819999999998</v>
      </c>
      <c r="AV10" s="2549">
        <f t="shared" ref="AV10:AV13" si="17">+AR10+AT10</f>
        <v>0</v>
      </c>
      <c r="AW10" s="2549">
        <f t="shared" ref="AW10:AW13" si="18">+AS10+AU10</f>
        <v>83493.850000000006</v>
      </c>
      <c r="AX10" s="1572">
        <v>0</v>
      </c>
      <c r="AY10" s="4064">
        <f>+'Direct sales IPT details'!AY107</f>
        <v>7994.9599999999982</v>
      </c>
      <c r="AZ10" s="2540">
        <f>+'Direct sales IPT details'!AZ107</f>
        <v>0</v>
      </c>
      <c r="BA10" s="2540">
        <f>+'Direct sales IPT details'!BA107</f>
        <v>24708.839999999997</v>
      </c>
      <c r="BB10" s="2541">
        <f>+'Direct sales IPT details'!BB107</f>
        <v>0</v>
      </c>
      <c r="BC10" s="2541">
        <f>+'Direct sales IPT details'!BC107</f>
        <v>40066.769999999997</v>
      </c>
      <c r="BD10" s="2549">
        <f>+'Direct sales IPT details'!BD107</f>
        <v>0</v>
      </c>
      <c r="BE10" s="2549">
        <f>+'Direct sales IPT details'!BE107</f>
        <v>91488.81</v>
      </c>
    </row>
    <row r="11" spans="2:95" ht="15.6" x14ac:dyDescent="0.3">
      <c r="B11" s="5361" t="s">
        <v>2288</v>
      </c>
      <c r="C11" s="5362"/>
      <c r="D11" s="5778"/>
      <c r="E11" s="5363"/>
      <c r="F11" s="5778"/>
      <c r="G11" s="5363"/>
      <c r="H11" s="5354"/>
      <c r="I11" s="5354"/>
      <c r="J11" s="5778"/>
      <c r="K11" s="5363"/>
      <c r="L11" s="5364"/>
      <c r="M11" s="5364"/>
      <c r="N11" s="5778"/>
      <c r="O11" s="5363"/>
      <c r="P11" s="5354"/>
      <c r="Q11" s="5354"/>
      <c r="R11" s="5778"/>
      <c r="S11" s="5363"/>
      <c r="T11" s="5354"/>
      <c r="U11" s="5354"/>
      <c r="V11" s="5778"/>
      <c r="W11" s="5363"/>
      <c r="X11" s="5364"/>
      <c r="Y11" s="5364"/>
      <c r="Z11" s="5365"/>
      <c r="AA11" s="5365"/>
      <c r="AB11" s="5778"/>
      <c r="AC11" s="5363"/>
      <c r="AD11" s="5354"/>
      <c r="AE11" s="5354"/>
      <c r="AF11" s="5778"/>
      <c r="AG11" s="5363"/>
      <c r="AH11" s="5354"/>
      <c r="AI11" s="5366"/>
      <c r="AJ11" s="5778"/>
      <c r="AK11" s="5363"/>
      <c r="AL11" s="2540">
        <f t="shared" ref="AL11" si="19">+AD11+AF11+AJ11</f>
        <v>0</v>
      </c>
      <c r="AM11" s="2540">
        <f>+AC11+AG11+AK11</f>
        <v>0</v>
      </c>
      <c r="AN11" s="2549">
        <f t="shared" ref="AN11" si="20">+AH11+AJ11</f>
        <v>0</v>
      </c>
      <c r="AO11" s="2549">
        <f t="shared" ref="AO11" si="21">+AI11+AK11</f>
        <v>0</v>
      </c>
      <c r="AP11" s="1572">
        <v>0</v>
      </c>
      <c r="AQ11" s="4064">
        <f>+'Direct sales IPT details'!AQ108</f>
        <v>36.299999999999997</v>
      </c>
      <c r="AR11" s="2549">
        <f t="shared" ref="AR11" si="22">+AN11+AP11</f>
        <v>0</v>
      </c>
      <c r="AS11" s="2549">
        <f t="shared" ref="AS11" si="23">+AO11+AQ11</f>
        <v>36.299999999999997</v>
      </c>
      <c r="AT11" s="1572">
        <v>0</v>
      </c>
      <c r="AU11" s="4064">
        <f>+'Direct sales IPT details'!AU108</f>
        <v>0</v>
      </c>
      <c r="AV11" s="2549">
        <f t="shared" ref="AV11" si="24">+AR11+AT11</f>
        <v>0</v>
      </c>
      <c r="AW11" s="2549">
        <f t="shared" ref="AW11" si="25">+AS11+AU11</f>
        <v>36.299999999999997</v>
      </c>
      <c r="AX11" s="1572">
        <v>0</v>
      </c>
      <c r="AY11" s="4064">
        <f>+'Direct sales IPT details'!AY108</f>
        <v>0</v>
      </c>
      <c r="AZ11" s="2540">
        <f>+'Direct sales IPT details'!AZ108</f>
        <v>0</v>
      </c>
      <c r="BA11" s="2540">
        <f>+'Direct sales IPT details'!BA108</f>
        <v>36.299999999999997</v>
      </c>
      <c r="BB11" s="2541">
        <f>+'Direct sales IPT details'!BB108</f>
        <v>0</v>
      </c>
      <c r="BC11" s="2541">
        <f>+'Direct sales IPT details'!BC108</f>
        <v>36.299999999999997</v>
      </c>
      <c r="BD11" s="2549">
        <f>+'Direct sales IPT details'!BD108</f>
        <v>0</v>
      </c>
      <c r="BE11" s="2549">
        <f>+'Direct sales IPT details'!BE108</f>
        <v>36.299999999999997</v>
      </c>
    </row>
    <row r="12" spans="2:95" ht="15.6" x14ac:dyDescent="0.3">
      <c r="B12" s="1681" t="s">
        <v>1195</v>
      </c>
      <c r="C12" s="4072" t="s">
        <v>354</v>
      </c>
      <c r="D12" s="1572">
        <f>+'Maj Production Summ'!E28</f>
        <v>92363.04</v>
      </c>
      <c r="E12" s="4064">
        <f>+'Direct sales IPT details'!E109</f>
        <v>82850.87</v>
      </c>
      <c r="F12" s="1572">
        <f>+'Maj Production Summ'!G28</f>
        <v>95295.2</v>
      </c>
      <c r="G12" s="4064">
        <f>+'Direct sales IPT details'!G109</f>
        <v>83444.700000000012</v>
      </c>
      <c r="H12" s="5772">
        <f t="shared" ref="H12:I13" si="26">+D12+F12</f>
        <v>187658.23999999999</v>
      </c>
      <c r="I12" s="5772">
        <f t="shared" si="26"/>
        <v>166295.57</v>
      </c>
      <c r="J12" s="1572">
        <f>+'Maj Production Summ'!K28</f>
        <v>92363.04</v>
      </c>
      <c r="K12" s="4064">
        <f>+'Direct sales IPT details'!K109</f>
        <v>77025.87</v>
      </c>
      <c r="L12" s="4070">
        <f t="shared" si="2"/>
        <v>280021.27999999997</v>
      </c>
      <c r="M12" s="4070">
        <f t="shared" si="2"/>
        <v>243321.44</v>
      </c>
      <c r="N12" s="1572">
        <f>+'Maj Production Summ'!O28</f>
        <v>93462.6</v>
      </c>
      <c r="O12" s="4064">
        <f>+'Direct sales IPT details'!O109</f>
        <v>101956.98999999999</v>
      </c>
      <c r="P12" s="5772">
        <f t="shared" si="3"/>
        <v>373483.88</v>
      </c>
      <c r="Q12" s="5772">
        <f t="shared" si="4"/>
        <v>345278.43</v>
      </c>
      <c r="R12" s="1572">
        <f>+'Maj Production Summ'!S28</f>
        <v>93462.6</v>
      </c>
      <c r="S12" s="4064">
        <f>+'Direct sales IPT details'!S109</f>
        <v>82745.340000000011</v>
      </c>
      <c r="T12" s="5772">
        <f t="shared" si="5"/>
        <v>466946.48</v>
      </c>
      <c r="U12" s="5772">
        <f t="shared" si="6"/>
        <v>428023.77</v>
      </c>
      <c r="V12" s="1572">
        <f>+'Maj Production Summ'!W28</f>
        <v>51312.800000000003</v>
      </c>
      <c r="W12" s="4064">
        <f>+'Direct sales IPT details'!W109</f>
        <v>87643.580000000016</v>
      </c>
      <c r="X12" s="4070">
        <f>N12+R12+V12</f>
        <v>238238</v>
      </c>
      <c r="Y12" s="4070">
        <f>+O12+S12+W12</f>
        <v>272345.91000000003</v>
      </c>
      <c r="Z12" s="5773">
        <f>+X12+L12</f>
        <v>518259.27999999997</v>
      </c>
      <c r="AA12" s="5773">
        <f>+Y12+M12</f>
        <v>515667.35000000003</v>
      </c>
      <c r="AB12" s="1572">
        <f>+'Maj Production Summ'!AC28</f>
        <v>95295.2</v>
      </c>
      <c r="AC12" s="4064">
        <f>+'Direct sales IPT details'!AC109</f>
        <v>66279.149999999994</v>
      </c>
      <c r="AD12" s="5772">
        <f t="shared" si="8"/>
        <v>613554.48</v>
      </c>
      <c r="AE12" s="5772">
        <f t="shared" si="9"/>
        <v>581946.5</v>
      </c>
      <c r="AF12" s="1572">
        <f>+'Maj Production Summ'!AG28</f>
        <v>92363.04</v>
      </c>
      <c r="AG12" s="4064">
        <f>+'Direct sales IPT details'!AG109</f>
        <v>97341.3</v>
      </c>
      <c r="AH12" s="5772">
        <f t="shared" si="10"/>
        <v>705917.52</v>
      </c>
      <c r="AI12" s="1165">
        <f t="shared" si="11"/>
        <v>679287.8</v>
      </c>
      <c r="AJ12" s="1572">
        <f>+'Maj Production Summ'!AK28</f>
        <v>95295.2</v>
      </c>
      <c r="AK12" s="4064">
        <f>+'Direct sales IPT details'!AK109</f>
        <v>106037.09</v>
      </c>
      <c r="AL12" s="2540">
        <f>AB12+AF12+AJ12</f>
        <v>282953.44</v>
      </c>
      <c r="AM12" s="2540">
        <f>+AC12+AG12+AK12</f>
        <v>269657.54000000004</v>
      </c>
      <c r="AN12" s="2549">
        <f t="shared" si="13"/>
        <v>801212.72</v>
      </c>
      <c r="AO12" s="2549">
        <f t="shared" si="14"/>
        <v>785324.89</v>
      </c>
      <c r="AP12" s="1572">
        <f>+'Maj Production Summ'!AQ28</f>
        <v>96761.279999999999</v>
      </c>
      <c r="AQ12" s="4064">
        <f>+'Direct sales IPT details'!AQ109</f>
        <v>88820.24</v>
      </c>
      <c r="AR12" s="2549">
        <f t="shared" si="15"/>
        <v>897974</v>
      </c>
      <c r="AS12" s="2549">
        <f t="shared" si="16"/>
        <v>874145.13</v>
      </c>
      <c r="AT12" s="1572">
        <f>+'Maj Production Summ'!AU28</f>
        <v>86498.72</v>
      </c>
      <c r="AU12" s="4064">
        <f>+'Direct sales IPT details'!AU109</f>
        <v>77713.41</v>
      </c>
      <c r="AV12" s="2549">
        <f t="shared" si="17"/>
        <v>984472.72</v>
      </c>
      <c r="AW12" s="2549">
        <f t="shared" si="18"/>
        <v>951858.54</v>
      </c>
      <c r="AX12" s="1572">
        <f>+'Maj Production Summ'!AY28</f>
        <v>96761.279999999999</v>
      </c>
      <c r="AY12" s="4064">
        <f>+'Direct sales IPT details'!AY109</f>
        <v>82951.210000000006</v>
      </c>
      <c r="AZ12" s="2540">
        <f>AP12+AT12+AX12</f>
        <v>280021.28000000003</v>
      </c>
      <c r="BA12" s="2540">
        <f>+AQ12+AU12+AY12</f>
        <v>249484.86000000004</v>
      </c>
      <c r="BB12" s="2541">
        <f>+AZ12+AL12</f>
        <v>562974.71999999997</v>
      </c>
      <c r="BC12" s="2541">
        <f>+BA12+AM12</f>
        <v>519142.40000000008</v>
      </c>
      <c r="BD12" s="2549">
        <f t="shared" ref="BD12:BD13" si="27">+AV12+AX12</f>
        <v>1081234</v>
      </c>
      <c r="BE12" s="2549">
        <f t="shared" ref="BE12:BE13" si="28">+AW12+AY12</f>
        <v>1034809.75</v>
      </c>
    </row>
    <row r="13" spans="2:95" ht="15.6" x14ac:dyDescent="0.3">
      <c r="B13" s="1681" t="s">
        <v>606</v>
      </c>
      <c r="C13" s="4072" t="s">
        <v>354</v>
      </c>
      <c r="D13" s="1572">
        <f>SUM(D10:D12)</f>
        <v>92363.04</v>
      </c>
      <c r="E13" s="4064">
        <f>SUM(E10:E12)</f>
        <v>94503.829999999987</v>
      </c>
      <c r="F13" s="1572">
        <f>SUM(F10:F12)</f>
        <v>95295.2</v>
      </c>
      <c r="G13" s="4064">
        <f>SUM(G10:G12)</f>
        <v>93127.48000000001</v>
      </c>
      <c r="H13" s="5772">
        <f t="shared" si="26"/>
        <v>187658.23999999999</v>
      </c>
      <c r="I13" s="5772">
        <f t="shared" si="26"/>
        <v>187631.31</v>
      </c>
      <c r="J13" s="1572">
        <f>SUM(J10:J12)</f>
        <v>92363.04</v>
      </c>
      <c r="K13" s="4064">
        <f>SUM(K10:K12)</f>
        <v>88021.209999999992</v>
      </c>
      <c r="L13" s="4070">
        <f t="shared" si="2"/>
        <v>280021.27999999997</v>
      </c>
      <c r="M13" s="4070">
        <f t="shared" si="2"/>
        <v>275652.52</v>
      </c>
      <c r="N13" s="1572">
        <f>SUM(N10:N12)</f>
        <v>93462.6</v>
      </c>
      <c r="O13" s="4064">
        <f>SUM(O10:O12)</f>
        <v>109626.54999999999</v>
      </c>
      <c r="P13" s="5772">
        <f t="shared" si="3"/>
        <v>373483.88</v>
      </c>
      <c r="Q13" s="5772">
        <f t="shared" si="4"/>
        <v>385279.07</v>
      </c>
      <c r="R13" s="1572">
        <f>SUM(R10:R12)</f>
        <v>93462.6</v>
      </c>
      <c r="S13" s="4064">
        <f>SUM(S10:S12)</f>
        <v>92273.66</v>
      </c>
      <c r="T13" s="5772">
        <f t="shared" si="5"/>
        <v>466946.48</v>
      </c>
      <c r="U13" s="5772">
        <f t="shared" si="6"/>
        <v>477552.73</v>
      </c>
      <c r="V13" s="1572">
        <f>SUM(V10:V12)</f>
        <v>51312.800000000003</v>
      </c>
      <c r="W13" s="4064">
        <f>SUM(W10:W12)</f>
        <v>89536.660000000018</v>
      </c>
      <c r="X13" s="4070">
        <f>SUM(X10:X12)</f>
        <v>238238</v>
      </c>
      <c r="Y13" s="4070">
        <f>+O13+S13+W13</f>
        <v>291436.87</v>
      </c>
      <c r="Z13" s="5773">
        <f t="shared" ref="Z13:AA13" si="29">SUM(Z10:Z12)</f>
        <v>518259.27999999997</v>
      </c>
      <c r="AA13" s="5773">
        <f t="shared" si="29"/>
        <v>567089.39</v>
      </c>
      <c r="AB13" s="1572">
        <f>SUM(AB10:AB12)</f>
        <v>95295.2</v>
      </c>
      <c r="AC13" s="4064">
        <f>SUM(AC10:AC12)</f>
        <v>66279.149999999994</v>
      </c>
      <c r="AD13" s="5772">
        <f t="shared" si="8"/>
        <v>613554.48</v>
      </c>
      <c r="AE13" s="5772">
        <f t="shared" si="9"/>
        <v>633368.54</v>
      </c>
      <c r="AF13" s="1572">
        <f>SUM(AF10:AF12)</f>
        <v>92363.04</v>
      </c>
      <c r="AG13" s="4064">
        <f>SUM(AG10:AG12)</f>
        <v>106355.56</v>
      </c>
      <c r="AH13" s="5772">
        <f t="shared" si="10"/>
        <v>705917.52</v>
      </c>
      <c r="AI13" s="1165">
        <f t="shared" si="11"/>
        <v>739724.10000000009</v>
      </c>
      <c r="AJ13" s="1572">
        <f>SUM(AJ10:AJ12)</f>
        <v>95295.2</v>
      </c>
      <c r="AK13" s="4064">
        <f>SUM(AK10:AK12)</f>
        <v>112380.76</v>
      </c>
      <c r="AL13" s="2540">
        <f>SUM(AL10:AL12)</f>
        <v>282953.44</v>
      </c>
      <c r="AM13" s="2540">
        <f>+AC13+AG13+AK13</f>
        <v>285015.46999999997</v>
      </c>
      <c r="AN13" s="2549">
        <f t="shared" si="13"/>
        <v>801212.72</v>
      </c>
      <c r="AO13" s="2549">
        <f t="shared" si="14"/>
        <v>852104.8600000001</v>
      </c>
      <c r="AP13" s="1572">
        <f>SUM(AP10:AP12)</f>
        <v>96761.279999999999</v>
      </c>
      <c r="AQ13" s="4064">
        <f>SUM(AQ10:AQ12)</f>
        <v>92013.6</v>
      </c>
      <c r="AR13" s="2549">
        <f t="shared" si="15"/>
        <v>897974</v>
      </c>
      <c r="AS13" s="2549">
        <f t="shared" si="16"/>
        <v>944118.46000000008</v>
      </c>
      <c r="AT13" s="1572">
        <f>SUM(AT10:AT12)</f>
        <v>86498.72</v>
      </c>
      <c r="AU13" s="4064">
        <f>SUM(AU10:AU12)</f>
        <v>91270.23</v>
      </c>
      <c r="AV13" s="2549">
        <f t="shared" si="17"/>
        <v>984472.72</v>
      </c>
      <c r="AW13" s="2549">
        <f t="shared" si="18"/>
        <v>1035388.6900000001</v>
      </c>
      <c r="AX13" s="1572">
        <f>SUM(AX10:AX12)</f>
        <v>96761.279999999999</v>
      </c>
      <c r="AY13" s="4064">
        <f>SUM(AY10:AY12)</f>
        <v>90946.17</v>
      </c>
      <c r="AZ13" s="2540">
        <f>SUM(AZ10:AZ12)</f>
        <v>280021.28000000003</v>
      </c>
      <c r="BA13" s="2540">
        <f>+AQ13+AU13+AY13</f>
        <v>274230</v>
      </c>
      <c r="BB13" s="2541">
        <f t="shared" ref="BB13:BC13" si="30">SUM(BB10:BB12)</f>
        <v>562974.71999999997</v>
      </c>
      <c r="BC13" s="2541">
        <f t="shared" si="30"/>
        <v>559245.47000000009</v>
      </c>
      <c r="BD13" s="2549">
        <f t="shared" si="27"/>
        <v>1081234</v>
      </c>
      <c r="BE13" s="2549">
        <f t="shared" si="28"/>
        <v>1126334.8600000001</v>
      </c>
    </row>
    <row r="14" spans="2:95" s="146" customFormat="1" ht="15.6" x14ac:dyDescent="0.3">
      <c r="B14" s="2614" t="s">
        <v>603</v>
      </c>
      <c r="C14" s="4073" t="s">
        <v>49</v>
      </c>
      <c r="D14" s="5782">
        <v>1</v>
      </c>
      <c r="E14" s="5783">
        <f>+E13/E8</f>
        <v>1.1483841209668186</v>
      </c>
      <c r="F14" s="5782">
        <v>1</v>
      </c>
      <c r="G14" s="5783">
        <f>+G13/G8</f>
        <v>1.0536578529239886</v>
      </c>
      <c r="H14" s="5783">
        <v>1</v>
      </c>
      <c r="I14" s="5783">
        <f>+I13/I8</f>
        <v>1.0993304387894869</v>
      </c>
      <c r="J14" s="5782">
        <v>1</v>
      </c>
      <c r="K14" s="5783">
        <f>+K13/K8</f>
        <v>1.0620771263121926</v>
      </c>
      <c r="L14" s="5783">
        <v>1</v>
      </c>
      <c r="M14" s="5783">
        <f t="shared" ref="M14:AA14" si="31">+M13/M8</f>
        <v>1.0871538617803891</v>
      </c>
      <c r="N14" s="5782">
        <v>1</v>
      </c>
      <c r="O14" s="5783">
        <f>+O13/O8</f>
        <v>1.1739491867040537</v>
      </c>
      <c r="P14" s="5783">
        <v>1</v>
      </c>
      <c r="Q14" s="5783">
        <f>+Q13/Q8</f>
        <v>1.1105159777465918</v>
      </c>
      <c r="R14" s="5782">
        <v>1</v>
      </c>
      <c r="S14" s="5783">
        <f>+S13/S8</f>
        <v>1.0110206710267551</v>
      </c>
      <c r="T14" s="5783">
        <v>1</v>
      </c>
      <c r="U14" s="5783">
        <f t="shared" ref="U14" si="32">+U13/U8</f>
        <v>1.0897934294659704</v>
      </c>
      <c r="V14" s="5782">
        <v>1</v>
      </c>
      <c r="W14" s="5783">
        <f>+W13/W8</f>
        <v>1.0454474734806383</v>
      </c>
      <c r="X14" s="5783">
        <v>1</v>
      </c>
      <c r="Y14" s="5783">
        <f t="shared" ref="Y14" si="33">+Y13/Y8</f>
        <v>1.0782182691618654</v>
      </c>
      <c r="Z14" s="5783">
        <v>1</v>
      </c>
      <c r="AA14" s="5783">
        <f t="shared" si="31"/>
        <v>1.0825432886124053</v>
      </c>
      <c r="AB14" s="5782">
        <v>1</v>
      </c>
      <c r="AC14" s="5783">
        <f>+AC13/AC8</f>
        <v>0.83987241464792606</v>
      </c>
      <c r="AD14" s="5783">
        <v>1</v>
      </c>
      <c r="AE14" s="5783">
        <f t="shared" ref="AE14" si="34">+AE13/AE8</f>
        <v>1.0507721106862242</v>
      </c>
      <c r="AF14" s="5782">
        <v>1</v>
      </c>
      <c r="AG14" s="5783">
        <f>+AG13/AG8</f>
        <v>1.1205779265341123</v>
      </c>
      <c r="AH14" s="5783">
        <v>1</v>
      </c>
      <c r="AI14" s="5785">
        <f t="shared" ref="AI14" si="35">+AI13/AI8</f>
        <v>1.0602684409287211</v>
      </c>
      <c r="AJ14" s="5782">
        <v>1</v>
      </c>
      <c r="AK14" s="5783">
        <f>+AK13/AK8</f>
        <v>1.1536671133344387</v>
      </c>
      <c r="AL14" s="5786">
        <v>1</v>
      </c>
      <c r="AM14" s="5786">
        <f t="shared" ref="AM14" si="36">+AM13/AM8</f>
        <v>1.0507914439012049</v>
      </c>
      <c r="AN14" s="5786">
        <v>1</v>
      </c>
      <c r="AO14" s="5786">
        <f t="shared" ref="AO14" si="37">+AO13/AO8</f>
        <v>1.0717113632113857</v>
      </c>
      <c r="AP14" s="5782">
        <v>1</v>
      </c>
      <c r="AQ14" s="5783">
        <f>+AQ13/AQ8</f>
        <v>0.97761319169313277</v>
      </c>
      <c r="AR14" s="5786">
        <v>1</v>
      </c>
      <c r="AS14" s="5786">
        <f t="shared" ref="AS14" si="38">+AS13/AS8</f>
        <v>1.0617512915633658</v>
      </c>
      <c r="AT14" s="5782">
        <v>1</v>
      </c>
      <c r="AU14" s="5783">
        <f>+AU13/AU8</f>
        <v>1.2677329815488505</v>
      </c>
      <c r="AV14" s="5786">
        <v>1</v>
      </c>
      <c r="AW14" s="5786">
        <f t="shared" ref="AW14" si="39">+AW13/AW8</f>
        <v>1.0771794689402536</v>
      </c>
      <c r="AX14" s="5782">
        <v>1</v>
      </c>
      <c r="AY14" s="5783">
        <f>+AY13/AY8</f>
        <v>1.045446399783595</v>
      </c>
      <c r="AZ14" s="5786">
        <v>1</v>
      </c>
      <c r="BA14" s="5786">
        <f t="shared" ref="BA14" si="40">+BA13/BA8</f>
        <v>1.083449835698939</v>
      </c>
      <c r="BB14" s="5786">
        <v>1</v>
      </c>
      <c r="BC14" s="5786">
        <f t="shared" ref="BC14" si="41">+BC13/BC8</f>
        <v>1.0665560144607229</v>
      </c>
      <c r="BD14" s="5786">
        <v>1</v>
      </c>
      <c r="BE14" s="5786">
        <f t="shared" ref="BE14" si="42">+BE13/BE8</f>
        <v>1.0745458547796933</v>
      </c>
      <c r="BG14" s="544"/>
    </row>
    <row r="15" spans="2:95" s="146" customFormat="1" ht="15.6" x14ac:dyDescent="0.3">
      <c r="B15" s="2614" t="s">
        <v>452</v>
      </c>
      <c r="C15" s="4073" t="s">
        <v>354</v>
      </c>
      <c r="D15" s="1572">
        <f>+(D18*D19)/1000</f>
        <v>29875.920679886651</v>
      </c>
      <c r="E15" s="4064">
        <f>+SMS!F92</f>
        <v>26838.328010000001</v>
      </c>
      <c r="F15" s="1572">
        <f>+(F18*F19)/1000</f>
        <v>30827.762039660036</v>
      </c>
      <c r="G15" s="4064">
        <f>+SMS!H92</f>
        <v>30280.43044</v>
      </c>
      <c r="H15" s="5772">
        <f>+D15+F15</f>
        <v>60703.68271954669</v>
      </c>
      <c r="I15" s="5772">
        <f>+E15+G15</f>
        <v>57118.758450000001</v>
      </c>
      <c r="J15" s="1572">
        <f>+(J18*J19)/1000</f>
        <v>29875.920679886651</v>
      </c>
      <c r="K15" s="4064">
        <f>+SMS!L92</f>
        <v>30254.303680000001</v>
      </c>
      <c r="L15" s="4070">
        <f>+D15+F15+J15</f>
        <v>90579.603399433341</v>
      </c>
      <c r="M15" s="4070">
        <f>+E15+G15+K15</f>
        <v>87373.062130000006</v>
      </c>
      <c r="N15" s="1572">
        <f>+(N18*N19)/1000</f>
        <v>30232.861189801704</v>
      </c>
      <c r="O15" s="4064">
        <f>+SMS!P92</f>
        <v>31564.151819999999</v>
      </c>
      <c r="P15" s="5772">
        <f>+L15+N15</f>
        <v>120812.46458923505</v>
      </c>
      <c r="Q15" s="5772">
        <f>+M15+O15</f>
        <v>118937.21395</v>
      </c>
      <c r="R15" s="1572">
        <f>+(R18*R19)/1000</f>
        <v>30232.861189801704</v>
      </c>
      <c r="S15" s="4064">
        <f>+SMS!T92</f>
        <v>29126.430780000002</v>
      </c>
      <c r="T15" s="5772">
        <f t="shared" ref="T15:T16" si="43">+P15+R15</f>
        <v>151045.32577903676</v>
      </c>
      <c r="U15" s="5772">
        <f t="shared" ref="U15:U16" si="44">+Q15+S15</f>
        <v>148063.64473</v>
      </c>
      <c r="V15" s="1572">
        <f>+(V18*V19)/1000</f>
        <v>15866.005665722438</v>
      </c>
      <c r="W15" s="4064">
        <f>+SMS!X92</f>
        <v>28595.071339999999</v>
      </c>
      <c r="X15" s="4070">
        <f>N15+R15+V15</f>
        <v>76331.728045325843</v>
      </c>
      <c r="Y15" s="4070">
        <f>+O15+S15+W15</f>
        <v>89285.653940000004</v>
      </c>
      <c r="Z15" s="5773">
        <f>+X15+L15</f>
        <v>166911.33144475918</v>
      </c>
      <c r="AA15" s="5773">
        <f>+Y15+M15</f>
        <v>176658.71607000002</v>
      </c>
      <c r="AB15" s="1572">
        <f>+(AB18*AB19)/1000</f>
        <v>30827.762039660036</v>
      </c>
      <c r="AC15" s="4064">
        <f>+SMS!AD92</f>
        <v>22986.981849999996</v>
      </c>
      <c r="AD15" s="4064">
        <f t="shared" ref="AD15:AD16" si="45">+Z15+AB15</f>
        <v>197739.09348441922</v>
      </c>
      <c r="AE15" s="4064">
        <f t="shared" ref="AE15:AE16" si="46">+AA15+AC15</f>
        <v>199645.69792000001</v>
      </c>
      <c r="AF15" s="1572">
        <f>+(AF18*AF19)/1000</f>
        <v>29875.920679886651</v>
      </c>
      <c r="AG15" s="4064">
        <f>+SMS!AH92</f>
        <v>26984.9643</v>
      </c>
      <c r="AH15" s="5772">
        <f t="shared" ref="AH15:AH16" si="47">+AD15+AF15</f>
        <v>227615.01416430587</v>
      </c>
      <c r="AI15" s="1165">
        <f t="shared" ref="AI15:AI16" si="48">+AE15+AG15</f>
        <v>226630.66222</v>
      </c>
      <c r="AJ15" s="1572">
        <f>+(AJ18*AJ19)/1000</f>
        <v>30827.762039660036</v>
      </c>
      <c r="AK15" s="4064">
        <f>+SMS!AL92</f>
        <v>29237.462070000001</v>
      </c>
      <c r="AL15" s="2540">
        <f>AB15+AF15+AJ15</f>
        <v>91531.44475920673</v>
      </c>
      <c r="AM15" s="2540">
        <f>+AC15+AG15+AK15</f>
        <v>79209.408219999998</v>
      </c>
      <c r="AN15" s="2549">
        <f t="shared" ref="AN15:AN16" si="49">+AH15+AJ15</f>
        <v>258442.77620396591</v>
      </c>
      <c r="AO15" s="2549">
        <f t="shared" ref="AO15:AO16" si="50">+AI15+AK15</f>
        <v>255868.12429000001</v>
      </c>
      <c r="AP15" s="1572">
        <f>+(AP18*AP19)/1000</f>
        <v>31303.682719546741</v>
      </c>
      <c r="AQ15" s="4064">
        <f>+SMS!AR92</f>
        <v>38588</v>
      </c>
      <c r="AR15" s="2623">
        <f t="shared" ref="AR15:AR16" si="51">+AN15+AP15</f>
        <v>289746.45892351266</v>
      </c>
      <c r="AS15" s="2623">
        <f t="shared" ref="AS15:AS16" si="52">+AO15+AQ15</f>
        <v>294456.12429000001</v>
      </c>
      <c r="AT15" s="1572">
        <f>+(AT18*AT19)/1000</f>
        <v>27972.237960339942</v>
      </c>
      <c r="AU15" s="4064">
        <f>+SMS!AV92</f>
        <v>34268.306349999999</v>
      </c>
      <c r="AV15" s="2549">
        <f t="shared" ref="AV15:AV16" si="53">+AR15+AT15</f>
        <v>317718.69688385259</v>
      </c>
      <c r="AW15" s="2549">
        <f t="shared" ref="AW15:AW16" si="54">+AS15+AU15</f>
        <v>328724.43064000004</v>
      </c>
      <c r="AX15" s="1572">
        <f>+(AX18*AX19)/1000</f>
        <v>31303.682719546741</v>
      </c>
      <c r="AY15" s="4064">
        <f>+SMS!AZ92</f>
        <v>36592.682540000002</v>
      </c>
      <c r="AZ15" s="2540">
        <f>AP15+AT15+AX15</f>
        <v>90579.603399433428</v>
      </c>
      <c r="BA15" s="2540">
        <f>+AQ15+AU15+AY15</f>
        <v>109448.98889000001</v>
      </c>
      <c r="BB15" s="2541">
        <f>+AZ15+AL15</f>
        <v>182111.04815864016</v>
      </c>
      <c r="BC15" s="2541">
        <f>+BA15+AM15</f>
        <v>188658.39711000002</v>
      </c>
      <c r="BD15" s="2549">
        <f t="shared" ref="BD15:BD16" si="55">+AV15+AX15</f>
        <v>349022.37960339931</v>
      </c>
      <c r="BE15" s="2549">
        <f t="shared" ref="BE15:BE16" si="56">+AW15+AY15</f>
        <v>365317.11318000004</v>
      </c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</row>
    <row r="16" spans="2:95" s="146" customFormat="1" ht="15.6" x14ac:dyDescent="0.3">
      <c r="B16" s="2614" t="s">
        <v>423</v>
      </c>
      <c r="C16" s="4073" t="s">
        <v>354</v>
      </c>
      <c r="D16" s="1572">
        <f>+(D15*D17)</f>
        <v>29875.920679886651</v>
      </c>
      <c r="E16" s="4064">
        <f>+E36</f>
        <v>88452.62999999999</v>
      </c>
      <c r="F16" s="1572">
        <f>+(F15*F17)</f>
        <v>30827.762039660036</v>
      </c>
      <c r="G16" s="4064">
        <f>+G36</f>
        <v>113274.25</v>
      </c>
      <c r="H16" s="4064">
        <f>+D16+F16</f>
        <v>60703.68271954669</v>
      </c>
      <c r="I16" s="4064">
        <f>+E16+G16</f>
        <v>201726.88</v>
      </c>
      <c r="J16" s="1572">
        <f>+(J15*J17)</f>
        <v>29875.920679886651</v>
      </c>
      <c r="K16" s="4064">
        <f>+K36</f>
        <v>97401.08</v>
      </c>
      <c r="L16" s="4064">
        <f>+D16+F16+J16</f>
        <v>90579.603399433341</v>
      </c>
      <c r="M16" s="4064">
        <f>+E16+G16+K16</f>
        <v>299127.96000000002</v>
      </c>
      <c r="N16" s="1572">
        <f>+(N15*N17)</f>
        <v>30232.861189801704</v>
      </c>
      <c r="O16" s="4064">
        <f>+O36</f>
        <v>85433.74</v>
      </c>
      <c r="P16" s="4064">
        <f>+L16+N16</f>
        <v>120812.46458923505</v>
      </c>
      <c r="Q16" s="4064">
        <f>+M16+O16</f>
        <v>384561.7</v>
      </c>
      <c r="R16" s="1572">
        <f>+(R15*R17)</f>
        <v>30232.861189801704</v>
      </c>
      <c r="S16" s="4064">
        <f>+S36</f>
        <v>92218.72</v>
      </c>
      <c r="T16" s="4064">
        <f t="shared" si="43"/>
        <v>151045.32577903676</v>
      </c>
      <c r="U16" s="4064">
        <f t="shared" si="44"/>
        <v>476780.42000000004</v>
      </c>
      <c r="V16" s="1572">
        <f>+(V15*V17)</f>
        <v>15866.005665722438</v>
      </c>
      <c r="W16" s="4064">
        <f>+W36</f>
        <v>79249.510000000009</v>
      </c>
      <c r="X16" s="4064">
        <f>N16+R16+V16</f>
        <v>76331.728045325843</v>
      </c>
      <c r="Y16" s="4064">
        <f>+O16+S16+W16</f>
        <v>256901.97000000003</v>
      </c>
      <c r="Z16" s="4064">
        <f>+X16+L16</f>
        <v>166911.33144475918</v>
      </c>
      <c r="AA16" s="4064">
        <f>+Y16+M16</f>
        <v>556029.93000000005</v>
      </c>
      <c r="AB16" s="1572">
        <f>+(AB15*AB17)</f>
        <v>30827.762039660036</v>
      </c>
      <c r="AC16" s="4064">
        <f>+AC36</f>
        <v>116100.21</v>
      </c>
      <c r="AD16" s="4064">
        <f t="shared" si="45"/>
        <v>197739.09348441922</v>
      </c>
      <c r="AE16" s="4064">
        <f t="shared" si="46"/>
        <v>672130.14</v>
      </c>
      <c r="AF16" s="1572">
        <f>+(AF15*AF17)</f>
        <v>29875.920679886651</v>
      </c>
      <c r="AG16" s="4064">
        <f>+AG36</f>
        <v>132343.91</v>
      </c>
      <c r="AH16" s="4064">
        <f t="shared" si="47"/>
        <v>227615.01416430587</v>
      </c>
      <c r="AI16" s="1129">
        <f t="shared" si="48"/>
        <v>804474.05</v>
      </c>
      <c r="AJ16" s="1572">
        <f>+(AJ15*AJ17)</f>
        <v>30827.762039660036</v>
      </c>
      <c r="AK16" s="4064">
        <f>+AK36</f>
        <v>144020.79999999999</v>
      </c>
      <c r="AL16" s="2623">
        <f>AB16+AF16+AJ16</f>
        <v>91531.44475920673</v>
      </c>
      <c r="AM16" s="2623">
        <f>+AC16+AG16+AK16</f>
        <v>392464.92</v>
      </c>
      <c r="AN16" s="2623">
        <f t="shared" si="49"/>
        <v>258442.77620396591</v>
      </c>
      <c r="AO16" s="2623">
        <f t="shared" si="50"/>
        <v>948494.85000000009</v>
      </c>
      <c r="AP16" s="1572">
        <f>+(AP15*AP17)</f>
        <v>31303.682719546741</v>
      </c>
      <c r="AQ16" s="4064">
        <f>+AQ36</f>
        <v>221301.16</v>
      </c>
      <c r="AR16" s="2623">
        <f t="shared" si="51"/>
        <v>289746.45892351266</v>
      </c>
      <c r="AS16" s="2623">
        <f t="shared" si="52"/>
        <v>1169796.01</v>
      </c>
      <c r="AT16" s="1572">
        <f>+(AT15*AT17)</f>
        <v>27972.237960339942</v>
      </c>
      <c r="AU16" s="4064">
        <f>+AU36</f>
        <v>222991.46</v>
      </c>
      <c r="AV16" s="2623">
        <f t="shared" si="53"/>
        <v>317718.69688385259</v>
      </c>
      <c r="AW16" s="2623">
        <f t="shared" si="54"/>
        <v>1392787.47</v>
      </c>
      <c r="AX16" s="1572">
        <f>+(AX15*AX17)</f>
        <v>31303.682719546741</v>
      </c>
      <c r="AY16" s="4064">
        <f>+AY36</f>
        <v>209473.93</v>
      </c>
      <c r="AZ16" s="2623">
        <f>AP16+AT16+AX16</f>
        <v>90579.603399433428</v>
      </c>
      <c r="BA16" s="2623">
        <f>+AQ16+AU16+AY16</f>
        <v>653766.55000000005</v>
      </c>
      <c r="BB16" s="2623">
        <f>+AZ16+AL16</f>
        <v>182111.04815864016</v>
      </c>
      <c r="BC16" s="2623">
        <f>+BA16+AM16</f>
        <v>1046231.47</v>
      </c>
      <c r="BD16" s="2623">
        <f t="shared" si="55"/>
        <v>349022.37960339931</v>
      </c>
      <c r="BE16" s="2623">
        <f t="shared" si="56"/>
        <v>1602261.4</v>
      </c>
    </row>
    <row r="17" spans="1:95" s="146" customFormat="1" ht="15.6" x14ac:dyDescent="0.3">
      <c r="B17" s="2614" t="s">
        <v>604</v>
      </c>
      <c r="C17" s="4073" t="s">
        <v>49</v>
      </c>
      <c r="D17" s="5782">
        <v>1</v>
      </c>
      <c r="E17" s="5783">
        <f>+E16/E15</f>
        <v>3.2957578418090132</v>
      </c>
      <c r="F17" s="5782">
        <v>1</v>
      </c>
      <c r="G17" s="5783">
        <f>+G16/G15</f>
        <v>3.7408401516765228</v>
      </c>
      <c r="H17" s="5784">
        <f>+H16/H15</f>
        <v>1</v>
      </c>
      <c r="I17" s="5784">
        <f>+I16/I15</f>
        <v>3.531709817827807</v>
      </c>
      <c r="J17" s="5782">
        <v>1</v>
      </c>
      <c r="K17" s="5783">
        <f>+K16/K15</f>
        <v>3.2194123860926354</v>
      </c>
      <c r="L17" s="5783">
        <v>1</v>
      </c>
      <c r="M17" s="5783">
        <f>+M16/M15</f>
        <v>3.4235718962777755</v>
      </c>
      <c r="N17" s="5782">
        <v>1</v>
      </c>
      <c r="O17" s="5783">
        <f>+O16/O15</f>
        <v>2.7066699110814252</v>
      </c>
      <c r="P17" s="5784">
        <f>+P16/P15</f>
        <v>1</v>
      </c>
      <c r="Q17" s="5784">
        <f>+Q16/Q15</f>
        <v>3.233316867180577</v>
      </c>
      <c r="R17" s="5782">
        <v>1</v>
      </c>
      <c r="S17" s="5783">
        <f>+S16/S15</f>
        <v>3.1661524440311113</v>
      </c>
      <c r="T17" s="5783">
        <v>1</v>
      </c>
      <c r="U17" s="5783">
        <f>+U16/U15</f>
        <v>3.220104576443652</v>
      </c>
      <c r="V17" s="5782">
        <v>1</v>
      </c>
      <c r="W17" s="5783">
        <f>+W16/W15</f>
        <v>2.7714394924114925</v>
      </c>
      <c r="X17" s="5783">
        <v>1</v>
      </c>
      <c r="Y17" s="5783">
        <f>+Y16/Y15</f>
        <v>2.8773040086892152</v>
      </c>
      <c r="Z17" s="5783">
        <f>+Z16/Z15</f>
        <v>1</v>
      </c>
      <c r="AA17" s="5783">
        <f>+AA16/AA15</f>
        <v>3.1474808736845814</v>
      </c>
      <c r="AB17" s="5782">
        <v>1</v>
      </c>
      <c r="AC17" s="5783">
        <f>+AC16/AC15</f>
        <v>5.0506939431024094</v>
      </c>
      <c r="AD17" s="5783">
        <v>1</v>
      </c>
      <c r="AE17" s="5783">
        <f>+AE16/AE15</f>
        <v>3.3666146929413383</v>
      </c>
      <c r="AF17" s="5782">
        <v>1</v>
      </c>
      <c r="AG17" s="5783">
        <f>+AG16/AG15</f>
        <v>4.9043574239599792</v>
      </c>
      <c r="AH17" s="5783">
        <v>1</v>
      </c>
      <c r="AI17" s="5785">
        <f>+AI16/AI15</f>
        <v>3.5497140683420101</v>
      </c>
      <c r="AJ17" s="5782">
        <v>1</v>
      </c>
      <c r="AK17" s="5783">
        <f>+AK16/AK15</f>
        <v>4.9258995071181975</v>
      </c>
      <c r="AL17" s="5786">
        <v>1</v>
      </c>
      <c r="AM17" s="5786">
        <f>+AM16/AM15</f>
        <v>4.9547765703532232</v>
      </c>
      <c r="AN17" s="5786">
        <v>1</v>
      </c>
      <c r="AO17" s="5786">
        <f>+AO16/AO15</f>
        <v>3.7069676132263334</v>
      </c>
      <c r="AP17" s="5782">
        <v>1</v>
      </c>
      <c r="AQ17" s="5783">
        <f>+AQ16/AQ15</f>
        <v>5.7349735669119939</v>
      </c>
      <c r="AR17" s="5786">
        <v>1</v>
      </c>
      <c r="AS17" s="5786">
        <f>+AS16/AS15</f>
        <v>3.9727345213846088</v>
      </c>
      <c r="AT17" s="5782">
        <v>1</v>
      </c>
      <c r="AU17" s="5783">
        <f>+AU16/AU15</f>
        <v>6.5072215043974593</v>
      </c>
      <c r="AV17" s="5786">
        <v>1</v>
      </c>
      <c r="AW17" s="5786">
        <f>+AW16/AW15</f>
        <v>4.2369454174378056</v>
      </c>
      <c r="AX17" s="5782">
        <v>1</v>
      </c>
      <c r="AY17" s="5783">
        <f>+AY16/AY15</f>
        <v>5.7244759186763901</v>
      </c>
      <c r="AZ17" s="5786">
        <v>1</v>
      </c>
      <c r="BA17" s="5786">
        <f>+BA16/BA15</f>
        <v>5.9732534455577095</v>
      </c>
      <c r="BB17" s="5786">
        <f>+BB16/BB15</f>
        <v>1</v>
      </c>
      <c r="BC17" s="5786">
        <f>+BC16/BC15</f>
        <v>5.5456395582009508</v>
      </c>
      <c r="BD17" s="5786">
        <v>1</v>
      </c>
      <c r="BE17" s="5786">
        <f>+BE16/BE15</f>
        <v>4.385946735570883</v>
      </c>
      <c r="BG17" s="544"/>
    </row>
    <row r="18" spans="1:95" s="146" customFormat="1" ht="15.6" x14ac:dyDescent="0.3">
      <c r="B18" s="2614" t="s">
        <v>803</v>
      </c>
      <c r="C18" s="4073" t="s">
        <v>354</v>
      </c>
      <c r="D18" s="1572">
        <f>+'Maj Production Summ'!E18</f>
        <v>237110.48158640199</v>
      </c>
      <c r="E18" s="4064">
        <f>+'Maj Production Summ'!F18</f>
        <v>207020</v>
      </c>
      <c r="F18" s="1572">
        <f>+'Maj Production Summ'!G18</f>
        <v>244664.77809253999</v>
      </c>
      <c r="G18" s="4064">
        <f>+'Maj Production Summ'!H18</f>
        <v>236638</v>
      </c>
      <c r="H18" s="5772">
        <f>+'Maj Production Summ'!I18</f>
        <v>481775.25967894198</v>
      </c>
      <c r="I18" s="5772">
        <f>+'Maj Production Summ'!J18</f>
        <v>443658</v>
      </c>
      <c r="J18" s="1572">
        <f>+'Maj Production Summ'!K18</f>
        <v>237110.48158640199</v>
      </c>
      <c r="K18" s="4064">
        <f>+'Maj Production Summ'!L18</f>
        <v>243453</v>
      </c>
      <c r="L18" s="4070">
        <f>+'Maj Production Summ'!M18</f>
        <v>718885.74126534397</v>
      </c>
      <c r="M18" s="4070">
        <f>+'Maj Production Summ'!N18</f>
        <v>687111</v>
      </c>
      <c r="N18" s="1572">
        <f>+'Maj Production Summ'!O18</f>
        <v>239943.34277620399</v>
      </c>
      <c r="O18" s="4064">
        <f>+'Maj Production Summ'!P18</f>
        <v>253662</v>
      </c>
      <c r="P18" s="5772">
        <f>+'Maj Production Summ'!Q18</f>
        <v>958829.08404154796</v>
      </c>
      <c r="Q18" s="5772">
        <f>+'Maj Production Summ'!R18</f>
        <v>940773</v>
      </c>
      <c r="R18" s="1572">
        <f>+'Maj Production Summ'!S18</f>
        <v>239943.34277620399</v>
      </c>
      <c r="S18" s="4064">
        <f>+'Maj Production Summ'!T18</f>
        <v>237622</v>
      </c>
      <c r="T18" s="5772">
        <f>+'Maj Production Summ'!U18</f>
        <v>1198772.426817752</v>
      </c>
      <c r="U18" s="5772">
        <f>+'Maj Production Summ'!V18</f>
        <v>1178395</v>
      </c>
      <c r="V18" s="1572">
        <f>+'Maj Production Summ'!W18</f>
        <v>125920.679886686</v>
      </c>
      <c r="W18" s="4064">
        <f>+'Maj Production Summ'!X18</f>
        <v>226847</v>
      </c>
      <c r="X18" s="4070">
        <f>+'Maj Production Summ'!Y18</f>
        <v>605807.36543909402</v>
      </c>
      <c r="Y18" s="4070">
        <f>+'Maj Production Summ'!Z18</f>
        <v>718131</v>
      </c>
      <c r="Z18" s="5773">
        <f>+'Maj Production Summ'!AA18</f>
        <v>1324693.1067044381</v>
      </c>
      <c r="AA18" s="5773">
        <f>+'Maj Production Summ'!AB18</f>
        <v>1405242</v>
      </c>
      <c r="AB18" s="1572">
        <f>+'Maj Production Summ'!AC18</f>
        <v>244664.77809253999</v>
      </c>
      <c r="AC18" s="4064">
        <f>+'Maj Production Summ'!AD18</f>
        <v>179201</v>
      </c>
      <c r="AD18" s="4064">
        <f>+'Maj Production Summ'!AE18</f>
        <v>1569357.884796978</v>
      </c>
      <c r="AE18" s="4064">
        <f>+'Maj Production Summ'!AF18</f>
        <v>1584443</v>
      </c>
      <c r="AF18" s="1572">
        <f>+'Maj Production Summ'!AG18</f>
        <v>237110.48158640199</v>
      </c>
      <c r="AG18" s="4064">
        <f>+'Maj Production Summ'!AH18</f>
        <v>229502</v>
      </c>
      <c r="AH18" s="5772">
        <f>+'Maj Production Summ'!AI18</f>
        <v>1806468.36638338</v>
      </c>
      <c r="AI18" s="1165">
        <f>+'Maj Production Summ'!AJ18</f>
        <v>1813945</v>
      </c>
      <c r="AJ18" s="1572">
        <f>+'Maj Production Summ'!AK18</f>
        <v>244664.77809253999</v>
      </c>
      <c r="AK18" s="4064">
        <f>+'Maj Production Summ'!AL18</f>
        <v>234365</v>
      </c>
      <c r="AL18" s="2540">
        <f>+'Maj Production Summ'!AM18</f>
        <v>726440.03777148202</v>
      </c>
      <c r="AM18" s="2540">
        <f>+'Maj Production Summ'!AN18</f>
        <v>643068</v>
      </c>
      <c r="AN18" s="2549">
        <f>+'Maj Production Summ'!AO18</f>
        <v>2051133.1444759201</v>
      </c>
      <c r="AO18" s="2549">
        <f>+'Maj Production Summ'!AP18</f>
        <v>2048310</v>
      </c>
      <c r="AP18" s="1572">
        <f>+'Maj Production Summ'!AQ18</f>
        <v>248441.92634560907</v>
      </c>
      <c r="AQ18" s="4064">
        <f>+'Maj Production Summ'!AR18</f>
        <v>228047</v>
      </c>
      <c r="AR18" s="2623">
        <f>+'Maj Production Summ'!AS18</f>
        <v>2299575.0708215293</v>
      </c>
      <c r="AS18" s="2623">
        <f>+'Maj Production Summ'!AT18</f>
        <v>2276357</v>
      </c>
      <c r="AT18" s="1572">
        <f>+'Maj Production Summ'!AU18</f>
        <v>222001.88857412653</v>
      </c>
      <c r="AU18" s="4064">
        <f>+'Maj Production Summ'!AV18</f>
        <v>185016</v>
      </c>
      <c r="AV18" s="2549">
        <f>+'Maj Production Summ'!AW18</f>
        <v>2521576.9593956559</v>
      </c>
      <c r="AW18" s="2549">
        <f>+'Maj Production Summ'!AX18</f>
        <v>2461373</v>
      </c>
      <c r="AX18" s="1572">
        <f>+'Maj Production Summ'!AY18</f>
        <v>248441.92634560907</v>
      </c>
      <c r="AY18" s="4064">
        <f>+'Maj Production Summ'!AZ18</f>
        <v>241240</v>
      </c>
      <c r="AZ18" s="2540">
        <f>+'Maj Production Summ'!BA18</f>
        <v>718885.74126534467</v>
      </c>
      <c r="BA18" s="2540">
        <f>+'Maj Production Summ'!BB18</f>
        <v>654303</v>
      </c>
      <c r="BB18" s="2541">
        <f>+'Maj Production Summ'!BC18</f>
        <v>1445325.7790368267</v>
      </c>
      <c r="BC18" s="2541">
        <f>+'Maj Production Summ'!BD18</f>
        <v>1297371</v>
      </c>
      <c r="BD18" s="2549">
        <f>+'Maj Production Summ'!BE18</f>
        <v>2770018.885741265</v>
      </c>
      <c r="BE18" s="2549">
        <f>+'Maj Production Summ'!BF18</f>
        <v>2702613</v>
      </c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</row>
    <row r="19" spans="1:95" ht="15.6" x14ac:dyDescent="0.3">
      <c r="A19" s="146"/>
      <c r="B19" s="2739" t="s">
        <v>1424</v>
      </c>
      <c r="C19" s="4074" t="s">
        <v>1423</v>
      </c>
      <c r="D19" s="5779">
        <f>+SMS!E94</f>
        <v>126</v>
      </c>
      <c r="E19" s="4087">
        <f>+SMS!F94</f>
        <v>129.64123277944162</v>
      </c>
      <c r="F19" s="5779">
        <f>+SMS!G94</f>
        <v>126</v>
      </c>
      <c r="G19" s="4087">
        <f>+SMS!H94</f>
        <v>127.96098023140831</v>
      </c>
      <c r="H19" s="4088">
        <f>+SMS!I94</f>
        <v>126</v>
      </c>
      <c r="I19" s="4088">
        <f>+SMS!J94</f>
        <v>128.74502082685314</v>
      </c>
      <c r="J19" s="5779">
        <f>+SMS!K94</f>
        <v>126</v>
      </c>
      <c r="K19" s="4087">
        <f>+SMS!L94</f>
        <v>124.27164043983849</v>
      </c>
      <c r="L19" s="4089">
        <f>+SMS!M94</f>
        <v>126</v>
      </c>
      <c r="M19" s="4089">
        <f>+SMS!N94</f>
        <v>127.1600398334476</v>
      </c>
      <c r="N19" s="5779">
        <f>+SMS!O94</f>
        <v>126</v>
      </c>
      <c r="O19" s="4087">
        <f>+SMS!P94</f>
        <v>124.43389951983349</v>
      </c>
      <c r="P19" s="4088">
        <f>+SMS!Q94</f>
        <v>126</v>
      </c>
      <c r="Q19" s="4088">
        <f>+SMS!R94</f>
        <v>126.42498663333238</v>
      </c>
      <c r="R19" s="5779">
        <f>+SMS!S94</f>
        <v>126</v>
      </c>
      <c r="S19" s="4087">
        <f>+SMS!T94</f>
        <v>122.5746386277365</v>
      </c>
      <c r="T19" s="4088">
        <f>+SMS!U94</f>
        <v>126.00000000000003</v>
      </c>
      <c r="U19" s="4088">
        <f>+SMS!V94</f>
        <v>125.64856837478095</v>
      </c>
      <c r="V19" s="5779">
        <f>+SMS!W94</f>
        <v>126</v>
      </c>
      <c r="W19" s="4087">
        <f>+SMS!X94</f>
        <v>126.05443907126829</v>
      </c>
      <c r="X19" s="4089">
        <f>+SMS!Y94</f>
        <v>126</v>
      </c>
      <c r="Y19" s="4089">
        <f>+SMS!Z94</f>
        <v>124.33059419520951</v>
      </c>
      <c r="Z19" s="4090">
        <f>+SMS!AA94</f>
        <v>125.99999999999997</v>
      </c>
      <c r="AA19" s="4090">
        <f>+SMS!AB94</f>
        <v>125.71408773008494</v>
      </c>
      <c r="AB19" s="5779">
        <f>+SMS!AC94</f>
        <v>126</v>
      </c>
      <c r="AC19" s="4087">
        <f>+SMS!AD94</f>
        <v>128.27485253988536</v>
      </c>
      <c r="AD19" s="4087">
        <f>+SMS!AE94</f>
        <v>126</v>
      </c>
      <c r="AE19" s="4087">
        <f>+SMS!AF94</f>
        <v>126.00371103283614</v>
      </c>
      <c r="AF19" s="5779">
        <f>+SMS!AG94</f>
        <v>126</v>
      </c>
      <c r="AG19" s="4087">
        <f>+SMS!AH94</f>
        <v>117.58051912401635</v>
      </c>
      <c r="AH19" s="4088">
        <f>+SMS!AI94</f>
        <v>126</v>
      </c>
      <c r="AI19" s="5175">
        <f>+SMS!AJ94</f>
        <v>124.93800099782517</v>
      </c>
      <c r="AJ19" s="5779">
        <f>+SMS!AK94</f>
        <v>126</v>
      </c>
      <c r="AK19" s="4087">
        <f>+SMS!AL94</f>
        <v>124.75182757664327</v>
      </c>
      <c r="AL19" s="2625">
        <f>+SMS!AM94</f>
        <v>126</v>
      </c>
      <c r="AM19" s="2625">
        <f>+SMS!AN94</f>
        <v>123.17423386018274</v>
      </c>
      <c r="AN19" s="2624">
        <f>+SMS!AO94</f>
        <v>126</v>
      </c>
      <c r="AO19" s="2624">
        <f>+SMS!AP94</f>
        <v>124.91669927403568</v>
      </c>
      <c r="AP19" s="5779">
        <f>+SMS!AQ94</f>
        <v>126</v>
      </c>
      <c r="AQ19" s="4087">
        <f>+SMS!AR94</f>
        <v>169.21073287524064</v>
      </c>
      <c r="AR19" s="4564">
        <f>+SMS!AS94</f>
        <v>126</v>
      </c>
      <c r="AS19" s="4564">
        <f>+SMS!AT94</f>
        <v>129.35410583225743</v>
      </c>
      <c r="AT19" s="5779">
        <f>+SMS!AU94</f>
        <v>126</v>
      </c>
      <c r="AU19" s="4087">
        <f>+SMS!AV94</f>
        <v>185.21806951831192</v>
      </c>
      <c r="AV19" s="2624">
        <f>+SMS!AW94</f>
        <v>125.99999999999997</v>
      </c>
      <c r="AW19" s="2624">
        <f>+SMS!AX94</f>
        <v>133.55327723185394</v>
      </c>
      <c r="AX19" s="5779">
        <f>+SMS!AY94</f>
        <v>126</v>
      </c>
      <c r="AY19" s="4087">
        <f>+SMS!AZ94</f>
        <v>151.68580061349692</v>
      </c>
      <c r="AZ19" s="2625">
        <f>+SMS!BA94</f>
        <v>126</v>
      </c>
      <c r="BA19" s="2625">
        <f>+SMS!BB94</f>
        <v>167.27569473164576</v>
      </c>
      <c r="BB19" s="2626">
        <f>+SMS!BC94</f>
        <v>126</v>
      </c>
      <c r="BC19" s="2626">
        <f>+SMS!BD94</f>
        <v>145.4159196636891</v>
      </c>
      <c r="BD19" s="2624">
        <f>+SMS!BA94</f>
        <v>126</v>
      </c>
      <c r="BE19" s="2624">
        <f>+SMS!BF94</f>
        <v>135.17181822924704</v>
      </c>
    </row>
    <row r="20" spans="1:95" ht="15.6" x14ac:dyDescent="0.3">
      <c r="A20" s="146"/>
      <c r="B20" s="2740"/>
      <c r="C20" s="4074"/>
      <c r="D20" s="5779"/>
      <c r="E20" s="4087"/>
      <c r="F20" s="5779"/>
      <c r="G20" s="4087"/>
      <c r="H20" s="4088"/>
      <c r="I20" s="4088"/>
      <c r="J20" s="5779"/>
      <c r="K20" s="4087"/>
      <c r="L20" s="4089"/>
      <c r="M20" s="4089"/>
      <c r="N20" s="5779"/>
      <c r="O20" s="4087"/>
      <c r="P20" s="4088"/>
      <c r="Q20" s="4088"/>
      <c r="R20" s="5779"/>
      <c r="S20" s="4087"/>
      <c r="T20" s="4088"/>
      <c r="U20" s="4088"/>
      <c r="V20" s="5779"/>
      <c r="W20" s="4087"/>
      <c r="X20" s="4089"/>
      <c r="Y20" s="4089"/>
      <c r="Z20" s="4090"/>
      <c r="AA20" s="4090"/>
      <c r="AB20" s="5779"/>
      <c r="AC20" s="4087"/>
      <c r="AD20" s="4087"/>
      <c r="AE20" s="4087"/>
      <c r="AF20" s="5779"/>
      <c r="AG20" s="4087"/>
      <c r="AH20" s="4088"/>
      <c r="AI20" s="5175"/>
      <c r="AJ20" s="5779"/>
      <c r="AK20" s="4087"/>
      <c r="AL20" s="2625"/>
      <c r="AM20" s="2625"/>
      <c r="AN20" s="2624"/>
      <c r="AO20" s="2624"/>
      <c r="AP20" s="5779"/>
      <c r="AQ20" s="4087"/>
      <c r="AR20" s="4564"/>
      <c r="AS20" s="4564"/>
      <c r="AT20" s="5779"/>
      <c r="AU20" s="4087"/>
      <c r="AV20" s="2624"/>
      <c r="AW20" s="2624"/>
      <c r="AX20" s="5779"/>
      <c r="AY20" s="4087"/>
      <c r="AZ20" s="2625"/>
      <c r="BA20" s="2625"/>
      <c r="BB20" s="2626"/>
      <c r="BC20" s="2626"/>
      <c r="BD20" s="2624"/>
      <c r="BE20" s="2624"/>
    </row>
    <row r="21" spans="1:95" s="146" customFormat="1" ht="15" customHeight="1" x14ac:dyDescent="0.3">
      <c r="B21" s="5810" t="s">
        <v>1425</v>
      </c>
      <c r="C21" s="5811" t="s">
        <v>354</v>
      </c>
      <c r="D21" s="5812"/>
      <c r="E21" s="5813">
        <f>+'Direct sales IPT details'!E101</f>
        <v>0</v>
      </c>
      <c r="F21" s="5812"/>
      <c r="G21" s="5813">
        <f>+'Direct sales IPT details'!G101</f>
        <v>0</v>
      </c>
      <c r="H21" s="5685"/>
      <c r="I21" s="5685">
        <f>+G21+E21</f>
        <v>0</v>
      </c>
      <c r="J21" s="5812"/>
      <c r="K21" s="5813">
        <f>+'Direct sales IPT details'!K101</f>
        <v>0</v>
      </c>
      <c r="L21" s="5814"/>
      <c r="M21" s="5498">
        <f>+E21+G21+K21</f>
        <v>0</v>
      </c>
      <c r="N21" s="5812"/>
      <c r="O21" s="5813">
        <f>+'Direct sales IPT details'!O101</f>
        <v>3071.800000000002</v>
      </c>
      <c r="P21" s="5685"/>
      <c r="Q21" s="5685">
        <f>+O21+M21</f>
        <v>3071.800000000002</v>
      </c>
      <c r="R21" s="5812"/>
      <c r="S21" s="5813">
        <f>+'Direct sales IPT details'!S101</f>
        <v>4523.51</v>
      </c>
      <c r="T21" s="5815"/>
      <c r="U21" s="5685">
        <f>+S21+Q21</f>
        <v>7595.3100000000022</v>
      </c>
      <c r="V21" s="5812"/>
      <c r="W21" s="5813">
        <f>+'Direct sales IPT details'!W101</f>
        <v>8437.6100000000024</v>
      </c>
      <c r="X21" s="5814"/>
      <c r="Y21" s="5498">
        <f>+O21+S21+W21</f>
        <v>16032.920000000006</v>
      </c>
      <c r="Z21" s="5816"/>
      <c r="AA21" s="5499">
        <f>+Y21+M21</f>
        <v>16032.920000000006</v>
      </c>
      <c r="AB21" s="5812"/>
      <c r="AC21" s="5813">
        <f>+'Direct sales IPT details'!AC101</f>
        <v>15050.02</v>
      </c>
      <c r="AD21" s="5815"/>
      <c r="AE21" s="5685">
        <f>+AC21+AA21</f>
        <v>31082.940000000006</v>
      </c>
      <c r="AF21" s="5812"/>
      <c r="AG21" s="5813">
        <f>+'Direct sales IPT details'!AG101</f>
        <v>11706.12</v>
      </c>
      <c r="AH21" s="5815"/>
      <c r="AI21" s="5685">
        <f>+AG21+AE21</f>
        <v>42789.060000000005</v>
      </c>
      <c r="AJ21" s="5812"/>
      <c r="AK21" s="5813">
        <f>+'Direct sales IPT details'!AK101</f>
        <v>6843.46</v>
      </c>
      <c r="AL21" s="5814"/>
      <c r="AM21" s="5498">
        <f>+AC21+AG21+AK21</f>
        <v>33599.599999999999</v>
      </c>
      <c r="AN21" s="5815"/>
      <c r="AO21" s="5685">
        <f>+AK21+AI21</f>
        <v>49632.520000000004</v>
      </c>
      <c r="AP21" s="5812"/>
      <c r="AQ21" s="5813">
        <f>+'Direct sales IPT details'!AQ101</f>
        <v>6263.2699999999968</v>
      </c>
      <c r="AR21" s="5817"/>
      <c r="AS21" s="5677">
        <f>+AQ21+AO21</f>
        <v>55895.79</v>
      </c>
      <c r="AT21" s="5812"/>
      <c r="AU21" s="5813">
        <f>+'Direct sales IPT details'!AU101</f>
        <v>0</v>
      </c>
      <c r="AV21" s="5815"/>
      <c r="AW21" s="5685">
        <f>+AU21+AS21</f>
        <v>55895.79</v>
      </c>
      <c r="AX21" s="5812"/>
      <c r="AY21" s="5813">
        <f>+'Direct sales IPT details'!AY101</f>
        <v>0</v>
      </c>
      <c r="AZ21" s="5814"/>
      <c r="BA21" s="5498">
        <f>+AQ21+AU21+AY21</f>
        <v>6263.2699999999968</v>
      </c>
      <c r="BB21" s="5816"/>
      <c r="BC21" s="5499">
        <f t="shared" ref="BC21:BC35" si="57">+BA21+AM21</f>
        <v>39862.869999999995</v>
      </c>
      <c r="BD21" s="5815"/>
      <c r="BE21" s="5685">
        <f>+AY21+AW21</f>
        <v>55895.79</v>
      </c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</row>
    <row r="22" spans="1:95" ht="15.6" x14ac:dyDescent="0.3">
      <c r="A22" s="146"/>
      <c r="B22" s="5810" t="s">
        <v>944</v>
      </c>
      <c r="C22" s="5811" t="s">
        <v>354</v>
      </c>
      <c r="D22" s="6435">
        <v>17399.384471259</v>
      </c>
      <c r="E22" s="5677">
        <f>+'Direct sales IPT details'!E103</f>
        <v>6176.57</v>
      </c>
      <c r="F22" s="6435">
        <v>17399.384471259</v>
      </c>
      <c r="G22" s="5677">
        <f>+'Direct sales IPT details'!G103</f>
        <v>6134.4500000000007</v>
      </c>
      <c r="H22" s="6436">
        <f t="shared" ref="H22" si="58">+F22+D22</f>
        <v>34798.768942518</v>
      </c>
      <c r="I22" s="5685">
        <f t="shared" ref="I22:I35" si="59">+G22+E22</f>
        <v>12311.02</v>
      </c>
      <c r="J22" s="6435">
        <v>17399.384471259</v>
      </c>
      <c r="K22" s="5677">
        <f>+'Direct sales IPT details'!K103</f>
        <v>3441.08</v>
      </c>
      <c r="L22" s="6438">
        <f>+D22+F22+J22</f>
        <v>52198.153413777</v>
      </c>
      <c r="M22" s="5498">
        <f t="shared" ref="M22:M35" si="60">+E22+G22+K22</f>
        <v>15752.1</v>
      </c>
      <c r="N22" s="6435">
        <v>17730.0480062395</v>
      </c>
      <c r="O22" s="5677">
        <f>+'Direct sales IPT details'!O103</f>
        <v>7462.4800000000014</v>
      </c>
      <c r="P22" s="6436">
        <f t="shared" ref="P22" si="61">+N22+L22</f>
        <v>69928.201420016499</v>
      </c>
      <c r="Q22" s="5685">
        <f t="shared" ref="Q22:Q25" si="62">+O22+M22</f>
        <v>23214.58</v>
      </c>
      <c r="R22" s="6435"/>
      <c r="S22" s="5677">
        <f>+'Direct sales IPT details'!S103</f>
        <v>36.89</v>
      </c>
      <c r="T22" s="6436">
        <f>+R22+P22</f>
        <v>69928.201420016499</v>
      </c>
      <c r="U22" s="5685">
        <f t="shared" ref="U22:U35" si="63">+S22+Q22</f>
        <v>23251.47</v>
      </c>
      <c r="V22" s="6435"/>
      <c r="W22" s="5677">
        <f>+'Direct sales IPT details'!W103</f>
        <v>7271.5400000000009</v>
      </c>
      <c r="X22" s="6438">
        <f>N22+R22+V22</f>
        <v>17730.0480062395</v>
      </c>
      <c r="Y22" s="5498">
        <f t="shared" ref="Y22:Y35" si="64">+O22+S22+W22</f>
        <v>14770.910000000003</v>
      </c>
      <c r="Z22" s="6439">
        <f>+X22+L22</f>
        <v>69928.201420016499</v>
      </c>
      <c r="AA22" s="5499">
        <f t="shared" ref="AA22:AA35" si="65">+Y22+M22</f>
        <v>30523.010000000002</v>
      </c>
      <c r="AB22" s="6435"/>
      <c r="AC22" s="5677">
        <f>+'Direct sales IPT details'!AC103</f>
        <v>227.29</v>
      </c>
      <c r="AD22" s="6436">
        <f>+AB22+Z22</f>
        <v>69928.201420016499</v>
      </c>
      <c r="AE22" s="5685">
        <f t="shared" ref="AE22:AE35" si="66">+AC22+AA22</f>
        <v>30750.300000000003</v>
      </c>
      <c r="AF22" s="6435"/>
      <c r="AG22" s="5677">
        <f>+'Direct sales IPT details'!AG103</f>
        <v>7499.21</v>
      </c>
      <c r="AH22" s="6436">
        <f>+AF22+AD22</f>
        <v>69928.201420016499</v>
      </c>
      <c r="AI22" s="5685">
        <f t="shared" ref="AI22:AI25" si="67">+AG22+AE22</f>
        <v>38249.51</v>
      </c>
      <c r="AJ22" s="6435"/>
      <c r="AK22" s="5677">
        <f>+'Direct sales IPT details'!AK103</f>
        <v>7498.31</v>
      </c>
      <c r="AL22" s="6448">
        <f>AB22+AF22+AJ22</f>
        <v>0</v>
      </c>
      <c r="AM22" s="5498">
        <f t="shared" ref="AM22:AM35" si="68">+AC22+AG22+AK22</f>
        <v>15224.810000000001</v>
      </c>
      <c r="AN22" s="6436">
        <f>+AJ22+AH22</f>
        <v>69928.201420016499</v>
      </c>
      <c r="AO22" s="5685">
        <f t="shared" ref="AO22:AO35" si="69">+AK22+AI22</f>
        <v>45747.82</v>
      </c>
      <c r="AP22" s="6435"/>
      <c r="AQ22" s="5677">
        <f>+'Direct sales IPT details'!AQ103</f>
        <v>5623.5899999999983</v>
      </c>
      <c r="AR22" s="6436">
        <f>+AP22+AN22</f>
        <v>69928.201420016499</v>
      </c>
      <c r="AS22" s="5685">
        <f t="shared" ref="AS22:AS35" si="70">+AQ22+AO22</f>
        <v>51371.409999999996</v>
      </c>
      <c r="AT22" s="6435"/>
      <c r="AU22" s="5677">
        <f>+'Direct sales IPT details'!AU103</f>
        <v>5113.6299999999992</v>
      </c>
      <c r="AV22" s="6436">
        <f>+AT22+AR22</f>
        <v>69928.201420016499</v>
      </c>
      <c r="AW22" s="5685">
        <f t="shared" ref="AW22:AW25" si="71">+AU22+AS22</f>
        <v>56485.039999999994</v>
      </c>
      <c r="AX22" s="6435"/>
      <c r="AY22" s="5677">
        <f>+'Direct sales IPT details'!AY103</f>
        <v>1762.6700000000003</v>
      </c>
      <c r="AZ22" s="6448">
        <f>AP22+AT22+AX22</f>
        <v>0</v>
      </c>
      <c r="BA22" s="5498">
        <f t="shared" ref="BA22:BA35" si="72">+AQ22+AU22+AY22</f>
        <v>12499.889999999998</v>
      </c>
      <c r="BB22" s="6439">
        <f>+AZ22+AN22</f>
        <v>69928.201420016499</v>
      </c>
      <c r="BC22" s="5499">
        <f t="shared" si="57"/>
        <v>27724.699999999997</v>
      </c>
      <c r="BD22" s="6436">
        <f>+AX22+AV22</f>
        <v>69928.201420016499</v>
      </c>
      <c r="BE22" s="5685">
        <f t="shared" ref="BE22:BE35" si="73">+AY22+AW22</f>
        <v>58247.709999999992</v>
      </c>
    </row>
    <row r="23" spans="1:95" s="146" customFormat="1" ht="15.75" customHeight="1" x14ac:dyDescent="0.3">
      <c r="B23" s="5810" t="s">
        <v>1263</v>
      </c>
      <c r="C23" s="5811" t="s">
        <v>354</v>
      </c>
      <c r="D23" s="6435"/>
      <c r="E23" s="5677">
        <f>+'Direct sales IPT details'!E104</f>
        <v>0</v>
      </c>
      <c r="F23" s="6435"/>
      <c r="G23" s="5677">
        <f>+'Direct sales IPT details'!G104</f>
        <v>2999.8000000000011</v>
      </c>
      <c r="H23" s="6436"/>
      <c r="I23" s="5685">
        <f t="shared" si="59"/>
        <v>2999.8000000000011</v>
      </c>
      <c r="J23" s="6435"/>
      <c r="K23" s="5677">
        <f>+'Direct sales IPT details'!K104</f>
        <v>0</v>
      </c>
      <c r="L23" s="6438"/>
      <c r="M23" s="5498">
        <f t="shared" si="60"/>
        <v>2999.8000000000011</v>
      </c>
      <c r="N23" s="6435"/>
      <c r="O23" s="5677">
        <f>+'Direct sales IPT details'!O104</f>
        <v>2456.2199999999998</v>
      </c>
      <c r="P23" s="6436"/>
      <c r="Q23" s="5685">
        <f t="shared" si="62"/>
        <v>5456.02</v>
      </c>
      <c r="R23" s="6435"/>
      <c r="S23" s="5677">
        <f>+'Direct sales IPT details'!S104</f>
        <v>42.35</v>
      </c>
      <c r="T23" s="6436"/>
      <c r="U23" s="5685">
        <f t="shared" si="63"/>
        <v>5498.3700000000008</v>
      </c>
      <c r="V23" s="6435"/>
      <c r="W23" s="5677">
        <f>+'Direct sales IPT details'!W104</f>
        <v>2499.7500000000009</v>
      </c>
      <c r="X23" s="6438"/>
      <c r="Y23" s="5498">
        <f t="shared" si="64"/>
        <v>4998.3200000000006</v>
      </c>
      <c r="Z23" s="6439"/>
      <c r="AA23" s="5499">
        <f t="shared" si="65"/>
        <v>7998.1200000000017</v>
      </c>
      <c r="AB23" s="6435"/>
      <c r="AC23" s="5677">
        <f>+'Direct sales IPT details'!AC104</f>
        <v>0</v>
      </c>
      <c r="AD23" s="6436"/>
      <c r="AE23" s="5685">
        <f t="shared" si="66"/>
        <v>7998.1200000000017</v>
      </c>
      <c r="AF23" s="6435"/>
      <c r="AG23" s="5677">
        <f>+'Direct sales IPT details'!AG104</f>
        <v>2499.4499999999998</v>
      </c>
      <c r="AH23" s="6436"/>
      <c r="AI23" s="5685">
        <f t="shared" si="67"/>
        <v>10497.570000000002</v>
      </c>
      <c r="AJ23" s="6435"/>
      <c r="AK23" s="5677">
        <f>+'Direct sales IPT details'!AK104</f>
        <v>2499.71</v>
      </c>
      <c r="AL23" s="6448"/>
      <c r="AM23" s="5498">
        <f t="shared" si="68"/>
        <v>4999.16</v>
      </c>
      <c r="AN23" s="6436"/>
      <c r="AO23" s="5685">
        <f t="shared" si="69"/>
        <v>12997.280000000002</v>
      </c>
      <c r="AP23" s="6435"/>
      <c r="AQ23" s="5677">
        <f>+'Direct sales IPT details'!AQ104</f>
        <v>2499.9199999999996</v>
      </c>
      <c r="AR23" s="6436"/>
      <c r="AS23" s="5685">
        <f t="shared" si="70"/>
        <v>15497.200000000003</v>
      </c>
      <c r="AT23" s="6435"/>
      <c r="AU23" s="5677">
        <f>+'Direct sales IPT details'!AU104</f>
        <v>2499.7399999999998</v>
      </c>
      <c r="AV23" s="6436"/>
      <c r="AW23" s="5685">
        <f t="shared" si="71"/>
        <v>17996.940000000002</v>
      </c>
      <c r="AX23" s="6435"/>
      <c r="AY23" s="5677">
        <f>+'Direct sales IPT details'!AY104</f>
        <v>0</v>
      </c>
      <c r="AZ23" s="6448"/>
      <c r="BA23" s="5498">
        <f t="shared" si="72"/>
        <v>4999.66</v>
      </c>
      <c r="BB23" s="6439"/>
      <c r="BC23" s="5499">
        <f t="shared" si="57"/>
        <v>9998.82</v>
      </c>
      <c r="BD23" s="6436"/>
      <c r="BE23" s="5685">
        <f t="shared" si="73"/>
        <v>17996.940000000002</v>
      </c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</row>
    <row r="24" spans="1:95" s="146" customFormat="1" ht="15.75" customHeight="1" x14ac:dyDescent="0.3">
      <c r="B24" s="5810" t="s">
        <v>1345</v>
      </c>
      <c r="C24" s="5811" t="s">
        <v>354</v>
      </c>
      <c r="D24" s="6435"/>
      <c r="E24" s="5677">
        <f>+'Direct sales IPT details'!E105</f>
        <v>1535.66</v>
      </c>
      <c r="F24" s="6435"/>
      <c r="G24" s="5677">
        <f>+'Direct sales IPT details'!G105</f>
        <v>0</v>
      </c>
      <c r="H24" s="6436"/>
      <c r="I24" s="5685">
        <f t="shared" si="59"/>
        <v>1535.66</v>
      </c>
      <c r="J24" s="6435"/>
      <c r="K24" s="5677">
        <f>+'Direct sales IPT details'!K105</f>
        <v>0</v>
      </c>
      <c r="L24" s="6438"/>
      <c r="M24" s="5498">
        <f t="shared" si="60"/>
        <v>1535.66</v>
      </c>
      <c r="N24" s="6435"/>
      <c r="O24" s="5677">
        <f>+'Direct sales IPT details'!O105</f>
        <v>2403.2400000000002</v>
      </c>
      <c r="P24" s="6436"/>
      <c r="Q24" s="5685">
        <f t="shared" si="62"/>
        <v>3938.9000000000005</v>
      </c>
      <c r="R24" s="6435"/>
      <c r="S24" s="5677">
        <f>+'Direct sales IPT details'!S105</f>
        <v>95.97</v>
      </c>
      <c r="T24" s="6436"/>
      <c r="U24" s="5685">
        <f t="shared" si="63"/>
        <v>4034.8700000000003</v>
      </c>
      <c r="V24" s="6435"/>
      <c r="W24" s="5677">
        <f>+'Direct sales IPT details'!W105</f>
        <v>999.81</v>
      </c>
      <c r="X24" s="6438"/>
      <c r="Y24" s="5498">
        <f t="shared" si="64"/>
        <v>3499.02</v>
      </c>
      <c r="Z24" s="6439"/>
      <c r="AA24" s="5499">
        <f t="shared" si="65"/>
        <v>5034.68</v>
      </c>
      <c r="AB24" s="6435"/>
      <c r="AC24" s="5677">
        <f>+'Direct sales IPT details'!AC105</f>
        <v>1499.9</v>
      </c>
      <c r="AD24" s="5685"/>
      <c r="AE24" s="5685">
        <f t="shared" si="66"/>
        <v>6534.58</v>
      </c>
      <c r="AF24" s="6435"/>
      <c r="AG24" s="5677">
        <f>+'Direct sales IPT details'!AG105</f>
        <v>530.13</v>
      </c>
      <c r="AH24" s="5685"/>
      <c r="AI24" s="5685">
        <f t="shared" si="67"/>
        <v>7064.71</v>
      </c>
      <c r="AJ24" s="6435"/>
      <c r="AK24" s="5677">
        <f>+'Direct sales IPT details'!AK105</f>
        <v>1969.72</v>
      </c>
      <c r="AL24" s="6448"/>
      <c r="AM24" s="5498">
        <f t="shared" si="68"/>
        <v>3999.75</v>
      </c>
      <c r="AN24" s="6436"/>
      <c r="AO24" s="5685">
        <f t="shared" si="69"/>
        <v>9034.43</v>
      </c>
      <c r="AP24" s="6435"/>
      <c r="AQ24" s="5677">
        <f>+'Direct sales IPT details'!AQ105</f>
        <v>9998.68</v>
      </c>
      <c r="AR24" s="6436"/>
      <c r="AS24" s="5685">
        <f t="shared" si="70"/>
        <v>19033.11</v>
      </c>
      <c r="AT24" s="6435"/>
      <c r="AU24" s="5677">
        <f>+'Direct sales IPT details'!AU105</f>
        <v>6840.1899999999987</v>
      </c>
      <c r="AV24" s="6436"/>
      <c r="AW24" s="5685">
        <f t="shared" si="71"/>
        <v>25873.3</v>
      </c>
      <c r="AX24" s="6435"/>
      <c r="AY24" s="5677">
        <f>+'Direct sales IPT details'!AY105</f>
        <v>3159.2599999999993</v>
      </c>
      <c r="AZ24" s="6448"/>
      <c r="BA24" s="5498">
        <f t="shared" si="72"/>
        <v>19998.129999999997</v>
      </c>
      <c r="BB24" s="6439"/>
      <c r="BC24" s="5499">
        <f t="shared" si="57"/>
        <v>23997.879999999997</v>
      </c>
      <c r="BD24" s="6436"/>
      <c r="BE24" s="5685">
        <f t="shared" si="73"/>
        <v>29032.559999999998</v>
      </c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</row>
    <row r="25" spans="1:95" s="146" customFormat="1" ht="15.75" hidden="1" customHeight="1" thickBot="1" x14ac:dyDescent="0.35">
      <c r="B25" s="5810" t="str">
        <f>+'Direct sales IPT details'!B106</f>
        <v>NON MAGNETIC UNSCREEN WORK THROUGH SLAG</v>
      </c>
      <c r="C25" s="5811" t="s">
        <v>354</v>
      </c>
      <c r="D25" s="6435"/>
      <c r="E25" s="5677">
        <f>+'Direct sales IPT details'!E106</f>
        <v>0</v>
      </c>
      <c r="F25" s="6435"/>
      <c r="G25" s="5677">
        <f>+'Direct sales IPT details'!G106</f>
        <v>0</v>
      </c>
      <c r="H25" s="6436"/>
      <c r="I25" s="5685">
        <f t="shared" si="59"/>
        <v>0</v>
      </c>
      <c r="J25" s="6435"/>
      <c r="K25" s="5677">
        <f>+'Direct sales IPT details'!K106</f>
        <v>0</v>
      </c>
      <c r="L25" s="6438"/>
      <c r="M25" s="5498">
        <f t="shared" si="60"/>
        <v>0</v>
      </c>
      <c r="N25" s="6435"/>
      <c r="O25" s="5677">
        <f>+'Direct sales IPT details'!O106</f>
        <v>0</v>
      </c>
      <c r="P25" s="6436"/>
      <c r="Q25" s="5685">
        <f t="shared" si="62"/>
        <v>0</v>
      </c>
      <c r="R25" s="6435"/>
      <c r="S25" s="5677">
        <f>+'Direct sales IPT details'!S106</f>
        <v>0</v>
      </c>
      <c r="T25" s="6436"/>
      <c r="U25" s="5685">
        <f t="shared" si="63"/>
        <v>0</v>
      </c>
      <c r="V25" s="6435"/>
      <c r="W25" s="5677">
        <f>+'Direct sales IPT details'!W106</f>
        <v>0</v>
      </c>
      <c r="X25" s="6438"/>
      <c r="Y25" s="5498">
        <f t="shared" si="64"/>
        <v>0</v>
      </c>
      <c r="Z25" s="6439"/>
      <c r="AA25" s="5499">
        <f t="shared" si="65"/>
        <v>0</v>
      </c>
      <c r="AB25" s="6435"/>
      <c r="AC25" s="5677">
        <f>+'Direct sales IPT details'!AC106</f>
        <v>0</v>
      </c>
      <c r="AD25" s="5818"/>
      <c r="AE25" s="5685">
        <f t="shared" si="66"/>
        <v>0</v>
      </c>
      <c r="AF25" s="6435"/>
      <c r="AG25" s="5677">
        <f>+'Direct sales IPT details'!AG106</f>
        <v>0</v>
      </c>
      <c r="AH25" s="5818"/>
      <c r="AI25" s="5685">
        <f t="shared" si="67"/>
        <v>0</v>
      </c>
      <c r="AJ25" s="6435"/>
      <c r="AK25" s="5677">
        <f>+'Direct sales IPT details'!AK106</f>
        <v>0</v>
      </c>
      <c r="AL25" s="6448"/>
      <c r="AM25" s="5498">
        <f t="shared" si="68"/>
        <v>0</v>
      </c>
      <c r="AN25" s="6436"/>
      <c r="AO25" s="5685">
        <f t="shared" si="69"/>
        <v>0</v>
      </c>
      <c r="AP25" s="6435"/>
      <c r="AQ25" s="5677">
        <f>+'Direct sales IPT details'!AQ106</f>
        <v>0</v>
      </c>
      <c r="AR25" s="6436"/>
      <c r="AS25" s="5685">
        <f t="shared" si="70"/>
        <v>0</v>
      </c>
      <c r="AT25" s="6435"/>
      <c r="AU25" s="5677">
        <f>+'Direct sales IPT details'!AU106</f>
        <v>0</v>
      </c>
      <c r="AV25" s="6436"/>
      <c r="AW25" s="5685">
        <f t="shared" si="71"/>
        <v>0</v>
      </c>
      <c r="AX25" s="6435"/>
      <c r="AY25" s="5677">
        <f>+'Direct sales IPT details'!AY106</f>
        <v>0</v>
      </c>
      <c r="AZ25" s="6448"/>
      <c r="BA25" s="5498">
        <f t="shared" si="72"/>
        <v>0</v>
      </c>
      <c r="BB25" s="6439"/>
      <c r="BC25" s="5499">
        <f t="shared" si="57"/>
        <v>0</v>
      </c>
      <c r="BD25" s="6436"/>
      <c r="BE25" s="5685">
        <f t="shared" si="73"/>
        <v>0</v>
      </c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</row>
    <row r="26" spans="1:95" s="146" customFormat="1" ht="15.6" x14ac:dyDescent="0.3">
      <c r="B26" s="4835" t="s">
        <v>423</v>
      </c>
      <c r="D26" s="5605"/>
      <c r="E26" s="5605"/>
      <c r="F26" s="5605"/>
      <c r="G26" s="5605"/>
      <c r="H26" s="149"/>
      <c r="I26" s="149"/>
      <c r="J26" s="5605"/>
      <c r="K26" s="5605"/>
      <c r="L26" s="149"/>
      <c r="M26" s="149"/>
      <c r="N26" s="5605"/>
      <c r="O26" s="5605"/>
      <c r="P26" s="149"/>
      <c r="Q26" s="149"/>
      <c r="R26" s="5605"/>
      <c r="S26" s="5605"/>
      <c r="T26" s="149"/>
      <c r="U26" s="149"/>
      <c r="V26" s="5605"/>
      <c r="W26" s="5605"/>
      <c r="X26" s="149"/>
      <c r="Y26" s="149"/>
      <c r="Z26" s="149"/>
      <c r="AA26" s="149"/>
      <c r="AB26" s="5605"/>
      <c r="AC26" s="5605"/>
      <c r="AD26" s="149"/>
      <c r="AE26" s="149"/>
      <c r="AF26" s="5605"/>
      <c r="AG26" s="5605"/>
      <c r="AH26" s="5780"/>
      <c r="AI26" s="5780"/>
      <c r="AJ26" s="5605"/>
      <c r="AK26" s="5605"/>
      <c r="AL26" s="149"/>
      <c r="AM26" s="149"/>
      <c r="AN26" s="149"/>
      <c r="AO26" s="149"/>
      <c r="AP26" s="5605"/>
      <c r="AQ26" s="5605"/>
      <c r="AR26" s="149"/>
      <c r="AS26" s="149"/>
      <c r="AT26" s="5605"/>
      <c r="AU26" s="5605"/>
      <c r="AV26" s="5780"/>
      <c r="AW26" s="5780"/>
      <c r="AX26" s="5605"/>
      <c r="AY26" s="5605"/>
      <c r="AZ26" s="149"/>
      <c r="BA26" s="149"/>
      <c r="BB26" s="149"/>
      <c r="BC26" s="149"/>
      <c r="BD26" s="149"/>
      <c r="BE26" s="149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</row>
    <row r="27" spans="1:95" ht="15.6" x14ac:dyDescent="0.3">
      <c r="B27" s="2741" t="s">
        <v>1169</v>
      </c>
      <c r="C27" s="804" t="s">
        <v>354</v>
      </c>
      <c r="D27" s="2743"/>
      <c r="E27" s="2627"/>
      <c r="F27" s="2743"/>
      <c r="G27" s="2627"/>
      <c r="H27" s="2629"/>
      <c r="I27" s="2549">
        <f t="shared" si="59"/>
        <v>0</v>
      </c>
      <c r="J27" s="2743"/>
      <c r="K27" s="2627"/>
      <c r="L27" s="2630"/>
      <c r="M27" s="2540">
        <f t="shared" si="60"/>
        <v>0</v>
      </c>
      <c r="N27" s="2743"/>
      <c r="O27" s="2627"/>
      <c r="P27" s="2629"/>
      <c r="Q27" s="2549">
        <f t="shared" ref="Q27:Q35" si="74">+O27+M27</f>
        <v>0</v>
      </c>
      <c r="R27" s="2743"/>
      <c r="S27" s="2627">
        <v>4280</v>
      </c>
      <c r="T27" s="2629"/>
      <c r="U27" s="2549">
        <f t="shared" si="63"/>
        <v>4280</v>
      </c>
      <c r="V27" s="2743"/>
      <c r="W27" s="2627">
        <v>3000.4</v>
      </c>
      <c r="X27" s="2630"/>
      <c r="Y27" s="2540">
        <f>+O27+S27+W27</f>
        <v>7280.4</v>
      </c>
      <c r="Z27" s="2631"/>
      <c r="AA27" s="2541">
        <f t="shared" si="65"/>
        <v>7280.4</v>
      </c>
      <c r="AB27" s="2743"/>
      <c r="AC27" s="2627"/>
      <c r="AD27" s="2629"/>
      <c r="AE27" s="2549">
        <f t="shared" si="66"/>
        <v>7280.4</v>
      </c>
      <c r="AF27" s="2743"/>
      <c r="AG27" s="2627"/>
      <c r="AH27" s="2629"/>
      <c r="AI27" s="2549">
        <f t="shared" ref="AI27:AI35" si="75">+AG27+AE27</f>
        <v>7280.4</v>
      </c>
      <c r="AJ27" s="2743"/>
      <c r="AK27" s="2627"/>
      <c r="AL27" s="2630"/>
      <c r="AM27" s="2540">
        <f t="shared" si="68"/>
        <v>0</v>
      </c>
      <c r="AN27" s="2629"/>
      <c r="AO27" s="2549">
        <f t="shared" si="69"/>
        <v>7280.4</v>
      </c>
      <c r="AP27" s="2743"/>
      <c r="AQ27" s="2627">
        <v>0</v>
      </c>
      <c r="AR27" s="2629"/>
      <c r="AS27" s="2549">
        <f t="shared" si="70"/>
        <v>7280.4</v>
      </c>
      <c r="AT27" s="2743"/>
      <c r="AU27" s="2627"/>
      <c r="AV27" s="2629"/>
      <c r="AW27" s="2549">
        <f t="shared" ref="AW27:AW35" si="76">+AU27+AS27</f>
        <v>7280.4</v>
      </c>
      <c r="AX27" s="2743"/>
      <c r="AY27" s="2627"/>
      <c r="AZ27" s="2630"/>
      <c r="BA27" s="2540">
        <f t="shared" si="72"/>
        <v>0</v>
      </c>
      <c r="BB27" s="2631"/>
      <c r="BC27" s="2541">
        <f t="shared" si="57"/>
        <v>0</v>
      </c>
      <c r="BD27" s="2629"/>
      <c r="BE27" s="2549">
        <f t="shared" si="73"/>
        <v>7280.4</v>
      </c>
    </row>
    <row r="28" spans="1:95" ht="15.6" x14ac:dyDescent="0.3">
      <c r="B28" s="2742" t="s">
        <v>1647</v>
      </c>
      <c r="C28" s="804" t="s">
        <v>354</v>
      </c>
      <c r="D28" s="2743"/>
      <c r="E28" s="2627">
        <v>80740.399999999994</v>
      </c>
      <c r="F28" s="2743"/>
      <c r="G28" s="2627">
        <v>104100</v>
      </c>
      <c r="H28" s="2629"/>
      <c r="I28" s="2549">
        <f t="shared" si="59"/>
        <v>184840.4</v>
      </c>
      <c r="J28" s="2743"/>
      <c r="K28" s="2627">
        <v>93920</v>
      </c>
      <c r="L28" s="2630"/>
      <c r="M28" s="2540">
        <f t="shared" si="60"/>
        <v>278760.40000000002</v>
      </c>
      <c r="N28" s="2743"/>
      <c r="O28" s="2627">
        <v>70000</v>
      </c>
      <c r="P28" s="2629"/>
      <c r="Q28" s="2549">
        <f t="shared" si="74"/>
        <v>348760.4</v>
      </c>
      <c r="R28" s="2743"/>
      <c r="S28" s="2627">
        <v>83200</v>
      </c>
      <c r="T28" s="2629"/>
      <c r="U28" s="2549">
        <f t="shared" si="63"/>
        <v>431960.4</v>
      </c>
      <c r="V28" s="2743"/>
      <c r="W28" s="2627">
        <v>57000.4</v>
      </c>
      <c r="X28" s="2630"/>
      <c r="Y28" s="2540">
        <f t="shared" si="64"/>
        <v>210200.4</v>
      </c>
      <c r="Z28" s="2631"/>
      <c r="AA28" s="2541">
        <f t="shared" si="65"/>
        <v>488960.80000000005</v>
      </c>
      <c r="AB28" s="2743"/>
      <c r="AC28" s="2627">
        <v>99160</v>
      </c>
      <c r="AD28" s="2629"/>
      <c r="AE28" s="2549">
        <f t="shared" si="66"/>
        <v>588120.80000000005</v>
      </c>
      <c r="AF28" s="2743"/>
      <c r="AG28" s="2627">
        <v>109440</v>
      </c>
      <c r="AH28" s="2629"/>
      <c r="AI28" s="2549">
        <f t="shared" si="75"/>
        <v>697560.8</v>
      </c>
      <c r="AJ28" s="2743"/>
      <c r="AK28" s="2627">
        <v>123040</v>
      </c>
      <c r="AL28" s="2630"/>
      <c r="AM28" s="2540">
        <f t="shared" si="68"/>
        <v>331640</v>
      </c>
      <c r="AN28" s="2629"/>
      <c r="AO28" s="2549">
        <f t="shared" si="69"/>
        <v>820600.8</v>
      </c>
      <c r="AP28" s="2743"/>
      <c r="AQ28" s="2627">
        <v>195520</v>
      </c>
      <c r="AR28" s="2629"/>
      <c r="AS28" s="2549">
        <f t="shared" si="70"/>
        <v>1016120.8</v>
      </c>
      <c r="AT28" s="2743"/>
      <c r="AU28" s="2627">
        <v>208320</v>
      </c>
      <c r="AV28" s="2629"/>
      <c r="AW28" s="2549">
        <f t="shared" si="76"/>
        <v>1224440.8</v>
      </c>
      <c r="AX28" s="2743"/>
      <c r="AY28" s="2627">
        <v>203940</v>
      </c>
      <c r="AZ28" s="2630"/>
      <c r="BA28" s="2540">
        <f t="shared" si="72"/>
        <v>607780</v>
      </c>
      <c r="BB28" s="2631"/>
      <c r="BC28" s="2541">
        <f t="shared" si="57"/>
        <v>939420</v>
      </c>
      <c r="BD28" s="2629"/>
      <c r="BE28" s="2549">
        <f t="shared" si="73"/>
        <v>1428380.8</v>
      </c>
    </row>
    <row r="29" spans="1:95" ht="15.6" x14ac:dyDescent="0.3">
      <c r="B29" s="2741" t="s">
        <v>1018</v>
      </c>
      <c r="C29" s="804" t="s">
        <v>354</v>
      </c>
      <c r="D29" s="2745"/>
      <c r="E29" s="2627">
        <f>+SINTER!F14</f>
        <v>0</v>
      </c>
      <c r="F29" s="2745"/>
      <c r="G29" s="2627">
        <f>+SINTER!H14</f>
        <v>0</v>
      </c>
      <c r="H29" s="2629"/>
      <c r="I29" s="2549">
        <f t="shared" si="59"/>
        <v>0</v>
      </c>
      <c r="J29" s="2745"/>
      <c r="K29" s="2627">
        <f>+SINTER!L14</f>
        <v>0</v>
      </c>
      <c r="L29" s="2630"/>
      <c r="M29" s="2540">
        <f t="shared" si="60"/>
        <v>0</v>
      </c>
      <c r="N29" s="2745"/>
      <c r="O29" s="2627">
        <f>+SINTER!P14</f>
        <v>0</v>
      </c>
      <c r="P29" s="2629"/>
      <c r="Q29" s="2549">
        <f t="shared" si="74"/>
        <v>0</v>
      </c>
      <c r="R29" s="2745"/>
      <c r="S29" s="2627">
        <f>+SINTER!T14</f>
        <v>0</v>
      </c>
      <c r="T29" s="2629"/>
      <c r="U29" s="2549">
        <f t="shared" si="63"/>
        <v>0</v>
      </c>
      <c r="V29" s="2745"/>
      <c r="W29" s="2627">
        <f>+SINTER!X14</f>
        <v>0</v>
      </c>
      <c r="X29" s="2630"/>
      <c r="Y29" s="2540">
        <f t="shared" si="64"/>
        <v>0</v>
      </c>
      <c r="Z29" s="2631"/>
      <c r="AA29" s="2541">
        <f t="shared" si="65"/>
        <v>0</v>
      </c>
      <c r="AB29" s="2745"/>
      <c r="AC29" s="2627">
        <f>+SINTER!AD14</f>
        <v>0</v>
      </c>
      <c r="AD29" s="2629"/>
      <c r="AE29" s="2549">
        <f t="shared" si="66"/>
        <v>0</v>
      </c>
      <c r="AF29" s="2745"/>
      <c r="AG29" s="2627">
        <f>+SINTER!AH14</f>
        <v>629</v>
      </c>
      <c r="AH29" s="2629"/>
      <c r="AI29" s="2549">
        <f t="shared" si="75"/>
        <v>629</v>
      </c>
      <c r="AJ29" s="2745"/>
      <c r="AK29" s="2627">
        <f>+SINTER!AL14</f>
        <v>2068</v>
      </c>
      <c r="AL29" s="2630"/>
      <c r="AM29" s="2540">
        <f t="shared" si="68"/>
        <v>2697</v>
      </c>
      <c r="AN29" s="2629"/>
      <c r="AO29" s="2549">
        <f t="shared" si="69"/>
        <v>2697</v>
      </c>
      <c r="AP29" s="2745"/>
      <c r="AQ29" s="2627">
        <f>+SINTER!AR14</f>
        <v>691</v>
      </c>
      <c r="AR29" s="2629"/>
      <c r="AS29" s="2549">
        <f t="shared" si="70"/>
        <v>3388</v>
      </c>
      <c r="AT29" s="2745"/>
      <c r="AU29" s="2627">
        <f>+SINTER!AV14</f>
        <v>0</v>
      </c>
      <c r="AV29" s="2629"/>
      <c r="AW29" s="2549">
        <f t="shared" si="76"/>
        <v>3388</v>
      </c>
      <c r="AX29" s="2745"/>
      <c r="AY29" s="2627">
        <f>+SINTER!AZ14</f>
        <v>0</v>
      </c>
      <c r="AZ29" s="2630"/>
      <c r="BA29" s="2540">
        <f t="shared" si="72"/>
        <v>691</v>
      </c>
      <c r="BB29" s="2631"/>
      <c r="BC29" s="2541">
        <f t="shared" si="57"/>
        <v>3388</v>
      </c>
      <c r="BD29" s="2629"/>
      <c r="BE29" s="2549">
        <f t="shared" si="73"/>
        <v>3388</v>
      </c>
    </row>
    <row r="30" spans="1:95" ht="15.6" x14ac:dyDescent="0.3">
      <c r="B30" s="2741" t="s">
        <v>1019</v>
      </c>
      <c r="C30" s="804" t="s">
        <v>354</v>
      </c>
      <c r="D30" s="2745"/>
      <c r="E30" s="2627">
        <f>+'B-FCE'!F29</f>
        <v>0</v>
      </c>
      <c r="F30" s="2745"/>
      <c r="G30" s="2627">
        <f>+'B-FCE'!H29</f>
        <v>0</v>
      </c>
      <c r="H30" s="2629"/>
      <c r="I30" s="2549">
        <f t="shared" si="59"/>
        <v>0</v>
      </c>
      <c r="J30" s="2745"/>
      <c r="K30" s="2627">
        <f>+'B-FCE'!L29</f>
        <v>0</v>
      </c>
      <c r="L30" s="2630"/>
      <c r="M30" s="2540">
        <f t="shared" si="60"/>
        <v>0</v>
      </c>
      <c r="N30" s="2745"/>
      <c r="O30" s="2627">
        <f>+'B-FCE'!P29</f>
        <v>0</v>
      </c>
      <c r="P30" s="2629"/>
      <c r="Q30" s="2549">
        <f t="shared" si="74"/>
        <v>0</v>
      </c>
      <c r="R30" s="2745"/>
      <c r="S30" s="2627">
        <f>+'B-FCE'!T29</f>
        <v>0</v>
      </c>
      <c r="T30" s="2629"/>
      <c r="U30" s="2549">
        <f t="shared" si="63"/>
        <v>0</v>
      </c>
      <c r="V30" s="2745"/>
      <c r="W30" s="2627">
        <f>+'B-FCE'!X29</f>
        <v>0</v>
      </c>
      <c r="X30" s="2630"/>
      <c r="Y30" s="2540">
        <f t="shared" si="64"/>
        <v>0</v>
      </c>
      <c r="Z30" s="2631"/>
      <c r="AA30" s="2541">
        <f t="shared" si="65"/>
        <v>0</v>
      </c>
      <c r="AB30" s="2745"/>
      <c r="AC30" s="2627">
        <f>+'B-FCE'!AD29</f>
        <v>123</v>
      </c>
      <c r="AD30" s="2629"/>
      <c r="AE30" s="2549">
        <f t="shared" si="66"/>
        <v>123</v>
      </c>
      <c r="AF30" s="2745"/>
      <c r="AG30" s="2627">
        <f>+'B-FCE'!AH29</f>
        <v>0</v>
      </c>
      <c r="AH30" s="2629"/>
      <c r="AI30" s="2549">
        <f t="shared" si="75"/>
        <v>123</v>
      </c>
      <c r="AJ30" s="2745"/>
      <c r="AK30" s="2627">
        <f>+'B-FCE'!AL29</f>
        <v>61.6</v>
      </c>
      <c r="AL30" s="2630"/>
      <c r="AM30" s="2540">
        <f t="shared" si="68"/>
        <v>184.6</v>
      </c>
      <c r="AN30" s="2629"/>
      <c r="AO30" s="2549">
        <f t="shared" si="69"/>
        <v>184.6</v>
      </c>
      <c r="AP30" s="2745"/>
      <c r="AQ30" s="2627">
        <f>+'B-FCE'!AR29</f>
        <v>664.7</v>
      </c>
      <c r="AR30" s="2629"/>
      <c r="AS30" s="2549">
        <f t="shared" si="70"/>
        <v>849.30000000000007</v>
      </c>
      <c r="AT30" s="2745"/>
      <c r="AU30" s="2627">
        <f>+'B-FCE'!AV29</f>
        <v>177.9</v>
      </c>
      <c r="AV30" s="2629"/>
      <c r="AW30" s="2549">
        <f t="shared" si="76"/>
        <v>1027.2</v>
      </c>
      <c r="AX30" s="2745"/>
      <c r="AY30" s="2627">
        <f>+'B-FCE'!AZ29</f>
        <v>572</v>
      </c>
      <c r="AZ30" s="2630"/>
      <c r="BA30" s="2540">
        <f t="shared" si="72"/>
        <v>1414.6</v>
      </c>
      <c r="BB30" s="2631"/>
      <c r="BC30" s="2541">
        <f t="shared" si="57"/>
        <v>1599.1999999999998</v>
      </c>
      <c r="BD30" s="2629"/>
      <c r="BE30" s="2549">
        <f t="shared" si="73"/>
        <v>1599.2</v>
      </c>
    </row>
    <row r="31" spans="1:95" ht="15.6" x14ac:dyDescent="0.3">
      <c r="B31" s="2741" t="s">
        <v>1118</v>
      </c>
      <c r="C31" s="804" t="s">
        <v>354</v>
      </c>
      <c r="D31" s="2743"/>
      <c r="E31" s="2627">
        <f>+SMS!F122</f>
        <v>0</v>
      </c>
      <c r="F31" s="2743"/>
      <c r="G31" s="2627">
        <f>+SMS!H122</f>
        <v>0</v>
      </c>
      <c r="H31" s="2629"/>
      <c r="I31" s="2549">
        <f t="shared" si="59"/>
        <v>0</v>
      </c>
      <c r="J31" s="2743"/>
      <c r="K31" s="2627">
        <f>+SMS!L122</f>
        <v>0</v>
      </c>
      <c r="L31" s="2630"/>
      <c r="M31" s="2540">
        <f t="shared" si="60"/>
        <v>0</v>
      </c>
      <c r="N31" s="2743"/>
      <c r="O31" s="2627">
        <f>+SMS!P122</f>
        <v>0</v>
      </c>
      <c r="P31" s="2629"/>
      <c r="Q31" s="2549">
        <f t="shared" si="74"/>
        <v>0</v>
      </c>
      <c r="R31" s="2743"/>
      <c r="S31" s="2627">
        <f>+SMS!T122</f>
        <v>0</v>
      </c>
      <c r="T31" s="2628"/>
      <c r="U31" s="2549">
        <f t="shared" si="63"/>
        <v>0</v>
      </c>
      <c r="V31" s="2743"/>
      <c r="W31" s="2627">
        <f>+SMS!X122</f>
        <v>0</v>
      </c>
      <c r="X31" s="2630"/>
      <c r="Y31" s="2540">
        <f t="shared" si="64"/>
        <v>0</v>
      </c>
      <c r="Z31" s="2631"/>
      <c r="AA31" s="2541">
        <f t="shared" si="65"/>
        <v>0</v>
      </c>
      <c r="AB31" s="2743"/>
      <c r="AC31" s="2627">
        <f>+SMS!AD122</f>
        <v>0</v>
      </c>
      <c r="AD31" s="2628"/>
      <c r="AE31" s="2549">
        <f t="shared" si="66"/>
        <v>0</v>
      </c>
      <c r="AF31" s="2743"/>
      <c r="AG31" s="2627">
        <f>+SMS!AH122</f>
        <v>0</v>
      </c>
      <c r="AH31" s="2628"/>
      <c r="AI31" s="2549">
        <f t="shared" si="75"/>
        <v>0</v>
      </c>
      <c r="AJ31" s="2743"/>
      <c r="AK31" s="2627">
        <f>+SMS!AL122</f>
        <v>0</v>
      </c>
      <c r="AL31" s="2630"/>
      <c r="AM31" s="2540">
        <f t="shared" si="68"/>
        <v>0</v>
      </c>
      <c r="AN31" s="2628"/>
      <c r="AO31" s="2549">
        <f t="shared" si="69"/>
        <v>0</v>
      </c>
      <c r="AP31" s="2743"/>
      <c r="AQ31" s="2627">
        <f>+SMS!AR122</f>
        <v>0</v>
      </c>
      <c r="AR31" s="2628"/>
      <c r="AS31" s="2549">
        <f t="shared" si="70"/>
        <v>0</v>
      </c>
      <c r="AT31" s="2743"/>
      <c r="AU31" s="2627">
        <f>+SMS!AV122</f>
        <v>0</v>
      </c>
      <c r="AV31" s="2628"/>
      <c r="AW31" s="2549">
        <f t="shared" si="76"/>
        <v>0</v>
      </c>
      <c r="AX31" s="2743"/>
      <c r="AY31" s="2627">
        <f>+SMS!AZ122</f>
        <v>0</v>
      </c>
      <c r="AZ31" s="2630"/>
      <c r="BA31" s="2540">
        <f t="shared" si="72"/>
        <v>0</v>
      </c>
      <c r="BB31" s="2631"/>
      <c r="BC31" s="2541">
        <f t="shared" si="57"/>
        <v>0</v>
      </c>
      <c r="BD31" s="2628"/>
      <c r="BE31" s="2549">
        <f t="shared" si="73"/>
        <v>0</v>
      </c>
    </row>
    <row r="32" spans="1:95" ht="15.6" x14ac:dyDescent="0.3">
      <c r="B32" s="2741" t="s">
        <v>1036</v>
      </c>
      <c r="C32" s="804" t="s">
        <v>354</v>
      </c>
      <c r="D32" s="2743"/>
      <c r="E32" s="2627">
        <f>+E22+E23+E25+E24</f>
        <v>7712.23</v>
      </c>
      <c r="F32" s="2743"/>
      <c r="G32" s="2627">
        <f>+G22+G23+G25+G24</f>
        <v>9134.2500000000018</v>
      </c>
      <c r="H32" s="2629"/>
      <c r="I32" s="2549">
        <f t="shared" si="59"/>
        <v>16846.480000000003</v>
      </c>
      <c r="J32" s="2743"/>
      <c r="K32" s="2627">
        <f>+K22+K23+K25+K24</f>
        <v>3441.08</v>
      </c>
      <c r="L32" s="2630"/>
      <c r="M32" s="2540">
        <f t="shared" si="60"/>
        <v>20287.560000000005</v>
      </c>
      <c r="N32" s="2743"/>
      <c r="O32" s="2627">
        <f>+O22+O23+O25+O24</f>
        <v>12321.94</v>
      </c>
      <c r="P32" s="2629"/>
      <c r="Q32" s="2549">
        <f t="shared" si="74"/>
        <v>32609.500000000007</v>
      </c>
      <c r="R32" s="2743"/>
      <c r="S32" s="2627">
        <f>+S22+S23+S25+S24</f>
        <v>175.21</v>
      </c>
      <c r="T32" s="2629"/>
      <c r="U32" s="2549">
        <f t="shared" si="63"/>
        <v>32784.710000000006</v>
      </c>
      <c r="V32" s="2743"/>
      <c r="W32" s="2627">
        <f>+W22+W23+W25+W24</f>
        <v>10771.1</v>
      </c>
      <c r="X32" s="2630"/>
      <c r="Y32" s="2540">
        <f t="shared" si="64"/>
        <v>23268.25</v>
      </c>
      <c r="Z32" s="2631"/>
      <c r="AA32" s="2541">
        <f t="shared" si="65"/>
        <v>43555.810000000005</v>
      </c>
      <c r="AB32" s="2743"/>
      <c r="AC32" s="2627">
        <f>+AC22+AC23+AC25+AC24</f>
        <v>1727.19</v>
      </c>
      <c r="AD32" s="2629"/>
      <c r="AE32" s="2549">
        <f t="shared" si="66"/>
        <v>45283.000000000007</v>
      </c>
      <c r="AF32" s="2743"/>
      <c r="AG32" s="2627">
        <f>+AG22+AG23+AG25+AG24</f>
        <v>10528.789999999999</v>
      </c>
      <c r="AH32" s="2629"/>
      <c r="AI32" s="2549">
        <f t="shared" si="75"/>
        <v>55811.790000000008</v>
      </c>
      <c r="AJ32" s="2743"/>
      <c r="AK32" s="2627">
        <f>+AK22+AK23+AK25+AK24</f>
        <v>11967.74</v>
      </c>
      <c r="AL32" s="2630"/>
      <c r="AM32" s="2540">
        <f t="shared" si="68"/>
        <v>24223.72</v>
      </c>
      <c r="AN32" s="2629"/>
      <c r="AO32" s="2549">
        <f t="shared" si="69"/>
        <v>67779.530000000013</v>
      </c>
      <c r="AP32" s="2743"/>
      <c r="AQ32" s="2627">
        <f>+AQ22+AQ23+AQ25+AQ24</f>
        <v>18122.189999999999</v>
      </c>
      <c r="AR32" s="2629"/>
      <c r="AS32" s="2549">
        <f t="shared" si="70"/>
        <v>85901.720000000016</v>
      </c>
      <c r="AT32" s="2743"/>
      <c r="AU32" s="2627">
        <f>+AU22+AU23+AU25+AU24</f>
        <v>14453.559999999998</v>
      </c>
      <c r="AV32" s="2629"/>
      <c r="AW32" s="2549">
        <f t="shared" si="76"/>
        <v>100355.28000000001</v>
      </c>
      <c r="AX32" s="2743"/>
      <c r="AY32" s="2627">
        <f>+AY22+AY23+AY25+AY24</f>
        <v>4921.9299999999994</v>
      </c>
      <c r="AZ32" s="2630"/>
      <c r="BA32" s="2540">
        <f t="shared" si="72"/>
        <v>37497.679999999993</v>
      </c>
      <c r="BB32" s="2631"/>
      <c r="BC32" s="2541">
        <f t="shared" si="57"/>
        <v>61721.399999999994</v>
      </c>
      <c r="BD32" s="2629"/>
      <c r="BE32" s="2549">
        <f t="shared" si="73"/>
        <v>105277.21</v>
      </c>
    </row>
    <row r="33" spans="2:57" ht="15.6" x14ac:dyDescent="0.3">
      <c r="B33" s="2741" t="s">
        <v>1332</v>
      </c>
      <c r="C33" s="804" t="s">
        <v>354</v>
      </c>
      <c r="D33" s="2743"/>
      <c r="E33" s="2627"/>
      <c r="F33" s="2743"/>
      <c r="G33" s="2627"/>
      <c r="H33" s="2629"/>
      <c r="I33" s="2549">
        <f t="shared" si="59"/>
        <v>0</v>
      </c>
      <c r="J33" s="2743"/>
      <c r="K33" s="2627"/>
      <c r="L33" s="2630"/>
      <c r="M33" s="2540">
        <f t="shared" si="60"/>
        <v>0</v>
      </c>
      <c r="N33" s="2743"/>
      <c r="O33" s="2627"/>
      <c r="P33" s="2629"/>
      <c r="Q33" s="2549">
        <f t="shared" si="74"/>
        <v>0</v>
      </c>
      <c r="R33" s="2743"/>
      <c r="S33" s="2627"/>
      <c r="T33" s="2629"/>
      <c r="U33" s="2549">
        <f t="shared" si="63"/>
        <v>0</v>
      </c>
      <c r="V33" s="2743"/>
      <c r="W33" s="2627"/>
      <c r="X33" s="2630"/>
      <c r="Y33" s="2540">
        <f t="shared" si="64"/>
        <v>0</v>
      </c>
      <c r="Z33" s="2631"/>
      <c r="AA33" s="2541">
        <f t="shared" si="65"/>
        <v>0</v>
      </c>
      <c r="AB33" s="2743"/>
      <c r="AC33" s="2627"/>
      <c r="AD33" s="2629"/>
      <c r="AE33" s="2549">
        <f t="shared" si="66"/>
        <v>0</v>
      </c>
      <c r="AF33" s="2743"/>
      <c r="AG33" s="2627"/>
      <c r="AH33" s="2629"/>
      <c r="AI33" s="2549">
        <f t="shared" si="75"/>
        <v>0</v>
      </c>
      <c r="AJ33" s="2743"/>
      <c r="AK33" s="2627"/>
      <c r="AL33" s="2630"/>
      <c r="AM33" s="2540">
        <f t="shared" si="68"/>
        <v>0</v>
      </c>
      <c r="AN33" s="2629"/>
      <c r="AO33" s="2549">
        <f t="shared" si="69"/>
        <v>0</v>
      </c>
      <c r="AP33" s="2743"/>
      <c r="AQ33" s="2627">
        <v>0</v>
      </c>
      <c r="AR33" s="2629"/>
      <c r="AS33" s="2549">
        <f t="shared" si="70"/>
        <v>0</v>
      </c>
      <c r="AT33" s="2743"/>
      <c r="AU33" s="2627"/>
      <c r="AV33" s="2629"/>
      <c r="AW33" s="2549">
        <f t="shared" si="76"/>
        <v>0</v>
      </c>
      <c r="AX33" s="2743"/>
      <c r="AY33" s="2627"/>
      <c r="AZ33" s="2630"/>
      <c r="BA33" s="2540">
        <f t="shared" si="72"/>
        <v>0</v>
      </c>
      <c r="BB33" s="2631"/>
      <c r="BC33" s="2541">
        <f t="shared" si="57"/>
        <v>0</v>
      </c>
      <c r="BD33" s="2629"/>
      <c r="BE33" s="2549">
        <f t="shared" si="73"/>
        <v>0</v>
      </c>
    </row>
    <row r="34" spans="2:57" ht="15.6" x14ac:dyDescent="0.3">
      <c r="B34" s="4822" t="s">
        <v>2027</v>
      </c>
      <c r="C34" s="4823" t="s">
        <v>354</v>
      </c>
      <c r="D34" s="5781"/>
      <c r="E34" s="4824"/>
      <c r="F34" s="5781"/>
      <c r="G34" s="4824">
        <v>40</v>
      </c>
      <c r="H34" s="4825"/>
      <c r="I34" s="2549">
        <f t="shared" si="59"/>
        <v>40</v>
      </c>
      <c r="J34" s="5781"/>
      <c r="K34" s="4824">
        <v>40</v>
      </c>
      <c r="L34" s="4826"/>
      <c r="M34" s="2540">
        <f t="shared" ref="M34" si="77">+E34+G34+K34</f>
        <v>80</v>
      </c>
      <c r="N34" s="5781"/>
      <c r="O34" s="4824">
        <v>40</v>
      </c>
      <c r="P34" s="2629"/>
      <c r="Q34" s="2549">
        <f t="shared" ref="Q34" si="78">+O34+M34</f>
        <v>120</v>
      </c>
      <c r="R34" s="5781"/>
      <c r="S34" s="4824">
        <v>40</v>
      </c>
      <c r="T34" s="2629"/>
      <c r="U34" s="2549">
        <f t="shared" ref="U34" si="79">+S34+Q34</f>
        <v>160</v>
      </c>
      <c r="V34" s="5781"/>
      <c r="W34" s="4824">
        <v>40</v>
      </c>
      <c r="X34" s="2630"/>
      <c r="Y34" s="2540">
        <f t="shared" ref="Y34" si="80">+O34+S34+W34</f>
        <v>120</v>
      </c>
      <c r="Z34" s="2631"/>
      <c r="AA34" s="2541">
        <f t="shared" ref="AA34" si="81">+Y34+M34</f>
        <v>200</v>
      </c>
      <c r="AB34" s="5781"/>
      <c r="AC34" s="4824">
        <v>40</v>
      </c>
      <c r="AD34" s="2629"/>
      <c r="AE34" s="2549">
        <f t="shared" ref="AE34" si="82">+AC34+AA34</f>
        <v>240</v>
      </c>
      <c r="AF34" s="5781"/>
      <c r="AG34" s="4824">
        <v>40</v>
      </c>
      <c r="AH34" s="2629"/>
      <c r="AI34" s="2549">
        <f t="shared" ref="AI34" si="83">+AG34+AE34</f>
        <v>280</v>
      </c>
      <c r="AJ34" s="5781"/>
      <c r="AK34" s="4824">
        <v>40</v>
      </c>
      <c r="AL34" s="2630"/>
      <c r="AM34" s="2540">
        <f t="shared" ref="AM34" si="84">+AC34+AG34+AK34</f>
        <v>120</v>
      </c>
      <c r="AN34" s="2629"/>
      <c r="AO34" s="2549">
        <f t="shared" ref="AO34" si="85">+AK34+AI34</f>
        <v>320</v>
      </c>
      <c r="AP34" s="5781"/>
      <c r="AQ34" s="4824">
        <v>40</v>
      </c>
      <c r="AR34" s="2629"/>
      <c r="AS34" s="2549">
        <f t="shared" ref="AS34" si="86">+AQ34+AO34</f>
        <v>360</v>
      </c>
      <c r="AT34" s="5781"/>
      <c r="AU34" s="4824">
        <v>40</v>
      </c>
      <c r="AV34" s="2629"/>
      <c r="AW34" s="2549">
        <f t="shared" ref="AW34" si="87">+AU34+AS34</f>
        <v>400</v>
      </c>
      <c r="AX34" s="5781"/>
      <c r="AY34" s="4824">
        <v>40</v>
      </c>
      <c r="AZ34" s="2630"/>
      <c r="BA34" s="2540">
        <f t="shared" ref="BA34" si="88">+AQ34+AU34+AY34</f>
        <v>120</v>
      </c>
      <c r="BB34" s="2631"/>
      <c r="BC34" s="2541">
        <f t="shared" ref="BC34" si="89">+BA34+AM34</f>
        <v>240</v>
      </c>
      <c r="BD34" s="2629"/>
      <c r="BE34" s="2549">
        <f t="shared" ref="BE34" si="90">+AY34+AW34</f>
        <v>440</v>
      </c>
    </row>
    <row r="35" spans="2:57" ht="15.6" x14ac:dyDescent="0.3">
      <c r="B35" s="2741" t="s">
        <v>1119</v>
      </c>
      <c r="C35" s="804" t="s">
        <v>354</v>
      </c>
      <c r="D35" s="2743"/>
      <c r="E35" s="2627"/>
      <c r="F35" s="2743"/>
      <c r="G35" s="2627"/>
      <c r="H35" s="2629"/>
      <c r="I35" s="2549">
        <f t="shared" si="59"/>
        <v>0</v>
      </c>
      <c r="J35" s="2743"/>
      <c r="K35" s="2627"/>
      <c r="L35" s="2630"/>
      <c r="M35" s="2540">
        <f t="shared" si="60"/>
        <v>0</v>
      </c>
      <c r="N35" s="2743"/>
      <c r="O35" s="2627"/>
      <c r="P35" s="2629"/>
      <c r="Q35" s="2549">
        <f t="shared" si="74"/>
        <v>0</v>
      </c>
      <c r="R35" s="2743"/>
      <c r="S35" s="2627"/>
      <c r="T35" s="2629"/>
      <c r="U35" s="2549">
        <f t="shared" si="63"/>
        <v>0</v>
      </c>
      <c r="V35" s="2743"/>
      <c r="W35" s="2627"/>
      <c r="X35" s="2630"/>
      <c r="Y35" s="2540">
        <f t="shared" si="64"/>
        <v>0</v>
      </c>
      <c r="Z35" s="2631"/>
      <c r="AA35" s="2541">
        <f t="shared" si="65"/>
        <v>0</v>
      </c>
      <c r="AB35" s="2743"/>
      <c r="AC35" s="2627"/>
      <c r="AD35" s="2629"/>
      <c r="AE35" s="2549">
        <f t="shared" si="66"/>
        <v>0</v>
      </c>
      <c r="AF35" s="2743"/>
      <c r="AG35" s="2627"/>
      <c r="AH35" s="2629"/>
      <c r="AI35" s="2549">
        <f t="shared" si="75"/>
        <v>0</v>
      </c>
      <c r="AJ35" s="2743"/>
      <c r="AK35" s="2627"/>
      <c r="AL35" s="2630"/>
      <c r="AM35" s="2540">
        <f t="shared" si="68"/>
        <v>0</v>
      </c>
      <c r="AN35" s="2629"/>
      <c r="AO35" s="2549">
        <f t="shared" si="69"/>
        <v>0</v>
      </c>
      <c r="AP35" s="2743"/>
      <c r="AQ35" s="2627">
        <v>0</v>
      </c>
      <c r="AR35" s="2629"/>
      <c r="AS35" s="2549">
        <f t="shared" si="70"/>
        <v>0</v>
      </c>
      <c r="AT35" s="2743"/>
      <c r="AU35" s="2627"/>
      <c r="AV35" s="2629"/>
      <c r="AW35" s="2549">
        <f t="shared" si="76"/>
        <v>0</v>
      </c>
      <c r="AX35" s="2743"/>
      <c r="AY35" s="2627"/>
      <c r="AZ35" s="2630"/>
      <c r="BA35" s="2540">
        <f t="shared" si="72"/>
        <v>0</v>
      </c>
      <c r="BB35" s="2631"/>
      <c r="BC35" s="2541">
        <f t="shared" si="57"/>
        <v>0</v>
      </c>
      <c r="BD35" s="2629"/>
      <c r="BE35" s="2549">
        <f t="shared" si="73"/>
        <v>0</v>
      </c>
    </row>
    <row r="36" spans="2:57" ht="15.6" x14ac:dyDescent="0.3">
      <c r="B36" s="2741" t="s">
        <v>2</v>
      </c>
      <c r="C36" s="2744" t="s">
        <v>354</v>
      </c>
      <c r="D36" s="2745"/>
      <c r="E36" s="2627">
        <f>SUM(E27:E35)+E21</f>
        <v>88452.62999999999</v>
      </c>
      <c r="F36" s="2745"/>
      <c r="G36" s="2627">
        <f>SUM(G27:G35)+G21</f>
        <v>113274.25</v>
      </c>
      <c r="H36" s="2637"/>
      <c r="I36" s="2637">
        <f t="shared" ref="I36:BE36" si="91">SUM(I27:I35)+I21</f>
        <v>201726.88</v>
      </c>
      <c r="J36" s="2745"/>
      <c r="K36" s="2627">
        <f>SUM(K27:K35)+K21</f>
        <v>97401.08</v>
      </c>
      <c r="L36" s="2630"/>
      <c r="M36" s="2540">
        <f t="shared" si="91"/>
        <v>299127.96000000002</v>
      </c>
      <c r="N36" s="2745"/>
      <c r="O36" s="2627">
        <f>SUM(O27:O35)+O21</f>
        <v>85433.74</v>
      </c>
      <c r="P36" s="2629"/>
      <c r="Q36" s="2549">
        <f t="shared" ref="Q36" si="92">SUM(Q27:Q35)+Q21</f>
        <v>384561.7</v>
      </c>
      <c r="R36" s="2745"/>
      <c r="S36" s="2627">
        <f>SUM(S27:S35)+S21</f>
        <v>92218.72</v>
      </c>
      <c r="T36" s="2637"/>
      <c r="U36" s="2637">
        <f t="shared" si="91"/>
        <v>476780.42000000004</v>
      </c>
      <c r="V36" s="2745"/>
      <c r="W36" s="2627">
        <f>SUM(W27:W35)+W21</f>
        <v>79249.510000000009</v>
      </c>
      <c r="X36" s="2637"/>
      <c r="Y36" s="2637">
        <f t="shared" si="91"/>
        <v>256901.97</v>
      </c>
      <c r="Z36" s="2637"/>
      <c r="AA36" s="2637">
        <f t="shared" si="91"/>
        <v>556029.93000000017</v>
      </c>
      <c r="AB36" s="2745"/>
      <c r="AC36" s="2627">
        <f>SUM(AC27:AC35)+AC21</f>
        <v>116100.21</v>
      </c>
      <c r="AD36" s="2637"/>
      <c r="AE36" s="2637">
        <f t="shared" si="91"/>
        <v>672130.14000000013</v>
      </c>
      <c r="AF36" s="2745"/>
      <c r="AG36" s="2627">
        <f>SUM(AG27:AG35)+AG21</f>
        <v>132343.91</v>
      </c>
      <c r="AH36" s="5176"/>
      <c r="AI36" s="5176">
        <f t="shared" ref="AI36" si="93">SUM(AI27:AI35)+AI21</f>
        <v>804474.05000000016</v>
      </c>
      <c r="AJ36" s="2745"/>
      <c r="AK36" s="2627">
        <f>SUM(AK27:AK35)+AK21</f>
        <v>144020.79999999999</v>
      </c>
      <c r="AL36" s="2637"/>
      <c r="AM36" s="2637">
        <f t="shared" si="91"/>
        <v>392464.91999999993</v>
      </c>
      <c r="AN36" s="2637"/>
      <c r="AO36" s="2637">
        <f t="shared" si="91"/>
        <v>948494.85000000009</v>
      </c>
      <c r="AP36" s="2745"/>
      <c r="AQ36" s="2627">
        <f>SUM(AQ27:AQ35)+AQ21</f>
        <v>221301.16</v>
      </c>
      <c r="AR36" s="2637"/>
      <c r="AS36" s="2637">
        <f t="shared" si="91"/>
        <v>1169796.0100000002</v>
      </c>
      <c r="AT36" s="2745"/>
      <c r="AU36" s="2627">
        <f>SUM(AU27:AU35)+AU21</f>
        <v>222991.46</v>
      </c>
      <c r="AV36" s="2637"/>
      <c r="AW36" s="2637">
        <f t="shared" ref="AW36" si="94">SUM(AW27:AW35)+AW21</f>
        <v>1392787.47</v>
      </c>
      <c r="AX36" s="2745"/>
      <c r="AY36" s="2627">
        <f>SUM(AY27:AY35)+AY21</f>
        <v>209473.93</v>
      </c>
      <c r="AZ36" s="2637"/>
      <c r="BA36" s="2637">
        <f t="shared" si="91"/>
        <v>653766.55000000005</v>
      </c>
      <c r="BB36" s="2637"/>
      <c r="BC36" s="2637">
        <f t="shared" si="91"/>
        <v>1046231.47</v>
      </c>
      <c r="BD36" s="2637"/>
      <c r="BE36" s="2637">
        <f t="shared" si="91"/>
        <v>1602261.4</v>
      </c>
    </row>
    <row r="37" spans="2:57" x14ac:dyDescent="0.3">
      <c r="D37"/>
      <c r="E37"/>
      <c r="F37"/>
      <c r="G37"/>
    </row>
    <row r="38" spans="2:57" x14ac:dyDescent="0.3">
      <c r="D38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Q38" s="4180"/>
      <c r="AU38" s="4180"/>
      <c r="AY38" s="4477"/>
    </row>
    <row r="39" spans="2:57" x14ac:dyDescent="0.3">
      <c r="D39"/>
      <c r="E39"/>
      <c r="F39"/>
      <c r="G39"/>
      <c r="K39" s="114"/>
      <c r="AC39" s="26"/>
      <c r="AG39" s="4180"/>
    </row>
    <row r="40" spans="2:57" x14ac:dyDescent="0.3">
      <c r="D40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U40" s="26"/>
      <c r="AX40" s="26"/>
      <c r="AY40" s="26"/>
      <c r="AZ40" s="26"/>
      <c r="BA40" s="26"/>
      <c r="BB40" s="26"/>
      <c r="BC40" s="26"/>
      <c r="BD40" s="26"/>
      <c r="BE40" s="26"/>
    </row>
    <row r="42" spans="2:57" x14ac:dyDescent="0.3">
      <c r="G42" s="114"/>
      <c r="K42" s="114"/>
    </row>
    <row r="43" spans="2:57" x14ac:dyDescent="0.3">
      <c r="AU43" s="26"/>
      <c r="AX43" s="26"/>
      <c r="AY43" s="26"/>
      <c r="AZ43" s="26"/>
      <c r="BA43" s="26"/>
      <c r="BB43" s="26"/>
      <c r="BC43" s="26"/>
      <c r="BD43" s="26"/>
      <c r="BE43" s="26"/>
    </row>
  </sheetData>
  <mergeCells count="56">
    <mergeCell ref="AX3:AY3"/>
    <mergeCell ref="BD3:BE3"/>
    <mergeCell ref="AX22:AX25"/>
    <mergeCell ref="AZ3:BA3"/>
    <mergeCell ref="BB3:BC3"/>
    <mergeCell ref="AZ22:AZ25"/>
    <mergeCell ref="BB22:BB25"/>
    <mergeCell ref="BD22:BD25"/>
    <mergeCell ref="AT3:AU3"/>
    <mergeCell ref="AV3:AW3"/>
    <mergeCell ref="AT22:AT25"/>
    <mergeCell ref="AP3:AQ3"/>
    <mergeCell ref="AP22:AP25"/>
    <mergeCell ref="AR3:AS3"/>
    <mergeCell ref="AR22:AR25"/>
    <mergeCell ref="AV22:AV25"/>
    <mergeCell ref="AJ3:AK3"/>
    <mergeCell ref="AN3:AO3"/>
    <mergeCell ref="AJ22:AJ25"/>
    <mergeCell ref="AL3:AM3"/>
    <mergeCell ref="AL22:AL25"/>
    <mergeCell ref="AN22:AN25"/>
    <mergeCell ref="P22:P25"/>
    <mergeCell ref="T22:T25"/>
    <mergeCell ref="B3:B4"/>
    <mergeCell ref="C3:C4"/>
    <mergeCell ref="D3:E3"/>
    <mergeCell ref="F3:G3"/>
    <mergeCell ref="H3:I3"/>
    <mergeCell ref="D22:D25"/>
    <mergeCell ref="F22:F25"/>
    <mergeCell ref="J22:J25"/>
    <mergeCell ref="L22:L25"/>
    <mergeCell ref="N22:N25"/>
    <mergeCell ref="H22:H25"/>
    <mergeCell ref="R22:R25"/>
    <mergeCell ref="J3:K3"/>
    <mergeCell ref="L3:M3"/>
    <mergeCell ref="Z3:AA3"/>
    <mergeCell ref="X3:Y3"/>
    <mergeCell ref="X22:X25"/>
    <mergeCell ref="Z22:Z25"/>
    <mergeCell ref="V22:V25"/>
    <mergeCell ref="N3:O3"/>
    <mergeCell ref="P3:Q3"/>
    <mergeCell ref="V3:W3"/>
    <mergeCell ref="R3:S3"/>
    <mergeCell ref="T3:U3"/>
    <mergeCell ref="AF3:AG3"/>
    <mergeCell ref="AH3:AI3"/>
    <mergeCell ref="AF22:AF25"/>
    <mergeCell ref="AH22:AH23"/>
    <mergeCell ref="AB3:AC3"/>
    <mergeCell ref="AB22:AB25"/>
    <mergeCell ref="AD3:AE3"/>
    <mergeCell ref="AD22:AD23"/>
  </mergeCells>
  <printOptions horizontalCentered="1" verticalCentered="1"/>
  <pageMargins left="0" right="0" top="0" bottom="0" header="0" footer="0"/>
  <pageSetup scale="71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>
    <tabColor rgb="FF000000"/>
    <pageSetUpPr fitToPage="1"/>
  </sheetPr>
  <dimension ref="A1:BF181"/>
  <sheetViews>
    <sheetView topLeftCell="A100" zoomScaleNormal="100" workbookViewId="0">
      <pane xSplit="3" topLeftCell="AP1" activePane="topRight" state="frozen"/>
      <selection activeCell="N21" sqref="N21:N24"/>
      <selection pane="topRight" activeCell="B127" sqref="B127"/>
    </sheetView>
  </sheetViews>
  <sheetFormatPr defaultRowHeight="14.4" x14ac:dyDescent="0.3"/>
  <cols>
    <col min="1" max="1" width="8.88671875" customWidth="1"/>
    <col min="2" max="2" width="71.5546875" bestFit="1" customWidth="1"/>
    <col min="3" max="3" width="27.109375" bestFit="1" customWidth="1"/>
    <col min="4" max="7" width="9.88671875" customWidth="1"/>
    <col min="8" max="9" width="9.88671875" hidden="1" customWidth="1"/>
    <col min="10" max="10" width="11" customWidth="1"/>
    <col min="11" max="11" width="9.88671875" customWidth="1"/>
    <col min="12" max="12" width="12" customWidth="1"/>
    <col min="13" max="13" width="11.33203125" bestFit="1" customWidth="1"/>
    <col min="14" max="14" width="11" customWidth="1"/>
    <col min="15" max="15" width="9.88671875" customWidth="1"/>
    <col min="16" max="17" width="11.33203125" hidden="1" customWidth="1"/>
    <col min="18" max="18" width="11" customWidth="1"/>
    <col min="19" max="19" width="9.88671875" customWidth="1"/>
    <col min="20" max="21" width="11.33203125" hidden="1" customWidth="1"/>
    <col min="22" max="22" width="11" customWidth="1"/>
    <col min="23" max="23" width="9.88671875" customWidth="1"/>
    <col min="24" max="24" width="12" customWidth="1"/>
    <col min="25" max="27" width="11.33203125" customWidth="1"/>
    <col min="28" max="28" width="11" customWidth="1"/>
    <col min="29" max="29" width="9.88671875" customWidth="1"/>
    <col min="30" max="31" width="11.33203125" hidden="1" customWidth="1"/>
    <col min="32" max="33" width="9.88671875" customWidth="1"/>
    <col min="34" max="35" width="11.33203125" hidden="1" customWidth="1"/>
    <col min="36" max="37" width="9.88671875" customWidth="1"/>
    <col min="38" max="39" width="11.33203125" customWidth="1"/>
    <col min="40" max="41" width="11.33203125" hidden="1" customWidth="1"/>
    <col min="42" max="42" width="10.5546875" customWidth="1"/>
    <col min="43" max="43" width="9.88671875" customWidth="1"/>
    <col min="44" max="45" width="11.33203125" hidden="1" customWidth="1"/>
    <col min="46" max="47" width="9.88671875" customWidth="1"/>
    <col min="48" max="49" width="11.33203125" hidden="1" customWidth="1"/>
    <col min="50" max="50" width="9.88671875" style="146" customWidth="1"/>
    <col min="51" max="51" width="9.88671875" customWidth="1"/>
    <col min="52" max="57" width="11.33203125" customWidth="1"/>
    <col min="58" max="58" width="9.109375" style="92"/>
  </cols>
  <sheetData>
    <row r="1" spans="1:58" ht="22.8" x14ac:dyDescent="0.4">
      <c r="B1" s="999" t="s">
        <v>322</v>
      </c>
      <c r="C1" s="1000"/>
      <c r="D1" s="1001"/>
      <c r="E1" s="1000"/>
      <c r="F1" s="1001"/>
      <c r="G1" s="1000"/>
      <c r="H1" s="1000"/>
      <c r="I1" s="1000"/>
      <c r="J1" s="637"/>
      <c r="K1" s="266"/>
      <c r="L1" s="266"/>
      <c r="M1" s="266"/>
      <c r="N1" s="637"/>
      <c r="O1" s="266"/>
      <c r="P1" s="266"/>
      <c r="Q1" s="266"/>
      <c r="R1" s="637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</row>
    <row r="2" spans="1:58" ht="22.8" hidden="1" x14ac:dyDescent="0.4">
      <c r="B2" s="4486"/>
      <c r="C2" s="4487" t="s">
        <v>1911</v>
      </c>
      <c r="D2" s="4439">
        <f>+'B-FCE'!E50</f>
        <v>29</v>
      </c>
      <c r="E2" s="4439">
        <f>+'B-FCE'!F50</f>
        <v>26.666666666666664</v>
      </c>
      <c r="F2" s="4439">
        <f>+'B-FCE'!G50</f>
        <v>30.000000000000004</v>
      </c>
      <c r="G2" s="4439">
        <f>+'B-FCE'!H50</f>
        <v>29.791666666666664</v>
      </c>
      <c r="H2" s="4439">
        <f>+'B-FCE'!I50</f>
        <v>59</v>
      </c>
      <c r="I2" s="4439">
        <f>+'B-FCE'!J50</f>
        <v>56.458333333333329</v>
      </c>
      <c r="J2" s="4439">
        <f>+'B-FCE'!K50</f>
        <v>29</v>
      </c>
      <c r="K2" s="4439">
        <f>+'B-FCE'!L50</f>
        <v>29.611111111111111</v>
      </c>
      <c r="L2" s="4439">
        <f>+'B-FCE'!M50</f>
        <v>88</v>
      </c>
      <c r="M2" s="4439">
        <f>+'B-FCE'!N50</f>
        <v>86.069444444444429</v>
      </c>
      <c r="N2" s="4439">
        <f>+'B-FCE'!O50</f>
        <v>30</v>
      </c>
      <c r="O2" s="4439">
        <f>+'B-FCE'!P50</f>
        <v>30.999999999999996</v>
      </c>
      <c r="P2" s="4439">
        <f>+'B-FCE'!Q50</f>
        <v>118</v>
      </c>
      <c r="Q2" s="4439">
        <f>+'B-FCE'!R50</f>
        <v>117.06944444444443</v>
      </c>
      <c r="R2" s="4439">
        <f>+'B-FCE'!S50</f>
        <v>30</v>
      </c>
      <c r="S2" s="4439">
        <f>+'B-FCE'!T50</f>
        <v>30.024305555555554</v>
      </c>
      <c r="T2" s="4439">
        <f>+'B-FCE'!U50</f>
        <v>148</v>
      </c>
      <c r="U2" s="4439">
        <f>+'B-FCE'!V50</f>
        <v>147.09374999999997</v>
      </c>
      <c r="V2" s="4439">
        <f>+'B-FCE'!W50</f>
        <v>17.016867469879518</v>
      </c>
      <c r="W2" s="4439">
        <f>+'B-FCE'!X50</f>
        <v>29.673611111111111</v>
      </c>
      <c r="X2" s="4439">
        <f>+'B-FCE'!Y50</f>
        <v>77.016867469879514</v>
      </c>
      <c r="Y2" s="4439">
        <f>+'B-FCE'!Z50</f>
        <v>90.697916666666657</v>
      </c>
      <c r="Z2" s="4439">
        <f>+'B-FCE'!AA50</f>
        <v>165.01686746987951</v>
      </c>
      <c r="AA2" s="4439">
        <f>+'B-FCE'!AB50</f>
        <v>176.76736111111109</v>
      </c>
      <c r="AB2" s="4439">
        <f>+'B-FCE'!AC50</f>
        <v>30.000000000000004</v>
      </c>
      <c r="AC2" s="4439">
        <f>+'B-FCE'!AD50</f>
        <v>26.930555555555561</v>
      </c>
      <c r="AD2" s="4439">
        <f>+'B-FCE'!AE50</f>
        <v>195.01686746987951</v>
      </c>
      <c r="AE2" s="4439">
        <f>+'B-FCE'!AF50</f>
        <v>203.69791666666666</v>
      </c>
      <c r="AF2" s="4439">
        <f>+'B-FCE'!AG50</f>
        <v>29</v>
      </c>
      <c r="AG2" s="4439">
        <f>+'B-FCE'!AH50</f>
        <v>29.107638888888889</v>
      </c>
      <c r="AH2" s="4439">
        <f>+'B-FCE'!AI50</f>
        <v>224.01686746987951</v>
      </c>
      <c r="AI2" s="4439">
        <f>+'B-FCE'!AJ50</f>
        <v>232.80555555555554</v>
      </c>
      <c r="AJ2" s="4439">
        <f>+'B-FCE'!AK50</f>
        <v>30.000000000000004</v>
      </c>
      <c r="AK2" s="4439">
        <f>+'B-FCE'!AL50</f>
        <v>30.697916666666668</v>
      </c>
      <c r="AL2" s="4439">
        <f>+'B-FCE'!AM50</f>
        <v>89</v>
      </c>
      <c r="AM2" s="4439">
        <f>+'B-FCE'!AN50</f>
        <v>86.736111111111114</v>
      </c>
      <c r="AN2" s="4439">
        <f>+'B-FCE'!AO50</f>
        <v>254.01686746987951</v>
      </c>
      <c r="AO2" s="4439">
        <f>+'B-FCE'!AP50</f>
        <v>263.50347222222223</v>
      </c>
      <c r="AP2" s="4439">
        <f>+'B-FCE'!AQ50</f>
        <v>30</v>
      </c>
      <c r="AQ2" s="4439">
        <f>+'B-FCE'!AR50</f>
        <v>30.413194444444393</v>
      </c>
      <c r="AR2" s="4439">
        <f>+'B-FCE'!AS50</f>
        <v>284.01686746987951</v>
      </c>
      <c r="AS2" s="4439">
        <f>+'B-FCE'!AT50</f>
        <v>293.91666666666663</v>
      </c>
      <c r="AT2" s="4439">
        <f>+'B-FCE'!AU50</f>
        <v>27</v>
      </c>
      <c r="AU2" s="4439">
        <f>+'B-FCE'!AV50</f>
        <v>27.576388888888886</v>
      </c>
      <c r="AV2" s="4439">
        <f>+'B-FCE'!AW50</f>
        <v>311.01686746987951</v>
      </c>
      <c r="AW2" s="4439">
        <f>+'B-FCE'!AX50</f>
        <v>321.49305555555554</v>
      </c>
      <c r="AX2" s="4439">
        <f>+'B-FCE'!AY50</f>
        <v>30</v>
      </c>
      <c r="AY2" s="4439">
        <f>+'B-FCE'!AZ50</f>
        <v>29.972222222222232</v>
      </c>
      <c r="AZ2" s="4439">
        <f>+'B-FCE'!BA50</f>
        <v>87</v>
      </c>
      <c r="BA2" s="4439">
        <f>+'B-FCE'!BB50</f>
        <v>87.961805555555515</v>
      </c>
      <c r="BB2" s="4439">
        <f>+'B-FCE'!BC50</f>
        <v>176</v>
      </c>
      <c r="BC2" s="4439">
        <f>+'B-FCE'!BD50</f>
        <v>174.69791666666663</v>
      </c>
      <c r="BD2" s="4439">
        <f>+'B-FCE'!BE50</f>
        <v>341.01686746987951</v>
      </c>
      <c r="BE2" s="4439">
        <f>+'B-FCE'!BF50</f>
        <v>351.46527777777777</v>
      </c>
    </row>
    <row r="3" spans="1:58" x14ac:dyDescent="0.3">
      <c r="A3" s="92"/>
      <c r="B3" s="1000"/>
      <c r="C3" s="1002" t="s">
        <v>500</v>
      </c>
      <c r="D3" s="1003">
        <v>30</v>
      </c>
      <c r="E3" s="1004">
        <v>30</v>
      </c>
      <c r="F3" s="1003">
        <v>31</v>
      </c>
      <c r="G3" s="1004">
        <v>31</v>
      </c>
      <c r="H3" s="1004">
        <f>+D3+F3</f>
        <v>61</v>
      </c>
      <c r="I3" s="1004">
        <f>+E3+G3</f>
        <v>61</v>
      </c>
      <c r="J3" s="1003">
        <v>30</v>
      </c>
      <c r="K3" s="1004">
        <v>30</v>
      </c>
      <c r="L3" s="1004">
        <f>+H3+J3</f>
        <v>91</v>
      </c>
      <c r="M3" s="1004">
        <f>+I3+K3</f>
        <v>91</v>
      </c>
      <c r="N3" s="1003">
        <v>31</v>
      </c>
      <c r="O3" s="1004">
        <v>31</v>
      </c>
      <c r="P3" s="1004">
        <f>+L3+N3</f>
        <v>122</v>
      </c>
      <c r="Q3" s="1004">
        <f>+M3+O3</f>
        <v>122</v>
      </c>
      <c r="R3" s="1003">
        <v>31</v>
      </c>
      <c r="S3" s="1004">
        <v>31</v>
      </c>
      <c r="T3" s="1004">
        <f>+P3+R3</f>
        <v>153</v>
      </c>
      <c r="U3" s="1004">
        <f>+Q3+S3</f>
        <v>153</v>
      </c>
      <c r="V3" s="1003">
        <v>30</v>
      </c>
      <c r="W3" s="1004">
        <v>30</v>
      </c>
      <c r="X3" s="1004">
        <f>+N3+R3+V3</f>
        <v>92</v>
      </c>
      <c r="Y3" s="1004">
        <f>+O3+S3+W3</f>
        <v>92</v>
      </c>
      <c r="Z3" s="1004">
        <f>+T3+V3</f>
        <v>183</v>
      </c>
      <c r="AA3" s="1004">
        <f>+U3+W3</f>
        <v>183</v>
      </c>
      <c r="AB3" s="1003">
        <v>31</v>
      </c>
      <c r="AC3" s="1004">
        <v>31</v>
      </c>
      <c r="AD3" s="1004">
        <f>+Z3+AB3</f>
        <v>214</v>
      </c>
      <c r="AE3" s="1004">
        <f>+AA3+AC3</f>
        <v>214</v>
      </c>
      <c r="AF3" s="1003">
        <v>30</v>
      </c>
      <c r="AG3" s="1004">
        <v>30</v>
      </c>
      <c r="AH3" s="1004">
        <f>+AD3+AF3</f>
        <v>244</v>
      </c>
      <c r="AI3" s="1004">
        <f>+AE3+AG3</f>
        <v>244</v>
      </c>
      <c r="AJ3" s="1003">
        <v>31</v>
      </c>
      <c r="AK3" s="1004">
        <v>31</v>
      </c>
      <c r="AL3" s="1004">
        <f>+AB3+AF3+AJ3</f>
        <v>92</v>
      </c>
      <c r="AM3" s="1004">
        <f>+AC3+AG3+AK3</f>
        <v>92</v>
      </c>
      <c r="AN3" s="1004">
        <f>+AH3+AJ3</f>
        <v>275</v>
      </c>
      <c r="AO3" s="1004">
        <f>+AI3+AK3</f>
        <v>275</v>
      </c>
      <c r="AP3" s="1003">
        <v>31</v>
      </c>
      <c r="AQ3" s="1004">
        <v>31</v>
      </c>
      <c r="AR3" s="1004">
        <f>+AN3+AP3</f>
        <v>306</v>
      </c>
      <c r="AS3" s="1004">
        <f>+AO3+AQ3</f>
        <v>306</v>
      </c>
      <c r="AT3" s="1003">
        <v>28</v>
      </c>
      <c r="AU3" s="1004">
        <v>28</v>
      </c>
      <c r="AV3" s="1004">
        <f>+AR3+AT3</f>
        <v>334</v>
      </c>
      <c r="AW3" s="1004">
        <f>+AS3+AU3</f>
        <v>334</v>
      </c>
      <c r="AX3" s="1003">
        <v>31</v>
      </c>
      <c r="AY3" s="1004">
        <v>31</v>
      </c>
      <c r="AZ3" s="1004">
        <f>+AP3+AT3+AX3</f>
        <v>90</v>
      </c>
      <c r="BA3" s="1004">
        <f>+AQ3+AU3+AY3</f>
        <v>90</v>
      </c>
      <c r="BB3" s="1004">
        <f>+AL3+AZ3</f>
        <v>182</v>
      </c>
      <c r="BC3" s="1004">
        <f>+AM3+BA3</f>
        <v>182</v>
      </c>
      <c r="BD3" s="1004">
        <f>+AV3+AX3</f>
        <v>365</v>
      </c>
      <c r="BE3" s="1004">
        <f>+AW3+AY3</f>
        <v>365</v>
      </c>
    </row>
    <row r="4" spans="1:58" x14ac:dyDescent="0.3">
      <c r="A4" s="92"/>
      <c r="B4" s="6141" t="s">
        <v>171</v>
      </c>
      <c r="C4" s="6133" t="s">
        <v>172</v>
      </c>
      <c r="D4" s="6133" t="s">
        <v>1962</v>
      </c>
      <c r="E4" s="6133"/>
      <c r="F4" s="6133" t="s">
        <v>2013</v>
      </c>
      <c r="G4" s="6133"/>
      <c r="H4" s="6132" t="s">
        <v>14</v>
      </c>
      <c r="I4" s="6132"/>
      <c r="J4" s="6133" t="s">
        <v>2043</v>
      </c>
      <c r="K4" s="6133"/>
      <c r="L4" s="6122" t="s">
        <v>637</v>
      </c>
      <c r="M4" s="6122"/>
      <c r="N4" s="6133" t="s">
        <v>2065</v>
      </c>
      <c r="O4" s="6133"/>
      <c r="P4" s="6132" t="s">
        <v>17</v>
      </c>
      <c r="Q4" s="6132"/>
      <c r="R4" s="6133" t="s">
        <v>2068</v>
      </c>
      <c r="S4" s="6133"/>
      <c r="T4" s="6132" t="s">
        <v>18</v>
      </c>
      <c r="U4" s="6132"/>
      <c r="V4" s="6133" t="s">
        <v>2110</v>
      </c>
      <c r="W4" s="6133"/>
      <c r="X4" s="6122" t="s">
        <v>660</v>
      </c>
      <c r="Y4" s="6122"/>
      <c r="Z4" s="6123" t="s">
        <v>657</v>
      </c>
      <c r="AA4" s="6123"/>
      <c r="AB4" s="6133" t="s">
        <v>2135</v>
      </c>
      <c r="AC4" s="6133"/>
      <c r="AD4" s="6132" t="s">
        <v>24</v>
      </c>
      <c r="AE4" s="6132"/>
      <c r="AF4" s="6133" t="s">
        <v>2238</v>
      </c>
      <c r="AG4" s="6133"/>
      <c r="AH4" s="6132" t="s">
        <v>27</v>
      </c>
      <c r="AI4" s="6132"/>
      <c r="AJ4" s="6133" t="s">
        <v>2262</v>
      </c>
      <c r="AK4" s="6133"/>
      <c r="AL4" s="6122" t="s">
        <v>662</v>
      </c>
      <c r="AM4" s="6122"/>
      <c r="AN4" s="6132" t="s">
        <v>1613</v>
      </c>
      <c r="AO4" s="6132"/>
      <c r="AP4" s="6133" t="s">
        <v>2274</v>
      </c>
      <c r="AQ4" s="6133"/>
      <c r="AR4" s="6132" t="s">
        <v>28</v>
      </c>
      <c r="AS4" s="6132"/>
      <c r="AT4" s="6133" t="s">
        <v>2311</v>
      </c>
      <c r="AU4" s="6133"/>
      <c r="AV4" s="6132" t="s">
        <v>30</v>
      </c>
      <c r="AW4" s="6132"/>
      <c r="AX4" s="6133" t="s">
        <v>2329</v>
      </c>
      <c r="AY4" s="6133"/>
      <c r="AZ4" s="6122" t="s">
        <v>663</v>
      </c>
      <c r="BA4" s="6122"/>
      <c r="BB4" s="6123" t="s">
        <v>670</v>
      </c>
      <c r="BC4" s="6123"/>
      <c r="BD4" s="6132" t="s">
        <v>2041</v>
      </c>
      <c r="BE4" s="6132"/>
    </row>
    <row r="5" spans="1:58" ht="15" thickBot="1" x14ac:dyDescent="0.35">
      <c r="A5" s="92"/>
      <c r="B5" s="6451"/>
      <c r="C5" s="6452"/>
      <c r="D5" s="2855" t="s">
        <v>173</v>
      </c>
      <c r="E5" s="2856" t="s">
        <v>174</v>
      </c>
      <c r="F5" s="2855" t="s">
        <v>173</v>
      </c>
      <c r="G5" s="2856" t="s">
        <v>174</v>
      </c>
      <c r="H5" s="2857" t="s">
        <v>173</v>
      </c>
      <c r="I5" s="2857" t="s">
        <v>174</v>
      </c>
      <c r="J5" s="805" t="s">
        <v>173</v>
      </c>
      <c r="K5" s="701" t="s">
        <v>174</v>
      </c>
      <c r="L5" s="703" t="s">
        <v>173</v>
      </c>
      <c r="M5" s="703" t="s">
        <v>174</v>
      </c>
      <c r="N5" s="805" t="s">
        <v>173</v>
      </c>
      <c r="O5" s="701" t="s">
        <v>174</v>
      </c>
      <c r="P5" s="702" t="s">
        <v>173</v>
      </c>
      <c r="Q5" s="702" t="s">
        <v>174</v>
      </c>
      <c r="R5" s="805" t="s">
        <v>173</v>
      </c>
      <c r="S5" s="701" t="s">
        <v>174</v>
      </c>
      <c r="T5" s="702" t="s">
        <v>173</v>
      </c>
      <c r="U5" s="702" t="s">
        <v>174</v>
      </c>
      <c r="V5" s="805" t="s">
        <v>173</v>
      </c>
      <c r="W5" s="701" t="s">
        <v>174</v>
      </c>
      <c r="X5" s="703" t="s">
        <v>173</v>
      </c>
      <c r="Y5" s="703" t="s">
        <v>174</v>
      </c>
      <c r="Z5" s="792" t="s">
        <v>173</v>
      </c>
      <c r="AA5" s="792" t="s">
        <v>174</v>
      </c>
      <c r="AB5" s="805" t="s">
        <v>173</v>
      </c>
      <c r="AC5" s="701" t="s">
        <v>174</v>
      </c>
      <c r="AD5" s="702" t="s">
        <v>173</v>
      </c>
      <c r="AE5" s="702" t="s">
        <v>174</v>
      </c>
      <c r="AF5" s="805" t="s">
        <v>173</v>
      </c>
      <c r="AG5" s="701" t="s">
        <v>174</v>
      </c>
      <c r="AH5" s="702" t="s">
        <v>173</v>
      </c>
      <c r="AI5" s="702" t="s">
        <v>174</v>
      </c>
      <c r="AJ5" s="805" t="s">
        <v>173</v>
      </c>
      <c r="AK5" s="701" t="s">
        <v>174</v>
      </c>
      <c r="AL5" s="703" t="s">
        <v>173</v>
      </c>
      <c r="AM5" s="703" t="s">
        <v>174</v>
      </c>
      <c r="AN5" s="702" t="s">
        <v>173</v>
      </c>
      <c r="AO5" s="702" t="s">
        <v>174</v>
      </c>
      <c r="AP5" s="805" t="s">
        <v>173</v>
      </c>
      <c r="AQ5" s="701" t="s">
        <v>174</v>
      </c>
      <c r="AR5" s="702" t="s">
        <v>173</v>
      </c>
      <c r="AS5" s="702" t="s">
        <v>174</v>
      </c>
      <c r="AT5" s="805" t="s">
        <v>173</v>
      </c>
      <c r="AU5" s="701" t="s">
        <v>174</v>
      </c>
      <c r="AV5" s="702" t="s">
        <v>173</v>
      </c>
      <c r="AW5" s="702" t="s">
        <v>174</v>
      </c>
      <c r="AX5" s="805" t="s">
        <v>173</v>
      </c>
      <c r="AY5" s="701" t="s">
        <v>174</v>
      </c>
      <c r="AZ5" s="703" t="s">
        <v>173</v>
      </c>
      <c r="BA5" s="703" t="s">
        <v>174</v>
      </c>
      <c r="BB5" s="792" t="s">
        <v>173</v>
      </c>
      <c r="BC5" s="792" t="s">
        <v>174</v>
      </c>
      <c r="BD5" s="702" t="s">
        <v>173</v>
      </c>
      <c r="BE5" s="702" t="s">
        <v>174</v>
      </c>
    </row>
    <row r="6" spans="1:58" ht="20.399999999999999" x14ac:dyDescent="0.3">
      <c r="A6" s="151"/>
      <c r="B6" s="2858" t="s">
        <v>323</v>
      </c>
      <c r="C6" s="2859" t="s">
        <v>501</v>
      </c>
      <c r="D6" s="2860"/>
      <c r="E6" s="2860">
        <f>+'B-FCE'!F50</f>
        <v>26.666666666666664</v>
      </c>
      <c r="F6" s="2860"/>
      <c r="G6" s="2860">
        <f>+'B-FCE'!H50</f>
        <v>29.791666666666664</v>
      </c>
      <c r="H6" s="2860"/>
      <c r="I6" s="2861">
        <f>+'B-FCE'!J50</f>
        <v>56.458333333333329</v>
      </c>
      <c r="J6" s="2860"/>
      <c r="K6" s="2860">
        <f>+'B-FCE'!L50</f>
        <v>29.611111111111111</v>
      </c>
      <c r="L6" s="1006"/>
      <c r="M6" s="1006">
        <f>+'B-FCE'!N50</f>
        <v>86.069444444444429</v>
      </c>
      <c r="N6" s="2860"/>
      <c r="O6" s="2860">
        <f>+'B-FCE'!P50</f>
        <v>30.999999999999996</v>
      </c>
      <c r="P6" s="1006"/>
      <c r="Q6" s="1006">
        <f>+M6+O6</f>
        <v>117.06944444444443</v>
      </c>
      <c r="R6" s="2860"/>
      <c r="S6" s="2860">
        <f>+'B-FCE'!T50</f>
        <v>30.024305555555554</v>
      </c>
      <c r="T6" s="1006"/>
      <c r="U6" s="1006">
        <f>+Q6+S6</f>
        <v>147.09374999999997</v>
      </c>
      <c r="V6" s="2860"/>
      <c r="W6" s="2860">
        <f>+'B-FCE'!X50</f>
        <v>29.673611111111111</v>
      </c>
      <c r="X6" s="1006"/>
      <c r="Y6" s="1006">
        <f>+'B-FCE'!Z50</f>
        <v>90.697916666666657</v>
      </c>
      <c r="Z6" s="1006"/>
      <c r="AA6" s="1006">
        <f>+U6+W6</f>
        <v>176.76736111111109</v>
      </c>
      <c r="AB6" s="2860"/>
      <c r="AC6" s="2860">
        <f>+'B-FCE'!AD50</f>
        <v>26.930555555555561</v>
      </c>
      <c r="AD6" s="1006"/>
      <c r="AE6" s="1006">
        <f>+AA6+AC6</f>
        <v>203.69791666666666</v>
      </c>
      <c r="AF6" s="2860"/>
      <c r="AG6" s="2860">
        <f>+'B-FCE'!AH50</f>
        <v>29.107638888888889</v>
      </c>
      <c r="AH6" s="1006"/>
      <c r="AI6" s="1006">
        <f>+AE6+AG6</f>
        <v>232.80555555555554</v>
      </c>
      <c r="AJ6" s="2860"/>
      <c r="AK6" s="2860">
        <f>+'B-FCE'!AL50</f>
        <v>30.697916666666668</v>
      </c>
      <c r="AL6" s="1006"/>
      <c r="AM6" s="1006">
        <f>+'B-FCE'!AN50</f>
        <v>86.736111111111114</v>
      </c>
      <c r="AN6" s="1006"/>
      <c r="AO6" s="1006">
        <f>+AI6+AK6</f>
        <v>263.50347222222223</v>
      </c>
      <c r="AP6" s="2860"/>
      <c r="AQ6" s="2860">
        <f>+'B-FCE'!AR50</f>
        <v>30.413194444444393</v>
      </c>
      <c r="AR6" s="1006"/>
      <c r="AS6" s="1006">
        <f>+AO6+AQ6</f>
        <v>293.91666666666663</v>
      </c>
      <c r="AT6" s="2860"/>
      <c r="AU6" s="2860">
        <f>+'B-FCE'!AV50</f>
        <v>27.576388888888886</v>
      </c>
      <c r="AV6" s="1006"/>
      <c r="AW6" s="1006">
        <f>+AS6+AU6</f>
        <v>321.49305555555554</v>
      </c>
      <c r="AX6" s="2860"/>
      <c r="AY6" s="2860">
        <f>+'B-FCE'!AZ50</f>
        <v>29.972222222222232</v>
      </c>
      <c r="AZ6" s="1006"/>
      <c r="BA6" s="1006">
        <f>+'B-FCE'!BB50</f>
        <v>87.961805555555515</v>
      </c>
      <c r="BB6" s="1006"/>
      <c r="BC6" s="2527">
        <f>+AM6+BA6</f>
        <v>174.69791666666663</v>
      </c>
      <c r="BD6" s="1006"/>
      <c r="BE6" s="1006">
        <f>+AW6+AY6</f>
        <v>351.46527777777777</v>
      </c>
    </row>
    <row r="7" spans="1:58" ht="15" thickBot="1" x14ac:dyDescent="0.35">
      <c r="A7" s="151"/>
      <c r="B7" s="2845" t="s">
        <v>330</v>
      </c>
      <c r="C7" s="2546" t="s">
        <v>329</v>
      </c>
      <c r="D7" s="2862">
        <v>4225</v>
      </c>
      <c r="E7" s="2646">
        <v>4249.6664147778565</v>
      </c>
      <c r="F7" s="2862">
        <v>4225</v>
      </c>
      <c r="G7" s="2646">
        <v>4249.6948738243291</v>
      </c>
      <c r="H7" s="2538">
        <v>4225</v>
      </c>
      <c r="I7" s="38">
        <f>+((E7*E$3*E13)+(G$3*G7*G13))/(I$3*I13)</f>
        <v>4249.680878760415</v>
      </c>
      <c r="J7" s="2862">
        <v>4225</v>
      </c>
      <c r="K7" s="2646">
        <v>4254.7899129775424</v>
      </c>
      <c r="L7" s="774">
        <v>4225</v>
      </c>
      <c r="M7" s="774">
        <f>+((I7*I$3*I13)+(K$3*K7*K13))/(M$3*M13)</f>
        <v>4251.3541963460184</v>
      </c>
      <c r="N7" s="2862">
        <v>4225</v>
      </c>
      <c r="O7" s="2646">
        <v>4252.457958941076</v>
      </c>
      <c r="P7" s="775">
        <v>4225</v>
      </c>
      <c r="Q7" s="775">
        <f>+((M7*M$3*M13)+(O$3*O7*O13))/(Q$3*Q13)</f>
        <v>4251.6327488045226</v>
      </c>
      <c r="R7" s="2862">
        <v>4225</v>
      </c>
      <c r="S7" s="2646">
        <v>4252.995935040025</v>
      </c>
      <c r="T7" s="775">
        <f>+((P7*P$3*P13)+(R$3*R7*R13))/(T$3*T13)</f>
        <v>4225.0000000000009</v>
      </c>
      <c r="U7" s="775">
        <f>+((Q7*Q$3*Q13)+(S$3*S7*S13))/(U$3*U13)</f>
        <v>4251.9054235051281</v>
      </c>
      <c r="V7" s="2862">
        <v>4225</v>
      </c>
      <c r="W7" s="2646">
        <v>4252.1400000000003</v>
      </c>
      <c r="X7" s="774">
        <v>4225</v>
      </c>
      <c r="Y7" s="774">
        <f>+((O7*O$3*O13)+(S7*S$3*S13)+(W$3*W7*W13))/(Y$3*Y13)</f>
        <v>4252.5338760567529</v>
      </c>
      <c r="Z7" s="460">
        <v>4225</v>
      </c>
      <c r="AA7" s="460">
        <f>+((M7*M$3*M13)+(Y$3*Y7*Y13))/(AA$3*AA13)</f>
        <v>4251.9438234025738</v>
      </c>
      <c r="AB7" s="2862">
        <v>4225</v>
      </c>
      <c r="AC7" s="2646">
        <v>4253.99</v>
      </c>
      <c r="AD7" s="775">
        <v>4225</v>
      </c>
      <c r="AE7" s="775">
        <f>+((AA7*AA$3*AA13)+(AC$3*AC7*AC13))/(AE$3*AE13)</f>
        <v>4252.2330157281358</v>
      </c>
      <c r="AF7" s="2862">
        <v>4225</v>
      </c>
      <c r="AG7" s="2646">
        <v>4251.29</v>
      </c>
      <c r="AH7" s="775">
        <v>4225</v>
      </c>
      <c r="AI7" s="775">
        <f>+((AE7*AE$3*AE13)+(AG$3*AG7*AG13))/(AI$3*AI13)</f>
        <v>4252.1180085076785</v>
      </c>
      <c r="AJ7" s="2862">
        <v>4225</v>
      </c>
      <c r="AK7" s="2646">
        <v>4248.0200000000004</v>
      </c>
      <c r="AL7" s="774">
        <v>4225</v>
      </c>
      <c r="AM7" s="774">
        <f>+((AC7*AC$3*AC13)+(AG7*AG$3*AG13)+(AK$3*AK7*AK13))/(AM$3*AM13)</f>
        <v>4251.1000773732476</v>
      </c>
      <c r="AN7" s="775">
        <v>4225</v>
      </c>
      <c r="AO7" s="775">
        <f>+((AI7*AI$3*AI13)+(AK$3*AK7*AK13))/(AO$3*AO13)</f>
        <v>4251.6660603403698</v>
      </c>
      <c r="AP7" s="2862">
        <v>4225</v>
      </c>
      <c r="AQ7" s="2646">
        <v>4250.0200000000004</v>
      </c>
      <c r="AR7" s="775">
        <v>4225</v>
      </c>
      <c r="AS7" s="775">
        <f>+((AO7*AO$3*AO13)+(AQ$3*AQ7*AQ13))/(AS$3*AS13)</f>
        <v>4251.5038208487022</v>
      </c>
      <c r="AT7" s="2862">
        <v>4225</v>
      </c>
      <c r="AU7" s="2646">
        <v>4254.3500000000004</v>
      </c>
      <c r="AV7" s="775">
        <v>4225</v>
      </c>
      <c r="AW7" s="775">
        <f>+((AS7*AS$3*AS13)+(AU$3*AU7*AU13))/(AW$3*AW13)</f>
        <v>4251.7372881271867</v>
      </c>
      <c r="AX7" s="2862">
        <v>4225</v>
      </c>
      <c r="AY7" s="2646">
        <v>4253.0600000000004</v>
      </c>
      <c r="AZ7" s="774">
        <v>4225</v>
      </c>
      <c r="BA7" s="774">
        <f>+((AQ7*AQ$3*AQ13)+(AU7*AU$3*AU13)+(AY$3*AY7*AY13))/(BA$3*BA13)</f>
        <v>4252.4145368006912</v>
      </c>
      <c r="BB7" s="460">
        <v>4225</v>
      </c>
      <c r="BC7" s="460">
        <f>+((AM7*AM$3*AM13)+(BA$3*BA7*BA13))/(BC$3*BC13)</f>
        <v>4251.7447407046793</v>
      </c>
      <c r="BD7" s="775">
        <v>4225</v>
      </c>
      <c r="BE7" s="775">
        <f>+((AW7*AW$3*AW13)+(AY$3*AY7*AY13))/(BE$3*BE13)</f>
        <v>4251.8461526175724</v>
      </c>
      <c r="BF7" s="114"/>
    </row>
    <row r="8" spans="1:58" ht="15.75" hidden="1" customHeight="1" thickBot="1" x14ac:dyDescent="0.35">
      <c r="A8" s="151"/>
      <c r="B8" s="2863" t="s">
        <v>331</v>
      </c>
      <c r="C8" s="2839" t="s">
        <v>986</v>
      </c>
      <c r="D8" s="2840">
        <v>21.772333333333332</v>
      </c>
      <c r="E8" s="2841"/>
      <c r="F8" s="2840">
        <v>21.772333333333332</v>
      </c>
      <c r="G8" s="2841"/>
      <c r="H8" s="2802"/>
      <c r="I8" s="162"/>
      <c r="J8" s="2840">
        <v>20.883666666666667</v>
      </c>
      <c r="K8" s="2841"/>
      <c r="L8" s="774"/>
      <c r="M8" s="774"/>
      <c r="N8" s="2840">
        <v>20.883666666666667</v>
      </c>
      <c r="O8" s="2841"/>
      <c r="P8" s="775"/>
      <c r="Q8" s="775"/>
      <c r="R8" s="2840">
        <v>20.883666666666667</v>
      </c>
      <c r="S8" s="2841"/>
      <c r="T8" s="775"/>
      <c r="U8" s="775"/>
      <c r="V8" s="2840">
        <v>20.461549999999999</v>
      </c>
      <c r="W8" s="2841"/>
      <c r="X8" s="774"/>
      <c r="Y8" s="774"/>
      <c r="Z8" s="460"/>
      <c r="AA8" s="460"/>
      <c r="AB8" s="2840">
        <v>20.883666666666667</v>
      </c>
      <c r="AC8" s="2841"/>
      <c r="AD8" s="775"/>
      <c r="AE8" s="775"/>
      <c r="AF8" s="2840">
        <v>20.883666666666667</v>
      </c>
      <c r="AG8" s="2841"/>
      <c r="AH8" s="775"/>
      <c r="AI8" s="775"/>
      <c r="AJ8" s="2840">
        <v>20.883666666666667</v>
      </c>
      <c r="AK8" s="2841"/>
      <c r="AL8" s="774"/>
      <c r="AM8" s="774"/>
      <c r="AN8" s="775"/>
      <c r="AO8" s="775"/>
      <c r="AP8" s="2840">
        <v>20.883666666666667</v>
      </c>
      <c r="AQ8" s="2841"/>
      <c r="AR8" s="775"/>
      <c r="AS8" s="775"/>
      <c r="AT8" s="2840">
        <v>20.883666666666667</v>
      </c>
      <c r="AU8" s="2841"/>
      <c r="AV8" s="775"/>
      <c r="AW8" s="775"/>
      <c r="AX8" s="2840">
        <v>20.883666666666667</v>
      </c>
      <c r="AY8" s="2841"/>
      <c r="AZ8" s="774"/>
      <c r="BA8" s="774"/>
      <c r="BB8" s="460"/>
      <c r="BC8" s="460"/>
      <c r="BD8" s="775"/>
      <c r="BE8" s="775"/>
      <c r="BF8" s="114"/>
    </row>
    <row r="9" spans="1:58" x14ac:dyDescent="0.3">
      <c r="A9" s="151"/>
      <c r="B9" s="2843" t="s">
        <v>331</v>
      </c>
      <c r="C9" s="811" t="s">
        <v>326</v>
      </c>
      <c r="D9" s="270">
        <f>+D8*24*D3</f>
        <v>15676.079999999998</v>
      </c>
      <c r="E9" s="2844">
        <v>15580.930000000004</v>
      </c>
      <c r="F9" s="270">
        <f>+F8*24*F3</f>
        <v>16198.615999999998</v>
      </c>
      <c r="G9" s="2844">
        <v>16165.260000000002</v>
      </c>
      <c r="H9" s="368">
        <f>+D9+F9</f>
        <v>31874.695999999996</v>
      </c>
      <c r="I9" s="42">
        <f>+E9+G9</f>
        <v>31746.190000000006</v>
      </c>
      <c r="J9" s="270">
        <f>+J8*24*J3</f>
        <v>15036.24</v>
      </c>
      <c r="K9" s="2844">
        <v>15397.140000000001</v>
      </c>
      <c r="L9" s="774">
        <f>+H9+J9</f>
        <v>46910.935999999994</v>
      </c>
      <c r="M9" s="774">
        <f>+I9+K9</f>
        <v>47143.330000000009</v>
      </c>
      <c r="N9" s="270">
        <f>+N8*24*N3</f>
        <v>15537.447999999999</v>
      </c>
      <c r="O9" s="2844">
        <v>15742.000000000002</v>
      </c>
      <c r="P9" s="775">
        <f>+L9+N9</f>
        <v>62448.383999999991</v>
      </c>
      <c r="Q9" s="775">
        <f>+M9+O9</f>
        <v>62885.330000000009</v>
      </c>
      <c r="R9" s="270">
        <f>+R8*24*R3</f>
        <v>15537.447999999999</v>
      </c>
      <c r="S9" s="2844">
        <v>15956.017725097459</v>
      </c>
      <c r="T9" s="775">
        <f>+P9+R9</f>
        <v>77985.831999999995</v>
      </c>
      <c r="U9" s="775">
        <f>+Q9+S9</f>
        <v>78841.347725097468</v>
      </c>
      <c r="V9" s="270">
        <f>+V8*24*V3</f>
        <v>14732.315999999999</v>
      </c>
      <c r="W9" s="2844">
        <v>15459.72</v>
      </c>
      <c r="X9" s="774">
        <f>+V9+R9+N9</f>
        <v>45807.211999999992</v>
      </c>
      <c r="Y9" s="774">
        <f>+W9+S9+O9</f>
        <v>47157.73772509746</v>
      </c>
      <c r="Z9" s="460">
        <f>+L9+X9</f>
        <v>92718.147999999986</v>
      </c>
      <c r="AA9" s="460">
        <f>+Y9+M9</f>
        <v>94301.06772509747</v>
      </c>
      <c r="AB9" s="270">
        <f>+AB8*24*AB3</f>
        <v>15537.447999999999</v>
      </c>
      <c r="AC9" s="2844">
        <v>15529.25</v>
      </c>
      <c r="AD9" s="775">
        <f>+Z9+AB9</f>
        <v>108255.59599999999</v>
      </c>
      <c r="AE9" s="775">
        <f>+AA9+AC9</f>
        <v>109830.31772509747</v>
      </c>
      <c r="AF9" s="270">
        <f>+AF8*24*AF3</f>
        <v>15036.24</v>
      </c>
      <c r="AG9" s="2844">
        <v>15076.4</v>
      </c>
      <c r="AH9" s="775">
        <f>+AD9+AF9</f>
        <v>123291.836</v>
      </c>
      <c r="AI9" s="775">
        <f>+AE9+AG9</f>
        <v>124906.71772509746</v>
      </c>
      <c r="AJ9" s="270">
        <f>+AJ8*24*AJ3</f>
        <v>15537.447999999999</v>
      </c>
      <c r="AK9" s="2844">
        <v>15200.621000000001</v>
      </c>
      <c r="AL9" s="774">
        <f>+AJ9+AF9+AB9</f>
        <v>46111.135999999999</v>
      </c>
      <c r="AM9" s="774">
        <f>+AK9+AG9+AC9</f>
        <v>45806.271000000001</v>
      </c>
      <c r="AN9" s="775">
        <f>+AH9+AJ9</f>
        <v>138829.28399999999</v>
      </c>
      <c r="AO9" s="775">
        <f>+AI9+AK9</f>
        <v>140107.33872509748</v>
      </c>
      <c r="AP9" s="270">
        <f>+AP8*24*AP3</f>
        <v>15537.447999999999</v>
      </c>
      <c r="AQ9" s="2844">
        <v>14796.88</v>
      </c>
      <c r="AR9" s="775">
        <f>+AN9+AP9</f>
        <v>154366.73199999999</v>
      </c>
      <c r="AS9" s="775">
        <f>+AO9+AQ9</f>
        <v>154904.21872509748</v>
      </c>
      <c r="AT9" s="270">
        <f>+AT8*24*AT3</f>
        <v>14033.823999999999</v>
      </c>
      <c r="AU9" s="2844">
        <v>12972.32</v>
      </c>
      <c r="AV9" s="775">
        <f>+AR9+AT9</f>
        <v>168400.55599999998</v>
      </c>
      <c r="AW9" s="775">
        <f>+AS9+AU9</f>
        <v>167876.53872509749</v>
      </c>
      <c r="AX9" s="270">
        <f>+AX8*24*AX3</f>
        <v>15537.447999999999</v>
      </c>
      <c r="AY9" s="2844">
        <v>14377.6</v>
      </c>
      <c r="AZ9" s="774">
        <f>+AX9+AT9+AP9</f>
        <v>45108.719999999994</v>
      </c>
      <c r="BA9" s="774">
        <f>+AY9+AU9+AQ9</f>
        <v>42146.799999999996</v>
      </c>
      <c r="BB9" s="460">
        <f>+AL9+AZ9</f>
        <v>91219.856</v>
      </c>
      <c r="BC9" s="460">
        <f t="shared" ref="BC9:BC11" si="0">+AM9+BA9</f>
        <v>87953.070999999996</v>
      </c>
      <c r="BD9" s="775">
        <f>+AV9+AX9</f>
        <v>183938.00399999999</v>
      </c>
      <c r="BE9" s="775">
        <f>+AW9+AY9</f>
        <v>182254.13872509749</v>
      </c>
      <c r="BF9" s="114"/>
    </row>
    <row r="10" spans="1:58" ht="15" hidden="1" customHeight="1" x14ac:dyDescent="0.3">
      <c r="A10" s="151"/>
      <c r="B10" s="2845" t="s">
        <v>332</v>
      </c>
      <c r="C10" s="2546" t="s">
        <v>986</v>
      </c>
      <c r="D10" s="2599">
        <v>43.801916666666671</v>
      </c>
      <c r="E10" s="2646"/>
      <c r="F10" s="2599">
        <v>43.801916666666671</v>
      </c>
      <c r="G10" s="2646"/>
      <c r="H10" s="2538"/>
      <c r="I10" s="38"/>
      <c r="J10" s="2599">
        <v>43.801916666666671</v>
      </c>
      <c r="K10" s="2646"/>
      <c r="L10" s="774"/>
      <c r="M10" s="774"/>
      <c r="N10" s="2599">
        <v>43.801916666666671</v>
      </c>
      <c r="O10" s="2646"/>
      <c r="P10" s="775"/>
      <c r="Q10" s="775"/>
      <c r="R10" s="2599">
        <v>43.801916666666671</v>
      </c>
      <c r="S10" s="2646"/>
      <c r="T10" s="775"/>
      <c r="U10" s="775"/>
      <c r="V10" s="2599">
        <v>41.790604166666675</v>
      </c>
      <c r="W10" s="2646"/>
      <c r="X10" s="774"/>
      <c r="Y10" s="774"/>
      <c r="Z10" s="460"/>
      <c r="AA10" s="460"/>
      <c r="AB10" s="2599">
        <v>43.801916666666671</v>
      </c>
      <c r="AC10" s="2646"/>
      <c r="AD10" s="775"/>
      <c r="AE10" s="775"/>
      <c r="AF10" s="2599">
        <v>43.801916666666671</v>
      </c>
      <c r="AG10" s="2646"/>
      <c r="AH10" s="775"/>
      <c r="AI10" s="775"/>
      <c r="AJ10" s="2599">
        <v>43.801916666666671</v>
      </c>
      <c r="AK10" s="2646"/>
      <c r="AL10" s="774"/>
      <c r="AM10" s="774"/>
      <c r="AN10" s="775"/>
      <c r="AO10" s="775"/>
      <c r="AP10" s="2599">
        <v>43.801916666666671</v>
      </c>
      <c r="AQ10" s="2646"/>
      <c r="AR10" s="775"/>
      <c r="AS10" s="775"/>
      <c r="AT10" s="2599">
        <v>43.801916666666671</v>
      </c>
      <c r="AU10" s="2646"/>
      <c r="AV10" s="775"/>
      <c r="AW10" s="775"/>
      <c r="AX10" s="2599">
        <v>43.801916666666671</v>
      </c>
      <c r="AY10" s="2646"/>
      <c r="AZ10" s="774"/>
      <c r="BA10" s="774"/>
      <c r="BB10" s="460">
        <f t="shared" ref="BB10:BB11" si="1">+AL10+AZ10</f>
        <v>0</v>
      </c>
      <c r="BC10" s="460">
        <f t="shared" si="0"/>
        <v>0</v>
      </c>
      <c r="BD10" s="775"/>
      <c r="BE10" s="775"/>
      <c r="BF10" s="114"/>
    </row>
    <row r="11" spans="1:58" x14ac:dyDescent="0.3">
      <c r="A11" s="151"/>
      <c r="B11" s="2845" t="s">
        <v>332</v>
      </c>
      <c r="C11" s="2546" t="s">
        <v>326</v>
      </c>
      <c r="D11" s="2599">
        <f>+D10*D3*24</f>
        <v>31537.380000000005</v>
      </c>
      <c r="E11" s="2646">
        <v>31261.599999999999</v>
      </c>
      <c r="F11" s="2599">
        <f>+F10*F3*24</f>
        <v>32588.626</v>
      </c>
      <c r="G11" s="2646">
        <v>32246.775915850627</v>
      </c>
      <c r="H11" s="2538">
        <f>+D11+F11</f>
        <v>64126.006000000008</v>
      </c>
      <c r="I11" s="38">
        <f>+E11+G11</f>
        <v>63508.375915850629</v>
      </c>
      <c r="J11" s="2599">
        <f>+J10*J3*24</f>
        <v>31537.380000000005</v>
      </c>
      <c r="K11" s="2646">
        <v>30995.260000000002</v>
      </c>
      <c r="L11" s="774">
        <f>+H11+J11</f>
        <v>95663.386000000013</v>
      </c>
      <c r="M11" s="774">
        <f>+I11+K11</f>
        <v>94503.635915850638</v>
      </c>
      <c r="N11" s="2599">
        <f>+N10*N3*24</f>
        <v>32588.626</v>
      </c>
      <c r="O11" s="2646">
        <v>32071.409999999993</v>
      </c>
      <c r="P11" s="775">
        <f>+L11+N11</f>
        <v>128252.01200000002</v>
      </c>
      <c r="Q11" s="775">
        <f>+M11+O11</f>
        <v>126575.04591585063</v>
      </c>
      <c r="R11" s="2599">
        <f>+R10*R3*24</f>
        <v>32588.626</v>
      </c>
      <c r="S11" s="2646">
        <v>31417.21</v>
      </c>
      <c r="T11" s="775">
        <f>+P11+R11</f>
        <v>160840.63800000001</v>
      </c>
      <c r="U11" s="775">
        <f>+Q11+S11</f>
        <v>157992.25591585063</v>
      </c>
      <c r="V11" s="2599">
        <f>+V10*V3*24</f>
        <v>30089.235000000008</v>
      </c>
      <c r="W11" s="2646">
        <v>30898.44</v>
      </c>
      <c r="X11" s="774">
        <f>+V11+R11+N11</f>
        <v>95266.487000000008</v>
      </c>
      <c r="Y11" s="774">
        <f>+W11+S11+O11</f>
        <v>94387.059999999983</v>
      </c>
      <c r="Z11" s="460">
        <f>+L11+X11</f>
        <v>190929.87300000002</v>
      </c>
      <c r="AA11" s="460">
        <f>+Y11+M11</f>
        <v>188890.69591585064</v>
      </c>
      <c r="AB11" s="2599">
        <f>+AB10*AB3*24</f>
        <v>32588.626</v>
      </c>
      <c r="AC11" s="2646">
        <v>31082.94</v>
      </c>
      <c r="AD11" s="775">
        <f>+Z11+AB11</f>
        <v>223518.49900000001</v>
      </c>
      <c r="AE11" s="775">
        <f>+AA11+AC11</f>
        <v>219973.63591585064</v>
      </c>
      <c r="AF11" s="2599">
        <f>+AF10*AF3*24</f>
        <v>31537.380000000005</v>
      </c>
      <c r="AG11" s="2646">
        <v>30732.11</v>
      </c>
      <c r="AH11" s="775">
        <f>+AD11+AF11</f>
        <v>255055.87900000002</v>
      </c>
      <c r="AI11" s="775">
        <f>+AE11+AG11</f>
        <v>250705.74591585062</v>
      </c>
      <c r="AJ11" s="2599">
        <f>+AJ10*AJ3*24</f>
        <v>32588.626</v>
      </c>
      <c r="AK11" s="2646">
        <v>31358.5</v>
      </c>
      <c r="AL11" s="774">
        <f>+AJ11+AF11+AB11</f>
        <v>96714.632000000012</v>
      </c>
      <c r="AM11" s="774">
        <f>+AK11+AG11+AC11</f>
        <v>93173.55</v>
      </c>
      <c r="AN11" s="775">
        <f>+AH11+AJ11</f>
        <v>287644.505</v>
      </c>
      <c r="AO11" s="775">
        <f>+AI11+AK11</f>
        <v>282064.24591585062</v>
      </c>
      <c r="AP11" s="2599">
        <f>+AP10*AP3*24</f>
        <v>32588.626</v>
      </c>
      <c r="AQ11" s="2646">
        <v>31362.94</v>
      </c>
      <c r="AR11" s="775">
        <f>+AN11+AP11</f>
        <v>320233.13099999999</v>
      </c>
      <c r="AS11" s="775">
        <f>+AO11+AQ11</f>
        <v>313427.18591585063</v>
      </c>
      <c r="AT11" s="2599">
        <f>+AT10*AT3*24</f>
        <v>29434.888000000003</v>
      </c>
      <c r="AU11" s="2646">
        <v>28876.94</v>
      </c>
      <c r="AV11" s="775">
        <f>+AR11+AT11</f>
        <v>349668.01899999997</v>
      </c>
      <c r="AW11" s="775">
        <f>+AS11+AU11</f>
        <v>342304.12591585063</v>
      </c>
      <c r="AX11" s="2599">
        <f>+AX10*AX3*24</f>
        <v>32588.626</v>
      </c>
      <c r="AY11" s="2646">
        <v>31378.2</v>
      </c>
      <c r="AZ11" s="774">
        <f>+AX11+AT11+AP11</f>
        <v>94612.14</v>
      </c>
      <c r="BA11" s="774">
        <f>+AY11+AU11+AQ11</f>
        <v>91618.08</v>
      </c>
      <c r="BB11" s="460">
        <f t="shared" si="1"/>
        <v>191326.772</v>
      </c>
      <c r="BC11" s="460">
        <f t="shared" si="0"/>
        <v>184791.63</v>
      </c>
      <c r="BD11" s="775">
        <f>+AV11+AX11</f>
        <v>382256.64499999996</v>
      </c>
      <c r="BE11" s="775">
        <f>+AW11+AY11</f>
        <v>373682.32591585064</v>
      </c>
      <c r="BF11" s="114"/>
    </row>
    <row r="12" spans="1:58" ht="18" thickBot="1" x14ac:dyDescent="0.35">
      <c r="B12" s="2846" t="s">
        <v>333</v>
      </c>
      <c r="C12" s="2367" t="s">
        <v>326</v>
      </c>
      <c r="D12" s="2368">
        <f t="shared" ref="D12:E12" si="2">+D9+D11</f>
        <v>47213.460000000006</v>
      </c>
      <c r="E12" s="2847">
        <f t="shared" si="2"/>
        <v>46842.53</v>
      </c>
      <c r="F12" s="2368">
        <f t="shared" ref="F12:G12" si="3">+F9+F11</f>
        <v>48787.241999999998</v>
      </c>
      <c r="G12" s="2847">
        <f t="shared" si="3"/>
        <v>48412.035915850633</v>
      </c>
      <c r="H12" s="2369">
        <f t="shared" ref="H12:K12" si="4">+H9+H11</f>
        <v>96000.702000000005</v>
      </c>
      <c r="I12" s="2848">
        <f t="shared" si="4"/>
        <v>95254.565915850631</v>
      </c>
      <c r="J12" s="2368">
        <f t="shared" si="4"/>
        <v>46573.62</v>
      </c>
      <c r="K12" s="2847">
        <f t="shared" si="4"/>
        <v>46392.4</v>
      </c>
      <c r="L12" s="645">
        <f t="shared" ref="L12:Q12" si="5">+L9+L11</f>
        <v>142574.32200000001</v>
      </c>
      <c r="M12" s="645">
        <f t="shared" si="5"/>
        <v>141646.96591585065</v>
      </c>
      <c r="N12" s="2368">
        <f t="shared" si="5"/>
        <v>48126.074000000001</v>
      </c>
      <c r="O12" s="2847">
        <f t="shared" si="5"/>
        <v>47813.409999999996</v>
      </c>
      <c r="P12" s="644">
        <f t="shared" si="5"/>
        <v>190700.39600000001</v>
      </c>
      <c r="Q12" s="644">
        <f t="shared" si="5"/>
        <v>189460.37591585063</v>
      </c>
      <c r="R12" s="2368">
        <f t="shared" ref="R12:S12" si="6">+R9+R11</f>
        <v>48126.074000000001</v>
      </c>
      <c r="S12" s="2847">
        <f t="shared" si="6"/>
        <v>47373.227725097458</v>
      </c>
      <c r="T12" s="644">
        <f t="shared" ref="T12:W12" si="7">+T9+T11</f>
        <v>238826.47</v>
      </c>
      <c r="U12" s="644">
        <f t="shared" si="7"/>
        <v>236833.6036409481</v>
      </c>
      <c r="V12" s="2368">
        <f t="shared" si="7"/>
        <v>44821.551000000007</v>
      </c>
      <c r="W12" s="2847">
        <f t="shared" si="7"/>
        <v>46358.159999999996</v>
      </c>
      <c r="X12" s="616">
        <f t="shared" ref="X12:AE12" si="8">+X9+X11</f>
        <v>141073.69899999999</v>
      </c>
      <c r="Y12" s="616">
        <f t="shared" si="8"/>
        <v>141544.79772509745</v>
      </c>
      <c r="Z12" s="616">
        <f t="shared" si="8"/>
        <v>283648.02100000001</v>
      </c>
      <c r="AA12" s="616">
        <f t="shared" si="8"/>
        <v>283191.76364094811</v>
      </c>
      <c r="AB12" s="2368">
        <f t="shared" si="8"/>
        <v>48126.074000000001</v>
      </c>
      <c r="AC12" s="2847">
        <f t="shared" si="8"/>
        <v>46612.19</v>
      </c>
      <c r="AD12" s="644">
        <f t="shared" si="8"/>
        <v>331774.09499999997</v>
      </c>
      <c r="AE12" s="644">
        <f t="shared" si="8"/>
        <v>329803.95364094811</v>
      </c>
      <c r="AF12" s="2368">
        <f t="shared" ref="AF12:AG12" si="9">+AF9+AF11</f>
        <v>46573.62</v>
      </c>
      <c r="AG12" s="2847">
        <f t="shared" si="9"/>
        <v>45808.51</v>
      </c>
      <c r="AH12" s="644">
        <f t="shared" ref="AH12:AK12" si="10">+AH9+AH11</f>
        <v>378347.71500000003</v>
      </c>
      <c r="AI12" s="644">
        <f t="shared" si="10"/>
        <v>375612.46364094806</v>
      </c>
      <c r="AJ12" s="2368">
        <f t="shared" si="10"/>
        <v>48126.074000000001</v>
      </c>
      <c r="AK12" s="2847">
        <f t="shared" si="10"/>
        <v>46559.120999999999</v>
      </c>
      <c r="AL12" s="645">
        <f t="shared" ref="AL12:AQ12" si="11">+AL9+AL11</f>
        <v>142825.76800000001</v>
      </c>
      <c r="AM12" s="645">
        <f t="shared" si="11"/>
        <v>138979.821</v>
      </c>
      <c r="AN12" s="644">
        <f t="shared" si="11"/>
        <v>426473.78899999999</v>
      </c>
      <c r="AO12" s="644">
        <f t="shared" si="11"/>
        <v>422171.5846409481</v>
      </c>
      <c r="AP12" s="2368">
        <f t="shared" si="11"/>
        <v>48126.074000000001</v>
      </c>
      <c r="AQ12" s="2847">
        <f t="shared" si="11"/>
        <v>46159.82</v>
      </c>
      <c r="AR12" s="644">
        <f t="shared" ref="AR12:AU12" si="12">+AR9+AR11</f>
        <v>474599.86300000001</v>
      </c>
      <c r="AS12" s="644">
        <f t="shared" si="12"/>
        <v>468331.40464094811</v>
      </c>
      <c r="AT12" s="2368">
        <f t="shared" si="12"/>
        <v>43468.712</v>
      </c>
      <c r="AU12" s="2847">
        <f t="shared" si="12"/>
        <v>41849.259999999995</v>
      </c>
      <c r="AV12" s="644">
        <f t="shared" ref="AV12:AY12" si="13">+AV9+AV11</f>
        <v>518068.57499999995</v>
      </c>
      <c r="AW12" s="644">
        <f t="shared" si="13"/>
        <v>510180.66464094812</v>
      </c>
      <c r="AX12" s="2368">
        <f t="shared" si="13"/>
        <v>48126.074000000001</v>
      </c>
      <c r="AY12" s="2847">
        <f t="shared" si="13"/>
        <v>45755.8</v>
      </c>
      <c r="AZ12" s="616">
        <f t="shared" ref="AZ12:BE12" si="14">+AZ9+AZ11</f>
        <v>139720.85999999999</v>
      </c>
      <c r="BA12" s="616">
        <f t="shared" si="14"/>
        <v>133764.88</v>
      </c>
      <c r="BB12" s="616">
        <f t="shared" si="14"/>
        <v>282546.62800000003</v>
      </c>
      <c r="BC12" s="616">
        <f t="shared" si="14"/>
        <v>272744.701</v>
      </c>
      <c r="BD12" s="644">
        <f t="shared" si="14"/>
        <v>566194.64899999998</v>
      </c>
      <c r="BE12" s="644">
        <f t="shared" si="14"/>
        <v>555936.46464094811</v>
      </c>
      <c r="BF12" s="114"/>
    </row>
    <row r="13" spans="1:58" ht="15.6" x14ac:dyDescent="0.3">
      <c r="B13" s="2864" t="s">
        <v>334</v>
      </c>
      <c r="C13" s="2842" t="s">
        <v>328</v>
      </c>
      <c r="D13" s="2809">
        <f t="shared" ref="D13:E13" si="15">+D12/(D3*24)</f>
        <v>65.574250000000006</v>
      </c>
      <c r="E13" s="2809">
        <f t="shared" si="15"/>
        <v>65.059069444444447</v>
      </c>
      <c r="F13" s="2809">
        <f t="shared" ref="F13:G13" si="16">+F12/(F3*24)</f>
        <v>65.574249999999992</v>
      </c>
      <c r="G13" s="2809">
        <f t="shared" si="16"/>
        <v>65.069940747111062</v>
      </c>
      <c r="H13" s="2298">
        <f t="shared" ref="H13:K13" si="17">+H12/(H3*24)</f>
        <v>65.574250000000006</v>
      </c>
      <c r="I13" s="2865">
        <f t="shared" si="17"/>
        <v>65.064594204816004</v>
      </c>
      <c r="J13" s="2809">
        <f t="shared" si="17"/>
        <v>64.685583333333341</v>
      </c>
      <c r="K13" s="2809">
        <f t="shared" si="17"/>
        <v>64.433888888888887</v>
      </c>
      <c r="L13" s="808">
        <f t="shared" ref="L13:Q13" si="18">+L12/(L3*24)</f>
        <v>65.281282967032979</v>
      </c>
      <c r="M13" s="808">
        <f t="shared" si="18"/>
        <v>64.856669375389501</v>
      </c>
      <c r="N13" s="2809">
        <f t="shared" si="18"/>
        <v>64.685583333333341</v>
      </c>
      <c r="O13" s="2809">
        <f t="shared" si="18"/>
        <v>64.265336021505377</v>
      </c>
      <c r="P13" s="807">
        <f t="shared" si="18"/>
        <v>65.129916666666674</v>
      </c>
      <c r="Q13" s="807">
        <f t="shared" si="18"/>
        <v>64.706412539566472</v>
      </c>
      <c r="R13" s="2809">
        <f t="shared" ref="R13:S13" si="19">+R12/(R3*24)</f>
        <v>64.685583333333341</v>
      </c>
      <c r="S13" s="2809">
        <f t="shared" si="19"/>
        <v>63.673693178894432</v>
      </c>
      <c r="T13" s="807">
        <f t="shared" ref="T13:W13" si="20">+T12/(T3*24)</f>
        <v>65.039888344226583</v>
      </c>
      <c r="U13" s="807">
        <f t="shared" si="20"/>
        <v>64.497168747534886</v>
      </c>
      <c r="V13" s="2809">
        <f t="shared" si="20"/>
        <v>62.252154166666678</v>
      </c>
      <c r="W13" s="2809">
        <f t="shared" si="20"/>
        <v>64.386333333333326</v>
      </c>
      <c r="X13" s="808">
        <f t="shared" ref="X13:AE13" si="21">+X12/(X3*24)</f>
        <v>63.892073822463765</v>
      </c>
      <c r="Y13" s="808">
        <f t="shared" si="21"/>
        <v>64.105433752308628</v>
      </c>
      <c r="Z13" s="806">
        <f t="shared" si="21"/>
        <v>64.582882741347902</v>
      </c>
      <c r="AA13" s="806">
        <f t="shared" si="21"/>
        <v>64.478999007501841</v>
      </c>
      <c r="AB13" s="2809">
        <f t="shared" si="21"/>
        <v>64.685583333333341</v>
      </c>
      <c r="AC13" s="2809">
        <f t="shared" si="21"/>
        <v>62.650793010752693</v>
      </c>
      <c r="AD13" s="807">
        <f t="shared" si="21"/>
        <v>64.59775992990653</v>
      </c>
      <c r="AE13" s="807">
        <f t="shared" si="21"/>
        <v>64.214165428533505</v>
      </c>
      <c r="AF13" s="2809">
        <f t="shared" ref="AF13:AG13" si="22">+AF12/(AF3*24)</f>
        <v>64.685583333333341</v>
      </c>
      <c r="AG13" s="2809">
        <f t="shared" si="22"/>
        <v>63.622930555555556</v>
      </c>
      <c r="AH13" s="807">
        <f t="shared" ref="AH13:AK13" si="23">+AH12/(AH3*24)</f>
        <v>64.608557889344269</v>
      </c>
      <c r="AI13" s="807">
        <f t="shared" si="23"/>
        <v>64.141472616282115</v>
      </c>
      <c r="AJ13" s="2809">
        <f t="shared" si="23"/>
        <v>64.685583333333341</v>
      </c>
      <c r="AK13" s="2809">
        <f t="shared" si="23"/>
        <v>62.57946370967742</v>
      </c>
      <c r="AL13" s="808">
        <f t="shared" ref="AL13:AQ13" si="24">+AL12/(AL3*24)</f>
        <v>64.685583333333341</v>
      </c>
      <c r="AM13" s="808">
        <f t="shared" si="24"/>
        <v>62.943759510869562</v>
      </c>
      <c r="AN13" s="807">
        <f t="shared" si="24"/>
        <v>64.617240757575757</v>
      </c>
      <c r="AO13" s="807">
        <f t="shared" si="24"/>
        <v>63.965391612264867</v>
      </c>
      <c r="AP13" s="2809">
        <f t="shared" si="24"/>
        <v>64.685583333333341</v>
      </c>
      <c r="AQ13" s="2809">
        <f t="shared" si="24"/>
        <v>62.042768817204298</v>
      </c>
      <c r="AR13" s="807">
        <f t="shared" ref="AR13:AU13" si="25">+AR12/(AR3*24)</f>
        <v>64.62416435185186</v>
      </c>
      <c r="AS13" s="807">
        <f t="shared" si="25"/>
        <v>63.770616100346963</v>
      </c>
      <c r="AT13" s="2809">
        <f t="shared" si="25"/>
        <v>64.685583333333327</v>
      </c>
      <c r="AU13" s="2809">
        <f t="shared" si="25"/>
        <v>62.275684523809517</v>
      </c>
      <c r="AV13" s="807">
        <f t="shared" ref="AV13:AY13" si="26">+AV12/(AV3*24)</f>
        <v>64.629313248502982</v>
      </c>
      <c r="AW13" s="807">
        <f t="shared" si="26"/>
        <v>63.64529249512826</v>
      </c>
      <c r="AX13" s="2809">
        <f t="shared" si="26"/>
        <v>64.685583333333341</v>
      </c>
      <c r="AY13" s="2809">
        <f t="shared" si="26"/>
        <v>61.499731182795706</v>
      </c>
      <c r="AZ13" s="808">
        <f t="shared" ref="AZ13:BE13" si="27">+AZ12/(AZ3*24)</f>
        <v>64.685583333333327</v>
      </c>
      <c r="BA13" s="808">
        <f t="shared" si="27"/>
        <v>61.928185185185185</v>
      </c>
      <c r="BB13" s="806">
        <f t="shared" si="27"/>
        <v>64.685583333333341</v>
      </c>
      <c r="BC13" s="806">
        <f t="shared" si="27"/>
        <v>62.441552426739925</v>
      </c>
      <c r="BD13" s="807">
        <f t="shared" si="27"/>
        <v>64.63409235159817</v>
      </c>
      <c r="BE13" s="807">
        <f t="shared" si="27"/>
        <v>63.463066739834261</v>
      </c>
      <c r="BF13" s="114"/>
    </row>
    <row r="14" spans="1:58" ht="15.75" hidden="1" customHeight="1" x14ac:dyDescent="0.3">
      <c r="B14" s="2866" t="s">
        <v>54</v>
      </c>
      <c r="C14" s="2867" t="s">
        <v>987</v>
      </c>
      <c r="D14" s="2868">
        <v>0.52433675000000002</v>
      </c>
      <c r="E14" s="2869"/>
      <c r="F14" s="2868">
        <v>0.52433675000000002</v>
      </c>
      <c r="G14" s="2869"/>
      <c r="H14" s="2870"/>
      <c r="I14" s="1780"/>
      <c r="J14" s="2868">
        <v>0.51545008333333331</v>
      </c>
      <c r="K14" s="2869"/>
      <c r="L14" s="808"/>
      <c r="M14" s="808"/>
      <c r="N14" s="2868">
        <v>0.51545008333333331</v>
      </c>
      <c r="O14" s="2869"/>
      <c r="P14" s="807"/>
      <c r="Q14" s="807"/>
      <c r="R14" s="2868">
        <v>0.51545008333333331</v>
      </c>
      <c r="S14" s="2869"/>
      <c r="T14" s="807"/>
      <c r="U14" s="807"/>
      <c r="V14" s="2868">
        <v>0.49714972916666667</v>
      </c>
      <c r="W14" s="2869"/>
      <c r="X14" s="808"/>
      <c r="Y14" s="808"/>
      <c r="Z14" s="806"/>
      <c r="AA14" s="806"/>
      <c r="AB14" s="2868">
        <v>0.51545008333333331</v>
      </c>
      <c r="AC14" s="2869"/>
      <c r="AD14" s="807"/>
      <c r="AE14" s="807"/>
      <c r="AF14" s="2868">
        <v>0.51545008333333331</v>
      </c>
      <c r="AG14" s="2869"/>
      <c r="AH14" s="807"/>
      <c r="AI14" s="807"/>
      <c r="AJ14" s="2868">
        <v>0.51545008333333331</v>
      </c>
      <c r="AK14" s="2869"/>
      <c r="AL14" s="808"/>
      <c r="AM14" s="808"/>
      <c r="AN14" s="807"/>
      <c r="AO14" s="807"/>
      <c r="AP14" s="2868">
        <v>0.51545008333333331</v>
      </c>
      <c r="AQ14" s="2869"/>
      <c r="AR14" s="807"/>
      <c r="AS14" s="807"/>
      <c r="AT14" s="2868">
        <v>0.51545008333333331</v>
      </c>
      <c r="AU14" s="2869"/>
      <c r="AV14" s="807"/>
      <c r="AW14" s="807"/>
      <c r="AX14" s="2868">
        <v>0.51545008333333331</v>
      </c>
      <c r="AY14" s="2869"/>
      <c r="AZ14" s="808"/>
      <c r="BA14" s="808"/>
      <c r="BB14" s="806"/>
      <c r="BC14" s="806"/>
      <c r="BD14" s="807"/>
      <c r="BE14" s="807"/>
      <c r="BF14" s="114"/>
    </row>
    <row r="15" spans="1:58" x14ac:dyDescent="0.3">
      <c r="B15" s="2866" t="s">
        <v>54</v>
      </c>
      <c r="C15" s="2546" t="s">
        <v>326</v>
      </c>
      <c r="D15" s="2599">
        <f>+D14*D3*24</f>
        <v>377.52246000000002</v>
      </c>
      <c r="E15" s="2649">
        <v>193.65939752789848</v>
      </c>
      <c r="F15" s="2599">
        <f>+F14*F3*24</f>
        <v>390.10654199999999</v>
      </c>
      <c r="G15" s="2649">
        <v>104.0840639053433</v>
      </c>
      <c r="H15" s="2538">
        <f>+D15+F15</f>
        <v>767.62900200000001</v>
      </c>
      <c r="I15" s="38">
        <f>+E15+G15</f>
        <v>297.74346143324181</v>
      </c>
      <c r="J15" s="2599">
        <f>+J14*J3*24</f>
        <v>371.12405999999999</v>
      </c>
      <c r="K15" s="2649">
        <v>98.058000000000007</v>
      </c>
      <c r="L15" s="774">
        <f>+H15+J15</f>
        <v>1138.753062</v>
      </c>
      <c r="M15" s="774">
        <f>+I15+K15</f>
        <v>395.8014614332418</v>
      </c>
      <c r="N15" s="2599">
        <f>+N14*N3*24</f>
        <v>383.49486200000001</v>
      </c>
      <c r="O15" s="2649">
        <v>96.962822583267354</v>
      </c>
      <c r="P15" s="775">
        <f>+L15+N15</f>
        <v>1522.247924</v>
      </c>
      <c r="Q15" s="775">
        <f>+M15+O15</f>
        <v>492.76428401650912</v>
      </c>
      <c r="R15" s="2599">
        <f>+R14*R3*24</f>
        <v>383.49486200000001</v>
      </c>
      <c r="S15" s="2649">
        <v>112.89019718109057</v>
      </c>
      <c r="T15" s="775">
        <f>+P15+R15</f>
        <v>1905.742786</v>
      </c>
      <c r="U15" s="775">
        <f>+Q15+S15</f>
        <v>605.65448119759969</v>
      </c>
      <c r="V15" s="2599">
        <f>+V14*V3*24</f>
        <v>357.94780500000002</v>
      </c>
      <c r="W15" s="2649">
        <v>101.82</v>
      </c>
      <c r="X15" s="774">
        <f>+V15+R15+N15</f>
        <v>1124.937529</v>
      </c>
      <c r="Y15" s="774">
        <f>+W15+S15+O15</f>
        <v>311.67301976435795</v>
      </c>
      <c r="Z15" s="460">
        <f>+L15+X15</f>
        <v>2263.690591</v>
      </c>
      <c r="AA15" s="460">
        <f>+Y15+M15</f>
        <v>707.47448119759974</v>
      </c>
      <c r="AB15" s="2599">
        <f>+AB14*AB3*24</f>
        <v>383.49486200000001</v>
      </c>
      <c r="AC15" s="2649">
        <v>611.49</v>
      </c>
      <c r="AD15" s="775">
        <f>+Z15+AB15</f>
        <v>2647.1854530000001</v>
      </c>
      <c r="AE15" s="775">
        <f>+AA15+AC15</f>
        <v>1318.9644811975998</v>
      </c>
      <c r="AF15" s="2599">
        <f>+AF14*AF3*24</f>
        <v>371.12405999999999</v>
      </c>
      <c r="AG15" s="2649">
        <v>96.82</v>
      </c>
      <c r="AH15" s="775">
        <f>+AD15+AF15</f>
        <v>3018.3095130000002</v>
      </c>
      <c r="AI15" s="775">
        <f>+AE15+AG15</f>
        <v>1415.7844811975997</v>
      </c>
      <c r="AJ15" s="2599">
        <f>+AJ14*AJ3*24</f>
        <v>383.49486200000001</v>
      </c>
      <c r="AK15" s="2649">
        <v>105.23297035831769</v>
      </c>
      <c r="AL15" s="774">
        <f>+AJ15+AF15+AB15</f>
        <v>1138.1137840000001</v>
      </c>
      <c r="AM15" s="774">
        <f>+AK15+AG15+AC15</f>
        <v>813.54297035831769</v>
      </c>
      <c r="AN15" s="775">
        <f>+AH15+AJ15</f>
        <v>3401.8043750000002</v>
      </c>
      <c r="AO15" s="775">
        <f>+AI15+AK15</f>
        <v>1521.0174515559174</v>
      </c>
      <c r="AP15" s="2599">
        <f>+AP14*AP3*24</f>
        <v>383.49486200000001</v>
      </c>
      <c r="AQ15" s="2649">
        <v>600.47</v>
      </c>
      <c r="AR15" s="775">
        <f>+AN15+AP15</f>
        <v>3785.2992370000002</v>
      </c>
      <c r="AS15" s="775">
        <f>+AO15+AQ15</f>
        <v>2121.4874515559177</v>
      </c>
      <c r="AT15" s="2599">
        <f>+AT14*AT3*24</f>
        <v>346.38245599999993</v>
      </c>
      <c r="AU15" s="2649">
        <v>883.93</v>
      </c>
      <c r="AV15" s="775">
        <f>+AR15+AT15</f>
        <v>4131.6816930000005</v>
      </c>
      <c r="AW15" s="775">
        <f>+AS15+AU15</f>
        <v>3005.4174515559175</v>
      </c>
      <c r="AX15" s="2599">
        <f>+AX14*AX3*24</f>
        <v>383.49486200000001</v>
      </c>
      <c r="AY15" s="2649">
        <v>135.55000000000001</v>
      </c>
      <c r="AZ15" s="774">
        <f>+AX15+AT15+AP15</f>
        <v>1113.3721799999998</v>
      </c>
      <c r="BA15" s="774">
        <f>+AY15+AU15+AQ15</f>
        <v>1619.95</v>
      </c>
      <c r="BB15" s="460">
        <f t="shared" ref="BB15:BB17" si="28">+AL15+AZ15</f>
        <v>2251.485964</v>
      </c>
      <c r="BC15" s="460">
        <f t="shared" ref="BC15:BC17" si="29">+AM15+BA15</f>
        <v>2433.4929703583175</v>
      </c>
      <c r="BD15" s="775">
        <f>+AV15+AX15</f>
        <v>4515.176555</v>
      </c>
      <c r="BE15" s="775">
        <f>+AW15+AY15</f>
        <v>3140.9674515559177</v>
      </c>
      <c r="BF15" s="114"/>
    </row>
    <row r="16" spans="1:58" ht="15" hidden="1" customHeight="1" x14ac:dyDescent="0.3">
      <c r="B16" s="2866" t="s">
        <v>378</v>
      </c>
      <c r="C16" s="2546" t="s">
        <v>986</v>
      </c>
      <c r="D16" s="2797">
        <v>0.34912908333333331</v>
      </c>
      <c r="E16" s="2646"/>
      <c r="F16" s="2797">
        <v>0.34912908333333331</v>
      </c>
      <c r="G16" s="2646"/>
      <c r="H16" s="2538"/>
      <c r="I16" s="38"/>
      <c r="J16" s="2797">
        <v>0.34024241666666666</v>
      </c>
      <c r="K16" s="2646"/>
      <c r="L16" s="774"/>
      <c r="M16" s="774"/>
      <c r="N16" s="2797">
        <v>0.34024241666666666</v>
      </c>
      <c r="O16" s="2646"/>
      <c r="P16" s="775"/>
      <c r="Q16" s="775"/>
      <c r="R16" s="2797">
        <v>0.34024241666666666</v>
      </c>
      <c r="S16" s="2646"/>
      <c r="T16" s="775"/>
      <c r="U16" s="775"/>
      <c r="V16" s="2797">
        <v>0.32998731250000002</v>
      </c>
      <c r="W16" s="2646"/>
      <c r="X16" s="774"/>
      <c r="Y16" s="774"/>
      <c r="Z16" s="460"/>
      <c r="AA16" s="460"/>
      <c r="AB16" s="2797">
        <v>0.34024241666666666</v>
      </c>
      <c r="AC16" s="2646"/>
      <c r="AD16" s="775"/>
      <c r="AE16" s="775"/>
      <c r="AF16" s="2797">
        <v>0.34024241666666666</v>
      </c>
      <c r="AG16" s="2646"/>
      <c r="AH16" s="775"/>
      <c r="AI16" s="775"/>
      <c r="AJ16" s="2797">
        <v>0.34024241666666666</v>
      </c>
      <c r="AK16" s="2646"/>
      <c r="AL16" s="774"/>
      <c r="AM16" s="774"/>
      <c r="AN16" s="775"/>
      <c r="AO16" s="775"/>
      <c r="AP16" s="2797">
        <v>0.34024241666666666</v>
      </c>
      <c r="AQ16" s="2646"/>
      <c r="AR16" s="775"/>
      <c r="AS16" s="775"/>
      <c r="AT16" s="2797">
        <v>0.34024241666666666</v>
      </c>
      <c r="AU16" s="2646"/>
      <c r="AV16" s="775"/>
      <c r="AW16" s="775"/>
      <c r="AX16" s="2797">
        <v>0.34024241666666666</v>
      </c>
      <c r="AY16" s="2646"/>
      <c r="AZ16" s="774"/>
      <c r="BA16" s="774"/>
      <c r="BB16" s="460">
        <f t="shared" si="28"/>
        <v>0</v>
      </c>
      <c r="BC16" s="460">
        <f t="shared" si="29"/>
        <v>0</v>
      </c>
      <c r="BD16" s="775"/>
      <c r="BE16" s="775"/>
      <c r="BF16" s="114"/>
    </row>
    <row r="17" spans="2:58" x14ac:dyDescent="0.3">
      <c r="B17" s="2866" t="s">
        <v>378</v>
      </c>
      <c r="C17" s="2546" t="s">
        <v>326</v>
      </c>
      <c r="D17" s="2599">
        <f>+D16*D3*24</f>
        <v>251.37293999999997</v>
      </c>
      <c r="E17" s="2646">
        <v>393.13859423176302</v>
      </c>
      <c r="F17" s="2599">
        <f>+F16*F3*24</f>
        <v>259.75203799999997</v>
      </c>
      <c r="G17" s="2646">
        <v>242.86281577913434</v>
      </c>
      <c r="H17" s="2538">
        <f>+D17+F17</f>
        <v>511.12497799999994</v>
      </c>
      <c r="I17" s="38">
        <f>+E17+G17</f>
        <v>636.00141001089742</v>
      </c>
      <c r="J17" s="2599">
        <f>+J16*J3*24</f>
        <v>244.97453999999999</v>
      </c>
      <c r="K17" s="2646">
        <v>228.80200000000005</v>
      </c>
      <c r="L17" s="774">
        <f>+H17+J17</f>
        <v>756.09951799999999</v>
      </c>
      <c r="M17" s="774">
        <f>+I17+K17</f>
        <v>864.80341001089744</v>
      </c>
      <c r="N17" s="2599">
        <f>+N16*N3*24</f>
        <v>253.14035799999999</v>
      </c>
      <c r="O17" s="2646">
        <v>226.24658602762378</v>
      </c>
      <c r="P17" s="775">
        <f>+L17+N17</f>
        <v>1009.239876</v>
      </c>
      <c r="Q17" s="775">
        <f>+M17+O17</f>
        <v>1091.0499960385212</v>
      </c>
      <c r="R17" s="2599">
        <f>+R16*R3*24</f>
        <v>253.14035799999999</v>
      </c>
      <c r="S17" s="2646">
        <v>267.077126755878</v>
      </c>
      <c r="T17" s="775">
        <f>+P17+R17</f>
        <v>1262.380234</v>
      </c>
      <c r="U17" s="775">
        <f>+Q17+S17</f>
        <v>1358.1271227943992</v>
      </c>
      <c r="V17" s="2599">
        <f>+V16*V3*24</f>
        <v>237.59086500000001</v>
      </c>
      <c r="W17" s="2646">
        <v>237.58</v>
      </c>
      <c r="X17" s="774">
        <f>+V17+R17+N17</f>
        <v>743.87158099999999</v>
      </c>
      <c r="Y17" s="774">
        <f>+W17+S17+O17</f>
        <v>730.90371278350176</v>
      </c>
      <c r="Z17" s="460">
        <f>+L17+X17</f>
        <v>1499.9710989999999</v>
      </c>
      <c r="AA17" s="460">
        <f>+Y17+M17</f>
        <v>1595.7071227943993</v>
      </c>
      <c r="AB17" s="2599">
        <f>+AB16*AB3*24</f>
        <v>253.14035799999999</v>
      </c>
      <c r="AC17" s="2646">
        <v>571.41999999999996</v>
      </c>
      <c r="AD17" s="775">
        <f>+Z17+AB17</f>
        <v>1753.111457</v>
      </c>
      <c r="AE17" s="775">
        <f>+AA17+AC17</f>
        <v>2167.1271227943994</v>
      </c>
      <c r="AF17" s="2599">
        <f>+AF16*AF3*24</f>
        <v>244.97453999999999</v>
      </c>
      <c r="AG17" s="2646">
        <v>225.91</v>
      </c>
      <c r="AH17" s="775">
        <f>+AD17+AF17</f>
        <v>1998.0859969999999</v>
      </c>
      <c r="AI17" s="775">
        <f>+AE17+AG17</f>
        <v>2393.0371227943992</v>
      </c>
      <c r="AJ17" s="2599">
        <f>+AJ16*AJ3*24</f>
        <v>253.14035799999999</v>
      </c>
      <c r="AK17" s="2646">
        <v>245.54359750274122</v>
      </c>
      <c r="AL17" s="774">
        <f>+AJ17+AF17+AB17</f>
        <v>751.25525599999992</v>
      </c>
      <c r="AM17" s="774">
        <f>+AK17+AG17+AC17</f>
        <v>1042.8735975027412</v>
      </c>
      <c r="AN17" s="775">
        <f>+AH17+AJ17</f>
        <v>2251.2263549999998</v>
      </c>
      <c r="AO17" s="775">
        <f>+AI17+AK17</f>
        <v>2638.5807202971405</v>
      </c>
      <c r="AP17" s="2599">
        <f>+AP16*AP3*24</f>
        <v>253.14035799999999</v>
      </c>
      <c r="AQ17" s="2646">
        <v>1401.1</v>
      </c>
      <c r="AR17" s="775">
        <f>+AN17+AP17</f>
        <v>2504.3667129999999</v>
      </c>
      <c r="AS17" s="775">
        <f>+AO17+AQ17</f>
        <v>4039.6807202971404</v>
      </c>
      <c r="AT17" s="2599">
        <f>+AT16*AT3*24</f>
        <v>228.64290400000002</v>
      </c>
      <c r="AU17" s="2646">
        <v>2062.5100000000002</v>
      </c>
      <c r="AV17" s="775">
        <f>+AR17+AT17</f>
        <v>2733.0096169999997</v>
      </c>
      <c r="AW17" s="775">
        <f>+AS17+AU17</f>
        <v>6102.1907202971406</v>
      </c>
      <c r="AX17" s="2599">
        <f>+AX16*AX3*24</f>
        <v>253.14035799999999</v>
      </c>
      <c r="AY17" s="2646">
        <v>316.29000000000002</v>
      </c>
      <c r="AZ17" s="774">
        <f>+AX17+AT17+AP17</f>
        <v>734.92362000000003</v>
      </c>
      <c r="BA17" s="774">
        <f>+AY17+AU17+AQ17</f>
        <v>3779.9</v>
      </c>
      <c r="BB17" s="460">
        <f t="shared" si="28"/>
        <v>1486.1788759999999</v>
      </c>
      <c r="BC17" s="460">
        <f t="shared" si="29"/>
        <v>4822.7735975027408</v>
      </c>
      <c r="BD17" s="775">
        <f>+AV17+AX17</f>
        <v>2986.1499749999998</v>
      </c>
      <c r="BE17" s="775">
        <f>+AW17+AY17</f>
        <v>6418.4807202971406</v>
      </c>
      <c r="BF17" s="114"/>
    </row>
    <row r="18" spans="2:58" x14ac:dyDescent="0.3">
      <c r="B18" s="2871" t="s">
        <v>73</v>
      </c>
      <c r="C18" s="2546" t="s">
        <v>49</v>
      </c>
      <c r="D18" s="2872">
        <f>+(+D17)*100/D12</f>
        <v>0.5324179587770097</v>
      </c>
      <c r="E18" s="2854">
        <f>+E17/E12*100</f>
        <v>0.83927702929744197</v>
      </c>
      <c r="F18" s="2872">
        <f>+(+F17)*100/F12</f>
        <v>0.5324179587770097</v>
      </c>
      <c r="G18" s="2854">
        <f>+G17/G12*100</f>
        <v>0.50165792696939315</v>
      </c>
      <c r="H18" s="2873">
        <f>+H17/H12*100</f>
        <v>0.5324179587770097</v>
      </c>
      <c r="I18" s="2806">
        <f>+I17/I12*100</f>
        <v>0.66768600947985113</v>
      </c>
      <c r="J18" s="2872">
        <f>+(+J17)*100/J12</f>
        <v>0.5259942001502137</v>
      </c>
      <c r="K18" s="2854">
        <f>+K17/K12*100</f>
        <v>0.49318853950215991</v>
      </c>
      <c r="L18" s="372">
        <f>+L17/L12*100</f>
        <v>0.53031956062887664</v>
      </c>
      <c r="M18" s="372">
        <f>+M17/M12*100</f>
        <v>0.61053436931692429</v>
      </c>
      <c r="N18" s="2872">
        <f>+(+N17)*100/N12</f>
        <v>0.5259942001502137</v>
      </c>
      <c r="O18" s="2854">
        <f>+O17/O12*100</f>
        <v>0.47318646803820058</v>
      </c>
      <c r="P18" s="370">
        <f>+P17/P12*100</f>
        <v>0.52922799174470514</v>
      </c>
      <c r="Q18" s="370">
        <f>+Q17/Q12*100</f>
        <v>0.57587239060642115</v>
      </c>
      <c r="R18" s="2872">
        <f>+(+R17)*100/R12</f>
        <v>0.5259942001502137</v>
      </c>
      <c r="S18" s="2854">
        <f>+S17/S12*100</f>
        <v>0.56377228147869152</v>
      </c>
      <c r="T18" s="370">
        <f>+T17/T12*100</f>
        <v>0.52857634834195721</v>
      </c>
      <c r="U18" s="370">
        <f>+U17/U12*100</f>
        <v>0.57345203633070141</v>
      </c>
      <c r="V18" s="2872">
        <f>+(+V17)*100/V12</f>
        <v>0.53008175687628478</v>
      </c>
      <c r="W18" s="2854">
        <f>+W17/W12*100</f>
        <v>0.51248798485530922</v>
      </c>
      <c r="X18" s="372">
        <f>+X17/X12*100</f>
        <v>0.52729288752824155</v>
      </c>
      <c r="Y18" s="372">
        <f>+Y17/Y12*100</f>
        <v>0.51637624591688158</v>
      </c>
      <c r="Z18" s="488">
        <f>+Z17/Z12*100</f>
        <v>0.52881423029565222</v>
      </c>
      <c r="AA18" s="488">
        <f>+AA17/AA12*100</f>
        <v>0.56347229251255948</v>
      </c>
      <c r="AB18" s="2872">
        <f>+(+AB17)*100/AB12</f>
        <v>0.5259942001502137</v>
      </c>
      <c r="AC18" s="2854">
        <f>+AC17/AC12*100</f>
        <v>1.2259024946049519</v>
      </c>
      <c r="AD18" s="370">
        <f>+AD17/AD12*100</f>
        <v>0.52840516587046982</v>
      </c>
      <c r="AE18" s="370">
        <f>+AE17/AE12*100</f>
        <v>0.65709555597193159</v>
      </c>
      <c r="AF18" s="2872">
        <f>+(+AF17)*100/AF12</f>
        <v>0.5259942001502137</v>
      </c>
      <c r="AG18" s="2854">
        <f>+AG17/AG12*100</f>
        <v>0.4931616417997442</v>
      </c>
      <c r="AH18" s="370">
        <f>+AH17/AH12*100</f>
        <v>0.52810838225889634</v>
      </c>
      <c r="AI18" s="370">
        <f>+AI17/AI12*100</f>
        <v>0.63710269345106951</v>
      </c>
      <c r="AJ18" s="2872">
        <f>+(+AJ17)*100/AJ12</f>
        <v>0.5259942001502137</v>
      </c>
      <c r="AK18" s="2854">
        <f>+AK17/AK12*100</f>
        <v>0.52738022589116584</v>
      </c>
      <c r="AL18" s="372">
        <f>+AL17/AL12*100</f>
        <v>0.5259942001502137</v>
      </c>
      <c r="AM18" s="372">
        <f>+AM17/AM12*100</f>
        <v>0.75037770951132621</v>
      </c>
      <c r="AN18" s="370">
        <f>+AN17/AN12*100</f>
        <v>0.52786980420970253</v>
      </c>
      <c r="AO18" s="370">
        <f>+AO17/AO12*100</f>
        <v>0.62500196988416967</v>
      </c>
      <c r="AP18" s="2872">
        <f>+(+AP17)*100/AP12</f>
        <v>0.5259942001502137</v>
      </c>
      <c r="AQ18" s="2854">
        <f>+AQ17/AQ12*100</f>
        <v>3.0353237945901865</v>
      </c>
      <c r="AR18" s="370">
        <f>+AR17/AR12*100</f>
        <v>0.52767961144565267</v>
      </c>
      <c r="AS18" s="370">
        <f>+AS17/AS12*100</f>
        <v>0.86256883058999856</v>
      </c>
      <c r="AT18" s="2872">
        <f>+(+AT17)*100/AT12</f>
        <v>0.52599420015021381</v>
      </c>
      <c r="AU18" s="2854">
        <f>+AU17/AU12*100</f>
        <v>4.9284264524629595</v>
      </c>
      <c r="AV18" s="370">
        <f>+AV17/AV12*100</f>
        <v>0.52753819646366307</v>
      </c>
      <c r="AW18" s="370">
        <f>+AW17/AW12*100</f>
        <v>1.1960842782216576</v>
      </c>
      <c r="AX18" s="2872">
        <f>+(+AX17)*100/AX12</f>
        <v>0.5259942001502137</v>
      </c>
      <c r="AY18" s="2854">
        <f>+AY17/AY12*100</f>
        <v>0.69125662757508333</v>
      </c>
      <c r="AZ18" s="372">
        <f t="shared" ref="AZ18:BE18" si="30">+AZ17/AZ12*100</f>
        <v>0.52599420015021392</v>
      </c>
      <c r="BA18" s="372">
        <f t="shared" si="30"/>
        <v>2.8257790834186074</v>
      </c>
      <c r="BB18" s="488">
        <f t="shared" si="30"/>
        <v>0.5259942001502137</v>
      </c>
      <c r="BC18" s="488">
        <f t="shared" si="30"/>
        <v>1.7682373222359105</v>
      </c>
      <c r="BD18" s="370">
        <f t="shared" si="30"/>
        <v>0.5274069580618731</v>
      </c>
      <c r="BE18" s="370">
        <f t="shared" si="30"/>
        <v>1.1545349385280061</v>
      </c>
      <c r="BF18" s="114"/>
    </row>
    <row r="19" spans="2:58" ht="17.399999999999999" x14ac:dyDescent="0.3">
      <c r="B19" s="1342" t="s">
        <v>55</v>
      </c>
      <c r="C19" s="2874" t="s">
        <v>326</v>
      </c>
      <c r="D19" s="2548">
        <f t="shared" ref="D19:E19" si="31">+D12-D15-D17</f>
        <v>46584.564600000005</v>
      </c>
      <c r="E19" s="2875">
        <f t="shared" si="31"/>
        <v>46255.732008240338</v>
      </c>
      <c r="F19" s="2548">
        <f t="shared" ref="F19:G19" si="32">+F12-F15-F17</f>
        <v>48137.383419999998</v>
      </c>
      <c r="G19" s="2875">
        <f t="shared" si="32"/>
        <v>48065.089036166159</v>
      </c>
      <c r="H19" s="2876">
        <f t="shared" ref="H19:K19" si="33">+H12-H15-H17</f>
        <v>94721.948019999996</v>
      </c>
      <c r="I19" s="1662">
        <f t="shared" si="33"/>
        <v>94320.82104440649</v>
      </c>
      <c r="J19" s="2548">
        <f t="shared" si="33"/>
        <v>45957.521399999998</v>
      </c>
      <c r="K19" s="2875">
        <f t="shared" si="33"/>
        <v>46065.54</v>
      </c>
      <c r="L19" s="645">
        <f t="shared" ref="L19:Q19" si="34">+L12-L15-L17</f>
        <v>140679.46942000001</v>
      </c>
      <c r="M19" s="645">
        <f t="shared" si="34"/>
        <v>140386.36104440651</v>
      </c>
      <c r="N19" s="2548">
        <f t="shared" si="34"/>
        <v>47489.438780000004</v>
      </c>
      <c r="O19" s="2875">
        <f t="shared" si="34"/>
        <v>47490.200591389112</v>
      </c>
      <c r="P19" s="644">
        <f t="shared" si="34"/>
        <v>188168.90820000001</v>
      </c>
      <c r="Q19" s="644">
        <f t="shared" si="34"/>
        <v>187876.5616357956</v>
      </c>
      <c r="R19" s="2548">
        <f t="shared" ref="R19:S19" si="35">+R12-R15-R17</f>
        <v>47489.438780000004</v>
      </c>
      <c r="S19" s="2875">
        <f t="shared" si="35"/>
        <v>46993.260401160485</v>
      </c>
      <c r="T19" s="644">
        <f t="shared" ref="T19:W19" si="36">+T12-T15-T17</f>
        <v>235658.34698</v>
      </c>
      <c r="U19" s="644">
        <f t="shared" si="36"/>
        <v>234869.82203695612</v>
      </c>
      <c r="V19" s="2548">
        <f t="shared" si="36"/>
        <v>44226.012330000005</v>
      </c>
      <c r="W19" s="2875">
        <f t="shared" si="36"/>
        <v>46018.759999999995</v>
      </c>
      <c r="X19" s="616">
        <f t="shared" ref="X19:AE19" si="37">+X12-X15-X17</f>
        <v>139204.88988999999</v>
      </c>
      <c r="Y19" s="616">
        <f t="shared" si="37"/>
        <v>140502.22099254958</v>
      </c>
      <c r="Z19" s="616">
        <f t="shared" si="37"/>
        <v>279884.35930999997</v>
      </c>
      <c r="AA19" s="616">
        <f t="shared" si="37"/>
        <v>280888.5820369561</v>
      </c>
      <c r="AB19" s="2548">
        <f t="shared" si="37"/>
        <v>47489.438780000004</v>
      </c>
      <c r="AC19" s="2875">
        <f t="shared" si="37"/>
        <v>45429.280000000006</v>
      </c>
      <c r="AD19" s="644">
        <f t="shared" si="37"/>
        <v>327373.79808999994</v>
      </c>
      <c r="AE19" s="644">
        <f t="shared" si="37"/>
        <v>326317.86203695612</v>
      </c>
      <c r="AF19" s="2548">
        <f t="shared" ref="AF19:AG19" si="38">+AF12-AF15-AF17</f>
        <v>45957.521399999998</v>
      </c>
      <c r="AG19" s="2875">
        <f t="shared" si="38"/>
        <v>45485.78</v>
      </c>
      <c r="AH19" s="644">
        <f t="shared" ref="AH19:AK19" si="39">+AH12-AH15-AH17</f>
        <v>373331.31949000002</v>
      </c>
      <c r="AI19" s="644">
        <f t="shared" si="39"/>
        <v>371803.64203695604</v>
      </c>
      <c r="AJ19" s="2548">
        <f t="shared" si="39"/>
        <v>47489.438780000004</v>
      </c>
      <c r="AK19" s="2875">
        <f t="shared" si="39"/>
        <v>46208.34443213894</v>
      </c>
      <c r="AL19" s="645">
        <f t="shared" ref="AL19:AQ19" si="40">+AL12-AL15-AL17</f>
        <v>140936.39896000002</v>
      </c>
      <c r="AM19" s="645">
        <f t="shared" si="40"/>
        <v>137123.40443213895</v>
      </c>
      <c r="AN19" s="644">
        <f t="shared" si="40"/>
        <v>420820.75826999999</v>
      </c>
      <c r="AO19" s="644">
        <f t="shared" si="40"/>
        <v>418011.98646909505</v>
      </c>
      <c r="AP19" s="2548">
        <f t="shared" si="40"/>
        <v>47489.438780000004</v>
      </c>
      <c r="AQ19" s="2875">
        <f t="shared" si="40"/>
        <v>44158.25</v>
      </c>
      <c r="AR19" s="644">
        <f t="shared" ref="AR19:AU19" si="41">+AR12-AR15-AR17</f>
        <v>468310.19705000002</v>
      </c>
      <c r="AS19" s="644">
        <f t="shared" si="41"/>
        <v>462170.23646909505</v>
      </c>
      <c r="AT19" s="2548">
        <f t="shared" si="41"/>
        <v>42893.68664</v>
      </c>
      <c r="AU19" s="2875">
        <f t="shared" si="41"/>
        <v>38902.819999999992</v>
      </c>
      <c r="AV19" s="644">
        <f t="shared" ref="AV19:AY19" si="42">+AV12-AV15-AV17</f>
        <v>511203.88368999993</v>
      </c>
      <c r="AW19" s="644">
        <f t="shared" si="42"/>
        <v>501073.05646909506</v>
      </c>
      <c r="AX19" s="2548">
        <f t="shared" si="42"/>
        <v>47489.438780000004</v>
      </c>
      <c r="AY19" s="2875">
        <f t="shared" si="42"/>
        <v>45303.96</v>
      </c>
      <c r="AZ19" s="616">
        <f t="shared" ref="AZ19:BC19" si="43">+AZ12-AZ15-AZ17</f>
        <v>137872.56419999999</v>
      </c>
      <c r="BA19" s="616">
        <f t="shared" si="43"/>
        <v>128365.03</v>
      </c>
      <c r="BB19" s="616">
        <f t="shared" si="43"/>
        <v>278808.96316000004</v>
      </c>
      <c r="BC19" s="616">
        <f t="shared" si="43"/>
        <v>265488.43443213898</v>
      </c>
      <c r="BD19" s="644">
        <f t="shared" ref="BD19:BE19" si="44">+BD12-BD15-BD17</f>
        <v>558693.32247000001</v>
      </c>
      <c r="BE19" s="644">
        <f t="shared" si="44"/>
        <v>546377.01646909514</v>
      </c>
      <c r="BF19" s="114"/>
    </row>
    <row r="20" spans="2:58" ht="16.2" thickBot="1" x14ac:dyDescent="0.35">
      <c r="B20" s="1331" t="s">
        <v>335</v>
      </c>
      <c r="C20" s="2849"/>
      <c r="D20" s="2800"/>
      <c r="E20" s="2850"/>
      <c r="F20" s="2800"/>
      <c r="G20" s="2850"/>
      <c r="H20" s="2849"/>
      <c r="I20" s="2877"/>
      <c r="J20" s="2800"/>
      <c r="K20" s="2850"/>
      <c r="L20" s="803"/>
      <c r="M20" s="803"/>
      <c r="N20" s="2800"/>
      <c r="O20" s="2850"/>
      <c r="P20" s="803"/>
      <c r="Q20" s="803"/>
      <c r="R20" s="2800"/>
      <c r="S20" s="2850"/>
      <c r="T20" s="803"/>
      <c r="U20" s="803"/>
      <c r="V20" s="2800"/>
      <c r="W20" s="2850"/>
      <c r="X20" s="803"/>
      <c r="Y20" s="803"/>
      <c r="Z20" s="803"/>
      <c r="AA20" s="803"/>
      <c r="AB20" s="2800"/>
      <c r="AC20" s="2850"/>
      <c r="AD20" s="803"/>
      <c r="AE20" s="803"/>
      <c r="AF20" s="2800"/>
      <c r="AG20" s="2850"/>
      <c r="AH20" s="803"/>
      <c r="AI20" s="803"/>
      <c r="AJ20" s="2800"/>
      <c r="AK20" s="2850"/>
      <c r="AL20" s="803"/>
      <c r="AM20" s="803"/>
      <c r="AN20" s="803"/>
      <c r="AO20" s="803"/>
      <c r="AP20" s="2800"/>
      <c r="AQ20" s="2850"/>
      <c r="AR20" s="803"/>
      <c r="AS20" s="803"/>
      <c r="AT20" s="2800"/>
      <c r="AU20" s="2850"/>
      <c r="AV20" s="803"/>
      <c r="AW20" s="803"/>
      <c r="AX20" s="2800"/>
      <c r="AY20" s="2850"/>
      <c r="AZ20" s="803"/>
      <c r="BA20" s="803"/>
      <c r="BB20" s="803"/>
      <c r="BC20" s="803"/>
      <c r="BD20" s="803"/>
      <c r="BE20" s="803"/>
      <c r="BF20" s="114"/>
    </row>
    <row r="21" spans="2:58" x14ac:dyDescent="0.3">
      <c r="B21" s="2853" t="s">
        <v>106</v>
      </c>
      <c r="C21" s="811" t="s">
        <v>326</v>
      </c>
      <c r="D21" s="270">
        <f>D22*D$3*24</f>
        <v>10250.5584</v>
      </c>
      <c r="E21" s="2844">
        <v>9371.7999999999993</v>
      </c>
      <c r="F21" s="270">
        <f>F22*F$3*24</f>
        <v>10592.24368</v>
      </c>
      <c r="G21" s="2844">
        <v>9732.1800000000021</v>
      </c>
      <c r="H21" s="368">
        <f t="shared" ref="H21:I43" si="45">+D21+F21</f>
        <v>20842.802080000001</v>
      </c>
      <c r="I21" s="42">
        <f t="shared" si="45"/>
        <v>19103.980000000003</v>
      </c>
      <c r="J21" s="270">
        <f>J22*J$3*24</f>
        <v>9623.5151999999998</v>
      </c>
      <c r="K21" s="2844">
        <v>9373.7900000000009</v>
      </c>
      <c r="L21" s="774">
        <f t="shared" ref="L21:L43" si="46">+H21+J21</f>
        <v>30466.317280000003</v>
      </c>
      <c r="M21" s="774">
        <f t="shared" ref="M21:M43" si="47">+I21+K21</f>
        <v>28477.770000000004</v>
      </c>
      <c r="N21" s="270">
        <f>N22*N$3*24</f>
        <v>9944.2990399999999</v>
      </c>
      <c r="O21" s="2844">
        <v>9929.1600000000035</v>
      </c>
      <c r="P21" s="775">
        <f t="shared" ref="P21:P43" si="48">+L21+N21</f>
        <v>40410.616320000001</v>
      </c>
      <c r="Q21" s="775">
        <f t="shared" ref="Q21:Q43" si="49">+M21+O21</f>
        <v>38406.930000000008</v>
      </c>
      <c r="R21" s="270">
        <f>R22*R$3*24</f>
        <v>9944.2990399999999</v>
      </c>
      <c r="S21" s="2844">
        <v>10110.750000000002</v>
      </c>
      <c r="T21" s="775">
        <f t="shared" ref="T21" si="50">+P21+R21</f>
        <v>50354.915359999999</v>
      </c>
      <c r="U21" s="775">
        <f t="shared" ref="U21" si="51">+Q21+S21</f>
        <v>48517.680000000008</v>
      </c>
      <c r="V21" s="270">
        <f>V22*V$3*24</f>
        <v>9325.6696800000009</v>
      </c>
      <c r="W21" s="2844">
        <v>9779.42</v>
      </c>
      <c r="X21" s="774">
        <f>+V21+R21+N21</f>
        <v>29214.267760000002</v>
      </c>
      <c r="Y21" s="774">
        <f>+W21+S21+O21</f>
        <v>29819.330000000005</v>
      </c>
      <c r="Z21" s="460">
        <f t="shared" ref="Z21:Z43" si="52">+L21+X21</f>
        <v>59680.585040000005</v>
      </c>
      <c r="AA21" s="460">
        <f t="shared" ref="AA21:AA43" si="53">+Y21+M21</f>
        <v>58297.100000000006</v>
      </c>
      <c r="AB21" s="270">
        <f>AB22*AB$3*24</f>
        <v>9944.2990399999999</v>
      </c>
      <c r="AC21" s="2844">
        <v>10113</v>
      </c>
      <c r="AD21" s="775">
        <f t="shared" ref="AD21" si="54">+Z21+AB21</f>
        <v>69624.884080000003</v>
      </c>
      <c r="AE21" s="775">
        <f t="shared" ref="AE21" si="55">+AA21+AC21</f>
        <v>68410.100000000006</v>
      </c>
      <c r="AF21" s="270">
        <f>AF22*AF$3*24</f>
        <v>9623.5151999999998</v>
      </c>
      <c r="AG21" s="2844">
        <v>9750.2999999999993</v>
      </c>
      <c r="AH21" s="775">
        <f t="shared" ref="AH21" si="56">+AD21+AF21</f>
        <v>79248.399279999998</v>
      </c>
      <c r="AI21" s="775">
        <f t="shared" ref="AI21" si="57">+AE21+AG21</f>
        <v>78160.400000000009</v>
      </c>
      <c r="AJ21" s="270">
        <f>AJ22*AJ$3*24</f>
        <v>9944.2990399999999</v>
      </c>
      <c r="AK21" s="2844">
        <v>9986.41</v>
      </c>
      <c r="AL21" s="774">
        <f>+AJ21+AF21+AB21</f>
        <v>29512.113279999998</v>
      </c>
      <c r="AM21" s="774">
        <f>+AK21+AG21+AC21</f>
        <v>29849.71</v>
      </c>
      <c r="AN21" s="775">
        <f t="shared" ref="AN21" si="58">+AH21+AJ21</f>
        <v>89192.698319999996</v>
      </c>
      <c r="AO21" s="775">
        <f t="shared" ref="AO21" si="59">+AI21+AK21</f>
        <v>88146.810000000012</v>
      </c>
      <c r="AP21" s="270">
        <f>AP22*AP$3*24</f>
        <v>9944.2990399999999</v>
      </c>
      <c r="AQ21" s="2844">
        <v>10359.76</v>
      </c>
      <c r="AR21" s="775">
        <f t="shared" ref="AR21" si="60">+AN21+AP21</f>
        <v>99136.997359999994</v>
      </c>
      <c r="AS21" s="775">
        <f t="shared" ref="AS21" si="61">+AO21+AQ21</f>
        <v>98506.57</v>
      </c>
      <c r="AT21" s="270">
        <f>AT22*AT$3*24</f>
        <v>8981.9475199999997</v>
      </c>
      <c r="AU21" s="2844">
        <v>9765.93</v>
      </c>
      <c r="AV21" s="775">
        <f t="shared" ref="AV21" si="62">+AR21+AT21</f>
        <v>108118.94488</v>
      </c>
      <c r="AW21" s="775">
        <f t="shared" ref="AW21" si="63">+AS21+AU21</f>
        <v>108272.5</v>
      </c>
      <c r="AX21" s="270">
        <f>AX22*AX$3*24</f>
        <v>9944.2990399999999</v>
      </c>
      <c r="AY21" s="2844">
        <v>10831.67</v>
      </c>
      <c r="AZ21" s="774">
        <f>+AX21+AT21+AP21</f>
        <v>28870.545599999998</v>
      </c>
      <c r="BA21" s="774">
        <f>+AY21+AU21+AQ21</f>
        <v>30957.360000000001</v>
      </c>
      <c r="BB21" s="460">
        <f t="shared" ref="BB21:BB43" si="64">+AL21+AZ21</f>
        <v>58382.658879999995</v>
      </c>
      <c r="BC21" s="460">
        <f t="shared" ref="BC21:BC43" si="65">+AM21+BA21</f>
        <v>60807.07</v>
      </c>
      <c r="BD21" s="775">
        <f t="shared" ref="BD21" si="66">+AV21+AX21</f>
        <v>118063.24391999999</v>
      </c>
      <c r="BE21" s="775">
        <f t="shared" ref="BE21" si="67">+AW21+AY21</f>
        <v>119104.17</v>
      </c>
      <c r="BF21" s="114"/>
    </row>
    <row r="22" spans="2:58" hidden="1" x14ac:dyDescent="0.3">
      <c r="B22" s="8"/>
      <c r="C22" s="2546"/>
      <c r="D22" s="2615">
        <v>14.236886666666667</v>
      </c>
      <c r="E22" s="2854"/>
      <c r="F22" s="2615">
        <v>14.236886666666667</v>
      </c>
      <c r="G22" s="2854"/>
      <c r="H22" s="2538"/>
      <c r="I22" s="38"/>
      <c r="J22" s="2615">
        <v>13.365993333333334</v>
      </c>
      <c r="K22" s="2854"/>
      <c r="L22" s="774"/>
      <c r="M22" s="774"/>
      <c r="N22" s="2615">
        <v>13.365993333333334</v>
      </c>
      <c r="O22" s="2854"/>
      <c r="P22" s="775"/>
      <c r="Q22" s="775"/>
      <c r="R22" s="2615">
        <v>13.365993333333334</v>
      </c>
      <c r="S22" s="2854"/>
      <c r="T22" s="775"/>
      <c r="U22" s="775"/>
      <c r="V22" s="2615">
        <v>12.952319000000001</v>
      </c>
      <c r="W22" s="2854"/>
      <c r="X22" s="774"/>
      <c r="Y22" s="774"/>
      <c r="Z22" s="460"/>
      <c r="AA22" s="460"/>
      <c r="AB22" s="2615">
        <v>13.365993333333334</v>
      </c>
      <c r="AC22" s="2854"/>
      <c r="AD22" s="775"/>
      <c r="AE22" s="775"/>
      <c r="AF22" s="2615">
        <v>13.365993333333334</v>
      </c>
      <c r="AG22" s="2854"/>
      <c r="AH22" s="775"/>
      <c r="AI22" s="775"/>
      <c r="AJ22" s="2615">
        <v>13.365993333333334</v>
      </c>
      <c r="AK22" s="2854"/>
      <c r="AL22" s="774"/>
      <c r="AM22" s="774"/>
      <c r="AN22" s="775"/>
      <c r="AO22" s="775"/>
      <c r="AP22" s="2615">
        <v>13.365993333333334</v>
      </c>
      <c r="AQ22" s="2854"/>
      <c r="AR22" s="775"/>
      <c r="AS22" s="775"/>
      <c r="AT22" s="2615">
        <v>13.365993333333334</v>
      </c>
      <c r="AU22" s="2854"/>
      <c r="AV22" s="775"/>
      <c r="AW22" s="775"/>
      <c r="AX22" s="2615">
        <v>13.365993333333334</v>
      </c>
      <c r="AY22" s="2854"/>
      <c r="AZ22" s="774"/>
      <c r="BA22" s="774"/>
      <c r="BB22" s="460">
        <f t="shared" si="64"/>
        <v>0</v>
      </c>
      <c r="BC22" s="460">
        <f t="shared" si="65"/>
        <v>0</v>
      </c>
      <c r="BD22" s="775"/>
      <c r="BE22" s="775"/>
      <c r="BF22" s="114"/>
    </row>
    <row r="23" spans="2:58" x14ac:dyDescent="0.3">
      <c r="B23" s="8" t="s">
        <v>107</v>
      </c>
      <c r="C23" s="2546" t="s">
        <v>326</v>
      </c>
      <c r="D23" s="2599">
        <f>D24*D$3*24</f>
        <v>2176.5514792899367</v>
      </c>
      <c r="E23" s="2646">
        <v>3538.8914659252328</v>
      </c>
      <c r="F23" s="2599">
        <f>F24*F$3*24</f>
        <v>2249.1031952662674</v>
      </c>
      <c r="G23" s="2646">
        <v>2404.0740098619704</v>
      </c>
      <c r="H23" s="2538">
        <f t="shared" si="45"/>
        <v>4425.6546745562046</v>
      </c>
      <c r="I23" s="38">
        <f t="shared" si="45"/>
        <v>5942.9654757872031</v>
      </c>
      <c r="J23" s="2599">
        <f>J24*J$3*24</f>
        <v>2176.5514792899367</v>
      </c>
      <c r="K23" s="2646">
        <v>1775.5708633069646</v>
      </c>
      <c r="L23" s="774">
        <f t="shared" si="46"/>
        <v>6602.2061538461412</v>
      </c>
      <c r="M23" s="774">
        <f t="shared" si="47"/>
        <v>7718.5363390941675</v>
      </c>
      <c r="N23" s="2599">
        <f>N24*N$3*24</f>
        <v>2249.1031952662674</v>
      </c>
      <c r="O23" s="2646">
        <v>1752.1803291755632</v>
      </c>
      <c r="P23" s="775">
        <f t="shared" si="48"/>
        <v>8851.3093491124091</v>
      </c>
      <c r="Q23" s="775">
        <f t="shared" si="49"/>
        <v>9470.7166682697316</v>
      </c>
      <c r="R23" s="2599">
        <f>R24*R$3*24</f>
        <v>2253.8687573964498</v>
      </c>
      <c r="S23" s="2646">
        <v>2163.5875828678936</v>
      </c>
      <c r="T23" s="775">
        <f t="shared" ref="T23" si="68">+P23+R23</f>
        <v>11105.178106508858</v>
      </c>
      <c r="U23" s="775">
        <f t="shared" ref="U23" si="69">+Q23+S23</f>
        <v>11634.304251137626</v>
      </c>
      <c r="V23" s="2599">
        <f>V24*V$3*24</f>
        <v>7704</v>
      </c>
      <c r="W23" s="2646">
        <v>1915.71</v>
      </c>
      <c r="X23" s="774">
        <f t="shared" ref="X23:X43" si="70">+V23+R23+N23</f>
        <v>12206.971952662716</v>
      </c>
      <c r="Y23" s="774">
        <f t="shared" ref="Y23:Y43" si="71">+W23+S23+O23</f>
        <v>5831.4779120434569</v>
      </c>
      <c r="Z23" s="460">
        <f t="shared" si="52"/>
        <v>18809.178106508858</v>
      </c>
      <c r="AA23" s="460">
        <f t="shared" si="53"/>
        <v>13550.014251137625</v>
      </c>
      <c r="AB23" s="2599">
        <f>AB24*AB$3*24</f>
        <v>2253.8687573964498</v>
      </c>
      <c r="AC23" s="2646">
        <v>4171.13</v>
      </c>
      <c r="AD23" s="775">
        <f t="shared" ref="AD23" si="72">+Z23+AB23</f>
        <v>21063.046863905307</v>
      </c>
      <c r="AE23" s="775">
        <f t="shared" ref="AE23" si="73">+AA23+AC23</f>
        <v>17721.144251137626</v>
      </c>
      <c r="AF23" s="2599">
        <f>AF24*AF$3*24</f>
        <v>2181.1633136094679</v>
      </c>
      <c r="AG23" s="2646">
        <v>2333.5</v>
      </c>
      <c r="AH23" s="775">
        <f t="shared" ref="AH23" si="74">+AD23+AF23</f>
        <v>23244.210177514775</v>
      </c>
      <c r="AI23" s="775">
        <f t="shared" ref="AI23" si="75">+AE23+AG23</f>
        <v>20054.644251137626</v>
      </c>
      <c r="AJ23" s="2599">
        <f>AJ24*AJ$3*24</f>
        <v>2253.8687573964498</v>
      </c>
      <c r="AK23" s="2646">
        <v>2086.1999999999998</v>
      </c>
      <c r="AL23" s="774">
        <f t="shared" ref="AL23" si="76">+AJ23+AF23+AB23</f>
        <v>6688.9008284023676</v>
      </c>
      <c r="AM23" s="774">
        <f t="shared" ref="AM23" si="77">+AK23+AG23+AC23</f>
        <v>8590.83</v>
      </c>
      <c r="AN23" s="775">
        <f t="shared" ref="AN23" si="78">+AH23+AJ23</f>
        <v>25498.078934911224</v>
      </c>
      <c r="AO23" s="775">
        <f t="shared" ref="AO23" si="79">+AI23+AK23</f>
        <v>22140.844251137627</v>
      </c>
      <c r="AP23" s="2599">
        <f>AP24*AP$3*24</f>
        <v>2253.8687573964498</v>
      </c>
      <c r="AQ23" s="2646">
        <v>2105.2199999999998</v>
      </c>
      <c r="AR23" s="775">
        <f t="shared" ref="AR23" si="80">+AN23+AP23</f>
        <v>27751.947692307673</v>
      </c>
      <c r="AS23" s="775">
        <f t="shared" ref="AS23" si="81">+AO23+AQ23</f>
        <v>24246.064251137628</v>
      </c>
      <c r="AT23" s="2599">
        <f>AT24*AT$3*24</f>
        <v>2035.752426035499</v>
      </c>
      <c r="AU23" s="2646">
        <v>2841.44</v>
      </c>
      <c r="AV23" s="775">
        <f t="shared" ref="AV23" si="82">+AR23+AT23</f>
        <v>29787.700118343171</v>
      </c>
      <c r="AW23" s="775">
        <f t="shared" ref="AW23" si="83">+AS23+AU23</f>
        <v>27087.504251137627</v>
      </c>
      <c r="AX23" s="2599">
        <f>AX24*AX$3*24</f>
        <v>2253.8687573964498</v>
      </c>
      <c r="AY23" s="2646">
        <v>3299.64</v>
      </c>
      <c r="AZ23" s="774">
        <f t="shared" ref="AZ23" si="84">+AX23+AT23+AP23</f>
        <v>6543.4899408283991</v>
      </c>
      <c r="BA23" s="774">
        <f t="shared" ref="BA23" si="85">+AY23+AU23+AQ23</f>
        <v>8246.2999999999993</v>
      </c>
      <c r="BB23" s="460">
        <f t="shared" si="64"/>
        <v>13232.390769230766</v>
      </c>
      <c r="BC23" s="460">
        <f t="shared" si="65"/>
        <v>16837.129999999997</v>
      </c>
      <c r="BD23" s="775">
        <f t="shared" ref="BD23" si="86">+AV23+AX23</f>
        <v>32041.56887573962</v>
      </c>
      <c r="BE23" s="775">
        <f t="shared" ref="BE23" si="87">+AW23+AY23</f>
        <v>30387.144251137626</v>
      </c>
      <c r="BF23" s="114"/>
    </row>
    <row r="24" spans="2:58" ht="15" hidden="1" customHeight="1" x14ac:dyDescent="0.3">
      <c r="B24" s="8"/>
      <c r="C24" s="2546"/>
      <c r="D24" s="2615">
        <v>3.0229881656804674</v>
      </c>
      <c r="E24" s="2854"/>
      <c r="F24" s="2615">
        <v>3.0229881656804674</v>
      </c>
      <c r="G24" s="2854"/>
      <c r="H24" s="2538"/>
      <c r="I24" s="38"/>
      <c r="J24" s="2615">
        <v>3.0229881656804674</v>
      </c>
      <c r="K24" s="2854"/>
      <c r="L24" s="774"/>
      <c r="M24" s="774"/>
      <c r="N24" s="2615">
        <v>3.0229881656804674</v>
      </c>
      <c r="O24" s="2854"/>
      <c r="P24" s="775"/>
      <c r="Q24" s="775"/>
      <c r="R24" s="2615">
        <v>3.029393491124261</v>
      </c>
      <c r="S24" s="2854"/>
      <c r="T24" s="775"/>
      <c r="U24" s="775"/>
      <c r="V24" s="2615">
        <v>10.7</v>
      </c>
      <c r="W24" s="2854"/>
      <c r="X24" s="774"/>
      <c r="Y24" s="774"/>
      <c r="Z24" s="460"/>
      <c r="AA24" s="460"/>
      <c r="AB24" s="2615">
        <v>3.029393491124261</v>
      </c>
      <c r="AC24" s="2854"/>
      <c r="AD24" s="775"/>
      <c r="AE24" s="775"/>
      <c r="AF24" s="2615">
        <v>3.029393491124261</v>
      </c>
      <c r="AG24" s="2854"/>
      <c r="AH24" s="775"/>
      <c r="AI24" s="775"/>
      <c r="AJ24" s="2615">
        <v>3.029393491124261</v>
      </c>
      <c r="AK24" s="2854"/>
      <c r="AL24" s="774"/>
      <c r="AM24" s="774"/>
      <c r="AN24" s="775"/>
      <c r="AO24" s="775"/>
      <c r="AP24" s="2615">
        <v>3.029393491124261</v>
      </c>
      <c r="AQ24" s="2854"/>
      <c r="AR24" s="775"/>
      <c r="AS24" s="775"/>
      <c r="AT24" s="2615">
        <v>3.0293934911242544</v>
      </c>
      <c r="AU24" s="2854"/>
      <c r="AV24" s="775"/>
      <c r="AW24" s="775"/>
      <c r="AX24" s="2615">
        <v>3.029393491124261</v>
      </c>
      <c r="AY24" s="2854"/>
      <c r="AZ24" s="774"/>
      <c r="BA24" s="774"/>
      <c r="BB24" s="460">
        <f t="shared" si="64"/>
        <v>0</v>
      </c>
      <c r="BC24" s="460">
        <f t="shared" si="65"/>
        <v>0</v>
      </c>
      <c r="BD24" s="775"/>
      <c r="BE24" s="775"/>
      <c r="BF24" s="114"/>
    </row>
    <row r="25" spans="2:58" x14ac:dyDescent="0.3">
      <c r="B25" s="8" t="s">
        <v>80</v>
      </c>
      <c r="C25" s="2546" t="s">
        <v>326</v>
      </c>
      <c r="D25" s="2599">
        <f>D26*D$3*24</f>
        <v>4320</v>
      </c>
      <c r="E25" s="2646">
        <v>4903.0520311830642</v>
      </c>
      <c r="F25" s="2599">
        <f>F26*F$3*24</f>
        <v>4464</v>
      </c>
      <c r="G25" s="2646">
        <v>5873.498959055366</v>
      </c>
      <c r="H25" s="2538">
        <f t="shared" si="45"/>
        <v>8784</v>
      </c>
      <c r="I25" s="38">
        <f t="shared" si="45"/>
        <v>10776.550990238429</v>
      </c>
      <c r="J25" s="2599">
        <f>J26*J$3*24</f>
        <v>4320</v>
      </c>
      <c r="K25" s="2646">
        <v>5907.9616409987657</v>
      </c>
      <c r="L25" s="774">
        <f t="shared" si="46"/>
        <v>13104</v>
      </c>
      <c r="M25" s="774">
        <f t="shared" si="47"/>
        <v>16684.512631237194</v>
      </c>
      <c r="N25" s="2599">
        <f>N26*N$3*24</f>
        <v>4464</v>
      </c>
      <c r="O25" s="2646">
        <v>6376.3379167321564</v>
      </c>
      <c r="P25" s="775">
        <f t="shared" si="48"/>
        <v>17568</v>
      </c>
      <c r="Q25" s="775">
        <f t="shared" si="49"/>
        <v>23060.850547969349</v>
      </c>
      <c r="R25" s="2599">
        <f>R26*R$3*24</f>
        <v>4464</v>
      </c>
      <c r="S25" s="2646">
        <v>5864.3675446341649</v>
      </c>
      <c r="T25" s="775">
        <f t="shared" ref="T25" si="88">+P25+R25</f>
        <v>22032</v>
      </c>
      <c r="U25" s="775">
        <f t="shared" ref="U25" si="89">+Q25+S25</f>
        <v>28925.218092603514</v>
      </c>
      <c r="V25" s="2599">
        <f>V26*V$3*24</f>
        <v>3600</v>
      </c>
      <c r="W25" s="2646">
        <v>6078.68</v>
      </c>
      <c r="X25" s="774">
        <f t="shared" si="70"/>
        <v>12528</v>
      </c>
      <c r="Y25" s="774">
        <f t="shared" si="71"/>
        <v>18319.385461366321</v>
      </c>
      <c r="Z25" s="460">
        <f t="shared" si="52"/>
        <v>25632</v>
      </c>
      <c r="AA25" s="460">
        <f t="shared" si="53"/>
        <v>35003.898092603515</v>
      </c>
      <c r="AB25" s="2599">
        <f>AB26*AB$3*24</f>
        <v>4464</v>
      </c>
      <c r="AC25" s="2646">
        <v>5325.39</v>
      </c>
      <c r="AD25" s="775">
        <f t="shared" ref="AD25" si="90">+Z25+AB25</f>
        <v>30096</v>
      </c>
      <c r="AE25" s="775">
        <f t="shared" ref="AE25" si="91">+AA25+AC25</f>
        <v>40329.288092603514</v>
      </c>
      <c r="AF25" s="2599">
        <f>AF26*AF$3*24</f>
        <v>4320</v>
      </c>
      <c r="AG25" s="2646">
        <v>5850.87</v>
      </c>
      <c r="AH25" s="775">
        <f t="shared" ref="AH25" si="92">+AD25+AF25</f>
        <v>34416</v>
      </c>
      <c r="AI25" s="775">
        <f t="shared" ref="AI25" si="93">+AE25+AG25</f>
        <v>46180.158092603517</v>
      </c>
      <c r="AJ25" s="2599">
        <f>AJ26*AJ$3*24</f>
        <v>4464</v>
      </c>
      <c r="AK25" s="2646">
        <v>6465.04</v>
      </c>
      <c r="AL25" s="774">
        <f t="shared" ref="AL25" si="94">+AJ25+AF25+AB25</f>
        <v>13248</v>
      </c>
      <c r="AM25" s="774">
        <f t="shared" ref="AM25" si="95">+AK25+AG25+AC25</f>
        <v>17641.3</v>
      </c>
      <c r="AN25" s="775">
        <f t="shared" ref="AN25" si="96">+AH25+AJ25</f>
        <v>38880</v>
      </c>
      <c r="AO25" s="775">
        <f t="shared" ref="AO25" si="97">+AI25+AK25</f>
        <v>52645.198092603518</v>
      </c>
      <c r="AP25" s="2599">
        <f>AP26*AP$3*24</f>
        <v>4464</v>
      </c>
      <c r="AQ25" s="2646">
        <v>5905.14</v>
      </c>
      <c r="AR25" s="775">
        <f t="shared" ref="AR25" si="98">+AN25+AP25</f>
        <v>43344</v>
      </c>
      <c r="AS25" s="775">
        <f t="shared" ref="AS25" si="99">+AO25+AQ25</f>
        <v>58550.338092603517</v>
      </c>
      <c r="AT25" s="2599">
        <f>AT26*AT$3*24</f>
        <v>4032</v>
      </c>
      <c r="AU25" s="2646">
        <v>4564.99</v>
      </c>
      <c r="AV25" s="775">
        <f t="shared" ref="AV25" si="100">+AR25+AT25</f>
        <v>47376</v>
      </c>
      <c r="AW25" s="775">
        <f t="shared" ref="AW25" si="101">+AS25+AU25</f>
        <v>63115.328092603515</v>
      </c>
      <c r="AX25" s="2599">
        <f>AX26*AX$3*24</f>
        <v>4464</v>
      </c>
      <c r="AY25" s="2646">
        <v>5367.99</v>
      </c>
      <c r="AZ25" s="774">
        <f t="shared" ref="AZ25" si="102">+AX25+AT25+AP25</f>
        <v>12960</v>
      </c>
      <c r="BA25" s="774">
        <f t="shared" ref="BA25" si="103">+AY25+AU25+AQ25</f>
        <v>15838.119999999999</v>
      </c>
      <c r="BB25" s="460">
        <f t="shared" si="64"/>
        <v>26208</v>
      </c>
      <c r="BC25" s="460">
        <f t="shared" si="65"/>
        <v>33479.42</v>
      </c>
      <c r="BD25" s="775">
        <f t="shared" ref="BD25" si="104">+AV25+AX25</f>
        <v>51840</v>
      </c>
      <c r="BE25" s="775">
        <f t="shared" ref="BE25" si="105">+AW25+AY25</f>
        <v>68483.318092603513</v>
      </c>
      <c r="BF25" s="114"/>
    </row>
    <row r="26" spans="2:58" ht="15" hidden="1" customHeight="1" x14ac:dyDescent="0.3">
      <c r="B26" s="8"/>
      <c r="C26" s="2546"/>
      <c r="D26" s="2615">
        <v>6</v>
      </c>
      <c r="E26" s="2854"/>
      <c r="F26" s="2615">
        <v>6</v>
      </c>
      <c r="G26" s="2854"/>
      <c r="H26" s="2538"/>
      <c r="I26" s="38"/>
      <c r="J26" s="2615">
        <v>6</v>
      </c>
      <c r="K26" s="2854"/>
      <c r="L26" s="774"/>
      <c r="M26" s="774"/>
      <c r="N26" s="2615">
        <v>6</v>
      </c>
      <c r="O26" s="2854"/>
      <c r="P26" s="775"/>
      <c r="Q26" s="775"/>
      <c r="R26" s="2615">
        <v>6</v>
      </c>
      <c r="S26" s="2854"/>
      <c r="T26" s="775"/>
      <c r="U26" s="775"/>
      <c r="V26" s="2615">
        <v>5</v>
      </c>
      <c r="W26" s="2854"/>
      <c r="X26" s="774"/>
      <c r="Y26" s="774"/>
      <c r="Z26" s="460"/>
      <c r="AA26" s="460"/>
      <c r="AB26" s="2615">
        <v>6</v>
      </c>
      <c r="AC26" s="2854"/>
      <c r="AD26" s="775"/>
      <c r="AE26" s="775"/>
      <c r="AF26" s="2615">
        <v>6</v>
      </c>
      <c r="AG26" s="2854"/>
      <c r="AH26" s="775"/>
      <c r="AI26" s="775"/>
      <c r="AJ26" s="2615">
        <v>6</v>
      </c>
      <c r="AK26" s="2854"/>
      <c r="AL26" s="774"/>
      <c r="AM26" s="774"/>
      <c r="AN26" s="775"/>
      <c r="AO26" s="775"/>
      <c r="AP26" s="2615">
        <v>6</v>
      </c>
      <c r="AQ26" s="2854"/>
      <c r="AR26" s="775"/>
      <c r="AS26" s="775"/>
      <c r="AT26" s="2615">
        <v>6</v>
      </c>
      <c r="AU26" s="2854"/>
      <c r="AV26" s="775"/>
      <c r="AW26" s="775"/>
      <c r="AX26" s="2615">
        <v>6</v>
      </c>
      <c r="AY26" s="2854"/>
      <c r="AZ26" s="774"/>
      <c r="BA26" s="774"/>
      <c r="BB26" s="460">
        <f t="shared" si="64"/>
        <v>0</v>
      </c>
      <c r="BC26" s="460">
        <f t="shared" si="65"/>
        <v>0</v>
      </c>
      <c r="BD26" s="775"/>
      <c r="BE26" s="775"/>
      <c r="BF26" s="114"/>
    </row>
    <row r="27" spans="2:58" x14ac:dyDescent="0.3">
      <c r="B27" s="8" t="s">
        <v>108</v>
      </c>
      <c r="C27" s="2546" t="s">
        <v>326</v>
      </c>
      <c r="D27" s="2599">
        <f>D28*D$3*24</f>
        <v>2160</v>
      </c>
      <c r="E27" s="2646">
        <v>2849.78</v>
      </c>
      <c r="F27" s="2599">
        <f>F28*F$3*24</f>
        <v>0</v>
      </c>
      <c r="G27" s="2646">
        <v>2860.0800000000004</v>
      </c>
      <c r="H27" s="2538">
        <f t="shared" si="45"/>
        <v>2160</v>
      </c>
      <c r="I27" s="38">
        <f t="shared" si="45"/>
        <v>5709.8600000000006</v>
      </c>
      <c r="J27" s="2599">
        <f>J28*J$3*24</f>
        <v>0</v>
      </c>
      <c r="K27" s="2646">
        <v>2740.2558358915053</v>
      </c>
      <c r="L27" s="774">
        <f t="shared" si="46"/>
        <v>2160</v>
      </c>
      <c r="M27" s="774">
        <f t="shared" si="47"/>
        <v>8450.1158358915054</v>
      </c>
      <c r="N27" s="2599">
        <f>N28*N$3*24</f>
        <v>0</v>
      </c>
      <c r="O27" s="2646">
        <v>2835.84</v>
      </c>
      <c r="P27" s="775">
        <f t="shared" si="48"/>
        <v>2160</v>
      </c>
      <c r="Q27" s="775">
        <f t="shared" si="49"/>
        <v>11285.955835891506</v>
      </c>
      <c r="R27" s="2599">
        <f>R28*R$3*24</f>
        <v>0</v>
      </c>
      <c r="S27" s="2646">
        <v>2743.2</v>
      </c>
      <c r="T27" s="775">
        <f t="shared" ref="T27" si="106">+P27+R27</f>
        <v>2160</v>
      </c>
      <c r="U27" s="775">
        <f t="shared" ref="U27" si="107">+Q27+S27</f>
        <v>14029.155835891506</v>
      </c>
      <c r="V27" s="2599">
        <f>V28*V$3*24</f>
        <v>0</v>
      </c>
      <c r="W27" s="2646">
        <v>2809.67</v>
      </c>
      <c r="X27" s="774">
        <f>+V27+R27+N27</f>
        <v>0</v>
      </c>
      <c r="Y27" s="774">
        <f t="shared" si="71"/>
        <v>8388.7099999999991</v>
      </c>
      <c r="Z27" s="460">
        <f t="shared" si="52"/>
        <v>2160</v>
      </c>
      <c r="AA27" s="460">
        <f t="shared" si="53"/>
        <v>16838.825835891505</v>
      </c>
      <c r="AB27" s="2599">
        <f>AB28*AB$3*24</f>
        <v>0</v>
      </c>
      <c r="AC27" s="2646">
        <v>3225.3</v>
      </c>
      <c r="AD27" s="775">
        <f t="shared" ref="AD27" si="108">+Z27+AB27</f>
        <v>2160</v>
      </c>
      <c r="AE27" s="775">
        <f t="shared" ref="AE27" si="109">+AA27+AC27</f>
        <v>20064.125835891504</v>
      </c>
      <c r="AF27" s="2599">
        <f>AF28*AF$3*24</f>
        <v>0</v>
      </c>
      <c r="AG27" s="2646">
        <v>2739.6</v>
      </c>
      <c r="AH27" s="775">
        <f t="shared" ref="AH27" si="110">+AD27+AF27</f>
        <v>2160</v>
      </c>
      <c r="AI27" s="775">
        <f t="shared" ref="AI27" si="111">+AE27+AG27</f>
        <v>22803.725835891502</v>
      </c>
      <c r="AJ27" s="2599">
        <f>AJ28*AJ$3*24</f>
        <v>0</v>
      </c>
      <c r="AK27" s="2646">
        <v>2883.5</v>
      </c>
      <c r="AL27" s="774">
        <f>+AJ27+AF27+AB27</f>
        <v>0</v>
      </c>
      <c r="AM27" s="774">
        <f t="shared" ref="AM27" si="112">+AK27+AG27+AC27</f>
        <v>8848.4000000000015</v>
      </c>
      <c r="AN27" s="775">
        <f t="shared" ref="AN27" si="113">+AH27+AJ27</f>
        <v>2160</v>
      </c>
      <c r="AO27" s="775">
        <f t="shared" ref="AO27" si="114">+AI27+AK27</f>
        <v>25687.225835891502</v>
      </c>
      <c r="AP27" s="2599">
        <f>AP28*AP$3*24</f>
        <v>0</v>
      </c>
      <c r="AQ27" s="2646">
        <v>1557.38</v>
      </c>
      <c r="AR27" s="775">
        <f t="shared" ref="AR27" si="115">+AN27+AP27</f>
        <v>2160</v>
      </c>
      <c r="AS27" s="775">
        <f t="shared" ref="AS27" si="116">+AO27+AQ27</f>
        <v>27244.605835891503</v>
      </c>
      <c r="AT27" s="2599">
        <f>AT28*AT$3*24</f>
        <v>0</v>
      </c>
      <c r="AU27" s="2646">
        <v>0</v>
      </c>
      <c r="AV27" s="775">
        <f t="shared" ref="AV27" si="117">+AR27+AT27</f>
        <v>2160</v>
      </c>
      <c r="AW27" s="775">
        <f t="shared" ref="AW27" si="118">+AS27+AU27</f>
        <v>27244.605835891503</v>
      </c>
      <c r="AX27" s="2599">
        <f>AX28*AX$3*24</f>
        <v>0</v>
      </c>
      <c r="AY27" s="2646">
        <v>0</v>
      </c>
      <c r="AZ27" s="774">
        <f>+AX27+AT27+AP27</f>
        <v>0</v>
      </c>
      <c r="BA27" s="774">
        <f t="shared" ref="BA27" si="119">+AY27+AU27+AQ27</f>
        <v>1557.38</v>
      </c>
      <c r="BB27" s="460">
        <f t="shared" si="64"/>
        <v>0</v>
      </c>
      <c r="BC27" s="460">
        <f t="shared" si="65"/>
        <v>10405.780000000002</v>
      </c>
      <c r="BD27" s="775">
        <f t="shared" ref="BD27" si="120">+AV27+AX27</f>
        <v>2160</v>
      </c>
      <c r="BE27" s="775">
        <f t="shared" ref="BE27" si="121">+AW27+AY27</f>
        <v>27244.605835891503</v>
      </c>
      <c r="BF27" s="114"/>
    </row>
    <row r="28" spans="2:58" ht="15" hidden="1" customHeight="1" x14ac:dyDescent="0.3">
      <c r="B28" s="8"/>
      <c r="C28" s="2546"/>
      <c r="D28" s="2615">
        <v>3</v>
      </c>
      <c r="E28" s="2854"/>
      <c r="F28" s="2615">
        <v>0</v>
      </c>
      <c r="G28" s="2854"/>
      <c r="H28" s="2538"/>
      <c r="I28" s="38"/>
      <c r="J28" s="2615">
        <v>0</v>
      </c>
      <c r="K28" s="2854"/>
      <c r="L28" s="774"/>
      <c r="M28" s="774"/>
      <c r="N28" s="2615">
        <v>0</v>
      </c>
      <c r="O28" s="2854"/>
      <c r="P28" s="775"/>
      <c r="Q28" s="775"/>
      <c r="R28" s="2615">
        <v>0</v>
      </c>
      <c r="S28" s="2854"/>
      <c r="T28" s="775"/>
      <c r="U28" s="775"/>
      <c r="V28" s="2615">
        <v>0</v>
      </c>
      <c r="W28" s="2854"/>
      <c r="X28" s="774"/>
      <c r="Y28" s="774"/>
      <c r="Z28" s="460"/>
      <c r="AA28" s="460"/>
      <c r="AB28" s="2615">
        <v>0</v>
      </c>
      <c r="AC28" s="2854"/>
      <c r="AD28" s="775"/>
      <c r="AE28" s="775"/>
      <c r="AF28" s="2615">
        <v>0</v>
      </c>
      <c r="AG28" s="2854"/>
      <c r="AH28" s="775"/>
      <c r="AI28" s="775"/>
      <c r="AJ28" s="2615">
        <v>0</v>
      </c>
      <c r="AK28" s="2854"/>
      <c r="AL28" s="774"/>
      <c r="AM28" s="774"/>
      <c r="AN28" s="775"/>
      <c r="AO28" s="775"/>
      <c r="AP28" s="2615"/>
      <c r="AQ28" s="2854"/>
      <c r="AR28" s="775"/>
      <c r="AS28" s="775"/>
      <c r="AT28" s="2615">
        <v>0</v>
      </c>
      <c r="AU28" s="2854"/>
      <c r="AV28" s="775"/>
      <c r="AW28" s="775"/>
      <c r="AX28" s="2615"/>
      <c r="AY28" s="2854"/>
      <c r="AZ28" s="774"/>
      <c r="BA28" s="774"/>
      <c r="BB28" s="460">
        <f t="shared" si="64"/>
        <v>0</v>
      </c>
      <c r="BC28" s="460">
        <f t="shared" si="65"/>
        <v>0</v>
      </c>
      <c r="BD28" s="775"/>
      <c r="BE28" s="775"/>
      <c r="BF28" s="114"/>
    </row>
    <row r="29" spans="2:58" x14ac:dyDescent="0.3">
      <c r="B29" s="8" t="s">
        <v>81</v>
      </c>
      <c r="C29" s="2546" t="s">
        <v>326</v>
      </c>
      <c r="D29" s="2599">
        <f>D30*D$3*24</f>
        <v>10031.440544004065</v>
      </c>
      <c r="E29" s="2646">
        <v>9457.5649782267046</v>
      </c>
      <c r="F29" s="2599">
        <f>F30*F$3*24</f>
        <v>10169.32580362149</v>
      </c>
      <c r="G29" s="2646">
        <v>10172.221038753694</v>
      </c>
      <c r="H29" s="2538">
        <f t="shared" si="45"/>
        <v>20200.766347625555</v>
      </c>
      <c r="I29" s="38">
        <f t="shared" si="45"/>
        <v>19629.786016980397</v>
      </c>
      <c r="J29" s="2599">
        <f>J30*J$3*24</f>
        <v>9797.1546597739634</v>
      </c>
      <c r="K29" s="2646">
        <v>9690.8945314058328</v>
      </c>
      <c r="L29" s="774">
        <f t="shared" si="46"/>
        <v>29997.92100739952</v>
      </c>
      <c r="M29" s="774">
        <f t="shared" si="47"/>
        <v>29320.68054838623</v>
      </c>
      <c r="N29" s="2599">
        <f>N30*N$3*24</f>
        <v>10428.164621257716</v>
      </c>
      <c r="O29" s="2646">
        <v>9827.931974380359</v>
      </c>
      <c r="P29" s="775">
        <f t="shared" si="48"/>
        <v>40426.085628657238</v>
      </c>
      <c r="Q29" s="775">
        <f t="shared" si="49"/>
        <v>39148.612522766591</v>
      </c>
      <c r="R29" s="2599">
        <f>R30*R$3*24</f>
        <v>10423.399059127532</v>
      </c>
      <c r="S29" s="2646">
        <v>9485.8884009390804</v>
      </c>
      <c r="T29" s="775">
        <f t="shared" ref="T29" si="122">+P29+R29</f>
        <v>50849.484687784774</v>
      </c>
      <c r="U29" s="775">
        <f t="shared" ref="U29" si="123">+Q29+S29</f>
        <v>48634.500923705673</v>
      </c>
      <c r="V29" s="2599">
        <f>V30*V$3*24</f>
        <v>11699.700633482855</v>
      </c>
      <c r="W29" s="2646">
        <v>9697.5499999999993</v>
      </c>
      <c r="X29" s="774">
        <f t="shared" si="70"/>
        <v>32551.264313868101</v>
      </c>
      <c r="Y29" s="774">
        <f t="shared" si="71"/>
        <v>29011.370375319435</v>
      </c>
      <c r="Z29" s="460">
        <f t="shared" si="52"/>
        <v>62549.185321267621</v>
      </c>
      <c r="AA29" s="460">
        <f t="shared" si="53"/>
        <v>58332.050923705669</v>
      </c>
      <c r="AB29" s="2599">
        <f>AB30*AB$3*24</f>
        <v>10164.560241491308</v>
      </c>
      <c r="AC29" s="2646">
        <v>9686.9</v>
      </c>
      <c r="AD29" s="775">
        <f t="shared" ref="AD29" si="124">+Z29+AB29</f>
        <v>72713.745562758937</v>
      </c>
      <c r="AE29" s="775">
        <f t="shared" ref="AE29" si="125">+AA29+AC29</f>
        <v>68018.950923705663</v>
      </c>
      <c r="AF29" s="2599">
        <f>AF30*AF$3*24</f>
        <v>9797.5742718147121</v>
      </c>
      <c r="AG29" s="2646">
        <v>9937.1200000000008</v>
      </c>
      <c r="AH29" s="775">
        <f t="shared" ref="AH29" si="126">+AD29+AF29</f>
        <v>82511.319834573645</v>
      </c>
      <c r="AI29" s="775">
        <f t="shared" ref="AI29" si="127">+AE29+AG29</f>
        <v>77956.070923705658</v>
      </c>
      <c r="AJ29" s="2599">
        <f>AJ30*AJ$3*24</f>
        <v>10151.305803621486</v>
      </c>
      <c r="AK29" s="2646">
        <v>10366.282520915043</v>
      </c>
      <c r="AL29" s="774">
        <f t="shared" ref="AL29" si="128">+AJ29+AF29+AB29</f>
        <v>30113.440316927507</v>
      </c>
      <c r="AM29" s="774">
        <f t="shared" ref="AM29" si="129">+AK29+AG29+AC29</f>
        <v>29990.302520915044</v>
      </c>
      <c r="AN29" s="775">
        <f t="shared" ref="AN29" si="130">+AH29+AJ29</f>
        <v>92662.625638195139</v>
      </c>
      <c r="AO29" s="775">
        <f t="shared" ref="AO29" si="131">+AI29+AK29</f>
        <v>88322.353444620705</v>
      </c>
      <c r="AP29" s="2599">
        <f>AP30*AP$3*24</f>
        <v>9961.1463642283561</v>
      </c>
      <c r="AQ29" s="2646">
        <v>9629.27</v>
      </c>
      <c r="AR29" s="775">
        <f t="shared" ref="AR29" si="132">+AN29+AP29</f>
        <v>102623.7720024235</v>
      </c>
      <c r="AS29" s="775">
        <f t="shared" ref="AS29" si="133">+AO29+AQ29</f>
        <v>97951.623444620709</v>
      </c>
      <c r="AT29" s="2599">
        <f>AT30*AT$3*24</f>
        <v>9121.6515303011038</v>
      </c>
      <c r="AU29" s="2646">
        <v>7871.4</v>
      </c>
      <c r="AV29" s="775">
        <f t="shared" ref="AV29" si="134">+AR29+AT29</f>
        <v>111745.42353272461</v>
      </c>
      <c r="AW29" s="775">
        <f t="shared" ref="AW29" si="135">+AS29+AU29</f>
        <v>105823.0234446207</v>
      </c>
      <c r="AX29" s="2599">
        <f>AX30*AX$3*24</f>
        <v>9961.1463642283525</v>
      </c>
      <c r="AY29" s="2646">
        <v>9458.42</v>
      </c>
      <c r="AZ29" s="774">
        <f t="shared" ref="AZ29" si="136">+AX29+AT29+AP29</f>
        <v>29043.944258757812</v>
      </c>
      <c r="BA29" s="774">
        <f t="shared" ref="BA29" si="137">+AY29+AU29+AQ29</f>
        <v>26959.09</v>
      </c>
      <c r="BB29" s="460">
        <f t="shared" si="64"/>
        <v>59157.384575685319</v>
      </c>
      <c r="BC29" s="460">
        <f t="shared" si="65"/>
        <v>56949.392520915047</v>
      </c>
      <c r="BD29" s="775">
        <f t="shared" ref="BD29" si="138">+AV29+AX29</f>
        <v>121706.56989695296</v>
      </c>
      <c r="BE29" s="775">
        <f t="shared" ref="BE29" si="139">+AW29+AY29</f>
        <v>115281.4434446207</v>
      </c>
      <c r="BF29" s="114"/>
    </row>
    <row r="30" spans="2:58" ht="15" hidden="1" customHeight="1" x14ac:dyDescent="0.3">
      <c r="B30" s="8"/>
      <c r="C30" s="2546"/>
      <c r="D30" s="2599">
        <v>13.932556311116755</v>
      </c>
      <c r="E30" s="2646"/>
      <c r="F30" s="2599">
        <v>13.668448660781571</v>
      </c>
      <c r="G30" s="2646"/>
      <c r="H30" s="2538"/>
      <c r="I30" s="38"/>
      <c r="J30" s="2599">
        <v>13.60715924968606</v>
      </c>
      <c r="K30" s="2646"/>
      <c r="L30" s="774"/>
      <c r="M30" s="774"/>
      <c r="N30" s="2599">
        <v>14.016350297389403</v>
      </c>
      <c r="O30" s="2646"/>
      <c r="P30" s="775"/>
      <c r="Q30" s="775"/>
      <c r="R30" s="2599">
        <v>14.009944971945609</v>
      </c>
      <c r="S30" s="2646"/>
      <c r="T30" s="775"/>
      <c r="U30" s="775"/>
      <c r="V30" s="2599">
        <v>16.249584213170632</v>
      </c>
      <c r="W30" s="2646"/>
      <c r="X30" s="774"/>
      <c r="Y30" s="774"/>
      <c r="Z30" s="460"/>
      <c r="AA30" s="460"/>
      <c r="AB30" s="2599">
        <v>13.662043335337781</v>
      </c>
      <c r="AC30" s="2646"/>
      <c r="AD30" s="775"/>
      <c r="AE30" s="775"/>
      <c r="AF30" s="2599">
        <v>13.607742044187098</v>
      </c>
      <c r="AG30" s="2646"/>
      <c r="AH30" s="775"/>
      <c r="AI30" s="775"/>
      <c r="AJ30" s="2599">
        <v>13.644228230674042</v>
      </c>
      <c r="AK30" s="2646"/>
      <c r="AL30" s="774"/>
      <c r="AM30" s="774"/>
      <c r="AN30" s="775"/>
      <c r="AO30" s="775"/>
      <c r="AP30" s="2599">
        <v>13.388637586328436</v>
      </c>
      <c r="AQ30" s="2646"/>
      <c r="AR30" s="775"/>
      <c r="AS30" s="775"/>
      <c r="AT30" s="2599">
        <v>13.573886205805213</v>
      </c>
      <c r="AU30" s="2646"/>
      <c r="AV30" s="775"/>
      <c r="AW30" s="775"/>
      <c r="AX30" s="2599">
        <v>13.388637586328432</v>
      </c>
      <c r="AY30" s="2646"/>
      <c r="AZ30" s="774"/>
      <c r="BA30" s="774"/>
      <c r="BB30" s="460">
        <f t="shared" si="64"/>
        <v>0</v>
      </c>
      <c r="BC30" s="460">
        <f t="shared" si="65"/>
        <v>0</v>
      </c>
      <c r="BD30" s="775"/>
      <c r="BE30" s="775"/>
      <c r="BF30" s="114"/>
    </row>
    <row r="31" spans="2:58" x14ac:dyDescent="0.3">
      <c r="B31" s="8" t="s">
        <v>57</v>
      </c>
      <c r="C31" s="2546" t="s">
        <v>326</v>
      </c>
      <c r="D31" s="2599">
        <f>D32*D$3*24</f>
        <v>2590.1918789593333</v>
      </c>
      <c r="E31" s="2646">
        <v>2498.5</v>
      </c>
      <c r="F31" s="2599">
        <f>F32*F$3*24</f>
        <v>2672.7149177155043</v>
      </c>
      <c r="G31" s="2646">
        <v>2613.1999999999998</v>
      </c>
      <c r="H31" s="2538">
        <f t="shared" si="45"/>
        <v>5262.9067966748371</v>
      </c>
      <c r="I31" s="38">
        <f t="shared" si="45"/>
        <v>5111.7</v>
      </c>
      <c r="J31" s="2599">
        <f>J32*J$3*24</f>
        <v>2590.1918789593333</v>
      </c>
      <c r="K31" s="2646">
        <v>2511</v>
      </c>
      <c r="L31" s="774">
        <f t="shared" si="46"/>
        <v>7853.0986756341699</v>
      </c>
      <c r="M31" s="774">
        <f t="shared" si="47"/>
        <v>7622.7</v>
      </c>
      <c r="N31" s="2599">
        <f>N32*N$3*24</f>
        <v>2621.1380184928976</v>
      </c>
      <c r="O31" s="2646">
        <v>2604</v>
      </c>
      <c r="P31" s="775">
        <f t="shared" si="48"/>
        <v>10474.236694127067</v>
      </c>
      <c r="Q31" s="775">
        <f t="shared" si="49"/>
        <v>10226.700000000001</v>
      </c>
      <c r="R31" s="2599">
        <f>R32*R$3*24</f>
        <v>2621.1380184928976</v>
      </c>
      <c r="S31" s="2646">
        <v>2543.5</v>
      </c>
      <c r="T31" s="775">
        <f t="shared" ref="T31" si="140">+P31+R31</f>
        <v>13095.374712619963</v>
      </c>
      <c r="U31" s="775">
        <f t="shared" ref="U31" si="141">+Q31+S31</f>
        <v>12770.2</v>
      </c>
      <c r="V31" s="2599">
        <f>V32*V$3*24</f>
        <v>1375.555902266934</v>
      </c>
      <c r="W31" s="2646">
        <v>2516.5300000000002</v>
      </c>
      <c r="X31" s="774">
        <f t="shared" si="70"/>
        <v>6617.8319392527292</v>
      </c>
      <c r="Y31" s="774">
        <f t="shared" si="71"/>
        <v>7664.0300000000007</v>
      </c>
      <c r="Z31" s="460">
        <f t="shared" si="52"/>
        <v>14470.9306148869</v>
      </c>
      <c r="AA31" s="460">
        <f t="shared" si="53"/>
        <v>15286.73</v>
      </c>
      <c r="AB31" s="2599">
        <f>AB32*AB$3*24</f>
        <v>2672.7149177155043</v>
      </c>
      <c r="AC31" s="2646">
        <v>2410.3000000000002</v>
      </c>
      <c r="AD31" s="775">
        <f t="shared" ref="AD31" si="142">+Z31+AB31</f>
        <v>17143.645532602404</v>
      </c>
      <c r="AE31" s="775">
        <f t="shared" ref="AE31" si="143">+AA31+AC31</f>
        <v>17697.03</v>
      </c>
      <c r="AF31" s="2599">
        <f>AF32*AF$3*24</f>
        <v>2590.1918789593333</v>
      </c>
      <c r="AG31" s="2646">
        <v>2520</v>
      </c>
      <c r="AH31" s="775">
        <f t="shared" ref="AH31" si="144">+AD31+AF31</f>
        <v>19733.837411561737</v>
      </c>
      <c r="AI31" s="775">
        <f t="shared" ref="AI31" si="145">+AE31+AG31</f>
        <v>20217.03</v>
      </c>
      <c r="AJ31" s="2599">
        <f>AJ32*AJ$3*24</f>
        <v>2672.7149177155043</v>
      </c>
      <c r="AK31" s="2646">
        <v>2604</v>
      </c>
      <c r="AL31" s="774">
        <f t="shared" ref="AL31" si="146">+AJ31+AF31+AB31</f>
        <v>7935.6217143903414</v>
      </c>
      <c r="AM31" s="774">
        <f t="shared" ref="AM31" si="147">+AK31+AG31+AC31</f>
        <v>7534.3</v>
      </c>
      <c r="AN31" s="775">
        <f t="shared" ref="AN31" si="148">+AH31+AJ31</f>
        <v>22406.552329277241</v>
      </c>
      <c r="AO31" s="775">
        <f t="shared" ref="AO31" si="149">+AI31+AK31</f>
        <v>22821.03</v>
      </c>
      <c r="AP31" s="2599">
        <f>AP32*AP$3*24</f>
        <v>2713.97643709359</v>
      </c>
      <c r="AQ31" s="2646">
        <v>2576</v>
      </c>
      <c r="AR31" s="775">
        <f t="shared" ref="AR31" si="150">+AN31+AP31</f>
        <v>25120.52876637083</v>
      </c>
      <c r="AS31" s="775">
        <f t="shared" ref="AS31" si="151">+AO31+AQ31</f>
        <v>25397.03</v>
      </c>
      <c r="AT31" s="2599">
        <f>AT32*AT$3*24</f>
        <v>2425.1458014469899</v>
      </c>
      <c r="AU31" s="2646">
        <v>2285</v>
      </c>
      <c r="AV31" s="775">
        <f t="shared" ref="AV31" si="152">+AR31+AT31</f>
        <v>27545.674567817819</v>
      </c>
      <c r="AW31" s="775">
        <f t="shared" ref="AW31" si="153">+AS31+AU31</f>
        <v>27682.03</v>
      </c>
      <c r="AX31" s="2599">
        <f>AX32*AX$3*24</f>
        <v>2713.97643709359</v>
      </c>
      <c r="AY31" s="2646">
        <v>2542.0300000000002</v>
      </c>
      <c r="AZ31" s="774">
        <f t="shared" ref="AZ31" si="154">+AX31+AT31+AP31</f>
        <v>7853.0986756341699</v>
      </c>
      <c r="BA31" s="774">
        <f t="shared" ref="BA31" si="155">+AY31+AU31+AQ31</f>
        <v>7403.0300000000007</v>
      </c>
      <c r="BB31" s="460">
        <f t="shared" si="64"/>
        <v>15788.720390024511</v>
      </c>
      <c r="BC31" s="460">
        <f t="shared" si="65"/>
        <v>14937.330000000002</v>
      </c>
      <c r="BD31" s="775">
        <f t="shared" ref="BD31" si="156">+AV31+AX31</f>
        <v>30259.651004911408</v>
      </c>
      <c r="BE31" s="775">
        <f t="shared" ref="BE31" si="157">+AW31+AY31</f>
        <v>30224.059999999998</v>
      </c>
      <c r="BF31" s="114"/>
    </row>
    <row r="32" spans="2:58" ht="15" hidden="1" customHeight="1" x14ac:dyDescent="0.3">
      <c r="B32" s="8"/>
      <c r="C32" s="2546"/>
      <c r="D32" s="2615">
        <v>3.5974887207768518</v>
      </c>
      <c r="E32" s="2854"/>
      <c r="F32" s="2615">
        <v>3.5923587603703018</v>
      </c>
      <c r="G32" s="2854"/>
      <c r="H32" s="2538"/>
      <c r="I32" s="38"/>
      <c r="J32" s="2615">
        <v>3.5974887207768518</v>
      </c>
      <c r="K32" s="2854"/>
      <c r="L32" s="774"/>
      <c r="M32" s="774"/>
      <c r="N32" s="2615">
        <v>3.5230349710926041</v>
      </c>
      <c r="O32" s="2854"/>
      <c r="P32" s="775"/>
      <c r="Q32" s="775"/>
      <c r="R32" s="2615">
        <v>3.5230349710926041</v>
      </c>
      <c r="S32" s="2854"/>
      <c r="T32" s="775"/>
      <c r="U32" s="775"/>
      <c r="V32" s="2615">
        <v>1.9104943087040749</v>
      </c>
      <c r="W32" s="2854"/>
      <c r="X32" s="774"/>
      <c r="Y32" s="774"/>
      <c r="Z32" s="460"/>
      <c r="AA32" s="460"/>
      <c r="AB32" s="2615">
        <v>3.5923587603703018</v>
      </c>
      <c r="AC32" s="2854"/>
      <c r="AD32" s="775"/>
      <c r="AE32" s="775"/>
      <c r="AF32" s="2615">
        <v>3.5974887207768518</v>
      </c>
      <c r="AG32" s="2854"/>
      <c r="AH32" s="775"/>
      <c r="AI32" s="775"/>
      <c r="AJ32" s="2615">
        <v>3.5923587603703018</v>
      </c>
      <c r="AK32" s="2854"/>
      <c r="AL32" s="774"/>
      <c r="AM32" s="774"/>
      <c r="AN32" s="775"/>
      <c r="AO32" s="775"/>
      <c r="AP32" s="2615">
        <v>3.6478177917924599</v>
      </c>
      <c r="AQ32" s="2854"/>
      <c r="AR32" s="775"/>
      <c r="AS32" s="775"/>
      <c r="AT32" s="2615">
        <v>3.6088479188199258</v>
      </c>
      <c r="AU32" s="2854"/>
      <c r="AV32" s="775"/>
      <c r="AW32" s="775"/>
      <c r="AX32" s="2615">
        <v>3.6478177917924599</v>
      </c>
      <c r="AY32" s="2854"/>
      <c r="AZ32" s="774"/>
      <c r="BA32" s="774"/>
      <c r="BB32" s="460">
        <f t="shared" si="64"/>
        <v>0</v>
      </c>
      <c r="BC32" s="460">
        <f t="shared" si="65"/>
        <v>0</v>
      </c>
      <c r="BD32" s="775"/>
      <c r="BE32" s="775"/>
      <c r="BF32" s="114"/>
    </row>
    <row r="33" spans="2:58" x14ac:dyDescent="0.3">
      <c r="B33" s="8" t="s">
        <v>58</v>
      </c>
      <c r="C33" s="2546" t="s">
        <v>326</v>
      </c>
      <c r="D33" s="2599">
        <f>D34*D$3*24</f>
        <v>1123.6233803241867</v>
      </c>
      <c r="E33" s="2646">
        <v>1084.5</v>
      </c>
      <c r="F33" s="2599">
        <f>F34*F$3*24</f>
        <v>1157.85238949327</v>
      </c>
      <c r="G33" s="2646">
        <v>1127.8000000000002</v>
      </c>
      <c r="H33" s="2538">
        <f t="shared" si="45"/>
        <v>2281.4757698174567</v>
      </c>
      <c r="I33" s="38">
        <f t="shared" si="45"/>
        <v>2212.3000000000002</v>
      </c>
      <c r="J33" s="2599">
        <f>J34*J$3*24</f>
        <v>1123.6233803241867</v>
      </c>
      <c r="K33" s="2646">
        <v>1080</v>
      </c>
      <c r="L33" s="774">
        <f t="shared" si="46"/>
        <v>3405.0991501416433</v>
      </c>
      <c r="M33" s="774">
        <f t="shared" si="47"/>
        <v>3292.3</v>
      </c>
      <c r="N33" s="2599">
        <f>N34*N$3*24</f>
        <v>1114.2699096501669</v>
      </c>
      <c r="O33" s="2646">
        <v>1116.0100000000002</v>
      </c>
      <c r="P33" s="775">
        <f t="shared" si="48"/>
        <v>4519.3690597918103</v>
      </c>
      <c r="Q33" s="775">
        <f t="shared" si="49"/>
        <v>4408.3100000000004</v>
      </c>
      <c r="R33" s="2599">
        <f>R34*R$3*24</f>
        <v>1114.2699096501669</v>
      </c>
      <c r="S33" s="2646">
        <v>1087.04</v>
      </c>
      <c r="T33" s="775">
        <f t="shared" ref="T33" si="158">+P33+R33</f>
        <v>5633.6389694419777</v>
      </c>
      <c r="U33" s="775">
        <f t="shared" ref="U33" si="159">+Q33+S33</f>
        <v>5495.35</v>
      </c>
      <c r="V33" s="2599">
        <f>V34*V$3*24</f>
        <v>369.91870191260034</v>
      </c>
      <c r="W33" s="2646">
        <v>1078.5</v>
      </c>
      <c r="X33" s="774">
        <f t="shared" si="70"/>
        <v>2598.4585212129341</v>
      </c>
      <c r="Y33" s="774">
        <f t="shared" si="71"/>
        <v>3281.55</v>
      </c>
      <c r="Z33" s="460">
        <f t="shared" si="52"/>
        <v>6003.5576713545779</v>
      </c>
      <c r="AA33" s="460">
        <f t="shared" si="53"/>
        <v>6573.85</v>
      </c>
      <c r="AB33" s="2599">
        <f>AB34*AB$3*24</f>
        <v>1157.85238949327</v>
      </c>
      <c r="AC33" s="2646">
        <v>989</v>
      </c>
      <c r="AD33" s="775">
        <f t="shared" ref="AD33" si="160">+Z33+AB33</f>
        <v>7161.4100608478475</v>
      </c>
      <c r="AE33" s="775">
        <f t="shared" ref="AE33" si="161">+AA33+AC33</f>
        <v>7562.85</v>
      </c>
      <c r="AF33" s="2599">
        <f>AF34*AF$3*24</f>
        <v>1123.6233803241867</v>
      </c>
      <c r="AG33" s="2646">
        <v>1080.0999999999999</v>
      </c>
      <c r="AH33" s="775">
        <f t="shared" ref="AH33" si="162">+AD33+AF33</f>
        <v>8285.0334411720341</v>
      </c>
      <c r="AI33" s="775">
        <f t="shared" ref="AI33" si="163">+AE33+AG33</f>
        <v>8642.9500000000007</v>
      </c>
      <c r="AJ33" s="2599">
        <f>AJ34*AJ$3*24</f>
        <v>1157.85238949327</v>
      </c>
      <c r="AK33" s="2646">
        <v>1117.5</v>
      </c>
      <c r="AL33" s="774">
        <f t="shared" ref="AL33" si="164">+AJ33+AF33+AB33</f>
        <v>3439.3281593107267</v>
      </c>
      <c r="AM33" s="774">
        <f t="shared" ref="AM33" si="165">+AK33+AG33+AC33</f>
        <v>3186.6</v>
      </c>
      <c r="AN33" s="775">
        <f t="shared" ref="AN33" si="166">+AH33+AJ33</f>
        <v>9442.8858306653037</v>
      </c>
      <c r="AO33" s="775">
        <f t="shared" ref="AO33" si="167">+AI33+AK33</f>
        <v>9760.4500000000007</v>
      </c>
      <c r="AP33" s="2599">
        <f>AP34*AP$3*24</f>
        <v>1192.7183733677523</v>
      </c>
      <c r="AQ33" s="2646">
        <v>1104</v>
      </c>
      <c r="AR33" s="775">
        <f t="shared" ref="AR33" si="168">+AN33+AP33</f>
        <v>10635.604204033056</v>
      </c>
      <c r="AS33" s="775">
        <f t="shared" ref="AS33" si="169">+AO33+AQ33</f>
        <v>10864.45</v>
      </c>
      <c r="AT33" s="2599">
        <f>AT34*AT$3*24</f>
        <v>1055.1653619860201</v>
      </c>
      <c r="AU33" s="2646">
        <v>973.4</v>
      </c>
      <c r="AV33" s="775">
        <f t="shared" ref="AV33" si="170">+AR33+AT33</f>
        <v>11690.769566019077</v>
      </c>
      <c r="AW33" s="775">
        <f t="shared" ref="AW33" si="171">+AS33+AU33</f>
        <v>11837.85</v>
      </c>
      <c r="AX33" s="2599">
        <f>AX34*AX$3*24</f>
        <v>1192.7183733677523</v>
      </c>
      <c r="AY33" s="2646">
        <v>1092</v>
      </c>
      <c r="AZ33" s="774">
        <f t="shared" ref="AZ33" si="172">+AX33+AT33+AP33</f>
        <v>3440.6021087215249</v>
      </c>
      <c r="BA33" s="774">
        <f t="shared" ref="BA33" si="173">+AY33+AU33+AQ33</f>
        <v>3169.4</v>
      </c>
      <c r="BB33" s="460">
        <f t="shared" si="64"/>
        <v>6879.9302680322517</v>
      </c>
      <c r="BC33" s="460">
        <f t="shared" si="65"/>
        <v>6356</v>
      </c>
      <c r="BD33" s="775">
        <f t="shared" ref="BD33" si="174">+AV33+AX33</f>
        <v>12883.487939386829</v>
      </c>
      <c r="BE33" s="775">
        <f t="shared" ref="BE33" si="175">+AW33+AY33</f>
        <v>12929.85</v>
      </c>
      <c r="BF33" s="114"/>
    </row>
    <row r="34" spans="2:58" ht="15" hidden="1" customHeight="1" x14ac:dyDescent="0.3">
      <c r="B34" s="8"/>
      <c r="C34" s="2546"/>
      <c r="D34" s="2615">
        <v>1.5605880282280371</v>
      </c>
      <c r="E34" s="2854"/>
      <c r="F34" s="2615">
        <v>1.5562532116845027</v>
      </c>
      <c r="G34" s="2854"/>
      <c r="H34" s="2538"/>
      <c r="I34" s="38"/>
      <c r="J34" s="2615">
        <v>1.5605880282280371</v>
      </c>
      <c r="K34" s="2854"/>
      <c r="L34" s="774"/>
      <c r="M34" s="774"/>
      <c r="N34" s="2615">
        <v>1.4976746097448479</v>
      </c>
      <c r="O34" s="2854"/>
      <c r="P34" s="775"/>
      <c r="Q34" s="775"/>
      <c r="R34" s="2615">
        <v>1.4976746097448479</v>
      </c>
      <c r="S34" s="2854"/>
      <c r="T34" s="775"/>
      <c r="U34" s="775"/>
      <c r="V34" s="2615">
        <v>0.5137759748786116</v>
      </c>
      <c r="W34" s="2854"/>
      <c r="X34" s="774"/>
      <c r="Y34" s="774"/>
      <c r="Z34" s="460"/>
      <c r="AA34" s="460"/>
      <c r="AB34" s="2615">
        <v>1.5562532116845027</v>
      </c>
      <c r="AC34" s="2854"/>
      <c r="AD34" s="775"/>
      <c r="AE34" s="775"/>
      <c r="AF34" s="2615">
        <v>1.5605880282280371</v>
      </c>
      <c r="AG34" s="2854"/>
      <c r="AH34" s="775"/>
      <c r="AI34" s="775"/>
      <c r="AJ34" s="2615">
        <v>1.5562532116845027</v>
      </c>
      <c r="AK34" s="2854"/>
      <c r="AL34" s="774"/>
      <c r="AM34" s="774"/>
      <c r="AN34" s="775"/>
      <c r="AO34" s="775"/>
      <c r="AP34" s="2615">
        <v>1.6031160932362261</v>
      </c>
      <c r="AQ34" s="2854"/>
      <c r="AR34" s="775"/>
      <c r="AS34" s="775"/>
      <c r="AT34" s="2615">
        <v>1.5701865505744348</v>
      </c>
      <c r="AU34" s="2854"/>
      <c r="AV34" s="775"/>
      <c r="AW34" s="775"/>
      <c r="AX34" s="2615">
        <v>1.6031160932362261</v>
      </c>
      <c r="AY34" s="2854"/>
      <c r="AZ34" s="774"/>
      <c r="BA34" s="774"/>
      <c r="BB34" s="460">
        <f t="shared" si="64"/>
        <v>0</v>
      </c>
      <c r="BC34" s="460">
        <f t="shared" si="65"/>
        <v>0</v>
      </c>
      <c r="BD34" s="775"/>
      <c r="BE34" s="775"/>
      <c r="BF34" s="114"/>
    </row>
    <row r="35" spans="2:58" x14ac:dyDescent="0.3">
      <c r="B35" s="8" t="s">
        <v>59</v>
      </c>
      <c r="C35" s="2546" t="s">
        <v>326</v>
      </c>
      <c r="D35" s="2599">
        <f>D36*D$3*24</f>
        <v>918.53654458402048</v>
      </c>
      <c r="E35" s="2646">
        <v>1237.6782628054548</v>
      </c>
      <c r="F35" s="2599">
        <f>F36*F$3*24</f>
        <v>1427.9339305750007</v>
      </c>
      <c r="G35" s="2646">
        <v>1042.0188628037854</v>
      </c>
      <c r="H35" s="2538">
        <f t="shared" si="45"/>
        <v>2346.4704751590211</v>
      </c>
      <c r="I35" s="38">
        <f t="shared" si="45"/>
        <v>2279.6971256092402</v>
      </c>
      <c r="J35" s="2599">
        <f>J36*J$3*24</f>
        <v>1392.1569503851563</v>
      </c>
      <c r="K35" s="2646">
        <v>958.26913737942414</v>
      </c>
      <c r="L35" s="774">
        <f t="shared" si="46"/>
        <v>3738.6274255441776</v>
      </c>
      <c r="M35" s="774">
        <f t="shared" si="47"/>
        <v>3237.9662629886643</v>
      </c>
      <c r="N35" s="2599">
        <f>N36*N$3*24</f>
        <v>1429.0303923548265</v>
      </c>
      <c r="O35" s="2646">
        <v>935.03565531522622</v>
      </c>
      <c r="P35" s="775">
        <f t="shared" si="48"/>
        <v>5167.6578178990039</v>
      </c>
      <c r="Q35" s="775">
        <f t="shared" si="49"/>
        <v>4173.0019183038903</v>
      </c>
      <c r="R35" s="2599">
        <f>R36*R$3*24</f>
        <v>1429.0303923548265</v>
      </c>
      <c r="S35" s="2646">
        <v>1045.4579780087024</v>
      </c>
      <c r="T35" s="775">
        <f t="shared" ref="T35" si="176">+P35+R35</f>
        <v>6596.6882102538302</v>
      </c>
      <c r="U35" s="775">
        <f t="shared" ref="U35" si="177">+Q35+S35</f>
        <v>5218.4598963125927</v>
      </c>
      <c r="V35" s="2599">
        <f>V36*V$3*24</f>
        <v>1047.4550253027198</v>
      </c>
      <c r="W35" s="2646">
        <v>811.42</v>
      </c>
      <c r="X35" s="774">
        <f t="shared" si="70"/>
        <v>3905.5158100123726</v>
      </c>
      <c r="Y35" s="774">
        <f t="shared" si="71"/>
        <v>2791.9136333239285</v>
      </c>
      <c r="Z35" s="460">
        <f t="shared" si="52"/>
        <v>7644.1432355565503</v>
      </c>
      <c r="AA35" s="460">
        <f t="shared" si="53"/>
        <v>6029.8798963125928</v>
      </c>
      <c r="AB35" s="2599">
        <f>AB36*AB$3*24</f>
        <v>1372.6941978160871</v>
      </c>
      <c r="AC35" s="2646">
        <v>688.81</v>
      </c>
      <c r="AD35" s="775">
        <f t="shared" ref="AD35" si="178">+Z35+AB35</f>
        <v>9016.837433372637</v>
      </c>
      <c r="AE35" s="775">
        <f t="shared" ref="AE35" si="179">+AA35+AC35</f>
        <v>6718.6898963125932</v>
      </c>
      <c r="AF35" s="2599">
        <f>AF36*AF$3*24</f>
        <v>1359.5175349059991</v>
      </c>
      <c r="AG35" s="2646">
        <v>794.92</v>
      </c>
      <c r="AH35" s="775">
        <f t="shared" ref="AH35" si="180">+AD35+AF35</f>
        <v>10376.354968278636</v>
      </c>
      <c r="AI35" s="775">
        <f t="shared" ref="AI35" si="181">+AE35+AG35</f>
        <v>7513.6098963125933</v>
      </c>
      <c r="AJ35" s="2599">
        <f>AJ36*AJ$3*24</f>
        <v>1407.416253255557</v>
      </c>
      <c r="AK35" s="2646">
        <v>808.94292980589137</v>
      </c>
      <c r="AL35" s="774">
        <f t="shared" ref="AL35" si="182">+AJ35+AF35+AB35</f>
        <v>4139.6279859776432</v>
      </c>
      <c r="AM35" s="774">
        <f t="shared" ref="AM35" si="183">+AK35+AG35+AC35</f>
        <v>2292.6729298058913</v>
      </c>
      <c r="AN35" s="775">
        <f t="shared" ref="AN35" si="184">+AH35+AJ35</f>
        <v>11783.771221534193</v>
      </c>
      <c r="AO35" s="775">
        <f t="shared" ref="AO35" si="185">+AI35+AK35</f>
        <v>8322.5528261184845</v>
      </c>
      <c r="AP35" s="2599">
        <f>AP36*AP$3*24</f>
        <v>1420.2621343384963</v>
      </c>
      <c r="AQ35" s="2646">
        <v>638.47</v>
      </c>
      <c r="AR35" s="775">
        <f t="shared" ref="AR35" si="186">+AN35+AP35</f>
        <v>13204.033355872689</v>
      </c>
      <c r="AS35" s="775">
        <f t="shared" ref="AS35" si="187">+AO35+AQ35</f>
        <v>8961.0228261184839</v>
      </c>
      <c r="AT35" s="2599">
        <f>AT36*AT$3*24</f>
        <v>1249.9860416014999</v>
      </c>
      <c r="AU35" s="2646">
        <v>726.51</v>
      </c>
      <c r="AV35" s="775">
        <f t="shared" ref="AV35" si="188">+AR35+AT35</f>
        <v>14454.019397474189</v>
      </c>
      <c r="AW35" s="775">
        <f t="shared" ref="AW35" si="189">+AS35+AU35</f>
        <v>9687.5328261184841</v>
      </c>
      <c r="AX35" s="2599">
        <f>AX36*AX$3*24</f>
        <v>1413.8819577888135</v>
      </c>
      <c r="AY35" s="2646">
        <v>1081.67</v>
      </c>
      <c r="AZ35" s="774">
        <f t="shared" ref="AZ35" si="190">+AX35+AT35+AP35</f>
        <v>4084.1301337288096</v>
      </c>
      <c r="BA35" s="774">
        <f t="shared" ref="BA35" si="191">+AY35+AU35+AQ35</f>
        <v>2446.65</v>
      </c>
      <c r="BB35" s="460">
        <f t="shared" si="64"/>
        <v>8223.7581197064537</v>
      </c>
      <c r="BC35" s="460">
        <f t="shared" si="65"/>
        <v>4739.3229298058914</v>
      </c>
      <c r="BD35" s="775">
        <f t="shared" ref="BD35" si="192">+AV35+AX35</f>
        <v>15867.901355263002</v>
      </c>
      <c r="BE35" s="775">
        <f t="shared" ref="BE35" si="193">+AW35+AY35</f>
        <v>10769.202826118484</v>
      </c>
      <c r="BF35" s="114"/>
    </row>
    <row r="36" spans="2:58" ht="15" hidden="1" customHeight="1" x14ac:dyDescent="0.3">
      <c r="B36" s="8"/>
      <c r="C36" s="2546"/>
      <c r="D36" s="2615">
        <v>1.2757452008111396</v>
      </c>
      <c r="E36" s="2854"/>
      <c r="F36" s="2615">
        <v>1.9192660357190869</v>
      </c>
      <c r="G36" s="2854"/>
      <c r="H36" s="2538"/>
      <c r="I36" s="38"/>
      <c r="J36" s="2615">
        <v>1.9335513199793837</v>
      </c>
      <c r="K36" s="2854"/>
      <c r="L36" s="774"/>
      <c r="M36" s="774"/>
      <c r="N36" s="2615">
        <v>1.9207397746704657</v>
      </c>
      <c r="O36" s="2854"/>
      <c r="P36" s="775"/>
      <c r="Q36" s="775"/>
      <c r="R36" s="2615">
        <v>1.9207397746704657</v>
      </c>
      <c r="S36" s="2854"/>
      <c r="T36" s="775"/>
      <c r="U36" s="775"/>
      <c r="V36" s="2615">
        <v>1.4547986462537776</v>
      </c>
      <c r="W36" s="2854"/>
      <c r="X36" s="774"/>
      <c r="Y36" s="774"/>
      <c r="Z36" s="460"/>
      <c r="AA36" s="460"/>
      <c r="AB36" s="2615">
        <v>1.8450190830861386</v>
      </c>
      <c r="AC36" s="2854"/>
      <c r="AD36" s="775"/>
      <c r="AE36" s="775"/>
      <c r="AF36" s="2615">
        <v>1.8882187984805545</v>
      </c>
      <c r="AG36" s="2854"/>
      <c r="AH36" s="775"/>
      <c r="AI36" s="775"/>
      <c r="AJ36" s="2615">
        <v>1.8916885124402647</v>
      </c>
      <c r="AK36" s="2854"/>
      <c r="AL36" s="774"/>
      <c r="AM36" s="774"/>
      <c r="AN36" s="775"/>
      <c r="AO36" s="775"/>
      <c r="AP36" s="2615">
        <v>1.9089544816377637</v>
      </c>
      <c r="AQ36" s="2854"/>
      <c r="AR36" s="775"/>
      <c r="AS36" s="775"/>
      <c r="AT36" s="2615">
        <v>1.8600982761927081</v>
      </c>
      <c r="AU36" s="2854"/>
      <c r="AV36" s="775"/>
      <c r="AW36" s="775"/>
      <c r="AX36" s="2615">
        <v>1.9003789755225988</v>
      </c>
      <c r="AY36" s="2854"/>
      <c r="AZ36" s="774"/>
      <c r="BA36" s="774"/>
      <c r="BB36" s="460">
        <f t="shared" si="64"/>
        <v>0</v>
      </c>
      <c r="BC36" s="460">
        <f t="shared" si="65"/>
        <v>0</v>
      </c>
      <c r="BD36" s="775"/>
      <c r="BE36" s="775"/>
      <c r="BF36" s="114"/>
    </row>
    <row r="37" spans="2:58" x14ac:dyDescent="0.3">
      <c r="B37" s="8" t="s">
        <v>91</v>
      </c>
      <c r="C37" s="2546" t="s">
        <v>326</v>
      </c>
      <c r="D37" s="2599">
        <f>D38*D$3*24</f>
        <v>1395.7500142267886</v>
      </c>
      <c r="E37" s="2646">
        <v>1626.5732933015192</v>
      </c>
      <c r="F37" s="2599">
        <f>F38*F$3*24</f>
        <v>2178.5577018994009</v>
      </c>
      <c r="G37" s="2646">
        <v>1511.2833702499265</v>
      </c>
      <c r="H37" s="2538">
        <f t="shared" si="45"/>
        <v>3574.3077161261895</v>
      </c>
      <c r="I37" s="38">
        <f t="shared" si="45"/>
        <v>3137.8566635514458</v>
      </c>
      <c r="J37" s="2599">
        <f>J38*J$3*24</f>
        <v>2115.4336153124768</v>
      </c>
      <c r="K37" s="2646">
        <v>1368.3023550549533</v>
      </c>
      <c r="L37" s="774">
        <f t="shared" si="46"/>
        <v>5689.7413314386667</v>
      </c>
      <c r="M37" s="774">
        <f t="shared" si="47"/>
        <v>4506.1590186063986</v>
      </c>
      <c r="N37" s="2599">
        <f>N38*N$3*24</f>
        <v>2180.2305420806797</v>
      </c>
      <c r="O37" s="2646">
        <v>1325.8729510126152</v>
      </c>
      <c r="P37" s="775">
        <f t="shared" si="48"/>
        <v>7869.9718735193464</v>
      </c>
      <c r="Q37" s="775">
        <f t="shared" si="49"/>
        <v>5832.0319696190136</v>
      </c>
      <c r="R37" s="2599">
        <f>R38*R$3*24</f>
        <v>2180.2305420806797</v>
      </c>
      <c r="S37" s="2646">
        <v>1509.3571648790987</v>
      </c>
      <c r="T37" s="775">
        <f t="shared" ref="T37" si="194">+P37+R37</f>
        <v>10050.202415600026</v>
      </c>
      <c r="U37" s="775">
        <f t="shared" ref="U37" si="195">+Q37+S37</f>
        <v>7341.3891344981121</v>
      </c>
      <c r="V37" s="2599">
        <f>V38*V$3*24</f>
        <v>1691.1242791934073</v>
      </c>
      <c r="W37" s="2646">
        <v>1180.43</v>
      </c>
      <c r="X37" s="774">
        <f t="shared" si="70"/>
        <v>6051.5853633547667</v>
      </c>
      <c r="Y37" s="774">
        <f t="shared" si="71"/>
        <v>4015.6601158917138</v>
      </c>
      <c r="Z37" s="460">
        <f t="shared" si="52"/>
        <v>11741.326694793433</v>
      </c>
      <c r="AA37" s="460">
        <f t="shared" si="53"/>
        <v>8521.8191344981133</v>
      </c>
      <c r="AB37" s="2599">
        <f>AB38*AB$3*24</f>
        <v>2140.7502808245517</v>
      </c>
      <c r="AC37" s="2646">
        <v>832.6</v>
      </c>
      <c r="AD37" s="775">
        <f t="shared" ref="AD37" si="196">+Z37+AB37</f>
        <v>13882.076975617985</v>
      </c>
      <c r="AE37" s="775">
        <f t="shared" ref="AE37" si="197">+AA37+AC37</f>
        <v>9354.4191344981136</v>
      </c>
      <c r="AF37" s="2599">
        <f>AF38*AF$3*24</f>
        <v>2065.8368247568887</v>
      </c>
      <c r="AG37" s="2646">
        <v>1157.3599999999999</v>
      </c>
      <c r="AH37" s="775">
        <f t="shared" ref="AH37" si="198">+AD37+AF37</f>
        <v>15947.913800374874</v>
      </c>
      <c r="AI37" s="775">
        <f t="shared" ref="AI37" si="199">+AE37+AG37</f>
        <v>10511.779134498114</v>
      </c>
      <c r="AJ37" s="2599">
        <f>AJ38*AJ$3*24</f>
        <v>2147.2544721124586</v>
      </c>
      <c r="AK37" s="2646">
        <v>1046.574957600182</v>
      </c>
      <c r="AL37" s="774">
        <f t="shared" ref="AL37" si="200">+AJ37+AF37+AB37</f>
        <v>6353.8415776938991</v>
      </c>
      <c r="AM37" s="774">
        <f t="shared" ref="AM37" si="201">+AK37+AG37+AC37</f>
        <v>3036.5349576001818</v>
      </c>
      <c r="AN37" s="775">
        <f t="shared" ref="AN37" si="202">+AH37+AJ37</f>
        <v>18095.168272487332</v>
      </c>
      <c r="AO37" s="775">
        <f t="shared" ref="AO37" si="203">+AI37+AK37</f>
        <v>11558.354092098296</v>
      </c>
      <c r="AP37" s="2599">
        <f>AP38*AP$3*24</f>
        <v>2142.506399544689</v>
      </c>
      <c r="AQ37" s="2646">
        <v>875.31</v>
      </c>
      <c r="AR37" s="775">
        <f t="shared" ref="AR37" si="204">+AN37+AP37</f>
        <v>20237.674672032022</v>
      </c>
      <c r="AS37" s="775">
        <f t="shared" ref="AS37" si="205">+AO37+AQ37</f>
        <v>12433.664092098295</v>
      </c>
      <c r="AT37" s="2599">
        <f>AT38*AT$3*24</f>
        <v>1898.6186947952312</v>
      </c>
      <c r="AU37" s="2646">
        <v>1006.76</v>
      </c>
      <c r="AV37" s="775">
        <f t="shared" ref="AV37" si="206">+AR37+AT37</f>
        <v>22136.293366827253</v>
      </c>
      <c r="AW37" s="775">
        <f t="shared" ref="AW37" si="207">+AS37+AU37</f>
        <v>13440.424092098296</v>
      </c>
      <c r="AX37" s="2599">
        <f>AX38*AX$3*24</f>
        <v>2159.8802219467002</v>
      </c>
      <c r="AY37" s="2646">
        <v>1466.13</v>
      </c>
      <c r="AZ37" s="774">
        <f t="shared" ref="AZ37" si="208">+AX37+AT37+AP37</f>
        <v>6201.0053162866207</v>
      </c>
      <c r="BA37" s="774">
        <f t="shared" ref="BA37" si="209">+AY37+AU37+AQ37</f>
        <v>3348.2000000000003</v>
      </c>
      <c r="BB37" s="460">
        <f t="shared" si="64"/>
        <v>12554.846893980521</v>
      </c>
      <c r="BC37" s="460">
        <f t="shared" si="65"/>
        <v>6384.7349576001816</v>
      </c>
      <c r="BD37" s="775">
        <f t="shared" ref="BD37" si="210">+AV37+AX37</f>
        <v>24296.173588773952</v>
      </c>
      <c r="BE37" s="775">
        <f t="shared" ref="BE37" si="211">+AW37+AY37</f>
        <v>14906.554092098297</v>
      </c>
      <c r="BF37" s="114"/>
    </row>
    <row r="38" spans="2:58" ht="15" hidden="1" customHeight="1" x14ac:dyDescent="0.3">
      <c r="B38" s="8"/>
      <c r="C38" s="2546"/>
      <c r="D38" s="2615">
        <v>1.9385416864260954</v>
      </c>
      <c r="E38" s="2854"/>
      <c r="F38" s="2615">
        <v>2.9281689541658609</v>
      </c>
      <c r="G38" s="2854"/>
      <c r="H38" s="2538"/>
      <c r="I38" s="38"/>
      <c r="J38" s="2615">
        <v>2.938102243489551</v>
      </c>
      <c r="K38" s="2854"/>
      <c r="L38" s="774"/>
      <c r="M38" s="774"/>
      <c r="N38" s="2615">
        <v>2.930417395269731</v>
      </c>
      <c r="O38" s="2854"/>
      <c r="P38" s="775"/>
      <c r="Q38" s="775"/>
      <c r="R38" s="2615">
        <v>2.930417395269731</v>
      </c>
      <c r="S38" s="2854"/>
      <c r="T38" s="775"/>
      <c r="U38" s="775"/>
      <c r="V38" s="2615">
        <v>2.3487837211019547</v>
      </c>
      <c r="W38" s="2854"/>
      <c r="X38" s="774"/>
      <c r="Y38" s="774"/>
      <c r="Z38" s="460"/>
      <c r="AA38" s="460"/>
      <c r="AB38" s="2615">
        <v>2.8773525279899888</v>
      </c>
      <c r="AC38" s="2854"/>
      <c r="AD38" s="775"/>
      <c r="AE38" s="775"/>
      <c r="AF38" s="2615">
        <v>2.8692178121623453</v>
      </c>
      <c r="AG38" s="2854"/>
      <c r="AH38" s="775"/>
      <c r="AI38" s="775"/>
      <c r="AJ38" s="2615">
        <v>2.8860947205812613</v>
      </c>
      <c r="AK38" s="2854"/>
      <c r="AL38" s="774"/>
      <c r="AM38" s="774"/>
      <c r="AN38" s="775"/>
      <c r="AO38" s="775"/>
      <c r="AP38" s="2615">
        <v>2.8797129026138291</v>
      </c>
      <c r="AQ38" s="2854"/>
      <c r="AR38" s="775"/>
      <c r="AS38" s="775"/>
      <c r="AT38" s="2615">
        <v>2.8253254386833797</v>
      </c>
      <c r="AU38" s="2854"/>
      <c r="AV38" s="775"/>
      <c r="AW38" s="775"/>
      <c r="AX38" s="2615">
        <v>2.9030648144444897</v>
      </c>
      <c r="AY38" s="2854"/>
      <c r="AZ38" s="774"/>
      <c r="BA38" s="774"/>
      <c r="BB38" s="460">
        <f t="shared" si="64"/>
        <v>0</v>
      </c>
      <c r="BC38" s="460">
        <f t="shared" si="65"/>
        <v>0</v>
      </c>
      <c r="BD38" s="775"/>
      <c r="BE38" s="775"/>
      <c r="BF38" s="114"/>
    </row>
    <row r="39" spans="2:58" x14ac:dyDescent="0.3">
      <c r="B39" s="8" t="s">
        <v>109</v>
      </c>
      <c r="C39" s="2546" t="s">
        <v>326</v>
      </c>
      <c r="D39" s="2599">
        <f>D40*D$3*24</f>
        <v>2293.7134411891893</v>
      </c>
      <c r="E39" s="2646">
        <v>2050.9860430370882</v>
      </c>
      <c r="F39" s="2599">
        <f>F40*F$3*24</f>
        <v>3610.3083675255994</v>
      </c>
      <c r="G39" s="2646">
        <v>2091.9133019239598</v>
      </c>
      <c r="H39" s="2538">
        <f t="shared" si="45"/>
        <v>5904.0218087147887</v>
      </c>
      <c r="I39" s="38">
        <f t="shared" si="45"/>
        <v>4142.899344961048</v>
      </c>
      <c r="J39" s="2599">
        <f>J40*J$3*24</f>
        <v>3476.4094343023658</v>
      </c>
      <c r="K39" s="2646">
        <v>1902.3456359625527</v>
      </c>
      <c r="L39" s="774">
        <f t="shared" si="46"/>
        <v>9380.431243017154</v>
      </c>
      <c r="M39" s="774">
        <f t="shared" si="47"/>
        <v>6045.2449809236005</v>
      </c>
      <c r="N39" s="2599">
        <f>N40*N$3*24</f>
        <v>3607.5390655644942</v>
      </c>
      <c r="O39" s="2646">
        <v>1634.8711733840794</v>
      </c>
      <c r="P39" s="775">
        <f t="shared" si="48"/>
        <v>12987.970308581647</v>
      </c>
      <c r="Q39" s="775">
        <f t="shared" si="49"/>
        <v>7680.1161543076796</v>
      </c>
      <c r="R39" s="2599">
        <f>R40*R$3*24</f>
        <v>3607.5390655644942</v>
      </c>
      <c r="S39" s="2646">
        <v>1910.3431970441127</v>
      </c>
      <c r="T39" s="775">
        <f t="shared" ref="T39" si="212">+P39+R39</f>
        <v>16595.509374146142</v>
      </c>
      <c r="U39" s="775">
        <f t="shared" ref="U39" si="213">+Q39+S39</f>
        <v>9590.4593513517921</v>
      </c>
      <c r="V39" s="2599">
        <f>V40*V$3*24</f>
        <v>2373.4206955038726</v>
      </c>
      <c r="W39" s="2646">
        <v>1550.07</v>
      </c>
      <c r="X39" s="774">
        <f t="shared" si="70"/>
        <v>9588.4988266328619</v>
      </c>
      <c r="Y39" s="774">
        <f t="shared" si="71"/>
        <v>5095.2843704281922</v>
      </c>
      <c r="Z39" s="460">
        <f t="shared" si="52"/>
        <v>18968.930069650014</v>
      </c>
      <c r="AA39" s="460">
        <f t="shared" si="53"/>
        <v>11140.529351351794</v>
      </c>
      <c r="AB39" s="2599">
        <f>AB40*AB$3*24</f>
        <v>3703.35552135936</v>
      </c>
      <c r="AC39" s="2646">
        <v>919.54</v>
      </c>
      <c r="AD39" s="775">
        <f t="shared" ref="AD39" si="214">+Z39+AB39</f>
        <v>22672.285591009375</v>
      </c>
      <c r="AE39" s="775">
        <f t="shared" ref="AE39" si="215">+AA39+AC39</f>
        <v>12060.069351351794</v>
      </c>
      <c r="AF39" s="2599">
        <f>AF40*AF$3*24</f>
        <v>3558.6456403371121</v>
      </c>
      <c r="AG39" s="2646">
        <v>1573.92</v>
      </c>
      <c r="AH39" s="775">
        <f t="shared" ref="AH39" si="216">+AD39+AF39</f>
        <v>26230.931231346487</v>
      </c>
      <c r="AI39" s="775">
        <f t="shared" ref="AI39" si="217">+AE39+AG39</f>
        <v>13633.989351351795</v>
      </c>
      <c r="AJ39" s="2599">
        <f>AJ40*AJ$3*24</f>
        <v>3662.1292746319841</v>
      </c>
      <c r="AK39" s="2646">
        <v>1358.6805916788826</v>
      </c>
      <c r="AL39" s="774">
        <f t="shared" ref="AL39" si="218">+AJ39+AF39+AB39</f>
        <v>10924.130436328456</v>
      </c>
      <c r="AM39" s="774">
        <f t="shared" ref="AM39" si="219">+AK39+AG39+AC39</f>
        <v>3852.1405916788826</v>
      </c>
      <c r="AN39" s="775">
        <f t="shared" ref="AN39" si="220">+AH39+AJ39</f>
        <v>29893.060505978472</v>
      </c>
      <c r="AO39" s="775">
        <f t="shared" ref="AO39" si="221">+AI39+AK39</f>
        <v>14992.669943030676</v>
      </c>
      <c r="AP39" s="2599">
        <f>AP40*AP$3*24</f>
        <v>3654.031466116815</v>
      </c>
      <c r="AQ39" s="2646">
        <v>1184.4100000000001</v>
      </c>
      <c r="AR39" s="775">
        <f t="shared" ref="AR39" si="222">+AN39+AP39</f>
        <v>33547.091972095288</v>
      </c>
      <c r="AS39" s="775">
        <f t="shared" ref="AS39" si="223">+AO39+AQ39</f>
        <v>16177.079943030676</v>
      </c>
      <c r="AT39" s="2599">
        <f>AT40*AT$3*24</f>
        <v>3369.7952636032692</v>
      </c>
      <c r="AU39" s="2646">
        <v>1508.52</v>
      </c>
      <c r="AV39" s="775">
        <f t="shared" ref="AV39" si="224">+AR39+AT39</f>
        <v>36916.887235698559</v>
      </c>
      <c r="AW39" s="775">
        <f t="shared" ref="AW39" si="225">+AS39+AU39</f>
        <v>17685.599943030677</v>
      </c>
      <c r="AX39" s="2599">
        <f>AX40*AX$3*24</f>
        <v>3643.0378202644861</v>
      </c>
      <c r="AY39" s="2646">
        <v>2027.47</v>
      </c>
      <c r="AZ39" s="774">
        <f t="shared" ref="AZ39" si="226">+AX39+AT39+AP39</f>
        <v>10666.86454998457</v>
      </c>
      <c r="BA39" s="774">
        <f t="shared" ref="BA39" si="227">+AY39+AU39+AQ39</f>
        <v>4720.3999999999996</v>
      </c>
      <c r="BB39" s="460">
        <f t="shared" si="64"/>
        <v>21590.994986313024</v>
      </c>
      <c r="BC39" s="460">
        <f t="shared" si="65"/>
        <v>8572.5405916788823</v>
      </c>
      <c r="BD39" s="775">
        <f t="shared" ref="BD39" si="228">+AV39+AX39</f>
        <v>40559.925055963045</v>
      </c>
      <c r="BE39" s="775">
        <f t="shared" ref="BE39" si="229">+AW39+AY39</f>
        <v>19713.069943030678</v>
      </c>
      <c r="BF39" s="114"/>
    </row>
    <row r="40" spans="2:58" ht="15" hidden="1" customHeight="1" x14ac:dyDescent="0.3">
      <c r="B40" s="8"/>
      <c r="C40" s="2546"/>
      <c r="D40" s="2615">
        <v>3.1857131127627629</v>
      </c>
      <c r="E40" s="2854"/>
      <c r="F40" s="2615">
        <v>4.852565010115053</v>
      </c>
      <c r="G40" s="2854"/>
      <c r="H40" s="2538"/>
      <c r="I40" s="38"/>
      <c r="J40" s="2615">
        <v>4.8283464365310635</v>
      </c>
      <c r="K40" s="2854"/>
      <c r="L40" s="774"/>
      <c r="M40" s="774"/>
      <c r="N40" s="2615">
        <v>4.8488428300598034</v>
      </c>
      <c r="O40" s="2854"/>
      <c r="P40" s="775"/>
      <c r="Q40" s="775"/>
      <c r="R40" s="2615">
        <v>4.8488428300598034</v>
      </c>
      <c r="S40" s="2854"/>
      <c r="T40" s="775"/>
      <c r="U40" s="775"/>
      <c r="V40" s="2615">
        <v>3.296417632644268</v>
      </c>
      <c r="W40" s="2854"/>
      <c r="X40" s="774"/>
      <c r="Y40" s="774"/>
      <c r="Z40" s="460"/>
      <c r="AA40" s="460"/>
      <c r="AB40" s="2615">
        <v>4.9776283889238711</v>
      </c>
      <c r="AC40" s="2854"/>
      <c r="AD40" s="775"/>
      <c r="AE40" s="775"/>
      <c r="AF40" s="2615">
        <v>4.9425633893571002</v>
      </c>
      <c r="AG40" s="2854"/>
      <c r="AH40" s="775"/>
      <c r="AI40" s="775"/>
      <c r="AJ40" s="2615">
        <v>4.9222167669784733</v>
      </c>
      <c r="AK40" s="2854"/>
      <c r="AL40" s="774"/>
      <c r="AM40" s="774"/>
      <c r="AN40" s="775"/>
      <c r="AO40" s="775"/>
      <c r="AP40" s="2615">
        <v>4.9113326157484076</v>
      </c>
      <c r="AQ40" s="2854"/>
      <c r="AR40" s="775"/>
      <c r="AS40" s="775"/>
      <c r="AT40" s="2615">
        <v>5.014576285123912</v>
      </c>
      <c r="AU40" s="2854"/>
      <c r="AV40" s="775"/>
      <c r="AW40" s="775"/>
      <c r="AX40" s="2615">
        <v>4.8965562100329114</v>
      </c>
      <c r="AY40" s="2854"/>
      <c r="AZ40" s="774"/>
      <c r="BA40" s="774"/>
      <c r="BB40" s="460">
        <f t="shared" si="64"/>
        <v>0</v>
      </c>
      <c r="BC40" s="460">
        <f t="shared" si="65"/>
        <v>0</v>
      </c>
      <c r="BD40" s="775"/>
      <c r="BE40" s="775"/>
      <c r="BF40" s="114"/>
    </row>
    <row r="41" spans="2:58" x14ac:dyDescent="0.3">
      <c r="B41" s="8" t="s">
        <v>82</v>
      </c>
      <c r="C41" s="2546" t="s">
        <v>326</v>
      </c>
      <c r="D41" s="2599">
        <f>D42*D$3*24</f>
        <v>8091.5080748940563</v>
      </c>
      <c r="E41" s="2646">
        <v>6688.0859337612847</v>
      </c>
      <c r="F41" s="2599">
        <f>F42*F$3*24</f>
        <v>8345.6234277820495</v>
      </c>
      <c r="G41" s="2646">
        <v>7559.6794935174457</v>
      </c>
      <c r="H41" s="2538">
        <f t="shared" si="45"/>
        <v>16437.131502676108</v>
      </c>
      <c r="I41" s="38">
        <f t="shared" si="45"/>
        <v>14247.765427278729</v>
      </c>
      <c r="J41" s="2599">
        <f>J42*J$3*24</f>
        <v>8109.7939591241648</v>
      </c>
      <c r="K41" s="2646">
        <v>7701.5</v>
      </c>
      <c r="L41" s="774">
        <f t="shared" si="46"/>
        <v>24546.925461800274</v>
      </c>
      <c r="M41" s="774">
        <f t="shared" si="47"/>
        <v>21949.265427278729</v>
      </c>
      <c r="N41" s="2599">
        <f>N42*N$3*24</f>
        <v>8205.087216457161</v>
      </c>
      <c r="O41" s="2646">
        <v>8067.8305913891072</v>
      </c>
      <c r="P41" s="775">
        <f t="shared" si="48"/>
        <v>32752.012678257437</v>
      </c>
      <c r="Q41" s="775">
        <f t="shared" si="49"/>
        <v>30017.096018667835</v>
      </c>
      <c r="R41" s="2599">
        <f>R42*R$3*24</f>
        <v>8205.087216457161</v>
      </c>
      <c r="S41" s="2646">
        <v>7482.4085327874436</v>
      </c>
      <c r="T41" s="775">
        <f t="shared" ref="T41" si="230">+P41+R41</f>
        <v>40957.0998947146</v>
      </c>
      <c r="U41" s="775">
        <f t="shared" ref="U41" si="231">+Q41+S41</f>
        <v>37499.504551455277</v>
      </c>
      <c r="V41" s="2599">
        <f>V42*V$3*24</f>
        <v>4351.3937358507546</v>
      </c>
      <c r="W41" s="2646">
        <v>7557.59</v>
      </c>
      <c r="X41" s="774">
        <f t="shared" si="70"/>
        <v>20761.568168765079</v>
      </c>
      <c r="Y41" s="774">
        <f t="shared" si="71"/>
        <v>23107.829124176551</v>
      </c>
      <c r="Z41" s="460">
        <f t="shared" si="52"/>
        <v>45308.493630565354</v>
      </c>
      <c r="AA41" s="460">
        <f t="shared" si="53"/>
        <v>45057.09455145528</v>
      </c>
      <c r="AB41" s="2599">
        <f>AB42*AB$3*24</f>
        <v>8345.6234277820495</v>
      </c>
      <c r="AC41" s="2646">
        <v>6184.99</v>
      </c>
      <c r="AD41" s="775">
        <f t="shared" ref="AD41" si="232">+Z41+AB41</f>
        <v>53654.117058347401</v>
      </c>
      <c r="AE41" s="775">
        <f t="shared" ref="AE41" si="233">+AA41+AC41</f>
        <v>51242.084551455278</v>
      </c>
      <c r="AF41" s="2599">
        <f>AF42*AF$3*24</f>
        <v>8091.5080748940563</v>
      </c>
      <c r="AG41" s="2646">
        <v>6738.75</v>
      </c>
      <c r="AH41" s="775">
        <f t="shared" ref="AH41" si="234">+AD41+AF41</f>
        <v>61745.625133241454</v>
      </c>
      <c r="AI41" s="775">
        <f t="shared" ref="AI41" si="235">+AE41+AG41</f>
        <v>57980.834551455278</v>
      </c>
      <c r="AJ41" s="2599">
        <f>AJ42*AJ$3*24</f>
        <v>8345.6234277820495</v>
      </c>
      <c r="AK41" s="2646">
        <v>6418.0534321389423</v>
      </c>
      <c r="AL41" s="774">
        <f t="shared" ref="AL41" si="236">+AJ41+AF41+AB41</f>
        <v>24782.754930458155</v>
      </c>
      <c r="AM41" s="774">
        <f t="shared" ref="AM41" si="237">+AK41+AG41+AC41</f>
        <v>19341.79343213894</v>
      </c>
      <c r="AN41" s="775">
        <f t="shared" ref="AN41" si="238">+AH41+AJ41</f>
        <v>70091.248561023502</v>
      </c>
      <c r="AO41" s="775">
        <f t="shared" ref="AO41" si="239">+AI41+AK41</f>
        <v>64398.887983594221</v>
      </c>
      <c r="AP41" s="2599">
        <f>AP42*AP$3*24</f>
        <v>8454.3952199959422</v>
      </c>
      <c r="AQ41" s="2646">
        <v>7151.15</v>
      </c>
      <c r="AR41" s="775">
        <f t="shared" ref="AR41" si="240">+AN41+AP41</f>
        <v>78545.643781019447</v>
      </c>
      <c r="AS41" s="775">
        <f t="shared" ref="AS41" si="241">+AO41+AQ41</f>
        <v>71550.037983594215</v>
      </c>
      <c r="AT41" s="2599">
        <f>AT42*AT$3*24</f>
        <v>7564.9914848879571</v>
      </c>
      <c r="AU41" s="2646">
        <v>6408.73</v>
      </c>
      <c r="AV41" s="775">
        <f t="shared" ref="AV41" si="242">+AR41+AT41</f>
        <v>86110.635265907404</v>
      </c>
      <c r="AW41" s="775">
        <f t="shared" ref="AW41" si="243">+AS41+AU41</f>
        <v>77958.767983594211</v>
      </c>
      <c r="AX41" s="2599">
        <f>AX42*AX$3*24</f>
        <v>8454.3952199959422</v>
      </c>
      <c r="AY41" s="2646">
        <v>7097.34</v>
      </c>
      <c r="AZ41" s="774">
        <f t="shared" ref="AZ41" si="244">+AX41+AT41+AP41</f>
        <v>24473.781924879841</v>
      </c>
      <c r="BA41" s="774">
        <f t="shared" ref="BA41" si="245">+AY41+AU41+AQ41</f>
        <v>20657.22</v>
      </c>
      <c r="BB41" s="460">
        <f t="shared" si="64"/>
        <v>49256.536855337996</v>
      </c>
      <c r="BC41" s="460">
        <f t="shared" si="65"/>
        <v>39999.013432138941</v>
      </c>
      <c r="BD41" s="775">
        <f t="shared" ref="BD41" si="246">+AV41+AX41</f>
        <v>94565.030485903349</v>
      </c>
      <c r="BE41" s="775">
        <f t="shared" ref="BE41" si="247">+AW41+AY41</f>
        <v>85056.107983594207</v>
      </c>
      <c r="BF41" s="114"/>
    </row>
    <row r="42" spans="2:58" ht="15" hidden="1" customHeight="1" x14ac:dyDescent="0.3">
      <c r="B42" s="8"/>
      <c r="C42" s="2546"/>
      <c r="D42" s="2615">
        <v>11.238205659575078</v>
      </c>
      <c r="E42" s="2854"/>
      <c r="F42" s="2615">
        <v>11.217235790029637</v>
      </c>
      <c r="G42" s="2854"/>
      <c r="H42" s="2538"/>
      <c r="I42" s="38"/>
      <c r="J42" s="2615">
        <v>11.263602721005784</v>
      </c>
      <c r="K42" s="2854"/>
      <c r="L42" s="774"/>
      <c r="M42" s="774"/>
      <c r="N42" s="2615">
        <v>11.028343032872529</v>
      </c>
      <c r="O42" s="2854"/>
      <c r="P42" s="775"/>
      <c r="Q42" s="775"/>
      <c r="R42" s="2615">
        <v>11.028343032872529</v>
      </c>
      <c r="S42" s="2854"/>
      <c r="T42" s="775"/>
      <c r="U42" s="775"/>
      <c r="V42" s="2615">
        <v>6.0436024109038264</v>
      </c>
      <c r="W42" s="2854"/>
      <c r="X42" s="774"/>
      <c r="Y42" s="774"/>
      <c r="Z42" s="460"/>
      <c r="AA42" s="460"/>
      <c r="AB42" s="2615">
        <v>11.217235790029637</v>
      </c>
      <c r="AC42" s="2854"/>
      <c r="AD42" s="775"/>
      <c r="AE42" s="775"/>
      <c r="AF42" s="2615">
        <v>11.238205659575078</v>
      </c>
      <c r="AG42" s="2854"/>
      <c r="AH42" s="775"/>
      <c r="AI42" s="775"/>
      <c r="AJ42" s="2615">
        <v>11.217235790029637</v>
      </c>
      <c r="AK42" s="2854"/>
      <c r="AL42" s="774"/>
      <c r="AM42" s="774"/>
      <c r="AN42" s="775"/>
      <c r="AO42" s="775"/>
      <c r="AP42" s="2615">
        <v>11.363434435478418</v>
      </c>
      <c r="AQ42" s="2854"/>
      <c r="AR42" s="775"/>
      <c r="AS42" s="775"/>
      <c r="AT42" s="2615">
        <v>11.257427804892794</v>
      </c>
      <c r="AU42" s="2854"/>
      <c r="AV42" s="775"/>
      <c r="AW42" s="775"/>
      <c r="AX42" s="2615">
        <v>11.363434435478418</v>
      </c>
      <c r="AY42" s="2854"/>
      <c r="AZ42" s="774"/>
      <c r="BA42" s="774"/>
      <c r="BB42" s="460">
        <f t="shared" si="64"/>
        <v>0</v>
      </c>
      <c r="BC42" s="460">
        <f t="shared" si="65"/>
        <v>0</v>
      </c>
      <c r="BD42" s="775"/>
      <c r="BE42" s="775"/>
      <c r="BF42" s="114"/>
    </row>
    <row r="43" spans="2:58" x14ac:dyDescent="0.3">
      <c r="B43" s="8" t="s">
        <v>60</v>
      </c>
      <c r="C43" s="2546" t="s">
        <v>326</v>
      </c>
      <c r="D43" s="2599">
        <f>D44*D$3*24</f>
        <v>1232.6908425284214</v>
      </c>
      <c r="E43" s="2646">
        <v>948.31999999999994</v>
      </c>
      <c r="F43" s="2599">
        <f>F44*F$3*24</f>
        <v>1269.7200061214151</v>
      </c>
      <c r="G43" s="2646">
        <v>1077.1399999999994</v>
      </c>
      <c r="H43" s="2538">
        <f t="shared" si="45"/>
        <v>2502.4108486498362</v>
      </c>
      <c r="I43" s="38">
        <f t="shared" si="45"/>
        <v>2025.4599999999994</v>
      </c>
      <c r="J43" s="2599">
        <f>J44*J$3*24</f>
        <v>1232.6908425284214</v>
      </c>
      <c r="K43" s="2646">
        <v>1055.6500000000005</v>
      </c>
      <c r="L43" s="774">
        <f t="shared" si="46"/>
        <v>3735.1016911782576</v>
      </c>
      <c r="M43" s="774">
        <f t="shared" si="47"/>
        <v>3081.1099999999997</v>
      </c>
      <c r="N43" s="2599">
        <f>N44*N$3*24</f>
        <v>1246.5767788757939</v>
      </c>
      <c r="O43" s="2646">
        <v>1085.1300000000003</v>
      </c>
      <c r="P43" s="775">
        <f t="shared" si="48"/>
        <v>4981.678470054052</v>
      </c>
      <c r="Q43" s="775">
        <f t="shared" si="49"/>
        <v>4166.24</v>
      </c>
      <c r="R43" s="2599">
        <f>R44*R$3*24</f>
        <v>1246.5767788757939</v>
      </c>
      <c r="S43" s="2646">
        <v>1047.3599999999999</v>
      </c>
      <c r="T43" s="775">
        <f t="shared" ref="T43" si="248">+P43+R43</f>
        <v>6228.2552489298459</v>
      </c>
      <c r="U43" s="775">
        <f t="shared" ref="U43" si="249">+Q43+S43</f>
        <v>5213.5999999999995</v>
      </c>
      <c r="V43" s="2599">
        <f>V44*V$3*24</f>
        <v>687.77367648686129</v>
      </c>
      <c r="W43" s="2646">
        <v>1043.2</v>
      </c>
      <c r="X43" s="774">
        <f t="shared" si="70"/>
        <v>3180.9272342384493</v>
      </c>
      <c r="Y43" s="774">
        <f t="shared" si="71"/>
        <v>3175.6900000000005</v>
      </c>
      <c r="Z43" s="460">
        <f t="shared" si="52"/>
        <v>6916.0289254167074</v>
      </c>
      <c r="AA43" s="460">
        <f t="shared" si="53"/>
        <v>6256.8</v>
      </c>
      <c r="AB43" s="2599">
        <f>AB44*AB$3*24</f>
        <v>1269.7200061214151</v>
      </c>
      <c r="AC43" s="2646">
        <v>882.3</v>
      </c>
      <c r="AD43" s="775">
        <f t="shared" ref="AD43" si="250">+Z43+AB43</f>
        <v>8185.7489315381226</v>
      </c>
      <c r="AE43" s="775">
        <f t="shared" ref="AE43" si="251">+AA43+AC43</f>
        <v>7139.1</v>
      </c>
      <c r="AF43" s="2599">
        <f>AF44*AF$3*24</f>
        <v>1245.945280398244</v>
      </c>
      <c r="AG43" s="2646">
        <v>1009.4</v>
      </c>
      <c r="AH43" s="775">
        <f t="shared" ref="AH43" si="252">+AD43+AF43</f>
        <v>9431.6942119363666</v>
      </c>
      <c r="AI43" s="775">
        <f t="shared" ref="AI43" si="253">+AE43+AG43</f>
        <v>8148.5</v>
      </c>
      <c r="AJ43" s="2599">
        <f>AJ44*AJ$3*24</f>
        <v>1282.9744439912374</v>
      </c>
      <c r="AK43" s="2646">
        <v>1067.1600000000001</v>
      </c>
      <c r="AL43" s="774">
        <f t="shared" ref="AL43" si="254">+AJ43+AF43+AB43</f>
        <v>3798.6397305108967</v>
      </c>
      <c r="AM43" s="774">
        <f t="shared" ref="AM43" si="255">+AK43+AG43+AC43</f>
        <v>2958.8599999999997</v>
      </c>
      <c r="AN43" s="775">
        <f t="shared" ref="AN43" si="256">+AH43+AJ43</f>
        <v>10714.668655927604</v>
      </c>
      <c r="AO43" s="775">
        <f t="shared" ref="AO43" si="257">+AI43+AK43</f>
        <v>9215.66</v>
      </c>
      <c r="AP43" s="2599">
        <f>AP44*AP$3*24</f>
        <v>1288.2345879179118</v>
      </c>
      <c r="AQ43" s="2646">
        <v>1072.1300000000001</v>
      </c>
      <c r="AR43" s="775">
        <f t="shared" ref="AR43" si="258">+AN43+AP43</f>
        <v>12002.903243845516</v>
      </c>
      <c r="AS43" s="775">
        <f t="shared" ref="AS43" si="259">+AO43+AQ43</f>
        <v>10287.790000000001</v>
      </c>
      <c r="AT43" s="2599">
        <f>AT44*AT$3*24</f>
        <v>1158.6325153424336</v>
      </c>
      <c r="AU43" s="2646">
        <v>950.14</v>
      </c>
      <c r="AV43" s="775">
        <f t="shared" ref="AV43" si="260">+AR43+AT43</f>
        <v>13161.535759187949</v>
      </c>
      <c r="AW43" s="775">
        <f t="shared" ref="AW43" si="261">+AS43+AU43</f>
        <v>11237.93</v>
      </c>
      <c r="AX43" s="2599">
        <f>AX44*AX$3*24</f>
        <v>1288.2345879179118</v>
      </c>
      <c r="AY43" s="2646">
        <v>1039.5999999999999</v>
      </c>
      <c r="AZ43" s="774">
        <f t="shared" ref="AZ43" si="262">+AX43+AT43+AP43</f>
        <v>3735.1016911782572</v>
      </c>
      <c r="BA43" s="774">
        <f t="shared" ref="BA43" si="263">+AY43+AU43+AQ43</f>
        <v>3061.87</v>
      </c>
      <c r="BB43" s="460">
        <f t="shared" si="64"/>
        <v>7533.7414216891539</v>
      </c>
      <c r="BC43" s="460">
        <f t="shared" si="65"/>
        <v>6020.73</v>
      </c>
      <c r="BD43" s="775">
        <f t="shared" ref="BD43" si="264">+AV43+AX43</f>
        <v>14449.770347105861</v>
      </c>
      <c r="BE43" s="775">
        <f t="shared" ref="BE43" si="265">+AW43+AY43</f>
        <v>12277.53</v>
      </c>
      <c r="BF43" s="114"/>
    </row>
    <row r="44" spans="2:58" ht="15" hidden="1" customHeight="1" x14ac:dyDescent="0.3">
      <c r="B44" s="8"/>
      <c r="C44" s="2546"/>
      <c r="D44" s="2615">
        <v>1.7120706146228075</v>
      </c>
      <c r="E44" s="2854"/>
      <c r="F44" s="2615">
        <v>1.7066129114535147</v>
      </c>
      <c r="G44" s="2854"/>
      <c r="H44" s="2538"/>
      <c r="I44" s="38"/>
      <c r="J44" s="2615">
        <v>1.7120706146228075</v>
      </c>
      <c r="K44" s="2854"/>
      <c r="L44" s="774"/>
      <c r="M44" s="774"/>
      <c r="N44" s="2615">
        <v>1.6755064232201531</v>
      </c>
      <c r="O44" s="2854"/>
      <c r="P44" s="775"/>
      <c r="Q44" s="775"/>
      <c r="R44" s="2615">
        <v>1.6755064232201531</v>
      </c>
      <c r="S44" s="2854"/>
      <c r="T44" s="775"/>
      <c r="U44" s="775"/>
      <c r="V44" s="2615">
        <v>0.95524121734286294</v>
      </c>
      <c r="W44" s="2854"/>
      <c r="X44" s="774"/>
      <c r="Y44" s="774"/>
      <c r="Z44" s="460"/>
      <c r="AA44" s="460"/>
      <c r="AB44" s="2615">
        <v>1.7066129114535147</v>
      </c>
      <c r="AC44" s="2854"/>
      <c r="AD44" s="775"/>
      <c r="AE44" s="775"/>
      <c r="AF44" s="2615">
        <v>1.7304795561086721</v>
      </c>
      <c r="AG44" s="2854"/>
      <c r="AH44" s="775"/>
      <c r="AI44" s="775"/>
      <c r="AJ44" s="2615">
        <v>1.7244280161172545</v>
      </c>
      <c r="AK44" s="2854"/>
      <c r="AL44" s="774"/>
      <c r="AM44" s="774"/>
      <c r="AN44" s="775"/>
      <c r="AO44" s="775"/>
      <c r="AP44" s="2615">
        <v>1.731498102040204</v>
      </c>
      <c r="AQ44" s="2854"/>
      <c r="AR44" s="775"/>
      <c r="AS44" s="775"/>
      <c r="AT44" s="2615">
        <v>1.7241555287833832</v>
      </c>
      <c r="AU44" s="2854"/>
      <c r="AV44" s="775"/>
      <c r="AW44" s="775"/>
      <c r="AX44" s="2615">
        <v>1.731498102040204</v>
      </c>
      <c r="AY44" s="2854"/>
      <c r="AZ44" s="774"/>
      <c r="BA44" s="774"/>
      <c r="BB44" s="460"/>
      <c r="BC44" s="460"/>
      <c r="BD44" s="775"/>
      <c r="BE44" s="775"/>
      <c r="BF44" s="114"/>
    </row>
    <row r="45" spans="2:58" ht="16.2" thickBot="1" x14ac:dyDescent="0.35">
      <c r="B45" s="2240" t="s">
        <v>61</v>
      </c>
      <c r="C45" s="2764" t="s">
        <v>326</v>
      </c>
      <c r="D45" s="2242">
        <f>D21+D23+D25+D27+D29+D31+D33+D35+D37+D39+D41+D43</f>
        <v>46584.564599999998</v>
      </c>
      <c r="E45" s="2242">
        <f t="shared" ref="E45:I45" si="266">E21+E23+E25+E27+E29+E31+E33+E35+E37+E39+E41+E43</f>
        <v>46255.732008240353</v>
      </c>
      <c r="F45" s="2242">
        <f>F21+F23+F25+F27+F29+F31+F33+F35+F37+F39+F41+F43</f>
        <v>48137.383419999998</v>
      </c>
      <c r="G45" s="2242">
        <f t="shared" ref="G45" si="267">G21+G23+G25+G27+G29+G31+G33+G35+G37+G39+G41+G43</f>
        <v>48065.089036166159</v>
      </c>
      <c r="H45" s="2227">
        <f t="shared" si="266"/>
        <v>94721.948020000011</v>
      </c>
      <c r="I45" s="1907">
        <f t="shared" si="266"/>
        <v>94320.821044406504</v>
      </c>
      <c r="J45" s="2242">
        <f>J21+J23+J25+J27+J29+J31+J33+J35+J37+J39+J41+J43</f>
        <v>45957.521400000005</v>
      </c>
      <c r="K45" s="2242">
        <f t="shared" ref="K45" si="268">K21+K23+K25+K27+K29+K31+K33+K35+K37+K39+K41+K43</f>
        <v>46065.54</v>
      </c>
      <c r="L45" s="793">
        <f t="shared" ref="L45:Q45" si="269">SUM(L21:L43)</f>
        <v>140679.46942000001</v>
      </c>
      <c r="M45" s="793">
        <f t="shared" si="269"/>
        <v>140386.36104440645</v>
      </c>
      <c r="N45" s="2242">
        <f>N21+N23+N25+N27+N29+N31+N33+N35+N37+N39+N41+N43</f>
        <v>47489.438780000004</v>
      </c>
      <c r="O45" s="2242">
        <f t="shared" ref="O45" si="270">O21+O23+O25+O27+O29+O31+O33+O35+O37+O39+O41+O43</f>
        <v>47490.200591389112</v>
      </c>
      <c r="P45" s="251">
        <f t="shared" si="269"/>
        <v>188168.90820000006</v>
      </c>
      <c r="Q45" s="251">
        <f t="shared" si="269"/>
        <v>187876.56163579557</v>
      </c>
      <c r="R45" s="2242">
        <f>R21+R23+R25+R27+R29+R31+R33+R35+R37+R39+R41+R43</f>
        <v>47489.438780000004</v>
      </c>
      <c r="S45" s="2242">
        <f t="shared" ref="S45" si="271">S21+S23+S25+S27+S29+S31+S33+S35+S37+S39+S41+S43</f>
        <v>46993.2604011605</v>
      </c>
      <c r="T45" s="251">
        <f t="shared" ref="T45:U45" si="272">SUM(T21:T43)</f>
        <v>235658.34698</v>
      </c>
      <c r="U45" s="251">
        <f t="shared" si="272"/>
        <v>234869.82203695612</v>
      </c>
      <c r="V45" s="2242">
        <f>V21+V23+V25+V27+V29+V31+V33+V35+V37+V39+V41+V43</f>
        <v>44226.012330000005</v>
      </c>
      <c r="W45" s="2242">
        <f t="shared" ref="W45" si="273">W21+W23+W25+W27+W29+W31+W33+W35+W37+W39+W41+W43</f>
        <v>46018.770000000004</v>
      </c>
      <c r="X45" s="793">
        <f t="shared" ref="X45:AA45" si="274">SUM(X21:X43)</f>
        <v>139204.88989000002</v>
      </c>
      <c r="Y45" s="793">
        <f t="shared" si="274"/>
        <v>140502.23099254962</v>
      </c>
      <c r="Z45" s="517">
        <f t="shared" si="274"/>
        <v>279884.35931000003</v>
      </c>
      <c r="AA45" s="517">
        <f t="shared" si="274"/>
        <v>280888.59203695605</v>
      </c>
      <c r="AB45" s="2242">
        <f>AB21+AB23+AB25+AB27+AB29+AB31+AB33+AB35+AB37+AB39+AB41+AB43</f>
        <v>47489.438779999997</v>
      </c>
      <c r="AC45" s="2242">
        <f t="shared" ref="AC45" si="275">AC21+AC23+AC25+AC27+AC29+AC31+AC33+AC35+AC37+AC39+AC41+AC43</f>
        <v>45429.26</v>
      </c>
      <c r="AD45" s="251">
        <f t="shared" ref="AD45:AE45" si="276">SUM(AD21:AD43)</f>
        <v>327373.79809000005</v>
      </c>
      <c r="AE45" s="251">
        <f t="shared" si="276"/>
        <v>326317.85203695612</v>
      </c>
      <c r="AF45" s="2242">
        <f>AF21+AF23+AF25+AF27+AF29+AF31+AF33+AF35+AF37+AF39+AF41+AF43</f>
        <v>45957.521399999998</v>
      </c>
      <c r="AG45" s="2242">
        <f t="shared" ref="AG45" si="277">AG21+AG23+AG25+AG27+AG29+AG31+AG33+AG35+AG37+AG39+AG41+AG43</f>
        <v>45485.84</v>
      </c>
      <c r="AH45" s="251">
        <f t="shared" ref="AH45:AI45" si="278">SUM(AH21:AH43)</f>
        <v>373331.31949000008</v>
      </c>
      <c r="AI45" s="251">
        <f t="shared" si="278"/>
        <v>371803.69203695602</v>
      </c>
      <c r="AJ45" s="2242">
        <f>AJ21+AJ23+AJ25+AJ27+AJ29+AJ31+AJ33+AJ35+AJ37+AJ39+AJ41+AJ43</f>
        <v>47489.438779999997</v>
      </c>
      <c r="AK45" s="2242">
        <f t="shared" ref="AK45" si="279">AK21+AK23+AK25+AK27+AK29+AK31+AK33+AK35+AK37+AK39+AK41+AK43</f>
        <v>46208.34443213894</v>
      </c>
      <c r="AL45" s="793">
        <f t="shared" ref="AL45:AM45" si="280">SUM(AL21:AL43)</f>
        <v>140936.39895999996</v>
      </c>
      <c r="AM45" s="793">
        <f t="shared" si="280"/>
        <v>137123.44443213893</v>
      </c>
      <c r="AN45" s="251">
        <f t="shared" ref="AN45:AO45" si="281">SUM(AN21:AN43)</f>
        <v>420820.75826999999</v>
      </c>
      <c r="AO45" s="251">
        <f t="shared" si="281"/>
        <v>418012.0364690951</v>
      </c>
      <c r="AP45" s="2242">
        <f>AP21+AP23+AP25+AP27+AP29+AP31+AP33+AP35+AP37+AP39+AP41+AP43</f>
        <v>47489.438780000004</v>
      </c>
      <c r="AQ45" s="2242">
        <f t="shared" ref="AQ45" si="282">AQ21+AQ23+AQ25+AQ27+AQ29+AQ31+AQ33+AQ35+AQ37+AQ39+AQ41+AQ43</f>
        <v>44158.240000000005</v>
      </c>
      <c r="AR45" s="251">
        <f t="shared" ref="AR45:AS45" si="283">SUM(AR21:AR43)</f>
        <v>468310.19705000002</v>
      </c>
      <c r="AS45" s="251">
        <f t="shared" si="283"/>
        <v>462170.27646909503</v>
      </c>
      <c r="AT45" s="2242">
        <f>AT21+AT23+AT25+AT27+AT29+AT31+AT33+AT35+AT37+AT39+AT41+AT43</f>
        <v>42893.68664</v>
      </c>
      <c r="AU45" s="2242">
        <f t="shared" ref="AU45" si="284">AU21+AU23+AU25+AU27+AU29+AU31+AU33+AU35+AU37+AU39+AU41+AU43</f>
        <v>38902.82</v>
      </c>
      <c r="AV45" s="251">
        <f t="shared" ref="AV45:AW45" si="285">SUM(AV21:AV43)</f>
        <v>511203.88369000005</v>
      </c>
      <c r="AW45" s="251">
        <f t="shared" si="285"/>
        <v>501073.09646909498</v>
      </c>
      <c r="AX45" s="2242">
        <f>AX21+AX23+AX25+AX27+AX29+AX31+AX33+AX35+AX37+AX39+AX41+AX43</f>
        <v>47489.438780000004</v>
      </c>
      <c r="AY45" s="2242">
        <f t="shared" ref="AY45" si="286">AY21+AY23+AY25+AY27+AY29+AY31+AY33+AY35+AY37+AY39+AY41+AY43</f>
        <v>45303.96</v>
      </c>
      <c r="AZ45" s="793">
        <f t="shared" ref="AZ45:BC45" si="287">SUM(AZ21:AZ43)</f>
        <v>137872.56419999999</v>
      </c>
      <c r="BA45" s="793">
        <f t="shared" si="287"/>
        <v>128365.01999999997</v>
      </c>
      <c r="BB45" s="517">
        <f t="shared" si="287"/>
        <v>278808.96315999993</v>
      </c>
      <c r="BC45" s="517">
        <f t="shared" si="287"/>
        <v>265488.46443213895</v>
      </c>
      <c r="BD45" s="251">
        <f t="shared" ref="BD45:BE45" si="288">SUM(BD21:BD43)</f>
        <v>558693.3224699999</v>
      </c>
      <c r="BE45" s="251">
        <f t="shared" si="288"/>
        <v>546377.05646909506</v>
      </c>
      <c r="BF45" s="114"/>
    </row>
    <row r="46" spans="2:58" ht="20.399999999999999" x14ac:dyDescent="0.3">
      <c r="B46" s="2878" t="s">
        <v>127</v>
      </c>
      <c r="C46" s="2879"/>
      <c r="D46" s="2880"/>
      <c r="E46" s="2879"/>
      <c r="F46" s="2880"/>
      <c r="G46" s="2879"/>
      <c r="H46" s="2879"/>
      <c r="I46" s="2881"/>
      <c r="J46" s="2880"/>
      <c r="K46" s="2879"/>
      <c r="L46" s="1010"/>
      <c r="M46" s="1010"/>
      <c r="N46" s="2880"/>
      <c r="O46" s="2879"/>
      <c r="P46" s="1010"/>
      <c r="Q46" s="1010"/>
      <c r="R46" s="2880"/>
      <c r="S46" s="2879"/>
      <c r="T46" s="1010"/>
      <c r="U46" s="1010"/>
      <c r="V46" s="2880"/>
      <c r="W46" s="2879"/>
      <c r="X46" s="1010"/>
      <c r="Y46" s="1010"/>
      <c r="Z46" s="1010"/>
      <c r="AA46" s="1010"/>
      <c r="AB46" s="2880"/>
      <c r="AC46" s="2879"/>
      <c r="AD46" s="1010"/>
      <c r="AE46" s="1010"/>
      <c r="AF46" s="2880"/>
      <c r="AG46" s="2879"/>
      <c r="AH46" s="1010"/>
      <c r="AI46" s="1010"/>
      <c r="AJ46" s="2880"/>
      <c r="AK46" s="2879"/>
      <c r="AL46" s="1010"/>
      <c r="AM46" s="1010"/>
      <c r="AN46" s="1010"/>
      <c r="AO46" s="1010"/>
      <c r="AP46" s="2880"/>
      <c r="AQ46" s="2879"/>
      <c r="AR46" s="1010"/>
      <c r="AS46" s="1010"/>
      <c r="AT46" s="2880"/>
      <c r="AU46" s="2879"/>
      <c r="AV46" s="1010"/>
      <c r="AW46" s="1010"/>
      <c r="AX46" s="2880"/>
      <c r="AY46" s="2879"/>
      <c r="AZ46" s="1010"/>
      <c r="BA46" s="1010"/>
      <c r="BB46" s="1010"/>
      <c r="BC46" s="1010"/>
      <c r="BD46" s="1010"/>
      <c r="BE46" s="1010"/>
      <c r="BF46" s="114"/>
    </row>
    <row r="47" spans="2:58" x14ac:dyDescent="0.3">
      <c r="B47" s="2845" t="s">
        <v>330</v>
      </c>
      <c r="C47" s="2546" t="s">
        <v>329</v>
      </c>
      <c r="D47" s="2862">
        <v>880</v>
      </c>
      <c r="E47" s="2537">
        <v>919.02170003961578</v>
      </c>
      <c r="F47" s="2862">
        <v>880</v>
      </c>
      <c r="G47" s="2537">
        <v>916.02929177382873</v>
      </c>
      <c r="H47" s="2882">
        <v>880</v>
      </c>
      <c r="I47" s="38">
        <f>+((E47*E51*E3)+(G3*G51*G47))/(I51*I3)</f>
        <v>917.43082451472105</v>
      </c>
      <c r="J47" s="2862">
        <v>880</v>
      </c>
      <c r="K47" s="2537">
        <v>917.31854372983719</v>
      </c>
      <c r="L47" s="938">
        <v>880</v>
      </c>
      <c r="M47" s="774">
        <f>+((I47*I51*I3)+(K3*K51*K47))/(M51*M3)</f>
        <v>917.3917605650588</v>
      </c>
      <c r="N47" s="2862">
        <v>880</v>
      </c>
      <c r="O47" s="2537">
        <v>912.75170296611168</v>
      </c>
      <c r="P47" s="585">
        <v>880</v>
      </c>
      <c r="Q47" s="775">
        <f>+((M47*M51*M3)+(O3*O51*O47))/(Q51*Q3)</f>
        <v>916.15175616296085</v>
      </c>
      <c r="R47" s="2862">
        <v>880</v>
      </c>
      <c r="S47" s="2537">
        <v>916.48533097577422</v>
      </c>
      <c r="T47" s="585">
        <v>880</v>
      </c>
      <c r="U47" s="775">
        <f>+((Q47*Q51*Q3)+(S3*S51*S47))/(U51*U3)</f>
        <v>916.21993192198397</v>
      </c>
      <c r="V47" s="2862">
        <v>880</v>
      </c>
      <c r="W47" s="2537">
        <v>917.97</v>
      </c>
      <c r="X47" s="938">
        <v>880</v>
      </c>
      <c r="Y47" s="774">
        <f>+((O47*O51*O3)+(S47*S51*S3)+(W3*W51*W47))/(Y51*Y3)</f>
        <v>915.68271803992684</v>
      </c>
      <c r="Z47" s="460">
        <v>880</v>
      </c>
      <c r="AA47" s="460">
        <f>+((M47*M51*M3)+(Y3*Y51*Y47))/(AA51*AA3)</f>
        <v>916.51251334403958</v>
      </c>
      <c r="AB47" s="2862">
        <v>880</v>
      </c>
      <c r="AC47" s="2537">
        <v>918.08</v>
      </c>
      <c r="AD47" s="585">
        <v>880</v>
      </c>
      <c r="AE47" s="775">
        <f>+((AA47*AA51*AA3)+(AC3*AC51*AC47))/(AE51*AE3)</f>
        <v>916.70737167864331</v>
      </c>
      <c r="AF47" s="2862">
        <v>880</v>
      </c>
      <c r="AG47" s="2537">
        <v>918.94</v>
      </c>
      <c r="AH47" s="585">
        <v>880</v>
      </c>
      <c r="AI47" s="775">
        <f>+((AE47*AE51*AE3)+(AG3*AG51*AG47))/(AI51*AI3)</f>
        <v>916.98224461979362</v>
      </c>
      <c r="AJ47" s="2862">
        <v>880</v>
      </c>
      <c r="AK47" s="2537">
        <v>920.70876709190111</v>
      </c>
      <c r="AL47" s="938">
        <v>880</v>
      </c>
      <c r="AM47" s="774">
        <f>+((AC47*AC51*AC3)+(AG47*AG51*AG3)+(AK3*AK51*AK47))/(AM51*AM3)</f>
        <v>919.31388092308191</v>
      </c>
      <c r="AN47" s="585">
        <v>880</v>
      </c>
      <c r="AO47" s="775">
        <f>+((AI47*AI51*AI3)+(AK3*AK51*AK47))/(AO51*AO3)</f>
        <v>917.40928107390152</v>
      </c>
      <c r="AP47" s="2862">
        <v>880</v>
      </c>
      <c r="AQ47" s="2537">
        <v>914.9</v>
      </c>
      <c r="AR47" s="585">
        <v>880</v>
      </c>
      <c r="AS47" s="775">
        <f>+((AO47*AO51*AO3)+(AQ3*AQ51*AQ47))/(AS51*AS3)</f>
        <v>917.15053098388671</v>
      </c>
      <c r="AT47" s="2862">
        <v>880</v>
      </c>
      <c r="AU47" s="2537">
        <v>881.55</v>
      </c>
      <c r="AV47" s="585">
        <v>880</v>
      </c>
      <c r="AW47" s="775">
        <f>+((AS47*AS51*AS3)+(AU3*AU51*AU47))/(AW51*AW3)</f>
        <v>914.14715910209407</v>
      </c>
      <c r="AX47" s="2862">
        <v>880</v>
      </c>
      <c r="AY47" s="2537">
        <v>896.25</v>
      </c>
      <c r="AZ47" s="938">
        <v>880</v>
      </c>
      <c r="BA47" s="774">
        <f>+((AQ47*AQ51*AQ3)+(AU47*AU51*AU3)+(AY3*AY51*AY47))/(BA51*BA3)</f>
        <v>898.17189277526677</v>
      </c>
      <c r="BB47" s="460">
        <v>880</v>
      </c>
      <c r="BC47" s="460">
        <f>+((AM47*AM51*AM3)+(BA3*BA51*BA47))/(BC51*BC3)</f>
        <v>908.58302098800482</v>
      </c>
      <c r="BD47" s="585">
        <v>880</v>
      </c>
      <c r="BE47" s="775">
        <f>+((AW47*AW51*AW3)+(AY3*AY51*AY47))/(BE51*BE3)</f>
        <v>912.63665091362952</v>
      </c>
      <c r="BF47" s="114"/>
    </row>
    <row r="48" spans="2:58" x14ac:dyDescent="0.3">
      <c r="B48" s="2845" t="s">
        <v>336</v>
      </c>
      <c r="C48" s="2546" t="s">
        <v>326</v>
      </c>
      <c r="D48" s="2599">
        <f>D49*D$3*24</f>
        <v>388080</v>
      </c>
      <c r="E48" s="2537">
        <v>338280.68159999995</v>
      </c>
      <c r="F48" s="2599">
        <f>F49*F$3*24</f>
        <v>401700.00000000012</v>
      </c>
      <c r="G48" s="2537">
        <v>383981.3664</v>
      </c>
      <c r="H48" s="2538">
        <f>+D48+F48</f>
        <v>789780.00000000012</v>
      </c>
      <c r="I48" s="38">
        <f>+E48+G48</f>
        <v>722262.04799999995</v>
      </c>
      <c r="J48" s="2599">
        <f>J49*J$3*24</f>
        <v>388080</v>
      </c>
      <c r="K48" s="2537">
        <v>385354.10879999999</v>
      </c>
      <c r="L48" s="774">
        <f>+H48+J48</f>
        <v>1177860</v>
      </c>
      <c r="M48" s="774">
        <f>+I48+K48</f>
        <v>1107616.1568</v>
      </c>
      <c r="N48" s="2599">
        <f>N49*N$3*24</f>
        <v>397800</v>
      </c>
      <c r="O48" s="2537">
        <v>403949.24160000007</v>
      </c>
      <c r="P48" s="775">
        <f>+L48+N48</f>
        <v>1575660</v>
      </c>
      <c r="Q48" s="775">
        <f>+M48+O48</f>
        <v>1511565.3984000001</v>
      </c>
      <c r="R48" s="2599">
        <f>R49*R$3*24</f>
        <v>395250</v>
      </c>
      <c r="S48" s="2537">
        <v>388291.20479999995</v>
      </c>
      <c r="T48" s="775">
        <f>+P48+R48</f>
        <v>1970910</v>
      </c>
      <c r="U48" s="775">
        <f>+Q48+S48</f>
        <v>1899856.6032</v>
      </c>
      <c r="V48" s="2599">
        <f>V49*V$3*24</f>
        <v>217000</v>
      </c>
      <c r="W48" s="2537">
        <v>381384.45</v>
      </c>
      <c r="X48" s="774">
        <f>+V48+R48+N48</f>
        <v>1010050</v>
      </c>
      <c r="Y48" s="774">
        <f>+W48+S48+O48</f>
        <v>1173624.8964</v>
      </c>
      <c r="Z48" s="460">
        <f>+L48+X48</f>
        <v>2187910</v>
      </c>
      <c r="AA48" s="460">
        <f>+Y48+M48</f>
        <v>2281241.0532</v>
      </c>
      <c r="AB48" s="2599">
        <f>AB49*AB$3*24</f>
        <v>400400.00000000006</v>
      </c>
      <c r="AC48" s="2537">
        <v>323845.01</v>
      </c>
      <c r="AD48" s="775">
        <f>+Z48+AB48</f>
        <v>2588310</v>
      </c>
      <c r="AE48" s="775">
        <f>+AA48+AC48</f>
        <v>2605086.0631999997</v>
      </c>
      <c r="AF48" s="2599">
        <f>AF49*AF$3*24</f>
        <v>388080</v>
      </c>
      <c r="AG48" s="2537">
        <v>365759.52</v>
      </c>
      <c r="AH48" s="775">
        <f>+AD48+AF48</f>
        <v>2976390</v>
      </c>
      <c r="AI48" s="775">
        <f>+AE48+AG48</f>
        <v>2970845.5831999998</v>
      </c>
      <c r="AJ48" s="2599">
        <f>AJ49*AJ$3*24</f>
        <v>400400.00000000006</v>
      </c>
      <c r="AK48" s="2537">
        <v>384502.11840000004</v>
      </c>
      <c r="AL48" s="774">
        <f>+AJ48+AF48+AB48</f>
        <v>1188880</v>
      </c>
      <c r="AM48" s="774">
        <f>+AK48+AG48+AC48</f>
        <v>1074106.6484000001</v>
      </c>
      <c r="AN48" s="775">
        <f>+AH48+AJ48</f>
        <v>3376790</v>
      </c>
      <c r="AO48" s="775">
        <f>+AI48+AK48</f>
        <v>3355347.7015999998</v>
      </c>
      <c r="AP48" s="2599">
        <f>AP49*AP$3*24</f>
        <v>401280</v>
      </c>
      <c r="AQ48" s="2537">
        <v>385774.08000000002</v>
      </c>
      <c r="AR48" s="775">
        <f>+AN48+AP48</f>
        <v>3778070</v>
      </c>
      <c r="AS48" s="775">
        <f>+AO48+AQ48</f>
        <v>3741121.7815999999</v>
      </c>
      <c r="AT48" s="2599">
        <f>AT49*AT$3*24</f>
        <v>362260</v>
      </c>
      <c r="AU48" s="2537">
        <v>344692</v>
      </c>
      <c r="AV48" s="775">
        <f>+AR48+AT48</f>
        <v>4140330</v>
      </c>
      <c r="AW48" s="775">
        <f>+AS48+AU48</f>
        <v>4085813.7815999999</v>
      </c>
      <c r="AX48" s="2599">
        <f>AX49*AX$3*24</f>
        <v>401280</v>
      </c>
      <c r="AY48" s="2537">
        <v>376627</v>
      </c>
      <c r="AZ48" s="774">
        <f>+AX48+AT48+AP48</f>
        <v>1164820</v>
      </c>
      <c r="BA48" s="774">
        <f>+AY48+AU48+AQ48</f>
        <v>1107093.08</v>
      </c>
      <c r="BB48" s="460">
        <f t="shared" ref="BB48" si="289">+AL48+AZ48</f>
        <v>2353700</v>
      </c>
      <c r="BC48" s="460">
        <f t="shared" ref="BC48" si="290">+AM48+BA48</f>
        <v>2181199.7284000004</v>
      </c>
      <c r="BD48" s="775">
        <f>+AV48+AX48</f>
        <v>4541610</v>
      </c>
      <c r="BE48" s="775">
        <f>+AW48+AY48</f>
        <v>4462440.7816000003</v>
      </c>
      <c r="BF48" s="114"/>
    </row>
    <row r="49" spans="2:58" ht="15" hidden="1" customHeight="1" x14ac:dyDescent="0.3">
      <c r="B49" s="2845"/>
      <c r="C49" s="2546"/>
      <c r="D49" s="2599">
        <v>539</v>
      </c>
      <c r="E49" s="2537"/>
      <c r="F49" s="2599">
        <v>539.91935483870975</v>
      </c>
      <c r="G49" s="2537"/>
      <c r="H49" s="2538"/>
      <c r="I49" s="38"/>
      <c r="J49" s="2599">
        <v>539</v>
      </c>
      <c r="K49" s="2537"/>
      <c r="L49" s="774"/>
      <c r="M49" s="774"/>
      <c r="N49" s="2599">
        <v>534.67741935483866</v>
      </c>
      <c r="O49" s="2537"/>
      <c r="P49" s="775"/>
      <c r="Q49" s="775"/>
      <c r="R49" s="2599">
        <v>531.25</v>
      </c>
      <c r="S49" s="2537"/>
      <c r="T49" s="775"/>
      <c r="U49" s="775"/>
      <c r="V49" s="2599">
        <v>301.38888888888886</v>
      </c>
      <c r="W49" s="2537"/>
      <c r="X49" s="774"/>
      <c r="Y49" s="774"/>
      <c r="Z49" s="460"/>
      <c r="AA49" s="460"/>
      <c r="AB49" s="2599">
        <v>538.17204301075276</v>
      </c>
      <c r="AC49" s="2537"/>
      <c r="AD49" s="775"/>
      <c r="AE49" s="775"/>
      <c r="AF49" s="2599">
        <v>539</v>
      </c>
      <c r="AG49" s="2537"/>
      <c r="AH49" s="775"/>
      <c r="AI49" s="775"/>
      <c r="AJ49" s="2599">
        <v>538.17204301075276</v>
      </c>
      <c r="AK49" s="2537"/>
      <c r="AL49" s="774"/>
      <c r="AM49" s="774"/>
      <c r="AN49" s="775"/>
      <c r="AO49" s="775"/>
      <c r="AP49" s="2599">
        <v>539.35483870967744</v>
      </c>
      <c r="AQ49" s="2537"/>
      <c r="AR49" s="775"/>
      <c r="AS49" s="775"/>
      <c r="AT49" s="2599">
        <v>539.07738095238096</v>
      </c>
      <c r="AU49" s="2537"/>
      <c r="AV49" s="775"/>
      <c r="AW49" s="775"/>
      <c r="AX49" s="2599">
        <v>539.35483870967744</v>
      </c>
      <c r="AY49" s="2537"/>
      <c r="AZ49" s="774"/>
      <c r="BA49" s="774"/>
      <c r="BB49" s="460"/>
      <c r="BC49" s="460"/>
      <c r="BD49" s="775"/>
      <c r="BE49" s="775"/>
      <c r="BF49" s="114"/>
    </row>
    <row r="50" spans="2:58" ht="17.399999999999999" x14ac:dyDescent="0.3">
      <c r="B50" s="2883" t="s">
        <v>333</v>
      </c>
      <c r="C50" s="2874" t="s">
        <v>326</v>
      </c>
      <c r="D50" s="2548">
        <f t="shared" ref="D50:E50" si="291">SUM(D48)</f>
        <v>388080</v>
      </c>
      <c r="E50" s="2884">
        <f t="shared" si="291"/>
        <v>338280.68159999995</v>
      </c>
      <c r="F50" s="2548">
        <f t="shared" ref="F50:G50" si="292">SUM(F48)</f>
        <v>401700.00000000012</v>
      </c>
      <c r="G50" s="2884">
        <f t="shared" si="292"/>
        <v>383981.3664</v>
      </c>
      <c r="H50" s="2876">
        <f t="shared" ref="H50:K50" si="293">SUM(H48)</f>
        <v>789780.00000000012</v>
      </c>
      <c r="I50" s="1662">
        <f t="shared" si="293"/>
        <v>722262.04799999995</v>
      </c>
      <c r="J50" s="2548">
        <f t="shared" si="293"/>
        <v>388080</v>
      </c>
      <c r="K50" s="2884">
        <f t="shared" si="293"/>
        <v>385354.10879999999</v>
      </c>
      <c r="L50" s="645">
        <f t="shared" ref="L50:Q50" si="294">SUM(L48)</f>
        <v>1177860</v>
      </c>
      <c r="M50" s="645">
        <f t="shared" si="294"/>
        <v>1107616.1568</v>
      </c>
      <c r="N50" s="2548">
        <f t="shared" si="294"/>
        <v>397800</v>
      </c>
      <c r="O50" s="2884">
        <f t="shared" si="294"/>
        <v>403949.24160000007</v>
      </c>
      <c r="P50" s="644">
        <f t="shared" si="294"/>
        <v>1575660</v>
      </c>
      <c r="Q50" s="644">
        <f t="shared" si="294"/>
        <v>1511565.3984000001</v>
      </c>
      <c r="R50" s="2548">
        <f t="shared" ref="R50:S50" si="295">SUM(R48)</f>
        <v>395250</v>
      </c>
      <c r="S50" s="2884">
        <f t="shared" si="295"/>
        <v>388291.20479999995</v>
      </c>
      <c r="T50" s="644">
        <f t="shared" ref="T50:W50" si="296">SUM(T48)</f>
        <v>1970910</v>
      </c>
      <c r="U50" s="644">
        <f t="shared" si="296"/>
        <v>1899856.6032</v>
      </c>
      <c r="V50" s="2548">
        <f t="shared" si="296"/>
        <v>217000</v>
      </c>
      <c r="W50" s="2884">
        <f t="shared" si="296"/>
        <v>381384.45</v>
      </c>
      <c r="X50" s="645">
        <f t="shared" ref="X50:AE50" si="297">SUM(X48)</f>
        <v>1010050</v>
      </c>
      <c r="Y50" s="645">
        <f t="shared" si="297"/>
        <v>1173624.8964</v>
      </c>
      <c r="Z50" s="646">
        <f t="shared" si="297"/>
        <v>2187910</v>
      </c>
      <c r="AA50" s="646">
        <f t="shared" si="297"/>
        <v>2281241.0532</v>
      </c>
      <c r="AB50" s="2548">
        <f t="shared" si="297"/>
        <v>400400.00000000006</v>
      </c>
      <c r="AC50" s="2884">
        <f t="shared" si="297"/>
        <v>323845.01</v>
      </c>
      <c r="AD50" s="644">
        <f t="shared" si="297"/>
        <v>2588310</v>
      </c>
      <c r="AE50" s="644">
        <f t="shared" si="297"/>
        <v>2605086.0631999997</v>
      </c>
      <c r="AF50" s="2548">
        <f t="shared" ref="AF50:AG50" si="298">SUM(AF48)</f>
        <v>388080</v>
      </c>
      <c r="AG50" s="2884">
        <f t="shared" si="298"/>
        <v>365759.52</v>
      </c>
      <c r="AH50" s="644">
        <f t="shared" ref="AH50:AK50" si="299">SUM(AH48)</f>
        <v>2976390</v>
      </c>
      <c r="AI50" s="644">
        <f t="shared" si="299"/>
        <v>2970845.5831999998</v>
      </c>
      <c r="AJ50" s="2548">
        <f t="shared" si="299"/>
        <v>400400.00000000006</v>
      </c>
      <c r="AK50" s="2884">
        <f t="shared" si="299"/>
        <v>384502.11840000004</v>
      </c>
      <c r="AL50" s="645">
        <f t="shared" ref="AL50:AQ50" si="300">SUM(AL48)</f>
        <v>1188880</v>
      </c>
      <c r="AM50" s="645">
        <f t="shared" si="300"/>
        <v>1074106.6484000001</v>
      </c>
      <c r="AN50" s="644">
        <f t="shared" si="300"/>
        <v>3376790</v>
      </c>
      <c r="AO50" s="644">
        <f t="shared" si="300"/>
        <v>3355347.7015999998</v>
      </c>
      <c r="AP50" s="2548">
        <f t="shared" si="300"/>
        <v>401280</v>
      </c>
      <c r="AQ50" s="2884">
        <f t="shared" si="300"/>
        <v>385774.08000000002</v>
      </c>
      <c r="AR50" s="644">
        <f t="shared" ref="AR50:AU50" si="301">SUM(AR48)</f>
        <v>3778070</v>
      </c>
      <c r="AS50" s="644">
        <f t="shared" si="301"/>
        <v>3741121.7815999999</v>
      </c>
      <c r="AT50" s="2548">
        <f t="shared" si="301"/>
        <v>362260</v>
      </c>
      <c r="AU50" s="2884">
        <f t="shared" si="301"/>
        <v>344692</v>
      </c>
      <c r="AV50" s="644">
        <f t="shared" ref="AV50:AY50" si="302">SUM(AV48)</f>
        <v>4140330</v>
      </c>
      <c r="AW50" s="644">
        <f t="shared" si="302"/>
        <v>4085813.7815999999</v>
      </c>
      <c r="AX50" s="2548">
        <f t="shared" si="302"/>
        <v>401280</v>
      </c>
      <c r="AY50" s="2884">
        <f t="shared" si="302"/>
        <v>376627</v>
      </c>
      <c r="AZ50" s="645">
        <f t="shared" ref="AZ50:BE50" si="303">SUM(AZ48)</f>
        <v>1164820</v>
      </c>
      <c r="BA50" s="645">
        <f t="shared" si="303"/>
        <v>1107093.08</v>
      </c>
      <c r="BB50" s="646">
        <f t="shared" si="303"/>
        <v>2353700</v>
      </c>
      <c r="BC50" s="646">
        <f t="shared" si="303"/>
        <v>2181199.7284000004</v>
      </c>
      <c r="BD50" s="644">
        <f t="shared" si="303"/>
        <v>4541610</v>
      </c>
      <c r="BE50" s="644">
        <f t="shared" si="303"/>
        <v>4462440.7816000003</v>
      </c>
      <c r="BF50" s="114"/>
    </row>
    <row r="51" spans="2:58" ht="15.6" x14ac:dyDescent="0.3">
      <c r="B51" s="2885" t="s">
        <v>334</v>
      </c>
      <c r="C51" s="2886" t="s">
        <v>328</v>
      </c>
      <c r="D51" s="2868">
        <f t="shared" ref="D51:E51" si="304">+D50/(D3*24)</f>
        <v>539</v>
      </c>
      <c r="E51" s="2887">
        <f t="shared" si="304"/>
        <v>469.83427999999992</v>
      </c>
      <c r="F51" s="2868">
        <f t="shared" ref="F51:G51" si="305">+F50/(F3*24)</f>
        <v>539.91935483870986</v>
      </c>
      <c r="G51" s="2887">
        <f t="shared" si="305"/>
        <v>516.10398709677418</v>
      </c>
      <c r="H51" s="2870">
        <f t="shared" ref="H51:AE51" si="306">+H50/(H3*24)</f>
        <v>539.46721311475414</v>
      </c>
      <c r="I51" s="1780">
        <f t="shared" si="306"/>
        <v>493.34839344262292</v>
      </c>
      <c r="J51" s="2868">
        <f t="shared" si="306"/>
        <v>539</v>
      </c>
      <c r="K51" s="2887">
        <f t="shared" si="306"/>
        <v>535.21403999999995</v>
      </c>
      <c r="L51" s="808">
        <f t="shared" ref="L51:Q51" si="307">+L50/(L3*24)</f>
        <v>539.3131868131868</v>
      </c>
      <c r="M51" s="808">
        <f t="shared" si="307"/>
        <v>507.15025494505494</v>
      </c>
      <c r="N51" s="2868">
        <f t="shared" si="307"/>
        <v>534.67741935483866</v>
      </c>
      <c r="O51" s="2887">
        <f t="shared" si="307"/>
        <v>542.94252903225811</v>
      </c>
      <c r="P51" s="807">
        <f t="shared" si="307"/>
        <v>538.13524590163934</v>
      </c>
      <c r="Q51" s="807">
        <f t="shared" si="307"/>
        <v>516.2450131147541</v>
      </c>
      <c r="R51" s="2868">
        <f t="shared" ref="R51:S51" si="308">+R50/(R3*24)</f>
        <v>531.25</v>
      </c>
      <c r="S51" s="2887">
        <f t="shared" si="308"/>
        <v>521.89678064516124</v>
      </c>
      <c r="T51" s="807">
        <f t="shared" ref="T51:W51" si="309">+T50/(T3*24)</f>
        <v>536.74019607843138</v>
      </c>
      <c r="U51" s="807">
        <f t="shared" si="309"/>
        <v>517.39014248366016</v>
      </c>
      <c r="V51" s="2868">
        <f t="shared" si="309"/>
        <v>301.38888888888891</v>
      </c>
      <c r="W51" s="2887">
        <f t="shared" si="309"/>
        <v>529.70062500000006</v>
      </c>
      <c r="X51" s="808">
        <f t="shared" si="306"/>
        <v>457.45018115942031</v>
      </c>
      <c r="Y51" s="808">
        <f t="shared" si="306"/>
        <v>531.53301467391304</v>
      </c>
      <c r="Z51" s="809">
        <f t="shared" si="306"/>
        <v>498.15801457194902</v>
      </c>
      <c r="AA51" s="809">
        <f t="shared" si="306"/>
        <v>519.40825437158469</v>
      </c>
      <c r="AB51" s="2868">
        <f t="shared" si="306"/>
        <v>538.17204301075276</v>
      </c>
      <c r="AC51" s="2887">
        <f t="shared" si="306"/>
        <v>435.27555107526882</v>
      </c>
      <c r="AD51" s="807">
        <f t="shared" si="306"/>
        <v>503.95443925233644</v>
      </c>
      <c r="AE51" s="807">
        <f t="shared" si="306"/>
        <v>507.22080669781928</v>
      </c>
      <c r="AF51" s="2868">
        <f t="shared" ref="AF51:AG51" si="310">+AF50/(AF3*24)</f>
        <v>539</v>
      </c>
      <c r="AG51" s="2887">
        <f t="shared" si="310"/>
        <v>507.99933333333337</v>
      </c>
      <c r="AH51" s="807">
        <f t="shared" ref="AH51:AK51" si="311">+AH50/(AH3*24)</f>
        <v>508.26331967213116</v>
      </c>
      <c r="AI51" s="807">
        <f t="shared" si="311"/>
        <v>507.31652718579232</v>
      </c>
      <c r="AJ51" s="2868">
        <f t="shared" si="311"/>
        <v>538.17204301075276</v>
      </c>
      <c r="AK51" s="2887">
        <f t="shared" si="311"/>
        <v>516.80392258064524</v>
      </c>
      <c r="AL51" s="808">
        <f t="shared" ref="AL51:AQ51" si="312">+AL50/(AL3*24)</f>
        <v>538.44202898550725</v>
      </c>
      <c r="AM51" s="808">
        <f t="shared" si="312"/>
        <v>486.46134438405801</v>
      </c>
      <c r="AN51" s="807">
        <f t="shared" si="312"/>
        <v>511.63484848484848</v>
      </c>
      <c r="AO51" s="807">
        <f t="shared" si="312"/>
        <v>508.38601539393937</v>
      </c>
      <c r="AP51" s="2868">
        <f t="shared" si="312"/>
        <v>539.35483870967744</v>
      </c>
      <c r="AQ51" s="2887">
        <f t="shared" si="312"/>
        <v>518.51354838709676</v>
      </c>
      <c r="AR51" s="807">
        <f t="shared" ref="AR51:AU51" si="313">+AR50/(AR3*24)</f>
        <v>514.44308278867106</v>
      </c>
      <c r="AS51" s="807">
        <f t="shared" si="313"/>
        <v>509.41200729847492</v>
      </c>
      <c r="AT51" s="2868">
        <f t="shared" si="313"/>
        <v>539.07738095238096</v>
      </c>
      <c r="AU51" s="2887">
        <f t="shared" si="313"/>
        <v>512.93452380952385</v>
      </c>
      <c r="AV51" s="807">
        <f t="shared" ref="AV51:AY51" si="314">+AV50/(AV3*24)</f>
        <v>516.50823353293413</v>
      </c>
      <c r="AW51" s="807">
        <f t="shared" si="314"/>
        <v>509.70730808383234</v>
      </c>
      <c r="AX51" s="2868">
        <f t="shared" si="314"/>
        <v>539.35483870967744</v>
      </c>
      <c r="AY51" s="2887">
        <f t="shared" si="314"/>
        <v>506.2190860215054</v>
      </c>
      <c r="AZ51" s="808">
        <f t="shared" ref="AZ51:BE51" si="315">+AZ50/(AZ3*24)</f>
        <v>539.26851851851848</v>
      </c>
      <c r="BA51" s="808">
        <f t="shared" si="315"/>
        <v>512.54309259259264</v>
      </c>
      <c r="BB51" s="809">
        <f t="shared" si="315"/>
        <v>538.85073260073261</v>
      </c>
      <c r="BC51" s="809">
        <f t="shared" si="315"/>
        <v>499.35891217948728</v>
      </c>
      <c r="BD51" s="807">
        <f t="shared" si="315"/>
        <v>518.44863013698625</v>
      </c>
      <c r="BE51" s="807">
        <f t="shared" si="315"/>
        <v>509.41104812785392</v>
      </c>
      <c r="BF51" s="114"/>
    </row>
    <row r="52" spans="2:58" ht="15.6" x14ac:dyDescent="0.3">
      <c r="B52" s="2888" t="s">
        <v>54</v>
      </c>
      <c r="C52" s="2633" t="s">
        <v>326</v>
      </c>
      <c r="D52" s="2599">
        <f>D53*D$3*24</f>
        <v>3600</v>
      </c>
      <c r="E52" s="2561">
        <v>3432.8800077603019</v>
      </c>
      <c r="F52" s="2599">
        <f>F53*F$3*24</f>
        <v>3720</v>
      </c>
      <c r="G52" s="2561">
        <v>3791.466625819447</v>
      </c>
      <c r="H52" s="2538">
        <f>+D52+F52</f>
        <v>7320</v>
      </c>
      <c r="I52" s="38">
        <f>+E52+G52</f>
        <v>7224.3466335797493</v>
      </c>
      <c r="J52" s="2599">
        <f>J53*J$3*24</f>
        <v>3600</v>
      </c>
      <c r="K52" s="2561">
        <v>3248.5710522888285</v>
      </c>
      <c r="L52" s="774">
        <f t="shared" ref="L52:L54" si="316">+H52+J52</f>
        <v>10920</v>
      </c>
      <c r="M52" s="774">
        <f>+I52+K52</f>
        <v>10472.917685868579</v>
      </c>
      <c r="N52" s="2599">
        <f>N53*N$3*24</f>
        <v>3720</v>
      </c>
      <c r="O52" s="2561">
        <v>3166.5293380894718</v>
      </c>
      <c r="P52" s="775">
        <f t="shared" ref="P52:P54" si="317">+L52+N52</f>
        <v>14640</v>
      </c>
      <c r="Q52" s="775">
        <f>+M52+O52</f>
        <v>13639.447023958051</v>
      </c>
      <c r="R52" s="2599">
        <f>R53*R$3*24</f>
        <v>3720</v>
      </c>
      <c r="S52" s="2561">
        <v>3354.3573187931192</v>
      </c>
      <c r="T52" s="775">
        <f t="shared" ref="T52:T54" si="318">+P52+R52</f>
        <v>18360</v>
      </c>
      <c r="U52" s="775">
        <f>+Q52+S52</f>
        <v>16993.804342751169</v>
      </c>
      <c r="V52" s="2599">
        <f>V53*V$3*24</f>
        <v>2160</v>
      </c>
      <c r="W52" s="2561">
        <v>2337.4</v>
      </c>
      <c r="X52" s="774">
        <f t="shared" ref="X52:X54" si="319">+V52+R52+N52</f>
        <v>9600</v>
      </c>
      <c r="Y52" s="774">
        <f>+W52+S52+O52</f>
        <v>8858.2866568825921</v>
      </c>
      <c r="Z52" s="460">
        <f t="shared" ref="Z52:Z54" si="320">+L52+X52</f>
        <v>20520</v>
      </c>
      <c r="AA52" s="460">
        <f>+Y52+M52</f>
        <v>19331.204342751171</v>
      </c>
      <c r="AB52" s="2599">
        <f>AB53*AB$3*24</f>
        <v>3720</v>
      </c>
      <c r="AC52" s="2561">
        <v>1007.4</v>
      </c>
      <c r="AD52" s="775">
        <f>+Z52+AB52</f>
        <v>24240</v>
      </c>
      <c r="AE52" s="775">
        <f>+AA52+AC52</f>
        <v>20338.604342751172</v>
      </c>
      <c r="AF52" s="2599">
        <f>AF53*AF$3*24</f>
        <v>3600</v>
      </c>
      <c r="AG52" s="2561">
        <v>1273.79</v>
      </c>
      <c r="AH52" s="775">
        <f>+AD52+AF52</f>
        <v>27840</v>
      </c>
      <c r="AI52" s="775">
        <f>+AE52+AG52</f>
        <v>21612.394342751173</v>
      </c>
      <c r="AJ52" s="2599">
        <f>AJ53*AJ$3*24</f>
        <v>3720</v>
      </c>
      <c r="AK52" s="2561">
        <v>1344.2154231276545</v>
      </c>
      <c r="AL52" s="774">
        <f t="shared" ref="AL52:AL54" si="321">+AJ52+AF52+AB52</f>
        <v>11040</v>
      </c>
      <c r="AM52" s="774">
        <f>+AK52+AG52+AC52</f>
        <v>3625.4054231276546</v>
      </c>
      <c r="AN52" s="775">
        <f>+AH52+AJ52</f>
        <v>31560</v>
      </c>
      <c r="AO52" s="775">
        <f>+AI52+AK52</f>
        <v>22956.609765878828</v>
      </c>
      <c r="AP52" s="2599">
        <f>AP53*AP$3*24</f>
        <v>3720</v>
      </c>
      <c r="AQ52" s="2561">
        <v>1718.92</v>
      </c>
      <c r="AR52" s="775">
        <f>+AN52+AP52</f>
        <v>35280</v>
      </c>
      <c r="AS52" s="775">
        <f>+AO52+AQ52</f>
        <v>24675.529765878826</v>
      </c>
      <c r="AT52" s="2599">
        <f>AT53*AT$3*24</f>
        <v>3360</v>
      </c>
      <c r="AU52" s="2561">
        <v>1001.96</v>
      </c>
      <c r="AV52" s="775">
        <f>+AR52+AT52</f>
        <v>38640</v>
      </c>
      <c r="AW52" s="775">
        <f>+AS52+AU52</f>
        <v>25677.489765878825</v>
      </c>
      <c r="AX52" s="2599">
        <f>AX53*AX$3*24</f>
        <v>3720</v>
      </c>
      <c r="AY52" s="2561">
        <v>1393.02</v>
      </c>
      <c r="AZ52" s="774">
        <f t="shared" ref="AZ52:AZ54" si="322">+AX52+AT52+AP52</f>
        <v>10800</v>
      </c>
      <c r="BA52" s="774">
        <f>+AY52+AU52+AQ52</f>
        <v>4113.8999999999996</v>
      </c>
      <c r="BB52" s="460">
        <f t="shared" ref="BB52:BB54" si="323">+AL52+AZ52</f>
        <v>21840</v>
      </c>
      <c r="BC52" s="460">
        <f t="shared" ref="BC52:BC54" si="324">+AM52+BA52</f>
        <v>7739.3054231276546</v>
      </c>
      <c r="BD52" s="775">
        <f>+AV52+AX52</f>
        <v>42360</v>
      </c>
      <c r="BE52" s="775">
        <f>+AW52+AY52</f>
        <v>27070.509765878825</v>
      </c>
      <c r="BF52" s="114"/>
    </row>
    <row r="53" spans="2:58" ht="15.75" hidden="1" customHeight="1" x14ac:dyDescent="0.3">
      <c r="B53" s="2888"/>
      <c r="C53" s="2633"/>
      <c r="D53" s="2797">
        <v>5</v>
      </c>
      <c r="E53" s="2561"/>
      <c r="F53" s="2797">
        <v>5</v>
      </c>
      <c r="G53" s="2561"/>
      <c r="H53" s="2538">
        <f t="shared" ref="H53:H54" si="325">+D53+F53</f>
        <v>10</v>
      </c>
      <c r="I53" s="38"/>
      <c r="J53" s="2797">
        <v>5</v>
      </c>
      <c r="K53" s="2561"/>
      <c r="L53" s="774">
        <f t="shared" si="316"/>
        <v>15</v>
      </c>
      <c r="M53" s="774"/>
      <c r="N53" s="2797">
        <v>5</v>
      </c>
      <c r="O53" s="2561"/>
      <c r="P53" s="775">
        <f t="shared" si="317"/>
        <v>20</v>
      </c>
      <c r="Q53" s="775"/>
      <c r="R53" s="2797">
        <v>5</v>
      </c>
      <c r="S53" s="2561"/>
      <c r="T53" s="775">
        <f t="shared" si="318"/>
        <v>25</v>
      </c>
      <c r="U53" s="775"/>
      <c r="V53" s="2797">
        <v>3</v>
      </c>
      <c r="W53" s="2561"/>
      <c r="X53" s="774">
        <f t="shared" si="319"/>
        <v>13</v>
      </c>
      <c r="Y53" s="774"/>
      <c r="Z53" s="460">
        <f t="shared" si="320"/>
        <v>28</v>
      </c>
      <c r="AA53" s="460"/>
      <c r="AB53" s="2797">
        <v>5</v>
      </c>
      <c r="AC53" s="2561"/>
      <c r="AD53" s="775">
        <f t="shared" ref="AD53:AD54" si="326">+Z53+AB53</f>
        <v>33</v>
      </c>
      <c r="AE53" s="775"/>
      <c r="AF53" s="2797">
        <v>5</v>
      </c>
      <c r="AG53" s="2561"/>
      <c r="AH53" s="775">
        <f t="shared" ref="AH53:AH54" si="327">+AD53+AF53</f>
        <v>38</v>
      </c>
      <c r="AI53" s="775"/>
      <c r="AJ53" s="2797">
        <v>5</v>
      </c>
      <c r="AK53" s="2561"/>
      <c r="AL53" s="774">
        <f t="shared" si="321"/>
        <v>15</v>
      </c>
      <c r="AM53" s="774"/>
      <c r="AN53" s="775">
        <f t="shared" ref="AN53:AN54" si="328">+AH53+AJ53</f>
        <v>43</v>
      </c>
      <c r="AO53" s="775"/>
      <c r="AP53" s="2797">
        <v>5</v>
      </c>
      <c r="AQ53" s="2561"/>
      <c r="AR53" s="775">
        <f t="shared" ref="AR53:AR54" si="329">+AN53+AP53</f>
        <v>48</v>
      </c>
      <c r="AS53" s="775"/>
      <c r="AT53" s="2797">
        <v>5</v>
      </c>
      <c r="AU53" s="2561"/>
      <c r="AV53" s="775">
        <f t="shared" ref="AV53:AV54" si="330">+AR53+AT53</f>
        <v>53</v>
      </c>
      <c r="AW53" s="775"/>
      <c r="AX53" s="2797">
        <v>5</v>
      </c>
      <c r="AY53" s="2561"/>
      <c r="AZ53" s="774">
        <f t="shared" si="322"/>
        <v>15</v>
      </c>
      <c r="BA53" s="774"/>
      <c r="BB53" s="460">
        <f t="shared" si="323"/>
        <v>30</v>
      </c>
      <c r="BC53" s="460">
        <f t="shared" si="324"/>
        <v>0</v>
      </c>
      <c r="BD53" s="775">
        <f t="shared" ref="BD53:BD54" si="331">+AV53+AX53</f>
        <v>58</v>
      </c>
      <c r="BE53" s="775"/>
      <c r="BF53" s="114"/>
    </row>
    <row r="54" spans="2:58" x14ac:dyDescent="0.3">
      <c r="B54" s="2866" t="s">
        <v>474</v>
      </c>
      <c r="C54" s="2546" t="s">
        <v>326</v>
      </c>
      <c r="D54" s="2599">
        <f>D55*D$3*24</f>
        <v>10866.24</v>
      </c>
      <c r="E54" s="2537">
        <v>10088.106763821897</v>
      </c>
      <c r="F54" s="2599">
        <f>F55*F$3*24</f>
        <v>11247.6</v>
      </c>
      <c r="G54" s="2537">
        <v>11587.557559102774</v>
      </c>
      <c r="H54" s="2538">
        <f t="shared" si="325"/>
        <v>22113.84</v>
      </c>
      <c r="I54" s="38">
        <f>+E54+G54</f>
        <v>21675.664322924669</v>
      </c>
      <c r="J54" s="2599">
        <f>J55*J$3*24</f>
        <v>10866.24</v>
      </c>
      <c r="K54" s="2537">
        <v>10929.684948992981</v>
      </c>
      <c r="L54" s="774">
        <f t="shared" si="316"/>
        <v>32980.080000000002</v>
      </c>
      <c r="M54" s="774">
        <f>+I54+K54</f>
        <v>32605.34927191765</v>
      </c>
      <c r="N54" s="2599">
        <f>N55*N$3*24</f>
        <v>11138.399999999998</v>
      </c>
      <c r="O54" s="2537">
        <v>11273.188348622441</v>
      </c>
      <c r="P54" s="775">
        <f t="shared" si="317"/>
        <v>44118.479999999996</v>
      </c>
      <c r="Q54" s="775">
        <f>+M54+O54</f>
        <v>43878.53762054009</v>
      </c>
      <c r="R54" s="2599">
        <f>R55*R$3*24</f>
        <v>11067</v>
      </c>
      <c r="S54" s="2537">
        <v>11042.319702374782</v>
      </c>
      <c r="T54" s="775">
        <f t="shared" si="318"/>
        <v>55185.479999999996</v>
      </c>
      <c r="U54" s="775">
        <f>+Q54+S54</f>
        <v>54920.857322914875</v>
      </c>
      <c r="V54" s="2599">
        <f>V55*V$3*24</f>
        <v>10849.999999999998</v>
      </c>
      <c r="W54" s="2537">
        <v>10738.68</v>
      </c>
      <c r="X54" s="774">
        <f t="shared" si="319"/>
        <v>33055.399999999994</v>
      </c>
      <c r="Y54" s="774">
        <f>+W54+S54+O54</f>
        <v>33054.188050997225</v>
      </c>
      <c r="Z54" s="460">
        <f t="shared" si="320"/>
        <v>66035.48</v>
      </c>
      <c r="AA54" s="460">
        <f>+Y54+M54</f>
        <v>65659.537322914868</v>
      </c>
      <c r="AB54" s="2599">
        <f>AB55*AB$3*24</f>
        <v>11211.2</v>
      </c>
      <c r="AC54" s="2537">
        <v>9629.94</v>
      </c>
      <c r="AD54" s="775">
        <f t="shared" si="326"/>
        <v>77246.679999999993</v>
      </c>
      <c r="AE54" s="775">
        <f>+AA54+AC54</f>
        <v>75289.47732291487</v>
      </c>
      <c r="AF54" s="2599">
        <f>AF55*AF$3*24</f>
        <v>10866.24</v>
      </c>
      <c r="AG54" s="2537">
        <v>10634.3</v>
      </c>
      <c r="AH54" s="775">
        <f t="shared" si="327"/>
        <v>88112.92</v>
      </c>
      <c r="AI54" s="775">
        <f>+AE54+AG54</f>
        <v>85923.777322914873</v>
      </c>
      <c r="AJ54" s="2599">
        <f>AJ55*AJ$3*24</f>
        <v>11211.2</v>
      </c>
      <c r="AK54" s="2537">
        <v>11110.192702482917</v>
      </c>
      <c r="AL54" s="774">
        <f t="shared" si="321"/>
        <v>33288.639999999999</v>
      </c>
      <c r="AM54" s="774">
        <f>+AK54+AG54+AC54</f>
        <v>31374.432702482918</v>
      </c>
      <c r="AN54" s="775">
        <f t="shared" si="328"/>
        <v>99324.12</v>
      </c>
      <c r="AO54" s="775">
        <f>+AI54+AK54</f>
        <v>97033.970025397794</v>
      </c>
      <c r="AP54" s="2599">
        <f>AP55*AP$3*24</f>
        <v>11235.84</v>
      </c>
      <c r="AQ54" s="2537">
        <v>11094.57</v>
      </c>
      <c r="AR54" s="775">
        <f t="shared" si="329"/>
        <v>110559.95999999999</v>
      </c>
      <c r="AS54" s="775">
        <f>+AO54+AQ54</f>
        <v>108128.54002539779</v>
      </c>
      <c r="AT54" s="2599">
        <f>AT55*AT$3*24</f>
        <v>10143.279999999999</v>
      </c>
      <c r="AU54" s="2537">
        <v>10277.41</v>
      </c>
      <c r="AV54" s="775">
        <f t="shared" si="330"/>
        <v>120703.23999999999</v>
      </c>
      <c r="AW54" s="775">
        <f>+AS54+AU54</f>
        <v>118405.95002539779</v>
      </c>
      <c r="AX54" s="2599">
        <f>AX55*AX$3*24</f>
        <v>11235.84</v>
      </c>
      <c r="AY54" s="2537">
        <v>10651.66</v>
      </c>
      <c r="AZ54" s="774">
        <f t="shared" si="322"/>
        <v>32614.959999999999</v>
      </c>
      <c r="BA54" s="774">
        <f>+AY54+AU54+AQ54</f>
        <v>32023.64</v>
      </c>
      <c r="BB54" s="460">
        <f t="shared" si="323"/>
        <v>65903.600000000006</v>
      </c>
      <c r="BC54" s="460">
        <f t="shared" si="324"/>
        <v>63398.072702482918</v>
      </c>
      <c r="BD54" s="775">
        <f t="shared" si="331"/>
        <v>131939.07999999999</v>
      </c>
      <c r="BE54" s="775">
        <f>+AW54+AY54</f>
        <v>129057.61002539779</v>
      </c>
      <c r="BF54" s="114"/>
    </row>
    <row r="55" spans="2:58" ht="15.75" hidden="1" customHeight="1" x14ac:dyDescent="0.3">
      <c r="B55" s="2866"/>
      <c r="C55" s="2546"/>
      <c r="D55" s="2797">
        <v>15.091999999999999</v>
      </c>
      <c r="E55" s="2537"/>
      <c r="F55" s="2797">
        <v>15.117741935483872</v>
      </c>
      <c r="G55" s="2537"/>
      <c r="H55" s="2549"/>
      <c r="I55" s="38"/>
      <c r="J55" s="2797">
        <v>15.091999999999999</v>
      </c>
      <c r="K55" s="2537"/>
      <c r="L55" s="570"/>
      <c r="M55" s="774"/>
      <c r="N55" s="2797">
        <v>14.97096774193548</v>
      </c>
      <c r="O55" s="2537"/>
      <c r="P55" s="582"/>
      <c r="Q55" s="775"/>
      <c r="R55" s="2797">
        <v>14.875</v>
      </c>
      <c r="S55" s="2537"/>
      <c r="T55" s="582"/>
      <c r="U55" s="775"/>
      <c r="V55" s="2797">
        <v>15.069444444444443</v>
      </c>
      <c r="W55" s="2537"/>
      <c r="X55" s="570"/>
      <c r="Y55" s="774"/>
      <c r="Z55" s="1584"/>
      <c r="AA55" s="460"/>
      <c r="AB55" s="2797">
        <v>15.068817204301077</v>
      </c>
      <c r="AC55" s="2537"/>
      <c r="AD55" s="582"/>
      <c r="AE55" s="775"/>
      <c r="AF55" s="2797">
        <v>15.091999999999999</v>
      </c>
      <c r="AG55" s="2537"/>
      <c r="AH55" s="582"/>
      <c r="AI55" s="775"/>
      <c r="AJ55" s="2797">
        <v>15.068817204301077</v>
      </c>
      <c r="AK55" s="2537"/>
      <c r="AL55" s="570"/>
      <c r="AM55" s="774"/>
      <c r="AN55" s="582"/>
      <c r="AO55" s="775"/>
      <c r="AP55" s="2797">
        <v>15.101935483870967</v>
      </c>
      <c r="AQ55" s="2537"/>
      <c r="AR55" s="582"/>
      <c r="AS55" s="775"/>
      <c r="AT55" s="2797">
        <v>15.094166666666665</v>
      </c>
      <c r="AU55" s="2537"/>
      <c r="AV55" s="582"/>
      <c r="AW55" s="775"/>
      <c r="AX55" s="2797">
        <v>15.101935483870967</v>
      </c>
      <c r="AY55" s="2537"/>
      <c r="AZ55" s="570"/>
      <c r="BA55" s="774"/>
      <c r="BB55" s="1584"/>
      <c r="BC55" s="460"/>
      <c r="BD55" s="582"/>
      <c r="BE55" s="775"/>
      <c r="BF55" s="114"/>
    </row>
    <row r="56" spans="2:58" x14ac:dyDescent="0.3">
      <c r="B56" s="2866" t="s">
        <v>73</v>
      </c>
      <c r="C56" s="2546" t="s">
        <v>49</v>
      </c>
      <c r="D56" s="2872">
        <f>+D54*100/D50</f>
        <v>2.8</v>
      </c>
      <c r="E56" s="2872">
        <f>+E54/E50*100</f>
        <v>2.9821705206774358</v>
      </c>
      <c r="F56" s="2872">
        <f>+F54*100/F50</f>
        <v>2.7999999999999994</v>
      </c>
      <c r="G56" s="2872">
        <f>+G54/G50*100</f>
        <v>3.0177395501613522</v>
      </c>
      <c r="H56" s="2889">
        <f>+H54*100/H50</f>
        <v>2.7999999999999994</v>
      </c>
      <c r="I56" s="38">
        <f>+I54/I50*100</f>
        <v>3.0010803396006027</v>
      </c>
      <c r="J56" s="2872">
        <f>+J54*100/J50</f>
        <v>2.8</v>
      </c>
      <c r="K56" s="2872">
        <f>+K54/K50*100</f>
        <v>2.8362705105255599</v>
      </c>
      <c r="L56" s="1021">
        <f>+L54*100/L50</f>
        <v>2.8</v>
      </c>
      <c r="M56" s="774">
        <f>+M54/M50*100</f>
        <v>2.9437408502704909</v>
      </c>
      <c r="N56" s="2872">
        <f>+N54*100/N50</f>
        <v>2.7999999999999994</v>
      </c>
      <c r="O56" s="2872">
        <f>+O54/O50*100</f>
        <v>2.7907437835433329</v>
      </c>
      <c r="P56" s="1011">
        <f>+P54*100/P50</f>
        <v>2.8</v>
      </c>
      <c r="Q56" s="775">
        <f>+Q54/Q50*100</f>
        <v>2.902854065526093</v>
      </c>
      <c r="R56" s="2872">
        <f>+R54*100/R50</f>
        <v>2.8</v>
      </c>
      <c r="S56" s="2872">
        <f>+S54/S50*100</f>
        <v>2.8438243168712596</v>
      </c>
      <c r="T56" s="1011">
        <f>+T54*100/T50</f>
        <v>2.8</v>
      </c>
      <c r="U56" s="775">
        <f>+U54/U50*100</f>
        <v>2.8907896117217273</v>
      </c>
      <c r="V56" s="2872">
        <f>+V54*100/V50</f>
        <v>4.9999999999999991</v>
      </c>
      <c r="W56" s="2872">
        <f>+W54/W50*100</f>
        <v>2.8157099745414369</v>
      </c>
      <c r="X56" s="774">
        <f>+X54/X50*100</f>
        <v>3.2726498688183745</v>
      </c>
      <c r="Y56" s="774">
        <f>+Y54/Y50*100</f>
        <v>2.8164184444611129</v>
      </c>
      <c r="Z56" s="488">
        <f>+Z54/Z50*100</f>
        <v>3.01819910325379</v>
      </c>
      <c r="AA56" s="488">
        <f>+AA54/AA50*100</f>
        <v>2.8782375817238282</v>
      </c>
      <c r="AB56" s="2872">
        <f>+AB54*100/AB50</f>
        <v>2.7999999999999994</v>
      </c>
      <c r="AC56" s="2872">
        <f>+AC54/AC50*100</f>
        <v>2.9736261800050587</v>
      </c>
      <c r="AD56" s="1011">
        <f>+AD54*100/AD50</f>
        <v>2.9844446762559351</v>
      </c>
      <c r="AE56" s="370">
        <f>+AE54/AE50*100</f>
        <v>2.8900955859566428</v>
      </c>
      <c r="AF56" s="2872">
        <f>+AF54*100/AF50</f>
        <v>2.8</v>
      </c>
      <c r="AG56" s="2872">
        <f>+AG54/AG50*100</f>
        <v>2.9074567901882635</v>
      </c>
      <c r="AH56" s="1011">
        <f>+AH54*100/AH50</f>
        <v>2.9603956470758201</v>
      </c>
      <c r="AI56" s="370">
        <f>+AI54/AI50*100</f>
        <v>2.8922330332081221</v>
      </c>
      <c r="AJ56" s="2872">
        <f>+AJ54*100/AJ50</f>
        <v>2.7999999999999994</v>
      </c>
      <c r="AK56" s="2872">
        <f>+AK54/AK50*100</f>
        <v>2.889501038047575</v>
      </c>
      <c r="AL56" s="774">
        <f>+AL54/AL50*100</f>
        <v>2.8000000000000003</v>
      </c>
      <c r="AM56" s="774">
        <f>+AM54/AM50*100</f>
        <v>2.9209792853641288</v>
      </c>
      <c r="AN56" s="1011">
        <f>+AN54*100/AN50</f>
        <v>2.9413768697490812</v>
      </c>
      <c r="AO56" s="370">
        <f>+AO54/AO50*100</f>
        <v>2.8919199634400656</v>
      </c>
      <c r="AP56" s="2872">
        <f>+AP54*100/AP50</f>
        <v>2.8</v>
      </c>
      <c r="AQ56" s="2872">
        <f>+AQ54/AQ50*100</f>
        <v>2.8759241678445577</v>
      </c>
      <c r="AR56" s="1011">
        <f>+AR54*100/AR50</f>
        <v>2.9263608138546928</v>
      </c>
      <c r="AS56" s="370">
        <f>+AS54/AS50*100</f>
        <v>2.890270521457162</v>
      </c>
      <c r="AT56" s="2872">
        <f>+AT54*100/AT50</f>
        <v>2.8</v>
      </c>
      <c r="AU56" s="2872">
        <f>+AU54/AU50*100</f>
        <v>2.981621273484734</v>
      </c>
      <c r="AV56" s="1011">
        <f>+AV54*100/AV50</f>
        <v>2.9153048186980266</v>
      </c>
      <c r="AW56" s="370">
        <f>+AW54/AW50*100</f>
        <v>2.8979771559493384</v>
      </c>
      <c r="AX56" s="2872">
        <f>+AX54*100/AX50</f>
        <v>2.8</v>
      </c>
      <c r="AY56" s="2872">
        <f>+AY54/AY50*100</f>
        <v>2.8281721703436022</v>
      </c>
      <c r="AZ56" s="348">
        <f>+AZ54/AZ50*100</f>
        <v>2.8000000000000003</v>
      </c>
      <c r="BA56" s="348">
        <f>+BA54/BA50*100</f>
        <v>2.8925878572016726</v>
      </c>
      <c r="BB56" s="488">
        <f>+BB54/BB50*100</f>
        <v>2.8000000000000003</v>
      </c>
      <c r="BC56" s="488">
        <f>+BC54/BC50*100</f>
        <v>2.906568888534935</v>
      </c>
      <c r="BD56" s="1011">
        <f>+BD54*100/BD50</f>
        <v>2.9051169078806849</v>
      </c>
      <c r="BE56" s="370">
        <f>+BE54/BE50*100</f>
        <v>2.8920856621233284</v>
      </c>
      <c r="BF56" s="114"/>
    </row>
    <row r="57" spans="2:58" ht="17.399999999999999" x14ac:dyDescent="0.3">
      <c r="B57" s="1342" t="s">
        <v>55</v>
      </c>
      <c r="C57" s="2874" t="s">
        <v>326</v>
      </c>
      <c r="D57" s="2548">
        <f>+D50-D52-D54</f>
        <v>373613.76</v>
      </c>
      <c r="E57" s="2548">
        <f>+E50-E52-E54</f>
        <v>324759.69482841773</v>
      </c>
      <c r="F57" s="2548">
        <f>+F50-F52-F54</f>
        <v>386732.40000000014</v>
      </c>
      <c r="G57" s="2548">
        <f>+G50-G52-G54</f>
        <v>368602.34221507778</v>
      </c>
      <c r="H57" s="2876">
        <f>+D57+F57</f>
        <v>760346.16000000015</v>
      </c>
      <c r="I57" s="1662">
        <f>+I50-I52-I54</f>
        <v>693362.03704349557</v>
      </c>
      <c r="J57" s="2548">
        <f>+J50-J52-J54</f>
        <v>373613.76</v>
      </c>
      <c r="K57" s="2548">
        <f>+K50-K52-K54</f>
        <v>371175.8527987182</v>
      </c>
      <c r="L57" s="645">
        <f>+H57+J57</f>
        <v>1133959.9200000002</v>
      </c>
      <c r="M57" s="645">
        <f>+M50-M52-M54</f>
        <v>1064537.8898422136</v>
      </c>
      <c r="N57" s="2548">
        <f>+N50-N52-N54</f>
        <v>382941.6</v>
      </c>
      <c r="O57" s="2548">
        <f>+O50-O52-O54</f>
        <v>389509.52391328814</v>
      </c>
      <c r="P57" s="644">
        <f>+L57+N57</f>
        <v>1516901.52</v>
      </c>
      <c r="Q57" s="644">
        <f>+Q50-Q52-Q54</f>
        <v>1454047.4137555021</v>
      </c>
      <c r="R57" s="2548">
        <f>+R50-R52-R54</f>
        <v>380463</v>
      </c>
      <c r="S57" s="2548">
        <f>+S50-S52-S54</f>
        <v>373894.52777883201</v>
      </c>
      <c r="T57" s="644">
        <f>+P57+R57</f>
        <v>1897364.52</v>
      </c>
      <c r="U57" s="644">
        <f>+U50-U52-U54</f>
        <v>1827941.9415343339</v>
      </c>
      <c r="V57" s="2548">
        <f>+V50-V52-V54</f>
        <v>203990</v>
      </c>
      <c r="W57" s="2548">
        <f>+W50-W52-W54</f>
        <v>368308.37</v>
      </c>
      <c r="X57" s="645">
        <f>+V57+R57+N57</f>
        <v>967394.6</v>
      </c>
      <c r="Y57" s="645">
        <f>+W57+S57+O57</f>
        <v>1131712.4216921201</v>
      </c>
      <c r="Z57" s="646">
        <f>+L57+X57</f>
        <v>2101354.52</v>
      </c>
      <c r="AA57" s="646">
        <f>+Y57+M57</f>
        <v>2196250.311534334</v>
      </c>
      <c r="AB57" s="2548">
        <f>+AB50-AB52-AB54</f>
        <v>385468.80000000005</v>
      </c>
      <c r="AC57" s="2548">
        <f>+AC50-AC52-AC54</f>
        <v>313207.67</v>
      </c>
      <c r="AD57" s="644">
        <f>+Z57+AB57</f>
        <v>2486823.3200000003</v>
      </c>
      <c r="AE57" s="644">
        <f>+AE50-AE52-AE54</f>
        <v>2509457.9815343339</v>
      </c>
      <c r="AF57" s="2548">
        <f>+AF50-AF52-AF54</f>
        <v>373613.76</v>
      </c>
      <c r="AG57" s="2548">
        <f>+AG50-AG52-AG54</f>
        <v>353851.43000000005</v>
      </c>
      <c r="AH57" s="644">
        <f>+AD57+AF57</f>
        <v>2860437.08</v>
      </c>
      <c r="AI57" s="644">
        <f>+AI50-AI52-AI54</f>
        <v>2863309.4115343336</v>
      </c>
      <c r="AJ57" s="2548">
        <f>+AJ50-AJ52-AJ54</f>
        <v>385468.80000000005</v>
      </c>
      <c r="AK57" s="2548">
        <f>+AK50-AK52-AK54</f>
        <v>372047.71027438948</v>
      </c>
      <c r="AL57" s="645">
        <f>+AJ57+AF57+AB57</f>
        <v>1144551.3600000001</v>
      </c>
      <c r="AM57" s="645">
        <f>+AK57+AG57+AC57</f>
        <v>1039106.8102743896</v>
      </c>
      <c r="AN57" s="644">
        <f>+AH57+AJ57</f>
        <v>3245905.88</v>
      </c>
      <c r="AO57" s="644">
        <f>+AO50-AO52-AO54</f>
        <v>3235357.1218087231</v>
      </c>
      <c r="AP57" s="2548">
        <f>+AP50-AP52-AP54</f>
        <v>386324.16</v>
      </c>
      <c r="AQ57" s="2548">
        <f>+AQ50-AQ52-AQ54</f>
        <v>372960.59</v>
      </c>
      <c r="AR57" s="644">
        <f>+AN57+AP57</f>
        <v>3632230.04</v>
      </c>
      <c r="AS57" s="644">
        <f>+AS50-AS52-AS54</f>
        <v>3608317.7118087234</v>
      </c>
      <c r="AT57" s="2548">
        <f>+AT50-AT52-AT54</f>
        <v>348756.72</v>
      </c>
      <c r="AU57" s="2548">
        <f>+AU50-AU52-AU54</f>
        <v>333412.63</v>
      </c>
      <c r="AV57" s="644">
        <f>+AR57+AT57</f>
        <v>3980986.76</v>
      </c>
      <c r="AW57" s="644">
        <f>+AW50-AW52-AW54</f>
        <v>3941730.3418087233</v>
      </c>
      <c r="AX57" s="2548">
        <f>+AX50-AX52-AX54</f>
        <v>386324.16</v>
      </c>
      <c r="AY57" s="2548">
        <f>+AY50-AY52-AY54</f>
        <v>364582.32</v>
      </c>
      <c r="AZ57" s="645">
        <f>+AX57+AT57+AP57</f>
        <v>1121405.0399999998</v>
      </c>
      <c r="BA57" s="645">
        <f>+AY57+AU57+AQ57</f>
        <v>1070955.54</v>
      </c>
      <c r="BB57" s="646">
        <f>+AL57+AZ57</f>
        <v>2265956.4</v>
      </c>
      <c r="BC57" s="646">
        <f>+BA57+AM57</f>
        <v>2110062.3502743896</v>
      </c>
      <c r="BD57" s="644">
        <f>+AV57+AX57</f>
        <v>4367310.92</v>
      </c>
      <c r="BE57" s="644">
        <f>+BE50-BE52-BE54</f>
        <v>4306312.6618087236</v>
      </c>
      <c r="BF57" s="114"/>
    </row>
    <row r="58" spans="2:58" ht="15.6" x14ac:dyDescent="0.3">
      <c r="B58" s="1332" t="s">
        <v>337</v>
      </c>
      <c r="C58" s="2890"/>
      <c r="D58" s="2891"/>
      <c r="E58" s="2891"/>
      <c r="F58" s="2891"/>
      <c r="G58" s="2891"/>
      <c r="H58" s="2891"/>
      <c r="I58" s="258"/>
      <c r="J58" s="2891"/>
      <c r="K58" s="2891"/>
      <c r="L58" s="1121"/>
      <c r="M58" s="1121"/>
      <c r="N58" s="2891"/>
      <c r="O58" s="2891"/>
      <c r="P58" s="1121"/>
      <c r="Q58" s="1121"/>
      <c r="R58" s="2891"/>
      <c r="S58" s="2891"/>
      <c r="T58" s="1121"/>
      <c r="U58" s="1121"/>
      <c r="V58" s="2891"/>
      <c r="W58" s="2891"/>
      <c r="X58" s="1121"/>
      <c r="Y58" s="1121"/>
      <c r="Z58" s="1121"/>
      <c r="AA58" s="1121"/>
      <c r="AB58" s="2891"/>
      <c r="AC58" s="2891"/>
      <c r="AD58" s="1121"/>
      <c r="AE58" s="1121"/>
      <c r="AF58" s="2891"/>
      <c r="AG58" s="2891"/>
      <c r="AH58" s="1121"/>
      <c r="AI58" s="1121"/>
      <c r="AJ58" s="2891"/>
      <c r="AK58" s="2891"/>
      <c r="AL58" s="1121"/>
      <c r="AM58" s="1121"/>
      <c r="AN58" s="1121"/>
      <c r="AO58" s="1121"/>
      <c r="AP58" s="2891"/>
      <c r="AQ58" s="2891"/>
      <c r="AR58" s="1121"/>
      <c r="AS58" s="1121"/>
      <c r="AT58" s="2891"/>
      <c r="AU58" s="2891"/>
      <c r="AV58" s="1121"/>
      <c r="AW58" s="1121"/>
      <c r="AX58" s="2891"/>
      <c r="AY58" s="2891"/>
      <c r="AZ58" s="1121"/>
      <c r="BA58" s="1121"/>
      <c r="BB58" s="1121"/>
      <c r="BC58" s="1121"/>
      <c r="BD58" s="1121"/>
      <c r="BE58" s="1121"/>
      <c r="BF58" s="114"/>
    </row>
    <row r="59" spans="2:58" x14ac:dyDescent="0.3">
      <c r="B59" s="8" t="s">
        <v>80</v>
      </c>
      <c r="C59" s="2546" t="s">
        <v>326</v>
      </c>
      <c r="D59" s="2599">
        <f>D60*D$3*24</f>
        <v>173178.40909090912</v>
      </c>
      <c r="E59" s="2537">
        <v>141838.50000000006</v>
      </c>
      <c r="F59" s="2599">
        <f>F60*F$3*24</f>
        <v>178641.13636363635</v>
      </c>
      <c r="G59" s="2537">
        <v>163016</v>
      </c>
      <c r="H59" s="2538">
        <f t="shared" ref="H59:I73" si="332">+D59+F59</f>
        <v>351819.54545454547</v>
      </c>
      <c r="I59" s="38">
        <f t="shared" si="332"/>
        <v>304854.50000000006</v>
      </c>
      <c r="J59" s="2599">
        <f>J60*J$3*24</f>
        <v>173178.40909090912</v>
      </c>
      <c r="K59" s="2537">
        <v>163513.99999999997</v>
      </c>
      <c r="L59" s="774">
        <f t="shared" ref="L59:L73" si="333">+H59+J59</f>
        <v>524997.95454545459</v>
      </c>
      <c r="M59" s="774">
        <f t="shared" ref="M59:M73" si="334">+I59+K59</f>
        <v>468368.5</v>
      </c>
      <c r="N59" s="2599">
        <f>N60*N$3*24</f>
        <v>174767.55681818182</v>
      </c>
      <c r="O59" s="2537">
        <v>170113</v>
      </c>
      <c r="P59" s="775">
        <f t="shared" ref="P59:P73" si="335">+L59+N59</f>
        <v>699765.51136363647</v>
      </c>
      <c r="Q59" s="775">
        <f t="shared" ref="Q59:Q73" si="336">+M59+O59</f>
        <v>638481.5</v>
      </c>
      <c r="R59" s="2599">
        <f>R60*R$3*24</f>
        <v>174767.55681818182</v>
      </c>
      <c r="S59" s="2537">
        <v>162704</v>
      </c>
      <c r="T59" s="775">
        <f t="shared" ref="T59" si="337">+P59+R59</f>
        <v>874533.06818181835</v>
      </c>
      <c r="U59" s="775">
        <f t="shared" ref="U59" si="338">+Q59+S59</f>
        <v>801185.5</v>
      </c>
      <c r="V59" s="2599">
        <f>V60*V$3*24</f>
        <v>95952.272727272735</v>
      </c>
      <c r="W59" s="2537">
        <v>159350</v>
      </c>
      <c r="X59" s="774">
        <f t="shared" ref="X59:X73" si="339">+V59+R59+N59</f>
        <v>445487.38636363641</v>
      </c>
      <c r="Y59" s="774">
        <f t="shared" ref="Y59:Y74" si="340">+W59+S59+O59</f>
        <v>492167</v>
      </c>
      <c r="Z59" s="460">
        <f t="shared" ref="Z59:Z73" si="341">+L59+X59</f>
        <v>970485.34090909106</v>
      </c>
      <c r="AA59" s="460">
        <f t="shared" ref="AA59:AA73" si="342">+Y59+M59</f>
        <v>960535.5</v>
      </c>
      <c r="AB59" s="2599">
        <f>AB60*AB$3*24</f>
        <v>178641.13636363635</v>
      </c>
      <c r="AC59" s="2537">
        <v>135260</v>
      </c>
      <c r="AD59" s="775">
        <f t="shared" ref="AD59" si="343">+Z59+AB59</f>
        <v>1149126.4772727275</v>
      </c>
      <c r="AE59" s="775">
        <f t="shared" ref="AE59" si="344">+AA59+AC59</f>
        <v>1095795.5</v>
      </c>
      <c r="AF59" s="2599">
        <f>AF60*AF$3*24</f>
        <v>173178.40909090912</v>
      </c>
      <c r="AG59" s="2537">
        <v>151505</v>
      </c>
      <c r="AH59" s="775">
        <f t="shared" ref="AH59" si="345">+AD59+AF59</f>
        <v>1322304.8863636367</v>
      </c>
      <c r="AI59" s="775">
        <f t="shared" ref="AI59" si="346">+AE59+AG59</f>
        <v>1247300.5</v>
      </c>
      <c r="AJ59" s="2599">
        <f>AJ60*AJ$3*24</f>
        <v>178641.13636363635</v>
      </c>
      <c r="AK59" s="2537">
        <v>157823</v>
      </c>
      <c r="AL59" s="774">
        <f t="shared" ref="AL59" si="347">+AJ59+AF59+AB59</f>
        <v>530460.68181818188</v>
      </c>
      <c r="AM59" s="774">
        <f t="shared" ref="AM59:AM74" si="348">+AK59+AG59+AC59</f>
        <v>444588</v>
      </c>
      <c r="AN59" s="775">
        <f t="shared" ref="AN59" si="349">+AH59+AJ59</f>
        <v>1500946.0227272729</v>
      </c>
      <c r="AO59" s="775">
        <f t="shared" ref="AO59" si="350">+AI59+AK59</f>
        <v>1405123.5</v>
      </c>
      <c r="AP59" s="2599">
        <f>AP60*AP$3*24</f>
        <v>181739.99999999997</v>
      </c>
      <c r="AQ59" s="2537">
        <v>157798</v>
      </c>
      <c r="AR59" s="775">
        <f t="shared" ref="AR59" si="351">+AN59+AP59</f>
        <v>1682686.0227272729</v>
      </c>
      <c r="AS59" s="775">
        <f t="shared" ref="AS59" si="352">+AO59+AQ59</f>
        <v>1562921.5</v>
      </c>
      <c r="AT59" s="2599">
        <f>AT60*AT$3*24</f>
        <v>162252.95454545456</v>
      </c>
      <c r="AU59" s="2537">
        <v>141171</v>
      </c>
      <c r="AV59" s="775">
        <f t="shared" ref="AV59" si="353">+AR59+AT59</f>
        <v>1844938.9772727275</v>
      </c>
      <c r="AW59" s="775">
        <f t="shared" ref="AW59" si="354">+AS59+AU59</f>
        <v>1704092.5</v>
      </c>
      <c r="AX59" s="2599">
        <f>AX60*AX$3*24</f>
        <v>181739.99999999997</v>
      </c>
      <c r="AY59" s="2537">
        <v>154562</v>
      </c>
      <c r="AZ59" s="774">
        <f t="shared" ref="AZ59" si="355">+AX59+AT59+AP59</f>
        <v>525732.95454545447</v>
      </c>
      <c r="BA59" s="774">
        <f t="shared" ref="BA59:BA74" si="356">+AY59+AU59+AQ59</f>
        <v>453531</v>
      </c>
      <c r="BB59" s="460">
        <f t="shared" ref="BB59:BB73" si="357">+AL59+AZ59</f>
        <v>1056193.6363636362</v>
      </c>
      <c r="BC59" s="460">
        <f t="shared" ref="BC59:BC73" si="358">+AM59+BA59</f>
        <v>898119</v>
      </c>
      <c r="BD59" s="775">
        <f t="shared" ref="BD59" si="359">+AV59+AX59</f>
        <v>2026678.9772727275</v>
      </c>
      <c r="BE59" s="775">
        <f t="shared" ref="BE59" si="360">+AW59+AY59</f>
        <v>1858654.5</v>
      </c>
      <c r="BF59" s="114"/>
    </row>
    <row r="60" spans="2:58" ht="15" hidden="1" customHeight="1" x14ac:dyDescent="0.3">
      <c r="B60" s="8"/>
      <c r="C60" s="2546"/>
      <c r="D60" s="2615">
        <v>240.52556818181819</v>
      </c>
      <c r="E60" s="2537"/>
      <c r="F60" s="2615">
        <v>240.10905425219943</v>
      </c>
      <c r="G60" s="2537"/>
      <c r="H60" s="2538"/>
      <c r="I60" s="38"/>
      <c r="J60" s="2615">
        <v>240.52556818181819</v>
      </c>
      <c r="K60" s="2537"/>
      <c r="L60" s="774"/>
      <c r="M60" s="774"/>
      <c r="N60" s="2615">
        <v>234.90263013196483</v>
      </c>
      <c r="O60" s="2537"/>
      <c r="P60" s="775"/>
      <c r="Q60" s="775"/>
      <c r="R60" s="2615">
        <v>234.90263013196483</v>
      </c>
      <c r="S60" s="2537"/>
      <c r="T60" s="775"/>
      <c r="U60" s="775"/>
      <c r="V60" s="2615">
        <v>133.26704545454547</v>
      </c>
      <c r="W60" s="2537"/>
      <c r="X60" s="774"/>
      <c r="Y60" s="774">
        <f t="shared" si="340"/>
        <v>0</v>
      </c>
      <c r="Z60" s="460"/>
      <c r="AA60" s="460"/>
      <c r="AB60" s="2615">
        <v>240.10905425219943</v>
      </c>
      <c r="AC60" s="2537"/>
      <c r="AD60" s="775"/>
      <c r="AE60" s="775"/>
      <c r="AF60" s="2615">
        <v>240.52556818181819</v>
      </c>
      <c r="AG60" s="2537"/>
      <c r="AH60" s="775"/>
      <c r="AI60" s="775"/>
      <c r="AJ60" s="2615">
        <v>240.10905425219943</v>
      </c>
      <c r="AK60" s="2537"/>
      <c r="AL60" s="774"/>
      <c r="AM60" s="774">
        <f t="shared" si="348"/>
        <v>0</v>
      </c>
      <c r="AN60" s="775"/>
      <c r="AO60" s="775"/>
      <c r="AP60" s="2615">
        <v>244.27419354838707</v>
      </c>
      <c r="AQ60" s="2537"/>
      <c r="AR60" s="775"/>
      <c r="AS60" s="775"/>
      <c r="AT60" s="2615">
        <v>241.44784902597402</v>
      </c>
      <c r="AU60" s="2537"/>
      <c r="AV60" s="775"/>
      <c r="AW60" s="775"/>
      <c r="AX60" s="2615">
        <v>244.27419354838707</v>
      </c>
      <c r="AY60" s="2537"/>
      <c r="AZ60" s="774"/>
      <c r="BA60" s="774">
        <f t="shared" si="356"/>
        <v>0</v>
      </c>
      <c r="BB60" s="460">
        <f t="shared" si="357"/>
        <v>0</v>
      </c>
      <c r="BC60" s="460">
        <f t="shared" si="358"/>
        <v>0</v>
      </c>
      <c r="BD60" s="775"/>
      <c r="BE60" s="775"/>
      <c r="BF60" s="114"/>
    </row>
    <row r="61" spans="2:58" x14ac:dyDescent="0.3">
      <c r="B61" s="8" t="s">
        <v>107</v>
      </c>
      <c r="C61" s="2546" t="s">
        <v>326</v>
      </c>
      <c r="D61" s="2599">
        <f>D62*D$3*24</f>
        <v>62280</v>
      </c>
      <c r="E61" s="2537">
        <v>56777</v>
      </c>
      <c r="F61" s="2599">
        <f>F62*F$3*24</f>
        <v>64356</v>
      </c>
      <c r="G61" s="2537">
        <v>64672</v>
      </c>
      <c r="H61" s="2538">
        <f t="shared" si="332"/>
        <v>126636</v>
      </c>
      <c r="I61" s="38">
        <f t="shared" si="332"/>
        <v>121449</v>
      </c>
      <c r="J61" s="2599">
        <f>J62*J$3*24</f>
        <v>62280</v>
      </c>
      <c r="K61" s="2537">
        <v>65772.333333333328</v>
      </c>
      <c r="L61" s="774">
        <f t="shared" si="333"/>
        <v>188916</v>
      </c>
      <c r="M61" s="774">
        <f t="shared" si="334"/>
        <v>187221.33333333331</v>
      </c>
      <c r="N61" s="2599">
        <f>N62*N$3*24</f>
        <v>64356</v>
      </c>
      <c r="O61" s="2537">
        <v>68850</v>
      </c>
      <c r="P61" s="775">
        <f t="shared" si="335"/>
        <v>253272</v>
      </c>
      <c r="Q61" s="775">
        <f t="shared" si="336"/>
        <v>256071.33333333331</v>
      </c>
      <c r="R61" s="2599">
        <f>R62*R$3*24</f>
        <v>64356</v>
      </c>
      <c r="S61" s="2537">
        <v>66064</v>
      </c>
      <c r="T61" s="775">
        <f t="shared" ref="T61" si="361">+P61+R61</f>
        <v>317628</v>
      </c>
      <c r="U61" s="775">
        <f t="shared" ref="U61" si="362">+Q61+S61</f>
        <v>322135.33333333331</v>
      </c>
      <c r="V61" s="2599">
        <f>V62*V$3*24</f>
        <v>32400</v>
      </c>
      <c r="W61" s="2537">
        <v>65513.2</v>
      </c>
      <c r="X61" s="774">
        <f t="shared" si="339"/>
        <v>161112</v>
      </c>
      <c r="Y61" s="774">
        <f t="shared" si="340"/>
        <v>200427.2</v>
      </c>
      <c r="Z61" s="460">
        <f t="shared" si="341"/>
        <v>350028</v>
      </c>
      <c r="AA61" s="460">
        <f t="shared" si="342"/>
        <v>387648.53333333333</v>
      </c>
      <c r="AB61" s="2599">
        <f>AB62*AB$3*24</f>
        <v>64356</v>
      </c>
      <c r="AC61" s="2537">
        <v>55488</v>
      </c>
      <c r="AD61" s="775">
        <f t="shared" ref="AD61" si="363">+Z61+AB61</f>
        <v>414384</v>
      </c>
      <c r="AE61" s="775">
        <f t="shared" ref="AE61" si="364">+AA61+AC61</f>
        <v>443136.53333333333</v>
      </c>
      <c r="AF61" s="2599">
        <f>AF62*AF$3*24</f>
        <v>62280</v>
      </c>
      <c r="AG61" s="2537">
        <v>63249</v>
      </c>
      <c r="AH61" s="775">
        <f t="shared" ref="AH61" si="365">+AD61+AF61</f>
        <v>476664</v>
      </c>
      <c r="AI61" s="775">
        <f t="shared" ref="AI61" si="366">+AE61+AG61</f>
        <v>506385.53333333333</v>
      </c>
      <c r="AJ61" s="2599">
        <f>AJ62*AJ$3*24</f>
        <v>64356</v>
      </c>
      <c r="AK61" s="2537">
        <v>67056.899999999994</v>
      </c>
      <c r="AL61" s="774">
        <f t="shared" ref="AL61" si="367">+AJ61+AF61+AB61</f>
        <v>190992</v>
      </c>
      <c r="AM61" s="774">
        <f t="shared" si="348"/>
        <v>185793.9</v>
      </c>
      <c r="AN61" s="775">
        <f t="shared" ref="AN61" si="368">+AH61+AJ61</f>
        <v>541020</v>
      </c>
      <c r="AO61" s="775">
        <f t="shared" ref="AO61" si="369">+AI61+AK61</f>
        <v>573442.43333333335</v>
      </c>
      <c r="AP61" s="2599">
        <f>AP62*AP$3*24</f>
        <v>64356</v>
      </c>
      <c r="AQ61" s="2537">
        <v>66654</v>
      </c>
      <c r="AR61" s="775">
        <f t="shared" ref="AR61" si="370">+AN61+AP61</f>
        <v>605376</v>
      </c>
      <c r="AS61" s="775">
        <f t="shared" ref="AS61" si="371">+AO61+AQ61</f>
        <v>640096.43333333335</v>
      </c>
      <c r="AT61" s="2599">
        <f>AT62*AT$3*24</f>
        <v>58128</v>
      </c>
      <c r="AU61" s="2537">
        <v>58549</v>
      </c>
      <c r="AV61" s="775">
        <f t="shared" ref="AV61" si="372">+AR61+AT61</f>
        <v>663504</v>
      </c>
      <c r="AW61" s="775">
        <f t="shared" ref="AW61" si="373">+AS61+AU61</f>
        <v>698645.43333333335</v>
      </c>
      <c r="AX61" s="2599">
        <f>AX62*AX$3*24</f>
        <v>64356</v>
      </c>
      <c r="AY61" s="2537">
        <v>65647</v>
      </c>
      <c r="AZ61" s="774">
        <f t="shared" ref="AZ61" si="374">+AX61+AT61+AP61</f>
        <v>186840</v>
      </c>
      <c r="BA61" s="774">
        <f t="shared" si="356"/>
        <v>190850</v>
      </c>
      <c r="BB61" s="460">
        <f t="shared" si="357"/>
        <v>377832</v>
      </c>
      <c r="BC61" s="460">
        <f t="shared" si="358"/>
        <v>376643.9</v>
      </c>
      <c r="BD61" s="775">
        <f t="shared" ref="BD61" si="375">+AV61+AX61</f>
        <v>727860</v>
      </c>
      <c r="BE61" s="775">
        <f t="shared" ref="BE61" si="376">+AW61+AY61</f>
        <v>764292.43333333335</v>
      </c>
      <c r="BF61" s="114"/>
    </row>
    <row r="62" spans="2:58" ht="15" hidden="1" customHeight="1" x14ac:dyDescent="0.3">
      <c r="B62" s="8"/>
      <c r="C62" s="2546"/>
      <c r="D62" s="2615">
        <v>86.5</v>
      </c>
      <c r="E62" s="2537"/>
      <c r="F62" s="2615">
        <v>86.5</v>
      </c>
      <c r="G62" s="2537"/>
      <c r="H62" s="2538"/>
      <c r="I62" s="38"/>
      <c r="J62" s="2615">
        <v>86.5</v>
      </c>
      <c r="K62" s="2537"/>
      <c r="L62" s="774"/>
      <c r="M62" s="774"/>
      <c r="N62" s="2615">
        <v>86.5</v>
      </c>
      <c r="O62" s="2537"/>
      <c r="P62" s="775"/>
      <c r="Q62" s="775"/>
      <c r="R62" s="2615">
        <v>86.5</v>
      </c>
      <c r="S62" s="2537"/>
      <c r="T62" s="775"/>
      <c r="U62" s="775"/>
      <c r="V62" s="2615">
        <v>45</v>
      </c>
      <c r="W62" s="2537"/>
      <c r="X62" s="774"/>
      <c r="Y62" s="774">
        <f t="shared" si="340"/>
        <v>0</v>
      </c>
      <c r="Z62" s="460"/>
      <c r="AA62" s="460"/>
      <c r="AB62" s="2615">
        <v>86.5</v>
      </c>
      <c r="AC62" s="2537"/>
      <c r="AD62" s="775"/>
      <c r="AE62" s="775"/>
      <c r="AF62" s="2615">
        <v>86.5</v>
      </c>
      <c r="AG62" s="2537"/>
      <c r="AH62" s="775"/>
      <c r="AI62" s="775"/>
      <c r="AJ62" s="2615">
        <v>86.5</v>
      </c>
      <c r="AK62" s="2537"/>
      <c r="AL62" s="774"/>
      <c r="AM62" s="774">
        <f t="shared" si="348"/>
        <v>0</v>
      </c>
      <c r="AN62" s="775"/>
      <c r="AO62" s="775"/>
      <c r="AP62" s="2615">
        <v>86.5</v>
      </c>
      <c r="AQ62" s="2537"/>
      <c r="AR62" s="775"/>
      <c r="AS62" s="775"/>
      <c r="AT62" s="2615">
        <v>86.5</v>
      </c>
      <c r="AU62" s="2537"/>
      <c r="AV62" s="775"/>
      <c r="AW62" s="775"/>
      <c r="AX62" s="2615">
        <v>86.5</v>
      </c>
      <c r="AY62" s="2537"/>
      <c r="AZ62" s="774"/>
      <c r="BA62" s="774">
        <f t="shared" si="356"/>
        <v>0</v>
      </c>
      <c r="BB62" s="460">
        <f t="shared" si="357"/>
        <v>0</v>
      </c>
      <c r="BC62" s="460">
        <f t="shared" si="358"/>
        <v>0</v>
      </c>
      <c r="BD62" s="775"/>
      <c r="BE62" s="775"/>
      <c r="BF62" s="114"/>
    </row>
    <row r="63" spans="2:58" x14ac:dyDescent="0.3">
      <c r="B63" s="8" t="s">
        <v>90</v>
      </c>
      <c r="C63" s="2546" t="s">
        <v>326</v>
      </c>
      <c r="D63" s="2599">
        <f>D64*D$3*24</f>
        <v>128992.02602301195</v>
      </c>
      <c r="E63" s="2537">
        <v>117320.6</v>
      </c>
      <c r="F63" s="2599">
        <f>F64*F$3*24</f>
        <v>130573.11180132374</v>
      </c>
      <c r="G63" s="2537">
        <v>132037.49999999997</v>
      </c>
      <c r="H63" s="2538">
        <f t="shared" si="332"/>
        <v>259565.13782433569</v>
      </c>
      <c r="I63" s="38">
        <f t="shared" si="332"/>
        <v>249358.09999999998</v>
      </c>
      <c r="J63" s="2599">
        <f>J64*J$3*24</f>
        <v>125587.44737132653</v>
      </c>
      <c r="K63" s="2537">
        <v>133448.99999999991</v>
      </c>
      <c r="L63" s="774">
        <f t="shared" si="333"/>
        <v>385152.58519566222</v>
      </c>
      <c r="M63" s="774">
        <f t="shared" si="334"/>
        <v>382807.09999999986</v>
      </c>
      <c r="N63" s="2599">
        <f>N64*N$3*24</f>
        <v>130670.40545758719</v>
      </c>
      <c r="O63" s="2537">
        <v>140977</v>
      </c>
      <c r="P63" s="775">
        <f t="shared" si="335"/>
        <v>515822.99065324944</v>
      </c>
      <c r="Q63" s="775">
        <f t="shared" si="336"/>
        <v>523784.09999999986</v>
      </c>
      <c r="R63" s="2599">
        <f>R64*R$3*24</f>
        <v>128191.80545758724</v>
      </c>
      <c r="S63" s="2537">
        <v>136614</v>
      </c>
      <c r="T63" s="775">
        <f t="shared" ref="T63" si="377">+P63+R63</f>
        <v>644014.79611083667</v>
      </c>
      <c r="U63" s="775">
        <f t="shared" ref="U63" si="378">+Q63+S63</f>
        <v>660398.09999999986</v>
      </c>
      <c r="V63" s="2599">
        <f>V64*V$3*24</f>
        <v>67969.352302229032</v>
      </c>
      <c r="W63" s="2537">
        <v>135017</v>
      </c>
      <c r="X63" s="774">
        <f t="shared" si="339"/>
        <v>326831.56321740348</v>
      </c>
      <c r="Y63" s="774">
        <f t="shared" si="340"/>
        <v>412608</v>
      </c>
      <c r="Z63" s="460">
        <f t="shared" si="341"/>
        <v>711984.1484130657</v>
      </c>
      <c r="AA63" s="460">
        <f t="shared" si="342"/>
        <v>795415.09999999986</v>
      </c>
      <c r="AB63" s="2599">
        <f>AB64*AB$3*24</f>
        <v>129219.10949805951</v>
      </c>
      <c r="AC63" s="2537">
        <v>115412</v>
      </c>
      <c r="AD63" s="775">
        <f t="shared" ref="AD63" si="379">+Z63+AB63</f>
        <v>841203.2579111252</v>
      </c>
      <c r="AE63" s="775">
        <f t="shared" ref="AE63" si="380">+AA63+AC63</f>
        <v>910827.09999999986</v>
      </c>
      <c r="AF63" s="2599">
        <f>AF64*AF$3*24</f>
        <v>123286.29370997811</v>
      </c>
      <c r="AG63" s="2537">
        <v>133438.20000000001</v>
      </c>
      <c r="AH63" s="775">
        <f t="shared" ref="AH63" si="381">+AD63+AF63</f>
        <v>964489.55162110331</v>
      </c>
      <c r="AI63" s="775">
        <f t="shared" ref="AI63" si="382">+AE63+AG63</f>
        <v>1044265.2999999998</v>
      </c>
      <c r="AJ63" s="2599">
        <f>AJ64*AJ$3*24</f>
        <v>127105.8223476383</v>
      </c>
      <c r="AK63" s="2537">
        <v>140162.4</v>
      </c>
      <c r="AL63" s="774">
        <f t="shared" ref="AL63" si="383">+AJ63+AF63+AB63</f>
        <v>379611.22555567592</v>
      </c>
      <c r="AM63" s="774">
        <f t="shared" si="348"/>
        <v>389012.6</v>
      </c>
      <c r="AN63" s="775">
        <f t="shared" ref="AN63" si="384">+AH63+AJ63</f>
        <v>1091595.3739687416</v>
      </c>
      <c r="AO63" s="775">
        <f t="shared" ref="AO63" si="385">+AI63+AK63</f>
        <v>1184427.6999999997</v>
      </c>
      <c r="AP63" s="2599">
        <f>AP64*AP$3*24</f>
        <v>124819.78638140394</v>
      </c>
      <c r="AQ63" s="2537">
        <v>139254</v>
      </c>
      <c r="AR63" s="775">
        <f t="shared" ref="AR63" si="386">+AN63+AP63</f>
        <v>1216415.1603501455</v>
      </c>
      <c r="AS63" s="775">
        <f t="shared" ref="AS63" si="387">+AO63+AQ63</f>
        <v>1323681.6999999997</v>
      </c>
      <c r="AT63" s="2599">
        <f>AT64*AT$3*24</f>
        <v>114088.06572527008</v>
      </c>
      <c r="AU63" s="2537">
        <v>126757</v>
      </c>
      <c r="AV63" s="775">
        <f t="shared" ref="AV63" si="388">+AR63+AT63</f>
        <v>1330503.2260754155</v>
      </c>
      <c r="AW63" s="775">
        <f t="shared" ref="AW63" si="389">+AS63+AU63</f>
        <v>1450438.6999999997</v>
      </c>
      <c r="AX63" s="2599">
        <f>AX64*AX$3*24</f>
        <v>126660.91069560601</v>
      </c>
      <c r="AY63" s="2537">
        <v>137252</v>
      </c>
      <c r="AZ63" s="774">
        <f t="shared" ref="AZ63" si="390">+AX63+AT63+AP63</f>
        <v>365568.76280228002</v>
      </c>
      <c r="BA63" s="774">
        <f t="shared" si="356"/>
        <v>403263</v>
      </c>
      <c r="BB63" s="460">
        <f t="shared" si="357"/>
        <v>745179.98835795594</v>
      </c>
      <c r="BC63" s="460">
        <f t="shared" si="358"/>
        <v>792275.6</v>
      </c>
      <c r="BD63" s="775">
        <f t="shared" ref="BD63" si="391">+AV63+AX63</f>
        <v>1457164.1367710214</v>
      </c>
      <c r="BE63" s="775">
        <f t="shared" ref="BE63" si="392">+AW63+AY63</f>
        <v>1587690.6999999997</v>
      </c>
      <c r="BF63" s="114"/>
    </row>
    <row r="64" spans="2:58" ht="15" hidden="1" customHeight="1" x14ac:dyDescent="0.3">
      <c r="B64" s="8"/>
      <c r="C64" s="2546"/>
      <c r="D64" s="2615">
        <v>179.15559169862769</v>
      </c>
      <c r="E64" s="2537"/>
      <c r="F64" s="2615">
        <v>175.50149435661791</v>
      </c>
      <c r="G64" s="2537"/>
      <c r="H64" s="2538"/>
      <c r="I64" s="38"/>
      <c r="J64" s="2615">
        <v>174.42701023795354</v>
      </c>
      <c r="K64" s="2537"/>
      <c r="L64" s="774"/>
      <c r="M64" s="774"/>
      <c r="N64" s="2615">
        <v>175.6322653999828</v>
      </c>
      <c r="O64" s="2537"/>
      <c r="P64" s="775"/>
      <c r="Q64" s="775"/>
      <c r="R64" s="2615">
        <v>172.30081378707962</v>
      </c>
      <c r="S64" s="2537"/>
      <c r="T64" s="775"/>
      <c r="U64" s="775"/>
      <c r="V64" s="2615">
        <v>94.401878197540313</v>
      </c>
      <c r="W64" s="2537"/>
      <c r="X64" s="774"/>
      <c r="Y64" s="774">
        <f t="shared" si="340"/>
        <v>0</v>
      </c>
      <c r="Z64" s="460"/>
      <c r="AA64" s="460"/>
      <c r="AB64" s="2615">
        <v>173.68159878771439</v>
      </c>
      <c r="AC64" s="2537"/>
      <c r="AD64" s="775"/>
      <c r="AE64" s="775"/>
      <c r="AF64" s="2615">
        <v>171.23096348608073</v>
      </c>
      <c r="AG64" s="2537"/>
      <c r="AH64" s="775"/>
      <c r="AI64" s="775"/>
      <c r="AJ64" s="2615">
        <v>170.84115906940633</v>
      </c>
      <c r="AK64" s="2537"/>
      <c r="AL64" s="774"/>
      <c r="AM64" s="774">
        <f t="shared" si="348"/>
        <v>0</v>
      </c>
      <c r="AN64" s="775"/>
      <c r="AO64" s="775"/>
      <c r="AP64" s="2615">
        <v>167.76853008253218</v>
      </c>
      <c r="AQ64" s="2537"/>
      <c r="AR64" s="775"/>
      <c r="AS64" s="775"/>
      <c r="AT64" s="2615">
        <v>169.77390732927094</v>
      </c>
      <c r="AU64" s="2537"/>
      <c r="AV64" s="775"/>
      <c r="AW64" s="775"/>
      <c r="AX64" s="2615">
        <v>170.24315953710484</v>
      </c>
      <c r="AY64" s="2537"/>
      <c r="AZ64" s="774"/>
      <c r="BA64" s="774">
        <f t="shared" si="356"/>
        <v>0</v>
      </c>
      <c r="BB64" s="460">
        <f t="shared" si="357"/>
        <v>0</v>
      </c>
      <c r="BC64" s="460">
        <f t="shared" si="358"/>
        <v>0</v>
      </c>
      <c r="BD64" s="775"/>
      <c r="BE64" s="775"/>
      <c r="BF64" s="114"/>
    </row>
    <row r="65" spans="1:58" x14ac:dyDescent="0.3">
      <c r="B65" s="8" t="s">
        <v>59</v>
      </c>
      <c r="C65" s="2546" t="s">
        <v>326</v>
      </c>
      <c r="D65" s="2599">
        <f>D66*D$3*24</f>
        <v>1826.5730854513331</v>
      </c>
      <c r="E65" s="2537">
        <v>2057.7302956490353</v>
      </c>
      <c r="F65" s="2599">
        <f>F66*F$3*24</f>
        <v>2604.295976697917</v>
      </c>
      <c r="G65" s="2537">
        <v>2012.0675056975531</v>
      </c>
      <c r="H65" s="2538">
        <f t="shared" si="332"/>
        <v>4430.8690621492497</v>
      </c>
      <c r="I65" s="38">
        <f t="shared" si="332"/>
        <v>4069.7978013465881</v>
      </c>
      <c r="J65" s="2599">
        <f>J66*J$3*24</f>
        <v>2505.2254097750365</v>
      </c>
      <c r="K65" s="2537">
        <v>1899.1130777918936</v>
      </c>
      <c r="L65" s="774">
        <f t="shared" si="333"/>
        <v>6936.0944719242862</v>
      </c>
      <c r="M65" s="774">
        <f t="shared" si="334"/>
        <v>5968.9108791384815</v>
      </c>
      <c r="N65" s="2599">
        <f>N66*N$3*24</f>
        <v>2603.4217236998202</v>
      </c>
      <c r="O65" s="2537">
        <v>2311.4546741922049</v>
      </c>
      <c r="P65" s="775">
        <f t="shared" si="335"/>
        <v>9539.5161956241063</v>
      </c>
      <c r="Q65" s="775">
        <f t="shared" si="336"/>
        <v>8280.3655533306865</v>
      </c>
      <c r="R65" s="2599">
        <f>R66*R$3*24</f>
        <v>2603.4217236998202</v>
      </c>
      <c r="S65" s="2537">
        <v>1938.8333894748712</v>
      </c>
      <c r="T65" s="775">
        <f t="shared" ref="T65" si="393">+P65+R65</f>
        <v>12142.937919323926</v>
      </c>
      <c r="U65" s="775">
        <f t="shared" ref="U65" si="394">+Q65+S65</f>
        <v>10219.198942805557</v>
      </c>
      <c r="V65" s="2599">
        <f>V66*V$3*24</f>
        <v>1571.2593698658002</v>
      </c>
      <c r="W65" s="2537">
        <v>1874.87</v>
      </c>
      <c r="X65" s="774">
        <f t="shared" si="339"/>
        <v>6778.1028172654405</v>
      </c>
      <c r="Y65" s="774">
        <f t="shared" si="340"/>
        <v>6125.158063667076</v>
      </c>
      <c r="Z65" s="460">
        <f t="shared" si="341"/>
        <v>13714.197289189728</v>
      </c>
      <c r="AA65" s="460">
        <f t="shared" si="342"/>
        <v>12094.068942805558</v>
      </c>
      <c r="AB65" s="2599">
        <f>AB66*AB$3*24</f>
        <v>2520.7438437941669</v>
      </c>
      <c r="AC65" s="2537">
        <v>1896.68</v>
      </c>
      <c r="AD65" s="775">
        <f t="shared" ref="AD65" si="395">+Z65+AB65</f>
        <v>16234.941132983895</v>
      </c>
      <c r="AE65" s="775">
        <f t="shared" ref="AE65" si="396">+AA65+AC65</f>
        <v>13990.748942805558</v>
      </c>
      <c r="AF65" s="2599">
        <f>AF66*AF$3*24</f>
        <v>2894.4364246440591</v>
      </c>
      <c r="AG65" s="2537">
        <v>1267.57</v>
      </c>
      <c r="AH65" s="775">
        <f t="shared" ref="AH65" si="397">+AD65+AF65</f>
        <v>19129.377557627955</v>
      </c>
      <c r="AI65" s="775">
        <f t="shared" ref="AI65" si="398">+AE65+AG65</f>
        <v>15258.318942805558</v>
      </c>
      <c r="AJ65" s="2599">
        <f>AJ66*AJ$3*24</f>
        <v>2996.6376752435194</v>
      </c>
      <c r="AK65" s="2537">
        <v>1853.538538551838</v>
      </c>
      <c r="AL65" s="774">
        <f t="shared" ref="AL65" si="399">+AJ65+AF65+AB65</f>
        <v>8411.8179436817463</v>
      </c>
      <c r="AM65" s="774">
        <f t="shared" si="348"/>
        <v>5017.7885385518384</v>
      </c>
      <c r="AN65" s="775">
        <f t="shared" ref="AN65" si="400">+AH65+AJ65</f>
        <v>22126.015232871476</v>
      </c>
      <c r="AO65" s="775">
        <f t="shared" ref="AO65" si="401">+AI65+AK65</f>
        <v>17111.857481357394</v>
      </c>
      <c r="AP65" s="2599">
        <f>AP66*AP$3*24</f>
        <v>3032.3591622647473</v>
      </c>
      <c r="AQ65" s="2537">
        <v>2126.38</v>
      </c>
      <c r="AR65" s="775">
        <f t="shared" ref="AR65" si="402">+AN65+AP65</f>
        <v>25158.374395136223</v>
      </c>
      <c r="AS65" s="775">
        <f t="shared" ref="AS65" si="403">+AO65+AQ65</f>
        <v>19238.237481357395</v>
      </c>
      <c r="AT65" s="2599">
        <f>AT66*AT$3*24</f>
        <v>2739.8480038334214</v>
      </c>
      <c r="AU65" s="2537">
        <v>1534.42</v>
      </c>
      <c r="AV65" s="775">
        <f t="shared" ref="AV65" si="404">+AR65+AT65</f>
        <v>27898.222398969643</v>
      </c>
      <c r="AW65" s="775">
        <f t="shared" ref="AW65" si="405">+AS65+AU65</f>
        <v>20772.657481357397</v>
      </c>
      <c r="AX65" s="2599">
        <f>AX66*AX$3*24</f>
        <v>2658.0325086333974</v>
      </c>
      <c r="AY65" s="2537">
        <v>1681.43</v>
      </c>
      <c r="AZ65" s="774">
        <f t="shared" ref="AZ65" si="406">+AX65+AT65+AP65</f>
        <v>8430.2396747315652</v>
      </c>
      <c r="BA65" s="774">
        <f t="shared" si="356"/>
        <v>5342.2300000000005</v>
      </c>
      <c r="BB65" s="460">
        <f t="shared" si="357"/>
        <v>16842.05761841331</v>
      </c>
      <c r="BC65" s="460">
        <f t="shared" si="358"/>
        <v>10360.018538551838</v>
      </c>
      <c r="BD65" s="775">
        <f t="shared" ref="BD65" si="407">+AV65+AX65</f>
        <v>30556.254907603041</v>
      </c>
      <c r="BE65" s="775">
        <f t="shared" ref="BE65" si="408">+AW65+AY65</f>
        <v>22454.087481357397</v>
      </c>
      <c r="BF65" s="114"/>
    </row>
    <row r="66" spans="1:58" ht="15" hidden="1" customHeight="1" x14ac:dyDescent="0.3">
      <c r="B66" s="8"/>
      <c r="C66" s="2546"/>
      <c r="D66" s="2615">
        <v>2.5369070631268515</v>
      </c>
      <c r="E66" s="2537"/>
      <c r="F66" s="2615">
        <v>3.5003978181423614</v>
      </c>
      <c r="G66" s="2537"/>
      <c r="H66" s="2538"/>
      <c r="I66" s="38"/>
      <c r="J66" s="2615">
        <v>3.4794797357986615</v>
      </c>
      <c r="K66" s="2537"/>
      <c r="L66" s="774"/>
      <c r="M66" s="774"/>
      <c r="N66" s="2615">
        <v>3.4992227469083601</v>
      </c>
      <c r="O66" s="2537"/>
      <c r="P66" s="775"/>
      <c r="Q66" s="775"/>
      <c r="R66" s="2615">
        <v>3.4992227469083601</v>
      </c>
      <c r="S66" s="2537"/>
      <c r="T66" s="775"/>
      <c r="U66" s="775"/>
      <c r="V66" s="2615">
        <v>2.1823046803691666</v>
      </c>
      <c r="W66" s="2537"/>
      <c r="X66" s="774"/>
      <c r="Y66" s="774">
        <f t="shared" si="340"/>
        <v>0</v>
      </c>
      <c r="Z66" s="460"/>
      <c r="AA66" s="460"/>
      <c r="AB66" s="2615">
        <v>3.3880965642394716</v>
      </c>
      <c r="AC66" s="2537"/>
      <c r="AD66" s="775"/>
      <c r="AE66" s="775"/>
      <c r="AF66" s="2615">
        <v>4.0200505897834153</v>
      </c>
      <c r="AG66" s="2537"/>
      <c r="AH66" s="775"/>
      <c r="AI66" s="775"/>
      <c r="AJ66" s="2615">
        <v>4.027738810811182</v>
      </c>
      <c r="AK66" s="2537"/>
      <c r="AL66" s="774"/>
      <c r="AM66" s="774">
        <f t="shared" si="348"/>
        <v>0</v>
      </c>
      <c r="AN66" s="775"/>
      <c r="AO66" s="775"/>
      <c r="AP66" s="2615">
        <v>4.0757515621838003</v>
      </c>
      <c r="AQ66" s="2537"/>
      <c r="AR66" s="775"/>
      <c r="AS66" s="775"/>
      <c r="AT66" s="2615">
        <v>4.0771547676092581</v>
      </c>
      <c r="AU66" s="2537"/>
      <c r="AV66" s="775"/>
      <c r="AW66" s="775"/>
      <c r="AX66" s="2615">
        <v>3.5726243395610178</v>
      </c>
      <c r="AY66" s="2537"/>
      <c r="AZ66" s="774"/>
      <c r="BA66" s="774">
        <f t="shared" si="356"/>
        <v>0</v>
      </c>
      <c r="BB66" s="460">
        <f t="shared" si="357"/>
        <v>0</v>
      </c>
      <c r="BC66" s="460">
        <f t="shared" si="358"/>
        <v>0</v>
      </c>
      <c r="BD66" s="775"/>
      <c r="BE66" s="775"/>
      <c r="BF66" s="114"/>
    </row>
    <row r="67" spans="1:58" x14ac:dyDescent="0.3">
      <c r="B67" s="8" t="s">
        <v>91</v>
      </c>
      <c r="C67" s="2546" t="s">
        <v>326</v>
      </c>
      <c r="D67" s="2599">
        <f>D68*D$3*24</f>
        <v>2775.544887176522</v>
      </c>
      <c r="E67" s="2537">
        <v>2815.4250397146393</v>
      </c>
      <c r="F67" s="2599">
        <f>F68*F$3*24</f>
        <v>3973.2994199361992</v>
      </c>
      <c r="G67" s="2537">
        <v>2888.2165205590927</v>
      </c>
      <c r="H67" s="2538">
        <f t="shared" si="332"/>
        <v>6748.8443071127213</v>
      </c>
      <c r="I67" s="38">
        <f t="shared" si="332"/>
        <v>5703.6415602737325</v>
      </c>
      <c r="J67" s="2599">
        <f>J68*J$3*24</f>
        <v>3806.7820185840974</v>
      </c>
      <c r="K67" s="2537">
        <v>2735.8936281915189</v>
      </c>
      <c r="L67" s="774">
        <f t="shared" si="333"/>
        <v>10555.62632569682</v>
      </c>
      <c r="M67" s="774">
        <f t="shared" si="334"/>
        <v>8439.5351884652518</v>
      </c>
      <c r="N67" s="2599">
        <f>N68*N$3*24</f>
        <v>3971.9655972980295</v>
      </c>
      <c r="O67" s="2537">
        <v>3255.9549650913755</v>
      </c>
      <c r="P67" s="775">
        <f t="shared" si="335"/>
        <v>14527.591922994849</v>
      </c>
      <c r="Q67" s="775">
        <f t="shared" si="336"/>
        <v>11695.490153556628</v>
      </c>
      <c r="R67" s="2599">
        <f>R68*R$3*24</f>
        <v>3971.9655972980295</v>
      </c>
      <c r="S67" s="2537">
        <v>2854.8184825587114</v>
      </c>
      <c r="T67" s="775">
        <f t="shared" ref="T67" si="409">+P67+R67</f>
        <v>18499.557520292878</v>
      </c>
      <c r="U67" s="775">
        <f t="shared" ref="U67" si="410">+Q67+S67</f>
        <v>14550.30863611534</v>
      </c>
      <c r="V67" s="2599">
        <f>V68*V$3*24</f>
        <v>2536.8104645087219</v>
      </c>
      <c r="W67" s="2537">
        <v>2790.48</v>
      </c>
      <c r="X67" s="774">
        <f t="shared" si="339"/>
        <v>10480.74165910478</v>
      </c>
      <c r="Y67" s="774">
        <f t="shared" si="340"/>
        <v>8901.2534476500878</v>
      </c>
      <c r="Z67" s="460">
        <f t="shared" si="341"/>
        <v>21036.3679848016</v>
      </c>
      <c r="AA67" s="460">
        <f t="shared" si="342"/>
        <v>17340.78863611534</v>
      </c>
      <c r="AB67" s="2599">
        <f>AB68*AB$3*24</f>
        <v>3931.1618713581211</v>
      </c>
      <c r="AC67" s="2537">
        <v>2333.6799999999998</v>
      </c>
      <c r="AD67" s="775">
        <f t="shared" ref="AD67" si="411">+Z67+AB67</f>
        <v>24967.529856159723</v>
      </c>
      <c r="AE67" s="775">
        <f t="shared" ref="AE67" si="412">+AA67+AC67</f>
        <v>19674.46863611534</v>
      </c>
      <c r="AF67" s="2599">
        <f>AF68*AF$3*24</f>
        <v>4398.2024500778489</v>
      </c>
      <c r="AG67" s="2537">
        <v>1844.32</v>
      </c>
      <c r="AH67" s="775">
        <f t="shared" ref="AH67" si="413">+AD67+AF67</f>
        <v>29365.732306237573</v>
      </c>
      <c r="AI67" s="775">
        <f t="shared" ref="AI67" si="414">+AE67+AG67</f>
        <v>21518.78863611534</v>
      </c>
      <c r="AJ67" s="2599">
        <f>AJ68*AJ$3*24</f>
        <v>4571.8838578020532</v>
      </c>
      <c r="AK67" s="2537">
        <v>2212.6360916611698</v>
      </c>
      <c r="AL67" s="774">
        <f t="shared" ref="AL67" si="415">+AJ67+AF67+AB67</f>
        <v>12901.248179238022</v>
      </c>
      <c r="AM67" s="774">
        <f t="shared" si="348"/>
        <v>6390.6360916611702</v>
      </c>
      <c r="AN67" s="775">
        <f t="shared" ref="AN67" si="416">+AH67+AJ67</f>
        <v>33937.616164039624</v>
      </c>
      <c r="AO67" s="775">
        <f t="shared" ref="AO67" si="417">+AI67+AK67</f>
        <v>23731.42472777651</v>
      </c>
      <c r="AP67" s="2599">
        <f>AP68*AP$3*24</f>
        <v>4574.4012698727456</v>
      </c>
      <c r="AQ67" s="2537">
        <v>2968.21</v>
      </c>
      <c r="AR67" s="775">
        <f t="shared" ref="AR67" si="418">+AN67+AP67</f>
        <v>38512.01743391237</v>
      </c>
      <c r="AS67" s="775">
        <f t="shared" ref="AS67" si="419">+AO67+AQ67</f>
        <v>26699.634727776509</v>
      </c>
      <c r="AT67" s="2599">
        <f>AT68*AT$3*24</f>
        <v>4161.587784060971</v>
      </c>
      <c r="AU67" s="2537">
        <v>2170.19</v>
      </c>
      <c r="AV67" s="775">
        <f t="shared" ref="AV67" si="420">+AR67+AT67</f>
        <v>42673.605217973338</v>
      </c>
      <c r="AW67" s="775">
        <f t="shared" ref="AW67" si="421">+AS67+AU67</f>
        <v>28869.824727776508</v>
      </c>
      <c r="AX67" s="2599">
        <f>AX68*AX$3*24</f>
        <v>4060.4746478745037</v>
      </c>
      <c r="AY67" s="2537">
        <v>2283.37</v>
      </c>
      <c r="AZ67" s="774">
        <f t="shared" ref="AZ67" si="422">+AX67+AT67+AP67</f>
        <v>12796.463701808221</v>
      </c>
      <c r="BA67" s="774">
        <f t="shared" si="356"/>
        <v>7421.7699999999995</v>
      </c>
      <c r="BB67" s="460">
        <f t="shared" si="357"/>
        <v>25697.711881046242</v>
      </c>
      <c r="BC67" s="460">
        <f t="shared" si="358"/>
        <v>13812.406091661171</v>
      </c>
      <c r="BD67" s="775">
        <f t="shared" ref="BD67" si="423">+AV67+AX67</f>
        <v>46734.079865847845</v>
      </c>
      <c r="BE67" s="775">
        <f t="shared" ref="BE67" si="424">+AW67+AY67</f>
        <v>31153.194727776507</v>
      </c>
      <c r="BF67" s="114"/>
    </row>
    <row r="68" spans="1:58" ht="15" hidden="1" customHeight="1" x14ac:dyDescent="0.3">
      <c r="B68" s="8"/>
      <c r="C68" s="2546"/>
      <c r="D68" s="2615">
        <v>3.8549234544118356</v>
      </c>
      <c r="E68" s="2537"/>
      <c r="F68" s="2615">
        <v>5.3404562095916663</v>
      </c>
      <c r="G68" s="2537"/>
      <c r="H68" s="2538"/>
      <c r="I68" s="38"/>
      <c r="J68" s="2615">
        <v>5.2871972480334684</v>
      </c>
      <c r="K68" s="2537"/>
      <c r="L68" s="774"/>
      <c r="M68" s="774"/>
      <c r="N68" s="2615">
        <v>5.3386634372285346</v>
      </c>
      <c r="O68" s="2537"/>
      <c r="P68" s="775"/>
      <c r="Q68" s="775"/>
      <c r="R68" s="2615">
        <v>5.3386634372285346</v>
      </c>
      <c r="S68" s="2537"/>
      <c r="T68" s="775"/>
      <c r="U68" s="775"/>
      <c r="V68" s="2615">
        <v>3.523347867373225</v>
      </c>
      <c r="W68" s="2537"/>
      <c r="X68" s="774"/>
      <c r="Y68" s="774">
        <f t="shared" si="340"/>
        <v>0</v>
      </c>
      <c r="Z68" s="460"/>
      <c r="AA68" s="460"/>
      <c r="AB68" s="2615">
        <v>5.2838197195673668</v>
      </c>
      <c r="AC68" s="2537"/>
      <c r="AD68" s="775"/>
      <c r="AE68" s="775"/>
      <c r="AF68" s="2615">
        <v>6.1086145139970123</v>
      </c>
      <c r="AG68" s="2537"/>
      <c r="AH68" s="775"/>
      <c r="AI68" s="775"/>
      <c r="AJ68" s="2615">
        <v>6.1450051852178138</v>
      </c>
      <c r="AK68" s="2537"/>
      <c r="AL68" s="774"/>
      <c r="AM68" s="774">
        <f t="shared" si="348"/>
        <v>0</v>
      </c>
      <c r="AN68" s="775"/>
      <c r="AO68" s="775"/>
      <c r="AP68" s="2615">
        <v>6.1483888035924004</v>
      </c>
      <c r="AQ68" s="2537"/>
      <c r="AR68" s="775"/>
      <c r="AS68" s="775"/>
      <c r="AT68" s="2615">
        <v>6.1928389643764454</v>
      </c>
      <c r="AU68" s="2537"/>
      <c r="AV68" s="775"/>
      <c r="AW68" s="775"/>
      <c r="AX68" s="2615">
        <v>5.4576272148850862</v>
      </c>
      <c r="AY68" s="2537"/>
      <c r="AZ68" s="774"/>
      <c r="BA68" s="774">
        <f t="shared" si="356"/>
        <v>0</v>
      </c>
      <c r="BB68" s="460">
        <f t="shared" si="357"/>
        <v>0</v>
      </c>
      <c r="BC68" s="460">
        <f t="shared" si="358"/>
        <v>0</v>
      </c>
      <c r="BD68" s="775"/>
      <c r="BE68" s="775"/>
      <c r="BF68" s="114"/>
    </row>
    <row r="69" spans="1:58" x14ac:dyDescent="0.3">
      <c r="B69" s="8" t="s">
        <v>109</v>
      </c>
      <c r="C69" s="2546" t="s">
        <v>326</v>
      </c>
      <c r="D69" s="2599">
        <f>D70*D$3*24</f>
        <v>4561.2069134511157</v>
      </c>
      <c r="E69" s="2537">
        <v>3950.4394930540789</v>
      </c>
      <c r="F69" s="2599">
        <f>F70*F$3*24</f>
        <v>6584.5564384058143</v>
      </c>
      <c r="G69" s="2537">
        <v>3976.5581888211391</v>
      </c>
      <c r="H69" s="2538">
        <f t="shared" si="332"/>
        <v>11145.763351856931</v>
      </c>
      <c r="I69" s="38">
        <f t="shared" si="332"/>
        <v>7926.9976818752184</v>
      </c>
      <c r="J69" s="2599">
        <f>J70*J$3*24</f>
        <v>6255.8961094052274</v>
      </c>
      <c r="K69" s="2537">
        <v>3805.5127594015194</v>
      </c>
      <c r="L69" s="774">
        <f t="shared" si="333"/>
        <v>17401.659461262159</v>
      </c>
      <c r="M69" s="774">
        <f t="shared" si="334"/>
        <v>11732.510441276738</v>
      </c>
      <c r="N69" s="2599">
        <f>N70*N$3*24</f>
        <v>6572.2504032330917</v>
      </c>
      <c r="O69" s="2537">
        <v>4002.1142740044975</v>
      </c>
      <c r="P69" s="775">
        <f t="shared" si="335"/>
        <v>23973.90986449525</v>
      </c>
      <c r="Q69" s="775">
        <f t="shared" si="336"/>
        <v>15734.624715281236</v>
      </c>
      <c r="R69" s="2599">
        <f>R70*R$3*24</f>
        <v>6572.2504032330917</v>
      </c>
      <c r="S69" s="2537">
        <v>3718.8759067985261</v>
      </c>
      <c r="T69" s="775">
        <f t="shared" ref="T69" si="425">+P69+R69</f>
        <v>30546.160267728341</v>
      </c>
      <c r="U69" s="775">
        <f t="shared" ref="U69" si="426">+Q69+S69</f>
        <v>19453.500622079762</v>
      </c>
      <c r="V69" s="2599">
        <f>V70*V$3*24</f>
        <v>3560.3051361237108</v>
      </c>
      <c r="W69" s="2537">
        <v>3762.81</v>
      </c>
      <c r="X69" s="774">
        <f t="shared" si="339"/>
        <v>16704.805942589894</v>
      </c>
      <c r="Y69" s="774">
        <f t="shared" si="340"/>
        <v>11483.800180803024</v>
      </c>
      <c r="Z69" s="460">
        <f t="shared" si="341"/>
        <v>34106.465403852053</v>
      </c>
      <c r="AA69" s="460">
        <f t="shared" si="342"/>
        <v>23216.310622079764</v>
      </c>
      <c r="AB69" s="2599">
        <f>AB70*AB$3*24</f>
        <v>6800.6484231519062</v>
      </c>
      <c r="AC69" s="2537">
        <v>2817.3</v>
      </c>
      <c r="AD69" s="775">
        <f t="shared" ref="AD69" si="427">+Z69+AB69</f>
        <v>40907.113827003959</v>
      </c>
      <c r="AE69" s="775">
        <f t="shared" ref="AE69" si="428">+AA69+AC69</f>
        <v>26033.610622079763</v>
      </c>
      <c r="AF69" s="2599">
        <f>AF70*AF$3*24</f>
        <v>7576.4183243908719</v>
      </c>
      <c r="AG69" s="2537">
        <v>2547.3200000000002</v>
      </c>
      <c r="AH69" s="775">
        <f t="shared" ref="AH69" si="429">+AD69+AF69</f>
        <v>48483.532151394829</v>
      </c>
      <c r="AI69" s="775">
        <f t="shared" ref="AI69" si="430">+AE69+AG69</f>
        <v>28580.930622079763</v>
      </c>
      <c r="AJ69" s="2599">
        <f>AJ70*AJ$3*24</f>
        <v>7797.3197556798186</v>
      </c>
      <c r="AK69" s="2537">
        <v>2939.2356441764327</v>
      </c>
      <c r="AL69" s="774">
        <f t="shared" ref="AL69" si="431">+AJ69+AF69+AB69</f>
        <v>22174.386503222595</v>
      </c>
      <c r="AM69" s="774">
        <f t="shared" si="348"/>
        <v>8303.855644176434</v>
      </c>
      <c r="AN69" s="775">
        <f t="shared" ref="AN69" si="432">+AH69+AJ69</f>
        <v>56280.851907074648</v>
      </c>
      <c r="AO69" s="775">
        <f t="shared" ref="AO69" si="433">+AI69+AK69</f>
        <v>31520.166266256194</v>
      </c>
      <c r="AP69" s="2599">
        <f>AP70*AP$3*24</f>
        <v>7801.6131864585768</v>
      </c>
      <c r="AQ69" s="2537">
        <v>4160.01</v>
      </c>
      <c r="AR69" s="775">
        <f t="shared" ref="AR69" si="434">+AN69+AP69</f>
        <v>64082.465093533225</v>
      </c>
      <c r="AS69" s="775">
        <f t="shared" ref="AS69" si="435">+AO69+AQ69</f>
        <v>35680.176266256196</v>
      </c>
      <c r="AT69" s="2599">
        <f>AT70*AT$3*24</f>
        <v>7386.2639413810048</v>
      </c>
      <c r="AU69" s="2537">
        <v>3231.07</v>
      </c>
      <c r="AV69" s="775">
        <f t="shared" ref="AV69" si="436">+AR69+AT69</f>
        <v>71468.729034914228</v>
      </c>
      <c r="AW69" s="775">
        <f t="shared" ref="AW69" si="437">+AS69+AU69</f>
        <v>38911.246266256196</v>
      </c>
      <c r="AX69" s="2599">
        <f>AX70*AX$3*24</f>
        <v>6848.7421478860942</v>
      </c>
      <c r="AY69" s="2537">
        <v>3156.51</v>
      </c>
      <c r="AZ69" s="774">
        <f t="shared" ref="AZ69" si="438">+AX69+AT69+AP69</f>
        <v>22036.619275725676</v>
      </c>
      <c r="BA69" s="774">
        <f t="shared" si="356"/>
        <v>10547.59</v>
      </c>
      <c r="BB69" s="460">
        <f t="shared" si="357"/>
        <v>44211.005778948267</v>
      </c>
      <c r="BC69" s="460">
        <f t="shared" si="358"/>
        <v>18851.445644176434</v>
      </c>
      <c r="BD69" s="775">
        <f t="shared" ref="BD69" si="439">+AV69+AX69</f>
        <v>78317.47118280032</v>
      </c>
      <c r="BE69" s="775">
        <f t="shared" ref="BE69" si="440">+AW69+AY69</f>
        <v>42067.756266256198</v>
      </c>
      <c r="BF69" s="114"/>
    </row>
    <row r="70" spans="1:58" ht="15" hidden="1" customHeight="1" x14ac:dyDescent="0.3">
      <c r="B70" s="8"/>
      <c r="C70" s="2546"/>
      <c r="D70" s="2615">
        <v>6.3350096020154378</v>
      </c>
      <c r="E70" s="2537"/>
      <c r="F70" s="2615">
        <v>8.8502102666744822</v>
      </c>
      <c r="G70" s="2537"/>
      <c r="H70" s="2538"/>
      <c r="I70" s="38"/>
      <c r="J70" s="2615">
        <v>8.68874459639615</v>
      </c>
      <c r="K70" s="2537"/>
      <c r="L70" s="774"/>
      <c r="M70" s="774"/>
      <c r="N70" s="2615">
        <v>8.8336698968186713</v>
      </c>
      <c r="O70" s="2537"/>
      <c r="P70" s="775"/>
      <c r="Q70" s="775"/>
      <c r="R70" s="2615">
        <v>8.8336698968186713</v>
      </c>
      <c r="S70" s="2537"/>
      <c r="T70" s="775"/>
      <c r="U70" s="775"/>
      <c r="V70" s="2615">
        <v>4.9448682446162646</v>
      </c>
      <c r="W70" s="2537"/>
      <c r="X70" s="774"/>
      <c r="Y70" s="774">
        <f t="shared" si="340"/>
        <v>0</v>
      </c>
      <c r="Z70" s="460"/>
      <c r="AA70" s="460"/>
      <c r="AB70" s="2615">
        <v>9.1406564827310568</v>
      </c>
      <c r="AC70" s="2537"/>
      <c r="AD70" s="775"/>
      <c r="AE70" s="775"/>
      <c r="AF70" s="2615">
        <v>10.522803228320655</v>
      </c>
      <c r="AG70" s="2537"/>
      <c r="AH70" s="775"/>
      <c r="AI70" s="775"/>
      <c r="AJ70" s="2615">
        <v>10.480268488816959</v>
      </c>
      <c r="AK70" s="2537"/>
      <c r="AL70" s="774"/>
      <c r="AM70" s="774">
        <f t="shared" si="348"/>
        <v>0</v>
      </c>
      <c r="AN70" s="775"/>
      <c r="AO70" s="775"/>
      <c r="AP70" s="2615">
        <v>10.48603922911099</v>
      </c>
      <c r="AQ70" s="2537"/>
      <c r="AR70" s="775"/>
      <c r="AS70" s="775"/>
      <c r="AT70" s="2615">
        <v>10.991464198483639</v>
      </c>
      <c r="AU70" s="2537"/>
      <c r="AV70" s="775"/>
      <c r="AW70" s="775"/>
      <c r="AX70" s="2615">
        <v>9.2052985858684071</v>
      </c>
      <c r="AY70" s="2537"/>
      <c r="AZ70" s="774"/>
      <c r="BA70" s="774">
        <f t="shared" si="356"/>
        <v>0</v>
      </c>
      <c r="BB70" s="460">
        <f t="shared" si="357"/>
        <v>0</v>
      </c>
      <c r="BC70" s="460">
        <f t="shared" si="358"/>
        <v>0</v>
      </c>
      <c r="BD70" s="775"/>
      <c r="BE70" s="775"/>
      <c r="BF70" s="114"/>
    </row>
    <row r="71" spans="1:58" x14ac:dyDescent="0.3">
      <c r="B71" s="8" t="s">
        <v>82</v>
      </c>
      <c r="C71" s="2546" t="s">
        <v>326</v>
      </c>
      <c r="D71" s="2599">
        <f>D72*D$3*24</f>
        <v>0</v>
      </c>
      <c r="E71" s="2537">
        <v>0</v>
      </c>
      <c r="F71" s="2599">
        <f>F72*F$3*24</f>
        <v>0</v>
      </c>
      <c r="G71" s="2537">
        <v>0</v>
      </c>
      <c r="H71" s="2538">
        <f t="shared" si="332"/>
        <v>0</v>
      </c>
      <c r="I71" s="38">
        <f t="shared" si="332"/>
        <v>0</v>
      </c>
      <c r="J71" s="2599">
        <f>J72*J$3*24</f>
        <v>0</v>
      </c>
      <c r="K71" s="2537">
        <v>0</v>
      </c>
      <c r="L71" s="774">
        <f t="shared" si="333"/>
        <v>0</v>
      </c>
      <c r="M71" s="774">
        <f t="shared" si="334"/>
        <v>0</v>
      </c>
      <c r="N71" s="2599">
        <f>N72*N$3*24</f>
        <v>0</v>
      </c>
      <c r="O71" s="2537">
        <v>0</v>
      </c>
      <c r="P71" s="775">
        <f t="shared" si="335"/>
        <v>0</v>
      </c>
      <c r="Q71" s="775">
        <f t="shared" si="336"/>
        <v>0</v>
      </c>
      <c r="R71" s="2599">
        <f>R72*R$3*24</f>
        <v>0</v>
      </c>
      <c r="S71" s="2537">
        <v>0</v>
      </c>
      <c r="T71" s="775">
        <f t="shared" ref="T71" si="441">+P71+R71</f>
        <v>0</v>
      </c>
      <c r="U71" s="775">
        <f t="shared" ref="U71" si="442">+Q71+S71</f>
        <v>0</v>
      </c>
      <c r="V71" s="2599">
        <f>V72*V$3*24</f>
        <v>0</v>
      </c>
      <c r="W71" s="2537">
        <v>0</v>
      </c>
      <c r="X71" s="774">
        <f t="shared" si="339"/>
        <v>0</v>
      </c>
      <c r="Y71" s="774">
        <f t="shared" si="340"/>
        <v>0</v>
      </c>
      <c r="Z71" s="460">
        <f t="shared" si="341"/>
        <v>0</v>
      </c>
      <c r="AA71" s="460">
        <f t="shared" si="342"/>
        <v>0</v>
      </c>
      <c r="AB71" s="2599">
        <f>AB72*AB$3*24</f>
        <v>0</v>
      </c>
      <c r="AC71" s="2537">
        <v>0</v>
      </c>
      <c r="AD71" s="775">
        <f t="shared" ref="AD71" si="443">+Z71+AB71</f>
        <v>0</v>
      </c>
      <c r="AE71" s="775">
        <f t="shared" ref="AE71" si="444">+AA71+AC71</f>
        <v>0</v>
      </c>
      <c r="AF71" s="2599">
        <f>AF72*AF$3*24</f>
        <v>0</v>
      </c>
      <c r="AG71" s="2537">
        <v>0</v>
      </c>
      <c r="AH71" s="775">
        <f t="shared" ref="AH71" si="445">+AD71+AF71</f>
        <v>0</v>
      </c>
      <c r="AI71" s="775">
        <f t="shared" ref="AI71" si="446">+AE71+AG71</f>
        <v>0</v>
      </c>
      <c r="AJ71" s="2599">
        <f>AJ72*AJ$3*24</f>
        <v>0</v>
      </c>
      <c r="AK71" s="2537">
        <v>0</v>
      </c>
      <c r="AL71" s="774">
        <f t="shared" ref="AL71" si="447">+AJ71+AF71+AB71</f>
        <v>0</v>
      </c>
      <c r="AM71" s="774">
        <f t="shared" si="348"/>
        <v>0</v>
      </c>
      <c r="AN71" s="775">
        <f t="shared" ref="AN71" si="448">+AH71+AJ71</f>
        <v>0</v>
      </c>
      <c r="AO71" s="775">
        <f t="shared" ref="AO71" si="449">+AI71+AK71</f>
        <v>0</v>
      </c>
      <c r="AP71" s="2599">
        <f>AP72*AP$3*24</f>
        <v>0</v>
      </c>
      <c r="AQ71" s="2537">
        <v>0</v>
      </c>
      <c r="AR71" s="775">
        <f t="shared" ref="AR71" si="450">+AN71+AP71</f>
        <v>0</v>
      </c>
      <c r="AS71" s="775">
        <f t="shared" ref="AS71" si="451">+AO71+AQ71</f>
        <v>0</v>
      </c>
      <c r="AT71" s="2599">
        <f>AT72*AT$3*24</f>
        <v>0</v>
      </c>
      <c r="AU71" s="2537">
        <v>0</v>
      </c>
      <c r="AV71" s="775">
        <f t="shared" ref="AV71" si="452">+AR71+AT71</f>
        <v>0</v>
      </c>
      <c r="AW71" s="775">
        <f t="shared" ref="AW71" si="453">+AS71+AU71</f>
        <v>0</v>
      </c>
      <c r="AX71" s="2599">
        <f>AX72*AX$3*24</f>
        <v>0</v>
      </c>
      <c r="AY71" s="2537">
        <v>0</v>
      </c>
      <c r="AZ71" s="774">
        <f t="shared" ref="AZ71" si="454">+AX71+AT71+AP71</f>
        <v>0</v>
      </c>
      <c r="BA71" s="774">
        <f t="shared" si="356"/>
        <v>0</v>
      </c>
      <c r="BB71" s="460">
        <f t="shared" si="357"/>
        <v>0</v>
      </c>
      <c r="BC71" s="460">
        <f t="shared" si="358"/>
        <v>0</v>
      </c>
      <c r="BD71" s="775">
        <f t="shared" ref="BD71" si="455">+AV71+AX71</f>
        <v>0</v>
      </c>
      <c r="BE71" s="775">
        <f t="shared" ref="BE71" si="456">+AW71+AY71</f>
        <v>0</v>
      </c>
      <c r="BF71" s="114"/>
    </row>
    <row r="72" spans="1:58" ht="15" hidden="1" customHeight="1" x14ac:dyDescent="0.3">
      <c r="B72" s="8"/>
      <c r="C72" s="2546"/>
      <c r="D72" s="2599">
        <v>0</v>
      </c>
      <c r="E72" s="2537"/>
      <c r="F72" s="2599">
        <v>0</v>
      </c>
      <c r="G72" s="2537">
        <v>0</v>
      </c>
      <c r="H72" s="2538"/>
      <c r="I72" s="38"/>
      <c r="J72" s="2599">
        <v>0</v>
      </c>
      <c r="K72" s="2537"/>
      <c r="L72" s="774"/>
      <c r="M72" s="774"/>
      <c r="N72" s="2599">
        <v>0</v>
      </c>
      <c r="O72" s="2537"/>
      <c r="P72" s="775"/>
      <c r="Q72" s="775"/>
      <c r="R72" s="2599">
        <v>0</v>
      </c>
      <c r="S72" s="2537"/>
      <c r="T72" s="775"/>
      <c r="U72" s="775"/>
      <c r="V72" s="2599">
        <v>0</v>
      </c>
      <c r="W72" s="2537"/>
      <c r="X72" s="774"/>
      <c r="Y72" s="774">
        <f t="shared" si="340"/>
        <v>0</v>
      </c>
      <c r="Z72" s="460"/>
      <c r="AA72" s="460"/>
      <c r="AB72" s="2599">
        <v>0</v>
      </c>
      <c r="AC72" s="2537"/>
      <c r="AD72" s="775"/>
      <c r="AE72" s="775"/>
      <c r="AF72" s="2599">
        <v>0</v>
      </c>
      <c r="AG72" s="2537"/>
      <c r="AH72" s="775"/>
      <c r="AI72" s="775"/>
      <c r="AJ72" s="2599">
        <v>0</v>
      </c>
      <c r="AK72" s="2537"/>
      <c r="AL72" s="774"/>
      <c r="AM72" s="774">
        <f t="shared" si="348"/>
        <v>0</v>
      </c>
      <c r="AN72" s="775"/>
      <c r="AO72" s="775"/>
      <c r="AP72" s="2599">
        <v>0</v>
      </c>
      <c r="AQ72" s="2537"/>
      <c r="AR72" s="775"/>
      <c r="AS72" s="775"/>
      <c r="AT72" s="2599">
        <v>0</v>
      </c>
      <c r="AU72" s="2537"/>
      <c r="AV72" s="775"/>
      <c r="AW72" s="775"/>
      <c r="AX72" s="2599"/>
      <c r="AY72" s="2537"/>
      <c r="AZ72" s="774"/>
      <c r="BA72" s="774">
        <f t="shared" si="356"/>
        <v>0</v>
      </c>
      <c r="BB72" s="460">
        <f t="shared" si="357"/>
        <v>0</v>
      </c>
      <c r="BC72" s="460">
        <f t="shared" si="358"/>
        <v>0</v>
      </c>
      <c r="BD72" s="775"/>
      <c r="BE72" s="775"/>
      <c r="BF72" s="114"/>
    </row>
    <row r="73" spans="1:58" x14ac:dyDescent="0.3">
      <c r="B73" s="8" t="s">
        <v>466</v>
      </c>
      <c r="C73" s="2546" t="s">
        <v>326</v>
      </c>
      <c r="D73" s="2599">
        <f>D74*D$3*24</f>
        <v>0</v>
      </c>
      <c r="E73" s="2537">
        <v>0</v>
      </c>
      <c r="F73" s="2599">
        <f>F74*F$3*24</f>
        <v>0</v>
      </c>
      <c r="G73" s="2537">
        <v>0</v>
      </c>
      <c r="H73" s="2538">
        <f t="shared" si="332"/>
        <v>0</v>
      </c>
      <c r="I73" s="38">
        <f t="shared" si="332"/>
        <v>0</v>
      </c>
      <c r="J73" s="2599">
        <f>J74*J$3*24</f>
        <v>0</v>
      </c>
      <c r="K73" s="2537">
        <v>0</v>
      </c>
      <c r="L73" s="774">
        <f t="shared" si="333"/>
        <v>0</v>
      </c>
      <c r="M73" s="774">
        <f t="shared" si="334"/>
        <v>0</v>
      </c>
      <c r="N73" s="2599">
        <f>N74*N$3*24</f>
        <v>0</v>
      </c>
      <c r="O73" s="2537">
        <v>0</v>
      </c>
      <c r="P73" s="775">
        <f t="shared" si="335"/>
        <v>0</v>
      </c>
      <c r="Q73" s="775">
        <f t="shared" si="336"/>
        <v>0</v>
      </c>
      <c r="R73" s="2599">
        <f>R74*R$3*24</f>
        <v>0</v>
      </c>
      <c r="S73" s="2537">
        <v>0</v>
      </c>
      <c r="T73" s="775">
        <f t="shared" ref="T73" si="457">+P73+R73</f>
        <v>0</v>
      </c>
      <c r="U73" s="775">
        <f t="shared" ref="U73" si="458">+Q73+S73</f>
        <v>0</v>
      </c>
      <c r="V73" s="2599">
        <f>V74*V$3*24</f>
        <v>0</v>
      </c>
      <c r="W73" s="2537">
        <v>0</v>
      </c>
      <c r="X73" s="774">
        <f t="shared" si="339"/>
        <v>0</v>
      </c>
      <c r="Y73" s="774">
        <f t="shared" si="340"/>
        <v>0</v>
      </c>
      <c r="Z73" s="460">
        <f t="shared" si="341"/>
        <v>0</v>
      </c>
      <c r="AA73" s="460">
        <f t="shared" si="342"/>
        <v>0</v>
      </c>
      <c r="AB73" s="2599">
        <f>AB74*AB$3*24</f>
        <v>0</v>
      </c>
      <c r="AC73" s="2537">
        <v>0</v>
      </c>
      <c r="AD73" s="775">
        <f t="shared" ref="AD73" si="459">+Z73+AB73</f>
        <v>0</v>
      </c>
      <c r="AE73" s="775">
        <f t="shared" ref="AE73" si="460">+AA73+AC73</f>
        <v>0</v>
      </c>
      <c r="AF73" s="2599">
        <f>AF74*AF$3*24</f>
        <v>0</v>
      </c>
      <c r="AG73" s="2537">
        <v>0</v>
      </c>
      <c r="AH73" s="775">
        <f t="shared" ref="AH73" si="461">+AD73+AF73</f>
        <v>0</v>
      </c>
      <c r="AI73" s="775">
        <f t="shared" ref="AI73" si="462">+AE73+AG73</f>
        <v>0</v>
      </c>
      <c r="AJ73" s="2599">
        <f>AJ74*AJ$3*24</f>
        <v>0</v>
      </c>
      <c r="AK73" s="2537">
        <v>0</v>
      </c>
      <c r="AL73" s="774">
        <f t="shared" ref="AL73" si="463">+AJ73+AF73+AB73</f>
        <v>0</v>
      </c>
      <c r="AM73" s="774">
        <f t="shared" si="348"/>
        <v>0</v>
      </c>
      <c r="AN73" s="775">
        <f t="shared" ref="AN73" si="464">+AH73+AJ73</f>
        <v>0</v>
      </c>
      <c r="AO73" s="775">
        <f t="shared" ref="AO73" si="465">+AI73+AK73</f>
        <v>0</v>
      </c>
      <c r="AP73" s="2599">
        <f>AP74*AP$3*24</f>
        <v>0</v>
      </c>
      <c r="AQ73" s="2537">
        <v>0</v>
      </c>
      <c r="AR73" s="775">
        <f t="shared" ref="AR73" si="466">+AN73+AP73</f>
        <v>0</v>
      </c>
      <c r="AS73" s="775">
        <f t="shared" ref="AS73" si="467">+AO73+AQ73</f>
        <v>0</v>
      </c>
      <c r="AT73" s="2599">
        <f>AT74*AT$3*24</f>
        <v>0</v>
      </c>
      <c r="AU73" s="2537">
        <v>0</v>
      </c>
      <c r="AV73" s="775">
        <f t="shared" ref="AV73" si="468">+AR73+AT73</f>
        <v>0</v>
      </c>
      <c r="AW73" s="775">
        <f t="shared" ref="AW73" si="469">+AS73+AU73</f>
        <v>0</v>
      </c>
      <c r="AX73" s="2599">
        <f>AX74*AX$3*24</f>
        <v>0</v>
      </c>
      <c r="AY73" s="2537">
        <v>0</v>
      </c>
      <c r="AZ73" s="774">
        <f t="shared" ref="AZ73" si="470">+AX73+AT73+AP73</f>
        <v>0</v>
      </c>
      <c r="BA73" s="774">
        <f t="shared" si="356"/>
        <v>0</v>
      </c>
      <c r="BB73" s="460">
        <f t="shared" si="357"/>
        <v>0</v>
      </c>
      <c r="BC73" s="460">
        <f t="shared" si="358"/>
        <v>0</v>
      </c>
      <c r="BD73" s="775">
        <f t="shared" ref="BD73" si="471">+AV73+AX73</f>
        <v>0</v>
      </c>
      <c r="BE73" s="775">
        <f t="shared" ref="BE73" si="472">+AW73+AY73</f>
        <v>0</v>
      </c>
      <c r="BF73" s="114"/>
    </row>
    <row r="74" spans="1:58" ht="15" hidden="1" customHeight="1" x14ac:dyDescent="0.3">
      <c r="B74" s="8"/>
      <c r="C74" s="2546"/>
      <c r="D74" s="2599">
        <v>0</v>
      </c>
      <c r="E74" s="2537"/>
      <c r="F74" s="2599">
        <v>0</v>
      </c>
      <c r="G74" s="2537"/>
      <c r="H74" s="2538"/>
      <c r="I74" s="38"/>
      <c r="J74" s="2599">
        <v>0</v>
      </c>
      <c r="K74" s="2537"/>
      <c r="L74" s="774"/>
      <c r="M74" s="774"/>
      <c r="N74" s="2599">
        <v>0</v>
      </c>
      <c r="O74" s="2537"/>
      <c r="P74" s="775"/>
      <c r="Q74" s="775"/>
      <c r="R74" s="2599">
        <v>0</v>
      </c>
      <c r="S74" s="2537"/>
      <c r="T74" s="775"/>
      <c r="U74" s="775"/>
      <c r="V74" s="2599">
        <v>0</v>
      </c>
      <c r="W74" s="2537"/>
      <c r="X74" s="774"/>
      <c r="Y74" s="774">
        <f t="shared" si="340"/>
        <v>0</v>
      </c>
      <c r="Z74" s="460"/>
      <c r="AA74" s="460"/>
      <c r="AB74" s="2599">
        <v>0</v>
      </c>
      <c r="AC74" s="2537"/>
      <c r="AD74" s="775"/>
      <c r="AE74" s="775"/>
      <c r="AF74" s="2599">
        <v>0</v>
      </c>
      <c r="AG74" s="2537"/>
      <c r="AH74" s="775"/>
      <c r="AI74" s="775"/>
      <c r="AJ74" s="2599">
        <v>0</v>
      </c>
      <c r="AK74" s="2537"/>
      <c r="AL74" s="774"/>
      <c r="AM74" s="774">
        <f t="shared" si="348"/>
        <v>0</v>
      </c>
      <c r="AN74" s="775"/>
      <c r="AO74" s="775"/>
      <c r="AP74" s="2599">
        <v>0</v>
      </c>
      <c r="AQ74" s="2537">
        <v>0</v>
      </c>
      <c r="AR74" s="775"/>
      <c r="AS74" s="775"/>
      <c r="AT74" s="2599">
        <v>0</v>
      </c>
      <c r="AU74" s="2537"/>
      <c r="AV74" s="775"/>
      <c r="AW74" s="775"/>
      <c r="AX74" s="2599"/>
      <c r="AY74" s="2537"/>
      <c r="AZ74" s="774"/>
      <c r="BA74" s="774">
        <f t="shared" si="356"/>
        <v>0</v>
      </c>
      <c r="BB74" s="460"/>
      <c r="BC74" s="460"/>
      <c r="BD74" s="775"/>
      <c r="BE74" s="775"/>
      <c r="BF74" s="114"/>
    </row>
    <row r="75" spans="1:58" ht="16.2" thickBot="1" x14ac:dyDescent="0.35">
      <c r="B75" s="2240" t="s">
        <v>61</v>
      </c>
      <c r="C75" s="2764" t="s">
        <v>326</v>
      </c>
      <c r="D75" s="2242">
        <f>D59+D61+D63+D65+D67+D69+D71+D73</f>
        <v>373613.76000000007</v>
      </c>
      <c r="E75" s="2242">
        <f t="shared" ref="E75:I75" si="473">E59+E61+E63+E65+E67+E69+E71+E73</f>
        <v>324759.69482841785</v>
      </c>
      <c r="F75" s="2242">
        <f>F59+F61+F63+F65+F67+F69+F71+F73</f>
        <v>386732.4</v>
      </c>
      <c r="G75" s="2242">
        <f t="shared" ref="G75" si="474">G59+G61+G63+G65+G67+G69+G71+G73</f>
        <v>368602.34221507778</v>
      </c>
      <c r="H75" s="2227">
        <f t="shared" si="473"/>
        <v>760346.16</v>
      </c>
      <c r="I75" s="1907">
        <f t="shared" si="473"/>
        <v>693362.03704349569</v>
      </c>
      <c r="J75" s="2242">
        <f>J59+J61+J63+J65+J67+J69+J71+J73</f>
        <v>373613.76</v>
      </c>
      <c r="K75" s="2242">
        <f t="shared" ref="K75" si="475">K59+K61+K63+K65+K67+K69+K71+K73</f>
        <v>371175.85279871814</v>
      </c>
      <c r="L75" s="793">
        <f t="shared" ref="L75:Q75" si="476">SUM(L59:L73)</f>
        <v>1133959.92</v>
      </c>
      <c r="M75" s="793">
        <f t="shared" si="476"/>
        <v>1064537.8898422136</v>
      </c>
      <c r="N75" s="2242">
        <f>N59+N61+N63+N65+N67+N69+N71+N73</f>
        <v>382941.6</v>
      </c>
      <c r="O75" s="2242">
        <f t="shared" ref="O75" si="477">O59+O61+O63+O65+O67+O69+O71+O73</f>
        <v>389509.52391328802</v>
      </c>
      <c r="P75" s="251">
        <f t="shared" si="476"/>
        <v>1516901.5200000003</v>
      </c>
      <c r="Q75" s="251">
        <f t="shared" si="476"/>
        <v>1454047.4137555016</v>
      </c>
      <c r="R75" s="2242">
        <f>R59+R61+R63+R65+R67+R69+R71+R73</f>
        <v>380463.00000000006</v>
      </c>
      <c r="S75" s="2242">
        <f t="shared" ref="S75" si="478">S59+S61+S63+S65+S67+S69+S71+S73</f>
        <v>373894.52777883213</v>
      </c>
      <c r="T75" s="251">
        <f t="shared" ref="T75:U75" si="479">SUM(T59:T73)</f>
        <v>1897364.5200000005</v>
      </c>
      <c r="U75" s="251">
        <f t="shared" si="479"/>
        <v>1827941.9415343339</v>
      </c>
      <c r="V75" s="2242">
        <f>V59+V61+V63+V65+V67+V69+V71+V73</f>
        <v>203989.99999999997</v>
      </c>
      <c r="W75" s="2242">
        <f t="shared" ref="W75" si="480">W59+W61+W63+W65+W67+W69+W71+W73</f>
        <v>368308.36</v>
      </c>
      <c r="X75" s="793">
        <f t="shared" ref="X75:AA75" si="481">SUM(X59:X73)</f>
        <v>967394.60000000009</v>
      </c>
      <c r="Y75" s="793">
        <f t="shared" si="481"/>
        <v>1131712.4116921201</v>
      </c>
      <c r="Z75" s="517">
        <f t="shared" si="481"/>
        <v>2101354.52</v>
      </c>
      <c r="AA75" s="517">
        <f t="shared" si="481"/>
        <v>2196250.3015343337</v>
      </c>
      <c r="AB75" s="2242">
        <f>AB59+AB61+AB63+AB65+AB67+AB69+AB71+AB73</f>
        <v>385468.80000000005</v>
      </c>
      <c r="AC75" s="2242">
        <f t="shared" ref="AC75" si="482">AC59+AC61+AC63+AC65+AC67+AC69+AC71+AC73</f>
        <v>313207.65999999997</v>
      </c>
      <c r="AD75" s="251">
        <f t="shared" ref="AD75:AE75" si="483">SUM(AD59:AD73)</f>
        <v>2486823.3200000008</v>
      </c>
      <c r="AE75" s="251">
        <f t="shared" si="483"/>
        <v>2509457.9615343334</v>
      </c>
      <c r="AF75" s="2242">
        <f>AF59+AF61+AF63+AF65+AF67+AF69+AF71+AF73</f>
        <v>373613.76000000007</v>
      </c>
      <c r="AG75" s="2242">
        <f t="shared" ref="AG75" si="484">AG59+AG61+AG63+AG65+AG67+AG69+AG71+AG73</f>
        <v>353851.41000000003</v>
      </c>
      <c r="AH75" s="251">
        <f t="shared" ref="AH75:AI75" si="485">SUM(AH59:AH73)</f>
        <v>2860437.0800000005</v>
      </c>
      <c r="AI75" s="251">
        <f t="shared" si="485"/>
        <v>2863309.371534334</v>
      </c>
      <c r="AJ75" s="2242">
        <f>AJ59+AJ61+AJ63+AJ65+AJ67+AJ69+AJ71+AJ73</f>
        <v>385468.8000000001</v>
      </c>
      <c r="AK75" s="2242">
        <f t="shared" ref="AK75" si="486">AK59+AK61+AK63+AK65+AK67+AK69+AK71+AK73</f>
        <v>372047.71027438942</v>
      </c>
      <c r="AL75" s="793">
        <f t="shared" ref="AL75:AM75" si="487">SUM(AL59:AL73)</f>
        <v>1144551.3600000001</v>
      </c>
      <c r="AM75" s="793">
        <f t="shared" si="487"/>
        <v>1039106.7802743895</v>
      </c>
      <c r="AN75" s="251">
        <f t="shared" ref="AN75:AO75" si="488">SUM(AN59:AN73)</f>
        <v>3245905.88</v>
      </c>
      <c r="AO75" s="251">
        <f t="shared" si="488"/>
        <v>3235357.0818087226</v>
      </c>
      <c r="AP75" s="2242">
        <f>AP59+AP61+AP63+AP65+AP67+AP69+AP71+AP73</f>
        <v>386324.16</v>
      </c>
      <c r="AQ75" s="2242">
        <f t="shared" ref="AQ75" si="489">AQ59+AQ61+AQ63+AQ65+AQ67+AQ69+AQ71+AQ73</f>
        <v>372960.60000000003</v>
      </c>
      <c r="AR75" s="251">
        <f t="shared" ref="AR75:AS75" si="490">SUM(AR59:AR73)</f>
        <v>3632230.04</v>
      </c>
      <c r="AS75" s="251">
        <f t="shared" si="490"/>
        <v>3608317.6818087236</v>
      </c>
      <c r="AT75" s="2242">
        <f>AT59+AT61+AT63+AT65+AT67+AT69+AT71+AT73</f>
        <v>348756.72000000009</v>
      </c>
      <c r="AU75" s="2242">
        <f t="shared" ref="AU75" si="491">AU59+AU61+AU63+AU65+AU67+AU69+AU71+AU73</f>
        <v>333412.68</v>
      </c>
      <c r="AV75" s="251">
        <f t="shared" ref="AV75:AW75" si="492">SUM(AV59:AV73)</f>
        <v>3980986.7600000002</v>
      </c>
      <c r="AW75" s="251">
        <f t="shared" si="492"/>
        <v>3941730.3618087233</v>
      </c>
      <c r="AX75" s="2242">
        <f>AX59+AX61+AX63+AX65+AX67+AX69+AX71+AX73</f>
        <v>386324.15999999992</v>
      </c>
      <c r="AY75" s="2242">
        <f t="shared" ref="AY75" si="493">AY59+AY61+AY63+AY65+AY67+AY69+AY71+AY73</f>
        <v>364582.31</v>
      </c>
      <c r="AZ75" s="793">
        <f t="shared" ref="AZ75:BC75" si="494">SUM(AZ59:AZ73)</f>
        <v>1121405.04</v>
      </c>
      <c r="BA75" s="793">
        <f t="shared" si="494"/>
        <v>1070955.5900000001</v>
      </c>
      <c r="BB75" s="517">
        <f t="shared" si="494"/>
        <v>2265956.4</v>
      </c>
      <c r="BC75" s="517">
        <f t="shared" si="494"/>
        <v>2110062.3702743896</v>
      </c>
      <c r="BD75" s="251">
        <f t="shared" ref="BD75:BE75" si="495">SUM(BD59:BD73)</f>
        <v>4367310.92</v>
      </c>
      <c r="BE75" s="251">
        <f t="shared" si="495"/>
        <v>4306312.6718087224</v>
      </c>
      <c r="BF75" s="114"/>
    </row>
    <row r="76" spans="1:58" ht="20.399999999999999" x14ac:dyDescent="0.3">
      <c r="A76" s="92"/>
      <c r="B76" s="2851" t="s">
        <v>465</v>
      </c>
      <c r="C76" s="2851"/>
      <c r="D76" s="2852"/>
      <c r="E76" s="2851"/>
      <c r="F76" s="2852"/>
      <c r="G76" s="2851"/>
      <c r="H76" s="2851"/>
      <c r="I76" s="2851"/>
      <c r="J76" s="2852"/>
      <c r="K76" s="2851"/>
      <c r="L76" s="1010"/>
      <c r="M76" s="1010"/>
      <c r="N76" s="2852"/>
      <c r="O76" s="2851"/>
      <c r="P76" s="1010"/>
      <c r="Q76" s="1010"/>
      <c r="R76" s="2852"/>
      <c r="S76" s="2851"/>
      <c r="T76" s="1010"/>
      <c r="U76" s="1010"/>
      <c r="V76" s="2852"/>
      <c r="W76" s="2851"/>
      <c r="X76" s="1010"/>
      <c r="Y76" s="1010"/>
      <c r="Z76" s="1010"/>
      <c r="AA76" s="1010"/>
      <c r="AB76" s="2852"/>
      <c r="AC76" s="2851"/>
      <c r="AD76" s="1010"/>
      <c r="AE76" s="1010"/>
      <c r="AF76" s="2852"/>
      <c r="AG76" s="2851"/>
      <c r="AH76" s="1010"/>
      <c r="AI76" s="1010"/>
      <c r="AJ76" s="2852"/>
      <c r="AK76" s="2851"/>
      <c r="AL76" s="1010"/>
      <c r="AM76" s="1010"/>
      <c r="AN76" s="1010"/>
      <c r="AO76" s="1010"/>
      <c r="AP76" s="2852"/>
      <c r="AQ76" s="2851"/>
      <c r="AR76" s="1010"/>
      <c r="AS76" s="1010"/>
      <c r="AT76" s="2852"/>
      <c r="AU76" s="2851"/>
      <c r="AV76" s="1010"/>
      <c r="AW76" s="1010"/>
      <c r="AX76" s="2852"/>
      <c r="AY76" s="2851"/>
      <c r="AZ76" s="1010"/>
      <c r="BA76" s="1010"/>
      <c r="BB76" s="1010"/>
      <c r="BC76" s="1010"/>
      <c r="BD76" s="1010"/>
      <c r="BE76" s="1010"/>
      <c r="BF76" s="114"/>
    </row>
    <row r="77" spans="1:58" ht="15.6" x14ac:dyDescent="0.3">
      <c r="B77" s="1007" t="s">
        <v>330</v>
      </c>
      <c r="C77" s="156" t="s">
        <v>329</v>
      </c>
      <c r="D77" s="1118">
        <v>1850</v>
      </c>
      <c r="E77" s="1012">
        <v>1900.6193542974252</v>
      </c>
      <c r="F77" s="1118">
        <v>1850</v>
      </c>
      <c r="G77" s="1012">
        <v>1904.8524287013684</v>
      </c>
      <c r="H77" s="775">
        <v>1850</v>
      </c>
      <c r="I77" s="1013">
        <f>+((E77*E78)+(G78*G77))/I78</f>
        <v>1902.8841215536117</v>
      </c>
      <c r="J77" s="1118">
        <v>1850</v>
      </c>
      <c r="K77" s="1012">
        <v>1904.2601676483159</v>
      </c>
      <c r="L77" s="774">
        <v>1850</v>
      </c>
      <c r="M77" s="1020">
        <f>+((I77*I78)+(K78*K77))/M78</f>
        <v>1903.3961070064051</v>
      </c>
      <c r="N77" s="1118">
        <v>1850</v>
      </c>
      <c r="O77" s="1012">
        <v>1906.639288767047</v>
      </c>
      <c r="P77" s="775">
        <v>1850</v>
      </c>
      <c r="Q77" s="1013">
        <f>+((M77*M78)+(O78*O77))/Q78</f>
        <v>1904.1940728429468</v>
      </c>
      <c r="R77" s="1118">
        <v>1850</v>
      </c>
      <c r="S77" s="1012">
        <v>1910.7794521043527</v>
      </c>
      <c r="T77" s="775">
        <v>1850</v>
      </c>
      <c r="U77" s="1013">
        <f>+((Q77*Q78)+(S78*S77))/U78</f>
        <v>1905.1834890994689</v>
      </c>
      <c r="V77" s="1118">
        <v>1850</v>
      </c>
      <c r="W77" s="1012">
        <v>1906.3</v>
      </c>
      <c r="X77" s="774">
        <v>1850</v>
      </c>
      <c r="Y77" s="1014">
        <f>+((O77*O78)+(S77*S78)+(W78*W77))/Y78</f>
        <v>1907.7383518140505</v>
      </c>
      <c r="Z77" s="1015">
        <v>1850</v>
      </c>
      <c r="AA77" s="1015">
        <f>+((M77*M78)+(Y78*Y77))/AA78</f>
        <v>1905.3357468604595</v>
      </c>
      <c r="AB77" s="1118">
        <v>1850</v>
      </c>
      <c r="AC77" s="1012">
        <v>1902.24</v>
      </c>
      <c r="AD77" s="775">
        <v>1850</v>
      </c>
      <c r="AE77" s="1013">
        <f>+((AA77*AA78)+(AC78*AC77))/AE78</f>
        <v>1904.992983710199</v>
      </c>
      <c r="AF77" s="1118">
        <v>1850</v>
      </c>
      <c r="AG77" s="1012">
        <v>1895.06</v>
      </c>
      <c r="AH77" s="775">
        <v>1850</v>
      </c>
      <c r="AI77" s="1013">
        <f>+((AE77*AE78)+(AG78*AG77))/AI78</f>
        <v>1903.463380492741</v>
      </c>
      <c r="AJ77" s="1118">
        <v>1850</v>
      </c>
      <c r="AK77" s="1012">
        <v>1903.5530574013421</v>
      </c>
      <c r="AL77" s="774">
        <v>1850</v>
      </c>
      <c r="AM77" s="1014">
        <f>+((AC77*AC78)+(AG77*AG78)+(AK78*AK77))/AM78</f>
        <v>1899.8960564055506</v>
      </c>
      <c r="AN77" s="775">
        <v>1850</v>
      </c>
      <c r="AO77" s="1013">
        <f>+((AI77*AI78)+(AK78*AK77))/AO78</f>
        <v>1903.474641297491</v>
      </c>
      <c r="AP77" s="1118">
        <v>1850</v>
      </c>
      <c r="AQ77" s="1012">
        <v>1905.3</v>
      </c>
      <c r="AR77" s="775">
        <v>1850</v>
      </c>
      <c r="AS77" s="1013">
        <f>+((AO77*AO78)+(AQ78*AQ77))/AS78</f>
        <v>1903.6743051122476</v>
      </c>
      <c r="AT77" s="1118">
        <v>1850</v>
      </c>
      <c r="AU77" s="1012">
        <v>1918.44</v>
      </c>
      <c r="AV77" s="775">
        <v>1850</v>
      </c>
      <c r="AW77" s="1013">
        <f>+((AS77*AS78)+(AU78*AU77))/AW78</f>
        <v>1904.9125840004008</v>
      </c>
      <c r="AX77" s="1118">
        <v>1850</v>
      </c>
      <c r="AY77" s="1012">
        <v>1899.71</v>
      </c>
      <c r="AZ77" s="774">
        <v>1850</v>
      </c>
      <c r="BA77" s="1014">
        <f>+((AQ77*AQ78)+(AU77*AU78)+(AY78*AY77))/BA78</f>
        <v>1907.3479321303073</v>
      </c>
      <c r="BB77" s="1015">
        <v>1850</v>
      </c>
      <c r="BC77" s="1015">
        <f>+((AM77*AM78)+(BA78*BA77))/BC78</f>
        <v>1903.620880457423</v>
      </c>
      <c r="BD77" s="775">
        <v>1850</v>
      </c>
      <c r="BE77" s="1013">
        <f>+((AW77*AW78)+(AY78*AY77))/BE78</f>
        <v>1904.4615737384649</v>
      </c>
      <c r="BF77" s="114"/>
    </row>
    <row r="78" spans="1:58" ht="16.5" customHeight="1" x14ac:dyDescent="0.3">
      <c r="B78" s="1016" t="s">
        <v>467</v>
      </c>
      <c r="C78" s="797" t="s">
        <v>326</v>
      </c>
      <c r="D78" s="452">
        <f>D79*D$3*24</f>
        <v>14226.628895184138</v>
      </c>
      <c r="E78" s="1017">
        <v>11375.146000000002</v>
      </c>
      <c r="F78" s="452">
        <f>F79*F$3*24</f>
        <v>14679.886685552407</v>
      </c>
      <c r="G78" s="1017">
        <v>13088.434000000001</v>
      </c>
      <c r="H78" s="251">
        <f>+D78+F78</f>
        <v>28906.515580736545</v>
      </c>
      <c r="I78" s="1018">
        <f>+E78+G78</f>
        <v>24463.58</v>
      </c>
      <c r="J78" s="452">
        <f>J79*J$3*24</f>
        <v>14226.628895184138</v>
      </c>
      <c r="K78" s="1017">
        <v>14495.507</v>
      </c>
      <c r="L78" s="793">
        <f>+H78+J78</f>
        <v>43133.144475920679</v>
      </c>
      <c r="M78" s="1014">
        <f>+I78+K78</f>
        <v>38959.087</v>
      </c>
      <c r="N78" s="452">
        <f>N79*N$3*24</f>
        <v>14396.600566572235</v>
      </c>
      <c r="O78" s="1017">
        <v>12713.814</v>
      </c>
      <c r="P78" s="251">
        <f>+L78+N78</f>
        <v>57529.745042492912</v>
      </c>
      <c r="Q78" s="1018">
        <f>+M78+O78</f>
        <v>51672.900999999998</v>
      </c>
      <c r="R78" s="452">
        <f>R79*R$3*24</f>
        <v>14396.600566572235</v>
      </c>
      <c r="S78" s="1017">
        <v>9136.2305695109899</v>
      </c>
      <c r="T78" s="251">
        <f>+P78+R78</f>
        <v>71926.345609065145</v>
      </c>
      <c r="U78" s="1018">
        <f>+Q78+S78</f>
        <v>60809.131569510988</v>
      </c>
      <c r="V78" s="452">
        <f>V79*V$3*24</f>
        <v>7555.2407932011338</v>
      </c>
      <c r="W78" s="1017">
        <v>9601.9</v>
      </c>
      <c r="X78" s="793">
        <f>+V78+R78+N78</f>
        <v>36348.4419263456</v>
      </c>
      <c r="Y78" s="793">
        <f>+W78+S78+O78</f>
        <v>31451.94456951099</v>
      </c>
      <c r="Z78" s="517">
        <f>+L78+X78</f>
        <v>79481.586402266286</v>
      </c>
      <c r="AA78" s="517">
        <f>+Y78+M78</f>
        <v>70411.031569510989</v>
      </c>
      <c r="AB78" s="452">
        <f>AB79*AB$3*24</f>
        <v>14679.886685552407</v>
      </c>
      <c r="AC78" s="1017">
        <v>8766.6</v>
      </c>
      <c r="AD78" s="251">
        <f>+Z78+AB78</f>
        <v>94161.473087818697</v>
      </c>
      <c r="AE78" s="1018">
        <f>+AA78+AC78</f>
        <v>79177.631569510995</v>
      </c>
      <c r="AF78" s="452">
        <f>AF79*AF$3*24</f>
        <v>0</v>
      </c>
      <c r="AG78" s="1017">
        <v>14412.1</v>
      </c>
      <c r="AH78" s="251">
        <f>+AD78+AF78</f>
        <v>94161.473087818697</v>
      </c>
      <c r="AI78" s="1018">
        <f>+AE78+AG78</f>
        <v>93589.731569511001</v>
      </c>
      <c r="AJ78" s="452">
        <f>AJ79*AJ$3*24</f>
        <v>0</v>
      </c>
      <c r="AK78" s="1017">
        <v>13439.786498254285</v>
      </c>
      <c r="AL78" s="793">
        <f>+AJ78+AF78+AB78</f>
        <v>14679.886685552407</v>
      </c>
      <c r="AM78" s="793">
        <f>+AK78+AG78+AC78</f>
        <v>36618.486498254286</v>
      </c>
      <c r="AN78" s="251">
        <f>+AH78+AJ78</f>
        <v>94161.473087818697</v>
      </c>
      <c r="AO78" s="1018">
        <f>+AI78+AK78</f>
        <v>107029.51806776528</v>
      </c>
      <c r="AP78" s="452">
        <f>AP79*AP$3*24</f>
        <v>0</v>
      </c>
      <c r="AQ78" s="1017">
        <v>13145.1</v>
      </c>
      <c r="AR78" s="251">
        <f>+AN78+AP78</f>
        <v>94161.473087818697</v>
      </c>
      <c r="AS78" s="1018">
        <f>+AO78+AQ78</f>
        <v>120174.61806776529</v>
      </c>
      <c r="AT78" s="452">
        <f>AT79*AT$3*24</f>
        <v>0</v>
      </c>
      <c r="AU78" s="1017">
        <v>11000.6</v>
      </c>
      <c r="AV78" s="251">
        <f>+AR78+AT78</f>
        <v>94161.473087818697</v>
      </c>
      <c r="AW78" s="1018">
        <f>+AS78+AU78</f>
        <v>131175.21806776529</v>
      </c>
      <c r="AX78" s="452">
        <f>AX79*AX$3*24</f>
        <v>14906.515580736545</v>
      </c>
      <c r="AY78" s="1017">
        <v>12450.9</v>
      </c>
      <c r="AZ78" s="793">
        <f>+AX78+AT78+AP78</f>
        <v>14906.515580736545</v>
      </c>
      <c r="BA78" s="793">
        <f>+AY78+AU78+AQ78</f>
        <v>36596.6</v>
      </c>
      <c r="BB78" s="517">
        <f>+AL78+AZ78</f>
        <v>29586.402266288951</v>
      </c>
      <c r="BC78" s="517">
        <f>+BA78+AM78</f>
        <v>73215.086498254284</v>
      </c>
      <c r="BD78" s="251">
        <f>+AV78+AX78</f>
        <v>109067.98866855525</v>
      </c>
      <c r="BE78" s="1018">
        <f>+AW78+AY78</f>
        <v>143626.11806776529</v>
      </c>
      <c r="BF78" s="114"/>
    </row>
    <row r="79" spans="1:58" ht="15.75" hidden="1" customHeight="1" x14ac:dyDescent="0.3">
      <c r="B79" s="1016"/>
      <c r="C79" s="797"/>
      <c r="D79" s="1120">
        <v>19.759206798866856</v>
      </c>
      <c r="E79" s="1017"/>
      <c r="F79" s="1120">
        <v>19.731030491333879</v>
      </c>
      <c r="G79" s="1017"/>
      <c r="H79" s="251"/>
      <c r="I79" s="1018"/>
      <c r="J79" s="1120">
        <v>19.759206798866856</v>
      </c>
      <c r="K79" s="1017"/>
      <c r="L79" s="793"/>
      <c r="M79" s="1014"/>
      <c r="N79" s="1120">
        <v>19.350269578726124</v>
      </c>
      <c r="O79" s="1017"/>
      <c r="P79" s="251"/>
      <c r="Q79" s="1018"/>
      <c r="R79" s="1120">
        <v>19.350269578726124</v>
      </c>
      <c r="S79" s="1017"/>
      <c r="T79" s="251"/>
      <c r="U79" s="1018"/>
      <c r="V79" s="1120">
        <v>10.49338999055713</v>
      </c>
      <c r="W79" s="1017"/>
      <c r="X79" s="793"/>
      <c r="Y79" s="793"/>
      <c r="Z79" s="517"/>
      <c r="AA79" s="517"/>
      <c r="AB79" s="1120">
        <v>19.731030491333879</v>
      </c>
      <c r="AC79" s="1017"/>
      <c r="AD79" s="251"/>
      <c r="AE79" s="1018"/>
      <c r="AF79" s="1120">
        <v>0</v>
      </c>
      <c r="AG79" s="1017"/>
      <c r="AH79" s="251"/>
      <c r="AI79" s="1018"/>
      <c r="AJ79" s="1120">
        <v>0</v>
      </c>
      <c r="AK79" s="1017"/>
      <c r="AL79" s="793"/>
      <c r="AM79" s="793"/>
      <c r="AN79" s="251"/>
      <c r="AO79" s="1018"/>
      <c r="AP79" s="1120"/>
      <c r="AQ79" s="1017"/>
      <c r="AR79" s="251"/>
      <c r="AS79" s="1018"/>
      <c r="AT79" s="1120">
        <v>0</v>
      </c>
      <c r="AU79" s="1017"/>
      <c r="AV79" s="251"/>
      <c r="AW79" s="1018"/>
      <c r="AX79" s="1120">
        <v>20.035639221420087</v>
      </c>
      <c r="AY79" s="1017"/>
      <c r="AZ79" s="793"/>
      <c r="BA79" s="793"/>
      <c r="BB79" s="517"/>
      <c r="BC79" s="517"/>
      <c r="BD79" s="251"/>
      <c r="BE79" s="1018"/>
      <c r="BF79" s="114"/>
    </row>
    <row r="80" spans="1:58" x14ac:dyDescent="0.3">
      <c r="B80" s="769" t="s">
        <v>474</v>
      </c>
      <c r="C80" s="156" t="s">
        <v>326</v>
      </c>
      <c r="D80" s="1118">
        <f>D81*D$3*24</f>
        <v>0</v>
      </c>
      <c r="E80" s="1012">
        <v>0</v>
      </c>
      <c r="F80" s="1118">
        <f>F81*F$3*24</f>
        <v>0</v>
      </c>
      <c r="G80" s="1012">
        <v>0</v>
      </c>
      <c r="H80" s="775">
        <f>+D80+F80</f>
        <v>0</v>
      </c>
      <c r="I80" s="1013">
        <f>+E80+G80</f>
        <v>0</v>
      </c>
      <c r="J80" s="1118">
        <f>J81*J$3*24</f>
        <v>0</v>
      </c>
      <c r="K80" s="1012">
        <v>0</v>
      </c>
      <c r="L80" s="774">
        <f>+H80+J80</f>
        <v>0</v>
      </c>
      <c r="M80" s="1020">
        <f>+I80+K80</f>
        <v>0</v>
      </c>
      <c r="N80" s="1118">
        <f>N81*N$3*24</f>
        <v>0</v>
      </c>
      <c r="O80" s="1012">
        <v>0</v>
      </c>
      <c r="P80" s="775">
        <f>+L80+N80</f>
        <v>0</v>
      </c>
      <c r="Q80" s="1013">
        <f>+M80+O80</f>
        <v>0</v>
      </c>
      <c r="R80" s="1118">
        <f>R81*R$3*24</f>
        <v>0</v>
      </c>
      <c r="S80" s="1012">
        <v>0</v>
      </c>
      <c r="T80" s="775">
        <f>+P80+R80</f>
        <v>0</v>
      </c>
      <c r="U80" s="1013">
        <f>+Q80+S80</f>
        <v>0</v>
      </c>
      <c r="V80" s="1118">
        <f>V81*V$3*24</f>
        <v>0</v>
      </c>
      <c r="W80" s="1012">
        <v>0</v>
      </c>
      <c r="X80" s="774">
        <f>+V80+R80+N80</f>
        <v>0</v>
      </c>
      <c r="Y80" s="774">
        <f>+W80+S80+O80</f>
        <v>0</v>
      </c>
      <c r="Z80" s="460">
        <f>+L80+X80</f>
        <v>0</v>
      </c>
      <c r="AA80" s="460">
        <f>+Y80+M80</f>
        <v>0</v>
      </c>
      <c r="AB80" s="1118">
        <f>AB81*AB$3*24</f>
        <v>0</v>
      </c>
      <c r="AC80" s="1012">
        <v>0</v>
      </c>
      <c r="AD80" s="775">
        <f>+Z80+AB80</f>
        <v>0</v>
      </c>
      <c r="AE80" s="1013">
        <f>+AA80+AC80</f>
        <v>0</v>
      </c>
      <c r="AF80" s="1118">
        <f>AF81*AF$3*24</f>
        <v>0</v>
      </c>
      <c r="AG80" s="1012">
        <v>0</v>
      </c>
      <c r="AH80" s="775">
        <f>+AD80+AF80</f>
        <v>0</v>
      </c>
      <c r="AI80" s="1013">
        <f>+AE80+AG80</f>
        <v>0</v>
      </c>
      <c r="AJ80" s="1118">
        <f>AJ81*AJ$3*24</f>
        <v>0</v>
      </c>
      <c r="AK80" s="1012">
        <v>0</v>
      </c>
      <c r="AL80" s="774">
        <f>+AJ80+AF80+AB80</f>
        <v>0</v>
      </c>
      <c r="AM80" s="774">
        <f>+AK80+AG80+AC80</f>
        <v>0</v>
      </c>
      <c r="AN80" s="775">
        <f>+AH80+AJ80</f>
        <v>0</v>
      </c>
      <c r="AO80" s="1013">
        <f>+AI80+AK80</f>
        <v>0</v>
      </c>
      <c r="AP80" s="1118">
        <f>AP81*AP$3*24</f>
        <v>0</v>
      </c>
      <c r="AQ80" s="1012">
        <v>0</v>
      </c>
      <c r="AR80" s="775">
        <f>+AN80+AP80</f>
        <v>0</v>
      </c>
      <c r="AS80" s="1013">
        <f>+AO80+AQ80</f>
        <v>0</v>
      </c>
      <c r="AT80" s="1118">
        <f>AT81*AT$3*24</f>
        <v>0</v>
      </c>
      <c r="AU80" s="1012"/>
      <c r="AV80" s="775">
        <f>+AR80+AT80</f>
        <v>0</v>
      </c>
      <c r="AW80" s="1013">
        <f>+AS80+AU80</f>
        <v>0</v>
      </c>
      <c r="AX80" s="1118">
        <f>AX81*AX$3*24</f>
        <v>0</v>
      </c>
      <c r="AY80" s="1012"/>
      <c r="AZ80" s="774">
        <f>+AX80+AT80+AP80</f>
        <v>0</v>
      </c>
      <c r="BA80" s="774">
        <f>+AY80+AU80+AQ80</f>
        <v>0</v>
      </c>
      <c r="BB80" s="460">
        <f t="shared" ref="BB80" si="496">+AL80+AZ80</f>
        <v>0</v>
      </c>
      <c r="BC80" s="460">
        <f t="shared" ref="BC80" si="497">+AM80+BA80</f>
        <v>0</v>
      </c>
      <c r="BD80" s="775">
        <f>+AV80+AX80</f>
        <v>0</v>
      </c>
      <c r="BE80" s="1013">
        <f>+AW80+AY80</f>
        <v>0</v>
      </c>
      <c r="BF80" s="114"/>
    </row>
    <row r="81" spans="1:58" ht="15" hidden="1" customHeight="1" x14ac:dyDescent="0.3">
      <c r="B81" s="769"/>
      <c r="C81" s="156"/>
      <c r="D81" s="1118"/>
      <c r="E81" s="1012"/>
      <c r="F81" s="1118"/>
      <c r="G81" s="1012"/>
      <c r="H81" s="775"/>
      <c r="I81" s="1013"/>
      <c r="J81" s="1118"/>
      <c r="K81" s="1012"/>
      <c r="L81" s="774"/>
      <c r="M81" s="1020"/>
      <c r="N81" s="1118"/>
      <c r="O81" s="1012"/>
      <c r="P81" s="775"/>
      <c r="Q81" s="1013"/>
      <c r="R81" s="1118"/>
      <c r="S81" s="1012"/>
      <c r="T81" s="775"/>
      <c r="U81" s="1013"/>
      <c r="V81" s="1118"/>
      <c r="W81" s="1012"/>
      <c r="X81" s="774"/>
      <c r="Y81" s="774"/>
      <c r="Z81" s="460"/>
      <c r="AA81" s="460"/>
      <c r="AB81" s="1118"/>
      <c r="AC81" s="1012"/>
      <c r="AD81" s="775"/>
      <c r="AE81" s="1013"/>
      <c r="AF81" s="1118"/>
      <c r="AG81" s="1012"/>
      <c r="AH81" s="775"/>
      <c r="AI81" s="1013"/>
      <c r="AJ81" s="1118"/>
      <c r="AK81" s="1012"/>
      <c r="AL81" s="774"/>
      <c r="AM81" s="774"/>
      <c r="AN81" s="775"/>
      <c r="AO81" s="1013"/>
      <c r="AP81" s="1118"/>
      <c r="AQ81" s="1012"/>
      <c r="AR81" s="775"/>
      <c r="AS81" s="1013"/>
      <c r="AT81" s="1118"/>
      <c r="AU81" s="1012"/>
      <c r="AV81" s="775"/>
      <c r="AW81" s="1013"/>
      <c r="AX81" s="1118"/>
      <c r="AY81" s="1012"/>
      <c r="AZ81" s="774"/>
      <c r="BA81" s="774"/>
      <c r="BB81" s="460"/>
      <c r="BC81" s="460"/>
      <c r="BD81" s="775"/>
      <c r="BE81" s="1013"/>
      <c r="BF81" s="114"/>
    </row>
    <row r="82" spans="1:58" x14ac:dyDescent="0.3">
      <c r="B82" s="769" t="s">
        <v>73</v>
      </c>
      <c r="C82" s="156" t="s">
        <v>49</v>
      </c>
      <c r="D82" s="1118">
        <f t="shared" ref="D82:E82" si="498">+D80/D78*100</f>
        <v>0</v>
      </c>
      <c r="E82" s="1012">
        <f t="shared" si="498"/>
        <v>0</v>
      </c>
      <c r="F82" s="1118">
        <f t="shared" ref="F82:G82" si="499">+F80/F78*100</f>
        <v>0</v>
      </c>
      <c r="G82" s="1012">
        <f t="shared" si="499"/>
        <v>0</v>
      </c>
      <c r="H82" s="775">
        <f t="shared" ref="H82:K82" si="500">+H80/H78*100</f>
        <v>0</v>
      </c>
      <c r="I82" s="1011">
        <f t="shared" si="500"/>
        <v>0</v>
      </c>
      <c r="J82" s="1118">
        <f t="shared" si="500"/>
        <v>0</v>
      </c>
      <c r="K82" s="1012">
        <f t="shared" si="500"/>
        <v>0</v>
      </c>
      <c r="L82" s="774">
        <f t="shared" ref="L82:Q82" si="501">+L80/L78*100</f>
        <v>0</v>
      </c>
      <c r="M82" s="1021">
        <f t="shared" si="501"/>
        <v>0</v>
      </c>
      <c r="N82" s="1118">
        <f t="shared" si="501"/>
        <v>0</v>
      </c>
      <c r="O82" s="1012">
        <f t="shared" si="501"/>
        <v>0</v>
      </c>
      <c r="P82" s="775">
        <f t="shared" si="501"/>
        <v>0</v>
      </c>
      <c r="Q82" s="1011">
        <f t="shared" si="501"/>
        <v>0</v>
      </c>
      <c r="R82" s="1118">
        <f t="shared" ref="R82:S82" si="502">+R80/R78*100</f>
        <v>0</v>
      </c>
      <c r="S82" s="1012">
        <f t="shared" si="502"/>
        <v>0</v>
      </c>
      <c r="T82" s="775">
        <f t="shared" ref="T82:W82" si="503">+T80/T78*100</f>
        <v>0</v>
      </c>
      <c r="U82" s="1011">
        <f t="shared" si="503"/>
        <v>0</v>
      </c>
      <c r="V82" s="1118">
        <f t="shared" si="503"/>
        <v>0</v>
      </c>
      <c r="W82" s="1012">
        <f t="shared" si="503"/>
        <v>0</v>
      </c>
      <c r="X82" s="774">
        <f t="shared" ref="X82:AE82" si="504">+X80/X78*100</f>
        <v>0</v>
      </c>
      <c r="Y82" s="1021">
        <f t="shared" si="504"/>
        <v>0</v>
      </c>
      <c r="Z82" s="460">
        <f t="shared" si="504"/>
        <v>0</v>
      </c>
      <c r="AA82" s="1022">
        <f t="shared" si="504"/>
        <v>0</v>
      </c>
      <c r="AB82" s="1118">
        <f t="shared" si="504"/>
        <v>0</v>
      </c>
      <c r="AC82" s="1012">
        <f t="shared" si="504"/>
        <v>0</v>
      </c>
      <c r="AD82" s="775">
        <f t="shared" si="504"/>
        <v>0</v>
      </c>
      <c r="AE82" s="1013">
        <f t="shared" si="504"/>
        <v>0</v>
      </c>
      <c r="AF82" s="1118" t="e">
        <f t="shared" ref="AF82:AG82" si="505">+AF80/AF78*100</f>
        <v>#DIV/0!</v>
      </c>
      <c r="AG82" s="1012">
        <f t="shared" si="505"/>
        <v>0</v>
      </c>
      <c r="AH82" s="775">
        <f t="shared" ref="AH82:AK82" si="506">+AH80/AH78*100</f>
        <v>0</v>
      </c>
      <c r="AI82" s="1013">
        <f t="shared" si="506"/>
        <v>0</v>
      </c>
      <c r="AJ82" s="1118" t="e">
        <f t="shared" si="506"/>
        <v>#DIV/0!</v>
      </c>
      <c r="AK82" s="1012">
        <f t="shared" si="506"/>
        <v>0</v>
      </c>
      <c r="AL82" s="774">
        <f t="shared" ref="AL82:AQ82" si="507">+AL80/AL78*100</f>
        <v>0</v>
      </c>
      <c r="AM82" s="1021">
        <f t="shared" si="507"/>
        <v>0</v>
      </c>
      <c r="AN82" s="775">
        <f t="shared" si="507"/>
        <v>0</v>
      </c>
      <c r="AO82" s="1013">
        <f t="shared" si="507"/>
        <v>0</v>
      </c>
      <c r="AP82" s="1118" t="e">
        <f t="shared" si="507"/>
        <v>#DIV/0!</v>
      </c>
      <c r="AQ82" s="1012">
        <f t="shared" si="507"/>
        <v>0</v>
      </c>
      <c r="AR82" s="775">
        <f t="shared" ref="AR82:AU82" si="508">+AR80/AR78*100</f>
        <v>0</v>
      </c>
      <c r="AS82" s="1013">
        <f t="shared" si="508"/>
        <v>0</v>
      </c>
      <c r="AT82" s="1118" t="e">
        <f t="shared" si="508"/>
        <v>#DIV/0!</v>
      </c>
      <c r="AU82" s="1012">
        <f t="shared" si="508"/>
        <v>0</v>
      </c>
      <c r="AV82" s="775">
        <f t="shared" ref="AV82:AY82" si="509">+AV80/AV78*100</f>
        <v>0</v>
      </c>
      <c r="AW82" s="1013">
        <f t="shared" si="509"/>
        <v>0</v>
      </c>
      <c r="AX82" s="1118">
        <f t="shared" si="509"/>
        <v>0</v>
      </c>
      <c r="AY82" s="1012">
        <f t="shared" si="509"/>
        <v>0</v>
      </c>
      <c r="AZ82" s="774">
        <f t="shared" ref="AZ82:BE82" si="510">+AZ80/AZ78*100</f>
        <v>0</v>
      </c>
      <c r="BA82" s="1021">
        <f t="shared" si="510"/>
        <v>0</v>
      </c>
      <c r="BB82" s="460">
        <f t="shared" si="510"/>
        <v>0</v>
      </c>
      <c r="BC82" s="1022">
        <f t="shared" si="510"/>
        <v>0</v>
      </c>
      <c r="BD82" s="775">
        <f t="shared" si="510"/>
        <v>0</v>
      </c>
      <c r="BE82" s="1013">
        <f t="shared" si="510"/>
        <v>0</v>
      </c>
      <c r="BF82" s="114"/>
    </row>
    <row r="83" spans="1:58" ht="17.399999999999999" x14ac:dyDescent="0.3">
      <c r="A83" s="92"/>
      <c r="B83" s="579" t="s">
        <v>55</v>
      </c>
      <c r="C83" s="1008" t="s">
        <v>326</v>
      </c>
      <c r="D83" s="1121">
        <f t="shared" ref="D83:E83" si="511">+D78-D80</f>
        <v>14226.628895184138</v>
      </c>
      <c r="E83" s="1121">
        <f t="shared" si="511"/>
        <v>11375.146000000002</v>
      </c>
      <c r="F83" s="1121">
        <f t="shared" ref="F83:G83" si="512">+F78-F80</f>
        <v>14679.886685552407</v>
      </c>
      <c r="G83" s="1121">
        <f t="shared" si="512"/>
        <v>13088.434000000001</v>
      </c>
      <c r="H83" s="251">
        <f t="shared" ref="H83:K83" si="513">+H78-H80</f>
        <v>28906.515580736545</v>
      </c>
      <c r="I83" s="1018">
        <f t="shared" si="513"/>
        <v>24463.58</v>
      </c>
      <c r="J83" s="1121">
        <f t="shared" si="513"/>
        <v>14226.628895184138</v>
      </c>
      <c r="K83" s="1121">
        <f t="shared" si="513"/>
        <v>14495.507</v>
      </c>
      <c r="L83" s="793">
        <f t="shared" ref="L83:Q83" si="514">+L78-L80</f>
        <v>43133.144475920679</v>
      </c>
      <c r="M83" s="1014">
        <f t="shared" si="514"/>
        <v>38959.087</v>
      </c>
      <c r="N83" s="1121">
        <f t="shared" si="514"/>
        <v>14396.600566572235</v>
      </c>
      <c r="O83" s="1121">
        <f t="shared" si="514"/>
        <v>12713.814</v>
      </c>
      <c r="P83" s="251">
        <f t="shared" si="514"/>
        <v>57529.745042492912</v>
      </c>
      <c r="Q83" s="1018">
        <f t="shared" si="514"/>
        <v>51672.900999999998</v>
      </c>
      <c r="R83" s="1121">
        <f t="shared" ref="R83:S83" si="515">+R78-R80</f>
        <v>14396.600566572235</v>
      </c>
      <c r="S83" s="1121">
        <f t="shared" si="515"/>
        <v>9136.2305695109899</v>
      </c>
      <c r="T83" s="251">
        <f t="shared" ref="T83:W83" si="516">+T78-T80</f>
        <v>71926.345609065145</v>
      </c>
      <c r="U83" s="1018">
        <f t="shared" si="516"/>
        <v>60809.131569510988</v>
      </c>
      <c r="V83" s="1121">
        <f t="shared" si="516"/>
        <v>7555.2407932011338</v>
      </c>
      <c r="W83" s="1121">
        <f t="shared" si="516"/>
        <v>9601.9</v>
      </c>
      <c r="X83" s="793">
        <f t="shared" ref="X83:AE83" si="517">+X78-X80</f>
        <v>36348.4419263456</v>
      </c>
      <c r="Y83" s="1014">
        <f t="shared" si="517"/>
        <v>31451.94456951099</v>
      </c>
      <c r="Z83" s="1019">
        <f t="shared" si="517"/>
        <v>79481.586402266286</v>
      </c>
      <c r="AA83" s="1019">
        <f t="shared" si="517"/>
        <v>70411.031569510989</v>
      </c>
      <c r="AB83" s="1121">
        <f t="shared" si="517"/>
        <v>14679.886685552407</v>
      </c>
      <c r="AC83" s="1121">
        <f t="shared" si="517"/>
        <v>8766.6</v>
      </c>
      <c r="AD83" s="251">
        <f t="shared" si="517"/>
        <v>94161.473087818697</v>
      </c>
      <c r="AE83" s="1018">
        <f t="shared" si="517"/>
        <v>79177.631569510995</v>
      </c>
      <c r="AF83" s="1121">
        <f t="shared" ref="AF83:AG83" si="518">+AF78-AF80</f>
        <v>0</v>
      </c>
      <c r="AG83" s="1121">
        <f t="shared" si="518"/>
        <v>14412.1</v>
      </c>
      <c r="AH83" s="251">
        <f t="shared" ref="AH83:AK83" si="519">+AH78-AH80</f>
        <v>94161.473087818697</v>
      </c>
      <c r="AI83" s="1018">
        <f t="shared" si="519"/>
        <v>93589.731569511001</v>
      </c>
      <c r="AJ83" s="1121">
        <f t="shared" si="519"/>
        <v>0</v>
      </c>
      <c r="AK83" s="1121">
        <f t="shared" si="519"/>
        <v>13439.786498254285</v>
      </c>
      <c r="AL83" s="793">
        <f t="shared" ref="AL83:AQ83" si="520">+AL78-AL80</f>
        <v>14679.886685552407</v>
      </c>
      <c r="AM83" s="1014">
        <f t="shared" si="520"/>
        <v>36618.486498254286</v>
      </c>
      <c r="AN83" s="251">
        <f t="shared" si="520"/>
        <v>94161.473087818697</v>
      </c>
      <c r="AO83" s="1018">
        <f t="shared" si="520"/>
        <v>107029.51806776528</v>
      </c>
      <c r="AP83" s="1121">
        <f t="shared" si="520"/>
        <v>0</v>
      </c>
      <c r="AQ83" s="1121">
        <f t="shared" si="520"/>
        <v>13145.1</v>
      </c>
      <c r="AR83" s="251">
        <f t="shared" ref="AR83:AU83" si="521">+AR78-AR80</f>
        <v>94161.473087818697</v>
      </c>
      <c r="AS83" s="1018">
        <f t="shared" si="521"/>
        <v>120174.61806776529</v>
      </c>
      <c r="AT83" s="1121">
        <f t="shared" si="521"/>
        <v>0</v>
      </c>
      <c r="AU83" s="1121">
        <f t="shared" si="521"/>
        <v>11000.6</v>
      </c>
      <c r="AV83" s="251">
        <f t="shared" ref="AV83:AY83" si="522">+AV78-AV80</f>
        <v>94161.473087818697</v>
      </c>
      <c r="AW83" s="1018">
        <f t="shared" si="522"/>
        <v>131175.21806776529</v>
      </c>
      <c r="AX83" s="1121">
        <f t="shared" si="522"/>
        <v>14906.515580736545</v>
      </c>
      <c r="AY83" s="1121">
        <f t="shared" si="522"/>
        <v>12450.9</v>
      </c>
      <c r="AZ83" s="793">
        <f t="shared" ref="AZ83:BE83" si="523">+AZ78-AZ80</f>
        <v>14906.515580736545</v>
      </c>
      <c r="BA83" s="1014">
        <f t="shared" si="523"/>
        <v>36596.6</v>
      </c>
      <c r="BB83" s="1019">
        <f t="shared" si="523"/>
        <v>29586.402266288951</v>
      </c>
      <c r="BC83" s="1019">
        <f t="shared" si="523"/>
        <v>73215.086498254284</v>
      </c>
      <c r="BD83" s="251">
        <f t="shared" si="523"/>
        <v>109067.98866855525</v>
      </c>
      <c r="BE83" s="1018">
        <f t="shared" si="523"/>
        <v>143626.11806776529</v>
      </c>
      <c r="BF83" s="114"/>
    </row>
    <row r="84" spans="1:58" ht="15.6" x14ac:dyDescent="0.3">
      <c r="A84" s="92"/>
      <c r="B84" s="1016" t="s">
        <v>468</v>
      </c>
      <c r="C84" s="1016"/>
      <c r="D84" s="843"/>
      <c r="E84" s="1016"/>
      <c r="F84" s="843"/>
      <c r="G84" s="1016"/>
      <c r="H84" s="1016"/>
      <c r="I84" s="1016"/>
      <c r="J84" s="843"/>
      <c r="K84" s="1016"/>
      <c r="L84" s="1016"/>
      <c r="M84" s="1016"/>
      <c r="N84" s="843"/>
      <c r="O84" s="1016"/>
      <c r="P84" s="1016"/>
      <c r="Q84" s="1016"/>
      <c r="R84" s="843"/>
      <c r="S84" s="1016"/>
      <c r="T84" s="1016"/>
      <c r="U84" s="1016"/>
      <c r="V84" s="843"/>
      <c r="W84" s="1016"/>
      <c r="X84" s="1016"/>
      <c r="Y84" s="1016"/>
      <c r="Z84" s="1016"/>
      <c r="AA84" s="1016"/>
      <c r="AB84" s="843"/>
      <c r="AC84" s="1016"/>
      <c r="AD84" s="1016"/>
      <c r="AE84" s="1016"/>
      <c r="AF84" s="843"/>
      <c r="AG84" s="1016"/>
      <c r="AH84" s="1016"/>
      <c r="AI84" s="1016"/>
      <c r="AJ84" s="843"/>
      <c r="AK84" s="1016"/>
      <c r="AL84" s="1016"/>
      <c r="AM84" s="1016"/>
      <c r="AN84" s="1016"/>
      <c r="AO84" s="1016"/>
      <c r="AP84" s="843"/>
      <c r="AQ84" s="1016"/>
      <c r="AR84" s="1016"/>
      <c r="AS84" s="1016"/>
      <c r="AT84" s="843"/>
      <c r="AU84" s="1016"/>
      <c r="AV84" s="1016"/>
      <c r="AW84" s="1016"/>
      <c r="AX84" s="843"/>
      <c r="AY84" s="1016"/>
      <c r="AZ84" s="1016"/>
      <c r="BA84" s="1016"/>
      <c r="BB84" s="1016"/>
      <c r="BC84" s="1016"/>
      <c r="BD84" s="1016"/>
      <c r="BE84" s="1016"/>
      <c r="BF84" s="114"/>
    </row>
    <row r="85" spans="1:58" x14ac:dyDescent="0.3">
      <c r="A85" s="92"/>
      <c r="B85" s="1009" t="s">
        <v>122</v>
      </c>
      <c r="C85" s="156" t="s">
        <v>326</v>
      </c>
      <c r="D85" s="2599">
        <f>D86*D$3*24</f>
        <v>6666.628895184137</v>
      </c>
      <c r="E85" s="1185">
        <v>5181.6839999999993</v>
      </c>
      <c r="F85" s="2599">
        <f>F86*F$3*24</f>
        <v>12447.886685552407</v>
      </c>
      <c r="G85" s="1185">
        <v>4467.5640000000003</v>
      </c>
      <c r="H85" s="775">
        <f>+D85+F85</f>
        <v>19114.515580736545</v>
      </c>
      <c r="I85" s="775">
        <f>+E85+G85</f>
        <v>9649.2479999999996</v>
      </c>
      <c r="J85" s="2599">
        <f>J86*J$3*24</f>
        <v>12066.628895184138</v>
      </c>
      <c r="K85" s="1185">
        <v>6702.2109999999993</v>
      </c>
      <c r="L85" s="774">
        <f>+H85+J85</f>
        <v>31181.144475920682</v>
      </c>
      <c r="M85" s="774">
        <f>+I85+K85</f>
        <v>16351.458999999999</v>
      </c>
      <c r="N85" s="2599">
        <f>N86*N$3*24</f>
        <v>12164.600566572237</v>
      </c>
      <c r="O85" s="1185">
        <v>5306.7839999999997</v>
      </c>
      <c r="P85" s="775">
        <f>+L85+N85</f>
        <v>43345.745042492919</v>
      </c>
      <c r="Q85" s="775">
        <f>+M85+O85</f>
        <v>21658.242999999999</v>
      </c>
      <c r="R85" s="2599">
        <f>R86*R$3*24</f>
        <v>12164.600566572237</v>
      </c>
      <c r="S85" s="1185">
        <v>2019.7756535991027</v>
      </c>
      <c r="T85" s="775">
        <f>+P85+R85</f>
        <v>55510.34560906516</v>
      </c>
      <c r="U85" s="775">
        <f>+Q85+S85</f>
        <v>23678.018653599102</v>
      </c>
      <c r="V85" s="2599">
        <f>V86*V$3*24</f>
        <v>7555.2407932011338</v>
      </c>
      <c r="W85" s="1185">
        <v>586.70000000000005</v>
      </c>
      <c r="X85" s="774">
        <f>+V85+R85+N85</f>
        <v>31884.441926345607</v>
      </c>
      <c r="Y85" s="774">
        <f>+W85+S85+O85</f>
        <v>7913.2596535991024</v>
      </c>
      <c r="Z85" s="460">
        <f>+L85+X85</f>
        <v>63065.586402266286</v>
      </c>
      <c r="AA85" s="460">
        <f>+Y85+M85</f>
        <v>24264.718653599102</v>
      </c>
      <c r="AB85" s="2599">
        <f>AB86*AB$3*24</f>
        <v>12447.886685552403</v>
      </c>
      <c r="AC85" s="1185">
        <v>2968.5</v>
      </c>
      <c r="AD85" s="775">
        <f>+Z85+AB85</f>
        <v>75513.473087818682</v>
      </c>
      <c r="AE85" s="775">
        <f>+AA85+AC85</f>
        <v>27233.218653599102</v>
      </c>
      <c r="AF85" s="2599">
        <f>AF86*AF$3*24</f>
        <v>0</v>
      </c>
      <c r="AG85" s="1185">
        <v>3016.2</v>
      </c>
      <c r="AH85" s="775">
        <f>+AD85+AF85</f>
        <v>75513.473087818682</v>
      </c>
      <c r="AI85" s="775">
        <f>+AE85+AG85</f>
        <v>30249.418653599103</v>
      </c>
      <c r="AJ85" s="2599">
        <f>AJ86*AJ$3*24</f>
        <v>0</v>
      </c>
      <c r="AK85" s="1185">
        <v>1007.3280000000002</v>
      </c>
      <c r="AL85" s="774">
        <f>+AJ85+AF85+AB85</f>
        <v>12447.886685552403</v>
      </c>
      <c r="AM85" s="774">
        <f>+AK85+AG85+AC85</f>
        <v>6992.0280000000002</v>
      </c>
      <c r="AN85" s="775">
        <f>+AH85+AJ85</f>
        <v>75513.473087818682</v>
      </c>
      <c r="AO85" s="775">
        <f>+AI85+AK85</f>
        <v>31256.746653599104</v>
      </c>
      <c r="AP85" s="2599">
        <f>AP86*AP$3*24</f>
        <v>0</v>
      </c>
      <c r="AQ85" s="1185">
        <v>688.7</v>
      </c>
      <c r="AR85" s="775">
        <f>+AN85+AP85</f>
        <v>75513.473087818682</v>
      </c>
      <c r="AS85" s="775">
        <f>+AO85+AQ85</f>
        <v>31945.446653599105</v>
      </c>
      <c r="AT85" s="2599">
        <f>AT86*AT$3*24</f>
        <v>0</v>
      </c>
      <c r="AU85" s="1185">
        <v>966.1</v>
      </c>
      <c r="AV85" s="775">
        <f>+AR85+AT85</f>
        <v>75513.473087818682</v>
      </c>
      <c r="AW85" s="775">
        <f>+AS85+AU85</f>
        <v>32911.546653599107</v>
      </c>
      <c r="AX85" s="2599">
        <f>AX86*AX$3*24</f>
        <v>12674.515580736545</v>
      </c>
      <c r="AY85" s="1185">
        <v>2071.5</v>
      </c>
      <c r="AZ85" s="774">
        <f>+AX85+AT85+AP85</f>
        <v>12674.515580736545</v>
      </c>
      <c r="BA85" s="774">
        <f>+AY85+AU85+AQ85</f>
        <v>3726.3</v>
      </c>
      <c r="BB85" s="460">
        <f t="shared" ref="BB85:BB93" si="524">+AL85+AZ85</f>
        <v>25122.402266288947</v>
      </c>
      <c r="BC85" s="460">
        <f t="shared" ref="BC85:BC93" si="525">+AM85+BA85</f>
        <v>10718.328000000001</v>
      </c>
      <c r="BD85" s="775">
        <f>+AV85+AX85</f>
        <v>88187.988668555219</v>
      </c>
      <c r="BE85" s="775">
        <f>+AW85+AY85</f>
        <v>34983.046653599107</v>
      </c>
      <c r="BF85" s="114"/>
    </row>
    <row r="86" spans="1:58" ht="15.6" hidden="1" x14ac:dyDescent="0.3">
      <c r="A86" s="92"/>
      <c r="B86" s="4728"/>
      <c r="C86" s="4443"/>
      <c r="D86" s="4729">
        <v>9.2592067988668578</v>
      </c>
      <c r="E86" s="4512"/>
      <c r="F86" s="4729">
        <v>16.731030491333879</v>
      </c>
      <c r="G86" s="4512"/>
      <c r="H86" s="4506"/>
      <c r="I86" s="4506"/>
      <c r="J86" s="4729">
        <v>16.759206798866856</v>
      </c>
      <c r="K86" s="4512"/>
      <c r="L86" s="4513"/>
      <c r="M86" s="4513"/>
      <c r="N86" s="4729">
        <v>16.350269578726124</v>
      </c>
      <c r="O86" s="4512"/>
      <c r="P86" s="4506"/>
      <c r="Q86" s="4506"/>
      <c r="R86" s="4729">
        <v>16.350269578726124</v>
      </c>
      <c r="S86" s="4512"/>
      <c r="T86" s="4506"/>
      <c r="U86" s="4506"/>
      <c r="V86" s="4729">
        <v>10.49338999055713</v>
      </c>
      <c r="W86" s="4512"/>
      <c r="X86" s="4513"/>
      <c r="Y86" s="4513"/>
      <c r="Z86" s="4618"/>
      <c r="AA86" s="4618"/>
      <c r="AB86" s="4729">
        <v>16.731030491333875</v>
      </c>
      <c r="AC86" s="4512"/>
      <c r="AD86" s="4506"/>
      <c r="AE86" s="4506"/>
      <c r="AF86" s="4729">
        <v>0</v>
      </c>
      <c r="AG86" s="4512"/>
      <c r="AH86" s="4506"/>
      <c r="AI86" s="4506"/>
      <c r="AJ86" s="4729">
        <v>0</v>
      </c>
      <c r="AK86" s="4512"/>
      <c r="AL86" s="4513"/>
      <c r="AM86" s="4513"/>
      <c r="AN86" s="4506"/>
      <c r="AO86" s="4506"/>
      <c r="AP86" s="4729"/>
      <c r="AQ86" s="4512"/>
      <c r="AR86" s="4506"/>
      <c r="AS86" s="4506"/>
      <c r="AT86" s="4729"/>
      <c r="AU86" s="4512"/>
      <c r="AV86" s="4506"/>
      <c r="AW86" s="4506"/>
      <c r="AX86" s="4729">
        <v>17.035639221420087</v>
      </c>
      <c r="AY86" s="4512"/>
      <c r="AZ86" s="774">
        <f t="shared" ref="AZ86:AZ93" si="526">+AX86+AT86+AP86</f>
        <v>17.035639221420087</v>
      </c>
      <c r="BA86" s="4513"/>
      <c r="BB86" s="4618"/>
      <c r="BC86" s="4618"/>
      <c r="BD86" s="4506"/>
      <c r="BE86" s="4506"/>
      <c r="BF86" s="114"/>
    </row>
    <row r="87" spans="1:58" x14ac:dyDescent="0.3">
      <c r="A87" s="92"/>
      <c r="B87" s="1009" t="s">
        <v>1330</v>
      </c>
      <c r="C87" s="156" t="s">
        <v>326</v>
      </c>
      <c r="D87" s="2599">
        <f>D88*D$3*24</f>
        <v>3763.1236144510149</v>
      </c>
      <c r="E87" s="1185">
        <v>2871.9149238493778</v>
      </c>
      <c r="F87" s="2599">
        <f>F88*F$3*24</f>
        <v>1116.5902167604945</v>
      </c>
      <c r="G87" s="1185">
        <v>3828.6043275515049</v>
      </c>
      <c r="H87" s="775">
        <f>+D87+F87</f>
        <v>4879.7138312115094</v>
      </c>
      <c r="I87" s="775">
        <f>+E87+G87</f>
        <v>6700.5192514008831</v>
      </c>
      <c r="J87" s="2599">
        <f>J88*J$3*24</f>
        <v>1075.178175557433</v>
      </c>
      <c r="K87" s="1185">
        <v>3573.6069560380729</v>
      </c>
      <c r="L87" s="774">
        <f t="shared" ref="L87:L91" si="527">+H87+J87</f>
        <v>5954.8920067689423</v>
      </c>
      <c r="M87" s="774">
        <f t="shared" ref="M87:M91" si="528">+I87+K87</f>
        <v>10274.126207438956</v>
      </c>
      <c r="N87" s="2599">
        <f>N88*N$3*24</f>
        <v>1115.7337316178846</v>
      </c>
      <c r="O87" s="1185">
        <v>3192.9922877678187</v>
      </c>
      <c r="P87" s="775">
        <f>+L87+N87</f>
        <v>7070.6257383868269</v>
      </c>
      <c r="Q87" s="775">
        <f t="shared" ref="Q87:Q91" si="529">+M87+O87</f>
        <v>13467.118495206774</v>
      </c>
      <c r="R87" s="2599">
        <f>R88*R$3*24</f>
        <v>1115.7337316178846</v>
      </c>
      <c r="S87" s="1185">
        <v>3133.3300290292059</v>
      </c>
      <c r="T87" s="775">
        <f>+P87+R87</f>
        <v>8186.3594700047115</v>
      </c>
      <c r="U87" s="775">
        <f t="shared" ref="U87:U91" si="530">+Q87+S87</f>
        <v>16600.448524235981</v>
      </c>
      <c r="V87" s="2599">
        <f>V88*V$3*24</f>
        <v>0</v>
      </c>
      <c r="W87" s="1185">
        <v>3972.6</v>
      </c>
      <c r="X87" s="774">
        <f t="shared" ref="X87:Y93" si="531">+V87+R87+N87</f>
        <v>2231.4674632357692</v>
      </c>
      <c r="Y87" s="774">
        <f t="shared" si="531"/>
        <v>10298.922316797025</v>
      </c>
      <c r="Z87" s="460">
        <f t="shared" ref="Z87:Z91" si="532">+L87+X87</f>
        <v>8186.3594700047115</v>
      </c>
      <c r="AA87" s="460">
        <f t="shared" ref="AA87:AA93" si="533">+Y87+M87</f>
        <v>20573.048524235979</v>
      </c>
      <c r="AB87" s="2599">
        <f>AB88*AB$3*24</f>
        <v>1145.367687018359</v>
      </c>
      <c r="AC87" s="1185">
        <v>2397.1999999999998</v>
      </c>
      <c r="AD87" s="775">
        <f t="shared" ref="AD87:AE91" si="534">+Z87+AB87</f>
        <v>9331.7271570230696</v>
      </c>
      <c r="AE87" s="775">
        <f t="shared" si="534"/>
        <v>22970.24852423598</v>
      </c>
      <c r="AF87" s="2599">
        <f>AF88*AF$3*24</f>
        <v>0</v>
      </c>
      <c r="AG87" s="1185">
        <v>5031.8999999999996</v>
      </c>
      <c r="AH87" s="775">
        <f t="shared" ref="AH87:AI91" si="535">+AD87+AF87</f>
        <v>9331.7271570230696</v>
      </c>
      <c r="AI87" s="775">
        <f t="shared" si="535"/>
        <v>28002.148524235978</v>
      </c>
      <c r="AJ87" s="2599">
        <f>AJ88*AJ$3*24</f>
        <v>0</v>
      </c>
      <c r="AK87" s="1185">
        <v>5255.6771507618287</v>
      </c>
      <c r="AL87" s="774">
        <f t="shared" ref="AL87:AM93" si="536">+AJ87+AF87+AB87</f>
        <v>1145.367687018359</v>
      </c>
      <c r="AM87" s="774">
        <f t="shared" si="536"/>
        <v>12684.777150761827</v>
      </c>
      <c r="AN87" s="775">
        <f t="shared" ref="AN87:AO91" si="537">+AH87+AJ87</f>
        <v>9331.7271570230696</v>
      </c>
      <c r="AO87" s="775">
        <f t="shared" si="537"/>
        <v>33257.825674997803</v>
      </c>
      <c r="AP87" s="2599">
        <f>AP88*AP$3*24</f>
        <v>0</v>
      </c>
      <c r="AQ87" s="1185">
        <v>5533.6</v>
      </c>
      <c r="AR87" s="775">
        <f t="shared" ref="AR87:AS91" si="538">+AN87+AP87</f>
        <v>9331.7271570230696</v>
      </c>
      <c r="AS87" s="775">
        <f t="shared" si="538"/>
        <v>38791.425674997801</v>
      </c>
      <c r="AT87" s="2599">
        <f>AT88*AT$3*24</f>
        <v>0</v>
      </c>
      <c r="AU87" s="1185">
        <v>4698.7</v>
      </c>
      <c r="AV87" s="775">
        <f t="shared" ref="AV87:AW91" si="539">+AR87+AT87</f>
        <v>9331.7271570230696</v>
      </c>
      <c r="AW87" s="775">
        <f t="shared" si="539"/>
        <v>43490.125674997798</v>
      </c>
      <c r="AX87" s="2599">
        <f>AX88*AX$3*24</f>
        <v>1126.7127279168515</v>
      </c>
      <c r="AY87" s="1185">
        <v>4643.7</v>
      </c>
      <c r="AZ87" s="774">
        <f t="shared" si="526"/>
        <v>1126.7127279168515</v>
      </c>
      <c r="BA87" s="774">
        <f t="shared" ref="BA87:BA93" si="540">+AY87+AU87+AQ87</f>
        <v>14876</v>
      </c>
      <c r="BB87" s="460">
        <f t="shared" si="524"/>
        <v>2272.0804149352107</v>
      </c>
      <c r="BC87" s="460">
        <f t="shared" si="525"/>
        <v>27560.777150761827</v>
      </c>
      <c r="BD87" s="775">
        <f t="shared" ref="BD87:BE91" si="541">+AV87+AX87</f>
        <v>10458.43988493992</v>
      </c>
      <c r="BE87" s="775">
        <f t="shared" si="541"/>
        <v>48133.825674997795</v>
      </c>
      <c r="BF87" s="114"/>
    </row>
    <row r="88" spans="1:58" ht="15.6" hidden="1" x14ac:dyDescent="0.3">
      <c r="A88" s="92"/>
      <c r="B88" s="4728"/>
      <c r="C88" s="4443"/>
      <c r="D88" s="4729">
        <v>5.2265605756264097</v>
      </c>
      <c r="E88" s="4512"/>
      <c r="F88" s="4729">
        <v>1.5007933020974389</v>
      </c>
      <c r="G88" s="4512"/>
      <c r="H88" s="4506"/>
      <c r="I88" s="4506"/>
      <c r="J88" s="4729">
        <v>1.4933030216075458</v>
      </c>
      <c r="K88" s="4512"/>
      <c r="L88" s="4513"/>
      <c r="M88" s="4513"/>
      <c r="N88" s="4729">
        <v>1.49964211238963</v>
      </c>
      <c r="O88" s="4512"/>
      <c r="P88" s="4506"/>
      <c r="Q88" s="4506"/>
      <c r="R88" s="4729">
        <v>1.49964211238963</v>
      </c>
      <c r="S88" s="4512"/>
      <c r="T88" s="4506"/>
      <c r="U88" s="4506"/>
      <c r="V88" s="4729">
        <v>0</v>
      </c>
      <c r="W88" s="4512"/>
      <c r="X88" s="4513"/>
      <c r="Y88" s="4513"/>
      <c r="Z88" s="4618"/>
      <c r="AA88" s="4618"/>
      <c r="AB88" s="4729">
        <v>1.5394726976053212</v>
      </c>
      <c r="AC88" s="4512"/>
      <c r="AD88" s="4506"/>
      <c r="AE88" s="4506"/>
      <c r="AF88" s="4729">
        <v>0</v>
      </c>
      <c r="AG88" s="4512"/>
      <c r="AH88" s="4506"/>
      <c r="AI88" s="4506"/>
      <c r="AJ88" s="4729">
        <v>0</v>
      </c>
      <c r="AK88" s="4512"/>
      <c r="AL88" s="4513"/>
      <c r="AM88" s="4513"/>
      <c r="AN88" s="4506"/>
      <c r="AO88" s="4506"/>
      <c r="AP88" s="4729"/>
      <c r="AQ88" s="4512"/>
      <c r="AR88" s="4506"/>
      <c r="AS88" s="4506"/>
      <c r="AT88" s="4729"/>
      <c r="AU88" s="4512"/>
      <c r="AV88" s="4506"/>
      <c r="AW88" s="4506"/>
      <c r="AX88" s="4729">
        <v>1.5143988278452303</v>
      </c>
      <c r="AY88" s="4512"/>
      <c r="AZ88" s="774">
        <f t="shared" si="526"/>
        <v>1.5143988278452303</v>
      </c>
      <c r="BA88" s="4513"/>
      <c r="BB88" s="4618"/>
      <c r="BC88" s="4618"/>
      <c r="BD88" s="4506"/>
      <c r="BE88" s="4506"/>
      <c r="BF88" s="114"/>
    </row>
    <row r="89" spans="1:58" x14ac:dyDescent="0.3">
      <c r="A89" s="92"/>
      <c r="B89" s="1009" t="s">
        <v>91</v>
      </c>
      <c r="C89" s="156" t="s">
        <v>326</v>
      </c>
      <c r="D89" s="2599">
        <f>D90*D$3*24</f>
        <v>2289.9023670908255</v>
      </c>
      <c r="E89" s="1185">
        <v>1919.7050625478087</v>
      </c>
      <c r="F89" s="2599">
        <f>F90*F$3*24</f>
        <v>673.78073254620631</v>
      </c>
      <c r="G89" s="1185">
        <v>2845.3154649731773</v>
      </c>
      <c r="H89" s="775">
        <f t="shared" ref="H89:H93" si="542">+D89+F89</f>
        <v>2963.6830996370318</v>
      </c>
      <c r="I89" s="775">
        <f t="shared" ref="I89:I93" si="543">+E89+G89</f>
        <v>4765.0205275209864</v>
      </c>
      <c r="J89" s="2599">
        <f>J90*J$3*24</f>
        <v>654.25781916880749</v>
      </c>
      <c r="K89" s="1185">
        <v>2473.3741110866117</v>
      </c>
      <c r="L89" s="774">
        <f t="shared" si="527"/>
        <v>3617.9409188058394</v>
      </c>
      <c r="M89" s="774">
        <f t="shared" si="528"/>
        <v>7238.3946386075986</v>
      </c>
      <c r="N89" s="2599">
        <f>N90*N$3*24</f>
        <v>674.29810579814841</v>
      </c>
      <c r="O89" s="1185">
        <v>2485.4007884967182</v>
      </c>
      <c r="P89" s="775">
        <f>+L89+N89</f>
        <v>4292.2390246039877</v>
      </c>
      <c r="Q89" s="775">
        <f t="shared" si="529"/>
        <v>9723.7954271043163</v>
      </c>
      <c r="R89" s="2599">
        <f>R90*R$3*24</f>
        <v>674.29810579814841</v>
      </c>
      <c r="S89" s="1185">
        <v>2406.6359294407875</v>
      </c>
      <c r="T89" s="775">
        <f>+P89+R89</f>
        <v>4966.5371304021364</v>
      </c>
      <c r="U89" s="775">
        <f t="shared" si="530"/>
        <v>12130.431356545105</v>
      </c>
      <c r="V89" s="2599">
        <f>V90*V$3*24</f>
        <v>0</v>
      </c>
      <c r="W89" s="1185">
        <v>2969.9</v>
      </c>
      <c r="X89" s="774">
        <f t="shared" si="531"/>
        <v>1348.5962115962968</v>
      </c>
      <c r="Y89" s="774">
        <f t="shared" si="531"/>
        <v>7861.9367179375058</v>
      </c>
      <c r="Z89" s="460">
        <f t="shared" si="532"/>
        <v>4966.5371304021364</v>
      </c>
      <c r="AA89" s="460">
        <f t="shared" si="533"/>
        <v>15100.331356545104</v>
      </c>
      <c r="AB89" s="2599">
        <f>AB90*AB$3*24</f>
        <v>662.08771571893362</v>
      </c>
      <c r="AC89" s="1185">
        <v>1954.2</v>
      </c>
      <c r="AD89" s="775">
        <f t="shared" si="534"/>
        <v>5628.6248461210698</v>
      </c>
      <c r="AE89" s="775">
        <f t="shared" si="534"/>
        <v>17054.531356545103</v>
      </c>
      <c r="AF89" s="2599">
        <f>AF90*AF$3*24</f>
        <v>0</v>
      </c>
      <c r="AG89" s="1185">
        <v>3735.6</v>
      </c>
      <c r="AH89" s="775">
        <f t="shared" si="535"/>
        <v>5628.6248461210698</v>
      </c>
      <c r="AI89" s="775">
        <f t="shared" si="535"/>
        <v>20790.131356545102</v>
      </c>
      <c r="AJ89" s="2599">
        <f>AJ90*AJ$3*24</f>
        <v>0</v>
      </c>
      <c r="AK89" s="1185">
        <v>4017.3000405304383</v>
      </c>
      <c r="AL89" s="774">
        <f t="shared" si="536"/>
        <v>662.08771571893362</v>
      </c>
      <c r="AM89" s="774">
        <f t="shared" si="536"/>
        <v>9707.1000405304385</v>
      </c>
      <c r="AN89" s="775">
        <f t="shared" si="537"/>
        <v>5628.6248461210698</v>
      </c>
      <c r="AO89" s="775">
        <f t="shared" si="537"/>
        <v>24807.431397075539</v>
      </c>
      <c r="AP89" s="2599">
        <f>AP90*AP$3*24</f>
        <v>0</v>
      </c>
      <c r="AQ89" s="1185">
        <v>3954.4</v>
      </c>
      <c r="AR89" s="775">
        <f t="shared" si="538"/>
        <v>5628.6248461210698</v>
      </c>
      <c r="AS89" s="775">
        <f t="shared" si="538"/>
        <v>28761.831397075541</v>
      </c>
      <c r="AT89" s="2599">
        <f>AT90*AT$3*24</f>
        <v>0</v>
      </c>
      <c r="AU89" s="1185">
        <v>3081.8</v>
      </c>
      <c r="AV89" s="775">
        <f t="shared" si="539"/>
        <v>5628.6248461210698</v>
      </c>
      <c r="AW89" s="775">
        <f t="shared" si="539"/>
        <v>31843.63139707554</v>
      </c>
      <c r="AX89" s="2599">
        <f>AX90*AX$3*24</f>
        <v>668.0041923546496</v>
      </c>
      <c r="AY89" s="1185">
        <v>3227.9</v>
      </c>
      <c r="AZ89" s="774">
        <f t="shared" si="526"/>
        <v>668.0041923546496</v>
      </c>
      <c r="BA89" s="774">
        <f t="shared" si="540"/>
        <v>10264.1</v>
      </c>
      <c r="BB89" s="460">
        <f t="shared" si="524"/>
        <v>1330.0919080735832</v>
      </c>
      <c r="BC89" s="460">
        <f t="shared" si="525"/>
        <v>19971.200040530439</v>
      </c>
      <c r="BD89" s="775">
        <f t="shared" si="541"/>
        <v>6296.6290384757194</v>
      </c>
      <c r="BE89" s="775">
        <f t="shared" si="541"/>
        <v>35071.531397075538</v>
      </c>
      <c r="BF89" s="114"/>
    </row>
    <row r="90" spans="1:58" ht="15.6" hidden="1" x14ac:dyDescent="0.3">
      <c r="A90" s="92"/>
      <c r="B90" s="4728"/>
      <c r="C90" s="4443"/>
      <c r="D90" s="4729">
        <v>3.1804199542928133</v>
      </c>
      <c r="E90" s="4512"/>
      <c r="F90" s="4729">
        <v>0.90561926417500849</v>
      </c>
      <c r="G90" s="4512"/>
      <c r="H90" s="4506"/>
      <c r="I90" s="4506"/>
      <c r="J90" s="4729">
        <v>0.90869141551223254</v>
      </c>
      <c r="K90" s="4512"/>
      <c r="L90" s="4513"/>
      <c r="M90" s="4513"/>
      <c r="N90" s="4729">
        <v>0.90631465833084468</v>
      </c>
      <c r="O90" s="4512"/>
      <c r="P90" s="4506"/>
      <c r="Q90" s="4506"/>
      <c r="R90" s="4729">
        <v>0.90631465833084468</v>
      </c>
      <c r="S90" s="4512"/>
      <c r="T90" s="4506"/>
      <c r="U90" s="4506"/>
      <c r="V90" s="4729">
        <v>0</v>
      </c>
      <c r="W90" s="4512"/>
      <c r="X90" s="4513"/>
      <c r="Y90" s="4513"/>
      <c r="Z90" s="4618"/>
      <c r="AA90" s="4618"/>
      <c r="AB90" s="4729">
        <v>0.88990284370824413</v>
      </c>
      <c r="AC90" s="4512"/>
      <c r="AD90" s="4506"/>
      <c r="AE90" s="4506"/>
      <c r="AF90" s="4729">
        <v>0</v>
      </c>
      <c r="AG90" s="4512"/>
      <c r="AH90" s="4506"/>
      <c r="AI90" s="4506"/>
      <c r="AJ90" s="4729">
        <v>0</v>
      </c>
      <c r="AK90" s="4512"/>
      <c r="AL90" s="4513"/>
      <c r="AM90" s="4513"/>
      <c r="AN90" s="4506"/>
      <c r="AO90" s="4506"/>
      <c r="AP90" s="4729"/>
      <c r="AQ90" s="4512"/>
      <c r="AR90" s="4506"/>
      <c r="AS90" s="4506"/>
      <c r="AT90" s="4729"/>
      <c r="AU90" s="4512"/>
      <c r="AV90" s="4506"/>
      <c r="AW90" s="4506"/>
      <c r="AX90" s="4729">
        <v>0.89785509725087309</v>
      </c>
      <c r="AY90" s="4512"/>
      <c r="AZ90" s="774">
        <f t="shared" si="526"/>
        <v>0.89785509725087309</v>
      </c>
      <c r="BA90" s="4513"/>
      <c r="BB90" s="4618"/>
      <c r="BC90" s="4618"/>
      <c r="BD90" s="4506"/>
      <c r="BE90" s="4506"/>
      <c r="BF90" s="114"/>
    </row>
    <row r="91" spans="1:58" x14ac:dyDescent="0.3">
      <c r="A91" s="92"/>
      <c r="B91" s="1009" t="s">
        <v>1331</v>
      </c>
      <c r="C91" s="156" t="s">
        <v>326</v>
      </c>
      <c r="D91" s="2599">
        <f>D92*D$3*24</f>
        <v>1506.9740184581592</v>
      </c>
      <c r="E91" s="1185">
        <v>1401.8420136028144</v>
      </c>
      <c r="F91" s="2599">
        <f>F92*F$3*24</f>
        <v>441.62905069329918</v>
      </c>
      <c r="G91" s="1185">
        <v>1946.9502074753182</v>
      </c>
      <c r="H91" s="775">
        <f t="shared" si="542"/>
        <v>1948.6030691514584</v>
      </c>
      <c r="I91" s="775">
        <f t="shared" si="543"/>
        <v>3348.7922210781326</v>
      </c>
      <c r="J91" s="2599">
        <f>J92*J$3*24</f>
        <v>430.56400527375979</v>
      </c>
      <c r="K91" s="1185">
        <v>1746.3149328753157</v>
      </c>
      <c r="L91" s="774">
        <f t="shared" si="527"/>
        <v>2379.1670744252183</v>
      </c>
      <c r="M91" s="774">
        <f t="shared" si="528"/>
        <v>5095.1071539534478</v>
      </c>
      <c r="N91" s="2599">
        <f>N92*N$3*24</f>
        <v>441.96816258396706</v>
      </c>
      <c r="O91" s="1185">
        <v>1728.6369237354629</v>
      </c>
      <c r="P91" s="775">
        <f>+L91+N91</f>
        <v>2821.1352370091854</v>
      </c>
      <c r="Q91" s="775">
        <f t="shared" si="529"/>
        <v>6823.7440776889107</v>
      </c>
      <c r="R91" s="2599">
        <f>R92*R$3*24</f>
        <v>441.96816258396706</v>
      </c>
      <c r="S91" s="1185">
        <v>1576.4889574418933</v>
      </c>
      <c r="T91" s="775">
        <f>+P91+R91</f>
        <v>3263.1033995931525</v>
      </c>
      <c r="U91" s="775">
        <f t="shared" si="530"/>
        <v>8400.2330351308046</v>
      </c>
      <c r="V91" s="2599">
        <f>V92*V$3*24</f>
        <v>0</v>
      </c>
      <c r="W91" s="1185">
        <v>2072.8000000000002</v>
      </c>
      <c r="X91" s="774">
        <f t="shared" si="531"/>
        <v>883.93632516793411</v>
      </c>
      <c r="Y91" s="774">
        <f t="shared" si="531"/>
        <v>5377.9258811773561</v>
      </c>
      <c r="Z91" s="460">
        <f t="shared" si="532"/>
        <v>3263.1033995931525</v>
      </c>
      <c r="AA91" s="460">
        <f t="shared" si="533"/>
        <v>10473.033035130804</v>
      </c>
      <c r="AB91" s="2599">
        <f>AB92*AB$3*24</f>
        <v>424.54459726270744</v>
      </c>
      <c r="AC91" s="1185">
        <v>1446.6</v>
      </c>
      <c r="AD91" s="775">
        <f t="shared" si="534"/>
        <v>3687.6479968558601</v>
      </c>
      <c r="AE91" s="775">
        <f t="shared" si="534"/>
        <v>11919.633035130804</v>
      </c>
      <c r="AF91" s="2599">
        <f>AF92*AF$3*24</f>
        <v>0</v>
      </c>
      <c r="AG91" s="1185">
        <v>2628.5</v>
      </c>
      <c r="AH91" s="775">
        <f t="shared" si="535"/>
        <v>3687.6479968558601</v>
      </c>
      <c r="AI91" s="775">
        <f t="shared" si="535"/>
        <v>14548.133035130804</v>
      </c>
      <c r="AJ91" s="2599">
        <f>AJ92*AJ$3*24</f>
        <v>0</v>
      </c>
      <c r="AK91" s="1185">
        <v>3159.4813069620204</v>
      </c>
      <c r="AL91" s="774">
        <f t="shared" si="536"/>
        <v>424.54459726270744</v>
      </c>
      <c r="AM91" s="774">
        <f t="shared" si="536"/>
        <v>7234.5813069620199</v>
      </c>
      <c r="AN91" s="775">
        <f t="shared" si="537"/>
        <v>3687.6479968558601</v>
      </c>
      <c r="AO91" s="775">
        <f t="shared" si="537"/>
        <v>17707.614342092824</v>
      </c>
      <c r="AP91" s="2599">
        <f>AP92*AP$3*24</f>
        <v>0</v>
      </c>
      <c r="AQ91" s="1185">
        <v>2968.5</v>
      </c>
      <c r="AR91" s="775">
        <f t="shared" si="538"/>
        <v>3687.6479968558601</v>
      </c>
      <c r="AS91" s="775">
        <f t="shared" si="538"/>
        <v>20676.114342092824</v>
      </c>
      <c r="AT91" s="2599">
        <f>AT92*AT$3*24</f>
        <v>0</v>
      </c>
      <c r="AU91" s="1185">
        <v>2254</v>
      </c>
      <c r="AV91" s="775">
        <f t="shared" si="539"/>
        <v>3687.6479968558601</v>
      </c>
      <c r="AW91" s="775">
        <f t="shared" si="539"/>
        <v>22930.114342092824</v>
      </c>
      <c r="AX91" s="2599">
        <f>AX92*AX$3*24</f>
        <v>437.28307972849899</v>
      </c>
      <c r="AY91" s="1185">
        <v>2507.8000000000002</v>
      </c>
      <c r="AZ91" s="774">
        <f t="shared" si="526"/>
        <v>437.28307972849899</v>
      </c>
      <c r="BA91" s="774">
        <f t="shared" si="540"/>
        <v>7730.3</v>
      </c>
      <c r="BB91" s="460">
        <f t="shared" si="524"/>
        <v>861.82767699120643</v>
      </c>
      <c r="BC91" s="460">
        <f t="shared" si="525"/>
        <v>14964.881306962019</v>
      </c>
      <c r="BD91" s="775">
        <f t="shared" si="541"/>
        <v>4124.9310765843593</v>
      </c>
      <c r="BE91" s="775">
        <f t="shared" si="541"/>
        <v>25437.914342092823</v>
      </c>
      <c r="BF91" s="114"/>
    </row>
    <row r="92" spans="1:58" ht="15.6" hidden="1" x14ac:dyDescent="0.3">
      <c r="A92" s="92"/>
      <c r="B92" s="4728"/>
      <c r="C92" s="4443"/>
      <c r="D92" s="4729">
        <v>2.0930194700807765</v>
      </c>
      <c r="E92" s="4512"/>
      <c r="F92" s="4729">
        <v>0.59358743372755263</v>
      </c>
      <c r="G92" s="4512"/>
      <c r="H92" s="4506"/>
      <c r="I92" s="4506"/>
      <c r="J92" s="4729">
        <v>0.59800556288022189</v>
      </c>
      <c r="K92" s="4512"/>
      <c r="L92" s="4513"/>
      <c r="M92" s="4513"/>
      <c r="N92" s="4729">
        <v>0.59404322927952558</v>
      </c>
      <c r="O92" s="4512"/>
      <c r="P92" s="4506"/>
      <c r="Q92" s="4506"/>
      <c r="R92" s="4729">
        <v>0.59404322927952558</v>
      </c>
      <c r="S92" s="4512"/>
      <c r="T92" s="4506"/>
      <c r="U92" s="4506"/>
      <c r="V92" s="4729">
        <v>0</v>
      </c>
      <c r="W92" s="4512"/>
      <c r="X92" s="4513"/>
      <c r="Y92" s="4513"/>
      <c r="Z92" s="4618"/>
      <c r="AA92" s="4618"/>
      <c r="AB92" s="4729">
        <v>0.57062445868643474</v>
      </c>
      <c r="AC92" s="4512"/>
      <c r="AD92" s="4506"/>
      <c r="AE92" s="4506"/>
      <c r="AF92" s="4729">
        <v>0</v>
      </c>
      <c r="AG92" s="4512"/>
      <c r="AH92" s="4506"/>
      <c r="AI92" s="4506"/>
      <c r="AJ92" s="4729">
        <v>0</v>
      </c>
      <c r="AK92" s="4512"/>
      <c r="AL92" s="4513"/>
      <c r="AM92" s="4513"/>
      <c r="AN92" s="4506"/>
      <c r="AO92" s="4506"/>
      <c r="AP92" s="4729"/>
      <c r="AQ92" s="4512"/>
      <c r="AR92" s="4506"/>
      <c r="AS92" s="4506"/>
      <c r="AT92" s="4729"/>
      <c r="AU92" s="4512"/>
      <c r="AV92" s="4506"/>
      <c r="AW92" s="4506"/>
      <c r="AX92" s="4729">
        <v>0.58774607490389652</v>
      </c>
      <c r="AY92" s="4512"/>
      <c r="AZ92" s="774">
        <f t="shared" si="526"/>
        <v>0.58774607490389652</v>
      </c>
      <c r="BA92" s="4513"/>
      <c r="BB92" s="4618"/>
      <c r="BC92" s="4618"/>
      <c r="BD92" s="4506"/>
      <c r="BE92" s="4506"/>
      <c r="BF92" s="114"/>
    </row>
    <row r="93" spans="1:58" x14ac:dyDescent="0.3">
      <c r="A93" s="92"/>
      <c r="B93" s="1009" t="s">
        <v>54</v>
      </c>
      <c r="C93" s="156" t="s">
        <v>326</v>
      </c>
      <c r="D93" s="1118"/>
      <c r="E93" s="1185"/>
      <c r="F93" s="1118"/>
      <c r="G93" s="1185"/>
      <c r="H93" s="775">
        <f t="shared" si="542"/>
        <v>0</v>
      </c>
      <c r="I93" s="775">
        <f t="shared" si="543"/>
        <v>0</v>
      </c>
      <c r="J93" s="1118"/>
      <c r="K93" s="1185"/>
      <c r="L93" s="774">
        <f>+H93+J93</f>
        <v>0</v>
      </c>
      <c r="M93" s="938">
        <f>+I93+K93</f>
        <v>0</v>
      </c>
      <c r="N93" s="1118"/>
      <c r="O93" s="1185"/>
      <c r="P93" s="775">
        <f>+L93+N93</f>
        <v>0</v>
      </c>
      <c r="Q93" s="585">
        <f>+M93+O93</f>
        <v>0</v>
      </c>
      <c r="R93" s="1118"/>
      <c r="S93" s="1185"/>
      <c r="T93" s="775">
        <f>+P93+R93</f>
        <v>0</v>
      </c>
      <c r="U93" s="585">
        <f>+Q93+S93</f>
        <v>0</v>
      </c>
      <c r="V93" s="1118"/>
      <c r="W93" s="1185"/>
      <c r="X93" s="774">
        <f t="shared" si="531"/>
        <v>0</v>
      </c>
      <c r="Y93" s="774">
        <f t="shared" si="531"/>
        <v>0</v>
      </c>
      <c r="Z93" s="460">
        <f>+L93+X93</f>
        <v>0</v>
      </c>
      <c r="AA93" s="460">
        <f t="shared" si="533"/>
        <v>0</v>
      </c>
      <c r="AB93" s="1118"/>
      <c r="AC93" s="1185">
        <v>0</v>
      </c>
      <c r="AD93" s="585">
        <f>+Z93+AB93</f>
        <v>0</v>
      </c>
      <c r="AE93" s="585">
        <f>+AA93+AC93</f>
        <v>0</v>
      </c>
      <c r="AF93" s="1118"/>
      <c r="AG93" s="1185">
        <v>0</v>
      </c>
      <c r="AH93" s="585">
        <f>+AD93+AF93</f>
        <v>0</v>
      </c>
      <c r="AI93" s="585">
        <f>+AE93+AG93</f>
        <v>0</v>
      </c>
      <c r="AJ93" s="1118"/>
      <c r="AK93" s="1185">
        <v>0</v>
      </c>
      <c r="AL93" s="774">
        <f t="shared" si="536"/>
        <v>0</v>
      </c>
      <c r="AM93" s="774">
        <f t="shared" si="536"/>
        <v>0</v>
      </c>
      <c r="AN93" s="585">
        <f>+AH93+AJ93</f>
        <v>0</v>
      </c>
      <c r="AO93" s="585">
        <f>+AI93+AK93</f>
        <v>0</v>
      </c>
      <c r="AP93" s="1118"/>
      <c r="AQ93" s="1185">
        <v>0</v>
      </c>
      <c r="AR93" s="585">
        <f>+AN93+AP93</f>
        <v>0</v>
      </c>
      <c r="AS93" s="585">
        <f>+AO93+AQ93</f>
        <v>0</v>
      </c>
      <c r="AT93" s="1118"/>
      <c r="AU93" s="1185">
        <v>0</v>
      </c>
      <c r="AV93" s="585">
        <f>+AR93+AT93</f>
        <v>0</v>
      </c>
      <c r="AW93" s="585">
        <f>+AS93+AU93</f>
        <v>0</v>
      </c>
      <c r="AX93" s="1118"/>
      <c r="AY93" s="1185"/>
      <c r="AZ93" s="774">
        <f t="shared" si="526"/>
        <v>0</v>
      </c>
      <c r="BA93" s="774">
        <f t="shared" si="540"/>
        <v>0</v>
      </c>
      <c r="BB93" s="460">
        <f t="shared" si="524"/>
        <v>0</v>
      </c>
      <c r="BC93" s="460">
        <f t="shared" si="525"/>
        <v>0</v>
      </c>
      <c r="BD93" s="585">
        <f>+AV93+AX93</f>
        <v>0</v>
      </c>
      <c r="BE93" s="585">
        <f>+AW93+AY93</f>
        <v>0</v>
      </c>
      <c r="BF93" s="114"/>
    </row>
    <row r="94" spans="1:58" ht="17.399999999999999" x14ac:dyDescent="0.3">
      <c r="A94" s="92"/>
      <c r="B94" s="1023" t="s">
        <v>61</v>
      </c>
      <c r="C94" s="1008" t="s">
        <v>326</v>
      </c>
      <c r="D94" s="616">
        <f>D85+D87+D89+D91+D93</f>
        <v>14226.628895184136</v>
      </c>
      <c r="E94" s="643">
        <f t="shared" ref="E94:G94" si="544">SUM(E85:E93)</f>
        <v>11375.146000000001</v>
      </c>
      <c r="F94" s="616">
        <f>F85+F87+F89+F91+F93</f>
        <v>14679.886685552407</v>
      </c>
      <c r="G94" s="643">
        <f t="shared" si="544"/>
        <v>13088.434000000001</v>
      </c>
      <c r="H94" s="644">
        <f t="shared" ref="H94:AE94" si="545">SUM(H85:H93)</f>
        <v>28906.515580736541</v>
      </c>
      <c r="I94" s="644">
        <f t="shared" si="545"/>
        <v>24463.58</v>
      </c>
      <c r="J94" s="616">
        <f>J85+J87+J89+J91+J93</f>
        <v>14226.62889518414</v>
      </c>
      <c r="K94" s="643">
        <f t="shared" ref="K94" si="546">SUM(K85:K93)</f>
        <v>14495.507</v>
      </c>
      <c r="L94" s="645">
        <f t="shared" si="545"/>
        <v>43133.144475920686</v>
      </c>
      <c r="M94" s="645">
        <f t="shared" si="545"/>
        <v>38959.087</v>
      </c>
      <c r="N94" s="616">
        <f>N85+N87+N89+N91+N93</f>
        <v>14396.600566572239</v>
      </c>
      <c r="O94" s="643">
        <f t="shared" ref="O94" si="547">SUM(O85:O93)</f>
        <v>12713.813999999998</v>
      </c>
      <c r="P94" s="644">
        <f t="shared" si="545"/>
        <v>57529.745042492919</v>
      </c>
      <c r="Q94" s="644">
        <f t="shared" si="545"/>
        <v>51672.900999999998</v>
      </c>
      <c r="R94" s="616">
        <f>R85+R87+R89+R91+R93</f>
        <v>14396.600566572239</v>
      </c>
      <c r="S94" s="643">
        <f t="shared" ref="S94" si="548">SUM(S85:S93)</f>
        <v>9136.2305695109899</v>
      </c>
      <c r="T94" s="644">
        <f t="shared" ref="T94:U94" si="549">SUM(T85:T93)</f>
        <v>71926.34560906516</v>
      </c>
      <c r="U94" s="644">
        <f t="shared" si="549"/>
        <v>60809.131569510995</v>
      </c>
      <c r="V94" s="616">
        <f>V85+V87+V89+V91+V93</f>
        <v>7555.2407932011338</v>
      </c>
      <c r="W94" s="643">
        <f t="shared" ref="W94" si="550">SUM(W85:W93)</f>
        <v>9602</v>
      </c>
      <c r="X94" s="645">
        <f t="shared" si="545"/>
        <v>36348.441926345607</v>
      </c>
      <c r="Y94" s="645">
        <f t="shared" si="545"/>
        <v>31452.044569510988</v>
      </c>
      <c r="Z94" s="646">
        <f t="shared" si="545"/>
        <v>79481.586402266286</v>
      </c>
      <c r="AA94" s="646">
        <f t="shared" si="545"/>
        <v>70411.131569510981</v>
      </c>
      <c r="AB94" s="616">
        <f>AB85+AB87+AB89+AB91+AB93</f>
        <v>14679.886685552403</v>
      </c>
      <c r="AC94" s="643">
        <f t="shared" ref="AC94" si="551">SUM(AC85:AC93)</f>
        <v>8766.5</v>
      </c>
      <c r="AD94" s="644">
        <f t="shared" si="545"/>
        <v>94161.473087818667</v>
      </c>
      <c r="AE94" s="644">
        <f t="shared" si="545"/>
        <v>79177.631569510981</v>
      </c>
      <c r="AF94" s="616">
        <f>AF85+AF87+AF89+AF91+AF93</f>
        <v>0</v>
      </c>
      <c r="AG94" s="643">
        <f t="shared" ref="AG94" si="552">SUM(AG85:AG93)</f>
        <v>14412.199999999999</v>
      </c>
      <c r="AH94" s="644">
        <f t="shared" ref="AH94:AI94" si="553">SUM(AH85:AH93)</f>
        <v>94161.473087818667</v>
      </c>
      <c r="AI94" s="644">
        <f t="shared" si="553"/>
        <v>93589.831569510978</v>
      </c>
      <c r="AJ94" s="616">
        <f>AJ85+AJ87+AJ89+AJ91+AJ93</f>
        <v>0</v>
      </c>
      <c r="AK94" s="643">
        <f t="shared" ref="AK94" si="554">SUM(AK85:AK93)</f>
        <v>13439.786498254289</v>
      </c>
      <c r="AL94" s="645">
        <f t="shared" ref="AL94:AO94" si="555">SUM(AL85:AL93)</f>
        <v>14679.886685552403</v>
      </c>
      <c r="AM94" s="645">
        <f t="shared" si="555"/>
        <v>36618.486498254286</v>
      </c>
      <c r="AN94" s="644">
        <f t="shared" si="555"/>
        <v>94161.473087818667</v>
      </c>
      <c r="AO94" s="644">
        <f t="shared" si="555"/>
        <v>107029.61806776527</v>
      </c>
      <c r="AP94" s="616">
        <f>AP85+AP87+AP89+AP91+AP93</f>
        <v>0</v>
      </c>
      <c r="AQ94" s="643">
        <f t="shared" ref="AQ94" si="556">SUM(AQ85:AQ93)</f>
        <v>13145.2</v>
      </c>
      <c r="AR94" s="644">
        <f t="shared" ref="AR94:AS94" si="557">SUM(AR85:AR93)</f>
        <v>94161.473087818667</v>
      </c>
      <c r="AS94" s="644">
        <f t="shared" si="557"/>
        <v>120174.81806776527</v>
      </c>
      <c r="AT94" s="616">
        <f>AT85+AT87+AT89+AT91+AT93</f>
        <v>0</v>
      </c>
      <c r="AU94" s="643">
        <f t="shared" ref="AU94" si="558">SUM(AU85:AU93)</f>
        <v>11000.6</v>
      </c>
      <c r="AV94" s="644">
        <f t="shared" ref="AV94:AW94" si="559">SUM(AV85:AV93)</f>
        <v>94161.473087818667</v>
      </c>
      <c r="AW94" s="644">
        <f t="shared" si="559"/>
        <v>131175.41806776528</v>
      </c>
      <c r="AX94" s="616">
        <f>AX85+AX87+AX89+AX91+AX93</f>
        <v>14906.515580736545</v>
      </c>
      <c r="AY94" s="643">
        <f t="shared" ref="AY94" si="560">SUM(AY85:AY93)</f>
        <v>12450.900000000001</v>
      </c>
      <c r="AZ94" s="645">
        <f t="shared" ref="AZ94:BE94" si="561">SUM(AZ85:AZ93)</f>
        <v>14926.551219957963</v>
      </c>
      <c r="BA94" s="645">
        <f t="shared" si="561"/>
        <v>36596.700000000004</v>
      </c>
      <c r="BB94" s="646">
        <f t="shared" si="561"/>
        <v>29586.402266288951</v>
      </c>
      <c r="BC94" s="646">
        <f t="shared" si="561"/>
        <v>73215.18649825429</v>
      </c>
      <c r="BD94" s="644">
        <f t="shared" si="561"/>
        <v>109067.9886685552</v>
      </c>
      <c r="BE94" s="644">
        <f t="shared" si="561"/>
        <v>143626.31806776527</v>
      </c>
      <c r="BF94" s="114"/>
    </row>
    <row r="95" spans="1:58" ht="20.399999999999999" x14ac:dyDescent="0.3">
      <c r="A95" s="92"/>
      <c r="B95" s="1010" t="s">
        <v>128</v>
      </c>
      <c r="C95" s="1010"/>
      <c r="D95" s="1005"/>
      <c r="E95" s="1010"/>
      <c r="F95" s="1005"/>
      <c r="G95" s="1010"/>
      <c r="H95" s="1010"/>
      <c r="I95" s="1010"/>
      <c r="J95" s="1005"/>
      <c r="K95" s="1010"/>
      <c r="L95" s="1010"/>
      <c r="M95" s="1010"/>
      <c r="N95" s="1005"/>
      <c r="O95" s="1010"/>
      <c r="P95" s="1010"/>
      <c r="Q95" s="1010"/>
      <c r="R95" s="1005"/>
      <c r="S95" s="1010"/>
      <c r="T95" s="1010"/>
      <c r="U95" s="1010"/>
      <c r="V95" s="1005"/>
      <c r="W95" s="1010"/>
      <c r="X95" s="1010"/>
      <c r="Y95" s="1010"/>
      <c r="Z95" s="1010"/>
      <c r="AA95" s="1010"/>
      <c r="AB95" s="1005"/>
      <c r="AC95" s="1010"/>
      <c r="AD95" s="1010"/>
      <c r="AE95" s="1010"/>
      <c r="AF95" s="1005"/>
      <c r="AG95" s="1010"/>
      <c r="AH95" s="1010"/>
      <c r="AI95" s="1010"/>
      <c r="AJ95" s="1005"/>
      <c r="AK95" s="1010"/>
      <c r="AL95" s="1010"/>
      <c r="AM95" s="1010"/>
      <c r="AN95" s="1010"/>
      <c r="AO95" s="1010"/>
      <c r="AP95" s="1005"/>
      <c r="AQ95" s="1010"/>
      <c r="AR95" s="1010"/>
      <c r="AS95" s="1010"/>
      <c r="AT95" s="1005"/>
      <c r="AU95" s="1010"/>
      <c r="AV95" s="1010"/>
      <c r="AW95" s="1010"/>
      <c r="AX95" s="1005"/>
      <c r="AY95" s="1010"/>
      <c r="AZ95" s="1010"/>
      <c r="BA95" s="1010"/>
      <c r="BB95" s="1010"/>
      <c r="BC95" s="1010"/>
      <c r="BD95" s="1010"/>
      <c r="BE95" s="1010"/>
      <c r="BF95" s="114"/>
    </row>
    <row r="96" spans="1:58" x14ac:dyDescent="0.3">
      <c r="B96" s="1007" t="s">
        <v>330</v>
      </c>
      <c r="C96" s="156" t="s">
        <v>329</v>
      </c>
      <c r="D96" s="202">
        <v>8000</v>
      </c>
      <c r="E96" s="1185">
        <v>8036.5204192648926</v>
      </c>
      <c r="F96" s="202">
        <v>8000</v>
      </c>
      <c r="G96" s="1185">
        <v>8037.7</v>
      </c>
      <c r="H96" s="585">
        <v>8000</v>
      </c>
      <c r="I96" s="775">
        <f>+((E96*E114)+(G96*G114))/I114</f>
        <v>8037.1209645087602</v>
      </c>
      <c r="J96" s="202">
        <v>8000</v>
      </c>
      <c r="K96" s="1185">
        <v>8036.5204192648926</v>
      </c>
      <c r="L96" s="938">
        <v>8000</v>
      </c>
      <c r="M96" s="774">
        <f>+((I96*I114)+(K96*K114))/M114</f>
        <v>8036.9238071397695</v>
      </c>
      <c r="N96" s="202">
        <v>8000</v>
      </c>
      <c r="O96" s="1185">
        <v>8036.5204192648926</v>
      </c>
      <c r="P96" s="585">
        <v>8000</v>
      </c>
      <c r="Q96" s="775">
        <f>+((M96*M114)+(O96*O114))/Q114</f>
        <v>8036.8197810143438</v>
      </c>
      <c r="R96" s="202">
        <v>8000</v>
      </c>
      <c r="S96" s="1185">
        <v>8031.9</v>
      </c>
      <c r="T96" s="585">
        <v>8000</v>
      </c>
      <c r="U96" s="775">
        <f>+((Q96*Q114)+(S96*S114))/U114</f>
        <v>8035.8266985447372</v>
      </c>
      <c r="V96" s="202">
        <v>8000</v>
      </c>
      <c r="W96" s="1185">
        <v>8031.9</v>
      </c>
      <c r="X96" s="938">
        <v>8000</v>
      </c>
      <c r="Y96" s="774">
        <f>+((O96*O114)+(S96*S114)+(W96*W114))/Y114</f>
        <v>8033.4421308684696</v>
      </c>
      <c r="Z96" s="460">
        <v>8000</v>
      </c>
      <c r="AA96" s="460">
        <f>+((M96*M114)+(Y96*Y114))/AA114</f>
        <v>8035.1478874425466</v>
      </c>
      <c r="AB96" s="202">
        <v>8000</v>
      </c>
      <c r="AC96" s="1185">
        <v>8032.3</v>
      </c>
      <c r="AD96" s="585">
        <v>8000</v>
      </c>
      <c r="AE96" s="775">
        <f>+((AA96*AA114)+(AC96*AC114))/AE114</f>
        <v>8034.7134442973347</v>
      </c>
      <c r="AF96" s="202">
        <v>8000</v>
      </c>
      <c r="AG96" s="1185">
        <v>8031.8</v>
      </c>
      <c r="AH96" s="585">
        <v>8000</v>
      </c>
      <c r="AI96" s="775">
        <f>+((AE96*AE114)+(AG96*AG114))/AI114</f>
        <v>8034.3426116315368</v>
      </c>
      <c r="AJ96" s="202">
        <v>8000</v>
      </c>
      <c r="AK96" s="1185">
        <v>8032.3765000000003</v>
      </c>
      <c r="AL96" s="938">
        <v>8000</v>
      </c>
      <c r="AM96" s="774">
        <f>+((AC96*AC114)+(AG96*AG114)+(AK96*AK114))/AM114</f>
        <v>8032.17645036053</v>
      </c>
      <c r="AN96" s="585">
        <v>8000</v>
      </c>
      <c r="AO96" s="775">
        <f>+((AI96*AI114)+(AK96*AK114))/AO114</f>
        <v>8034.0753812597968</v>
      </c>
      <c r="AP96" s="202">
        <v>8000</v>
      </c>
      <c r="AQ96" s="1185">
        <v>8029.6</v>
      </c>
      <c r="AR96" s="585">
        <v>8000</v>
      </c>
      <c r="AS96" s="775">
        <f>+((AO96*AO114)+(AQ96*AQ114))/AS114</f>
        <v>8033.503972155132</v>
      </c>
      <c r="AT96" s="202">
        <v>8000</v>
      </c>
      <c r="AU96" s="1185">
        <v>8030</v>
      </c>
      <c r="AV96" s="585">
        <v>8000</v>
      </c>
      <c r="AW96" s="775">
        <f>+((AS96*AS114)+(AU96*AU114))/AW114</f>
        <v>8033.2257689215203</v>
      </c>
      <c r="AX96" s="202">
        <v>8000</v>
      </c>
      <c r="AY96" s="1185">
        <v>8036.3</v>
      </c>
      <c r="AZ96" s="938">
        <v>8000</v>
      </c>
      <c r="BA96" s="774">
        <f>+((AQ96*AQ114)+(AU96*AU114)+(AY96*AY114))/BA114</f>
        <v>8031.7647852831324</v>
      </c>
      <c r="BB96" s="460">
        <v>8000</v>
      </c>
      <c r="BC96" s="460">
        <f>+((AM96*AM114)+(BA96*BA114))/BC114</f>
        <v>8031.9727405047506</v>
      </c>
      <c r="BD96" s="585">
        <v>8000</v>
      </c>
      <c r="BE96" s="775">
        <f>+((AW96*AW114)+(AY96*AY114))/BE114</f>
        <v>8033.4718236196259</v>
      </c>
      <c r="BF96" s="114"/>
    </row>
    <row r="97" spans="2:58" ht="17.399999999999999" x14ac:dyDescent="0.3">
      <c r="B97" s="579" t="s">
        <v>338</v>
      </c>
      <c r="C97" s="579"/>
      <c r="D97" s="264"/>
      <c r="E97" s="579"/>
      <c r="F97" s="264"/>
      <c r="G97" s="579"/>
      <c r="H97" s="579"/>
      <c r="I97" s="579"/>
      <c r="J97" s="264"/>
      <c r="K97" s="579"/>
      <c r="L97" s="579"/>
      <c r="M97" s="579"/>
      <c r="N97" s="264"/>
      <c r="O97" s="579"/>
      <c r="P97" s="579"/>
      <c r="Q97" s="579"/>
      <c r="R97" s="264"/>
      <c r="S97" s="579"/>
      <c r="T97" s="579"/>
      <c r="U97" s="579"/>
      <c r="V97" s="264"/>
      <c r="W97" s="579"/>
      <c r="X97" s="579"/>
      <c r="Y97" s="579"/>
      <c r="Z97" s="579"/>
      <c r="AA97" s="579"/>
      <c r="AB97" s="264"/>
      <c r="AC97" s="579"/>
      <c r="AD97" s="579"/>
      <c r="AE97" s="579"/>
      <c r="AF97" s="264"/>
      <c r="AG97" s="579"/>
      <c r="AH97" s="579"/>
      <c r="AI97" s="579"/>
      <c r="AJ97" s="264"/>
      <c r="AK97" s="579"/>
      <c r="AL97" s="579"/>
      <c r="AM97" s="579"/>
      <c r="AN97" s="579"/>
      <c r="AO97" s="579"/>
      <c r="AP97" s="264"/>
      <c r="AQ97" s="579"/>
      <c r="AR97" s="579"/>
      <c r="AS97" s="579"/>
      <c r="AT97" s="264"/>
      <c r="AU97" s="579"/>
      <c r="AV97" s="579"/>
      <c r="AW97" s="579"/>
      <c r="AX97" s="264"/>
      <c r="AY97" s="579"/>
      <c r="AZ97" s="579"/>
      <c r="BA97" s="579"/>
      <c r="BB97" s="579"/>
      <c r="BC97" s="579"/>
      <c r="BD97" s="579"/>
      <c r="BE97" s="579"/>
      <c r="BF97" s="114"/>
    </row>
    <row r="98" spans="2:58" x14ac:dyDescent="0.3">
      <c r="B98" s="1009" t="s">
        <v>122</v>
      </c>
      <c r="C98" s="156" t="s">
        <v>327</v>
      </c>
      <c r="D98" s="1118">
        <f>D99*D$3*24</f>
        <v>74.488776007516861</v>
      </c>
      <c r="E98" s="1185">
        <v>594.75273784974695</v>
      </c>
      <c r="F98" s="1118">
        <f>F99*F$3*24</f>
        <v>412.23387887463844</v>
      </c>
      <c r="G98" s="1185">
        <v>291.92941536766227</v>
      </c>
      <c r="H98" s="775">
        <f>+D98+F98</f>
        <v>486.72265488215533</v>
      </c>
      <c r="I98" s="775">
        <f>+E98+G98</f>
        <v>886.68215321740922</v>
      </c>
      <c r="J98" s="1118">
        <f>J99*J$3*24</f>
        <v>455.06742769291083</v>
      </c>
      <c r="K98" s="1185">
        <v>129.99281012881951</v>
      </c>
      <c r="L98" s="774">
        <f>+H98+J98</f>
        <v>941.79008257506621</v>
      </c>
      <c r="M98" s="774">
        <f>+I98+K98</f>
        <v>1016.6749633462288</v>
      </c>
      <c r="N98" s="1118">
        <f>N99*N$3*24</f>
        <v>417.0357435721931</v>
      </c>
      <c r="O98" s="1185">
        <v>20.372773784355161</v>
      </c>
      <c r="P98" s="775">
        <f>+L98+N98</f>
        <v>1358.8258261472592</v>
      </c>
      <c r="Q98" s="775">
        <f>+M98+O98</f>
        <v>1037.047737130584</v>
      </c>
      <c r="R98" s="1118">
        <f>R99*R$3*24</f>
        <v>417.0357435721931</v>
      </c>
      <c r="S98" s="1185">
        <v>330.82390125717183</v>
      </c>
      <c r="T98" s="775">
        <f>+P98+R98</f>
        <v>1775.8615697194523</v>
      </c>
      <c r="U98" s="775">
        <f>+Q98+S98</f>
        <v>1367.8716383877559</v>
      </c>
      <c r="V98" s="1118">
        <f>V99*V$3*24</f>
        <v>1991.9208041529209</v>
      </c>
      <c r="W98" s="1185">
        <v>187.19399999999999</v>
      </c>
      <c r="X98" s="774">
        <f t="shared" ref="X98:X112" si="562">+V98+R98+N98</f>
        <v>2825.992291297307</v>
      </c>
      <c r="Y98" s="774">
        <f t="shared" ref="Y98:Y112" si="563">+W98+S98+O98</f>
        <v>538.39067504152695</v>
      </c>
      <c r="Z98" s="460">
        <f t="shared" ref="Z98:Z112" si="564">+L98+X98</f>
        <v>3767.7823738723732</v>
      </c>
      <c r="AA98" s="460">
        <f t="shared" ref="AA98:AA112" si="565">+Y98+M98</f>
        <v>1555.0656383877558</v>
      </c>
      <c r="AB98" s="1118">
        <f>AB99*AB$3*24</f>
        <v>382.32507947692989</v>
      </c>
      <c r="AC98" s="1185">
        <v>974.23</v>
      </c>
      <c r="AD98" s="775">
        <f>+Z98+AB98</f>
        <v>4150.1074533493029</v>
      </c>
      <c r="AE98" s="775">
        <f>+AA98+AC98</f>
        <v>2529.2956383877558</v>
      </c>
      <c r="AF98" s="1118">
        <f>AF99*AF$3*24</f>
        <v>73.276738882489383</v>
      </c>
      <c r="AG98" s="1185">
        <v>243.75800000000001</v>
      </c>
      <c r="AH98" s="775">
        <f>+AD98+AF98</f>
        <v>4223.3841922317924</v>
      </c>
      <c r="AI98" s="775">
        <f>+AE98+AG98</f>
        <v>2773.0536383877557</v>
      </c>
      <c r="AJ98" s="1118">
        <f>AJ99*AJ$3*24</f>
        <v>87.243772119369581</v>
      </c>
      <c r="AK98" s="1185">
        <v>259.47895001974899</v>
      </c>
      <c r="AL98" s="774">
        <f t="shared" ref="AL98" si="566">+AJ98+AF98+AB98</f>
        <v>542.84559047878884</v>
      </c>
      <c r="AM98" s="774">
        <f t="shared" ref="AM98" si="567">+AK98+AG98+AC98</f>
        <v>1477.466950019749</v>
      </c>
      <c r="AN98" s="775">
        <f>+AH98+AJ98</f>
        <v>4310.6279643511616</v>
      </c>
      <c r="AO98" s="775">
        <f>+AI98+AK98</f>
        <v>3032.5325884075046</v>
      </c>
      <c r="AP98" s="1118">
        <f>AP99*AP$3*24</f>
        <v>87.243772119369581</v>
      </c>
      <c r="AQ98" s="1185">
        <v>323.75900000000001</v>
      </c>
      <c r="AR98" s="775">
        <f>+AN98+AP98</f>
        <v>4397.8717364705308</v>
      </c>
      <c r="AS98" s="775">
        <f>+AO98+AQ98</f>
        <v>3356.2915884075046</v>
      </c>
      <c r="AT98" s="1118">
        <f>AT99*AT$3*24</f>
        <v>54.946401803838825</v>
      </c>
      <c r="AU98" s="1185">
        <v>114.48099999999999</v>
      </c>
      <c r="AV98" s="775">
        <f>+AR98+AT98</f>
        <v>4452.8181382743696</v>
      </c>
      <c r="AW98" s="775">
        <f>+AS98+AU98</f>
        <v>3470.7725884075044</v>
      </c>
      <c r="AX98" s="1118">
        <f>AX99*AX$3*24</f>
        <v>278.21097779862163</v>
      </c>
      <c r="AY98" s="1185">
        <v>384.13200000000001</v>
      </c>
      <c r="AZ98" s="774">
        <f t="shared" ref="AZ98" si="568">+AX98+AT98+AP98</f>
        <v>420.40115172182999</v>
      </c>
      <c r="BA98" s="774">
        <f t="shared" ref="BA98" si="569">+AY98+AU98+AQ98</f>
        <v>822.37200000000007</v>
      </c>
      <c r="BB98" s="460">
        <f t="shared" ref="BB98:BB112" si="570">+AL98+AZ98</f>
        <v>963.24674220061888</v>
      </c>
      <c r="BC98" s="460">
        <f t="shared" ref="BC98:BC112" si="571">+AM98+BA98</f>
        <v>2299.8389500197491</v>
      </c>
      <c r="BD98" s="775">
        <f>+AV98+AX98</f>
        <v>4731.0291160729912</v>
      </c>
      <c r="BE98" s="775">
        <f>+AW98+AY98</f>
        <v>3854.9045884075044</v>
      </c>
      <c r="BF98" s="114"/>
    </row>
    <row r="99" spans="2:58" ht="15.75" hidden="1" customHeight="1" x14ac:dyDescent="0.3">
      <c r="B99" s="1009"/>
      <c r="C99" s="156"/>
      <c r="D99" s="1660">
        <v>0.10345663334377342</v>
      </c>
      <c r="E99" s="1185"/>
      <c r="F99" s="1660">
        <v>0.55407779418634195</v>
      </c>
      <c r="G99" s="1185"/>
      <c r="H99" s="775"/>
      <c r="I99" s="775"/>
      <c r="J99" s="1660">
        <v>0.63203809401793176</v>
      </c>
      <c r="K99" s="1185"/>
      <c r="L99" s="774"/>
      <c r="M99" s="774"/>
      <c r="N99" s="1660">
        <v>0.5605319134034854</v>
      </c>
      <c r="O99" s="1185"/>
      <c r="P99" s="775"/>
      <c r="Q99" s="775"/>
      <c r="R99" s="1660">
        <v>0.5605319134034854</v>
      </c>
      <c r="S99" s="1185"/>
      <c r="T99" s="775"/>
      <c r="U99" s="775"/>
      <c r="V99" s="1660">
        <v>2.7665566724346125</v>
      </c>
      <c r="W99" s="1185"/>
      <c r="X99" s="774"/>
      <c r="Y99" s="774"/>
      <c r="Z99" s="460"/>
      <c r="AA99" s="460"/>
      <c r="AB99" s="1660">
        <v>0.51387779499587349</v>
      </c>
      <c r="AC99" s="1185"/>
      <c r="AD99" s="775"/>
      <c r="AE99" s="775"/>
      <c r="AF99" s="1660">
        <v>0.10177324844790192</v>
      </c>
      <c r="AG99" s="1185"/>
      <c r="AH99" s="775"/>
      <c r="AI99" s="775"/>
      <c r="AJ99" s="1660">
        <v>0.11726313456904514</v>
      </c>
      <c r="AK99" s="1185"/>
      <c r="AL99" s="774"/>
      <c r="AM99" s="774"/>
      <c r="AN99" s="775"/>
      <c r="AO99" s="775"/>
      <c r="AP99" s="1660">
        <v>0.11726313456904514</v>
      </c>
      <c r="AQ99" s="1185"/>
      <c r="AR99" s="775"/>
      <c r="AS99" s="775"/>
      <c r="AT99" s="1660">
        <v>8.1765478874760156E-2</v>
      </c>
      <c r="AU99" s="1185"/>
      <c r="AV99" s="775"/>
      <c r="AW99" s="775"/>
      <c r="AX99" s="1660">
        <v>0.37393948628846996</v>
      </c>
      <c r="AY99" s="1185"/>
      <c r="AZ99" s="774"/>
      <c r="BA99" s="774"/>
      <c r="BB99" s="460">
        <f t="shared" si="570"/>
        <v>0</v>
      </c>
      <c r="BC99" s="460">
        <f t="shared" si="571"/>
        <v>0</v>
      </c>
      <c r="BD99" s="775"/>
      <c r="BE99" s="775"/>
      <c r="BF99" s="114"/>
    </row>
    <row r="100" spans="2:58" x14ac:dyDescent="0.3">
      <c r="B100" s="1009" t="s">
        <v>514</v>
      </c>
      <c r="C100" s="156" t="s">
        <v>1088</v>
      </c>
      <c r="D100" s="1118">
        <f>D101*D$3*24</f>
        <v>144</v>
      </c>
      <c r="E100" s="1185">
        <v>132.76955602536992</v>
      </c>
      <c r="F100" s="1118">
        <f>F101*F$3*24</f>
        <v>148.80000000000001</v>
      </c>
      <c r="G100" s="1185">
        <v>150.31712473572932</v>
      </c>
      <c r="H100" s="775">
        <f>+D100+F100</f>
        <v>292.8</v>
      </c>
      <c r="I100" s="775">
        <f>+E100+G100</f>
        <v>283.08668076109927</v>
      </c>
      <c r="J100" s="1118">
        <f>J101*J$3*24</f>
        <v>144</v>
      </c>
      <c r="K100" s="1185">
        <v>149.89429175475678</v>
      </c>
      <c r="L100" s="774">
        <f>+H100+J100</f>
        <v>436.8</v>
      </c>
      <c r="M100" s="774">
        <f>+I100+K100</f>
        <v>432.98097251585602</v>
      </c>
      <c r="N100" s="1118">
        <f>N101*N$3*24</f>
        <v>148.80000000000001</v>
      </c>
      <c r="O100" s="1185">
        <v>155.42786892177588</v>
      </c>
      <c r="P100" s="775">
        <f>+L100+N100</f>
        <v>585.6</v>
      </c>
      <c r="Q100" s="775">
        <f>+M100+O100</f>
        <v>588.40884143763196</v>
      </c>
      <c r="R100" s="1118">
        <f>R101*R$3*24</f>
        <v>148.80000000000001</v>
      </c>
      <c r="S100" s="1185">
        <v>152.11416490486252</v>
      </c>
      <c r="T100" s="775">
        <f>+P100+R100</f>
        <v>734.40000000000009</v>
      </c>
      <c r="U100" s="775">
        <f>+Q100+S100</f>
        <v>740.52300634249445</v>
      </c>
      <c r="V100" s="1118">
        <f>V101*V$3*24</f>
        <v>144</v>
      </c>
      <c r="W100" s="1185">
        <v>150.63399999999999</v>
      </c>
      <c r="X100" s="774">
        <f t="shared" si="562"/>
        <v>441.6</v>
      </c>
      <c r="Y100" s="774">
        <f t="shared" si="563"/>
        <v>458.17603382663839</v>
      </c>
      <c r="Z100" s="460">
        <f t="shared" si="564"/>
        <v>878.40000000000009</v>
      </c>
      <c r="AA100" s="460">
        <f t="shared" si="565"/>
        <v>891.15700634249447</v>
      </c>
      <c r="AB100" s="1118">
        <f>AB101*AB$3*24</f>
        <v>148.80000000000001</v>
      </c>
      <c r="AC100" s="1185">
        <v>128.541</v>
      </c>
      <c r="AD100" s="775">
        <f>+Z100+AB100</f>
        <v>1027.2</v>
      </c>
      <c r="AE100" s="775">
        <f>+AA100+AC100</f>
        <v>1019.6980063424944</v>
      </c>
      <c r="AF100" s="1118">
        <f>AF101*AF$3*24</f>
        <v>144</v>
      </c>
      <c r="AG100" s="1185">
        <v>147.45699999999999</v>
      </c>
      <c r="AH100" s="775">
        <f>+AD100+AF100</f>
        <v>1171.2</v>
      </c>
      <c r="AI100" s="775">
        <f>+AE100+AG100</f>
        <v>1167.1550063424943</v>
      </c>
      <c r="AJ100" s="1118">
        <f>AJ101*AJ$3*24</f>
        <v>148.80000000000001</v>
      </c>
      <c r="AK100" s="1185">
        <v>151.85939069767434</v>
      </c>
      <c r="AL100" s="774">
        <f t="shared" ref="AL100" si="572">+AJ100+AF100+AB100</f>
        <v>441.6</v>
      </c>
      <c r="AM100" s="774">
        <f t="shared" ref="AM100" si="573">+AK100+AG100+AC100</f>
        <v>427.85739069767436</v>
      </c>
      <c r="AN100" s="775">
        <f>+AH100+AJ100</f>
        <v>1320</v>
      </c>
      <c r="AO100" s="775">
        <f>+AI100+AK100</f>
        <v>1319.0143970401687</v>
      </c>
      <c r="AP100" s="1118">
        <f>AP101*AP$3*24</f>
        <v>148.80000000000001</v>
      </c>
      <c r="AQ100" s="1185">
        <v>156.702</v>
      </c>
      <c r="AR100" s="775">
        <f>+AN100+AP100</f>
        <v>1468.8</v>
      </c>
      <c r="AS100" s="775">
        <f>+AO100+AQ100</f>
        <v>1475.7163970401687</v>
      </c>
      <c r="AT100" s="1118">
        <f>AT101*AT$3*24</f>
        <v>134.4</v>
      </c>
      <c r="AU100" s="1185">
        <v>125.581</v>
      </c>
      <c r="AV100" s="775">
        <f>+AR100+AT100</f>
        <v>1603.2</v>
      </c>
      <c r="AW100" s="775">
        <f>+AS100+AU100</f>
        <v>1601.2973970401686</v>
      </c>
      <c r="AX100" s="1118">
        <f>AX101*AX$3*24</f>
        <v>148.80000000000001</v>
      </c>
      <c r="AY100" s="1185">
        <v>154.334</v>
      </c>
      <c r="AZ100" s="774">
        <f t="shared" ref="AZ100" si="574">+AX100+AT100+AP100</f>
        <v>432.00000000000006</v>
      </c>
      <c r="BA100" s="774">
        <f t="shared" ref="BA100" si="575">+AY100+AU100+AQ100</f>
        <v>436.61700000000002</v>
      </c>
      <c r="BB100" s="460">
        <f t="shared" si="570"/>
        <v>873.60000000000014</v>
      </c>
      <c r="BC100" s="460">
        <f t="shared" si="571"/>
        <v>864.47439069767438</v>
      </c>
      <c r="BD100" s="775">
        <f>+AV100+AX100</f>
        <v>1752</v>
      </c>
      <c r="BE100" s="775">
        <f>+AW100+AY100</f>
        <v>1755.6313970401686</v>
      </c>
      <c r="BF100" s="114"/>
    </row>
    <row r="101" spans="2:58" ht="15.75" hidden="1" customHeight="1" x14ac:dyDescent="0.3">
      <c r="B101" s="1009"/>
      <c r="C101" s="156"/>
      <c r="D101" s="1660">
        <v>0.2</v>
      </c>
      <c r="E101" s="1185"/>
      <c r="F101" s="1660">
        <v>0.2</v>
      </c>
      <c r="G101" s="1185"/>
      <c r="H101" s="775"/>
      <c r="I101" s="775"/>
      <c r="J101" s="1660">
        <v>0.2</v>
      </c>
      <c r="K101" s="1185"/>
      <c r="L101" s="774"/>
      <c r="M101" s="774"/>
      <c r="N101" s="1660">
        <v>0.2</v>
      </c>
      <c r="O101" s="1185"/>
      <c r="P101" s="775"/>
      <c r="Q101" s="775"/>
      <c r="R101" s="1660">
        <v>0.2</v>
      </c>
      <c r="S101" s="1185"/>
      <c r="T101" s="775"/>
      <c r="U101" s="775"/>
      <c r="V101" s="1660">
        <v>0.2</v>
      </c>
      <c r="W101" s="1185"/>
      <c r="X101" s="774"/>
      <c r="Y101" s="774"/>
      <c r="Z101" s="460"/>
      <c r="AA101" s="460"/>
      <c r="AB101" s="1660">
        <v>0.2</v>
      </c>
      <c r="AC101" s="1185"/>
      <c r="AD101" s="775"/>
      <c r="AE101" s="775"/>
      <c r="AF101" s="1660">
        <v>0.2</v>
      </c>
      <c r="AG101" s="1185"/>
      <c r="AH101" s="775"/>
      <c r="AI101" s="775"/>
      <c r="AJ101" s="1660">
        <v>0.2</v>
      </c>
      <c r="AK101" s="1185"/>
      <c r="AL101" s="774"/>
      <c r="AM101" s="774"/>
      <c r="AN101" s="775"/>
      <c r="AO101" s="775"/>
      <c r="AP101" s="1660">
        <v>0.2</v>
      </c>
      <c r="AQ101" s="1185"/>
      <c r="AR101" s="775"/>
      <c r="AS101" s="775"/>
      <c r="AT101" s="1660">
        <v>0.2</v>
      </c>
      <c r="AU101" s="1185"/>
      <c r="AV101" s="775"/>
      <c r="AW101" s="775"/>
      <c r="AX101" s="1660">
        <v>0.2</v>
      </c>
      <c r="AY101" s="1185"/>
      <c r="AZ101" s="774"/>
      <c r="BA101" s="774"/>
      <c r="BB101" s="460">
        <f t="shared" si="570"/>
        <v>0</v>
      </c>
      <c r="BC101" s="460">
        <f t="shared" si="571"/>
        <v>0</v>
      </c>
      <c r="BD101" s="775"/>
      <c r="BE101" s="775"/>
      <c r="BF101" s="114"/>
    </row>
    <row r="102" spans="2:58" x14ac:dyDescent="0.3">
      <c r="B102" s="1009" t="s">
        <v>123</v>
      </c>
      <c r="C102" s="156" t="s">
        <v>327</v>
      </c>
      <c r="D102" s="1118">
        <f>D103*D$3*24</f>
        <v>432</v>
      </c>
      <c r="E102" s="1185">
        <v>453.27695560253682</v>
      </c>
      <c r="F102" s="1118">
        <f>F103*F$3*24</f>
        <v>446.4</v>
      </c>
      <c r="G102" s="1185">
        <v>468.07610993657488</v>
      </c>
      <c r="H102" s="775">
        <f t="shared" ref="H102:I112" si="576">+D102+F102</f>
        <v>878.4</v>
      </c>
      <c r="I102" s="775">
        <f t="shared" si="576"/>
        <v>921.35306553911164</v>
      </c>
      <c r="J102" s="1118">
        <f>J103*J$3*24</f>
        <v>432</v>
      </c>
      <c r="K102" s="1185">
        <v>451.31345454545442</v>
      </c>
      <c r="L102" s="774">
        <f t="shared" ref="L102:L112" si="577">+H102+J102</f>
        <v>1310.4000000000001</v>
      </c>
      <c r="M102" s="774">
        <f t="shared" ref="M102:M112" si="578">+I102+K102</f>
        <v>1372.6665200845659</v>
      </c>
      <c r="N102" s="1118">
        <f>N103*N$3*24</f>
        <v>446.4</v>
      </c>
      <c r="O102" s="1185">
        <v>471.20127484143745</v>
      </c>
      <c r="P102" s="775">
        <f t="shared" ref="P102:P112" si="579">+L102+N102</f>
        <v>1756.8000000000002</v>
      </c>
      <c r="Q102" s="775">
        <f t="shared" ref="Q102:Q112" si="580">+M102+O102</f>
        <v>1843.8677949260034</v>
      </c>
      <c r="R102" s="1118">
        <f>R103*R$3*24</f>
        <v>446.4</v>
      </c>
      <c r="S102" s="1185">
        <v>466.26316701902743</v>
      </c>
      <c r="T102" s="775">
        <f t="shared" ref="T102" si="581">+P102+R102</f>
        <v>2203.2000000000003</v>
      </c>
      <c r="U102" s="775">
        <f t="shared" ref="U102" si="582">+Q102+S102</f>
        <v>2310.1309619450308</v>
      </c>
      <c r="V102" s="1118">
        <f>V103*V$3*24</f>
        <v>288</v>
      </c>
      <c r="W102" s="1185">
        <v>458.26299999999998</v>
      </c>
      <c r="X102" s="774">
        <f t="shared" si="562"/>
        <v>1180.8</v>
      </c>
      <c r="Y102" s="774">
        <f t="shared" si="563"/>
        <v>1395.7274418604648</v>
      </c>
      <c r="Z102" s="460">
        <f t="shared" si="564"/>
        <v>2491.1999999999998</v>
      </c>
      <c r="AA102" s="460">
        <f t="shared" si="565"/>
        <v>2768.3939619450307</v>
      </c>
      <c r="AB102" s="1118">
        <f>AB103*AB$3*24</f>
        <v>446.4</v>
      </c>
      <c r="AC102" s="1185">
        <v>401.44799999999998</v>
      </c>
      <c r="AD102" s="775">
        <f t="shared" ref="AD102" si="583">+Z102+AB102</f>
        <v>2937.6</v>
      </c>
      <c r="AE102" s="775">
        <f t="shared" ref="AE102" si="584">+AA102+AC102</f>
        <v>3169.8419619450306</v>
      </c>
      <c r="AF102" s="1118">
        <f>AF103*AF$3*24</f>
        <v>375.46508496244081</v>
      </c>
      <c r="AG102" s="1185">
        <v>454.02699999999999</v>
      </c>
      <c r="AH102" s="775">
        <f t="shared" ref="AH102" si="585">+AD102+AF102</f>
        <v>3313.0650849624408</v>
      </c>
      <c r="AI102" s="775">
        <f t="shared" ref="AI102" si="586">+AE102+AG102</f>
        <v>3623.8689619450306</v>
      </c>
      <c r="AJ102" s="1118">
        <f>AJ103*AJ$3*24</f>
        <v>376.0760258163416</v>
      </c>
      <c r="AK102" s="1185">
        <v>458.56236786469327</v>
      </c>
      <c r="AL102" s="774">
        <f t="shared" ref="AL102" si="587">+AJ102+AF102+AB102</f>
        <v>1197.9411107787823</v>
      </c>
      <c r="AM102" s="774">
        <f t="shared" ref="AM102" si="588">+AK102+AG102+AC102</f>
        <v>1314.0373678646934</v>
      </c>
      <c r="AN102" s="775">
        <f t="shared" ref="AN102" si="589">+AH102+AJ102</f>
        <v>3689.1411107787826</v>
      </c>
      <c r="AO102" s="775">
        <f t="shared" ref="AO102" si="590">+AI102+AK102</f>
        <v>4082.431329809724</v>
      </c>
      <c r="AP102" s="1118">
        <f>AP103*AP$3*24</f>
        <v>376.0760258163416</v>
      </c>
      <c r="AQ102" s="1185">
        <v>458.83300000000003</v>
      </c>
      <c r="AR102" s="775">
        <f t="shared" ref="AR102" si="591">+AN102+AP102</f>
        <v>4065.2171365951244</v>
      </c>
      <c r="AS102" s="775">
        <f t="shared" ref="AS102" si="592">+AO102+AQ102</f>
        <v>4541.2643298097237</v>
      </c>
      <c r="AT102" s="1118">
        <f>AT103*AT$3*24</f>
        <v>228.2632204732715</v>
      </c>
      <c r="AU102" s="1185">
        <v>400.18200000000002</v>
      </c>
      <c r="AV102" s="775">
        <f t="shared" ref="AV102" si="593">+AR102+AT102</f>
        <v>4293.4803570683962</v>
      </c>
      <c r="AW102" s="775">
        <f t="shared" ref="AW102" si="594">+AS102+AU102</f>
        <v>4941.4463298097235</v>
      </c>
      <c r="AX102" s="1118">
        <f>AX103*AX$3*24</f>
        <v>446.4</v>
      </c>
      <c r="AY102" s="1185">
        <v>749.10199999999998</v>
      </c>
      <c r="AZ102" s="774">
        <f t="shared" ref="AZ102" si="595">+AX102+AT102+AP102</f>
        <v>1050.7392462896132</v>
      </c>
      <c r="BA102" s="774">
        <f t="shared" ref="BA102" si="596">+AY102+AU102+AQ102</f>
        <v>1608.1170000000002</v>
      </c>
      <c r="BB102" s="460">
        <f t="shared" si="570"/>
        <v>2248.6803570683956</v>
      </c>
      <c r="BC102" s="460">
        <f t="shared" si="571"/>
        <v>2922.1543678646935</v>
      </c>
      <c r="BD102" s="775">
        <f t="shared" ref="BD102" si="597">+AV102+AX102</f>
        <v>4739.8803570683958</v>
      </c>
      <c r="BE102" s="775">
        <f t="shared" ref="BE102" si="598">+AW102+AY102</f>
        <v>5690.5483298097233</v>
      </c>
      <c r="BF102" s="114"/>
    </row>
    <row r="103" spans="2:58" ht="15" hidden="1" customHeight="1" x14ac:dyDescent="0.3">
      <c r="B103" s="1009"/>
      <c r="C103" s="156"/>
      <c r="D103" s="188">
        <v>0.6</v>
      </c>
      <c r="E103" s="100"/>
      <c r="F103" s="188">
        <v>0.6</v>
      </c>
      <c r="G103" s="100"/>
      <c r="H103" s="775"/>
      <c r="I103" s="775"/>
      <c r="J103" s="188">
        <v>0.6</v>
      </c>
      <c r="K103" s="100"/>
      <c r="L103" s="774"/>
      <c r="M103" s="774"/>
      <c r="N103" s="188">
        <v>0.6</v>
      </c>
      <c r="O103" s="100"/>
      <c r="P103" s="775"/>
      <c r="Q103" s="775"/>
      <c r="R103" s="188">
        <v>0.6</v>
      </c>
      <c r="S103" s="100"/>
      <c r="T103" s="775"/>
      <c r="U103" s="775"/>
      <c r="V103" s="188">
        <v>0.4</v>
      </c>
      <c r="W103" s="100"/>
      <c r="X103" s="774"/>
      <c r="Y103" s="774"/>
      <c r="Z103" s="460"/>
      <c r="AA103" s="460"/>
      <c r="AB103" s="188">
        <v>0.6</v>
      </c>
      <c r="AC103" s="100"/>
      <c r="AD103" s="775"/>
      <c r="AE103" s="775"/>
      <c r="AF103" s="188">
        <v>0.52147928467005666</v>
      </c>
      <c r="AG103" s="100"/>
      <c r="AH103" s="775"/>
      <c r="AI103" s="775"/>
      <c r="AJ103" s="188">
        <v>0.50547852932303972</v>
      </c>
      <c r="AK103" s="100"/>
      <c r="AL103" s="774"/>
      <c r="AM103" s="774"/>
      <c r="AN103" s="775"/>
      <c r="AO103" s="775"/>
      <c r="AP103" s="188">
        <v>0.50547852932303972</v>
      </c>
      <c r="AQ103" s="100"/>
      <c r="AR103" s="775"/>
      <c r="AS103" s="775"/>
      <c r="AT103" s="188">
        <v>0.33967741141855878</v>
      </c>
      <c r="AU103" s="100"/>
      <c r="AV103" s="775"/>
      <c r="AW103" s="775"/>
      <c r="AX103" s="188">
        <v>0.6</v>
      </c>
      <c r="AY103" s="100"/>
      <c r="AZ103" s="774"/>
      <c r="BA103" s="774"/>
      <c r="BB103" s="460">
        <f t="shared" si="570"/>
        <v>0</v>
      </c>
      <c r="BC103" s="460">
        <f t="shared" si="571"/>
        <v>0</v>
      </c>
      <c r="BD103" s="775"/>
      <c r="BE103" s="775"/>
      <c r="BF103" s="114"/>
    </row>
    <row r="104" spans="2:58" x14ac:dyDescent="0.3">
      <c r="B104" s="1009" t="s">
        <v>16</v>
      </c>
      <c r="C104" s="156" t="s">
        <v>327</v>
      </c>
      <c r="D104" s="1118">
        <f>D105*D$3*24</f>
        <v>559.23710622346823</v>
      </c>
      <c r="E104" s="1185">
        <v>524.79251339210316</v>
      </c>
      <c r="F104" s="1118">
        <f>F105*F$3*24</f>
        <v>507.27311750548159</v>
      </c>
      <c r="G104" s="1185">
        <v>612.35377962225061</v>
      </c>
      <c r="H104" s="775">
        <f t="shared" si="576"/>
        <v>1066.5102237289498</v>
      </c>
      <c r="I104" s="775">
        <f t="shared" si="576"/>
        <v>1137.1462930143539</v>
      </c>
      <c r="J104" s="1118">
        <f>J105*J$3*24</f>
        <v>483.37438928302839</v>
      </c>
      <c r="K104" s="1185">
        <v>615.54963819014984</v>
      </c>
      <c r="L104" s="774">
        <f t="shared" si="577"/>
        <v>1549.8846130119782</v>
      </c>
      <c r="M104" s="774">
        <f t="shared" si="578"/>
        <v>1752.6959312045037</v>
      </c>
      <c r="N104" s="1118">
        <f>N105*N$3*24</f>
        <v>506.7117968330848</v>
      </c>
      <c r="O104" s="1185">
        <v>724.42421433097797</v>
      </c>
      <c r="P104" s="775">
        <f t="shared" si="579"/>
        <v>2056.5964098450631</v>
      </c>
      <c r="Q104" s="775">
        <f t="shared" si="580"/>
        <v>2477.1201455354817</v>
      </c>
      <c r="R104" s="1118">
        <f>R105*R$3*24</f>
        <v>506.7117968330848</v>
      </c>
      <c r="S104" s="1185">
        <v>595.5571020304543</v>
      </c>
      <c r="T104" s="775">
        <f t="shared" ref="T104" si="599">+P104+R104</f>
        <v>2563.3082066781481</v>
      </c>
      <c r="U104" s="775">
        <f t="shared" ref="U104" si="600">+Q104+S104</f>
        <v>3072.6772475659359</v>
      </c>
      <c r="V104" s="1118">
        <f>V105*V$3*24</f>
        <v>211.47428407676304</v>
      </c>
      <c r="W104" s="1185">
        <v>656.49800000000005</v>
      </c>
      <c r="X104" s="774">
        <f t="shared" si="562"/>
        <v>1224.8978777429327</v>
      </c>
      <c r="Y104" s="774">
        <f t="shared" si="563"/>
        <v>1976.4793163614322</v>
      </c>
      <c r="Z104" s="460">
        <f t="shared" si="564"/>
        <v>2774.7824907549111</v>
      </c>
      <c r="AA104" s="460">
        <f t="shared" si="565"/>
        <v>3729.1752475659359</v>
      </c>
      <c r="AB104" s="1118">
        <f>AB105*AB$3*24</f>
        <v>493.33811584401963</v>
      </c>
      <c r="AC104" s="1185">
        <v>628.09799999999996</v>
      </c>
      <c r="AD104" s="775">
        <f t="shared" ref="AD104" si="601">+Z104+AB104</f>
        <v>3268.1206065989309</v>
      </c>
      <c r="AE104" s="775">
        <f t="shared" ref="AE104" si="602">+AA104+AC104</f>
        <v>4357.2732475659359</v>
      </c>
      <c r="AF104" s="1118">
        <f>AF105*AF$3*24</f>
        <v>557.36679516692266</v>
      </c>
      <c r="AG104" s="1185">
        <v>658.822</v>
      </c>
      <c r="AH104" s="775">
        <f t="shared" ref="AH104" si="603">+AD104+AF104</f>
        <v>3825.4874017658535</v>
      </c>
      <c r="AI104" s="775">
        <f t="shared" ref="AI104" si="604">+AE104+AG104</f>
        <v>5016.095247565936</v>
      </c>
      <c r="AJ104" s="1118">
        <f>AJ105*AJ$3*24</f>
        <v>577.07814697262199</v>
      </c>
      <c r="AK104" s="1185">
        <v>975.55503115573765</v>
      </c>
      <c r="AL104" s="774">
        <f t="shared" ref="AL104" si="605">+AJ104+AF104+AB104</f>
        <v>1627.7830579835645</v>
      </c>
      <c r="AM104" s="774">
        <f t="shared" ref="AM104" si="606">+AK104+AG104+AC104</f>
        <v>2262.4750311557377</v>
      </c>
      <c r="AN104" s="775">
        <f t="shared" ref="AN104" si="607">+AH104+AJ104</f>
        <v>4402.5655487384756</v>
      </c>
      <c r="AO104" s="775">
        <f t="shared" ref="AO104" si="608">+AI104+AK104</f>
        <v>5991.6502787216741</v>
      </c>
      <c r="AP104" s="1118">
        <f>AP105*AP$3*24</f>
        <v>577.07814697262199</v>
      </c>
      <c r="AQ104" s="1185">
        <v>937.05399999999997</v>
      </c>
      <c r="AR104" s="775">
        <f t="shared" ref="AR104" si="609">+AN104+AP104</f>
        <v>4979.6436957110973</v>
      </c>
      <c r="AS104" s="775">
        <f t="shared" ref="AS104" si="610">+AO104+AQ104</f>
        <v>6928.7042787216742</v>
      </c>
      <c r="AT104" s="1118">
        <f>AT105*AT$3*24</f>
        <v>538.46784135753171</v>
      </c>
      <c r="AU104" s="1185">
        <v>590.76900000000001</v>
      </c>
      <c r="AV104" s="775">
        <f t="shared" ref="AV104" si="611">+AR104+AT104</f>
        <v>5518.1115370686293</v>
      </c>
      <c r="AW104" s="775">
        <f t="shared" ref="AW104" si="612">+AS104+AU104</f>
        <v>7519.4732787216744</v>
      </c>
      <c r="AX104" s="1118">
        <f>AX105*AX$3*24</f>
        <v>528.5383029058936</v>
      </c>
      <c r="AY104" s="1185">
        <v>558.83799999999997</v>
      </c>
      <c r="AZ104" s="774">
        <f t="shared" ref="AZ104" si="613">+AX104+AT104+AP104</f>
        <v>1644.0842912360472</v>
      </c>
      <c r="BA104" s="774">
        <f t="shared" ref="BA104" si="614">+AY104+AU104+AQ104</f>
        <v>2086.6610000000001</v>
      </c>
      <c r="BB104" s="460">
        <f t="shared" si="570"/>
        <v>3271.8673492196117</v>
      </c>
      <c r="BC104" s="460">
        <f t="shared" si="571"/>
        <v>4349.1360311557382</v>
      </c>
      <c r="BD104" s="775">
        <f t="shared" ref="BD104" si="615">+AV104+AX104</f>
        <v>6046.6498399745233</v>
      </c>
      <c r="BE104" s="775">
        <f t="shared" ref="BE104" si="616">+AW104+AY104</f>
        <v>8078.3112787216742</v>
      </c>
      <c r="BF104" s="114"/>
    </row>
    <row r="105" spans="2:58" ht="15" hidden="1" customHeight="1" x14ac:dyDescent="0.3">
      <c r="B105" s="1009"/>
      <c r="C105" s="156"/>
      <c r="D105" s="1120">
        <v>0.77671820308815032</v>
      </c>
      <c r="E105" s="1324"/>
      <c r="F105" s="1120">
        <v>0.68181870632457198</v>
      </c>
      <c r="G105" s="1324"/>
      <c r="H105" s="775"/>
      <c r="I105" s="775"/>
      <c r="J105" s="1120">
        <v>0.67135331844865054</v>
      </c>
      <c r="K105" s="1324"/>
      <c r="L105" s="774"/>
      <c r="M105" s="774"/>
      <c r="N105" s="1120">
        <v>0.68106424305522151</v>
      </c>
      <c r="O105" s="1324"/>
      <c r="P105" s="775"/>
      <c r="Q105" s="775"/>
      <c r="R105" s="1120">
        <v>0.68106424305522151</v>
      </c>
      <c r="S105" s="1324"/>
      <c r="T105" s="775"/>
      <c r="U105" s="775"/>
      <c r="V105" s="1120">
        <v>0.29371428343994865</v>
      </c>
      <c r="W105" s="1324"/>
      <c r="X105" s="774"/>
      <c r="Y105" s="774"/>
      <c r="Z105" s="460"/>
      <c r="AA105" s="460"/>
      <c r="AB105" s="1120">
        <v>0.66308886538174672</v>
      </c>
      <c r="AC105" s="1324"/>
      <c r="AD105" s="775"/>
      <c r="AE105" s="775"/>
      <c r="AF105" s="1120">
        <v>0.77412054884294812</v>
      </c>
      <c r="AG105" s="1324"/>
      <c r="AH105" s="775"/>
      <c r="AI105" s="775"/>
      <c r="AJ105" s="1120">
        <v>0.77564267066212633</v>
      </c>
      <c r="AK105" s="1324"/>
      <c r="AL105" s="774"/>
      <c r="AM105" s="774"/>
      <c r="AN105" s="775"/>
      <c r="AO105" s="775"/>
      <c r="AP105" s="1120">
        <v>0.77564267066212633</v>
      </c>
      <c r="AQ105" s="1324"/>
      <c r="AR105" s="775"/>
      <c r="AS105" s="775"/>
      <c r="AT105" s="1120">
        <v>0.80129143059156505</v>
      </c>
      <c r="AU105" s="1324"/>
      <c r="AV105" s="775"/>
      <c r="AW105" s="775"/>
      <c r="AX105" s="1120">
        <v>0.71040094476598603</v>
      </c>
      <c r="AY105" s="1324"/>
      <c r="AZ105" s="774"/>
      <c r="BA105" s="774"/>
      <c r="BB105" s="460">
        <f t="shared" si="570"/>
        <v>0</v>
      </c>
      <c r="BC105" s="460">
        <f t="shared" si="571"/>
        <v>0</v>
      </c>
      <c r="BD105" s="775"/>
      <c r="BE105" s="775"/>
      <c r="BF105" s="114"/>
    </row>
    <row r="106" spans="2:58" x14ac:dyDescent="0.3">
      <c r="B106" s="1009" t="s">
        <v>91</v>
      </c>
      <c r="C106" s="156" t="s">
        <v>327</v>
      </c>
      <c r="D106" s="1118">
        <f>D107*D$3*24</f>
        <v>849.78132178839496</v>
      </c>
      <c r="E106" s="1185">
        <v>720.83784167913507</v>
      </c>
      <c r="F106" s="1118">
        <f>F107*F$3*24</f>
        <v>773.931996043455</v>
      </c>
      <c r="G106" s="1185">
        <v>860.77619452684939</v>
      </c>
      <c r="H106" s="775">
        <f t="shared" si="576"/>
        <v>1623.71331783185</v>
      </c>
      <c r="I106" s="775">
        <f t="shared" si="576"/>
        <v>1581.6140362059846</v>
      </c>
      <c r="J106" s="1118">
        <f>J107*J$3*24</f>
        <v>734.50513721714947</v>
      </c>
      <c r="K106" s="1185">
        <v>866.22411943062446</v>
      </c>
      <c r="L106" s="774">
        <f t="shared" si="577"/>
        <v>2358.2184550489992</v>
      </c>
      <c r="M106" s="774">
        <f t="shared" si="578"/>
        <v>2447.8381556366089</v>
      </c>
      <c r="N106" s="1118">
        <f>N107*N$3*24</f>
        <v>773.07560524840392</v>
      </c>
      <c r="O106" s="1185">
        <v>1006.834874629273</v>
      </c>
      <c r="P106" s="775">
        <f t="shared" si="579"/>
        <v>3131.2940602974031</v>
      </c>
      <c r="Q106" s="775">
        <f t="shared" si="580"/>
        <v>3454.6730302658821</v>
      </c>
      <c r="R106" s="1118">
        <f>R107*R$3*24</f>
        <v>773.07560524840392</v>
      </c>
      <c r="S106" s="1185">
        <v>871.08375067095221</v>
      </c>
      <c r="T106" s="775">
        <f t="shared" ref="T106" si="617">+P106+R106</f>
        <v>3904.369665545807</v>
      </c>
      <c r="U106" s="775">
        <f t="shared" ref="U106" si="618">+Q106+S106</f>
        <v>4325.7567809368338</v>
      </c>
      <c r="V106" s="1118">
        <f>V107*V$3*24</f>
        <v>341.42687522445277</v>
      </c>
      <c r="W106" s="1185">
        <v>952.34199999999998</v>
      </c>
      <c r="X106" s="774">
        <f t="shared" si="562"/>
        <v>1887.5780857212605</v>
      </c>
      <c r="Y106" s="774">
        <f t="shared" si="563"/>
        <v>2830.2606253002255</v>
      </c>
      <c r="Z106" s="460">
        <f t="shared" si="564"/>
        <v>4245.7965407702595</v>
      </c>
      <c r="AA106" s="460">
        <f t="shared" si="565"/>
        <v>5278.0987809368344</v>
      </c>
      <c r="AB106" s="1118">
        <f>AB107*AB$3*24</f>
        <v>769.37289580941138</v>
      </c>
      <c r="AC106" s="1185">
        <v>771.95100000000002</v>
      </c>
      <c r="AD106" s="775">
        <f t="shared" ref="AD106" si="619">+Z106+AB106</f>
        <v>5015.1694365796711</v>
      </c>
      <c r="AE106" s="775">
        <f t="shared" ref="AE106" si="620">+AA106+AC106</f>
        <v>6050.0497809368344</v>
      </c>
      <c r="AF106" s="1118">
        <f>AF107*AF$3*24</f>
        <v>846.93931544779355</v>
      </c>
      <c r="AG106" s="1185">
        <v>916.02700000000004</v>
      </c>
      <c r="AH106" s="775">
        <f t="shared" ref="AH106" si="621">+AD106+AF106</f>
        <v>5862.108752027465</v>
      </c>
      <c r="AI106" s="775">
        <f t="shared" ref="AI106" si="622">+AE106+AG106</f>
        <v>6966.0767809368344</v>
      </c>
      <c r="AJ106" s="1118">
        <f>AJ107*AJ$3*24</f>
        <v>880.43152051075026</v>
      </c>
      <c r="AK106" s="1185">
        <v>1179.4968629536356</v>
      </c>
      <c r="AL106" s="774">
        <f t="shared" ref="AL106" si="623">+AJ106+AF106+AB106</f>
        <v>2496.7437317679551</v>
      </c>
      <c r="AM106" s="774">
        <f t="shared" ref="AM106" si="624">+AK106+AG106+AC106</f>
        <v>2867.4748629536357</v>
      </c>
      <c r="AN106" s="775">
        <f t="shared" ref="AN106" si="625">+AH106+AJ106</f>
        <v>6742.5402725382155</v>
      </c>
      <c r="AO106" s="775">
        <f t="shared" ref="AO106" si="626">+AI106+AK106</f>
        <v>8145.5736438904696</v>
      </c>
      <c r="AP106" s="1118">
        <f>AP107*AP$3*24</f>
        <v>880.43152051075026</v>
      </c>
      <c r="AQ106" s="1185">
        <v>1266.2049999999999</v>
      </c>
      <c r="AR106" s="775">
        <f t="shared" ref="AR106" si="627">+AN106+AP106</f>
        <v>7622.971793048966</v>
      </c>
      <c r="AS106" s="775">
        <f t="shared" ref="AS106" si="628">+AO106+AQ106</f>
        <v>9411.7786438904695</v>
      </c>
      <c r="AT106" s="1118">
        <f>AT107*AT$3*24</f>
        <v>817.88522121223036</v>
      </c>
      <c r="AU106" s="1185">
        <v>816.79600000000005</v>
      </c>
      <c r="AV106" s="775">
        <f t="shared" ref="AV106" si="629">+AR106+AT106</f>
        <v>8440.857014261197</v>
      </c>
      <c r="AW106" s="775">
        <f t="shared" ref="AW106" si="630">+AS106+AU106</f>
        <v>10228.57464389047</v>
      </c>
      <c r="AX106" s="1118">
        <f>AX107*AX$3*24</f>
        <v>807.40787496365215</v>
      </c>
      <c r="AY106" s="1185">
        <v>747.92</v>
      </c>
      <c r="AZ106" s="774">
        <f t="shared" ref="AZ106" si="631">+AX106+AT106+AP106</f>
        <v>2505.7246166866325</v>
      </c>
      <c r="BA106" s="774">
        <f t="shared" ref="BA106" si="632">+AY106+AU106+AQ106</f>
        <v>2830.9209999999998</v>
      </c>
      <c r="BB106" s="460">
        <f t="shared" si="570"/>
        <v>5002.4683484545876</v>
      </c>
      <c r="BC106" s="460">
        <f t="shared" si="571"/>
        <v>5698.3958629536355</v>
      </c>
      <c r="BD106" s="775">
        <f t="shared" ref="BD106" si="633">+AV106+AX106</f>
        <v>9248.264889224849</v>
      </c>
      <c r="BE106" s="775">
        <f t="shared" ref="BE106" si="634">+AW106+AY106</f>
        <v>10976.49464389047</v>
      </c>
      <c r="BF106" s="114"/>
    </row>
    <row r="107" spans="2:58" ht="15" hidden="1" customHeight="1" x14ac:dyDescent="0.3">
      <c r="B107" s="1009"/>
      <c r="C107" s="156"/>
      <c r="D107" s="1120">
        <v>1.1802518358172154</v>
      </c>
      <c r="E107" s="1324"/>
      <c r="F107" s="1120">
        <v>1.0402311774777622</v>
      </c>
      <c r="G107" s="1324"/>
      <c r="H107" s="775"/>
      <c r="I107" s="775"/>
      <c r="J107" s="1120">
        <v>1.0201460239127076</v>
      </c>
      <c r="K107" s="1324"/>
      <c r="L107" s="774"/>
      <c r="M107" s="774"/>
      <c r="N107" s="1120">
        <v>1.0390801145811881</v>
      </c>
      <c r="O107" s="1324"/>
      <c r="P107" s="775"/>
      <c r="Q107" s="775"/>
      <c r="R107" s="1120">
        <v>1.0390801145811881</v>
      </c>
      <c r="S107" s="1324"/>
      <c r="T107" s="775"/>
      <c r="U107" s="775"/>
      <c r="V107" s="1120">
        <v>0.47420399336729552</v>
      </c>
      <c r="W107" s="1324"/>
      <c r="X107" s="774"/>
      <c r="Y107" s="774"/>
      <c r="Z107" s="460"/>
      <c r="AA107" s="460"/>
      <c r="AB107" s="1120">
        <v>1.0341033545825422</v>
      </c>
      <c r="AC107" s="1324"/>
      <c r="AD107" s="775"/>
      <c r="AE107" s="775"/>
      <c r="AF107" s="1120">
        <v>1.1763046047886021</v>
      </c>
      <c r="AG107" s="1324"/>
      <c r="AH107" s="775"/>
      <c r="AI107" s="775"/>
      <c r="AJ107" s="1120">
        <v>1.1833756996112235</v>
      </c>
      <c r="AK107" s="1324"/>
      <c r="AL107" s="774"/>
      <c r="AM107" s="774"/>
      <c r="AN107" s="775"/>
      <c r="AO107" s="775"/>
      <c r="AP107" s="1120">
        <v>1.1833756996112235</v>
      </c>
      <c r="AQ107" s="1324"/>
      <c r="AR107" s="775"/>
      <c r="AS107" s="775"/>
      <c r="AT107" s="1120">
        <v>1.2170911029943903</v>
      </c>
      <c r="AU107" s="1324"/>
      <c r="AV107" s="775"/>
      <c r="AW107" s="775"/>
      <c r="AX107" s="1120">
        <v>1.0852256383920056</v>
      </c>
      <c r="AY107" s="1324"/>
      <c r="AZ107" s="774"/>
      <c r="BA107" s="774"/>
      <c r="BB107" s="460">
        <f t="shared" si="570"/>
        <v>0</v>
      </c>
      <c r="BC107" s="460">
        <f t="shared" si="571"/>
        <v>0</v>
      </c>
      <c r="BD107" s="775"/>
      <c r="BE107" s="775"/>
      <c r="BF107" s="114"/>
    </row>
    <row r="108" spans="2:58" x14ac:dyDescent="0.3">
      <c r="B108" s="1009" t="s">
        <v>109</v>
      </c>
      <c r="C108" s="156" t="s">
        <v>327</v>
      </c>
      <c r="D108" s="1118">
        <f>D109*D$3*24</f>
        <v>1396.4927959806196</v>
      </c>
      <c r="E108" s="1185">
        <v>1010.0231882629473</v>
      </c>
      <c r="F108" s="1118">
        <f>F109*F$3*24</f>
        <v>1282.5610075764243</v>
      </c>
      <c r="G108" s="1185">
        <v>1180.3595068891568</v>
      </c>
      <c r="H108" s="775">
        <f t="shared" si="576"/>
        <v>2679.0538035570439</v>
      </c>
      <c r="I108" s="775">
        <f t="shared" si="576"/>
        <v>2190.3826951521041</v>
      </c>
      <c r="J108" s="1118">
        <f>J109*J$3*24</f>
        <v>1207.0530458069115</v>
      </c>
      <c r="K108" s="1185">
        <v>1207.0748128000887</v>
      </c>
      <c r="L108" s="774">
        <f t="shared" si="577"/>
        <v>3886.1068493639555</v>
      </c>
      <c r="M108" s="774">
        <f t="shared" si="578"/>
        <v>3397.4575079521928</v>
      </c>
      <c r="N108" s="1118">
        <f>N109*N$3*24</f>
        <v>1279.1768543463181</v>
      </c>
      <c r="O108" s="1185">
        <v>1245.7720400038083</v>
      </c>
      <c r="P108" s="775">
        <f t="shared" si="579"/>
        <v>5165.2837037102736</v>
      </c>
      <c r="Q108" s="775">
        <f t="shared" si="580"/>
        <v>4643.2295479560016</v>
      </c>
      <c r="R108" s="1118">
        <f>R109*R$3*24</f>
        <v>1279.1768543463181</v>
      </c>
      <c r="S108" s="1185">
        <v>1135.5755864219707</v>
      </c>
      <c r="T108" s="775">
        <f t="shared" ref="T108" si="635">+P108+R108</f>
        <v>6444.4605580565913</v>
      </c>
      <c r="U108" s="775">
        <f t="shared" ref="U108" si="636">+Q108+S108</f>
        <v>5778.8051343779725</v>
      </c>
      <c r="V108" s="1118">
        <f>V109*V$3*24</f>
        <v>479.17803654586316</v>
      </c>
      <c r="W108" s="1185">
        <v>1282.4100000000001</v>
      </c>
      <c r="X108" s="774">
        <f t="shared" si="562"/>
        <v>3037.5317452384993</v>
      </c>
      <c r="Y108" s="774">
        <f t="shared" si="563"/>
        <v>3663.7576264257791</v>
      </c>
      <c r="Z108" s="460">
        <f t="shared" si="564"/>
        <v>6923.6385946024548</v>
      </c>
      <c r="AA108" s="460">
        <f t="shared" si="565"/>
        <v>7061.2151343779715</v>
      </c>
      <c r="AB108" s="1118">
        <f>AB109*AB$3*24</f>
        <v>1330.9639088696395</v>
      </c>
      <c r="AC108" s="1185">
        <v>921.85</v>
      </c>
      <c r="AD108" s="775">
        <f t="shared" ref="AD108" si="637">+Z108+AB108</f>
        <v>8254.6025034720951</v>
      </c>
      <c r="AE108" s="775">
        <f t="shared" ref="AE108" si="638">+AA108+AC108</f>
        <v>7983.0651343779718</v>
      </c>
      <c r="AF108" s="1118">
        <f>AF109*AF$3*24</f>
        <v>1458.9520655403535</v>
      </c>
      <c r="AG108" s="1185">
        <v>1250.05</v>
      </c>
      <c r="AH108" s="775">
        <f t="shared" ref="AH108" si="639">+AD108+AF108</f>
        <v>9713.5545690124491</v>
      </c>
      <c r="AI108" s="775">
        <f t="shared" ref="AI108" si="640">+AE108+AG108</f>
        <v>9233.1151343779711</v>
      </c>
      <c r="AJ108" s="1118">
        <f>AJ109*AJ$3*24</f>
        <v>1501.5705345809165</v>
      </c>
      <c r="AK108" s="1185">
        <v>1544.6841414945566</v>
      </c>
      <c r="AL108" s="774">
        <f t="shared" ref="AL108" si="641">+AJ108+AF108+AB108</f>
        <v>4291.486508990909</v>
      </c>
      <c r="AM108" s="774">
        <f t="shared" ref="AM108" si="642">+AK108+AG108+AC108</f>
        <v>3716.5841414945567</v>
      </c>
      <c r="AN108" s="775">
        <f t="shared" ref="AN108" si="643">+AH108+AJ108</f>
        <v>11215.125103593366</v>
      </c>
      <c r="AO108" s="775">
        <f t="shared" ref="AO108" si="644">+AI108+AK108</f>
        <v>10777.799275872527</v>
      </c>
      <c r="AP108" s="1118">
        <f>AP109*AP$3*24</f>
        <v>1501.5705345809165</v>
      </c>
      <c r="AQ108" s="1185">
        <v>1774.2850000000001</v>
      </c>
      <c r="AR108" s="775">
        <f t="shared" ref="AR108" si="645">+AN108+AP108</f>
        <v>12716.695638174282</v>
      </c>
      <c r="AS108" s="775">
        <f t="shared" ref="AS108" si="646">+AO108+AQ108</f>
        <v>12552.084275872527</v>
      </c>
      <c r="AT108" s="1118">
        <f>AT109*AT$3*24</f>
        <v>1451.6373151531275</v>
      </c>
      <c r="AU108" s="1185">
        <v>1251.442</v>
      </c>
      <c r="AV108" s="775">
        <f t="shared" ref="AV108" si="647">+AR108+AT108</f>
        <v>14168.33295332741</v>
      </c>
      <c r="AW108" s="775">
        <f t="shared" ref="AW108" si="648">+AS108+AU108</f>
        <v>13803.526275872526</v>
      </c>
      <c r="AX108" s="1118">
        <f>AX109*AX$3*24</f>
        <v>1361.8428443318326</v>
      </c>
      <c r="AY108" s="1185">
        <v>1013.987</v>
      </c>
      <c r="AZ108" s="774">
        <f t="shared" ref="AZ108" si="649">+AX108+AT108+AP108</f>
        <v>4315.0506940658761</v>
      </c>
      <c r="BA108" s="774">
        <f t="shared" ref="BA108" si="650">+AY108+AU108+AQ108</f>
        <v>4039.7139999999999</v>
      </c>
      <c r="BB108" s="460">
        <f t="shared" si="570"/>
        <v>8606.5372030567851</v>
      </c>
      <c r="BC108" s="460">
        <f t="shared" si="571"/>
        <v>7756.2981414945571</v>
      </c>
      <c r="BD108" s="775">
        <f t="shared" ref="BD108" si="651">+AV108+AX108</f>
        <v>15530.175797659242</v>
      </c>
      <c r="BE108" s="775">
        <f t="shared" ref="BE108" si="652">+AW108+AY108</f>
        <v>14817.513275872525</v>
      </c>
      <c r="BF108" s="114"/>
    </row>
    <row r="109" spans="2:58" ht="15" hidden="1" customHeight="1" x14ac:dyDescent="0.3">
      <c r="B109" s="1009"/>
      <c r="C109" s="156"/>
      <c r="D109" s="1120">
        <v>1.9395733277508604</v>
      </c>
      <c r="E109" s="1324"/>
      <c r="F109" s="1120">
        <v>1.7238723220113232</v>
      </c>
      <c r="G109" s="1324"/>
      <c r="H109" s="775"/>
      <c r="I109" s="775"/>
      <c r="J109" s="1120">
        <v>1.6764625636207104</v>
      </c>
      <c r="K109" s="1324"/>
      <c r="L109" s="774"/>
      <c r="M109" s="774"/>
      <c r="N109" s="1120">
        <v>1.7193237289601051</v>
      </c>
      <c r="O109" s="1324"/>
      <c r="P109" s="775"/>
      <c r="Q109" s="775"/>
      <c r="R109" s="1120">
        <v>1.7193237289601051</v>
      </c>
      <c r="S109" s="1324"/>
      <c r="T109" s="775"/>
      <c r="U109" s="775"/>
      <c r="V109" s="1120">
        <v>0.66552505075814328</v>
      </c>
      <c r="W109" s="1324"/>
      <c r="X109" s="774"/>
      <c r="Y109" s="774"/>
      <c r="Z109" s="460"/>
      <c r="AA109" s="460"/>
      <c r="AB109" s="1120">
        <v>1.7889299850398379</v>
      </c>
      <c r="AC109" s="1324"/>
      <c r="AD109" s="775"/>
      <c r="AE109" s="775"/>
      <c r="AF109" s="1120">
        <v>2.0263223132504908</v>
      </c>
      <c r="AG109" s="1324"/>
      <c r="AH109" s="775"/>
      <c r="AI109" s="775"/>
      <c r="AJ109" s="1120">
        <v>2.0182399658345651</v>
      </c>
      <c r="AK109" s="1324"/>
      <c r="AL109" s="774"/>
      <c r="AM109" s="774"/>
      <c r="AN109" s="775"/>
      <c r="AO109" s="775"/>
      <c r="AP109" s="1120">
        <v>2.0182399658345651</v>
      </c>
      <c r="AQ109" s="1324"/>
      <c r="AR109" s="775"/>
      <c r="AS109" s="775"/>
      <c r="AT109" s="1120">
        <v>2.1601745761207254</v>
      </c>
      <c r="AU109" s="1324"/>
      <c r="AV109" s="775"/>
      <c r="AW109" s="775"/>
      <c r="AX109" s="1120">
        <v>1.8304339305535384</v>
      </c>
      <c r="AY109" s="1324"/>
      <c r="AZ109" s="774"/>
      <c r="BA109" s="774"/>
      <c r="BB109" s="460">
        <f t="shared" si="570"/>
        <v>0</v>
      </c>
      <c r="BC109" s="460">
        <f t="shared" si="571"/>
        <v>0</v>
      </c>
      <c r="BD109" s="775"/>
      <c r="BE109" s="775"/>
      <c r="BF109" s="114"/>
    </row>
    <row r="110" spans="2:58" x14ac:dyDescent="0.3">
      <c r="B110" s="1009" t="s">
        <v>82</v>
      </c>
      <c r="C110" s="156" t="s">
        <v>327</v>
      </c>
      <c r="D110" s="1118">
        <f>D111*D$3*24</f>
        <v>0</v>
      </c>
      <c r="E110" s="1185">
        <v>0</v>
      </c>
      <c r="F110" s="1118">
        <f>F111*F$3*24</f>
        <v>0</v>
      </c>
      <c r="G110" s="1185">
        <v>0</v>
      </c>
      <c r="H110" s="775">
        <f t="shared" si="576"/>
        <v>0</v>
      </c>
      <c r="I110" s="775">
        <f t="shared" si="576"/>
        <v>0</v>
      </c>
      <c r="J110" s="1118">
        <f>J111*J$3*24</f>
        <v>0</v>
      </c>
      <c r="K110" s="1185">
        <v>0</v>
      </c>
      <c r="L110" s="774">
        <f t="shared" si="577"/>
        <v>0</v>
      </c>
      <c r="M110" s="774">
        <f t="shared" si="578"/>
        <v>0</v>
      </c>
      <c r="N110" s="1118">
        <f>N111*N$3*24</f>
        <v>0</v>
      </c>
      <c r="O110" s="1185">
        <v>0</v>
      </c>
      <c r="P110" s="775">
        <f t="shared" si="579"/>
        <v>0</v>
      </c>
      <c r="Q110" s="775">
        <f t="shared" si="580"/>
        <v>0</v>
      </c>
      <c r="R110" s="1118">
        <f>R111*R$3*24</f>
        <v>0</v>
      </c>
      <c r="S110" s="1185">
        <v>0</v>
      </c>
      <c r="T110" s="775">
        <f t="shared" ref="T110" si="653">+P110+R110</f>
        <v>0</v>
      </c>
      <c r="U110" s="775">
        <f t="shared" ref="U110" si="654">+Q110+S110</f>
        <v>0</v>
      </c>
      <c r="V110" s="1118">
        <f>V111*V$3*24</f>
        <v>0</v>
      </c>
      <c r="W110" s="1185"/>
      <c r="X110" s="774">
        <f t="shared" si="562"/>
        <v>0</v>
      </c>
      <c r="Y110" s="774">
        <f t="shared" si="563"/>
        <v>0</v>
      </c>
      <c r="Z110" s="460">
        <f t="shared" si="564"/>
        <v>0</v>
      </c>
      <c r="AA110" s="460">
        <f t="shared" si="565"/>
        <v>0</v>
      </c>
      <c r="AB110" s="1118">
        <f>AB111*AB$3*24</f>
        <v>0</v>
      </c>
      <c r="AC110" s="1185">
        <v>27.6</v>
      </c>
      <c r="AD110" s="775">
        <f t="shared" ref="AD110" si="655">+Z110+AB110</f>
        <v>0</v>
      </c>
      <c r="AE110" s="775">
        <f t="shared" ref="AE110" si="656">+AA110+AC110</f>
        <v>27.6</v>
      </c>
      <c r="AF110" s="1118">
        <f>AF111*AF$3*24</f>
        <v>0</v>
      </c>
      <c r="AG110" s="1185">
        <v>0</v>
      </c>
      <c r="AH110" s="775">
        <f t="shared" ref="AH110" si="657">+AD110+AF110</f>
        <v>0</v>
      </c>
      <c r="AI110" s="775">
        <f t="shared" ref="AI110" si="658">+AE110+AG110</f>
        <v>27.6</v>
      </c>
      <c r="AJ110" s="1118">
        <f>AJ111*AJ$3*24</f>
        <v>0</v>
      </c>
      <c r="AK110" s="1185">
        <v>0</v>
      </c>
      <c r="AL110" s="774">
        <f t="shared" ref="AL110" si="659">+AJ110+AF110+AB110</f>
        <v>0</v>
      </c>
      <c r="AM110" s="774">
        <f t="shared" ref="AM110" si="660">+AK110+AG110+AC110</f>
        <v>27.6</v>
      </c>
      <c r="AN110" s="775">
        <f t="shared" ref="AN110" si="661">+AH110+AJ110</f>
        <v>0</v>
      </c>
      <c r="AO110" s="775">
        <f t="shared" ref="AO110" si="662">+AI110+AK110</f>
        <v>27.6</v>
      </c>
      <c r="AP110" s="1118">
        <f>AP111*AP$3*24</f>
        <v>0</v>
      </c>
      <c r="AQ110" s="1185">
        <v>12.896000000000001</v>
      </c>
      <c r="AR110" s="775">
        <f t="shared" ref="AR110" si="663">+AN110+AP110</f>
        <v>0</v>
      </c>
      <c r="AS110" s="775">
        <f t="shared" ref="AS110" si="664">+AO110+AQ110</f>
        <v>40.496000000000002</v>
      </c>
      <c r="AT110" s="1118">
        <f>AT111*AT$3*24</f>
        <v>0</v>
      </c>
      <c r="AU110" s="1185"/>
      <c r="AV110" s="775">
        <f t="shared" ref="AV110" si="665">+AR110+AT110</f>
        <v>0</v>
      </c>
      <c r="AW110" s="775">
        <f t="shared" ref="AW110" si="666">+AS110+AU110</f>
        <v>40.496000000000002</v>
      </c>
      <c r="AX110" s="1118">
        <f>AX111*AX$3*24</f>
        <v>0</v>
      </c>
      <c r="AY110" s="1185">
        <v>0</v>
      </c>
      <c r="AZ110" s="774">
        <f t="shared" ref="AZ110" si="667">+AX110+AT110+AP110</f>
        <v>0</v>
      </c>
      <c r="BA110" s="774">
        <f t="shared" ref="BA110" si="668">+AY110+AU110+AQ110</f>
        <v>12.896000000000001</v>
      </c>
      <c r="BB110" s="460">
        <f t="shared" si="570"/>
        <v>0</v>
      </c>
      <c r="BC110" s="460">
        <f t="shared" si="571"/>
        <v>40.496000000000002</v>
      </c>
      <c r="BD110" s="775">
        <f t="shared" ref="BD110" si="669">+AV110+AX110</f>
        <v>0</v>
      </c>
      <c r="BE110" s="775">
        <f t="shared" ref="BE110" si="670">+AW110+AY110</f>
        <v>40.496000000000002</v>
      </c>
      <c r="BF110" s="114"/>
    </row>
    <row r="111" spans="2:58" ht="15" hidden="1" customHeight="1" x14ac:dyDescent="0.3">
      <c r="B111" s="1009"/>
      <c r="C111" s="156"/>
      <c r="D111" s="1118">
        <v>0</v>
      </c>
      <c r="E111" s="1185"/>
      <c r="F111" s="1118">
        <v>0</v>
      </c>
      <c r="G111" s="1185"/>
      <c r="H111" s="775"/>
      <c r="I111" s="775"/>
      <c r="J111" s="1118">
        <v>0</v>
      </c>
      <c r="K111" s="1185"/>
      <c r="L111" s="774"/>
      <c r="M111" s="774"/>
      <c r="N111" s="1118">
        <v>0</v>
      </c>
      <c r="O111" s="1185"/>
      <c r="P111" s="775"/>
      <c r="Q111" s="775"/>
      <c r="R111" s="1118">
        <v>0</v>
      </c>
      <c r="S111" s="1185"/>
      <c r="T111" s="775"/>
      <c r="U111" s="775"/>
      <c r="V111" s="1118">
        <v>0</v>
      </c>
      <c r="W111" s="1185"/>
      <c r="X111" s="774"/>
      <c r="Y111" s="774"/>
      <c r="Z111" s="460"/>
      <c r="AA111" s="460"/>
      <c r="AB111" s="1118">
        <v>0</v>
      </c>
      <c r="AC111" s="1185"/>
      <c r="AD111" s="775"/>
      <c r="AE111" s="775"/>
      <c r="AF111" s="1118">
        <v>0</v>
      </c>
      <c r="AG111" s="1185"/>
      <c r="AH111" s="775"/>
      <c r="AI111" s="775"/>
      <c r="AJ111" s="1118">
        <v>0</v>
      </c>
      <c r="AK111" s="1185"/>
      <c r="AL111" s="774"/>
      <c r="AM111" s="774"/>
      <c r="AN111" s="775"/>
      <c r="AO111" s="775"/>
      <c r="AP111" s="1118">
        <v>0</v>
      </c>
      <c r="AQ111" s="1185"/>
      <c r="AR111" s="775"/>
      <c r="AS111" s="775"/>
      <c r="AT111" s="1118"/>
      <c r="AU111" s="1185"/>
      <c r="AV111" s="775"/>
      <c r="AW111" s="775"/>
      <c r="AX111" s="1118"/>
      <c r="AY111" s="1185"/>
      <c r="AZ111" s="774"/>
      <c r="BA111" s="774"/>
      <c r="BB111" s="460">
        <f t="shared" si="570"/>
        <v>0</v>
      </c>
      <c r="BC111" s="460">
        <f t="shared" si="571"/>
        <v>0</v>
      </c>
      <c r="BD111" s="775"/>
      <c r="BE111" s="775"/>
      <c r="BF111" s="114"/>
    </row>
    <row r="112" spans="2:58" x14ac:dyDescent="0.3">
      <c r="B112" s="1009" t="s">
        <v>559</v>
      </c>
      <c r="C112" s="156" t="s">
        <v>327</v>
      </c>
      <c r="D112" s="1118">
        <f>D113*D$3*24</f>
        <v>144</v>
      </c>
      <c r="E112" s="1185">
        <v>151.3742071881606</v>
      </c>
      <c r="F112" s="1118">
        <f>F113*F$3*24</f>
        <v>148.80000000000001</v>
      </c>
      <c r="G112" s="1185">
        <v>157.29386892177578</v>
      </c>
      <c r="H112" s="775">
        <f t="shared" si="576"/>
        <v>292.8</v>
      </c>
      <c r="I112" s="775">
        <f t="shared" si="576"/>
        <v>308.66807610993635</v>
      </c>
      <c r="J112" s="1118">
        <f>J113*J$3*24</f>
        <v>144</v>
      </c>
      <c r="K112" s="1185">
        <v>152.2198731501056</v>
      </c>
      <c r="L112" s="774">
        <f t="shared" si="577"/>
        <v>436.8</v>
      </c>
      <c r="M112" s="774">
        <f t="shared" si="578"/>
        <v>460.88794926004198</v>
      </c>
      <c r="N112" s="1118">
        <f>N113*N$3*24</f>
        <v>148.80000000000001</v>
      </c>
      <c r="O112" s="1185">
        <v>157.10895348837198</v>
      </c>
      <c r="P112" s="775">
        <f t="shared" si="579"/>
        <v>585.6</v>
      </c>
      <c r="Q112" s="775">
        <f t="shared" si="580"/>
        <v>617.99690274841396</v>
      </c>
      <c r="R112" s="1118">
        <f>R113*R$3*24</f>
        <v>148.80000000000001</v>
      </c>
      <c r="S112" s="1185">
        <v>156.7653276955603</v>
      </c>
      <c r="T112" s="775">
        <f t="shared" ref="T112" si="671">+P112+R112</f>
        <v>734.40000000000009</v>
      </c>
      <c r="U112" s="775">
        <f t="shared" ref="U112" si="672">+Q112+S112</f>
        <v>774.7622304439742</v>
      </c>
      <c r="V112" s="1118">
        <f>V113*V$3*24</f>
        <v>144</v>
      </c>
      <c r="W112" s="1185">
        <v>152.114</v>
      </c>
      <c r="X112" s="774">
        <f t="shared" si="562"/>
        <v>441.6</v>
      </c>
      <c r="Y112" s="774">
        <f t="shared" si="563"/>
        <v>465.98828118393226</v>
      </c>
      <c r="Z112" s="460">
        <f t="shared" si="564"/>
        <v>878.40000000000009</v>
      </c>
      <c r="AA112" s="460">
        <f t="shared" si="565"/>
        <v>926.87623044397424</v>
      </c>
      <c r="AB112" s="1118">
        <f>AB113*AB$3*24</f>
        <v>148.80000000000001</v>
      </c>
      <c r="AC112" s="1185">
        <v>144.292</v>
      </c>
      <c r="AD112" s="775">
        <f t="shared" ref="AD112" si="673">+Z112+AB112</f>
        <v>1027.2</v>
      </c>
      <c r="AE112" s="775">
        <f t="shared" ref="AE112" si="674">+AA112+AC112</f>
        <v>1071.1682304439742</v>
      </c>
      <c r="AF112" s="1118">
        <f>AF113*AF$3*24</f>
        <v>144</v>
      </c>
      <c r="AG112" s="1185">
        <v>152.22</v>
      </c>
      <c r="AH112" s="775">
        <f t="shared" ref="AH112" si="675">+AD112+AF112</f>
        <v>1171.2</v>
      </c>
      <c r="AI112" s="775">
        <f t="shared" ref="AI112" si="676">+AE112+AG112</f>
        <v>1223.3882304439742</v>
      </c>
      <c r="AJ112" s="1118">
        <f>AJ113*AJ$3*24</f>
        <v>148.80000000000001</v>
      </c>
      <c r="AK112" s="1185">
        <v>154.07325581395344</v>
      </c>
      <c r="AL112" s="774">
        <f t="shared" ref="AL112" si="677">+AJ112+AF112+AB112</f>
        <v>441.6</v>
      </c>
      <c r="AM112" s="774">
        <f t="shared" ref="AM112" si="678">+AK112+AG112+AC112</f>
        <v>450.58525581395349</v>
      </c>
      <c r="AN112" s="775">
        <f t="shared" ref="AN112" si="679">+AH112+AJ112</f>
        <v>1320</v>
      </c>
      <c r="AO112" s="775">
        <f t="shared" ref="AO112" si="680">+AI112+AK112</f>
        <v>1377.4614862579276</v>
      </c>
      <c r="AP112" s="1118">
        <f>AP113*AP$3*24</f>
        <v>148.80000000000001</v>
      </c>
      <c r="AQ112" s="1185">
        <v>157.08199999999999</v>
      </c>
      <c r="AR112" s="775">
        <f t="shared" ref="AR112" si="681">+AN112+AP112</f>
        <v>1468.8</v>
      </c>
      <c r="AS112" s="775">
        <f t="shared" ref="AS112" si="682">+AO112+AQ112</f>
        <v>1534.5434862579277</v>
      </c>
      <c r="AT112" s="1118">
        <f>AT113*AT$3*24</f>
        <v>134.4</v>
      </c>
      <c r="AU112" s="1185">
        <v>136.786</v>
      </c>
      <c r="AV112" s="775">
        <f t="shared" ref="AV112" si="683">+AR112+AT112</f>
        <v>1603.2</v>
      </c>
      <c r="AW112" s="775">
        <f t="shared" ref="AW112" si="684">+AS112+AU112</f>
        <v>1671.3294862579278</v>
      </c>
      <c r="AX112" s="1118">
        <f>AX113*AX$3*24</f>
        <v>148.80000000000001</v>
      </c>
      <c r="AY112" s="1185">
        <v>156.83000000000001</v>
      </c>
      <c r="AZ112" s="774">
        <f t="shared" ref="AZ112" si="685">+AX112+AT112+AP112</f>
        <v>432.00000000000006</v>
      </c>
      <c r="BA112" s="774">
        <f t="shared" ref="BA112" si="686">+AY112+AU112+AQ112</f>
        <v>450.69799999999998</v>
      </c>
      <c r="BB112" s="460">
        <f t="shared" si="570"/>
        <v>873.60000000000014</v>
      </c>
      <c r="BC112" s="460">
        <f t="shared" si="571"/>
        <v>901.28325581395347</v>
      </c>
      <c r="BD112" s="775">
        <f t="shared" ref="BD112" si="687">+AV112+AX112</f>
        <v>1752</v>
      </c>
      <c r="BE112" s="775">
        <f t="shared" ref="BE112" si="688">+AW112+AY112</f>
        <v>1828.1594862579277</v>
      </c>
      <c r="BF112" s="114"/>
    </row>
    <row r="113" spans="1:58" ht="15" hidden="1" customHeight="1" x14ac:dyDescent="0.3">
      <c r="B113" s="1009"/>
      <c r="C113" s="156"/>
      <c r="D113" s="188">
        <v>0.2</v>
      </c>
      <c r="E113" s="100"/>
      <c r="F113" s="188">
        <v>0.2</v>
      </c>
      <c r="G113" s="100"/>
      <c r="H113" s="775"/>
      <c r="I113" s="775"/>
      <c r="J113" s="188">
        <v>0.2</v>
      </c>
      <c r="K113" s="100"/>
      <c r="L113" s="774"/>
      <c r="M113" s="774"/>
      <c r="N113" s="188">
        <v>0.2</v>
      </c>
      <c r="O113" s="100"/>
      <c r="P113" s="775"/>
      <c r="Q113" s="775"/>
      <c r="R113" s="188">
        <v>0.2</v>
      </c>
      <c r="S113" s="100"/>
      <c r="T113" s="775"/>
      <c r="U113" s="775"/>
      <c r="V113" s="188">
        <v>0.2</v>
      </c>
      <c r="W113" s="100"/>
      <c r="X113" s="774"/>
      <c r="Y113" s="774"/>
      <c r="Z113" s="460"/>
      <c r="AA113" s="460"/>
      <c r="AB113" s="188">
        <v>0.2</v>
      </c>
      <c r="AC113" s="100"/>
      <c r="AD113" s="775"/>
      <c r="AE113" s="775"/>
      <c r="AF113" s="188">
        <v>0.2</v>
      </c>
      <c r="AG113" s="100"/>
      <c r="AH113" s="775"/>
      <c r="AI113" s="775"/>
      <c r="AJ113" s="188">
        <v>0.2</v>
      </c>
      <c r="AK113" s="100"/>
      <c r="AL113" s="774"/>
      <c r="AM113" s="774"/>
      <c r="AN113" s="775"/>
      <c r="AO113" s="775"/>
      <c r="AP113" s="188">
        <v>0.2</v>
      </c>
      <c r="AQ113" s="100"/>
      <c r="AR113" s="775"/>
      <c r="AS113" s="775"/>
      <c r="AT113" s="188">
        <v>0.2</v>
      </c>
      <c r="AU113" s="100"/>
      <c r="AV113" s="775"/>
      <c r="AW113" s="775"/>
      <c r="AX113" s="188">
        <v>0.2</v>
      </c>
      <c r="AY113" s="100"/>
      <c r="AZ113" s="774"/>
      <c r="BA113" s="774"/>
      <c r="BB113" s="460"/>
      <c r="BC113" s="460"/>
      <c r="BD113" s="775"/>
      <c r="BE113" s="775"/>
      <c r="BF113" s="114"/>
    </row>
    <row r="114" spans="1:58" ht="15.6" x14ac:dyDescent="0.3">
      <c r="B114" s="803" t="s">
        <v>61</v>
      </c>
      <c r="C114" s="797" t="s">
        <v>327</v>
      </c>
      <c r="D114" s="1121">
        <f t="shared" ref="D114:K114" si="689">D98+D100+D102+D104+D106+D108+D110+D112</f>
        <v>3599.9999999999995</v>
      </c>
      <c r="E114" s="1121">
        <f t="shared" si="689"/>
        <v>3587.8270000000002</v>
      </c>
      <c r="F114" s="1121">
        <f t="shared" ref="F114:G114" si="690">F98+F100+F102+F104+F106+F108+F110+F112</f>
        <v>3719.9999999999995</v>
      </c>
      <c r="G114" s="1121">
        <f t="shared" si="690"/>
        <v>3721.1059999999989</v>
      </c>
      <c r="H114" s="371">
        <f t="shared" si="689"/>
        <v>7319.9999999999991</v>
      </c>
      <c r="I114" s="371">
        <f t="shared" si="689"/>
        <v>7308.9329999999991</v>
      </c>
      <c r="J114" s="1121">
        <f t="shared" si="689"/>
        <v>3600</v>
      </c>
      <c r="K114" s="1121">
        <f t="shared" si="689"/>
        <v>3572.2689999999993</v>
      </c>
      <c r="L114" s="793">
        <f t="shared" ref="L114:AA114" si="691">SUM(L98:L112)</f>
        <v>10919.999999999998</v>
      </c>
      <c r="M114" s="793">
        <f t="shared" si="691"/>
        <v>10881.201999999999</v>
      </c>
      <c r="N114" s="1121">
        <f t="shared" ref="N114:O114" si="692">N98+N100+N102+N104+N106+N108+N110+N112</f>
        <v>3720</v>
      </c>
      <c r="O114" s="1121">
        <f t="shared" si="692"/>
        <v>3781.1419999999998</v>
      </c>
      <c r="P114" s="251">
        <f t="shared" si="691"/>
        <v>14639.999999999998</v>
      </c>
      <c r="Q114" s="251">
        <f t="shared" si="691"/>
        <v>14662.343999999997</v>
      </c>
      <c r="R114" s="1121">
        <f t="shared" ref="R114:S114" si="693">R98+R100+R102+R104+R106+R108+R110+R112</f>
        <v>3720</v>
      </c>
      <c r="S114" s="1121">
        <f t="shared" si="693"/>
        <v>3708.1829999999995</v>
      </c>
      <c r="T114" s="251">
        <f t="shared" ref="T114:U114" si="694">SUM(T98:T112)</f>
        <v>18360</v>
      </c>
      <c r="U114" s="251">
        <f t="shared" si="694"/>
        <v>18370.526999999998</v>
      </c>
      <c r="V114" s="1121">
        <f t="shared" ref="V114:W114" si="695">V98+V100+V102+V104+V106+V108+V110+V112</f>
        <v>3600</v>
      </c>
      <c r="W114" s="1121">
        <f t="shared" si="695"/>
        <v>3839.4550000000004</v>
      </c>
      <c r="X114" s="793">
        <f t="shared" si="691"/>
        <v>11040</v>
      </c>
      <c r="Y114" s="793">
        <f t="shared" si="691"/>
        <v>11328.779999999999</v>
      </c>
      <c r="Z114" s="517">
        <f t="shared" si="691"/>
        <v>21960</v>
      </c>
      <c r="AA114" s="517">
        <f t="shared" si="691"/>
        <v>22209.981999999996</v>
      </c>
      <c r="AB114" s="1121">
        <f t="shared" ref="AB114:AC114" si="696">AB98+AB100+AB102+AB104+AB106+AB108+AB110+AB112</f>
        <v>3720.0000000000005</v>
      </c>
      <c r="AC114" s="1121">
        <f t="shared" si="696"/>
        <v>3998.0099999999998</v>
      </c>
      <c r="AD114" s="251">
        <f t="shared" ref="AD114:AE114" si="697">SUM(AD98:AD112)</f>
        <v>25680</v>
      </c>
      <c r="AE114" s="251">
        <f t="shared" si="697"/>
        <v>26207.991999999995</v>
      </c>
      <c r="AF114" s="1121">
        <f t="shared" ref="AF114:AG114" si="698">AF98+AF100+AF102+AF104+AF106+AF108+AF110+AF112</f>
        <v>3600</v>
      </c>
      <c r="AG114" s="1121">
        <f t="shared" si="698"/>
        <v>3822.3609999999994</v>
      </c>
      <c r="AH114" s="251">
        <f t="shared" ref="AH114:AI114" si="699">SUM(AH98:AH112)</f>
        <v>29280</v>
      </c>
      <c r="AI114" s="251">
        <f t="shared" si="699"/>
        <v>30030.352999999996</v>
      </c>
      <c r="AJ114" s="1121">
        <f t="shared" ref="AJ114:AK114" si="700">AJ98+AJ100+AJ102+AJ104+AJ106+AJ108+AJ110+AJ112</f>
        <v>3720</v>
      </c>
      <c r="AK114" s="1121">
        <f t="shared" si="700"/>
        <v>4723.71</v>
      </c>
      <c r="AL114" s="793">
        <f t="shared" ref="AL114:AO114" si="701">SUM(AL98:AL112)</f>
        <v>11040</v>
      </c>
      <c r="AM114" s="793">
        <f t="shared" si="701"/>
        <v>12544.081000000002</v>
      </c>
      <c r="AN114" s="251">
        <f t="shared" si="701"/>
        <v>33000</v>
      </c>
      <c r="AO114" s="251">
        <f t="shared" si="701"/>
        <v>34754.062999999995</v>
      </c>
      <c r="AP114" s="1121">
        <f t="shared" ref="AP114:AQ114" si="702">AP98+AP100+AP102+AP104+AP106+AP108+AP110+AP112</f>
        <v>3720</v>
      </c>
      <c r="AQ114" s="1121">
        <f t="shared" si="702"/>
        <v>5086.8159999999998</v>
      </c>
      <c r="AR114" s="251">
        <f t="shared" ref="AR114:AS114" si="703">SUM(AR98:AR112)</f>
        <v>36720</v>
      </c>
      <c r="AS114" s="251">
        <f t="shared" si="703"/>
        <v>39840.878999999994</v>
      </c>
      <c r="AT114" s="1121">
        <f t="shared" ref="AT114:AU114" si="704">AT98+AT100+AT102+AT104+AT106+AT108+AT110+AT112</f>
        <v>3360</v>
      </c>
      <c r="AU114" s="1121">
        <f t="shared" si="704"/>
        <v>3436.0370000000003</v>
      </c>
      <c r="AV114" s="251">
        <f t="shared" ref="AV114:AW114" si="705">SUM(AV98:AV112)</f>
        <v>40080</v>
      </c>
      <c r="AW114" s="251">
        <f t="shared" si="705"/>
        <v>43276.91599999999</v>
      </c>
      <c r="AX114" s="1121">
        <f t="shared" ref="AX114:AY114" si="706">AX98+AX100+AX102+AX104+AX106+AX108+AX110+AX112</f>
        <v>3720</v>
      </c>
      <c r="AY114" s="1121">
        <f t="shared" si="706"/>
        <v>3765.143</v>
      </c>
      <c r="AZ114" s="793">
        <f t="shared" ref="AZ114:BE114" si="707">SUM(AZ98:AZ112)</f>
        <v>10800</v>
      </c>
      <c r="BA114" s="793">
        <f t="shared" si="707"/>
        <v>12287.996000000001</v>
      </c>
      <c r="BB114" s="517">
        <f t="shared" si="707"/>
        <v>21840</v>
      </c>
      <c r="BC114" s="517">
        <f t="shared" si="707"/>
        <v>24832.077000000001</v>
      </c>
      <c r="BD114" s="251">
        <f t="shared" si="707"/>
        <v>43800</v>
      </c>
      <c r="BE114" s="251">
        <f t="shared" si="707"/>
        <v>47042.058999999994</v>
      </c>
      <c r="BF114" s="114"/>
    </row>
    <row r="115" spans="1:58" ht="20.399999999999999" x14ac:dyDescent="0.3">
      <c r="B115" s="1024" t="s">
        <v>325</v>
      </c>
      <c r="C115" s="1024"/>
      <c r="D115" s="1025"/>
      <c r="E115" s="1024"/>
      <c r="F115" s="1025"/>
      <c r="G115" s="1024"/>
      <c r="H115" s="1024"/>
      <c r="I115" s="1024"/>
      <c r="J115" s="1025"/>
      <c r="K115" s="1024"/>
      <c r="L115" s="1024"/>
      <c r="M115" s="1024"/>
      <c r="N115" s="1025"/>
      <c r="O115" s="1024"/>
      <c r="P115" s="1024"/>
      <c r="Q115" s="1024"/>
      <c r="R115" s="1025"/>
      <c r="S115" s="1024"/>
      <c r="T115" s="1024"/>
      <c r="U115" s="1024"/>
      <c r="V115" s="1025"/>
      <c r="W115" s="1024"/>
      <c r="X115" s="1024"/>
      <c r="Y115" s="1024"/>
      <c r="Z115" s="1024"/>
      <c r="AA115" s="1024"/>
      <c r="AB115" s="1025"/>
      <c r="AC115" s="1024"/>
      <c r="AD115" s="1024"/>
      <c r="AE115" s="1024"/>
      <c r="AF115" s="1025"/>
      <c r="AG115" s="1024"/>
      <c r="AH115" s="1024"/>
      <c r="AI115" s="1024"/>
      <c r="AJ115" s="1025"/>
      <c r="AK115" s="1024"/>
      <c r="AL115" s="1024"/>
      <c r="AM115" s="1024"/>
      <c r="AN115" s="1024"/>
      <c r="AO115" s="1024"/>
      <c r="AP115" s="1025"/>
      <c r="AQ115" s="1024"/>
      <c r="AR115" s="1024"/>
      <c r="AS115" s="1024"/>
      <c r="AT115" s="1025"/>
      <c r="AU115" s="1024"/>
      <c r="AV115" s="1024"/>
      <c r="AW115" s="1024"/>
      <c r="AX115" s="1025"/>
      <c r="AY115" s="1024"/>
      <c r="AZ115" s="1024"/>
      <c r="BA115" s="1024"/>
      <c r="BB115" s="1024"/>
      <c r="BC115" s="1024"/>
      <c r="BD115" s="1024"/>
      <c r="BE115" s="1024"/>
      <c r="BF115" s="114"/>
    </row>
    <row r="116" spans="1:58" x14ac:dyDescent="0.3">
      <c r="B116" s="1026" t="s">
        <v>110</v>
      </c>
      <c r="C116" s="156" t="s">
        <v>324</v>
      </c>
      <c r="D116" s="259">
        <v>0.45109712118113005</v>
      </c>
      <c r="E116" s="259">
        <v>0.45114771185106584</v>
      </c>
      <c r="F116" s="259">
        <v>0.4079878357892866</v>
      </c>
      <c r="G116" s="259">
        <v>0.44455763934059872</v>
      </c>
      <c r="H116" s="376">
        <v>0.42920449898390028</v>
      </c>
      <c r="I116" s="376">
        <v>0.45394868590390147</v>
      </c>
      <c r="J116" s="259">
        <v>0.40265163675865484</v>
      </c>
      <c r="K116" s="259">
        <v>0.45626193471352416</v>
      </c>
      <c r="L116" s="377">
        <v>0.42044655375237644</v>
      </c>
      <c r="M116" s="377">
        <v>0.45639712535576715</v>
      </c>
      <c r="N116" s="259">
        <v>0.40260587158869787</v>
      </c>
      <c r="O116" s="259">
        <v>0.45378775596827459</v>
      </c>
      <c r="P116" s="376">
        <v>0.41598199068581082</v>
      </c>
      <c r="Q116" s="376">
        <v>0.45757416911611182</v>
      </c>
      <c r="R116" s="259">
        <v>0.40266488037444587</v>
      </c>
      <c r="S116" s="259">
        <v>0.45584406404210576</v>
      </c>
      <c r="T116" s="376">
        <v>0.41331647061482396</v>
      </c>
      <c r="U116" s="376">
        <v>0.45850791535025492</v>
      </c>
      <c r="V116" s="259">
        <v>0.42094117765032152</v>
      </c>
      <c r="W116" s="259">
        <v>0.46695122630699809</v>
      </c>
      <c r="X116" s="377">
        <v>0.4064403462138651</v>
      </c>
      <c r="Y116" s="377">
        <v>0.46449484026625404</v>
      </c>
      <c r="Z116" s="658">
        <v>0.41404124851922108</v>
      </c>
      <c r="AA116" s="658">
        <v>0.46128873565114553</v>
      </c>
      <c r="AB116" s="259">
        <v>0.40842070090372701</v>
      </c>
      <c r="AC116" s="259">
        <v>0.46266158223082643</v>
      </c>
      <c r="AD116" s="376">
        <v>0.41316499839907639</v>
      </c>
      <c r="AE116" s="376">
        <v>0.46190947286915224</v>
      </c>
      <c r="AF116" s="259">
        <v>0.40795534247141441</v>
      </c>
      <c r="AG116" s="259">
        <v>0.4786438833592116</v>
      </c>
      <c r="AH116" s="376">
        <v>0.41248119786932752</v>
      </c>
      <c r="AI116" s="376">
        <v>0.46466131751422107</v>
      </c>
      <c r="AJ116" s="259">
        <v>0.40060388348633708</v>
      </c>
      <c r="AK116" s="259">
        <v>0.53187481759901445</v>
      </c>
      <c r="AL116" s="377">
        <f>((AB116*$AB$132)+(AF116*$AF$132)+(AJ116*$AJ$132))/$AL$132</f>
        <v>0.40563610595351324</v>
      </c>
      <c r="AM116" s="377">
        <f>((AK116*$AK$132)+(AG116*$AG$132)+(AC116*$AC$132))/$AM$132</f>
        <v>0.49359008431868029</v>
      </c>
      <c r="AN116" s="376">
        <f>((AH116*$AH$132)+(AJ116*$AJ$132))/$AN$132</f>
        <v>0.4110644392860654</v>
      </c>
      <c r="AO116" s="376">
        <f>((AI116*$AI$132)+(AK116*$AK$132))/$AO$132</f>
        <v>0.47235179988621195</v>
      </c>
      <c r="AP116" s="259">
        <v>0.40060591130283679</v>
      </c>
      <c r="AQ116" s="259">
        <v>0.52437088787928665</v>
      </c>
      <c r="AR116" s="376">
        <f>((AN116*$AN$132)+(AP116*$AP$132))/$AR$132</f>
        <v>0.40993451886213045</v>
      </c>
      <c r="AS116" s="376">
        <f>((AO116*$AO$132)+(AQ116*$AQ$132))/$AS$132</f>
        <v>0.47756310767297683</v>
      </c>
      <c r="AT116" s="259">
        <v>0.40074182391379265</v>
      </c>
      <c r="AU116" s="259">
        <v>0.5383588488272617</v>
      </c>
      <c r="AV116" s="376">
        <f>((AR116*$AR$132)+(AT116*$AT$132))/$AV$132</f>
        <v>0.4091251857850603</v>
      </c>
      <c r="AW116" s="376">
        <f>((AS116*$AS$132)+(AU116*$AU$132))/$AW$132</f>
        <v>0.48213298994819526</v>
      </c>
      <c r="AX116" s="259">
        <v>0.40060591130283679</v>
      </c>
      <c r="AY116" s="259">
        <v>0.53557730979054718</v>
      </c>
      <c r="AZ116" s="377">
        <f>((AX116*$AX$132)+(AP116*$AP$132)+(AT116*$AT$132))/$AZ$132</f>
        <v>0.40064788300234516</v>
      </c>
      <c r="BA116" s="377">
        <f>((AY116*$AY$132)+(AQ116*$AQ$132)+(AU116*$AU$132))/$BA$132</f>
        <v>0.53245801846652685</v>
      </c>
      <c r="BB116" s="658">
        <f>((AF116*$AF$132)+(AB116*$AB$132)+(AJ116*$AJ$132)+(AT116*$AT$132)+(AP116*$AP$132)+(AX116*$AX$132))/$BB$132</f>
        <v>0.40315503047152956</v>
      </c>
      <c r="BC116" s="658">
        <f>((AG116*$AG$132)+(AC116*$AC$132)+(AK116*$AK$132)+(AU116*$AU$132)+(AQ116*$AQ$132)+(AY116*$AY$132))/$BC$132</f>
        <v>0.51319234605933772</v>
      </c>
      <c r="BD116" s="376">
        <f>((AH116*$AH$132)+(AJ116*$AJ$132)+(AP116*$AP$132)+(AT116*$AT$132)+(AX116*$AX$132))/$BD$132</f>
        <v>0.40836109533992809</v>
      </c>
      <c r="BE116" s="376">
        <v>0.48234592337779159</v>
      </c>
      <c r="BF116" s="114"/>
    </row>
    <row r="117" spans="1:58" x14ac:dyDescent="0.3">
      <c r="A117" s="92"/>
      <c r="B117" s="1026" t="s">
        <v>1054</v>
      </c>
      <c r="C117" s="156" t="s">
        <v>324</v>
      </c>
      <c r="D117" s="259">
        <v>3.192215813727552</v>
      </c>
      <c r="E117" s="259">
        <v>3.1723845392693262</v>
      </c>
      <c r="F117" s="259">
        <v>3.1878516431682868</v>
      </c>
      <c r="G117" s="259">
        <v>3.1818078008422854</v>
      </c>
      <c r="H117" s="376">
        <v>3.1899995130770118</v>
      </c>
      <c r="I117" s="376">
        <v>3.1803815043806209</v>
      </c>
      <c r="J117" s="259">
        <v>3.192215813727552</v>
      </c>
      <c r="K117" s="259">
        <v>3.2647017657131814</v>
      </c>
      <c r="L117" s="377">
        <v>3.1907305167461972</v>
      </c>
      <c r="M117" s="377">
        <v>3.2105481417364601</v>
      </c>
      <c r="N117" s="259">
        <v>3.1803553389763484</v>
      </c>
      <c r="O117" s="259">
        <v>3.2853502631864768</v>
      </c>
      <c r="P117" s="376">
        <v>3.1881341678479123</v>
      </c>
      <c r="Q117" s="376">
        <v>3.2306404783771461</v>
      </c>
      <c r="R117" s="259">
        <v>3.1903155317778462</v>
      </c>
      <c r="S117" s="259">
        <v>3.2658589783444292</v>
      </c>
      <c r="T117" s="376">
        <v>3.1885707842910755</v>
      </c>
      <c r="U117" s="376">
        <v>3.2378773737631281</v>
      </c>
      <c r="V117" s="259">
        <v>3.2564569263786973</v>
      </c>
      <c r="W117" s="259">
        <v>3.3642117105627252</v>
      </c>
      <c r="X117" s="377">
        <v>3.2001184621482972</v>
      </c>
      <c r="Y117" s="377">
        <v>3.3050153189900842</v>
      </c>
      <c r="Z117" s="658">
        <v>3.1950238028229103</v>
      </c>
      <c r="AA117" s="658">
        <v>3.2581282360445876</v>
      </c>
      <c r="AB117" s="259">
        <v>3.1924522647738316</v>
      </c>
      <c r="AC117" s="259">
        <v>3.4209968090537459</v>
      </c>
      <c r="AD117" s="376">
        <v>3.1946228969541921</v>
      </c>
      <c r="AE117" s="376">
        <v>3.2772158503361757</v>
      </c>
      <c r="AF117" s="259">
        <v>3.1917150252548843</v>
      </c>
      <c r="AG117" s="259">
        <v>3.2177098992083213</v>
      </c>
      <c r="AH117" s="376">
        <v>3.1942412202684305</v>
      </c>
      <c r="AI117" s="376">
        <v>3.269922788543159</v>
      </c>
      <c r="AJ117" s="259">
        <v>3.1923345249312436</v>
      </c>
      <c r="AK117" s="259">
        <v>3.285625371337646</v>
      </c>
      <c r="AL117" s="377">
        <f t="shared" ref="AL117:AL130" si="708">((AB117*$AB$132)+(AF117*$AF$132)+(AJ117*$AJ$132))/$AL$132</f>
        <v>3.1921719745925987</v>
      </c>
      <c r="AM117" s="377">
        <f t="shared" ref="AM117:AM130" si="709">((AK117*$AK$132)+(AG117*$AG$132)+(AC117*$AC$132))/$AM$132</f>
        <v>3.2991106642235288</v>
      </c>
      <c r="AN117" s="376">
        <f t="shared" ref="AN117:AN129" si="710">((AH117*$AH$132)+(AJ117*$AJ$132))/$AN$132</f>
        <v>3.1940137844275056</v>
      </c>
      <c r="AO117" s="376">
        <f t="shared" ref="AO117:AO129" si="711">((AI117*$AI$132)+(AK117*$AK$132))/$AO$132</f>
        <v>3.2717194579030848</v>
      </c>
      <c r="AP117" s="259">
        <v>3.2065088900288075</v>
      </c>
      <c r="AQ117" s="259">
        <v>3.2321953626952951</v>
      </c>
      <c r="AR117" s="376">
        <f t="shared" ref="AR117:AR128" si="712">((AN117*$AN$132)+(AP117*$AP$132))/$AR$132</f>
        <v>3.1953637330092541</v>
      </c>
      <c r="AS117" s="376">
        <f t="shared" ref="AS117:AS128" si="713">((AO117*$AO$132)+(AQ117*$AQ$132))/$AS$132</f>
        <v>3.2677599070330539</v>
      </c>
      <c r="AT117" s="259">
        <v>3.1953335496254298</v>
      </c>
      <c r="AU117" s="259">
        <v>3.1833181102837531</v>
      </c>
      <c r="AV117" s="376">
        <f t="shared" ref="AV117:AV129" si="714">((AR117*$AR$132)+(AT117*$AT$132))/$AV$132</f>
        <v>3.1953610756371726</v>
      </c>
      <c r="AW117" s="376">
        <f t="shared" ref="AW117:AW129" si="715">((AS117*$AS$132)+(AU117*$AU$132))/$AW$132</f>
        <v>3.2614126027165731</v>
      </c>
      <c r="AX117" s="259">
        <v>3.2065088900288075</v>
      </c>
      <c r="AY117" s="259">
        <v>3.1918953357429838</v>
      </c>
      <c r="AZ117" s="377">
        <f t="shared" ref="AZ117:AZ129" si="716">((AX117*$AX$132)+(AP117*$AP$132)+(AT117*$AT$132))/$AZ$132</f>
        <v>3.2030577898989847</v>
      </c>
      <c r="BA117" s="377">
        <f t="shared" ref="BA117:BA129" si="717">((AY117*$AY$132)+(AQ117*$AQ$132)+(AU117*$AU$132))/$BA$132</f>
        <v>3.2035159095456849</v>
      </c>
      <c r="BB117" s="658">
        <f t="shared" ref="BB117:BB129" si="718">((AF117*$AF$132)+(AB117*$AB$132)+(AJ117*$AJ$132)+(AT117*$AT$132)+(AP117*$AP$132)+(AX117*$AX$132))/$BB$132</f>
        <v>3.197586433754203</v>
      </c>
      <c r="BC117" s="658">
        <f t="shared" ref="BC117:BC129" si="719">((AG117*$AG$132)+(AC117*$AC$132)+(AK117*$AK$132)+(AU117*$AU$132)+(AQ117*$AQ$132)+(AY117*$AY$132))/$BC$132</f>
        <v>3.250899370175814</v>
      </c>
      <c r="BD117" s="376">
        <f t="shared" ref="BD117:BD129" si="720">((AH117*$AH$132)+(AJ117*$AJ$132)+(AP117*$AP$132)+(AT117*$AT$132)+(AX117*$AX$132))/$BD$132</f>
        <v>3.1963609188137867</v>
      </c>
      <c r="BE117" s="376">
        <v>3.2538862539889508</v>
      </c>
      <c r="BF117" s="114"/>
    </row>
    <row r="118" spans="1:58" x14ac:dyDescent="0.3">
      <c r="A118" s="92"/>
      <c r="B118" s="1026" t="s">
        <v>111</v>
      </c>
      <c r="C118" s="156" t="s">
        <v>324</v>
      </c>
      <c r="D118" s="259">
        <v>0.71546333630368797</v>
      </c>
      <c r="E118" s="259">
        <v>0.62286287433029197</v>
      </c>
      <c r="F118" s="259">
        <v>0.71547092574170856</v>
      </c>
      <c r="G118" s="259">
        <v>0.65010970354619801</v>
      </c>
      <c r="H118" s="376">
        <v>0.71546719052436825</v>
      </c>
      <c r="I118" s="376">
        <v>0.63381872997401234</v>
      </c>
      <c r="J118" s="259">
        <v>0.71546333630368797</v>
      </c>
      <c r="K118" s="259">
        <v>0.67309653523905144</v>
      </c>
      <c r="L118" s="377">
        <v>0.71546591928462988</v>
      </c>
      <c r="M118" s="377">
        <v>0.64679160616154463</v>
      </c>
      <c r="N118" s="259">
        <v>0.71546623834529244</v>
      </c>
      <c r="O118" s="259">
        <v>0.66802715128919277</v>
      </c>
      <c r="P118" s="376">
        <v>0.71546599912835096</v>
      </c>
      <c r="Q118" s="376">
        <v>0.65188612968933846</v>
      </c>
      <c r="R118" s="259">
        <v>0.71546623834529244</v>
      </c>
      <c r="S118" s="259">
        <v>0.67781359168400168</v>
      </c>
      <c r="T118" s="376">
        <v>0.71546604700942606</v>
      </c>
      <c r="U118" s="376">
        <v>0.65664189750609903</v>
      </c>
      <c r="V118" s="259">
        <v>0.70483669648078551</v>
      </c>
      <c r="W118" s="259">
        <v>0.6940307299822206</v>
      </c>
      <c r="X118" s="377">
        <v>0.71325682456985473</v>
      </c>
      <c r="Y118" s="377">
        <v>0.67721980243658286</v>
      </c>
      <c r="Z118" s="658">
        <v>0.71445565823443635</v>
      </c>
      <c r="AA118" s="658">
        <v>0.66229798755762526</v>
      </c>
      <c r="AB118" s="259">
        <v>0.71542243280221729</v>
      </c>
      <c r="AC118" s="259">
        <v>0.71608064461968568</v>
      </c>
      <c r="AD118" s="376">
        <v>0.71460637955006678</v>
      </c>
      <c r="AE118" s="376">
        <v>0.66836364869930776</v>
      </c>
      <c r="AF118" s="259">
        <v>0.715414843878591</v>
      </c>
      <c r="AG118" s="259">
        <v>0.70509232950234169</v>
      </c>
      <c r="AH118" s="376">
        <v>0.714712495643683</v>
      </c>
      <c r="AI118" s="376">
        <v>0.67260553797194655</v>
      </c>
      <c r="AJ118" s="259">
        <v>0.71547092574170856</v>
      </c>
      <c r="AK118" s="259">
        <v>0.64663620202656824</v>
      </c>
      <c r="AL118" s="377">
        <f t="shared" si="708"/>
        <v>0.71543628817970273</v>
      </c>
      <c r="AM118" s="377">
        <f t="shared" si="709"/>
        <v>0.68685016341956895</v>
      </c>
      <c r="AN118" s="376">
        <f t="shared" si="710"/>
        <v>0.71480296326258519</v>
      </c>
      <c r="AO118" s="376">
        <f t="shared" si="711"/>
        <v>0.66963415989985842</v>
      </c>
      <c r="AP118" s="259">
        <v>0.71547454738345528</v>
      </c>
      <c r="AQ118" s="259">
        <v>0.65540026929608652</v>
      </c>
      <c r="AR118" s="376">
        <f t="shared" si="712"/>
        <v>0.71487551999483079</v>
      </c>
      <c r="AS118" s="376">
        <f t="shared" si="713"/>
        <v>0.66820819901124628</v>
      </c>
      <c r="AT118" s="259">
        <v>0.71544660790393322</v>
      </c>
      <c r="AU118" s="259">
        <v>0.66606868517626361</v>
      </c>
      <c r="AV118" s="376">
        <f t="shared" si="714"/>
        <v>0.71492579908462417</v>
      </c>
      <c r="AW118" s="376">
        <f t="shared" si="715"/>
        <v>0.66804737645745493</v>
      </c>
      <c r="AX118" s="259">
        <v>0.71547454738345528</v>
      </c>
      <c r="AY118" s="259">
        <v>0.64567861681164163</v>
      </c>
      <c r="AZ118" s="377">
        <f t="shared" si="716"/>
        <v>0.7154659192846301</v>
      </c>
      <c r="BA118" s="377">
        <f t="shared" si="717"/>
        <v>0.65483260597670589</v>
      </c>
      <c r="BB118" s="658">
        <f t="shared" si="718"/>
        <v>0.71545102629559265</v>
      </c>
      <c r="BC118" s="658">
        <f t="shared" si="719"/>
        <v>0.67070275154776238</v>
      </c>
      <c r="BD118" s="376">
        <f t="shared" si="720"/>
        <v>0.71497501610806835</v>
      </c>
      <c r="BE118" s="376">
        <v>0.66782770051424645</v>
      </c>
      <c r="BF118" s="114"/>
    </row>
    <row r="119" spans="1:58" x14ac:dyDescent="0.3">
      <c r="A119" s="92"/>
      <c r="B119" s="1026" t="s">
        <v>263</v>
      </c>
      <c r="C119" s="156" t="s">
        <v>324</v>
      </c>
      <c r="D119" s="259">
        <v>0.46313325568042807</v>
      </c>
      <c r="E119" s="259">
        <v>0.46845686070471748</v>
      </c>
      <c r="F119" s="259">
        <v>0.46314334621557507</v>
      </c>
      <c r="G119" s="259">
        <v>0.44453085597148223</v>
      </c>
      <c r="H119" s="376">
        <v>0.46313838005843</v>
      </c>
      <c r="I119" s="376">
        <v>0.45569641951194401</v>
      </c>
      <c r="J119" s="259">
        <v>0.46313325568042807</v>
      </c>
      <c r="K119" s="259">
        <v>0.40611159117348206</v>
      </c>
      <c r="L119" s="377">
        <v>0.4631366898819998</v>
      </c>
      <c r="M119" s="377">
        <v>0.4381209303926662</v>
      </c>
      <c r="N119" s="259">
        <v>0.46405383049987414</v>
      </c>
      <c r="O119" s="259">
        <v>0.41397634733447125</v>
      </c>
      <c r="P119" s="376">
        <v>0.46336620084418401</v>
      </c>
      <c r="Q119" s="376">
        <v>0.4316055461142137</v>
      </c>
      <c r="R119" s="259">
        <v>0.46405383049987414</v>
      </c>
      <c r="S119" s="259">
        <v>0.45626143646734707</v>
      </c>
      <c r="T119" s="376">
        <v>0.46350383510610671</v>
      </c>
      <c r="U119" s="376">
        <v>0.43630030721237612</v>
      </c>
      <c r="V119" s="259">
        <v>0.52703531913583501</v>
      </c>
      <c r="W119" s="259">
        <v>0.46106043435401112</v>
      </c>
      <c r="X119" s="377">
        <v>0.47714490915252067</v>
      </c>
      <c r="Y119" s="377">
        <v>0.44238769714422976</v>
      </c>
      <c r="Z119" s="658">
        <v>0.46954291511848451</v>
      </c>
      <c r="AA119" s="658">
        <v>0.44029737320444129</v>
      </c>
      <c r="AB119" s="259">
        <v>0.46307127968396267</v>
      </c>
      <c r="AC119" s="259">
        <v>0.50412724856183933</v>
      </c>
      <c r="AD119" s="376">
        <v>0.46853397938570995</v>
      </c>
      <c r="AE119" s="376">
        <v>0.44751881268805443</v>
      </c>
      <c r="AF119" s="259">
        <v>0.57247952640385169</v>
      </c>
      <c r="AG119" s="259">
        <v>0.41100269808060685</v>
      </c>
      <c r="AH119" s="376">
        <v>0.482177494639496</v>
      </c>
      <c r="AI119" s="376">
        <v>0.44290958853139728</v>
      </c>
      <c r="AJ119" s="259">
        <v>0.5721598604484196</v>
      </c>
      <c r="AK119" s="259">
        <v>0.40911586333078725</v>
      </c>
      <c r="AL119" s="377">
        <f t="shared" si="708"/>
        <v>0.53552319964683137</v>
      </c>
      <c r="AM119" s="377">
        <f t="shared" si="709"/>
        <v>0.43626566334189476</v>
      </c>
      <c r="AN119" s="376">
        <f t="shared" si="710"/>
        <v>0.49291083763196519</v>
      </c>
      <c r="AO119" s="376">
        <f t="shared" si="711"/>
        <v>0.43904295388789066</v>
      </c>
      <c r="AP119" s="259">
        <v>0.57072228492426702</v>
      </c>
      <c r="AQ119" s="259">
        <v>0.43163584280385348</v>
      </c>
      <c r="AR119" s="376">
        <f t="shared" si="712"/>
        <v>0.50131744548849111</v>
      </c>
      <c r="AS119" s="376">
        <f t="shared" si="713"/>
        <v>0.43830090443721953</v>
      </c>
      <c r="AT119" s="259">
        <v>0.56780703997875381</v>
      </c>
      <c r="AU119" s="259">
        <v>0.45703174170008076</v>
      </c>
      <c r="AV119" s="376">
        <f t="shared" si="714"/>
        <v>0.50717124879691899</v>
      </c>
      <c r="AW119" s="376">
        <f t="shared" si="715"/>
        <v>0.43970886031673295</v>
      </c>
      <c r="AX119" s="259">
        <v>0.46243987511974732</v>
      </c>
      <c r="AY119" s="259">
        <v>0.43053082261200826</v>
      </c>
      <c r="AZ119" s="377">
        <f t="shared" si="716"/>
        <v>0.53240036701245919</v>
      </c>
      <c r="BA119" s="377">
        <f t="shared" si="717"/>
        <v>0.43840957387203389</v>
      </c>
      <c r="BB119" s="658">
        <f t="shared" si="718"/>
        <v>0.53396994439755163</v>
      </c>
      <c r="BC119" s="658">
        <f t="shared" si="719"/>
        <v>0.43734690154715883</v>
      </c>
      <c r="BD119" s="376">
        <f t="shared" si="720"/>
        <v>0.50315930913049767</v>
      </c>
      <c r="BE119" s="376">
        <v>0.43901031324357825</v>
      </c>
      <c r="BF119" s="114"/>
    </row>
    <row r="120" spans="1:58" x14ac:dyDescent="0.3">
      <c r="A120" s="92"/>
      <c r="B120" s="1026" t="s">
        <v>1371</v>
      </c>
      <c r="C120" s="156" t="s">
        <v>324</v>
      </c>
      <c r="D120" s="259">
        <v>0.1893044300675375</v>
      </c>
      <c r="E120" s="259">
        <v>0.16966471173547987</v>
      </c>
      <c r="F120" s="259">
        <v>0.19230797205670533</v>
      </c>
      <c r="G120" s="259">
        <v>0.16833085588563615</v>
      </c>
      <c r="H120" s="376">
        <v>0.19082974901970018</v>
      </c>
      <c r="I120" s="376">
        <v>0.16894915478000069</v>
      </c>
      <c r="J120" s="259">
        <v>0.18930443006753755</v>
      </c>
      <c r="K120" s="259">
        <v>0.15770875033244533</v>
      </c>
      <c r="L120" s="377">
        <v>0.19032665222620476</v>
      </c>
      <c r="M120" s="377">
        <v>0.16496776209933423</v>
      </c>
      <c r="N120" s="259">
        <v>0.19579131754254719</v>
      </c>
      <c r="O120" s="259">
        <v>0.14626592407130659</v>
      </c>
      <c r="P120" s="376">
        <v>0.19169416400174408</v>
      </c>
      <c r="Q120" s="376">
        <v>0.1599251477680364</v>
      </c>
      <c r="R120" s="259">
        <v>0.19579131754254719</v>
      </c>
      <c r="S120" s="259">
        <v>0.15213667429949701</v>
      </c>
      <c r="T120" s="376">
        <v>0.19251424018505883</v>
      </c>
      <c r="U120" s="376">
        <v>0.15835102679857527</v>
      </c>
      <c r="V120" s="259">
        <v>0.19603005814722854</v>
      </c>
      <c r="W120" s="259">
        <v>0.16595659005805061</v>
      </c>
      <c r="X120" s="377">
        <v>0.19584094120342202</v>
      </c>
      <c r="Y120" s="377">
        <v>0.15442848482668128</v>
      </c>
      <c r="Z120" s="658">
        <v>0.19284844150754898</v>
      </c>
      <c r="AA120" s="658">
        <v>0.15957816971832842</v>
      </c>
      <c r="AB120" s="259">
        <v>0.19778856129212369</v>
      </c>
      <c r="AC120" s="259">
        <v>0.14180085296024797</v>
      </c>
      <c r="AD120" s="376">
        <v>0.19361861211206977</v>
      </c>
      <c r="AE120" s="376">
        <v>0.15756832720239666</v>
      </c>
      <c r="AF120" s="259">
        <v>0.19800310945506483</v>
      </c>
      <c r="AG120" s="259">
        <v>0.16581460517423807</v>
      </c>
      <c r="AH120" s="376">
        <v>0.19419410532072928</v>
      </c>
      <c r="AI120" s="376">
        <v>0.15861683618222047</v>
      </c>
      <c r="AJ120" s="259">
        <v>0.1979120387270695</v>
      </c>
      <c r="AK120" s="259">
        <v>0.17447522101942461</v>
      </c>
      <c r="AL120" s="377">
        <f t="shared" si="708"/>
        <v>0.19790017710794192</v>
      </c>
      <c r="AM120" s="377">
        <f t="shared" si="709"/>
        <v>0.16227914208488811</v>
      </c>
      <c r="AN120" s="376">
        <f t="shared" si="710"/>
        <v>0.19463759059825744</v>
      </c>
      <c r="AO120" s="376">
        <f t="shared" si="711"/>
        <v>0.16043133221181138</v>
      </c>
      <c r="AP120" s="259">
        <v>0.19490311377492855</v>
      </c>
      <c r="AQ120" s="259">
        <v>0.19308497418719014</v>
      </c>
      <c r="AR120" s="376">
        <f t="shared" si="712"/>
        <v>0.19466627724142843</v>
      </c>
      <c r="AS120" s="376">
        <f t="shared" si="713"/>
        <v>0.1637025963815173</v>
      </c>
      <c r="AT120" s="259">
        <v>0.20543836713428287</v>
      </c>
      <c r="AU120" s="259">
        <v>0.20361004939324798</v>
      </c>
      <c r="AV120" s="376">
        <f t="shared" si="714"/>
        <v>0.19561466166062819</v>
      </c>
      <c r="AW120" s="376">
        <f t="shared" si="715"/>
        <v>0.16670235193519337</v>
      </c>
      <c r="AX120" s="259">
        <v>0.19519358041244705</v>
      </c>
      <c r="AY120" s="259">
        <v>0.16107565702012108</v>
      </c>
      <c r="AZ120" s="377">
        <f t="shared" si="716"/>
        <v>0.19825692940229664</v>
      </c>
      <c r="BA120" s="377">
        <f t="shared" si="717"/>
        <v>0.18425936837602963</v>
      </c>
      <c r="BB120" s="658">
        <f t="shared" si="718"/>
        <v>0.19807762093499812</v>
      </c>
      <c r="BC120" s="658">
        <f t="shared" si="719"/>
        <v>0.1733644276377275</v>
      </c>
      <c r="BD120" s="376">
        <f t="shared" si="720"/>
        <v>0.19557689504575612</v>
      </c>
      <c r="BE120" s="376">
        <v>0.16619220000667892</v>
      </c>
      <c r="BF120" s="114"/>
    </row>
    <row r="121" spans="1:58" x14ac:dyDescent="0.3">
      <c r="A121" s="92"/>
      <c r="B121" s="1026" t="s">
        <v>95</v>
      </c>
      <c r="C121" s="156" t="s">
        <v>324</v>
      </c>
      <c r="D121" s="259">
        <v>0.14480159037582996</v>
      </c>
      <c r="E121" s="259">
        <v>0.15534894228649521</v>
      </c>
      <c r="F121" s="259">
        <v>0.14587004957069519</v>
      </c>
      <c r="G121" s="259">
        <v>0.15242590717043064</v>
      </c>
      <c r="H121" s="376">
        <v>0.14534419676036461</v>
      </c>
      <c r="I121" s="376">
        <v>0.15378591312222678</v>
      </c>
      <c r="J121" s="259">
        <v>0.14480159037582996</v>
      </c>
      <c r="K121" s="259">
        <v>0.14231140671574194</v>
      </c>
      <c r="L121" s="377">
        <v>0.14516522859649145</v>
      </c>
      <c r="M121" s="377">
        <v>0.1497216835483908</v>
      </c>
      <c r="N121" s="259">
        <v>0.14874037718916616</v>
      </c>
      <c r="O121" s="259">
        <v>0.14718654167285955</v>
      </c>
      <c r="P121" s="376">
        <v>0.14605989597624194</v>
      </c>
      <c r="Q121" s="376">
        <v>0.14903914793463705</v>
      </c>
      <c r="R121" s="259">
        <v>0.14874037718916616</v>
      </c>
      <c r="S121" s="259">
        <v>0.15125560159567672</v>
      </c>
      <c r="T121" s="376">
        <v>0.14659641450810806</v>
      </c>
      <c r="U121" s="376">
        <v>0.14948280867398675</v>
      </c>
      <c r="V121" s="259">
        <v>0.17370819699742648</v>
      </c>
      <c r="W121" s="259">
        <v>0.15749448528828525</v>
      </c>
      <c r="X121" s="377">
        <v>0.15393008768941013</v>
      </c>
      <c r="Y121" s="377">
        <v>0.15178907831632449</v>
      </c>
      <c r="Z121" s="658">
        <v>0.14917356544723243</v>
      </c>
      <c r="AA121" s="658">
        <v>0.15077564913879335</v>
      </c>
      <c r="AB121" s="259">
        <v>0.14402359324701552</v>
      </c>
      <c r="AC121" s="259">
        <v>0.148510300949108</v>
      </c>
      <c r="AD121" s="376">
        <v>0.14837067859920677</v>
      </c>
      <c r="AE121" s="376">
        <v>0.15052012427850206</v>
      </c>
      <c r="AF121" s="259">
        <v>0.14480159037582999</v>
      </c>
      <c r="AG121" s="259">
        <v>0.15350461409538579</v>
      </c>
      <c r="AH121" s="376">
        <v>0.14790221303223783</v>
      </c>
      <c r="AI121" s="376">
        <v>0.15090161222116291</v>
      </c>
      <c r="AJ121" s="259">
        <v>0.14587004957069521</v>
      </c>
      <c r="AK121" s="259">
        <v>0.16674585660171906</v>
      </c>
      <c r="AL121" s="377">
        <f t="shared" si="708"/>
        <v>0.14489941790905986</v>
      </c>
      <c r="AM121" s="377">
        <f t="shared" si="709"/>
        <v>0.15693861779308288</v>
      </c>
      <c r="AN121" s="376">
        <f t="shared" si="710"/>
        <v>0.14765981100987027</v>
      </c>
      <c r="AO121" s="376">
        <f t="shared" si="711"/>
        <v>0.15271449031786166</v>
      </c>
      <c r="AP121" s="259">
        <v>0.14365233692043758</v>
      </c>
      <c r="AQ121" s="259">
        <v>0.17423400552374882</v>
      </c>
      <c r="AR121" s="376">
        <f t="shared" si="712"/>
        <v>0.1472268507663923</v>
      </c>
      <c r="AS121" s="376">
        <f t="shared" si="713"/>
        <v>0.15487033005835796</v>
      </c>
      <c r="AT121" s="259">
        <v>0.14549895190462181</v>
      </c>
      <c r="AU121" s="259">
        <v>0.17860206119054559</v>
      </c>
      <c r="AV121" s="376">
        <f t="shared" si="714"/>
        <v>0.14707472500669705</v>
      </c>
      <c r="AW121" s="376">
        <f t="shared" si="715"/>
        <v>0.1566541921414932</v>
      </c>
      <c r="AX121" s="259">
        <v>0.14547072093208871</v>
      </c>
      <c r="AY121" s="259">
        <v>0.14731953450546598</v>
      </c>
      <c r="AZ121" s="377">
        <f t="shared" si="716"/>
        <v>0.14485101814498391</v>
      </c>
      <c r="BA121" s="377">
        <f t="shared" si="717"/>
        <v>0.16554584911730946</v>
      </c>
      <c r="BB121" s="658">
        <f t="shared" si="718"/>
        <v>0.14487534451275055</v>
      </c>
      <c r="BC121" s="658">
        <f t="shared" si="719"/>
        <v>0.16127950199439109</v>
      </c>
      <c r="BD121" s="376">
        <f t="shared" si="720"/>
        <v>0.14693086249940032</v>
      </c>
      <c r="BE121" s="376">
        <v>0.1558133696784551</v>
      </c>
      <c r="BF121" s="114"/>
    </row>
    <row r="122" spans="1:58" x14ac:dyDescent="0.3">
      <c r="A122" s="92"/>
      <c r="B122" s="1026" t="s">
        <v>51</v>
      </c>
      <c r="C122" s="156" t="s">
        <v>324</v>
      </c>
      <c r="D122" s="259">
        <v>0.12829089813435354</v>
      </c>
      <c r="E122" s="259">
        <v>0.14253984371018202</v>
      </c>
      <c r="F122" s="259">
        <v>0.12871788398279943</v>
      </c>
      <c r="G122" s="259">
        <v>0.13296519318283465</v>
      </c>
      <c r="H122" s="376">
        <v>0.12850773865440906</v>
      </c>
      <c r="I122" s="376">
        <v>0.13743032982893802</v>
      </c>
      <c r="J122" s="259">
        <v>0.12829089813435354</v>
      </c>
      <c r="K122" s="259">
        <v>0.12612222014861924</v>
      </c>
      <c r="L122" s="377">
        <v>0.12843621802576605</v>
      </c>
      <c r="M122" s="377">
        <v>0.13342482782321458</v>
      </c>
      <c r="N122" s="259">
        <v>0.13125070342362591</v>
      </c>
      <c r="O122" s="259">
        <v>0.13411268691730688</v>
      </c>
      <c r="P122" s="376">
        <v>0.12914053232515169</v>
      </c>
      <c r="Q122" s="376">
        <v>0.13361113693000554</v>
      </c>
      <c r="R122" s="259">
        <v>0.13125070342362591</v>
      </c>
      <c r="S122" s="259">
        <v>0.12932818675311417</v>
      </c>
      <c r="T122" s="376">
        <v>0.12956289898613813</v>
      </c>
      <c r="U122" s="376">
        <v>0.13274569304598088</v>
      </c>
      <c r="V122" s="259">
        <v>0.14663070466281203</v>
      </c>
      <c r="W122" s="259">
        <v>0.13945374923608714</v>
      </c>
      <c r="X122" s="377">
        <v>0.13444752855844858</v>
      </c>
      <c r="Y122" s="377">
        <v>0.13421670897708782</v>
      </c>
      <c r="Z122" s="658">
        <v>0.13118530472230697</v>
      </c>
      <c r="AA122" s="658">
        <v>0.13382828900223104</v>
      </c>
      <c r="AB122" s="259">
        <v>0.12432977430156765</v>
      </c>
      <c r="AC122" s="259">
        <v>0.14387932423293731</v>
      </c>
      <c r="AD122" s="376">
        <v>0.1301165193003547</v>
      </c>
      <c r="AE122" s="376">
        <v>0.13496545018094477</v>
      </c>
      <c r="AF122" s="259">
        <v>0.12829089813435357</v>
      </c>
      <c r="AG122" s="259">
        <v>0.13266609083223588</v>
      </c>
      <c r="AH122" s="376">
        <v>0.1298768948918014</v>
      </c>
      <c r="AI122" s="376">
        <v>0.13467737411413447</v>
      </c>
      <c r="AJ122" s="259">
        <v>0.12871788398279949</v>
      </c>
      <c r="AK122" s="259">
        <v>0.15384490470673423</v>
      </c>
      <c r="AL122" s="377">
        <f t="shared" si="708"/>
        <v>0.12710060156377967</v>
      </c>
      <c r="AM122" s="377">
        <f t="shared" si="709"/>
        <v>0.14350941588080915</v>
      </c>
      <c r="AN122" s="376">
        <f t="shared" si="710"/>
        <v>0.12973864489685519</v>
      </c>
      <c r="AO122" s="376">
        <f t="shared" si="711"/>
        <v>0.13687049835184001</v>
      </c>
      <c r="AP122" s="259">
        <v>0.12820140686461065</v>
      </c>
      <c r="AQ122" s="259">
        <v>0.15619216452598886</v>
      </c>
      <c r="AR122" s="376">
        <f t="shared" si="712"/>
        <v>0.12957256448363949</v>
      </c>
      <c r="AS122" s="376">
        <f t="shared" si="713"/>
        <v>0.13880615607425179</v>
      </c>
      <c r="AT122" s="259">
        <v>0.12896177154767149</v>
      </c>
      <c r="AU122" s="259">
        <v>0.15753519110231387</v>
      </c>
      <c r="AV122" s="376">
        <f t="shared" si="714"/>
        <v>0.1295187897278037</v>
      </c>
      <c r="AW122" s="376">
        <f t="shared" si="715"/>
        <v>0.14021397648373543</v>
      </c>
      <c r="AX122" s="259">
        <v>0.12820140686461065</v>
      </c>
      <c r="AY122" s="259">
        <v>0.13360985338335093</v>
      </c>
      <c r="AZ122" s="377">
        <f t="shared" si="716"/>
        <v>0.12843621802576605</v>
      </c>
      <c r="BA122" s="377">
        <f t="shared" si="717"/>
        <v>0.14824588377379205</v>
      </c>
      <c r="BB122" s="658">
        <f t="shared" si="718"/>
        <v>0.12776491935582868</v>
      </c>
      <c r="BC122" s="658">
        <f t="shared" si="719"/>
        <v>0.14589815830821226</v>
      </c>
      <c r="BD122" s="376">
        <f t="shared" si="720"/>
        <v>0.12940063416650008</v>
      </c>
      <c r="BE122" s="376">
        <v>0.13961871368488829</v>
      </c>
      <c r="BF122" s="114"/>
    </row>
    <row r="123" spans="1:58" x14ac:dyDescent="0.3">
      <c r="A123" s="92"/>
      <c r="B123" s="1026" t="s">
        <v>112</v>
      </c>
      <c r="C123" s="156" t="s">
        <v>324</v>
      </c>
      <c r="D123" s="259">
        <v>0.14379359429747829</v>
      </c>
      <c r="E123" s="259">
        <v>0.2958634894040173</v>
      </c>
      <c r="F123" s="259">
        <v>0.10992075397450803</v>
      </c>
      <c r="G123" s="259">
        <v>0.23797425917263368</v>
      </c>
      <c r="H123" s="376">
        <v>0.12659160894333954</v>
      </c>
      <c r="I123" s="376">
        <v>0.26499001115342175</v>
      </c>
      <c r="J123" s="259">
        <v>0.11002862630336677</v>
      </c>
      <c r="K123" s="259">
        <v>0.18439463154368232</v>
      </c>
      <c r="L123" s="377">
        <v>0.12112863121984398</v>
      </c>
      <c r="M123" s="377">
        <v>0.23643179006802609</v>
      </c>
      <c r="N123" s="259">
        <v>0.11274189219427787</v>
      </c>
      <c r="O123" s="259">
        <v>0.15851427497370432</v>
      </c>
      <c r="P123" s="376">
        <v>0.11902988157793305</v>
      </c>
      <c r="Q123" s="376">
        <v>0.21542674998256198</v>
      </c>
      <c r="R123" s="259">
        <v>0.11229173017373491</v>
      </c>
      <c r="S123" s="259">
        <v>0.16135309983602455</v>
      </c>
      <c r="T123" s="376">
        <v>0.11768118975295727</v>
      </c>
      <c r="U123" s="376">
        <v>0.20445588027982894</v>
      </c>
      <c r="V123" s="259">
        <v>0.23183575803613646</v>
      </c>
      <c r="W123" s="259">
        <v>0.18188982766944731</v>
      </c>
      <c r="X123" s="377">
        <v>0.13731796707634775</v>
      </c>
      <c r="Y123" s="377">
        <v>0.16671348927448665</v>
      </c>
      <c r="Z123" s="658">
        <v>0.12853232257582645</v>
      </c>
      <c r="AA123" s="658">
        <v>0.20081250707501569</v>
      </c>
      <c r="AB123" s="259">
        <v>0.11024739672440831</v>
      </c>
      <c r="AC123" s="259">
        <v>0.27589504502800816</v>
      </c>
      <c r="AD123" s="376">
        <v>0.12568168068641797</v>
      </c>
      <c r="AE123" s="376">
        <v>0.20930224900129665</v>
      </c>
      <c r="AF123" s="259">
        <v>0.10480754528800965</v>
      </c>
      <c r="AG123" s="259">
        <v>0.20556046252977472</v>
      </c>
      <c r="AH123" s="376">
        <v>0.12294181743216934</v>
      </c>
      <c r="AI123" s="376">
        <v>0.20881390525408697</v>
      </c>
      <c r="AJ123" s="259">
        <v>0.10438051667180659</v>
      </c>
      <c r="AK123" s="259">
        <v>0.20156418289362529</v>
      </c>
      <c r="AL123" s="377">
        <f t="shared" si="708"/>
        <v>0.10649586244999155</v>
      </c>
      <c r="AM123" s="377">
        <f t="shared" si="709"/>
        <v>0.22370386173691884</v>
      </c>
      <c r="AN123" s="376">
        <f t="shared" si="710"/>
        <v>0.12072777465104925</v>
      </c>
      <c r="AO123" s="376">
        <f t="shared" si="711"/>
        <v>0.20798440133084803</v>
      </c>
      <c r="AP123" s="259">
        <v>0.10231274736783876</v>
      </c>
      <c r="AQ123" s="259">
        <v>0.18999723656139991</v>
      </c>
      <c r="AR123" s="376">
        <f t="shared" si="712"/>
        <v>0.11873824845118776</v>
      </c>
      <c r="AS123" s="376">
        <f t="shared" si="713"/>
        <v>0.20618243487120291</v>
      </c>
      <c r="AT123" s="259">
        <v>0.10369869057641519</v>
      </c>
      <c r="AU123" s="259">
        <v>0.17330787704216635</v>
      </c>
      <c r="AV123" s="376">
        <f t="shared" si="714"/>
        <v>0.11741415233780972</v>
      </c>
      <c r="AW123" s="376">
        <f t="shared" si="715"/>
        <v>0.20371132659492908</v>
      </c>
      <c r="AX123" s="259">
        <v>0.10705837980802702</v>
      </c>
      <c r="AY123" s="259">
        <v>0.11730372361543255</v>
      </c>
      <c r="AZ123" s="377">
        <f t="shared" si="716"/>
        <v>0.10438080351305069</v>
      </c>
      <c r="BA123" s="377">
        <f t="shared" si="717"/>
        <v>0.15847608870804195</v>
      </c>
      <c r="BB123" s="658">
        <f t="shared" si="718"/>
        <v>0.10544386037976218</v>
      </c>
      <c r="BC123" s="658">
        <f t="shared" si="719"/>
        <v>0.19080754481900311</v>
      </c>
      <c r="BD123" s="376">
        <f t="shared" si="720"/>
        <v>0.11648534709054599</v>
      </c>
      <c r="BE123" s="376">
        <v>0.19612131025549467</v>
      </c>
      <c r="BF123" s="114"/>
    </row>
    <row r="124" spans="1:58" x14ac:dyDescent="0.3">
      <c r="A124" s="92"/>
      <c r="B124" s="1026" t="s">
        <v>9</v>
      </c>
      <c r="C124" s="156" t="s">
        <v>324</v>
      </c>
      <c r="D124" s="259">
        <v>0.1218700272045817</v>
      </c>
      <c r="E124" s="259">
        <v>0.13416802595039776</v>
      </c>
      <c r="F124" s="259">
        <v>0.13525686514179952</v>
      </c>
      <c r="G124" s="259">
        <v>0.14680461075372056</v>
      </c>
      <c r="H124" s="376">
        <v>0.12866839982224759</v>
      </c>
      <c r="I124" s="376">
        <v>0.14091786399184808</v>
      </c>
      <c r="J124" s="259">
        <v>0.13453136659696491</v>
      </c>
      <c r="K124" s="259">
        <v>0.14988834146014871</v>
      </c>
      <c r="L124" s="377">
        <v>0.13060218539578169</v>
      </c>
      <c r="M124" s="377">
        <v>0.14409623318923276</v>
      </c>
      <c r="N124" s="259">
        <v>0.13880626957271155</v>
      </c>
      <c r="O124" s="259">
        <v>0.15582470878570653</v>
      </c>
      <c r="P124" s="376">
        <v>0.13265522635437721</v>
      </c>
      <c r="Q124" s="376">
        <v>0.14725859931966356</v>
      </c>
      <c r="R124" s="259">
        <v>0.13607225693899502</v>
      </c>
      <c r="S124" s="259">
        <v>0.16283662470516819</v>
      </c>
      <c r="T124" s="376">
        <v>0.13333917079829324</v>
      </c>
      <c r="U124" s="376">
        <v>0.150362069227124</v>
      </c>
      <c r="V124" s="259">
        <v>0.20973948699766887</v>
      </c>
      <c r="W124" s="259">
        <v>0.16277446631429987</v>
      </c>
      <c r="X124" s="377">
        <v>0.15246729666863662</v>
      </c>
      <c r="Y124" s="377">
        <v>0.160278146238369</v>
      </c>
      <c r="Z124" s="658">
        <v>0.14060151685466901</v>
      </c>
      <c r="AA124" s="658">
        <v>0.15236579208975401</v>
      </c>
      <c r="AB124" s="259">
        <v>0.1335658443965467</v>
      </c>
      <c r="AC124" s="259">
        <v>0.19052194205499948</v>
      </c>
      <c r="AD124" s="376">
        <v>0.13950464707284677</v>
      </c>
      <c r="AE124" s="376">
        <v>0.15668127188690989</v>
      </c>
      <c r="AF124" s="259">
        <v>9.6191095679846433E-2</v>
      </c>
      <c r="AG124" s="259">
        <v>0.15876851848341855</v>
      </c>
      <c r="AH124" s="376">
        <v>0.13381946751414084</v>
      </c>
      <c r="AI124" s="376">
        <v>0.15694535189583964</v>
      </c>
      <c r="AJ124" s="259">
        <v>9.6262926409999075E-2</v>
      </c>
      <c r="AK124" s="259">
        <v>0.1575464526373305</v>
      </c>
      <c r="AL124" s="377">
        <f t="shared" si="708"/>
        <v>0.10880309195526509</v>
      </c>
      <c r="AM124" s="377">
        <f t="shared" si="709"/>
        <v>0.16717172902325642</v>
      </c>
      <c r="AN124" s="376">
        <f t="shared" si="710"/>
        <v>0.1293396204501337</v>
      </c>
      <c r="AO124" s="376">
        <f t="shared" si="711"/>
        <v>0.15701412907081777</v>
      </c>
      <c r="AP124" s="259">
        <v>9.1221546759582661E-2</v>
      </c>
      <c r="AQ124" s="259">
        <v>0.1564473465349914</v>
      </c>
      <c r="AR124" s="376">
        <f t="shared" si="712"/>
        <v>0.12522141279671659</v>
      </c>
      <c r="AS124" s="376">
        <f t="shared" si="713"/>
        <v>0.15695734840902018</v>
      </c>
      <c r="AT124" s="259">
        <v>9.4296227339339692E-2</v>
      </c>
      <c r="AU124" s="259">
        <v>0.14160868728392767</v>
      </c>
      <c r="AV124" s="376">
        <f t="shared" si="714"/>
        <v>0.12249873183690632</v>
      </c>
      <c r="AW124" s="376">
        <f t="shared" si="715"/>
        <v>0.15580362327807898</v>
      </c>
      <c r="AX124" s="259">
        <v>0.12664727664204237</v>
      </c>
      <c r="AY124" s="259">
        <v>0.13742772385545907</v>
      </c>
      <c r="AZ124" s="377">
        <f t="shared" si="716"/>
        <v>0.10441393732358638</v>
      </c>
      <c r="BA124" s="377">
        <f t="shared" si="717"/>
        <v>0.1452389566067698</v>
      </c>
      <c r="BB124" s="658">
        <f t="shared" si="718"/>
        <v>0.10661998505529319</v>
      </c>
      <c r="BC124" s="658">
        <f t="shared" si="719"/>
        <v>0.15611037587876309</v>
      </c>
      <c r="BD124" s="376">
        <f t="shared" si="720"/>
        <v>0.12287081322170283</v>
      </c>
      <c r="BE124" s="376">
        <v>0.15417824870483424</v>
      </c>
      <c r="BF124" s="114"/>
    </row>
    <row r="125" spans="1:58" x14ac:dyDescent="0.3">
      <c r="A125" s="92"/>
      <c r="B125" s="1026" t="s">
        <v>99</v>
      </c>
      <c r="C125" s="156" t="s">
        <v>324</v>
      </c>
      <c r="D125" s="259">
        <v>4.7615069247311792E-2</v>
      </c>
      <c r="E125" s="259">
        <v>5.9018754120684316E-2</v>
      </c>
      <c r="F125" s="259">
        <v>4.7683064521806241E-2</v>
      </c>
      <c r="G125" s="259">
        <v>5.3372309023779332E-2</v>
      </c>
      <c r="H125" s="376">
        <v>4.7649599971775751E-2</v>
      </c>
      <c r="I125" s="376">
        <v>5.6007053591567144E-2</v>
      </c>
      <c r="J125" s="259">
        <v>4.7615069247311792E-2</v>
      </c>
      <c r="K125" s="259">
        <v>4.9738553964969005E-2</v>
      </c>
      <c r="L125" s="377">
        <v>4.7638210683830264E-2</v>
      </c>
      <c r="M125" s="377">
        <v>5.3786034008450799E-2</v>
      </c>
      <c r="N125" s="259">
        <v>4.8621338125147573E-2</v>
      </c>
      <c r="O125" s="259">
        <v>4.8381044854965333E-2</v>
      </c>
      <c r="P125" s="376">
        <v>4.7884234598384846E-2</v>
      </c>
      <c r="Q125" s="376">
        <v>5.2328678830982814E-2</v>
      </c>
      <c r="R125" s="259">
        <v>4.8621338125147573E-2</v>
      </c>
      <c r="S125" s="259">
        <v>5.2126808320060926E-2</v>
      </c>
      <c r="T125" s="376">
        <v>4.8031771428751459E-2</v>
      </c>
      <c r="U125" s="376">
        <v>5.228797190170769E-2</v>
      </c>
      <c r="V125" s="259">
        <v>5.9727504701912203E-2</v>
      </c>
      <c r="W125" s="259">
        <v>5.2973436280841266E-2</v>
      </c>
      <c r="X125" s="377">
        <v>5.0929821194295052E-2</v>
      </c>
      <c r="Y125" s="377">
        <v>5.1071147390420034E-2</v>
      </c>
      <c r="Z125" s="658">
        <v>4.9143526806714875E-2</v>
      </c>
      <c r="AA125" s="658">
        <v>5.2398625842146627E-2</v>
      </c>
      <c r="AB125" s="259">
        <v>4.7683064521806241E-2</v>
      </c>
      <c r="AC125" s="259">
        <v>6.9768306381243636E-2</v>
      </c>
      <c r="AD125" s="376">
        <v>4.8915838983362894E-2</v>
      </c>
      <c r="AE125" s="376">
        <v>5.4363145467889729E-2</v>
      </c>
      <c r="AF125" s="259">
        <v>4.7615069247311792E-2</v>
      </c>
      <c r="AG125" s="259">
        <v>4.7554207998069857E-2</v>
      </c>
      <c r="AH125" s="376">
        <v>4.8745104668670429E-2</v>
      </c>
      <c r="AI125" s="376">
        <v>5.3501673579115512E-2</v>
      </c>
      <c r="AJ125" s="259">
        <v>4.7683064521806241E-2</v>
      </c>
      <c r="AK125" s="259">
        <v>4.6513421052203179E-2</v>
      </c>
      <c r="AL125" s="377">
        <f t="shared" si="708"/>
        <v>4.7660870821786022E-2</v>
      </c>
      <c r="AM125" s="377">
        <f t="shared" si="709"/>
        <v>5.3365202499110302E-2</v>
      </c>
      <c r="AN125" s="376">
        <f t="shared" si="710"/>
        <v>4.8618421611767118E-2</v>
      </c>
      <c r="AO125" s="376">
        <f t="shared" si="711"/>
        <v>5.2702086698482302E-2</v>
      </c>
      <c r="AP125" s="259">
        <v>4.6958122453819834E-2</v>
      </c>
      <c r="AQ125" s="259">
        <v>4.8523875111764522E-2</v>
      </c>
      <c r="AR125" s="376">
        <f t="shared" si="712"/>
        <v>4.8439045897382176E-2</v>
      </c>
      <c r="AS125" s="376">
        <f t="shared" si="713"/>
        <v>5.2283510606192636E-2</v>
      </c>
      <c r="AT125" s="259">
        <v>4.7465196209272614E-2</v>
      </c>
      <c r="AU125" s="259">
        <v>5.4222575788915844E-2</v>
      </c>
      <c r="AV125" s="376">
        <f t="shared" si="714"/>
        <v>4.8353307300690894E-2</v>
      </c>
      <c r="AW125" s="376">
        <f t="shared" si="715"/>
        <v>5.242926587524236E-2</v>
      </c>
      <c r="AX125" s="259">
        <v>4.6958122453819834E-2</v>
      </c>
      <c r="AY125" s="259">
        <v>4.8935881041970393E-2</v>
      </c>
      <c r="AZ125" s="377">
        <f t="shared" si="716"/>
        <v>4.7114713863128842E-2</v>
      </c>
      <c r="BA125" s="377">
        <f t="shared" si="717"/>
        <v>5.0287191365987242E-2</v>
      </c>
      <c r="BB125" s="658">
        <f t="shared" si="718"/>
        <v>4.7389219644061134E-2</v>
      </c>
      <c r="BC125" s="658">
        <f t="shared" si="719"/>
        <v>5.1812869420572387E-2</v>
      </c>
      <c r="BD125" s="376">
        <f t="shared" si="720"/>
        <v>4.8228173709454716E-2</v>
      </c>
      <c r="BE125" s="376">
        <v>5.2117439208591743E-2</v>
      </c>
      <c r="BF125" s="114"/>
    </row>
    <row r="126" spans="1:58" x14ac:dyDescent="0.3">
      <c r="A126" s="92"/>
      <c r="B126" s="1026" t="s">
        <v>1372</v>
      </c>
      <c r="C126" s="156" t="s">
        <v>324</v>
      </c>
      <c r="D126" s="259">
        <v>0.13944865924618277</v>
      </c>
      <c r="E126" s="259">
        <v>0.13213671618273592</v>
      </c>
      <c r="F126" s="259">
        <v>0.13976504945815149</v>
      </c>
      <c r="G126" s="259">
        <v>0.1208808761480521</v>
      </c>
      <c r="H126" s="376">
        <v>0.13960933487127314</v>
      </c>
      <c r="I126" s="376">
        <v>0.12556223985088177</v>
      </c>
      <c r="J126" s="259">
        <v>0.13933464809062721</v>
      </c>
      <c r="K126" s="259">
        <v>0.1161948414637599</v>
      </c>
      <c r="L126" s="377">
        <v>0.13951873477851051</v>
      </c>
      <c r="M126" s="377">
        <v>0.12224340820406754</v>
      </c>
      <c r="N126" s="259">
        <v>0.14401452908333354</v>
      </c>
      <c r="O126" s="259">
        <v>0.11690017629330669</v>
      </c>
      <c r="P126" s="376">
        <v>0.14064379025699736</v>
      </c>
      <c r="Q126" s="376">
        <v>0.12068591445671061</v>
      </c>
      <c r="R126" s="259">
        <v>0.14401452908333354</v>
      </c>
      <c r="S126" s="259">
        <v>0.1211136328182784</v>
      </c>
      <c r="T126" s="376">
        <v>0.14131846905634515</v>
      </c>
      <c r="U126" s="376">
        <v>0.1206538902214167</v>
      </c>
      <c r="V126" s="259">
        <v>0.23027862859554835</v>
      </c>
      <c r="W126" s="259">
        <v>0.12223453032380388</v>
      </c>
      <c r="X126" s="377">
        <v>0.16194503749258282</v>
      </c>
      <c r="Y126" s="377">
        <v>0.11913949439754598</v>
      </c>
      <c r="Z126" s="658">
        <v>0.14977470976244542</v>
      </c>
      <c r="AA126" s="658">
        <v>0.12065676442368946</v>
      </c>
      <c r="AB126" s="259">
        <v>0.13965087549237765</v>
      </c>
      <c r="AC126" s="259">
        <v>0.15162754452774724</v>
      </c>
      <c r="AD126" s="376">
        <v>0.1481963918471203</v>
      </c>
      <c r="AE126" s="376">
        <v>0.12386487403977894</v>
      </c>
      <c r="AF126" s="259">
        <v>0.13933464809062721</v>
      </c>
      <c r="AG126" s="259">
        <v>0.1133302849374344</v>
      </c>
      <c r="AH126" s="376">
        <v>0.14703323152341968</v>
      </c>
      <c r="AI126" s="376">
        <v>0.12229106799337941</v>
      </c>
      <c r="AJ126" s="259">
        <v>0.13965087549237765</v>
      </c>
      <c r="AK126" s="259">
        <v>0.11393731278083946</v>
      </c>
      <c r="AL126" s="377">
        <f t="shared" si="708"/>
        <v>0.13954765867113814</v>
      </c>
      <c r="AM126" s="377">
        <f t="shared" si="709"/>
        <v>0.12422364815308699</v>
      </c>
      <c r="AN126" s="376">
        <f t="shared" si="710"/>
        <v>0.14615264388092583</v>
      </c>
      <c r="AO126" s="376">
        <f t="shared" si="711"/>
        <v>0.12133524204887544</v>
      </c>
      <c r="AP126" s="259">
        <v>0.13627936845334493</v>
      </c>
      <c r="AQ126" s="259">
        <v>0.12687312773458118</v>
      </c>
      <c r="AR126" s="376">
        <f t="shared" si="712"/>
        <v>0.14508595308326788</v>
      </c>
      <c r="AS126" s="376">
        <f t="shared" si="713"/>
        <v>0.12189003122164938</v>
      </c>
      <c r="AT126" s="259">
        <v>0.13863762963215395</v>
      </c>
      <c r="AU126" s="259">
        <v>0.14109330584750984</v>
      </c>
      <c r="AV126" s="376">
        <f t="shared" si="714"/>
        <v>0.14451823692495272</v>
      </c>
      <c r="AW126" s="376">
        <f t="shared" si="715"/>
        <v>0.12333349917964608</v>
      </c>
      <c r="AX126" s="259">
        <v>0.13627936845334493</v>
      </c>
      <c r="AY126" s="259">
        <v>0.10959367521907423</v>
      </c>
      <c r="AZ126" s="377">
        <f t="shared" si="716"/>
        <v>0.13700763221682583</v>
      </c>
      <c r="BA126" s="377">
        <f t="shared" si="717"/>
        <v>0.12452324602671908</v>
      </c>
      <c r="BB126" s="658">
        <f t="shared" si="718"/>
        <v>0.13828428343288648</v>
      </c>
      <c r="BC126" s="658">
        <f t="shared" si="719"/>
        <v>0.12437474432180905</v>
      </c>
      <c r="BD126" s="376">
        <f t="shared" si="720"/>
        <v>0.1437792959868491</v>
      </c>
      <c r="BE126" s="376">
        <v>0.12273926442878924</v>
      </c>
      <c r="BF126" s="114"/>
    </row>
    <row r="127" spans="1:58" x14ac:dyDescent="0.3">
      <c r="A127" s="92"/>
      <c r="B127" s="3963" t="s">
        <v>1837</v>
      </c>
      <c r="C127" s="2546" t="s">
        <v>324</v>
      </c>
      <c r="D127" s="2619">
        <v>0.14720914761608717</v>
      </c>
      <c r="E127" s="2619">
        <v>0.1617997280833155</v>
      </c>
      <c r="F127" s="2619">
        <v>0.14721070917018117</v>
      </c>
      <c r="G127" s="2619">
        <v>0.14771593598925606</v>
      </c>
      <c r="H127" s="376">
        <v>0.14720994063581622</v>
      </c>
      <c r="I127" s="376">
        <v>0.15028737676582671</v>
      </c>
      <c r="J127" s="2619">
        <v>0.14720914761608717</v>
      </c>
      <c r="K127" s="2619">
        <v>0.13320745117672467</v>
      </c>
      <c r="L127" s="377">
        <v>0.14720967907368043</v>
      </c>
      <c r="M127" s="377">
        <v>0.14297642082290851</v>
      </c>
      <c r="N127" s="2619">
        <v>0.14720974472155615</v>
      </c>
      <c r="O127" s="2619">
        <v>0.10920545791510308</v>
      </c>
      <c r="P127" s="376">
        <v>0.14720969550181243</v>
      </c>
      <c r="Q127" s="376">
        <v>0.13296737373172313</v>
      </c>
      <c r="R127" s="2619">
        <v>0.14720974472155615</v>
      </c>
      <c r="S127" s="2619">
        <v>0.14699344954324184</v>
      </c>
      <c r="T127" s="376">
        <v>0.14720970535351535</v>
      </c>
      <c r="U127" s="376">
        <v>0.13500644249739621</v>
      </c>
      <c r="V127" s="2619">
        <v>0.14502267835766997</v>
      </c>
      <c r="W127" s="2619">
        <v>0.15112051497947115</v>
      </c>
      <c r="X127" s="377">
        <v>0.146755149912696</v>
      </c>
      <c r="Y127" s="377">
        <v>0.13113156282924104</v>
      </c>
      <c r="Z127" s="658">
        <v>0.1470018142390726</v>
      </c>
      <c r="AA127" s="658">
        <v>0.13694719123190952</v>
      </c>
      <c r="AB127" s="2619">
        <v>0.14721070917018117</v>
      </c>
      <c r="AC127" s="2619">
        <v>0.14832069167353024</v>
      </c>
      <c r="AD127" s="376">
        <v>0.14703438120958928</v>
      </c>
      <c r="AE127" s="376">
        <v>0.13772120917858738</v>
      </c>
      <c r="AF127" s="2619">
        <v>0.14720914761608717</v>
      </c>
      <c r="AG127" s="2619">
        <v>0.14695032563546301</v>
      </c>
      <c r="AH127" s="376">
        <v>0.14705732041382943</v>
      </c>
      <c r="AI127" s="376">
        <v>0.13837596319002265</v>
      </c>
      <c r="AJ127" s="2619">
        <v>0.14721070917018117</v>
      </c>
      <c r="AK127" s="2619">
        <v>0.14887898803680374</v>
      </c>
      <c r="AL127" s="377">
        <f t="shared" si="708"/>
        <v>0.14721019947795055</v>
      </c>
      <c r="AM127" s="377">
        <f t="shared" si="709"/>
        <v>0.14803509727404229</v>
      </c>
      <c r="AN127" s="376">
        <f t="shared" si="710"/>
        <v>0.14707561704471162</v>
      </c>
      <c r="AO127" s="376">
        <f t="shared" si="711"/>
        <v>0.13957770580623594</v>
      </c>
      <c r="AP127" s="2619">
        <v>0.14721145433596039</v>
      </c>
      <c r="AQ127" s="2619">
        <v>0.12667214410918587</v>
      </c>
      <c r="AR127" s="376">
        <f t="shared" si="712"/>
        <v>0.14709029265967005</v>
      </c>
      <c r="AS127" s="376">
        <f t="shared" si="713"/>
        <v>0.13828481781532451</v>
      </c>
      <c r="AT127" s="2619">
        <v>0.14720570568783747</v>
      </c>
      <c r="AU127" s="2619">
        <v>0.12469609138884562</v>
      </c>
      <c r="AV127" s="376">
        <f t="shared" si="714"/>
        <v>0.14710045372579328</v>
      </c>
      <c r="AW127" s="376">
        <f t="shared" si="715"/>
        <v>0.13726338310854846</v>
      </c>
      <c r="AX127" s="2619">
        <v>0.14721145433596039</v>
      </c>
      <c r="AY127" s="2619">
        <v>0.13300335778338515</v>
      </c>
      <c r="AZ127" s="377">
        <f t="shared" si="716"/>
        <v>0.14720967907368049</v>
      </c>
      <c r="BA127" s="377">
        <f t="shared" si="717"/>
        <v>0.12844768329616402</v>
      </c>
      <c r="BB127" s="658">
        <f t="shared" si="718"/>
        <v>0.14720994063581624</v>
      </c>
      <c r="BC127" s="658">
        <f t="shared" si="719"/>
        <v>0.13815657854041274</v>
      </c>
      <c r="BD127" s="376">
        <f t="shared" si="720"/>
        <v>0.1471104093277415</v>
      </c>
      <c r="BE127" s="376">
        <v>0.13957212423008392</v>
      </c>
      <c r="BF127" s="114"/>
    </row>
    <row r="128" spans="1:58" x14ac:dyDescent="0.3">
      <c r="A128" s="92"/>
      <c r="B128" s="1026" t="s">
        <v>64</v>
      </c>
      <c r="C128" s="156" t="s">
        <v>324</v>
      </c>
      <c r="D128" s="259">
        <v>7.3721675037508955E-2</v>
      </c>
      <c r="E128" s="259">
        <v>0.12887629919320084</v>
      </c>
      <c r="F128" s="259">
        <v>7.3895836178396193E-2</v>
      </c>
      <c r="G128" s="259">
        <v>0.10625630489457343</v>
      </c>
      <c r="H128" s="376">
        <v>7.3810121042220622E-2</v>
      </c>
      <c r="I128" s="376">
        <v>0.11681168467587283</v>
      </c>
      <c r="J128" s="259">
        <v>7.3607663881953389E-2</v>
      </c>
      <c r="K128" s="259">
        <v>9.7392110697635731E-2</v>
      </c>
      <c r="L128" s="377">
        <v>7.3743344485090581E-2</v>
      </c>
      <c r="M128" s="377">
        <v>0.10993138739840846</v>
      </c>
      <c r="N128" s="259">
        <v>7.4832991008620411E-2</v>
      </c>
      <c r="O128" s="259">
        <v>9.1090467025014249E-2</v>
      </c>
      <c r="P128" s="376">
        <v>7.4016024396090105E-2</v>
      </c>
      <c r="Q128" s="376">
        <v>0.10484910629485827</v>
      </c>
      <c r="R128" s="259">
        <v>7.4571129190438609E-2</v>
      </c>
      <c r="S128" s="259">
        <v>0.10107931880676824</v>
      </c>
      <c r="T128" s="376">
        <v>7.4127132807467772E-2</v>
      </c>
      <c r="U128" s="376">
        <v>0.10438536567300624</v>
      </c>
      <c r="V128" s="259">
        <v>0.13824307032244373</v>
      </c>
      <c r="W128" s="259">
        <v>0.10205657713886715</v>
      </c>
      <c r="X128" s="377">
        <v>8.7909438656501887E-2</v>
      </c>
      <c r="Y128" s="377">
        <v>9.8346033874698688E-2</v>
      </c>
      <c r="Z128" s="658">
        <v>8.0221768917972863E-2</v>
      </c>
      <c r="AA128" s="658">
        <v>0.10400973223350518</v>
      </c>
      <c r="AB128" s="259">
        <v>7.3650740221113273E-2</v>
      </c>
      <c r="AC128" s="259">
        <v>0.18951317650943683</v>
      </c>
      <c r="AD128" s="376">
        <v>7.9197337656288516E-2</v>
      </c>
      <c r="AE128" s="376">
        <v>0.11372938623082321</v>
      </c>
      <c r="AF128" s="259">
        <v>7.151653586317358E-2</v>
      </c>
      <c r="AG128" s="259">
        <v>0.10368207151512546</v>
      </c>
      <c r="AH128" s="376">
        <v>7.8189183488728248E-2</v>
      </c>
      <c r="AI128" s="376">
        <v>0.1124461922308623</v>
      </c>
      <c r="AJ128" s="259">
        <v>7.3650740221113273E-2</v>
      </c>
      <c r="AK128" s="259">
        <v>0.10312445543310919</v>
      </c>
      <c r="AL128" s="377">
        <f t="shared" si="708"/>
        <v>7.2954134587058087E-2</v>
      </c>
      <c r="AM128" s="377">
        <f t="shared" si="709"/>
        <v>0.12739703502290978</v>
      </c>
      <c r="AN128" s="376">
        <f t="shared" si="710"/>
        <v>7.7647825548144464E-2</v>
      </c>
      <c r="AO128" s="376">
        <f t="shared" si="711"/>
        <v>0.11137961107634692</v>
      </c>
      <c r="AP128" s="259">
        <v>7.2618279361803303E-2</v>
      </c>
      <c r="AQ128" s="2619">
        <v>0.13586382763757732</v>
      </c>
      <c r="AR128" s="376">
        <f t="shared" si="712"/>
        <v>7.7104442486189279E-2</v>
      </c>
      <c r="AS128" s="376">
        <f t="shared" si="713"/>
        <v>0.11383245662479952</v>
      </c>
      <c r="AT128" s="259">
        <v>7.3381748119500628E-2</v>
      </c>
      <c r="AU128" s="2619">
        <v>0.25443744066515772</v>
      </c>
      <c r="AV128" s="376">
        <f t="shared" si="714"/>
        <v>7.6776693147859662E-2</v>
      </c>
      <c r="AW128" s="376">
        <f t="shared" si="715"/>
        <v>0.12440142432177635</v>
      </c>
      <c r="AX128" s="259">
        <v>7.2618279361803303E-2</v>
      </c>
      <c r="AY128" s="2619">
        <v>0.12594398501604182</v>
      </c>
      <c r="AZ128" s="377">
        <f t="shared" si="716"/>
        <v>7.2854049104263088E-2</v>
      </c>
      <c r="BA128" s="377">
        <f t="shared" si="717"/>
        <v>0.16573523699057066</v>
      </c>
      <c r="BB128" s="658">
        <f t="shared" si="718"/>
        <v>7.290435340448144E-2</v>
      </c>
      <c r="BC128" s="658">
        <f t="shared" si="719"/>
        <v>0.14673213698067392</v>
      </c>
      <c r="BD128" s="376">
        <f t="shared" si="720"/>
        <v>7.6403726617967752E-2</v>
      </c>
      <c r="BE128" s="376">
        <v>0.12437519644338693</v>
      </c>
      <c r="BF128" s="114"/>
    </row>
    <row r="129" spans="1:58" x14ac:dyDescent="0.3">
      <c r="B129" s="4908" t="s">
        <v>2075</v>
      </c>
      <c r="C129" s="4814"/>
      <c r="D129" s="4909"/>
      <c r="E129" s="4909">
        <v>-8.8497372494783927E-3</v>
      </c>
      <c r="F129" s="4909"/>
      <c r="G129" s="4909">
        <v>-8.2523553054220725E-3</v>
      </c>
      <c r="H129" s="4910"/>
      <c r="I129" s="376">
        <v>-8.5311057058925603E-3</v>
      </c>
      <c r="J129" s="4909"/>
      <c r="K129" s="4909">
        <v>-5.92639163239932E-3</v>
      </c>
      <c r="L129" s="377">
        <v>0</v>
      </c>
      <c r="M129" s="377">
        <v>-7.6082180437317135E-3</v>
      </c>
      <c r="N129" s="4909"/>
      <c r="O129" s="4909">
        <v>-5.4515580575726719E-3</v>
      </c>
      <c r="P129" s="376">
        <v>0</v>
      </c>
      <c r="Q129" s="376">
        <v>-7.0267146387082095E-3</v>
      </c>
      <c r="R129" s="4909"/>
      <c r="S129" s="4909">
        <v>-5.8270918672904438E-3</v>
      </c>
      <c r="T129" s="376">
        <v>0</v>
      </c>
      <c r="U129" s="376">
        <v>-6.7848122474679006E-3</v>
      </c>
      <c r="V129" s="4909"/>
      <c r="W129" s="4909">
        <v>-6.1069989905090253E-3</v>
      </c>
      <c r="X129" s="377">
        <v>0</v>
      </c>
      <c r="Y129" s="377">
        <v>-5.7828623798294324E-3</v>
      </c>
      <c r="Z129" s="658">
        <v>0</v>
      </c>
      <c r="AA129" s="658">
        <v>-6.6753934212715098E-3</v>
      </c>
      <c r="AB129" s="4909"/>
      <c r="AC129" s="4909">
        <v>-7.2946877453072094E-3</v>
      </c>
      <c r="AD129" s="376">
        <v>0</v>
      </c>
      <c r="AE129" s="376">
        <v>-6.7454359215317191E-3</v>
      </c>
      <c r="AF129" s="4909"/>
      <c r="AG129" s="4909">
        <v>-4.932032514798919E-3</v>
      </c>
      <c r="AH129" s="376">
        <v>0</v>
      </c>
      <c r="AI129" s="376">
        <v>-6.5160027588933352E-3</v>
      </c>
      <c r="AJ129" s="4909"/>
      <c r="AK129" s="4909">
        <v>-4.3608522726351377E-3</v>
      </c>
      <c r="AL129" s="377">
        <f t="shared" si="708"/>
        <v>0</v>
      </c>
      <c r="AM129" s="377">
        <f t="shared" si="709"/>
        <v>-5.3822578758923054E-3</v>
      </c>
      <c r="AN129" s="376">
        <f t="shared" si="710"/>
        <v>0</v>
      </c>
      <c r="AO129" s="376">
        <f t="shared" si="711"/>
        <v>-6.2694132076477217E-3</v>
      </c>
      <c r="AP129" s="4909"/>
      <c r="AQ129" s="4909">
        <v>-5.1610106859504151E-3</v>
      </c>
      <c r="AR129" s="376">
        <f>((AN129*$AN$132)+(AP129*$AP$132))/$AR$132</f>
        <v>0</v>
      </c>
      <c r="AS129" s="376">
        <f>((AO129*$AO$132)+(AQ129*$AQ$132))/$AS$132</f>
        <v>-6.1583726855040039E-3</v>
      </c>
      <c r="AT129" s="4909"/>
      <c r="AU129" s="4909">
        <v>-7.4405405754534902E-3</v>
      </c>
      <c r="AV129" s="376">
        <f t="shared" si="714"/>
        <v>0</v>
      </c>
      <c r="AW129" s="376">
        <f t="shared" si="715"/>
        <v>-6.2547504284657151E-3</v>
      </c>
      <c r="AX129" s="4909"/>
      <c r="AY129" s="4909">
        <v>-6.1974587634788915E-3</v>
      </c>
      <c r="AZ129" s="377">
        <f t="shared" si="716"/>
        <v>0</v>
      </c>
      <c r="BA129" s="377">
        <f t="shared" si="717"/>
        <v>-6.1877249700959414E-3</v>
      </c>
      <c r="BB129" s="658">
        <f t="shared" si="718"/>
        <v>0</v>
      </c>
      <c r="BC129" s="658">
        <f t="shared" si="719"/>
        <v>-5.7884790232269698E-3</v>
      </c>
      <c r="BD129" s="376">
        <f t="shared" si="720"/>
        <v>0</v>
      </c>
      <c r="BE129" s="376">
        <v>-6.2496362141561341E-3</v>
      </c>
      <c r="BF129" s="114"/>
    </row>
    <row r="130" spans="1:58" ht="15.6" x14ac:dyDescent="0.3">
      <c r="B130" s="1027" t="s">
        <v>136</v>
      </c>
      <c r="C130" s="797" t="s">
        <v>324</v>
      </c>
      <c r="D130" s="1028">
        <f>SUM(D116:D129)</f>
        <v>5.9579646181196697</v>
      </c>
      <c r="E130" s="1028">
        <f t="shared" ref="E130:AI130" si="721">SUM(E116:E129)</f>
        <v>6.0854187595724332</v>
      </c>
      <c r="F130" s="1028">
        <f t="shared" si="721"/>
        <v>5.8950819349699</v>
      </c>
      <c r="G130" s="1028">
        <f t="shared" si="721"/>
        <v>5.9794798966160601</v>
      </c>
      <c r="H130" s="1028">
        <f t="shared" si="721"/>
        <v>5.9260302723648577</v>
      </c>
      <c r="I130" s="1028">
        <f t="shared" si="721"/>
        <v>6.0300558618251694</v>
      </c>
      <c r="J130" s="1028">
        <f t="shared" si="721"/>
        <v>5.8881874827843568</v>
      </c>
      <c r="K130" s="1028">
        <f t="shared" si="721"/>
        <v>5.9512037427105673</v>
      </c>
      <c r="L130" s="1028">
        <f t="shared" si="721"/>
        <v>5.9135485641504033</v>
      </c>
      <c r="M130" s="1028">
        <f t="shared" si="721"/>
        <v>6.0018291327647386</v>
      </c>
      <c r="N130" s="1028">
        <f t="shared" si="721"/>
        <v>5.9044904422712001</v>
      </c>
      <c r="O130" s="1028">
        <f t="shared" si="721"/>
        <v>5.9231712422301168</v>
      </c>
      <c r="P130" s="1028">
        <f t="shared" si="721"/>
        <v>5.9112818034949903</v>
      </c>
      <c r="Q130" s="1028">
        <f t="shared" si="721"/>
        <v>5.9807714639072804</v>
      </c>
      <c r="R130" s="1028">
        <f t="shared" si="721"/>
        <v>5.9110636073860041</v>
      </c>
      <c r="S130" s="1028">
        <f t="shared" si="721"/>
        <v>6.0281743753484225</v>
      </c>
      <c r="T130" s="1028">
        <f t="shared" si="721"/>
        <v>5.9112381298980665</v>
      </c>
      <c r="U130" s="1028">
        <f t="shared" si="721"/>
        <v>5.990273829903412</v>
      </c>
      <c r="V130" s="1028">
        <f t="shared" si="721"/>
        <v>6.4404862064644854</v>
      </c>
      <c r="W130" s="1028">
        <f t="shared" si="721"/>
        <v>6.2161012795046009</v>
      </c>
      <c r="X130" s="1028">
        <f t="shared" si="721"/>
        <v>6.0185038105368784</v>
      </c>
      <c r="Y130" s="1028">
        <f t="shared" si="721"/>
        <v>6.0504489425821761</v>
      </c>
      <c r="Z130" s="1028">
        <f t="shared" si="721"/>
        <v>5.9615465955288425</v>
      </c>
      <c r="AA130" s="1028">
        <f t="shared" si="721"/>
        <v>6.0267096597919014</v>
      </c>
      <c r="AB130" s="1028">
        <f t="shared" si="721"/>
        <v>5.8975172375308782</v>
      </c>
      <c r="AC130" s="1028">
        <f t="shared" si="721"/>
        <v>6.5564087810380496</v>
      </c>
      <c r="AD130" s="1028">
        <f t="shared" si="721"/>
        <v>5.9515643417563009</v>
      </c>
      <c r="AE130" s="1028">
        <f t="shared" si="721"/>
        <v>6.0869783861382887</v>
      </c>
      <c r="AF130" s="1028">
        <f t="shared" si="721"/>
        <v>5.9653343777590448</v>
      </c>
      <c r="AG130" s="1028">
        <f t="shared" si="721"/>
        <v>6.0353479588368266</v>
      </c>
      <c r="AH130" s="1028">
        <f t="shared" si="721"/>
        <v>5.9533717467066625</v>
      </c>
      <c r="AI130" s="1028">
        <f t="shared" si="721"/>
        <v>6.080153206462656</v>
      </c>
      <c r="AJ130" s="1028">
        <f t="shared" ref="AJ130:AK130" si="722">SUM(AJ116:AJ129)</f>
        <v>5.9619079993755575</v>
      </c>
      <c r="AK130" s="1028">
        <f t="shared" si="722"/>
        <v>6.1355221971831684</v>
      </c>
      <c r="AL130" s="1029">
        <f t="shared" si="708"/>
        <v>5.9413395829166165</v>
      </c>
      <c r="AM130" s="1029">
        <f t="shared" si="709"/>
        <v>6.2170580668958841</v>
      </c>
      <c r="AN130" s="5296">
        <f t="shared" ref="AN130:BE130" si="723">SUM(AN116:AN129)</f>
        <v>5.9543899742998363</v>
      </c>
      <c r="AO130" s="5296">
        <f t="shared" si="723"/>
        <v>6.0864884552825176</v>
      </c>
      <c r="AP130" s="1028">
        <f t="shared" si="723"/>
        <v>5.9566700099316927</v>
      </c>
      <c r="AQ130" s="1028">
        <f t="shared" si="723"/>
        <v>6.1463300539150012</v>
      </c>
      <c r="AR130" s="5296">
        <f t="shared" si="723"/>
        <v>5.9546363052205811</v>
      </c>
      <c r="AS130" s="5296">
        <f t="shared" si="723"/>
        <v>6.0924834275313096</v>
      </c>
      <c r="AT130" s="1028">
        <f t="shared" ref="AT130:AU130" si="724">SUM(AT116:AT129)</f>
        <v>5.9639133095730053</v>
      </c>
      <c r="AU130" s="1028">
        <f t="shared" si="724"/>
        <v>6.2664501251145355</v>
      </c>
      <c r="AV130" s="5428">
        <f t="shared" si="723"/>
        <v>5.9554530609729186</v>
      </c>
      <c r="AW130" s="5428">
        <f t="shared" si="723"/>
        <v>6.1055601219291349</v>
      </c>
      <c r="AX130" s="1028">
        <f t="shared" si="723"/>
        <v>5.8906678130989905</v>
      </c>
      <c r="AY130" s="1028">
        <f t="shared" si="723"/>
        <v>5.9116980176340022</v>
      </c>
      <c r="AZ130" s="1029">
        <f t="shared" si="723"/>
        <v>5.9360969398660011</v>
      </c>
      <c r="BA130" s="1029">
        <f t="shared" si="723"/>
        <v>6.0937878871522386</v>
      </c>
      <c r="BB130" s="5507">
        <f t="shared" si="723"/>
        <v>5.9387319622747556</v>
      </c>
      <c r="BC130" s="5507">
        <f t="shared" si="723"/>
        <v>6.1548892282084093</v>
      </c>
      <c r="BD130" s="5296">
        <f t="shared" si="723"/>
        <v>5.9496424970581971</v>
      </c>
      <c r="BE130" s="5296">
        <f t="shared" si="723"/>
        <v>6.0875484215516149</v>
      </c>
      <c r="BF130" s="114"/>
    </row>
    <row r="131" spans="1:58" x14ac:dyDescent="0.3">
      <c r="A131" s="92"/>
      <c r="B131" s="266"/>
      <c r="C131" s="266"/>
      <c r="D131" s="637"/>
      <c r="E131" s="266"/>
      <c r="F131" s="637"/>
      <c r="G131" s="266"/>
      <c r="H131" s="266"/>
      <c r="I131" s="266"/>
      <c r="J131" s="637"/>
      <c r="K131" s="266"/>
      <c r="L131" s="266"/>
      <c r="M131" s="266"/>
      <c r="N131" s="637"/>
      <c r="O131" s="266"/>
      <c r="P131" s="266"/>
      <c r="Q131" s="266"/>
      <c r="R131" s="637"/>
      <c r="S131" s="266"/>
      <c r="T131" s="266"/>
      <c r="U131" s="266"/>
      <c r="V131" s="637"/>
      <c r="W131" s="266"/>
      <c r="X131" s="266"/>
      <c r="Y131" s="266"/>
      <c r="Z131" s="266"/>
      <c r="AA131" s="266"/>
      <c r="AB131" s="637"/>
      <c r="AC131" s="266"/>
      <c r="AD131" s="266"/>
      <c r="AE131" s="266"/>
      <c r="AF131" s="637"/>
      <c r="AG131" s="266"/>
      <c r="AH131" s="266"/>
      <c r="AI131" s="266"/>
      <c r="AJ131" s="637"/>
      <c r="AK131" s="266"/>
      <c r="AL131" s="266"/>
      <c r="AM131" s="266"/>
      <c r="AN131" s="266"/>
      <c r="AO131" s="266"/>
      <c r="AP131" s="637"/>
      <c r="AQ131" s="266"/>
      <c r="AR131" s="266"/>
      <c r="AS131" s="266"/>
      <c r="AT131" s="637"/>
      <c r="AU131" s="266"/>
      <c r="AV131" s="266"/>
      <c r="AW131" s="266"/>
      <c r="AX131" s="637"/>
      <c r="AY131" s="266"/>
      <c r="AZ131" s="266"/>
      <c r="BA131" s="266"/>
      <c r="BB131" s="266"/>
      <c r="BC131" s="266"/>
      <c r="BD131" s="266"/>
      <c r="BE131" s="266"/>
      <c r="BF131" s="114"/>
    </row>
    <row r="132" spans="1:58" x14ac:dyDescent="0.3">
      <c r="A132" s="92"/>
      <c r="B132" s="266" t="s">
        <v>269</v>
      </c>
      <c r="C132" s="891" t="s">
        <v>50</v>
      </c>
      <c r="D132" s="392">
        <f>+SMS!E5</f>
        <v>237110.48158640199</v>
      </c>
      <c r="E132" s="392">
        <f>+SMS!F5</f>
        <v>207020</v>
      </c>
      <c r="F132" s="392">
        <f>+SMS!G5</f>
        <v>244664.77809253999</v>
      </c>
      <c r="G132" s="392">
        <f>+SMS!H5</f>
        <v>236638</v>
      </c>
      <c r="H132" s="361">
        <f>+SMS!I5</f>
        <v>481775.25967894198</v>
      </c>
      <c r="I132" s="361">
        <f>+SMS!J5</f>
        <v>443658</v>
      </c>
      <c r="J132" s="392">
        <f>+SMS!K5</f>
        <v>237110.48158640199</v>
      </c>
      <c r="K132" s="392">
        <f>+SMS!L5</f>
        <v>243453</v>
      </c>
      <c r="L132" s="361">
        <f>+SMS!M5</f>
        <v>718885.74126534397</v>
      </c>
      <c r="M132" s="361">
        <f>+SMS!N5</f>
        <v>687111</v>
      </c>
      <c r="N132" s="392">
        <f>+SMS!O5</f>
        <v>239943.34277620399</v>
      </c>
      <c r="O132" s="392">
        <f>+SMS!P5</f>
        <v>253662</v>
      </c>
      <c r="P132" s="361">
        <f>+SMS!Q5</f>
        <v>958829.08404154796</v>
      </c>
      <c r="Q132" s="361">
        <f>+SMS!R5</f>
        <v>940773</v>
      </c>
      <c r="R132" s="392">
        <f>+SMS!S5</f>
        <v>239943.34277620399</v>
      </c>
      <c r="S132" s="392">
        <f>+SMS!T5</f>
        <v>237622</v>
      </c>
      <c r="T132" s="361">
        <f>+SMS!U5</f>
        <v>1198772.426817752</v>
      </c>
      <c r="U132" s="361">
        <f>+SMS!V5</f>
        <v>1178395</v>
      </c>
      <c r="V132" s="392">
        <f>+SMS!W5</f>
        <v>125920.679886686</v>
      </c>
      <c r="W132" s="392">
        <f>+SMS!X5</f>
        <v>226847</v>
      </c>
      <c r="X132" s="361">
        <f>+SMS!Y5</f>
        <v>605807.36543909402</v>
      </c>
      <c r="Y132" s="361">
        <f>+SMS!Z5</f>
        <v>718131</v>
      </c>
      <c r="Z132" s="361">
        <f>+SMS!AA5</f>
        <v>1324693.1067044381</v>
      </c>
      <c r="AA132" s="361">
        <f>+SMS!AB5</f>
        <v>1405242</v>
      </c>
      <c r="AB132" s="392">
        <f>+SMS!AC5</f>
        <v>244664.77809253999</v>
      </c>
      <c r="AC132" s="392">
        <f>+SMS!AD5</f>
        <v>179201</v>
      </c>
      <c r="AD132" s="361">
        <f>+SMS!AE5</f>
        <v>1569357.884796978</v>
      </c>
      <c r="AE132" s="361">
        <f>+SMS!AF5</f>
        <v>1584443</v>
      </c>
      <c r="AF132" s="392">
        <f>+SMS!AG5</f>
        <v>237110.48158640199</v>
      </c>
      <c r="AG132" s="392">
        <f>+SMS!AH5</f>
        <v>229502</v>
      </c>
      <c r="AH132" s="361">
        <f>+SMS!AI5</f>
        <v>1806468.36638338</v>
      </c>
      <c r="AI132" s="361">
        <f>+SMS!AJ5</f>
        <v>1813945</v>
      </c>
      <c r="AJ132" s="392">
        <f>+SMS!AK5</f>
        <v>244664.77809253999</v>
      </c>
      <c r="AK132" s="392">
        <f>+SMS!AL5</f>
        <v>234365</v>
      </c>
      <c r="AL132" s="361">
        <f>+SMS!AM5</f>
        <v>726440.03777148202</v>
      </c>
      <c r="AM132" s="361">
        <f>+SMS!AN5</f>
        <v>643068</v>
      </c>
      <c r="AN132" s="361">
        <f>+SMS!AO5</f>
        <v>2051133.1444759201</v>
      </c>
      <c r="AO132" s="361">
        <f>+SMS!AP5</f>
        <v>2048310</v>
      </c>
      <c r="AP132" s="392">
        <f>+SMS!AQ5</f>
        <v>248441.92634560907</v>
      </c>
      <c r="AQ132" s="392">
        <f>+SMS!AR5</f>
        <v>228047</v>
      </c>
      <c r="AR132" s="361">
        <f>+SMS!AS5</f>
        <v>2299575.0708215293</v>
      </c>
      <c r="AS132" s="361">
        <f>+SMS!AT5</f>
        <v>2276357</v>
      </c>
      <c r="AT132" s="392">
        <f>+SMS!AU5</f>
        <v>222001.88857412653</v>
      </c>
      <c r="AU132" s="392">
        <f>+SMS!AV5</f>
        <v>185016</v>
      </c>
      <c r="AV132" s="361">
        <f>+SMS!AW5</f>
        <v>2521576.9593956559</v>
      </c>
      <c r="AW132" s="361">
        <f>+SMS!AX5</f>
        <v>2461373</v>
      </c>
      <c r="AX132" s="392">
        <f>+SMS!AY5</f>
        <v>248441.92634560907</v>
      </c>
      <c r="AY132" s="392">
        <f>+SMS!AZ5</f>
        <v>241240</v>
      </c>
      <c r="AZ132" s="361">
        <f>+SMS!BA5</f>
        <v>718885.74126534467</v>
      </c>
      <c r="BA132" s="361">
        <f>+SMS!BB5</f>
        <v>654303</v>
      </c>
      <c r="BB132" s="361">
        <f>+SMS!BC5</f>
        <v>1445325.7790368267</v>
      </c>
      <c r="BC132" s="361">
        <f>+SMS!BD5</f>
        <v>1297371</v>
      </c>
      <c r="BD132" s="361">
        <f>+SMS!BE5</f>
        <v>2770018.885741265</v>
      </c>
      <c r="BE132" s="361">
        <f>+SMS!BF5</f>
        <v>2702613</v>
      </c>
      <c r="BF132" s="114"/>
    </row>
    <row r="133" spans="1:58" ht="15" thickBot="1" x14ac:dyDescent="0.35">
      <c r="A133" s="92"/>
      <c r="E133" s="528"/>
      <c r="AY133" s="1520"/>
    </row>
    <row r="134" spans="1:58" ht="21" customHeight="1" x14ac:dyDescent="0.3">
      <c r="A134" s="92"/>
      <c r="B134" s="402" t="s">
        <v>323</v>
      </c>
      <c r="E134" s="528"/>
      <c r="AY134" s="1520"/>
    </row>
    <row r="135" spans="1:58" ht="15.75" customHeight="1" thickBot="1" x14ac:dyDescent="0.35">
      <c r="A135" s="92"/>
      <c r="E135" s="528"/>
      <c r="AY135" s="1520"/>
    </row>
    <row r="136" spans="1:58" ht="15.75" customHeight="1" thickBot="1" x14ac:dyDescent="0.35">
      <c r="B136" s="3" t="s">
        <v>106</v>
      </c>
      <c r="C136" s="85" t="s">
        <v>328</v>
      </c>
      <c r="E136" s="528"/>
      <c r="AY136" s="1520"/>
    </row>
    <row r="137" spans="1:58" ht="15.75" customHeight="1" thickBot="1" x14ac:dyDescent="0.35">
      <c r="B137" s="3" t="s">
        <v>107</v>
      </c>
      <c r="C137" s="85" t="s">
        <v>328</v>
      </c>
      <c r="E137" s="528"/>
      <c r="AY137" s="1520"/>
    </row>
    <row r="138" spans="1:58" ht="15.75" customHeight="1" thickBot="1" x14ac:dyDescent="0.35">
      <c r="B138" s="3" t="s">
        <v>80</v>
      </c>
      <c r="C138" s="85" t="s">
        <v>328</v>
      </c>
      <c r="BB138" s="26"/>
    </row>
    <row r="139" spans="1:58" ht="15.75" customHeight="1" thickBot="1" x14ac:dyDescent="0.35">
      <c r="B139" s="3" t="s">
        <v>108</v>
      </c>
      <c r="C139" s="85" t="s">
        <v>328</v>
      </c>
      <c r="E139" s="1520"/>
      <c r="G139" s="1520"/>
      <c r="K139" s="1520"/>
      <c r="O139" s="1520"/>
      <c r="S139" s="1520"/>
      <c r="W139" s="1520"/>
      <c r="AC139" s="1520"/>
      <c r="AG139" s="1520"/>
      <c r="AK139" s="1520"/>
      <c r="AQ139" s="1520"/>
      <c r="AU139" s="1520"/>
      <c r="AY139" s="1520"/>
      <c r="BE139" s="1520"/>
    </row>
    <row r="140" spans="1:58" ht="15.75" customHeight="1" thickBot="1" x14ac:dyDescent="0.35">
      <c r="B140" s="3" t="s">
        <v>81</v>
      </c>
      <c r="C140" s="85" t="s">
        <v>328</v>
      </c>
      <c r="E140" s="1520"/>
      <c r="G140" s="1520"/>
      <c r="K140" s="1520"/>
      <c r="O140" s="1520"/>
      <c r="S140" s="1520"/>
      <c r="W140" s="1520"/>
      <c r="AC140" s="1520"/>
      <c r="AG140" s="1520"/>
      <c r="AK140" s="1520"/>
      <c r="AQ140" s="1520"/>
      <c r="AU140" s="1520"/>
      <c r="AY140" s="1520"/>
      <c r="BE140" s="1520"/>
    </row>
    <row r="141" spans="1:58" ht="15.75" customHeight="1" thickBot="1" x14ac:dyDescent="0.35">
      <c r="B141" s="3" t="s">
        <v>57</v>
      </c>
      <c r="C141" s="85" t="s">
        <v>328</v>
      </c>
      <c r="E141" s="1520"/>
      <c r="G141" s="1520"/>
      <c r="K141" s="1520"/>
      <c r="O141" s="1520"/>
      <c r="S141" s="1520"/>
      <c r="W141" s="1520"/>
      <c r="AC141" s="1520"/>
      <c r="AG141" s="1520"/>
      <c r="AK141" s="1520"/>
      <c r="AQ141" s="1520"/>
      <c r="AU141" s="1520"/>
      <c r="AY141" s="1520"/>
      <c r="BE141" s="1520"/>
    </row>
    <row r="142" spans="1:58" ht="15.75" customHeight="1" thickBot="1" x14ac:dyDescent="0.35">
      <c r="B142" s="3" t="s">
        <v>58</v>
      </c>
      <c r="C142" s="85" t="s">
        <v>328</v>
      </c>
      <c r="E142" s="1520"/>
      <c r="G142" s="1520"/>
      <c r="K142" s="1520"/>
      <c r="O142" s="1520"/>
      <c r="S142" s="1520"/>
      <c r="W142" s="1520"/>
      <c r="AC142" s="1520"/>
      <c r="AG142" s="1520"/>
      <c r="AK142" s="1520"/>
      <c r="AQ142" s="1520"/>
      <c r="AU142" s="1520"/>
      <c r="AY142" s="1520"/>
      <c r="BE142" s="1520"/>
    </row>
    <row r="143" spans="1:58" ht="15.75" customHeight="1" thickBot="1" x14ac:dyDescent="0.35">
      <c r="B143" s="3" t="s">
        <v>59</v>
      </c>
      <c r="C143" s="85" t="s">
        <v>328</v>
      </c>
      <c r="E143" s="1520"/>
      <c r="G143" s="1520"/>
      <c r="K143" s="1520"/>
      <c r="O143" s="1520"/>
      <c r="S143" s="1520"/>
      <c r="W143" s="1520"/>
      <c r="AC143" s="1520"/>
      <c r="AG143" s="1520"/>
      <c r="AK143" s="1520"/>
      <c r="AQ143" s="1520"/>
      <c r="AU143" s="1520"/>
      <c r="AY143" s="1520"/>
      <c r="BE143" s="1520"/>
    </row>
    <row r="144" spans="1:58" ht="15.75" customHeight="1" thickBot="1" x14ac:dyDescent="0.35">
      <c r="B144" s="3" t="s">
        <v>91</v>
      </c>
      <c r="C144" s="85" t="s">
        <v>328</v>
      </c>
      <c r="E144" s="1520"/>
      <c r="G144" s="1520"/>
      <c r="K144" s="1520"/>
      <c r="O144" s="1520"/>
      <c r="S144" s="1520"/>
      <c r="W144" s="1520"/>
      <c r="AC144" s="1520"/>
      <c r="AG144" s="1520"/>
      <c r="AK144" s="1520"/>
      <c r="AQ144" s="1520"/>
      <c r="AU144" s="1520"/>
      <c r="AY144" s="1520"/>
      <c r="BE144" s="1520"/>
    </row>
    <row r="145" spans="2:57" ht="15.75" customHeight="1" thickBot="1" x14ac:dyDescent="0.35">
      <c r="B145" s="3" t="s">
        <v>109</v>
      </c>
      <c r="C145" s="85" t="s">
        <v>328</v>
      </c>
      <c r="E145" s="1520"/>
      <c r="G145" s="1520"/>
      <c r="K145" s="1520"/>
      <c r="O145" s="1520"/>
      <c r="S145" s="1520"/>
      <c r="W145" s="1520"/>
      <c r="AC145" s="1520"/>
      <c r="AG145" s="1520"/>
      <c r="AK145" s="1520"/>
      <c r="AQ145" s="1520"/>
      <c r="AU145" s="1520"/>
      <c r="AY145" s="1520"/>
      <c r="BE145" s="1520"/>
    </row>
    <row r="146" spans="2:57" ht="15.75" customHeight="1" thickBot="1" x14ac:dyDescent="0.35">
      <c r="B146" s="3" t="s">
        <v>82</v>
      </c>
      <c r="C146" s="85" t="s">
        <v>328</v>
      </c>
      <c r="E146" s="1520"/>
      <c r="G146" s="1520"/>
      <c r="K146" s="1520"/>
      <c r="O146" s="1520"/>
      <c r="S146" s="1520"/>
      <c r="W146" s="1520"/>
      <c r="AC146" s="1520"/>
      <c r="AG146" s="1520"/>
      <c r="AK146" s="1520"/>
      <c r="AQ146" s="1520"/>
      <c r="AU146" s="1520"/>
      <c r="AY146" s="1520"/>
      <c r="BE146" s="1520"/>
    </row>
    <row r="147" spans="2:57" ht="15.75" customHeight="1" thickBot="1" x14ac:dyDescent="0.35">
      <c r="B147" s="3" t="s">
        <v>60</v>
      </c>
      <c r="C147" s="85" t="s">
        <v>328</v>
      </c>
      <c r="E147" s="1520"/>
      <c r="G147" s="1520"/>
      <c r="K147" s="1520"/>
      <c r="O147" s="1520"/>
      <c r="S147" s="1520"/>
      <c r="W147" s="1520"/>
      <c r="AC147" s="1520"/>
      <c r="AG147" s="1520"/>
      <c r="AK147" s="1520"/>
      <c r="AQ147" s="1520"/>
      <c r="AU147" s="1520"/>
      <c r="AY147" s="1520"/>
      <c r="BE147" s="1520"/>
    </row>
    <row r="148" spans="2:57" ht="15" customHeight="1" x14ac:dyDescent="0.3">
      <c r="E148" s="1520"/>
      <c r="G148" s="1520"/>
      <c r="K148" s="1520"/>
      <c r="O148" s="1520"/>
      <c r="S148" s="1520"/>
      <c r="W148" s="1520"/>
      <c r="AC148" s="1520"/>
      <c r="AG148" s="1520"/>
      <c r="AK148" s="1520"/>
      <c r="AQ148" s="1520"/>
      <c r="AU148" s="1520"/>
      <c r="AY148" s="1520"/>
      <c r="BE148" s="1520"/>
    </row>
    <row r="149" spans="2:57" ht="15" customHeight="1" x14ac:dyDescent="0.3">
      <c r="E149" s="1520"/>
      <c r="G149" s="1520"/>
      <c r="K149" s="1520"/>
      <c r="O149" s="1520"/>
      <c r="S149" s="1520"/>
      <c r="W149" s="1520"/>
      <c r="AC149" s="1520"/>
      <c r="AG149" s="1520"/>
      <c r="AK149" s="1520"/>
      <c r="AQ149" s="1520"/>
      <c r="AU149" s="1520"/>
      <c r="AY149" s="1520"/>
      <c r="BE149" s="1520"/>
    </row>
    <row r="150" spans="2:57" ht="15" customHeight="1" x14ac:dyDescent="0.3">
      <c r="E150" s="1520"/>
      <c r="G150" s="1520"/>
      <c r="K150" s="1520"/>
      <c r="O150" s="1520"/>
      <c r="S150" s="1520"/>
      <c r="W150" s="1520"/>
      <c r="AC150" s="1520"/>
      <c r="AG150" s="1520"/>
      <c r="AK150" s="1520"/>
      <c r="AQ150" s="1520"/>
      <c r="AU150" s="1520"/>
      <c r="AY150" s="1520"/>
      <c r="BE150" s="1520"/>
    </row>
    <row r="151" spans="2:57" x14ac:dyDescent="0.3">
      <c r="E151" s="1520"/>
      <c r="G151" s="1520"/>
      <c r="K151" s="1520"/>
      <c r="O151" s="1520"/>
      <c r="S151" s="1520"/>
      <c r="W151" s="1520"/>
      <c r="AC151" s="1520"/>
      <c r="AG151" s="1520"/>
      <c r="AK151" s="1520"/>
      <c r="AQ151" s="1520"/>
      <c r="AU151" s="1520"/>
      <c r="AY151" s="1520"/>
      <c r="BE151" s="1520"/>
    </row>
    <row r="152" spans="2:57" x14ac:dyDescent="0.3">
      <c r="E152" s="1520"/>
      <c r="G152" s="1520"/>
      <c r="K152" s="1520"/>
      <c r="O152" s="1520"/>
      <c r="S152" s="1520"/>
      <c r="W152" s="1520"/>
      <c r="AC152" s="1520"/>
      <c r="AG152" s="1520"/>
      <c r="AK152" s="1520"/>
      <c r="AQ152" s="1520"/>
      <c r="AU152" s="1520"/>
      <c r="AY152" s="1520"/>
      <c r="BE152" s="1520"/>
    </row>
    <row r="153" spans="2:57" x14ac:dyDescent="0.3">
      <c r="E153" s="1520"/>
      <c r="G153" s="1520"/>
      <c r="K153" s="1520"/>
      <c r="O153" s="1520"/>
      <c r="S153" s="1520"/>
      <c r="W153" s="1520"/>
      <c r="AC153" s="1520"/>
      <c r="AG153" s="1520"/>
      <c r="AK153" s="1520"/>
      <c r="AQ153" s="1520"/>
      <c r="AU153" s="1520"/>
      <c r="AY153" s="1520"/>
      <c r="BE153" s="1520"/>
    </row>
    <row r="154" spans="2:57" x14ac:dyDescent="0.3">
      <c r="E154" s="1520"/>
      <c r="S154" s="1520"/>
    </row>
    <row r="155" spans="2:57" x14ac:dyDescent="0.3">
      <c r="E155" s="1520"/>
    </row>
    <row r="156" spans="2:57" x14ac:dyDescent="0.3">
      <c r="E156" s="1520"/>
    </row>
    <row r="157" spans="2:57" x14ac:dyDescent="0.3">
      <c r="E157" s="1520"/>
    </row>
    <row r="158" spans="2:57" x14ac:dyDescent="0.3">
      <c r="Z158" s="4973"/>
      <c r="AA158" s="4973"/>
    </row>
    <row r="160" spans="2:57" ht="15" hidden="1" customHeight="1" x14ac:dyDescent="0.3"/>
    <row r="161" spans="2:29" ht="15" hidden="1" customHeight="1" x14ac:dyDescent="0.3"/>
    <row r="162" spans="2:29" ht="15" hidden="1" customHeight="1" x14ac:dyDescent="0.3"/>
    <row r="163" spans="2:29" ht="15" hidden="1" customHeight="1" x14ac:dyDescent="0.3">
      <c r="H163" s="86"/>
      <c r="I163" s="92"/>
      <c r="J163" s="200"/>
      <c r="L163" s="86"/>
      <c r="N163" s="200"/>
      <c r="P163" s="86"/>
      <c r="R163" s="200"/>
      <c r="T163" s="86"/>
      <c r="V163" s="200"/>
      <c r="AB163" s="200"/>
    </row>
    <row r="164" spans="2:29" ht="15" hidden="1" customHeight="1" x14ac:dyDescent="0.3">
      <c r="D164" s="269"/>
      <c r="E164" s="269"/>
      <c r="F164" s="269"/>
      <c r="G164" s="269"/>
      <c r="H164" s="1203"/>
      <c r="I164" s="891"/>
      <c r="J164" s="1537"/>
      <c r="K164" s="269"/>
      <c r="L164" s="1203"/>
      <c r="M164" s="269"/>
      <c r="N164" s="1537"/>
      <c r="O164" s="269"/>
      <c r="P164" s="1203"/>
      <c r="Q164" s="269"/>
      <c r="R164" s="1537"/>
      <c r="S164" s="269"/>
      <c r="T164" s="1203"/>
      <c r="U164" s="269"/>
      <c r="V164" s="1537"/>
      <c r="W164" s="269"/>
      <c r="X164" s="269"/>
      <c r="Y164" s="269"/>
      <c r="Z164" s="269"/>
      <c r="AA164" s="269"/>
      <c r="AB164" s="1537"/>
      <c r="AC164" s="269"/>
    </row>
    <row r="165" spans="2:29" ht="15" hidden="1" customHeight="1" x14ac:dyDescent="0.3">
      <c r="B165" t="s">
        <v>1150</v>
      </c>
      <c r="D165" s="1198">
        <f>+D57-D75</f>
        <v>0</v>
      </c>
      <c r="E165" s="1198"/>
      <c r="F165" s="1198">
        <f>+F57-F75</f>
        <v>0</v>
      </c>
      <c r="G165" s="1198"/>
      <c r="H165" s="1198">
        <f>+H57-H75</f>
        <v>0</v>
      </c>
      <c r="I165" s="1198">
        <f>+I57-I75</f>
        <v>0</v>
      </c>
      <c r="J165" s="1198">
        <f>+J57-J75</f>
        <v>0</v>
      </c>
      <c r="K165" s="1198"/>
      <c r="L165" s="1198">
        <f>+L57-L75</f>
        <v>0</v>
      </c>
      <c r="M165" s="1198"/>
      <c r="N165" s="1198">
        <f>+N57-N75</f>
        <v>0</v>
      </c>
      <c r="O165" s="1198"/>
      <c r="P165" s="1198">
        <f>+P57-P75</f>
        <v>0</v>
      </c>
      <c r="Q165" s="1198">
        <f>+Q57-Q75</f>
        <v>0</v>
      </c>
      <c r="R165" s="1198">
        <f>+R57-R75</f>
        <v>0</v>
      </c>
      <c r="S165" s="1198"/>
      <c r="T165" s="1198">
        <f>+T57-T75</f>
        <v>0</v>
      </c>
      <c r="U165" s="1198">
        <f>+U57-U75</f>
        <v>0</v>
      </c>
      <c r="V165" s="1198">
        <f>+V57-V75</f>
        <v>0</v>
      </c>
      <c r="W165" s="1198"/>
      <c r="X165" s="1198">
        <f>+X57-X75</f>
        <v>0</v>
      </c>
      <c r="Y165" s="1198"/>
      <c r="Z165" s="1198">
        <f>+Z57-Z75</f>
        <v>0</v>
      </c>
      <c r="AA165" s="1198"/>
      <c r="AB165" s="1198">
        <f>+AB57-AB75</f>
        <v>0</v>
      </c>
      <c r="AC165" s="1198"/>
    </row>
    <row r="166" spans="2:29" ht="15" hidden="1" customHeight="1" x14ac:dyDescent="0.3">
      <c r="D166" s="269"/>
      <c r="E166" s="269"/>
      <c r="F166" s="269"/>
      <c r="G166" s="269"/>
      <c r="H166" s="1203"/>
      <c r="I166" s="891"/>
      <c r="J166" s="1537"/>
      <c r="K166" s="269"/>
      <c r="L166" s="1203"/>
      <c r="M166" s="269"/>
      <c r="N166" s="1537"/>
      <c r="O166" s="269"/>
      <c r="P166" s="1203"/>
      <c r="Q166" s="269"/>
      <c r="R166" s="1537"/>
      <c r="S166" s="269"/>
      <c r="T166" s="1203"/>
      <c r="U166" s="269"/>
      <c r="V166" s="1537"/>
      <c r="W166" s="269"/>
      <c r="X166" s="269"/>
      <c r="Y166" s="269"/>
      <c r="Z166" s="269"/>
      <c r="AA166" s="269"/>
      <c r="AB166" s="1537"/>
      <c r="AC166" s="269"/>
    </row>
    <row r="167" spans="2:29" ht="15" hidden="1" customHeight="1" x14ac:dyDescent="0.3">
      <c r="D167" s="269">
        <v>382927.49999999988</v>
      </c>
      <c r="E167" s="269"/>
      <c r="F167" s="269">
        <v>382927.49999999988</v>
      </c>
      <c r="G167" s="269"/>
      <c r="H167" s="1203"/>
      <c r="I167" s="891"/>
      <c r="J167" s="1537">
        <v>368314.87500000256</v>
      </c>
      <c r="K167" s="269"/>
      <c r="L167" s="1203">
        <f>+D167+F167+J167</f>
        <v>1134169.8750000023</v>
      </c>
      <c r="M167" s="269"/>
      <c r="N167" s="1537">
        <v>380800.12500000373</v>
      </c>
      <c r="O167" s="269"/>
      <c r="P167" s="1203"/>
      <c r="Q167" s="269"/>
      <c r="R167" s="1537">
        <v>380800.12500000373</v>
      </c>
      <c r="S167" s="269"/>
      <c r="T167" s="1203"/>
      <c r="U167" s="269"/>
      <c r="V167" s="1537">
        <v>380800.12500000373</v>
      </c>
      <c r="W167" s="269"/>
      <c r="X167" s="269">
        <f>+N167+R167+V167</f>
        <v>1142400.3750000112</v>
      </c>
      <c r="Y167" s="269"/>
      <c r="Z167" s="269">
        <f>+X167+L167</f>
        <v>2276570.2500000135</v>
      </c>
      <c r="AA167" s="269"/>
      <c r="AB167" s="1537">
        <v>380800.12500000373</v>
      </c>
      <c r="AC167" s="269"/>
    </row>
    <row r="168" spans="2:29" ht="15" hidden="1" customHeight="1" x14ac:dyDescent="0.3">
      <c r="B168" t="s">
        <v>1151</v>
      </c>
      <c r="D168" s="1198">
        <f>+D167-D50</f>
        <v>-5152.5000000001164</v>
      </c>
      <c r="E168" s="1198"/>
      <c r="F168" s="1198">
        <f>+F167-F50</f>
        <v>-18772.500000000233</v>
      </c>
      <c r="G168" s="1198"/>
      <c r="H168" s="1198">
        <f>+H167-H50</f>
        <v>-789780.00000000012</v>
      </c>
      <c r="I168" s="1198">
        <f>+I167-I50</f>
        <v>-722262.04799999995</v>
      </c>
      <c r="J168" s="1198">
        <f>+J167-J50</f>
        <v>-19765.124999997439</v>
      </c>
      <c r="K168" s="1198"/>
      <c r="L168" s="1198">
        <f>+L167-L50</f>
        <v>-43690.124999997672</v>
      </c>
      <c r="M168" s="1198"/>
      <c r="N168" s="1198">
        <f>+N167-N50</f>
        <v>-16999.874999996275</v>
      </c>
      <c r="O168" s="1198"/>
      <c r="P168" s="1198">
        <f>+P167-P50</f>
        <v>-1575660</v>
      </c>
      <c r="Q168" s="1198">
        <f>+Q167-Q50</f>
        <v>-1511565.3984000001</v>
      </c>
      <c r="R168" s="1198">
        <f>+R167-R50</f>
        <v>-14449.874999996275</v>
      </c>
      <c r="S168" s="1198"/>
      <c r="T168" s="1198">
        <f>+T167-T50</f>
        <v>-1970910</v>
      </c>
      <c r="U168" s="1198">
        <f>+U167-U50</f>
        <v>-1899856.6032</v>
      </c>
      <c r="V168" s="1198">
        <f>+V167-V50</f>
        <v>163800.12500000373</v>
      </c>
      <c r="W168" s="1198"/>
      <c r="X168" s="1198">
        <f>+X167-X50</f>
        <v>132350.37500001118</v>
      </c>
      <c r="Y168" s="1198"/>
      <c r="Z168" s="1198">
        <f>+Z167-Z50</f>
        <v>88660.250000013504</v>
      </c>
      <c r="AA168" s="1198"/>
      <c r="AB168" s="1198">
        <f>+AB167-AB50</f>
        <v>-19599.874999996333</v>
      </c>
      <c r="AC168" s="1198"/>
    </row>
    <row r="169" spans="2:29" ht="15" hidden="1" customHeight="1" x14ac:dyDescent="0.3">
      <c r="D169" s="269"/>
      <c r="E169" s="269"/>
      <c r="F169" s="269"/>
      <c r="G169" s="269"/>
      <c r="H169" s="1203"/>
      <c r="I169" s="891"/>
      <c r="J169" s="1537"/>
      <c r="K169" s="269"/>
      <c r="L169" s="1203"/>
      <c r="M169" s="269"/>
      <c r="N169" s="1537"/>
      <c r="O169" s="269"/>
      <c r="P169" s="1203"/>
      <c r="Q169" s="269"/>
      <c r="R169" s="1537"/>
      <c r="S169" s="269"/>
      <c r="T169" s="1203"/>
      <c r="U169" s="269"/>
      <c r="V169" s="1537"/>
      <c r="W169" s="269"/>
      <c r="X169" s="269"/>
      <c r="Y169" s="269"/>
      <c r="Z169" s="269"/>
      <c r="AA169" s="269"/>
      <c r="AB169" s="1537"/>
      <c r="AC169" s="269"/>
    </row>
    <row r="170" spans="2:29" ht="15" hidden="1" customHeight="1" x14ac:dyDescent="0.3">
      <c r="D170" s="269">
        <v>368047.49999999988</v>
      </c>
      <c r="E170" s="269"/>
      <c r="F170" s="269">
        <v>368047.49999999988</v>
      </c>
      <c r="G170" s="269"/>
      <c r="H170" s="1203"/>
      <c r="I170" s="891"/>
      <c r="J170" s="1537">
        <v>353914.87500000256</v>
      </c>
      <c r="K170" s="269"/>
      <c r="L170" s="1203"/>
      <c r="M170" s="269"/>
      <c r="N170" s="1537">
        <v>365920.12500000338</v>
      </c>
      <c r="O170" s="269"/>
      <c r="P170" s="1203"/>
      <c r="Q170" s="269"/>
      <c r="R170" s="1537">
        <v>365920.12500000338</v>
      </c>
      <c r="S170" s="269"/>
      <c r="T170" s="1203"/>
      <c r="U170" s="269"/>
      <c r="V170" s="1537">
        <v>365920.12500000338</v>
      </c>
      <c r="W170" s="269"/>
      <c r="X170" s="269"/>
      <c r="Y170" s="269"/>
      <c r="Z170" s="269"/>
      <c r="AA170" s="269"/>
      <c r="AB170" s="1537">
        <v>365920.12500000338</v>
      </c>
      <c r="AC170" s="269"/>
    </row>
    <row r="171" spans="2:29" ht="15" hidden="1" customHeight="1" x14ac:dyDescent="0.3">
      <c r="D171" s="269"/>
      <c r="E171" s="269"/>
      <c r="F171" s="269"/>
      <c r="G171" s="269"/>
      <c r="H171" s="1203"/>
      <c r="I171" s="891"/>
      <c r="J171" s="1537"/>
      <c r="K171" s="269"/>
      <c r="L171" s="1203"/>
      <c r="M171" s="269"/>
      <c r="N171" s="1537"/>
      <c r="O171" s="269"/>
      <c r="P171" s="1203"/>
      <c r="Q171" s="269"/>
      <c r="R171" s="1537"/>
      <c r="S171" s="269"/>
      <c r="T171" s="1203"/>
      <c r="U171" s="269"/>
      <c r="V171" s="1537"/>
      <c r="W171" s="269"/>
      <c r="X171" s="269"/>
      <c r="Y171" s="269"/>
      <c r="Z171" s="269"/>
      <c r="AA171" s="269"/>
      <c r="AB171" s="1537"/>
      <c r="AC171" s="269"/>
    </row>
    <row r="172" spans="2:29" ht="15" hidden="1" customHeight="1" x14ac:dyDescent="0.3">
      <c r="B172" t="s">
        <v>1152</v>
      </c>
      <c r="D172" s="1198">
        <f>+D170-D57</f>
        <v>-5566.2600000001257</v>
      </c>
      <c r="E172" s="269"/>
      <c r="F172" s="1198">
        <f>+F170-F57</f>
        <v>-18684.900000000256</v>
      </c>
      <c r="G172" s="269"/>
      <c r="H172" s="1203"/>
      <c r="I172" s="891"/>
      <c r="J172" s="1198">
        <f>+J170-J57</f>
        <v>-19698.884999997448</v>
      </c>
      <c r="K172" s="269"/>
      <c r="L172" s="1203"/>
      <c r="M172" s="269"/>
      <c r="N172" s="1198">
        <f>+N170-N57</f>
        <v>-17021.474999996601</v>
      </c>
      <c r="O172" s="269"/>
      <c r="P172" s="1203"/>
      <c r="Q172" s="269"/>
      <c r="R172" s="1198">
        <f>+R170-R57</f>
        <v>-14542.874999996624</v>
      </c>
      <c r="S172" s="269"/>
      <c r="T172" s="1203"/>
      <c r="U172" s="269"/>
      <c r="V172" s="1198">
        <f>+V170-V57</f>
        <v>161930.12500000338</v>
      </c>
      <c r="W172" s="269"/>
      <c r="X172" s="269"/>
      <c r="Y172" s="269"/>
      <c r="Z172" s="269"/>
      <c r="AA172" s="269"/>
      <c r="AB172" s="1198">
        <f>+AB170-AB57</f>
        <v>-19548.674999996671</v>
      </c>
      <c r="AC172" s="269"/>
    </row>
    <row r="173" spans="2:29" ht="15" hidden="1" customHeight="1" x14ac:dyDescent="0.3">
      <c r="B173" t="s">
        <v>1153</v>
      </c>
      <c r="D173" s="1198">
        <f>+D170-D75</f>
        <v>-5566.2600000001839</v>
      </c>
      <c r="E173" s="269"/>
      <c r="F173" s="1198">
        <f>+F170-F75</f>
        <v>-18684.90000000014</v>
      </c>
      <c r="G173" s="269"/>
      <c r="H173" s="1203"/>
      <c r="I173" s="891"/>
      <c r="J173" s="1198">
        <f>+J170-J75</f>
        <v>-19698.884999997448</v>
      </c>
      <c r="K173" s="269"/>
      <c r="L173" s="1203"/>
      <c r="M173" s="269"/>
      <c r="N173" s="1198">
        <f>+N170-N75</f>
        <v>-17021.474999996601</v>
      </c>
      <c r="O173" s="269"/>
      <c r="P173" s="1203"/>
      <c r="Q173" s="269"/>
      <c r="R173" s="1198">
        <f>+R170-R75</f>
        <v>-14542.874999996682</v>
      </c>
      <c r="S173" s="269"/>
      <c r="T173" s="1203"/>
      <c r="U173" s="269"/>
      <c r="V173" s="1198">
        <f>+V170-V75</f>
        <v>161930.12500000341</v>
      </c>
      <c r="W173" s="269"/>
      <c r="X173" s="269"/>
      <c r="Y173" s="269"/>
      <c r="Z173" s="269"/>
      <c r="AA173" s="269"/>
      <c r="AB173" s="1198">
        <f>+AB170-AB75</f>
        <v>-19548.674999996671</v>
      </c>
      <c r="AC173" s="269"/>
    </row>
    <row r="174" spans="2:29" ht="15" hidden="1" customHeight="1" x14ac:dyDescent="0.3">
      <c r="D174" s="269"/>
      <c r="E174" s="269"/>
      <c r="F174" s="269"/>
      <c r="G174" s="269"/>
      <c r="H174" s="1203"/>
      <c r="I174" s="891"/>
      <c r="J174" s="1537"/>
      <c r="K174" s="269"/>
      <c r="L174" s="1203"/>
      <c r="M174" s="269"/>
      <c r="N174" s="1537"/>
      <c r="O174" s="269"/>
      <c r="P174" s="1203"/>
      <c r="Q174" s="269"/>
      <c r="R174" s="1537"/>
      <c r="S174" s="269"/>
      <c r="T174" s="1203"/>
      <c r="U174" s="269"/>
      <c r="V174" s="1537"/>
      <c r="W174" s="269"/>
      <c r="X174" s="269"/>
      <c r="Y174" s="269"/>
      <c r="Z174" s="269"/>
      <c r="AA174" s="269"/>
      <c r="AB174" s="1537"/>
      <c r="AC174" s="269"/>
    </row>
    <row r="175" spans="2:29" ht="15" hidden="1" customHeight="1" x14ac:dyDescent="0.3">
      <c r="D175" s="269"/>
      <c r="E175" s="269"/>
      <c r="F175" s="269"/>
      <c r="G175" s="269"/>
      <c r="H175" s="1203"/>
      <c r="I175" s="891"/>
      <c r="J175" s="1537"/>
      <c r="K175" s="269"/>
      <c r="L175" s="1203"/>
      <c r="M175" s="269"/>
      <c r="N175" s="1537"/>
      <c r="O175" s="269"/>
      <c r="P175" s="1203"/>
      <c r="Q175" s="269"/>
      <c r="R175" s="1537"/>
      <c r="S175" s="269"/>
      <c r="T175" s="1203"/>
      <c r="U175" s="269"/>
      <c r="V175" s="1537"/>
      <c r="W175" s="269"/>
      <c r="X175" s="269"/>
      <c r="Y175" s="269"/>
      <c r="Z175" s="269"/>
      <c r="AA175" s="269"/>
      <c r="AB175" s="1537"/>
      <c r="AC175" s="269"/>
    </row>
    <row r="176" spans="2:29" ht="15" hidden="1" customHeight="1" x14ac:dyDescent="0.3"/>
    <row r="177" ht="15" hidden="1" customHeight="1" x14ac:dyDescent="0.3"/>
    <row r="178" ht="15" hidden="1" customHeight="1" x14ac:dyDescent="0.3"/>
    <row r="179" ht="15" hidden="1" customHeight="1" x14ac:dyDescent="0.3"/>
    <row r="180" ht="15" hidden="1" customHeight="1" x14ac:dyDescent="0.3"/>
    <row r="181" ht="15" hidden="1" customHeight="1" x14ac:dyDescent="0.3"/>
  </sheetData>
  <mergeCells count="29">
    <mergeCell ref="AX4:AY4"/>
    <mergeCell ref="BD4:BE4"/>
    <mergeCell ref="AZ4:BA4"/>
    <mergeCell ref="BB4:BC4"/>
    <mergeCell ref="AT4:AU4"/>
    <mergeCell ref="AV4:AW4"/>
    <mergeCell ref="AP4:AQ4"/>
    <mergeCell ref="AR4:AS4"/>
    <mergeCell ref="AJ4:AK4"/>
    <mergeCell ref="AN4:AO4"/>
    <mergeCell ref="AL4:AM4"/>
    <mergeCell ref="Z4:AA4"/>
    <mergeCell ref="X4:Y4"/>
    <mergeCell ref="AF4:AG4"/>
    <mergeCell ref="AH4:AI4"/>
    <mergeCell ref="T4:U4"/>
    <mergeCell ref="AB4:AC4"/>
    <mergeCell ref="AD4:AE4"/>
    <mergeCell ref="V4:W4"/>
    <mergeCell ref="B4:B5"/>
    <mergeCell ref="C4:C5"/>
    <mergeCell ref="D4:E4"/>
    <mergeCell ref="F4:G4"/>
    <mergeCell ref="H4:I4"/>
    <mergeCell ref="R4:S4"/>
    <mergeCell ref="J4:K4"/>
    <mergeCell ref="L4:M4"/>
    <mergeCell ref="N4:O4"/>
    <mergeCell ref="P4:Q4"/>
  </mergeCells>
  <pageMargins left="0.7" right="0.7" top="0.75" bottom="0.75" header="0.3" footer="0.3"/>
  <pageSetup scale="3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>
    <tabColor rgb="FF660066"/>
    <pageSetUpPr fitToPage="1"/>
  </sheetPr>
  <dimension ref="A1:BK74"/>
  <sheetViews>
    <sheetView zoomScaleNormal="100" workbookViewId="0">
      <pane xSplit="4" topLeftCell="E1" activePane="topRight" state="frozen"/>
      <selection pane="topRight" activeCell="O15" sqref="O15:O19"/>
    </sheetView>
  </sheetViews>
  <sheetFormatPr defaultColWidth="8.88671875" defaultRowHeight="14.4" x14ac:dyDescent="0.3"/>
  <cols>
    <col min="1" max="1" width="6.5546875" customWidth="1"/>
    <col min="2" max="2" width="8.88671875" hidden="1" customWidth="1"/>
    <col min="3" max="3" width="40.33203125" customWidth="1"/>
    <col min="4" max="4" width="12.6640625" customWidth="1"/>
    <col min="5" max="5" width="7.88671875" bestFit="1" customWidth="1"/>
    <col min="6" max="6" width="8.44140625" bestFit="1" customWidth="1"/>
    <col min="7" max="7" width="7.88671875" customWidth="1"/>
    <col min="8" max="8" width="8.44140625" bestFit="1" customWidth="1"/>
    <col min="9" max="9" width="12.109375" hidden="1" customWidth="1"/>
    <col min="10" max="10" width="7.88671875" hidden="1" customWidth="1"/>
    <col min="11" max="11" width="7.88671875" customWidth="1"/>
    <col min="12" max="12" width="8.44140625" bestFit="1" customWidth="1"/>
    <col min="13" max="15" width="7.88671875" bestFit="1" customWidth="1"/>
    <col min="16" max="16" width="8.44140625" bestFit="1" customWidth="1"/>
    <col min="17" max="18" width="7.88671875" hidden="1" customWidth="1"/>
    <col min="19" max="19" width="7.88671875" customWidth="1"/>
    <col min="20" max="20" width="8.44140625" bestFit="1" customWidth="1"/>
    <col min="21" max="22" width="9" hidden="1" customWidth="1"/>
    <col min="23" max="24" width="7.88671875" customWidth="1"/>
    <col min="25" max="25" width="10.33203125" customWidth="1"/>
    <col min="26" max="28" width="9.109375" customWidth="1"/>
    <col min="29" max="30" width="7.88671875" customWidth="1"/>
    <col min="31" max="32" width="8.88671875" hidden="1" customWidth="1"/>
    <col min="33" max="34" width="8.88671875" customWidth="1"/>
    <col min="35" max="36" width="8.88671875" hidden="1" customWidth="1"/>
    <col min="37" max="40" width="8.88671875" customWidth="1"/>
    <col min="41" max="42" width="8.88671875" hidden="1" customWidth="1"/>
    <col min="43" max="43" width="7.88671875" customWidth="1"/>
    <col min="44" max="44" width="8.6640625" customWidth="1"/>
    <col min="45" max="45" width="8.88671875" hidden="1" customWidth="1"/>
    <col min="46" max="46" width="9" hidden="1" customWidth="1"/>
    <col min="47" max="48" width="8.88671875" customWidth="1"/>
    <col min="49" max="50" width="8.88671875" hidden="1" customWidth="1"/>
    <col min="51" max="58" width="8.88671875" customWidth="1"/>
    <col min="59" max="59" width="8.88671875" hidden="1" customWidth="1"/>
    <col min="60" max="60" width="0" hidden="1" customWidth="1"/>
  </cols>
  <sheetData>
    <row r="1" spans="1:63" x14ac:dyDescent="0.3">
      <c r="O1" s="146"/>
      <c r="S1" s="146"/>
    </row>
    <row r="2" spans="1:63" x14ac:dyDescent="0.3">
      <c r="C2" s="6474" t="s">
        <v>82</v>
      </c>
      <c r="O2" s="146"/>
      <c r="S2" s="146"/>
    </row>
    <row r="3" spans="1:63" ht="16.2" thickBot="1" x14ac:dyDescent="0.35">
      <c r="C3" s="6474"/>
      <c r="D3" s="1139"/>
      <c r="E3" s="1140">
        <v>30</v>
      </c>
      <c r="F3" s="1140">
        <v>30</v>
      </c>
      <c r="G3" s="1140">
        <v>31</v>
      </c>
      <c r="H3" s="1140">
        <v>31</v>
      </c>
      <c r="I3" s="1140">
        <f>+E3+G3</f>
        <v>61</v>
      </c>
      <c r="J3" s="1140">
        <f>+F3+H3</f>
        <v>61</v>
      </c>
      <c r="K3" s="1140">
        <v>30</v>
      </c>
      <c r="L3" s="1140">
        <v>30</v>
      </c>
      <c r="M3" s="1140">
        <f>+I3+K3</f>
        <v>91</v>
      </c>
      <c r="N3" s="1140">
        <f>+J3+L3</f>
        <v>91</v>
      </c>
      <c r="O3" s="1536">
        <v>31</v>
      </c>
      <c r="P3" s="1140">
        <v>31</v>
      </c>
      <c r="Q3" s="1140">
        <f>+M3+O3</f>
        <v>122</v>
      </c>
      <c r="R3" s="1140">
        <f>+N3+P3</f>
        <v>122</v>
      </c>
      <c r="S3" s="1536">
        <v>31</v>
      </c>
      <c r="T3" s="1140">
        <v>31</v>
      </c>
      <c r="U3" s="1140">
        <f>+Q3+S3</f>
        <v>153</v>
      </c>
      <c r="V3" s="1140">
        <f>+R3+T3</f>
        <v>153</v>
      </c>
      <c r="W3" s="1140">
        <v>30</v>
      </c>
      <c r="X3" s="1140">
        <v>30</v>
      </c>
      <c r="Y3" s="1140">
        <f>+O3+S3+W3</f>
        <v>92</v>
      </c>
      <c r="Z3" s="1140">
        <f>+P3+T3+X3</f>
        <v>92</v>
      </c>
      <c r="AA3" s="1140">
        <f>+U3+W3</f>
        <v>183</v>
      </c>
      <c r="AB3" s="1140">
        <f>+V3+X3</f>
        <v>183</v>
      </c>
      <c r="AC3" s="1140">
        <v>31</v>
      </c>
      <c r="AD3" s="1140">
        <v>31</v>
      </c>
      <c r="AE3" s="1140">
        <f>+AA3+AC3</f>
        <v>214</v>
      </c>
      <c r="AF3" s="1140">
        <f>+AB3+AD3</f>
        <v>214</v>
      </c>
      <c r="AG3" s="1140">
        <v>30</v>
      </c>
      <c r="AH3" s="1140">
        <v>30</v>
      </c>
      <c r="AI3" s="1140">
        <f>+AE3+AG3</f>
        <v>244</v>
      </c>
      <c r="AJ3" s="1140">
        <f>+AF3+AH3</f>
        <v>244</v>
      </c>
      <c r="AK3" s="1140">
        <v>31</v>
      </c>
      <c r="AL3" s="1140">
        <v>31</v>
      </c>
      <c r="AM3" s="1140">
        <f>+AC3+AG3+AK3</f>
        <v>92</v>
      </c>
      <c r="AN3" s="1140">
        <f>+AD3+AH3+AL3</f>
        <v>92</v>
      </c>
      <c r="AO3" s="1140">
        <f>+AI3+AK3</f>
        <v>275</v>
      </c>
      <c r="AP3" s="1140">
        <f>+AJ3+AL3</f>
        <v>275</v>
      </c>
      <c r="AQ3" s="1140">
        <v>31</v>
      </c>
      <c r="AR3" s="1140">
        <v>31</v>
      </c>
      <c r="AS3" s="1140">
        <f>+AO3+AQ3</f>
        <v>306</v>
      </c>
      <c r="AT3" s="1140">
        <f>+AP3+AR3</f>
        <v>306</v>
      </c>
      <c r="AU3" s="1140">
        <v>28</v>
      </c>
      <c r="AV3" s="1140">
        <v>28</v>
      </c>
      <c r="AW3" s="1140">
        <f>+AS3+AU3</f>
        <v>334</v>
      </c>
      <c r="AX3" s="1140">
        <f>+AT3+AV3</f>
        <v>334</v>
      </c>
      <c r="AY3" s="1140">
        <v>31</v>
      </c>
      <c r="AZ3" s="1140">
        <v>31</v>
      </c>
      <c r="BA3" s="1140">
        <f>+AQ3+AU3+AY3</f>
        <v>90</v>
      </c>
      <c r="BB3" s="1140">
        <f>+AR3+AV3+AZ3</f>
        <v>90</v>
      </c>
      <c r="BC3" s="1140">
        <f>+AM3+BA3</f>
        <v>182</v>
      </c>
      <c r="BD3" s="1140">
        <f>+AN3+BB3</f>
        <v>182</v>
      </c>
      <c r="BE3" s="1140">
        <f>+AW3+AY3</f>
        <v>365</v>
      </c>
      <c r="BF3" s="1140">
        <f>+AX3+AZ3</f>
        <v>365</v>
      </c>
    </row>
    <row r="4" spans="1:63" ht="15.6" x14ac:dyDescent="0.3">
      <c r="A4" s="146"/>
      <c r="B4" s="146"/>
      <c r="C4" s="6475" t="s">
        <v>534</v>
      </c>
      <c r="D4" s="6333" t="s">
        <v>172</v>
      </c>
      <c r="E4" s="6332" t="s">
        <v>1962</v>
      </c>
      <c r="F4" s="6333"/>
      <c r="G4" s="6332" t="s">
        <v>2013</v>
      </c>
      <c r="H4" s="6333"/>
      <c r="I4" s="6319" t="s">
        <v>14</v>
      </c>
      <c r="J4" s="6320"/>
      <c r="K4" s="6332" t="s">
        <v>2043</v>
      </c>
      <c r="L4" s="6333"/>
      <c r="M4" s="6334" t="s">
        <v>637</v>
      </c>
      <c r="N4" s="6335"/>
      <c r="O4" s="6332" t="s">
        <v>2065</v>
      </c>
      <c r="P4" s="6333"/>
      <c r="Q4" s="6480" t="s">
        <v>17</v>
      </c>
      <c r="R4" s="6481"/>
      <c r="S4" s="6332" t="s">
        <v>2068</v>
      </c>
      <c r="T4" s="6333"/>
      <c r="U4" s="6480" t="s">
        <v>18</v>
      </c>
      <c r="V4" s="6481"/>
      <c r="W4" s="6332" t="s">
        <v>2110</v>
      </c>
      <c r="X4" s="6333"/>
      <c r="Y4" s="6334" t="s">
        <v>660</v>
      </c>
      <c r="Z4" s="6335"/>
      <c r="AA4" s="6462" t="s">
        <v>657</v>
      </c>
      <c r="AB4" s="6463"/>
      <c r="AC4" s="6332" t="s">
        <v>2135</v>
      </c>
      <c r="AD4" s="6333"/>
      <c r="AE4" s="6319" t="s">
        <v>24</v>
      </c>
      <c r="AF4" s="6320"/>
      <c r="AG4" s="6332" t="s">
        <v>2238</v>
      </c>
      <c r="AH4" s="6333"/>
      <c r="AI4" s="6319" t="s">
        <v>27</v>
      </c>
      <c r="AJ4" s="6320"/>
      <c r="AK4" s="6332" t="s">
        <v>2262</v>
      </c>
      <c r="AL4" s="6333"/>
      <c r="AM4" s="6334" t="s">
        <v>662</v>
      </c>
      <c r="AN4" s="6335"/>
      <c r="AO4" s="6319" t="s">
        <v>1613</v>
      </c>
      <c r="AP4" s="6320"/>
      <c r="AQ4" s="6332" t="s">
        <v>2274</v>
      </c>
      <c r="AR4" s="6333"/>
      <c r="AS4" s="6319" t="s">
        <v>28</v>
      </c>
      <c r="AT4" s="6320"/>
      <c r="AU4" s="6332" t="s">
        <v>2311</v>
      </c>
      <c r="AV4" s="6333"/>
      <c r="AW4" s="6319" t="s">
        <v>30</v>
      </c>
      <c r="AX4" s="6320"/>
      <c r="AY4" s="6332" t="s">
        <v>2329</v>
      </c>
      <c r="AZ4" s="6333"/>
      <c r="BA4" s="6334" t="s">
        <v>663</v>
      </c>
      <c r="BB4" s="6335"/>
      <c r="BC4" s="6462" t="s">
        <v>670</v>
      </c>
      <c r="BD4" s="6463"/>
      <c r="BE4" s="6319" t="s">
        <v>2041</v>
      </c>
      <c r="BF4" s="6320"/>
    </row>
    <row r="5" spans="1:63" ht="16.2" thickBot="1" x14ac:dyDescent="0.35">
      <c r="A5" s="146"/>
      <c r="B5" s="146"/>
      <c r="C5" s="6476"/>
      <c r="D5" s="6477"/>
      <c r="E5" s="1141" t="s">
        <v>173</v>
      </c>
      <c r="F5" s="1142" t="s">
        <v>174</v>
      </c>
      <c r="G5" s="1141" t="s">
        <v>173</v>
      </c>
      <c r="H5" s="1142" t="s">
        <v>174</v>
      </c>
      <c r="I5" s="1468" t="s">
        <v>173</v>
      </c>
      <c r="J5" s="1138" t="s">
        <v>174</v>
      </c>
      <c r="K5" s="1141" t="s">
        <v>173</v>
      </c>
      <c r="L5" s="1142" t="s">
        <v>174</v>
      </c>
      <c r="M5" s="2668" t="s">
        <v>173</v>
      </c>
      <c r="N5" s="2669" t="s">
        <v>174</v>
      </c>
      <c r="O5" s="1141" t="s">
        <v>173</v>
      </c>
      <c r="P5" s="1142" t="s">
        <v>174</v>
      </c>
      <c r="Q5" s="2675" t="s">
        <v>173</v>
      </c>
      <c r="R5" s="2681" t="s">
        <v>174</v>
      </c>
      <c r="S5" s="1141" t="s">
        <v>173</v>
      </c>
      <c r="T5" s="1142" t="s">
        <v>174</v>
      </c>
      <c r="U5" s="2675" t="s">
        <v>173</v>
      </c>
      <c r="V5" s="2681" t="s">
        <v>174</v>
      </c>
      <c r="W5" s="1141" t="s">
        <v>173</v>
      </c>
      <c r="X5" s="1142" t="s">
        <v>174</v>
      </c>
      <c r="Y5" s="2668" t="s">
        <v>173</v>
      </c>
      <c r="Z5" s="2669" t="s">
        <v>174</v>
      </c>
      <c r="AA5" s="2661" t="s">
        <v>173</v>
      </c>
      <c r="AB5" s="2662" t="s">
        <v>174</v>
      </c>
      <c r="AC5" s="1141" t="s">
        <v>173</v>
      </c>
      <c r="AD5" s="1142" t="s">
        <v>174</v>
      </c>
      <c r="AE5" s="2675" t="s">
        <v>173</v>
      </c>
      <c r="AF5" s="1138" t="s">
        <v>174</v>
      </c>
      <c r="AG5" s="1141" t="s">
        <v>173</v>
      </c>
      <c r="AH5" s="1142" t="s">
        <v>174</v>
      </c>
      <c r="AI5" s="2675" t="s">
        <v>173</v>
      </c>
      <c r="AJ5" s="1138" t="s">
        <v>174</v>
      </c>
      <c r="AK5" s="1141" t="s">
        <v>173</v>
      </c>
      <c r="AL5" s="1142" t="s">
        <v>174</v>
      </c>
      <c r="AM5" s="2668" t="s">
        <v>173</v>
      </c>
      <c r="AN5" s="2669" t="s">
        <v>174</v>
      </c>
      <c r="AO5" s="2675" t="s">
        <v>173</v>
      </c>
      <c r="AP5" s="1138" t="s">
        <v>174</v>
      </c>
      <c r="AQ5" s="1141" t="s">
        <v>173</v>
      </c>
      <c r="AR5" s="1142" t="s">
        <v>174</v>
      </c>
      <c r="AS5" s="2675" t="s">
        <v>173</v>
      </c>
      <c r="AT5" s="1138" t="s">
        <v>174</v>
      </c>
      <c r="AU5" s="1141" t="s">
        <v>173</v>
      </c>
      <c r="AV5" s="1142" t="s">
        <v>174</v>
      </c>
      <c r="AW5" s="2675" t="s">
        <v>173</v>
      </c>
      <c r="AX5" s="1138" t="s">
        <v>174</v>
      </c>
      <c r="AY5" s="1141" t="s">
        <v>173</v>
      </c>
      <c r="AZ5" s="1142" t="s">
        <v>174</v>
      </c>
      <c r="BA5" s="2668" t="s">
        <v>173</v>
      </c>
      <c r="BB5" s="2669" t="s">
        <v>174</v>
      </c>
      <c r="BC5" s="2661" t="s">
        <v>173</v>
      </c>
      <c r="BD5" s="2662" t="s">
        <v>174</v>
      </c>
      <c r="BE5" s="2675" t="s">
        <v>173</v>
      </c>
      <c r="BF5" s="1138" t="s">
        <v>174</v>
      </c>
    </row>
    <row r="6" spans="1:63" ht="15.6" x14ac:dyDescent="0.3">
      <c r="A6" s="146"/>
      <c r="B6" s="146"/>
      <c r="C6" s="3089" t="s">
        <v>519</v>
      </c>
      <c r="D6" s="3090"/>
      <c r="E6" s="3091"/>
      <c r="F6" s="3090"/>
      <c r="G6" s="3091"/>
      <c r="H6" s="3090"/>
      <c r="I6" s="3092"/>
      <c r="J6" s="3093"/>
      <c r="K6" s="1150"/>
      <c r="L6" s="1151"/>
      <c r="M6" s="2670"/>
      <c r="N6" s="2671"/>
      <c r="O6" s="1150"/>
      <c r="P6" s="1151"/>
      <c r="Q6" s="2676"/>
      <c r="R6" s="2682"/>
      <c r="S6" s="1150"/>
      <c r="T6" s="1151"/>
      <c r="U6" s="2676"/>
      <c r="V6" s="2682"/>
      <c r="W6" s="1150"/>
      <c r="X6" s="1151"/>
      <c r="Y6" s="2670"/>
      <c r="Z6" s="2671"/>
      <c r="AA6" s="2663"/>
      <c r="AB6" s="2664"/>
      <c r="AC6" s="1150"/>
      <c r="AD6" s="1151"/>
      <c r="AE6" s="2676"/>
      <c r="AF6" s="2677"/>
      <c r="AG6" s="1150"/>
      <c r="AH6" s="1151"/>
      <c r="AI6" s="2676"/>
      <c r="AJ6" s="2677"/>
      <c r="AK6" s="1150"/>
      <c r="AL6" s="1151"/>
      <c r="AM6" s="2670"/>
      <c r="AN6" s="2671"/>
      <c r="AO6" s="2676"/>
      <c r="AP6" s="2677"/>
      <c r="AQ6" s="1150"/>
      <c r="AR6" s="1151"/>
      <c r="AS6" s="2676"/>
      <c r="AT6" s="2677"/>
      <c r="AU6" s="1150"/>
      <c r="AV6" s="1151"/>
      <c r="AW6" s="2676"/>
      <c r="AX6" s="2677"/>
      <c r="AY6" s="1150"/>
      <c r="AZ6" s="1151"/>
      <c r="BA6" s="2670"/>
      <c r="BB6" s="2671"/>
      <c r="BC6" s="2663"/>
      <c r="BD6" s="2664"/>
      <c r="BE6" s="2676"/>
      <c r="BF6" s="2677"/>
    </row>
    <row r="7" spans="1:63" ht="15.6" x14ac:dyDescent="0.3">
      <c r="C7" s="2014" t="s">
        <v>520</v>
      </c>
      <c r="D7" s="1960" t="s">
        <v>50</v>
      </c>
      <c r="E7" s="1572">
        <f>+E33*$E$35/1000</f>
        <v>58543.76197188253</v>
      </c>
      <c r="F7" s="2770">
        <v>53260</v>
      </c>
      <c r="G7" s="1572">
        <f>+G33*$E$35/1000</f>
        <v>60408.955503443933</v>
      </c>
      <c r="H7" s="2770">
        <v>57968</v>
      </c>
      <c r="I7" s="2640">
        <f>+E7+G7</f>
        <v>118952.71747532647</v>
      </c>
      <c r="J7" s="1164">
        <f>+F7+H7</f>
        <v>111228</v>
      </c>
      <c r="K7" s="1572">
        <f>+K33*$E$35/1000</f>
        <v>58543.76197188253</v>
      </c>
      <c r="L7" s="2770">
        <v>59622</v>
      </c>
      <c r="M7" s="1144">
        <f>E7+G7+K7</f>
        <v>177496.47944720899</v>
      </c>
      <c r="N7" s="1145">
        <f>F7+H7+L7</f>
        <v>170850</v>
      </c>
      <c r="O7" s="1572">
        <f>+O33*$E$35/1000</f>
        <v>59243.209546218117</v>
      </c>
      <c r="P7" s="2770">
        <v>66125</v>
      </c>
      <c r="Q7" s="2640">
        <f>+M7+O7</f>
        <v>236739.68899342709</v>
      </c>
      <c r="R7" s="1164">
        <f>+N7+P7</f>
        <v>236975</v>
      </c>
      <c r="S7" s="1572">
        <f>+S33*$E$35/1000</f>
        <v>59243.209546218117</v>
      </c>
      <c r="T7" s="2770">
        <v>59020</v>
      </c>
      <c r="U7" s="2640">
        <f>+Q7+S7</f>
        <v>295982.89853964519</v>
      </c>
      <c r="V7" s="1164">
        <f>+R7+T7</f>
        <v>295995</v>
      </c>
      <c r="W7" s="1572">
        <f>+W33*$E$35/1000</f>
        <v>31090.44467921375</v>
      </c>
      <c r="X7" s="2770">
        <v>57997</v>
      </c>
      <c r="Y7" s="1144">
        <f>O7+S7+W7</f>
        <v>149576.86377164998</v>
      </c>
      <c r="Z7" s="1145">
        <f>P7+T7+X7</f>
        <v>183142</v>
      </c>
      <c r="AA7" s="1147">
        <f>+U7+W7</f>
        <v>327073.34321885894</v>
      </c>
      <c r="AB7" s="1148">
        <f>+V7+X7</f>
        <v>353992</v>
      </c>
      <c r="AC7" s="1572">
        <f>+AC33*$E$35/1000</f>
        <v>60408.955503443933</v>
      </c>
      <c r="AD7" s="2770">
        <v>47901</v>
      </c>
      <c r="AE7" s="2640">
        <f>+AA7+AC7</f>
        <v>387482.29872230289</v>
      </c>
      <c r="AF7" s="1164">
        <f>+AB7+AD7</f>
        <v>401893</v>
      </c>
      <c r="AG7" s="1572">
        <f>+AG33*$E$35/1000</f>
        <v>58543.76197188253</v>
      </c>
      <c r="AH7" s="2770">
        <v>54250</v>
      </c>
      <c r="AI7" s="2640">
        <f>+AE7+AG7</f>
        <v>446026.06069418543</v>
      </c>
      <c r="AJ7" s="1164">
        <f>+AF7+AH7</f>
        <v>456143</v>
      </c>
      <c r="AK7" s="1572">
        <f>+AK33*$E$35/1000</f>
        <v>60408.955503443933</v>
      </c>
      <c r="AL7" s="2770">
        <v>55839</v>
      </c>
      <c r="AM7" s="1144">
        <f>AC7+AG7+AK7</f>
        <v>179361.6729787704</v>
      </c>
      <c r="AN7" s="1145">
        <f>AD7+AH7+AL7</f>
        <v>157990</v>
      </c>
      <c r="AO7" s="2640">
        <f>+AI7+AK7</f>
        <v>506435.01619762939</v>
      </c>
      <c r="AP7" s="1164">
        <f>+AJ7+AL7</f>
        <v>511982</v>
      </c>
      <c r="AQ7" s="1572">
        <f>+AQ33*$E$35/1000</f>
        <v>61341.55226922466</v>
      </c>
      <c r="AR7" s="2770">
        <v>62540</v>
      </c>
      <c r="AS7" s="2640">
        <f>+AO7+AQ7</f>
        <v>567776.56846685405</v>
      </c>
      <c r="AT7" s="1164">
        <f>+AP7+AR7</f>
        <v>574522</v>
      </c>
      <c r="AU7" s="1572">
        <f>+AU33*$E$35/1000</f>
        <v>54813.374908759848</v>
      </c>
      <c r="AV7" s="2770">
        <v>51931</v>
      </c>
      <c r="AW7" s="2640">
        <f>+AS7+AU7</f>
        <v>622589.94337561389</v>
      </c>
      <c r="AX7" s="1164">
        <f>+AT7+AV7</f>
        <v>626453</v>
      </c>
      <c r="AY7" s="1572">
        <f>+AY33*$E$35/1000</f>
        <v>61341.55226922466</v>
      </c>
      <c r="AZ7" s="2770">
        <v>56061</v>
      </c>
      <c r="BA7" s="1144">
        <f>AQ7+AU7+AY7</f>
        <v>177496.47944720916</v>
      </c>
      <c r="BB7" s="1145">
        <f>AR7+AV7+AZ7</f>
        <v>170532</v>
      </c>
      <c r="BC7" s="1147">
        <f>AM7+BA7</f>
        <v>356858.15242597956</v>
      </c>
      <c r="BD7" s="1147">
        <f>AN7+BB7</f>
        <v>328522</v>
      </c>
      <c r="BE7" s="2640">
        <f>+AW7+AY7</f>
        <v>683931.49564483855</v>
      </c>
      <c r="BF7" s="1164">
        <f>+AX7+AZ7</f>
        <v>682514</v>
      </c>
      <c r="BG7" s="1202">
        <f>AY7+AU7+AQ7+AK7+AG7+AC7+W7+S7+O7+K7+G7+E7-BE7</f>
        <v>0</v>
      </c>
      <c r="BH7" s="1202">
        <f>AZ7+AV7+AR7+AL7+AH7+AD7+X7+T7+P7+L7+H7+F7-BF7</f>
        <v>0</v>
      </c>
      <c r="BI7" s="26"/>
      <c r="BJ7" s="26"/>
      <c r="BK7" s="1520"/>
    </row>
    <row r="8" spans="1:63" ht="15.6" x14ac:dyDescent="0.3">
      <c r="A8" s="146"/>
      <c r="B8" s="146"/>
      <c r="C8" s="6472" t="s">
        <v>521</v>
      </c>
      <c r="D8" s="2770" t="s">
        <v>50</v>
      </c>
      <c r="E8" s="1572">
        <f>+E7*E9/100</f>
        <v>11708.752394376506</v>
      </c>
      <c r="F8" s="2770">
        <v>14913</v>
      </c>
      <c r="G8" s="1572">
        <f>+G7*G9/100</f>
        <v>12081.791100688786</v>
      </c>
      <c r="H8" s="2770">
        <v>14492</v>
      </c>
      <c r="I8" s="2640">
        <f>+E8+G8</f>
        <v>23790.543495065293</v>
      </c>
      <c r="J8" s="1164">
        <f>+F8+H8</f>
        <v>29405</v>
      </c>
      <c r="K8" s="1572">
        <f>+K7*K9/100</f>
        <v>11708.752394376506</v>
      </c>
      <c r="L8" s="2770">
        <v>14309</v>
      </c>
      <c r="M8" s="1144">
        <f>E8+G8+K8</f>
        <v>35499.295889441797</v>
      </c>
      <c r="N8" s="1145">
        <f>F8+H8+L8</f>
        <v>43714</v>
      </c>
      <c r="O8" s="1572">
        <f>+O7*O9/100</f>
        <v>11848.641909243623</v>
      </c>
      <c r="P8" s="2770">
        <v>18251</v>
      </c>
      <c r="Q8" s="2640">
        <f>+M8+O8</f>
        <v>47347.937798685423</v>
      </c>
      <c r="R8" s="1164">
        <f>+N8+P8</f>
        <v>61965</v>
      </c>
      <c r="S8" s="1572">
        <f>+S7*S9/100</f>
        <v>11848.641909243623</v>
      </c>
      <c r="T8" s="2770">
        <v>15345</v>
      </c>
      <c r="U8" s="2640">
        <f>+Q8+S8</f>
        <v>59196.57970792905</v>
      </c>
      <c r="V8" s="1164">
        <f>+R8+T8</f>
        <v>77310</v>
      </c>
      <c r="W8" s="1572">
        <f>+W7*W9/100</f>
        <v>6218.0889358427503</v>
      </c>
      <c r="X8" s="2770">
        <v>15590</v>
      </c>
      <c r="Y8" s="1144">
        <f>O8+S8+W8</f>
        <v>29915.372754329997</v>
      </c>
      <c r="Z8" s="1145">
        <f>P8+T8+X8</f>
        <v>49186</v>
      </c>
      <c r="AA8" s="1147">
        <f>+U8+W8</f>
        <v>65414.668643771802</v>
      </c>
      <c r="AB8" s="1148">
        <f>+V8+X8</f>
        <v>92900</v>
      </c>
      <c r="AC8" s="1572">
        <f>+AC7*AC9/100</f>
        <v>12081.791100688786</v>
      </c>
      <c r="AD8" s="2770">
        <v>14399</v>
      </c>
      <c r="AE8" s="2640">
        <f>+AA8+AC8</f>
        <v>77496.45974446059</v>
      </c>
      <c r="AF8" s="1164">
        <f>+AB8+AD8</f>
        <v>107299</v>
      </c>
      <c r="AG8" s="1572">
        <f>+AG7*AG9/100</f>
        <v>11708.752394376506</v>
      </c>
      <c r="AH8" s="2770">
        <v>13904</v>
      </c>
      <c r="AI8" s="2640">
        <f>+AE8+AG8</f>
        <v>89205.212138837102</v>
      </c>
      <c r="AJ8" s="1164">
        <f>+AF8+AH8</f>
        <v>121203</v>
      </c>
      <c r="AK8" s="1572">
        <f>+AK7*AK9/100</f>
        <v>12081.791100688786</v>
      </c>
      <c r="AL8" s="2770">
        <v>13680</v>
      </c>
      <c r="AM8" s="1144">
        <f>AC8+AG8+AK8</f>
        <v>35872.334595754081</v>
      </c>
      <c r="AN8" s="1145">
        <f>AD8+AH8+AL8</f>
        <v>41983</v>
      </c>
      <c r="AO8" s="2640">
        <f>+AI8+AK8</f>
        <v>101287.00323952589</v>
      </c>
      <c r="AP8" s="1164">
        <f>+AJ8+AL8</f>
        <v>134883</v>
      </c>
      <c r="AQ8" s="1572">
        <f>+AQ7*AQ9/100</f>
        <v>12268.310453844932</v>
      </c>
      <c r="AR8" s="2770">
        <v>16886</v>
      </c>
      <c r="AS8" s="2640">
        <f>+AO8+AQ8</f>
        <v>113555.31369337082</v>
      </c>
      <c r="AT8" s="1164">
        <f>+AP8+AR8</f>
        <v>151769</v>
      </c>
      <c r="AU8" s="1572">
        <f>+AU7*AU9/100</f>
        <v>10962.67498175197</v>
      </c>
      <c r="AV8" s="2770">
        <v>13762</v>
      </c>
      <c r="AW8" s="2640">
        <f>+AS8+AU8</f>
        <v>124517.98867512279</v>
      </c>
      <c r="AX8" s="1164">
        <f>+AT8+AV8</f>
        <v>165531</v>
      </c>
      <c r="AY8" s="1572">
        <f>+AY7*AY9/100</f>
        <v>12268.310453844932</v>
      </c>
      <c r="AZ8" s="2770">
        <v>15445</v>
      </c>
      <c r="BA8" s="1144">
        <f>AQ8+AU8+AY8</f>
        <v>35499.295889441833</v>
      </c>
      <c r="BB8" s="1145">
        <f>AR8+AV8+AZ8</f>
        <v>46093</v>
      </c>
      <c r="BC8" s="1147">
        <f>AM8+BA8</f>
        <v>71371.630485195914</v>
      </c>
      <c r="BD8" s="1147">
        <f>AN8+BB8</f>
        <v>88076</v>
      </c>
      <c r="BE8" s="2640">
        <f>+AW8+AY8</f>
        <v>136786.29912896772</v>
      </c>
      <c r="BF8" s="1164">
        <f>+AX8+AZ8</f>
        <v>180976</v>
      </c>
      <c r="BG8" s="1202">
        <f t="shared" ref="BG8:BG27" si="0">AY8+AU8+AQ8+AK8+AG8+AC8+W8+S8+O8+K8+G8+E8-BE8</f>
        <v>0</v>
      </c>
      <c r="BH8" s="1202">
        <f t="shared" ref="BH8:BH27" si="1">AZ8+AV8+AR8+AL8+AH8+AD8+X8+T8+P8+L8+H8+F8-BF8</f>
        <v>0</v>
      </c>
      <c r="BI8" s="26"/>
      <c r="BJ8" s="26"/>
      <c r="BK8" s="1520"/>
    </row>
    <row r="9" spans="1:63" ht="15.6" x14ac:dyDescent="0.3">
      <c r="A9" s="146"/>
      <c r="B9" s="146"/>
      <c r="C9" s="6472"/>
      <c r="D9" s="2770" t="s">
        <v>49</v>
      </c>
      <c r="E9" s="2769">
        <v>20</v>
      </c>
      <c r="F9" s="1143">
        <f>+F8/F7*100</f>
        <v>28.000375516334962</v>
      </c>
      <c r="G9" s="2769">
        <v>20</v>
      </c>
      <c r="H9" s="1143">
        <f>+H8/H7*100</f>
        <v>25</v>
      </c>
      <c r="I9" s="2643">
        <f>+I8/I7*100</f>
        <v>20</v>
      </c>
      <c r="J9" s="2678">
        <f>+J8/J7*100</f>
        <v>26.436688603589026</v>
      </c>
      <c r="K9" s="2769">
        <v>20</v>
      </c>
      <c r="L9" s="1143">
        <f>+L8/L7*100</f>
        <v>23.999530374693904</v>
      </c>
      <c r="M9" s="2641">
        <f>+M8/M7*100</f>
        <v>20</v>
      </c>
      <c r="N9" s="2672">
        <f>+N8/N7*100</f>
        <v>25.586186713491365</v>
      </c>
      <c r="O9" s="2769">
        <v>20</v>
      </c>
      <c r="P9" s="1143">
        <f>+P8/P7*100</f>
        <v>27.600756143667297</v>
      </c>
      <c r="Q9" s="2643">
        <f>+Q8/Q7*100</f>
        <v>20</v>
      </c>
      <c r="R9" s="2678">
        <f>+R8/R7*100</f>
        <v>26.148327882688051</v>
      </c>
      <c r="S9" s="2769">
        <v>20</v>
      </c>
      <c r="T9" s="1143">
        <f>+T8/T7*100</f>
        <v>25.999661131819725</v>
      </c>
      <c r="U9" s="2643">
        <f>+U8/U7*100</f>
        <v>20.000000000000004</v>
      </c>
      <c r="V9" s="2678">
        <f>+V8/V7*100</f>
        <v>26.118684437237118</v>
      </c>
      <c r="W9" s="2769">
        <v>20</v>
      </c>
      <c r="X9" s="1143">
        <f>+X8/X7*100</f>
        <v>26.880700725899615</v>
      </c>
      <c r="Y9" s="2641">
        <f>+Y8/Y7*100</f>
        <v>20</v>
      </c>
      <c r="Z9" s="2672">
        <f>+Z8/Z7*100</f>
        <v>26.856755959856287</v>
      </c>
      <c r="AA9" s="2642">
        <f>+AA8/AA7*100</f>
        <v>20.000000000000004</v>
      </c>
      <c r="AB9" s="2665">
        <f>+AB8/AB7*100</f>
        <v>26.243530927252596</v>
      </c>
      <c r="AC9" s="2769">
        <v>20</v>
      </c>
      <c r="AD9" s="1143">
        <f>+AD8/AD7*100</f>
        <v>30.059915241852984</v>
      </c>
      <c r="AE9" s="2643">
        <f>+AE8/AE7*100</f>
        <v>20.000000000000004</v>
      </c>
      <c r="AF9" s="2678">
        <f>+AF8/AF7*100</f>
        <v>26.698399822838415</v>
      </c>
      <c r="AG9" s="2769">
        <v>20</v>
      </c>
      <c r="AH9" s="1143">
        <f>+AH8/AH7*100</f>
        <v>25.629493087557602</v>
      </c>
      <c r="AI9" s="2643">
        <f>+AI8/AI7*100</f>
        <v>20.000000000000004</v>
      </c>
      <c r="AJ9" s="2678">
        <f>+AJ8/AJ7*100</f>
        <v>26.571272605301409</v>
      </c>
      <c r="AK9" s="2769">
        <v>20</v>
      </c>
      <c r="AL9" s="1143">
        <f>+AL8/AL7*100</f>
        <v>24.499006071025629</v>
      </c>
      <c r="AM9" s="2641">
        <f>+AM8/AM7*100</f>
        <v>20</v>
      </c>
      <c r="AN9" s="2672">
        <f>+AN8/AN7*100</f>
        <v>26.573200835495918</v>
      </c>
      <c r="AO9" s="2643">
        <f>+AO8/AO7*100</f>
        <v>20</v>
      </c>
      <c r="AP9" s="2678">
        <f>+AP8/AP7*100</f>
        <v>26.345262138122045</v>
      </c>
      <c r="AQ9" s="2769">
        <v>20</v>
      </c>
      <c r="AR9" s="1143">
        <f>+AR8/AR7*100</f>
        <v>27.000319795330991</v>
      </c>
      <c r="AS9" s="2643">
        <f>+AS8/AS7*100</f>
        <v>20</v>
      </c>
      <c r="AT9" s="2678">
        <f>+AT8/AT7*100</f>
        <v>26.416568904236915</v>
      </c>
      <c r="AU9" s="2769">
        <v>20</v>
      </c>
      <c r="AV9" s="1143">
        <f>+AV8/AV7*100</f>
        <v>26.500548805145289</v>
      </c>
      <c r="AW9" s="2643">
        <f>+AW8/AW7*100</f>
        <v>20</v>
      </c>
      <c r="AX9" s="2678">
        <f>+AX8/AX7*100</f>
        <v>26.423530576116644</v>
      </c>
      <c r="AY9" s="2769">
        <v>20</v>
      </c>
      <c r="AZ9" s="1143">
        <f>+AZ8/AZ7*100</f>
        <v>27.550346943507964</v>
      </c>
      <c r="BA9" s="2641">
        <f t="shared" ref="BA9:BF9" si="2">+BA8/BA7*100</f>
        <v>20</v>
      </c>
      <c r="BB9" s="2672">
        <f t="shared" si="2"/>
        <v>27.02894471418854</v>
      </c>
      <c r="BC9" s="2642">
        <f t="shared" si="2"/>
        <v>20</v>
      </c>
      <c r="BD9" s="2665">
        <f t="shared" si="2"/>
        <v>26.809772252695407</v>
      </c>
      <c r="BE9" s="2643">
        <f t="shared" si="2"/>
        <v>20</v>
      </c>
      <c r="BF9" s="2678">
        <f t="shared" si="2"/>
        <v>26.516086116914817</v>
      </c>
      <c r="BG9" s="1202"/>
      <c r="BH9" s="1202"/>
      <c r="BI9" s="26"/>
      <c r="BJ9" s="26"/>
      <c r="BK9" s="1520"/>
    </row>
    <row r="10" spans="1:63" ht="15.6" x14ac:dyDescent="0.3">
      <c r="A10" s="146"/>
      <c r="B10" s="146"/>
      <c r="C10" s="2771" t="s">
        <v>522</v>
      </c>
      <c r="D10" s="2770" t="s">
        <v>50</v>
      </c>
      <c r="E10" s="1572">
        <f>+E7-E8</f>
        <v>46835.009577506025</v>
      </c>
      <c r="F10" s="2770">
        <f>+F7-F8</f>
        <v>38347</v>
      </c>
      <c r="G10" s="1572">
        <f>+G7-G8</f>
        <v>48327.164402755145</v>
      </c>
      <c r="H10" s="2770">
        <f>+H7-H8</f>
        <v>43476</v>
      </c>
      <c r="I10" s="2640">
        <f>+E10+G10</f>
        <v>95162.17398026117</v>
      </c>
      <c r="J10" s="1164">
        <f>+F10+H10</f>
        <v>81823</v>
      </c>
      <c r="K10" s="1572">
        <f>+K7-K8</f>
        <v>46835.009577506025</v>
      </c>
      <c r="L10" s="2770">
        <f>+L7-L8</f>
        <v>45313</v>
      </c>
      <c r="M10" s="1144">
        <f>E10+G10+K10</f>
        <v>141997.18355776719</v>
      </c>
      <c r="N10" s="1145">
        <f>F10+H10+L10</f>
        <v>127136</v>
      </c>
      <c r="O10" s="1572">
        <f>+O7-O8</f>
        <v>47394.567636974491</v>
      </c>
      <c r="P10" s="2770">
        <f>+P7-P8</f>
        <v>47874</v>
      </c>
      <c r="Q10" s="2640">
        <f>+M10+O10</f>
        <v>189391.75119474169</v>
      </c>
      <c r="R10" s="1164">
        <f>+N10+P10</f>
        <v>175010</v>
      </c>
      <c r="S10" s="1572">
        <f>+S7-S8</f>
        <v>47394.567636974491</v>
      </c>
      <c r="T10" s="2770">
        <f>+T7-T8</f>
        <v>43675</v>
      </c>
      <c r="U10" s="2640">
        <f>+Q10+S10</f>
        <v>236786.3188317162</v>
      </c>
      <c r="V10" s="1164">
        <f>+R10+T10</f>
        <v>218685</v>
      </c>
      <c r="W10" s="1572">
        <f>+W7-W8</f>
        <v>24872.355743371001</v>
      </c>
      <c r="X10" s="2770">
        <f>+X7-X8</f>
        <v>42407</v>
      </c>
      <c r="Y10" s="1144">
        <f>O10+S10+W10</f>
        <v>119661.49101731999</v>
      </c>
      <c r="Z10" s="1145">
        <f>P10+T10+X10</f>
        <v>133956</v>
      </c>
      <c r="AA10" s="1147">
        <f>+U10+W10</f>
        <v>261658.67457508721</v>
      </c>
      <c r="AB10" s="1148">
        <f>+V10+X10</f>
        <v>261092</v>
      </c>
      <c r="AC10" s="1572">
        <f>+AC7-AC8</f>
        <v>48327.164402755145</v>
      </c>
      <c r="AD10" s="2770">
        <f>+AD7-AD8</f>
        <v>33502</v>
      </c>
      <c r="AE10" s="2640">
        <f>+AA10+AC10</f>
        <v>309985.83897784236</v>
      </c>
      <c r="AF10" s="1164">
        <f>+AB10+AD10</f>
        <v>294594</v>
      </c>
      <c r="AG10" s="1572">
        <f>+AG7-AG8</f>
        <v>46835.009577506025</v>
      </c>
      <c r="AH10" s="2770">
        <f>+AH7-AH8</f>
        <v>40346</v>
      </c>
      <c r="AI10" s="2640">
        <f>+AE10+AG10</f>
        <v>356820.84855534841</v>
      </c>
      <c r="AJ10" s="1164">
        <f>+AF10+AH10</f>
        <v>334940</v>
      </c>
      <c r="AK10" s="1572">
        <f>+AK7-AK8</f>
        <v>48327.164402755145</v>
      </c>
      <c r="AL10" s="2770">
        <f>+AL7-AL8</f>
        <v>42159</v>
      </c>
      <c r="AM10" s="1144">
        <f>AC10+AG10+AK10</f>
        <v>143489.33838301632</v>
      </c>
      <c r="AN10" s="1145">
        <f>AD10+AH10+AL10</f>
        <v>116007</v>
      </c>
      <c r="AO10" s="2640">
        <f>+AI10+AK10</f>
        <v>405148.01295810356</v>
      </c>
      <c r="AP10" s="1164">
        <f>+AJ10+AL10</f>
        <v>377099</v>
      </c>
      <c r="AQ10" s="1572">
        <f>+AQ7-AQ8</f>
        <v>49073.241815379726</v>
      </c>
      <c r="AR10" s="2770">
        <f>+AR7-AR8</f>
        <v>45654</v>
      </c>
      <c r="AS10" s="2640">
        <f>+AO10+AQ10</f>
        <v>454221.25477348326</v>
      </c>
      <c r="AT10" s="1164">
        <f>+AP10+AR10</f>
        <v>422753</v>
      </c>
      <c r="AU10" s="1572">
        <f>+AU7-AU8</f>
        <v>43850.699927007881</v>
      </c>
      <c r="AV10" s="2770">
        <f>+AV7-AV8</f>
        <v>38169</v>
      </c>
      <c r="AW10" s="2640">
        <f>+AS10+AU10</f>
        <v>498071.95470049116</v>
      </c>
      <c r="AX10" s="1164">
        <f>+AT10+AV10</f>
        <v>460922</v>
      </c>
      <c r="AY10" s="1572">
        <f>+AY7-AY8</f>
        <v>49073.241815379726</v>
      </c>
      <c r="AZ10" s="2770">
        <f>+AZ7-AZ8</f>
        <v>40616</v>
      </c>
      <c r="BA10" s="1144">
        <f>AQ10+AU10+AY10</f>
        <v>141997.18355776733</v>
      </c>
      <c r="BB10" s="1145">
        <f>AR10+AV10+AZ10</f>
        <v>124439</v>
      </c>
      <c r="BC10" s="1147">
        <f t="shared" ref="BC10:BC11" si="3">AM10+BA10</f>
        <v>285486.52194078366</v>
      </c>
      <c r="BD10" s="1147">
        <f t="shared" ref="BD10:BD11" si="4">AN10+BB10</f>
        <v>240446</v>
      </c>
      <c r="BE10" s="2640">
        <f>+AW10+AY10</f>
        <v>547145.19651587086</v>
      </c>
      <c r="BF10" s="1164">
        <f>+AX10+AZ10</f>
        <v>501538</v>
      </c>
      <c r="BG10" s="1202">
        <f t="shared" si="0"/>
        <v>0</v>
      </c>
      <c r="BH10" s="1202">
        <f t="shared" si="1"/>
        <v>0</v>
      </c>
      <c r="BI10" s="26"/>
      <c r="BJ10" s="26"/>
      <c r="BK10" s="1520"/>
    </row>
    <row r="11" spans="1:63" ht="15.6" x14ac:dyDescent="0.3">
      <c r="A11" s="146"/>
      <c r="B11" s="146"/>
      <c r="C11" s="2771" t="s">
        <v>523</v>
      </c>
      <c r="D11" s="2770" t="s">
        <v>50</v>
      </c>
      <c r="E11" s="1572">
        <f>+E10*E12/100</f>
        <v>26227.605363403374</v>
      </c>
      <c r="F11" s="2770">
        <v>21091</v>
      </c>
      <c r="G11" s="1572">
        <f>+G10*G12/100</f>
        <v>27063.212065542881</v>
      </c>
      <c r="H11" s="2770">
        <v>23912</v>
      </c>
      <c r="I11" s="2640">
        <f>+E11+G11</f>
        <v>53290.817428946255</v>
      </c>
      <c r="J11" s="1164">
        <f>+F11+H11</f>
        <v>45003</v>
      </c>
      <c r="K11" s="1572">
        <f>+K10*K12/100</f>
        <v>26227.605363403374</v>
      </c>
      <c r="L11" s="2770">
        <v>24922</v>
      </c>
      <c r="M11" s="1144">
        <f>E11+G11+K11</f>
        <v>79518.422792349622</v>
      </c>
      <c r="N11" s="1145">
        <f>F11+H11+L11</f>
        <v>69925</v>
      </c>
      <c r="O11" s="1572">
        <f>+O10*O12/100</f>
        <v>26540.957876705714</v>
      </c>
      <c r="P11" s="2770">
        <v>26331</v>
      </c>
      <c r="Q11" s="2640">
        <f>+M11+O11</f>
        <v>106059.38066905533</v>
      </c>
      <c r="R11" s="1164">
        <f>+N11+P11</f>
        <v>96256</v>
      </c>
      <c r="S11" s="1572">
        <f>+S10*S12/100</f>
        <v>26540.957876705714</v>
      </c>
      <c r="T11" s="2770">
        <v>24021</v>
      </c>
      <c r="U11" s="2640">
        <f>+Q11+S11</f>
        <v>132600.33854576104</v>
      </c>
      <c r="V11" s="1164">
        <f>+R11+T11</f>
        <v>120277</v>
      </c>
      <c r="W11" s="1572">
        <f>+W10*W12/100</f>
        <v>13928.519216287759</v>
      </c>
      <c r="X11" s="2770">
        <v>23324</v>
      </c>
      <c r="Y11" s="1144">
        <f>O11+S11+W11</f>
        <v>67010.434969699185</v>
      </c>
      <c r="Z11" s="1145">
        <f>P11+T11+X11</f>
        <v>73676</v>
      </c>
      <c r="AA11" s="1147">
        <f>+U11+W11</f>
        <v>146528.85776204881</v>
      </c>
      <c r="AB11" s="1148">
        <f>+V11+X11</f>
        <v>143601</v>
      </c>
      <c r="AC11" s="1572">
        <f>+AC10*AC12/100</f>
        <v>27063.212065542881</v>
      </c>
      <c r="AD11" s="2770">
        <v>18426</v>
      </c>
      <c r="AE11" s="2640">
        <f>+AA11+AC11</f>
        <v>173592.06982759168</v>
      </c>
      <c r="AF11" s="1164">
        <f>+AB11+AD11</f>
        <v>162027</v>
      </c>
      <c r="AG11" s="1572">
        <f>+AG10*AG12/100</f>
        <v>26227.605363403374</v>
      </c>
      <c r="AH11" s="2770">
        <v>22190</v>
      </c>
      <c r="AI11" s="2640">
        <f>+AE11+AG11</f>
        <v>199819.67519099504</v>
      </c>
      <c r="AJ11" s="1164">
        <f>+AF11+AH11</f>
        <v>184217</v>
      </c>
      <c r="AK11" s="1572">
        <f>+AK10*AK12/100</f>
        <v>27063.212065542881</v>
      </c>
      <c r="AL11" s="2770">
        <v>23187</v>
      </c>
      <c r="AM11" s="1144">
        <f>AC11+AG11+AK11</f>
        <v>80354.029494489136</v>
      </c>
      <c r="AN11" s="1145">
        <f>AD11+AH11+AL11</f>
        <v>63803</v>
      </c>
      <c r="AO11" s="2640">
        <f>+AI11+AK11</f>
        <v>226882.88725653791</v>
      </c>
      <c r="AP11" s="1164">
        <f>+AJ11+AL11</f>
        <v>207404</v>
      </c>
      <c r="AQ11" s="1572">
        <f>+AQ10*AQ12/100</f>
        <v>27481.015416612649</v>
      </c>
      <c r="AR11" s="2770">
        <v>25110</v>
      </c>
      <c r="AS11" s="2640">
        <f>+AO11+AQ11</f>
        <v>254363.90267315056</v>
      </c>
      <c r="AT11" s="1164">
        <f>+AP11+AR11</f>
        <v>232514</v>
      </c>
      <c r="AU11" s="1572">
        <f>+AU10*AU12/100</f>
        <v>24556.391959124412</v>
      </c>
      <c r="AV11" s="2770">
        <v>20993</v>
      </c>
      <c r="AW11" s="2640">
        <f>+AS11+AU11</f>
        <v>278920.29463227495</v>
      </c>
      <c r="AX11" s="1164">
        <f>+AT11+AV11</f>
        <v>253507</v>
      </c>
      <c r="AY11" s="1572">
        <f>+AY10*AY12/100</f>
        <v>27481.015416612649</v>
      </c>
      <c r="AZ11" s="2770">
        <v>22745</v>
      </c>
      <c r="BA11" s="1144">
        <f>AQ11+AU11+AY11</f>
        <v>79518.422792349709</v>
      </c>
      <c r="BB11" s="1145">
        <f>AR11+AV11+AZ11</f>
        <v>68848</v>
      </c>
      <c r="BC11" s="1147">
        <f t="shared" si="3"/>
        <v>159872.45228683884</v>
      </c>
      <c r="BD11" s="1147">
        <f t="shared" si="4"/>
        <v>132651</v>
      </c>
      <c r="BE11" s="2640">
        <f>+AW11+AY11</f>
        <v>306401.31004888762</v>
      </c>
      <c r="BF11" s="1164">
        <f>+AX11+AZ11</f>
        <v>276252</v>
      </c>
      <c r="BG11" s="1202">
        <f t="shared" si="0"/>
        <v>0</v>
      </c>
      <c r="BH11" s="1202">
        <f t="shared" si="1"/>
        <v>0</v>
      </c>
      <c r="BI11" s="26"/>
      <c r="BJ11" s="26"/>
      <c r="BK11" s="1520"/>
    </row>
    <row r="12" spans="1:63" ht="15.6" x14ac:dyDescent="0.3">
      <c r="A12" s="146"/>
      <c r="B12" s="146"/>
      <c r="C12" s="2771" t="s">
        <v>524</v>
      </c>
      <c r="D12" s="2770" t="s">
        <v>49</v>
      </c>
      <c r="E12" s="2769">
        <v>56</v>
      </c>
      <c r="F12" s="1129">
        <f>+F11/F10*100</f>
        <v>55.000391164889038</v>
      </c>
      <c r="G12" s="2769">
        <v>56</v>
      </c>
      <c r="H12" s="1129">
        <f>+H11/H10*100</f>
        <v>55.000460023921249</v>
      </c>
      <c r="I12" s="2643">
        <f>+I11/I10*100</f>
        <v>55.999999999999993</v>
      </c>
      <c r="J12" s="2678">
        <f>+J11/J10*100</f>
        <v>55.000427752587896</v>
      </c>
      <c r="K12" s="2769">
        <v>56</v>
      </c>
      <c r="L12" s="1129">
        <f>+L11/L10*100</f>
        <v>54.999668969169988</v>
      </c>
      <c r="M12" s="2641">
        <f>+M11/M10*100</f>
        <v>55.999999999999993</v>
      </c>
      <c r="N12" s="1146">
        <f>+N11/N10*100</f>
        <v>55.000157311855027</v>
      </c>
      <c r="O12" s="2769">
        <v>56</v>
      </c>
      <c r="P12" s="1129">
        <f>+P11/P10*100</f>
        <v>55.000626644942976</v>
      </c>
      <c r="Q12" s="2643">
        <f>+Q11/Q10*100</f>
        <v>55.999999999999993</v>
      </c>
      <c r="R12" s="1165">
        <f>+R11/R10*100</f>
        <v>55.000285697960116</v>
      </c>
      <c r="S12" s="2769">
        <v>56</v>
      </c>
      <c r="T12" s="1129">
        <f>+T11/T10*100</f>
        <v>54.999427590154546</v>
      </c>
      <c r="U12" s="2643">
        <f>+U11/U10*100</f>
        <v>55.999999999999986</v>
      </c>
      <c r="V12" s="1165">
        <f>+V11/V10*100</f>
        <v>55.000114319683568</v>
      </c>
      <c r="W12" s="2769">
        <v>56</v>
      </c>
      <c r="X12" s="1129">
        <f>+X11/X10*100</f>
        <v>55.000353715188531</v>
      </c>
      <c r="Y12" s="2641">
        <f>+Y11/Y10*100</f>
        <v>55.999999999999993</v>
      </c>
      <c r="Z12" s="1146">
        <f>+Z11/Z10*100</f>
        <v>55.000149302756128</v>
      </c>
      <c r="AA12" s="2642">
        <f>+AA11/AA10*100</f>
        <v>55.999999999999993</v>
      </c>
      <c r="AB12" s="2665">
        <f>+AB11/AB10*100</f>
        <v>55.000153202702492</v>
      </c>
      <c r="AC12" s="2769">
        <v>56</v>
      </c>
      <c r="AD12" s="1129">
        <f>+AD11/AD10*100</f>
        <v>54.999701510357589</v>
      </c>
      <c r="AE12" s="2643">
        <f>+AE11/AE10*100</f>
        <v>55.999999999999986</v>
      </c>
      <c r="AF12" s="1165">
        <f>+AF11/AF10*100</f>
        <v>55.00010183506793</v>
      </c>
      <c r="AG12" s="2769">
        <v>56</v>
      </c>
      <c r="AH12" s="1129">
        <f>+AH11/AH10*100</f>
        <v>54.999256431864374</v>
      </c>
      <c r="AI12" s="2643">
        <f>+AI11/AI10*100</f>
        <v>55.999999999999986</v>
      </c>
      <c r="AJ12" s="1165">
        <f>+AJ11/AJ10*100</f>
        <v>55.000000000000007</v>
      </c>
      <c r="AK12" s="2769">
        <v>56</v>
      </c>
      <c r="AL12" s="1129">
        <f>+AL11/AL10*100</f>
        <v>54.998932612253611</v>
      </c>
      <c r="AM12" s="2641">
        <f>+AM11/AM10*100</f>
        <v>55.999999999999993</v>
      </c>
      <c r="AN12" s="1146">
        <f>+AN11/AN10*100</f>
        <v>54.999267285594833</v>
      </c>
      <c r="AO12" s="2643">
        <f>+AO11/AO10*100</f>
        <v>55.999999999999986</v>
      </c>
      <c r="AP12" s="1165">
        <f>+AP11/AP10*100</f>
        <v>54.999880667941312</v>
      </c>
      <c r="AQ12" s="2769">
        <v>56</v>
      </c>
      <c r="AR12" s="1129">
        <f>+AR11/AR10*100</f>
        <v>55.000657116572484</v>
      </c>
      <c r="AS12" s="2643">
        <f>+AS11/AS10*100</f>
        <v>55.999999999999986</v>
      </c>
      <c r="AT12" s="1165">
        <f>+AT11/AT10*100</f>
        <v>54.999964518288458</v>
      </c>
      <c r="AU12" s="2769">
        <v>56</v>
      </c>
      <c r="AV12" s="1129">
        <f>+AV11/AV10*100</f>
        <v>55.000130996358301</v>
      </c>
      <c r="AW12" s="2643">
        <f>+AW11/AW10*100</f>
        <v>55.999999999999986</v>
      </c>
      <c r="AX12" s="1165">
        <f>+AX11/AX10*100</f>
        <v>54.999978304355182</v>
      </c>
      <c r="AY12" s="2769">
        <v>56</v>
      </c>
      <c r="AZ12" s="1129">
        <f>+AZ11/AZ10*100</f>
        <v>56.000098483356311</v>
      </c>
      <c r="BA12" s="2641">
        <f t="shared" ref="BA12:BF12" si="5">+BA11/BA10*100</f>
        <v>56.000000000000007</v>
      </c>
      <c r="BB12" s="1146">
        <f t="shared" si="5"/>
        <v>55.326706257684485</v>
      </c>
      <c r="BC12" s="2642">
        <f t="shared" si="5"/>
        <v>55.999999999999993</v>
      </c>
      <c r="BD12" s="2665">
        <f t="shared" si="5"/>
        <v>55.168728113588919</v>
      </c>
      <c r="BE12" s="2643">
        <f t="shared" si="5"/>
        <v>55.999999999999993</v>
      </c>
      <c r="BF12" s="1165">
        <f t="shared" si="5"/>
        <v>55.080970933408835</v>
      </c>
      <c r="BG12" s="1202"/>
      <c r="BH12" s="1202"/>
      <c r="BI12" s="26"/>
      <c r="BJ12" s="26"/>
      <c r="BK12" s="1520"/>
    </row>
    <row r="13" spans="1:63" ht="15.6" x14ac:dyDescent="0.3">
      <c r="A13" s="146"/>
      <c r="B13" s="146"/>
      <c r="C13" s="2771" t="s">
        <v>1324</v>
      </c>
      <c r="D13" s="2770" t="s">
        <v>50</v>
      </c>
      <c r="E13" s="1572">
        <f>+E11*E14/100</f>
        <v>9179.6618771911817</v>
      </c>
      <c r="F13" s="1129">
        <v>6762</v>
      </c>
      <c r="G13" s="1572">
        <f>+G11*G14/100</f>
        <v>9472.1242229400086</v>
      </c>
      <c r="H13" s="1129">
        <v>7468</v>
      </c>
      <c r="I13" s="2640">
        <f>+E13+G13</f>
        <v>18651.78610013119</v>
      </c>
      <c r="J13" s="1165">
        <f>+F13+H13</f>
        <v>14230</v>
      </c>
      <c r="K13" s="1572">
        <f>+K11*K14/100</f>
        <v>9179.6618771911817</v>
      </c>
      <c r="L13" s="1129">
        <v>8277</v>
      </c>
      <c r="M13" s="1144">
        <f>E13+G13+K13</f>
        <v>27831.447977322372</v>
      </c>
      <c r="N13" s="1145">
        <f>F13+H13+L13</f>
        <v>22507</v>
      </c>
      <c r="O13" s="1572">
        <f>+O11*O14/100</f>
        <v>9289.335256847</v>
      </c>
      <c r="P13" s="1129">
        <v>7984</v>
      </c>
      <c r="Q13" s="2640">
        <f>+M13+O13</f>
        <v>37120.783234169372</v>
      </c>
      <c r="R13" s="1165">
        <f>+N13+P13</f>
        <v>30491</v>
      </c>
      <c r="S13" s="1572">
        <f>+S11*S14/100</f>
        <v>9289.335256847</v>
      </c>
      <c r="T13" s="1129">
        <v>7512</v>
      </c>
      <c r="U13" s="2640">
        <f>+Q13+S13</f>
        <v>46410.118491016372</v>
      </c>
      <c r="V13" s="1165">
        <f>+R13+T13</f>
        <v>38003</v>
      </c>
      <c r="W13" s="1572">
        <f>+W11*W14/100</f>
        <v>4874.9817257007162</v>
      </c>
      <c r="X13" s="1129">
        <v>7087</v>
      </c>
      <c r="Y13" s="1144">
        <f>O13+S13+W13</f>
        <v>23453.652239394716</v>
      </c>
      <c r="Z13" s="1145">
        <f>P13+T13+X13</f>
        <v>22583</v>
      </c>
      <c r="AA13" s="1147">
        <f>+U13+W13</f>
        <v>51285.100216717088</v>
      </c>
      <c r="AB13" s="1148">
        <f>+V13+X13</f>
        <v>45090</v>
      </c>
      <c r="AC13" s="1572">
        <f>+AC11*AC14/100</f>
        <v>9472.1242229400086</v>
      </c>
      <c r="AD13" s="1129">
        <v>4824</v>
      </c>
      <c r="AE13" s="2640">
        <f>+AA13+AC13</f>
        <v>60757.224439657097</v>
      </c>
      <c r="AF13" s="1165">
        <f>+AB13+AD13</f>
        <v>49914</v>
      </c>
      <c r="AG13" s="1572">
        <f>+AG11*AG14/100</f>
        <v>9179.6618771911817</v>
      </c>
      <c r="AH13" s="1129">
        <v>7270</v>
      </c>
      <c r="AI13" s="2640">
        <f>+AE13+AG13</f>
        <v>69936.886316848279</v>
      </c>
      <c r="AJ13" s="1165">
        <f>+AF13+AH13</f>
        <v>57184</v>
      </c>
      <c r="AK13" s="1572">
        <f>+AK11*AK14/100</f>
        <v>9472.1242229400086</v>
      </c>
      <c r="AL13" s="1129">
        <v>7476</v>
      </c>
      <c r="AM13" s="1144">
        <f>AC13+AG13+AK13</f>
        <v>28123.910323071199</v>
      </c>
      <c r="AN13" s="1145">
        <f>AD13+AH13+AL13</f>
        <v>19570</v>
      </c>
      <c r="AO13" s="2640">
        <f>+AI13+AK13</f>
        <v>79409.010539788287</v>
      </c>
      <c r="AP13" s="1165">
        <f>+AJ13+AL13</f>
        <v>64660</v>
      </c>
      <c r="AQ13" s="1572">
        <f>+AQ11*AQ14/100</f>
        <v>9618.3553958144275</v>
      </c>
      <c r="AR13" s="1129">
        <v>7480</v>
      </c>
      <c r="AS13" s="2640">
        <f>+AO13+AQ13</f>
        <v>89027.36593560272</v>
      </c>
      <c r="AT13" s="1165">
        <f>+AP13+AR13</f>
        <v>72140</v>
      </c>
      <c r="AU13" s="1572">
        <f>+AU11*AU14/100</f>
        <v>8594.7371856935442</v>
      </c>
      <c r="AV13" s="1129">
        <v>6005</v>
      </c>
      <c r="AW13" s="2640">
        <f>+AS13+AU13</f>
        <v>97622.10312129627</v>
      </c>
      <c r="AX13" s="1165">
        <f>+AT13+AV13</f>
        <v>78145</v>
      </c>
      <c r="AY13" s="1572">
        <f>+AY11*AY14/100</f>
        <v>9618.3553958144275</v>
      </c>
      <c r="AZ13" s="1129">
        <v>6683</v>
      </c>
      <c r="BA13" s="1144">
        <f>AQ13+AU13+AY13</f>
        <v>27831.447977322401</v>
      </c>
      <c r="BB13" s="1145">
        <f>AR13+AV13+AZ13</f>
        <v>20168</v>
      </c>
      <c r="BC13" s="1147">
        <f>AM13+BA13</f>
        <v>55955.3583003936</v>
      </c>
      <c r="BD13" s="1147">
        <f>AN13+BB13</f>
        <v>39738</v>
      </c>
      <c r="BE13" s="2640">
        <f>+AW13+AY13</f>
        <v>107240.4585171107</v>
      </c>
      <c r="BF13" s="1165">
        <f>+AX13+AZ13</f>
        <v>84828</v>
      </c>
      <c r="BG13" s="1202">
        <f t="shared" si="0"/>
        <v>0</v>
      </c>
      <c r="BH13" s="1202">
        <f t="shared" si="1"/>
        <v>0</v>
      </c>
      <c r="BI13" s="26"/>
      <c r="BJ13" s="26"/>
      <c r="BK13" s="1520"/>
    </row>
    <row r="14" spans="1:63" ht="15.6" x14ac:dyDescent="0.3">
      <c r="A14" s="146"/>
      <c r="B14" s="146"/>
      <c r="C14" s="2771" t="s">
        <v>616</v>
      </c>
      <c r="D14" s="2770" t="s">
        <v>49</v>
      </c>
      <c r="E14" s="2769">
        <v>35</v>
      </c>
      <c r="F14" s="1129">
        <f>+F13/F11*100</f>
        <v>32.061068702290072</v>
      </c>
      <c r="G14" s="2769">
        <v>35</v>
      </c>
      <c r="H14" s="1129">
        <f>+H13/H11*100</f>
        <v>31.231180996988961</v>
      </c>
      <c r="I14" s="2643">
        <f>+I13/I11*100</f>
        <v>35</v>
      </c>
      <c r="J14" s="2678">
        <f>+J13/J11*100</f>
        <v>31.620114214607913</v>
      </c>
      <c r="K14" s="2769">
        <v>35</v>
      </c>
      <c r="L14" s="1129">
        <f>+L13/L11*100</f>
        <v>33.211620255196209</v>
      </c>
      <c r="M14" s="2641">
        <f>+M13/M11*100</f>
        <v>35</v>
      </c>
      <c r="N14" s="2672">
        <f>+N13/N11*100</f>
        <v>32.187343582409724</v>
      </c>
      <c r="O14" s="2769">
        <v>35</v>
      </c>
      <c r="P14" s="1129">
        <f>+P13/P11*100</f>
        <v>30.321674072386163</v>
      </c>
      <c r="Q14" s="2643">
        <f>+Q13/Q11*100</f>
        <v>35</v>
      </c>
      <c r="R14" s="2678">
        <f>+R13/R11*100</f>
        <v>31.676986369680847</v>
      </c>
      <c r="S14" s="2769">
        <v>35</v>
      </c>
      <c r="T14" s="1129">
        <f>+T13/T11*100</f>
        <v>31.27263644311228</v>
      </c>
      <c r="U14" s="2643">
        <f>+U13/U11*100</f>
        <v>35</v>
      </c>
      <c r="V14" s="2678">
        <f>+V13/V11*100</f>
        <v>31.596232031061632</v>
      </c>
      <c r="W14" s="2769">
        <v>35</v>
      </c>
      <c r="X14" s="1129">
        <f>+X13/X11*100</f>
        <v>30.385011147316071</v>
      </c>
      <c r="Y14" s="2641">
        <f>+Y13/Y11*100</f>
        <v>35</v>
      </c>
      <c r="Z14" s="2672">
        <f>+Z13/Z11*100</f>
        <v>30.651772626092622</v>
      </c>
      <c r="AA14" s="2642">
        <f>+AA13/AA11*100</f>
        <v>35</v>
      </c>
      <c r="AB14" s="2665">
        <f>+AB13/AB11*100</f>
        <v>31.399502788977792</v>
      </c>
      <c r="AC14" s="2769">
        <v>35</v>
      </c>
      <c r="AD14" s="1129">
        <f>+AD13/AD11*100</f>
        <v>26.180397264734612</v>
      </c>
      <c r="AE14" s="2643">
        <f>+AE13/AE11*100</f>
        <v>35</v>
      </c>
      <c r="AF14" s="2678">
        <f>+AF13/AF11*100</f>
        <v>30.805976781647505</v>
      </c>
      <c r="AG14" s="2769">
        <v>35</v>
      </c>
      <c r="AH14" s="1129">
        <f>+AH13/AH11*100</f>
        <v>32.76250563316809</v>
      </c>
      <c r="AI14" s="2643">
        <f>+AI13/AI11*100</f>
        <v>35.000000000000007</v>
      </c>
      <c r="AJ14" s="2678">
        <f>+AJ13/AJ11*100</f>
        <v>31.04165196480238</v>
      </c>
      <c r="AK14" s="2769">
        <v>35</v>
      </c>
      <c r="AL14" s="1129">
        <f>+AL13/AL11*100</f>
        <v>32.242204683658947</v>
      </c>
      <c r="AM14" s="2641">
        <f>+AM13/AM11*100</f>
        <v>35</v>
      </c>
      <c r="AN14" s="2672">
        <f>+AN13/AN11*100</f>
        <v>30.672538908828738</v>
      </c>
      <c r="AO14" s="2643">
        <f>+AO13/AO11*100</f>
        <v>35.000000000000007</v>
      </c>
      <c r="AP14" s="2678">
        <f>+AP13/AP11*100</f>
        <v>31.175869317853078</v>
      </c>
      <c r="AQ14" s="2769">
        <v>35</v>
      </c>
      <c r="AR14" s="1129">
        <f>+AR13/AR11*100</f>
        <v>29.788928713659896</v>
      </c>
      <c r="AS14" s="2643">
        <f>+AS13/AS11*100</f>
        <v>35.000000000000007</v>
      </c>
      <c r="AT14" s="2678">
        <f>+AT13/AT11*100</f>
        <v>31.026088751645066</v>
      </c>
      <c r="AU14" s="2769">
        <v>35</v>
      </c>
      <c r="AV14" s="1129">
        <f>+AV13/AV11*100</f>
        <v>28.604773019577955</v>
      </c>
      <c r="AW14" s="2643">
        <f>+AW13/AW11*100</f>
        <v>35.000000000000014</v>
      </c>
      <c r="AX14" s="2678">
        <f>+AX13/AX11*100</f>
        <v>30.825578780862067</v>
      </c>
      <c r="AY14" s="2769">
        <v>35</v>
      </c>
      <c r="AZ14" s="1129">
        <f>+AZ13/AZ11*100</f>
        <v>29.38228182018026</v>
      </c>
      <c r="BA14" s="2641">
        <f t="shared" ref="BA14:BF14" si="6">+BA13/BA11*100</f>
        <v>35</v>
      </c>
      <c r="BB14" s="2672">
        <f t="shared" si="6"/>
        <v>29.293516151522191</v>
      </c>
      <c r="BC14" s="2642">
        <f t="shared" si="6"/>
        <v>35</v>
      </c>
      <c r="BD14" s="2665">
        <f t="shared" si="6"/>
        <v>29.956803944184362</v>
      </c>
      <c r="BE14" s="2643">
        <f t="shared" si="6"/>
        <v>35.000000000000007</v>
      </c>
      <c r="BF14" s="2678">
        <f t="shared" si="6"/>
        <v>30.706746014508489</v>
      </c>
      <c r="BG14" s="1202"/>
      <c r="BH14" s="1202"/>
      <c r="BI14" s="26"/>
      <c r="BJ14" s="26"/>
      <c r="BK14" s="1520"/>
    </row>
    <row r="15" spans="1:63" ht="31.2" x14ac:dyDescent="0.3">
      <c r="A15" s="146"/>
      <c r="B15" s="146"/>
      <c r="C15" s="2377" t="s">
        <v>1912</v>
      </c>
      <c r="D15" s="2770"/>
      <c r="E15" s="6467">
        <v>310</v>
      </c>
      <c r="F15" s="1129"/>
      <c r="G15" s="6467">
        <v>310</v>
      </c>
      <c r="H15" s="1129"/>
      <c r="I15" s="6469">
        <f>+((E15*E11)+(G11*G15))/(E11+G11)</f>
        <v>310</v>
      </c>
      <c r="J15" s="1165">
        <f>+((F15*F10)+(H10*H15))/(F10+H10)</f>
        <v>0</v>
      </c>
      <c r="K15" s="6467">
        <v>290</v>
      </c>
      <c r="L15" s="1129"/>
      <c r="M15" s="6459">
        <f t="shared" ref="M15:M19" si="7">+((E15*E7)+(G7*G15)+(K7*K15))/M7</f>
        <v>303.40338893997108</v>
      </c>
      <c r="N15" s="1146">
        <f>+((F15*F10)+(H15*H10)+(L10*L15))/N10</f>
        <v>0</v>
      </c>
      <c r="O15" s="6467">
        <v>280</v>
      </c>
      <c r="P15" s="1129"/>
      <c r="Q15" s="6469">
        <f>+((M15*M11)+(O11*O15))/(M11+O11)</f>
        <v>297.54677959424856</v>
      </c>
      <c r="R15" s="1165">
        <f>+((N15*N10)+(P10*P15))/(N10+P10)</f>
        <v>0</v>
      </c>
      <c r="S15" s="6467">
        <v>280</v>
      </c>
      <c r="T15" s="1129"/>
      <c r="U15" s="6469">
        <f>+((Q15*Q11)+(S11*S15))/(Q11+S11)</f>
        <v>294.03465931469083</v>
      </c>
      <c r="V15" s="1165">
        <f>+((R15*R10)+(T10*T15))/(R10+T10)</f>
        <v>0</v>
      </c>
      <c r="W15" s="6467">
        <v>290</v>
      </c>
      <c r="X15" s="1129"/>
      <c r="Y15" s="6459">
        <f>+((O15*O7)+(S7*S15)+(W7*W15))/Y7</f>
        <v>282.07855973813423</v>
      </c>
      <c r="Z15" s="1146">
        <f>+((P15*P10)+(T10*T15)+(X10*X15))/Z10</f>
        <v>0</v>
      </c>
      <c r="AA15" s="6464">
        <f>+((U15*U11)+(W11*W15))/(U11+W11)</f>
        <v>293.65113875325227</v>
      </c>
      <c r="AB15" s="1148">
        <f>(N15*N$11+Z15*Z$11)/AB$11</f>
        <v>0</v>
      </c>
      <c r="AC15" s="6470">
        <v>300</v>
      </c>
      <c r="AD15" s="1129"/>
      <c r="AE15" s="6469">
        <f>+((AA15*AA11)+(AC11*AC15))/(AA11+AC11)</f>
        <v>294.64093384277504</v>
      </c>
      <c r="AF15" s="1165">
        <f>+((AB15*AB10)+(AD10*AD15))/(AB10+AD10)</f>
        <v>0</v>
      </c>
      <c r="AG15" s="6467">
        <v>300</v>
      </c>
      <c r="AH15" s="1129"/>
      <c r="AI15" s="6456">
        <f>+((AE15*AE11)+(AG11*AG15))/(AE11+AG11)</f>
        <v>295.34434541700432</v>
      </c>
      <c r="AJ15" s="1165">
        <f>+((AF15*AF10)+(AH10*AH15))/(AF10+AH10)</f>
        <v>0</v>
      </c>
      <c r="AK15" s="6467">
        <v>310</v>
      </c>
      <c r="AL15" s="1129"/>
      <c r="AM15" s="6459">
        <f>+((AC15*AC7)+(AG7*AG15)+(AK7*AK15))/AM7</f>
        <v>303.36799688028077</v>
      </c>
      <c r="AN15" s="1146"/>
      <c r="AO15" s="6469">
        <f>+((AI15*AI11)+(AK11*AK15))/(AI11+AK11)</f>
        <v>297.09251202725414</v>
      </c>
      <c r="AP15" s="1165">
        <f>+((AJ15*AJ10)+(AL10*AL15))/(AJ10+AL10)</f>
        <v>0</v>
      </c>
      <c r="AQ15" s="6467">
        <v>310</v>
      </c>
      <c r="AR15" s="1129"/>
      <c r="AS15" s="6469">
        <f>+((AO15*AO11)+(AQ11*AQ15))/(AO11+AQ11)</f>
        <v>298.48701365362905</v>
      </c>
      <c r="AT15" s="1165">
        <f>+((AP15*AP10)+(AR10*AR15))/(AP10+AR10)</f>
        <v>0</v>
      </c>
      <c r="AU15" s="6467">
        <v>310</v>
      </c>
      <c r="AV15" s="1129"/>
      <c r="AW15" s="6469">
        <f>+((AS15*AS11)+(AU11*AU15))/(AS11+AU11)</f>
        <v>299.50062725859914</v>
      </c>
      <c r="AX15" s="1165"/>
      <c r="AY15" s="6453">
        <v>310</v>
      </c>
      <c r="AZ15" s="1129"/>
      <c r="BA15" s="6459">
        <f>+((AQ15*AQ7)+(AU7*AU15)+(AY7*AY15))/BA7</f>
        <v>310</v>
      </c>
      <c r="BB15" s="1146"/>
      <c r="BC15" s="6464">
        <f>+((AM15*AM11)+(BA11*BA15))/(AM11+BA11)</f>
        <v>306.66666666666669</v>
      </c>
      <c r="BD15" s="1148"/>
      <c r="BE15" s="6456">
        <f>+((AW15*AW11)+(AY11*AY15))/(AW11+AY11)</f>
        <v>300.44231195350187</v>
      </c>
      <c r="BF15" s="1165"/>
      <c r="BG15" s="1202"/>
      <c r="BH15" s="1202"/>
      <c r="BI15" s="26"/>
      <c r="BJ15" s="26"/>
      <c r="BK15" s="1520"/>
    </row>
    <row r="16" spans="1:63" ht="15.6" x14ac:dyDescent="0.3">
      <c r="A16" s="146"/>
      <c r="B16" s="146"/>
      <c r="C16" s="2657" t="s">
        <v>696</v>
      </c>
      <c r="D16" s="6478"/>
      <c r="E16" s="6467"/>
      <c r="F16" s="1129">
        <v>324.89999999999998</v>
      </c>
      <c r="G16" s="6467"/>
      <c r="H16" s="1129">
        <v>330.24</v>
      </c>
      <c r="I16" s="6469"/>
      <c r="J16" s="1165">
        <f>+((F16*F11)+(H11*H16))/(F11+H11)</f>
        <v>327.73736817545495</v>
      </c>
      <c r="K16" s="6467"/>
      <c r="L16" s="1129">
        <v>328.05</v>
      </c>
      <c r="M16" s="6459">
        <f t="shared" si="7"/>
        <v>0</v>
      </c>
      <c r="N16" s="1146">
        <f>+((F16*F11)+(H11*H16)+(L11*L16))/N11</f>
        <v>327.84879342152306</v>
      </c>
      <c r="O16" s="6467"/>
      <c r="P16" s="1129">
        <v>295.16000000000003</v>
      </c>
      <c r="Q16" s="6469"/>
      <c r="R16" s="1165">
        <f>+((N16*N11)+(P11*P16))/(N11+P11)</f>
        <v>318.90671584109043</v>
      </c>
      <c r="S16" s="6467"/>
      <c r="T16" s="1129">
        <v>298.91000000000003</v>
      </c>
      <c r="U16" s="6469"/>
      <c r="V16" s="1165">
        <f>+((R16*R11)+(T11*T16))/(R11+T11)</f>
        <v>314.91309186294973</v>
      </c>
      <c r="W16" s="6467"/>
      <c r="X16" s="1129">
        <v>297.58</v>
      </c>
      <c r="Y16" s="6459">
        <f t="shared" ref="Y16:Y19" si="8">+((Q16*Q8)+(S8*S16)+(W8*W16))/Y8</f>
        <v>0</v>
      </c>
      <c r="Z16" s="1146">
        <f>+((P16*P11)+(T11*T16)+(X11*X16))/Z11</f>
        <v>297.14874572452362</v>
      </c>
      <c r="AA16" s="6464"/>
      <c r="AB16" s="1148">
        <f>(N16*N$11+Z16*Z$11)/AB$11</f>
        <v>312.09781178404052</v>
      </c>
      <c r="AC16" s="6470"/>
      <c r="AD16" s="1129">
        <v>291.42</v>
      </c>
      <c r="AE16" s="6469"/>
      <c r="AF16" s="1165">
        <f>+((AB16*AB11)+(AD11*AD16))/(AB11+AD11)</f>
        <v>309.74629407444445</v>
      </c>
      <c r="AG16" s="6467"/>
      <c r="AH16" s="1129">
        <v>307.45</v>
      </c>
      <c r="AI16" s="6456"/>
      <c r="AJ16" s="1165">
        <f>+((AF16*AF11)+(AH11*AH16))/(AF11+AH11)</f>
        <v>309.46969221081667</v>
      </c>
      <c r="AK16" s="6467"/>
      <c r="AL16" s="1129">
        <v>324.35000000000002</v>
      </c>
      <c r="AM16" s="6459">
        <f t="shared" ref="AM16:AM19" si="9">+((AE16*AE8)+(AG8*AG16)+(AK8*AK16))/AM8</f>
        <v>0</v>
      </c>
      <c r="AN16" s="1146">
        <f>+((AD16*AD11)+(AH11*AH16)+(AL11*AL16))/AN11</f>
        <v>308.96233515665409</v>
      </c>
      <c r="AO16" s="6469"/>
      <c r="AP16" s="1165">
        <f>+((AJ16*AJ11)+(AL11*AL16))/(AJ11+AL11)</f>
        <v>311.13325557848458</v>
      </c>
      <c r="AQ16" s="6467"/>
      <c r="AR16" s="1129">
        <v>316.58</v>
      </c>
      <c r="AS16" s="6469"/>
      <c r="AT16" s="1165">
        <f>+((AP16*AP11)+(AR11*AR16))/(AP11+AR11)</f>
        <v>311.72146855673213</v>
      </c>
      <c r="AU16" s="6467"/>
      <c r="AV16" s="1129">
        <v>315.64</v>
      </c>
      <c r="AW16" s="6469"/>
      <c r="AX16" s="1165">
        <f>+((AT16*AT11)+(AV11*AV16))/(AT11+AV11)</f>
        <v>312.04596346451979</v>
      </c>
      <c r="AY16" s="6454"/>
      <c r="AZ16" s="1129">
        <v>305.41000000000003</v>
      </c>
      <c r="BA16" s="6459">
        <f t="shared" ref="BA16:BA19" si="10">+((AS16*AS8)+(AU8*AU16)+(AY8*AY16))/BA8</f>
        <v>0</v>
      </c>
      <c r="BB16" s="1146">
        <f>+((AR16*AR11)+(AV11*AV16)+(AZ11*AZ16))/BB11</f>
        <v>312.60319500929586</v>
      </c>
      <c r="BC16" s="6464"/>
      <c r="BD16" s="1148">
        <f>(AN16*AN$11+BB16*BB$11)/BD$11</f>
        <v>310.85199990953708</v>
      </c>
      <c r="BE16" s="6456"/>
      <c r="BF16" s="1165">
        <f>+((AX16*AX11)+(AZ11*AZ16))/(AX11+AZ11)</f>
        <v>311.49959641921151</v>
      </c>
      <c r="BG16" s="1202"/>
      <c r="BH16" s="1202"/>
      <c r="BI16" s="26"/>
      <c r="BJ16" s="26"/>
      <c r="BK16" s="1520"/>
    </row>
    <row r="17" spans="1:63" ht="15.6" x14ac:dyDescent="0.3">
      <c r="A17" s="146"/>
      <c r="B17" s="146"/>
      <c r="C17" s="2657" t="s">
        <v>697</v>
      </c>
      <c r="D17" s="6478"/>
      <c r="E17" s="6467"/>
      <c r="F17" s="1129">
        <v>320.27999999999997</v>
      </c>
      <c r="G17" s="6467"/>
      <c r="H17" s="1129">
        <v>321.66000000000003</v>
      </c>
      <c r="I17" s="6469"/>
      <c r="J17" s="1165">
        <f>+((F17*F11)+(H11*H17))/(F11+H11)</f>
        <v>321.01325244983667</v>
      </c>
      <c r="K17" s="6467"/>
      <c r="L17" s="1129">
        <v>319.14999999999998</v>
      </c>
      <c r="M17" s="6459">
        <f t="shared" si="7"/>
        <v>0</v>
      </c>
      <c r="N17" s="1146">
        <f>+((F17*F11)+(H11*H17)+(L11*L17))/N11</f>
        <v>320.34916982481229</v>
      </c>
      <c r="O17" s="6467"/>
      <c r="P17" s="1129">
        <v>294.91000000000003</v>
      </c>
      <c r="Q17" s="6469"/>
      <c r="R17" s="1165">
        <f>+((N17*N11)+(P11*P17))/(N11+P11)</f>
        <v>313.39023967337101</v>
      </c>
      <c r="S17" s="6467"/>
      <c r="T17" s="1129">
        <v>291.83</v>
      </c>
      <c r="U17" s="6469"/>
      <c r="V17" s="1165">
        <f>+((R17*R11)+(T11*T17))/(R11+T11)</f>
        <v>309.08435810670375</v>
      </c>
      <c r="W17" s="6467"/>
      <c r="X17" s="1129">
        <v>289.39</v>
      </c>
      <c r="Y17" s="6459">
        <f t="shared" si="8"/>
        <v>0</v>
      </c>
      <c r="Z17" s="1146">
        <f>+((P17*P11)+(T11*T17)+(X11*X17))/Z11</f>
        <v>292.15831478364731</v>
      </c>
      <c r="AA17" s="6464"/>
      <c r="AB17" s="1148">
        <f t="shared" ref="AB17:AB19" si="11">(N17*N$11+Z17*Z$11)/AB$11</f>
        <v>305.8855558108927</v>
      </c>
      <c r="AC17" s="6470"/>
      <c r="AD17" s="1129">
        <v>279.58</v>
      </c>
      <c r="AE17" s="6469"/>
      <c r="AF17" s="1165">
        <f>+((AB17*AB11)+(AD11*AD17))/(AB11+AD11)</f>
        <v>302.89404099316783</v>
      </c>
      <c r="AG17" s="6467"/>
      <c r="AH17" s="1129">
        <v>306.35000000000002</v>
      </c>
      <c r="AI17" s="6456"/>
      <c r="AJ17" s="1165">
        <f>+((AF17*AF11)+(AH11*AH17))/(AF11+AH11)</f>
        <v>303.31033118550408</v>
      </c>
      <c r="AK17" s="6467"/>
      <c r="AL17" s="1129">
        <v>320.16000000000003</v>
      </c>
      <c r="AM17" s="6459">
        <f t="shared" si="9"/>
        <v>0</v>
      </c>
      <c r="AN17" s="1146">
        <f>+((AD17*AD11)+(AH11*AH17)+(AL11*AL17))/AN11</f>
        <v>303.63772079682781</v>
      </c>
      <c r="AO17" s="6469"/>
      <c r="AP17" s="1165">
        <f>+((AJ17*AJ11)+(AL11*AL17))/(AJ11+AL11)</f>
        <v>305.19406183101586</v>
      </c>
      <c r="AQ17" s="6467"/>
      <c r="AR17" s="1129">
        <v>307</v>
      </c>
      <c r="AS17" s="6469"/>
      <c r="AT17" s="1165">
        <f>+((AP17*AP11)+(AR11*AR17))/(AP11+AR11)</f>
        <v>305.38909140954962</v>
      </c>
      <c r="AU17" s="6467"/>
      <c r="AV17" s="1129">
        <v>308.3</v>
      </c>
      <c r="AW17" s="6469"/>
      <c r="AX17" s="1165">
        <f>+((AT17*AT11)+(AV11*AV17))/(AT11+AV11)</f>
        <v>305.6301447297314</v>
      </c>
      <c r="AY17" s="6454"/>
      <c r="AZ17" s="1129">
        <v>300.5</v>
      </c>
      <c r="BA17" s="6459">
        <f t="shared" si="10"/>
        <v>0</v>
      </c>
      <c r="BB17" s="1146">
        <f>+((AR17*AR11)+(AV11*AV17)+(AZ11*AZ17))/BB11</f>
        <v>305.24901812688819</v>
      </c>
      <c r="BC17" s="6464"/>
      <c r="BD17" s="1148">
        <f>(AN17*AN$11+BB17*BB$11)/BD$11</f>
        <v>304.47400999615536</v>
      </c>
      <c r="BE17" s="6456"/>
      <c r="BF17" s="1165">
        <f>+((AX17*AX11)+(AZ11*AZ17))/(AX11+AZ11)</f>
        <v>305.20775813387786</v>
      </c>
      <c r="BG17" s="1202"/>
      <c r="BH17" s="1202"/>
      <c r="BI17" s="26"/>
      <c r="BJ17" s="26"/>
      <c r="BK17" s="1520"/>
    </row>
    <row r="18" spans="1:63" ht="15.6" x14ac:dyDescent="0.3">
      <c r="A18" s="146"/>
      <c r="B18" s="146"/>
      <c r="C18" s="2657" t="s">
        <v>698</v>
      </c>
      <c r="D18" s="6478"/>
      <c r="E18" s="6467"/>
      <c r="F18" s="1129">
        <v>320.18</v>
      </c>
      <c r="G18" s="6467"/>
      <c r="H18" s="1129">
        <v>323.5</v>
      </c>
      <c r="I18" s="6469"/>
      <c r="J18" s="1165">
        <f>+((F18*F11)+(H11*H18))/(F11+H11)</f>
        <v>321.94405661844763</v>
      </c>
      <c r="K18" s="6467"/>
      <c r="L18" s="1129">
        <v>319.66000000000003</v>
      </c>
      <c r="M18" s="6459">
        <f t="shared" si="7"/>
        <v>0</v>
      </c>
      <c r="N18" s="1146">
        <f>+((F18*F11)+(H11*H18)+(L11*L18))/N11</f>
        <v>321.12999499463712</v>
      </c>
      <c r="O18" s="6467"/>
      <c r="P18" s="1129">
        <v>296.47000000000003</v>
      </c>
      <c r="Q18" s="6469"/>
      <c r="R18" s="1165">
        <f>+((N18*N11)+(P11*P18))/(N11+P11)</f>
        <v>314.38420950382312</v>
      </c>
      <c r="S18" s="6467"/>
      <c r="T18" s="1129">
        <v>293</v>
      </c>
      <c r="U18" s="6469"/>
      <c r="V18" s="1165">
        <f>+((R18*R11)+(T11*T18))/(R11+T11)</f>
        <v>310.11348362529827</v>
      </c>
      <c r="W18" s="6467"/>
      <c r="X18" s="1129">
        <v>290.43</v>
      </c>
      <c r="Y18" s="6459">
        <f t="shared" si="8"/>
        <v>0</v>
      </c>
      <c r="Z18" s="1146">
        <f>+((P18*P11)+(T11*T18)+(X11*X18))/Z11</f>
        <v>293.42654175036648</v>
      </c>
      <c r="AA18" s="6464"/>
      <c r="AB18" s="1148">
        <f t="shared" si="11"/>
        <v>306.91644758741234</v>
      </c>
      <c r="AC18" s="6470"/>
      <c r="AD18" s="1129">
        <v>279.79000000000002</v>
      </c>
      <c r="AE18" s="6469"/>
      <c r="AF18" s="1165">
        <f>+((AB18*AB11)+(AD11*AD18))/(AB11+AD11)</f>
        <v>303.83157948983808</v>
      </c>
      <c r="AG18" s="6467"/>
      <c r="AH18" s="1129">
        <v>304.83</v>
      </c>
      <c r="AI18" s="6456"/>
      <c r="AJ18" s="1165">
        <f>+((AF18*AF11)+(AH11*AH18))/(AF11+AH11)</f>
        <v>303.95184499801854</v>
      </c>
      <c r="AK18" s="6467"/>
      <c r="AL18" s="1129">
        <v>320.16000000000003</v>
      </c>
      <c r="AM18" s="6459">
        <f t="shared" si="9"/>
        <v>0</v>
      </c>
      <c r="AN18" s="1146">
        <f>+((AD18*AD11)+(AH11*AH18)+(AL11*AL18))/AN11</f>
        <v>303.16972806921302</v>
      </c>
      <c r="AO18" s="6469"/>
      <c r="AP18" s="1165">
        <f>+((AJ18*AJ11)+(AL11*AL18))/(AJ11+AL11)</f>
        <v>305.76385677228973</v>
      </c>
      <c r="AQ18" s="6467"/>
      <c r="AR18" s="1129">
        <v>308.25</v>
      </c>
      <c r="AS18" s="6469"/>
      <c r="AT18" s="1165">
        <f>+((AP18*AP11)+(AR11*AR18))/(AP11+AR11)</f>
        <v>306.03234407390516</v>
      </c>
      <c r="AU18" s="6467"/>
      <c r="AV18" s="1129">
        <v>304.89999999999998</v>
      </c>
      <c r="AW18" s="6469"/>
      <c r="AX18" s="1165">
        <f>+((AT18*AT11)+(AV11*AV18))/(AT11+AV11)</f>
        <v>305.93857428000013</v>
      </c>
      <c r="AY18" s="6454"/>
      <c r="AZ18" s="1129">
        <v>292.83</v>
      </c>
      <c r="BA18" s="6459">
        <f t="shared" si="10"/>
        <v>0</v>
      </c>
      <c r="BB18" s="1146">
        <f>+((AR18*AR11)+(AV11*AV18)+(AZ11*AZ18))/BB11</f>
        <v>302.1342893039739</v>
      </c>
      <c r="BC18" s="6464"/>
      <c r="BD18" s="1148">
        <f>(AN18*AN$11+BB18*BB$11)/BD$11</f>
        <v>302.6323187160292</v>
      </c>
      <c r="BE18" s="6456"/>
      <c r="BF18" s="1165">
        <f>+((AX18*AX11)+(AZ11*AZ18))/(AX11+AZ11)</f>
        <v>304.85928970649979</v>
      </c>
      <c r="BG18" s="1202"/>
      <c r="BH18" s="1202"/>
      <c r="BI18" s="26"/>
      <c r="BJ18" s="26"/>
      <c r="BK18" s="1520"/>
    </row>
    <row r="19" spans="1:63" ht="16.2" thickBot="1" x14ac:dyDescent="0.35">
      <c r="A19" s="146"/>
      <c r="B19" s="146"/>
      <c r="C19" s="3094" t="s">
        <v>699</v>
      </c>
      <c r="D19" s="6479"/>
      <c r="E19" s="6468"/>
      <c r="F19" s="3095">
        <v>258.51</v>
      </c>
      <c r="G19" s="6468"/>
      <c r="H19" s="3095">
        <v>260.48</v>
      </c>
      <c r="I19" s="6473"/>
      <c r="J19" s="3096">
        <f>+((F19*F11)+(H11*H19))/(F11+H11)</f>
        <v>259.55674443925966</v>
      </c>
      <c r="K19" s="6468"/>
      <c r="L19" s="3095">
        <v>251</v>
      </c>
      <c r="M19" s="6459">
        <f t="shared" si="7"/>
        <v>0</v>
      </c>
      <c r="N19" s="1146">
        <f>+((F19*F11)+(H11*H19)+(L11*L19))/N11</f>
        <v>256.50703139077586</v>
      </c>
      <c r="O19" s="6468"/>
      <c r="P19" s="3095">
        <v>240.48</v>
      </c>
      <c r="Q19" s="6469"/>
      <c r="R19" s="1165">
        <f>+((N19*N11)+(P11*P19))/(N11+P11)</f>
        <v>252.12280844830454</v>
      </c>
      <c r="S19" s="6468"/>
      <c r="T19" s="3095">
        <v>233.87</v>
      </c>
      <c r="U19" s="6469"/>
      <c r="V19" s="1165">
        <f>+((R19*R11)+(T11*T19))/(R11+T11)</f>
        <v>248.47746717992635</v>
      </c>
      <c r="W19" s="6468"/>
      <c r="X19" s="3095">
        <v>232.9</v>
      </c>
      <c r="Y19" s="6459">
        <f t="shared" si="8"/>
        <v>0</v>
      </c>
      <c r="Z19" s="1146">
        <f>+((P19*P11)+(T11*T19)+(X11*X19))/Z11</f>
        <v>235.92526399370215</v>
      </c>
      <c r="AA19" s="6464"/>
      <c r="AB19" s="1148">
        <f t="shared" si="11"/>
        <v>245.94733964248161</v>
      </c>
      <c r="AC19" s="6471"/>
      <c r="AD19" s="3095">
        <v>232.82</v>
      </c>
      <c r="AE19" s="6469"/>
      <c r="AF19" s="1165">
        <f>+((AB19*AB11)+(AD11*AD19))/(AB11+AD11)</f>
        <v>244.45447511834448</v>
      </c>
      <c r="AG19" s="6468"/>
      <c r="AH19" s="3095">
        <v>256</v>
      </c>
      <c r="AI19" s="6456"/>
      <c r="AJ19" s="1165">
        <f>+((AF19*AF11)+(AH11*AH19))/(AF11+AH11)</f>
        <v>245.84520017153685</v>
      </c>
      <c r="AK19" s="6468"/>
      <c r="AL19" s="3095">
        <v>264.83</v>
      </c>
      <c r="AM19" s="6459">
        <f t="shared" si="9"/>
        <v>0</v>
      </c>
      <c r="AN19" s="1146">
        <f>+((AD19*AD11)+(AH11*AH19)+(AL11*AL19))/AN11</f>
        <v>252.51468630001725</v>
      </c>
      <c r="AO19" s="6469"/>
      <c r="AP19" s="1165">
        <f>+((AJ19*AJ11)+(AL11*AL19))/(AJ11+AL11)</f>
        <v>247.96763056643076</v>
      </c>
      <c r="AQ19" s="6468"/>
      <c r="AR19" s="3095">
        <v>260.8</v>
      </c>
      <c r="AS19" s="6469"/>
      <c r="AT19" s="1165">
        <f>+((AP19*AP11)+(AR11*AR19))/(AP11+AR11)</f>
        <v>249.35344301848491</v>
      </c>
      <c r="AU19" s="6468"/>
      <c r="AV19" s="3095">
        <v>262.5</v>
      </c>
      <c r="AW19" s="6469"/>
      <c r="AX19" s="1165">
        <f>+((AT19*AT11)+(AV11*AV19))/(AT11+AV11)</f>
        <v>250.44211382723159</v>
      </c>
      <c r="AY19" s="6455"/>
      <c r="AZ19" s="3095">
        <v>261.66000000000003</v>
      </c>
      <c r="BA19" s="6459">
        <f t="shared" si="10"/>
        <v>0</v>
      </c>
      <c r="BB19" s="1146">
        <f>+((AR19*AR11)+(AV11*AV19)+(AZ11*AZ19))/BB11</f>
        <v>261.6024750174297</v>
      </c>
      <c r="BC19" s="6464"/>
      <c r="BD19" s="1148">
        <f>(AN19*AN$11+BB19*BB$11)/BD$11</f>
        <v>257.23139463705519</v>
      </c>
      <c r="BE19" s="6456"/>
      <c r="BF19" s="1165">
        <f>+((AX19*AX11)+(AZ11*AZ19))/(AX11+AZ11)</f>
        <v>251.36573002186412</v>
      </c>
      <c r="BG19" s="1202"/>
      <c r="BH19" s="1202"/>
      <c r="BI19" s="26"/>
      <c r="BJ19" s="26"/>
      <c r="BK19" s="1520"/>
    </row>
    <row r="20" spans="1:63" ht="15.6" x14ac:dyDescent="0.3">
      <c r="A20" s="146"/>
      <c r="B20" s="146"/>
      <c r="C20" s="3089" t="s">
        <v>526</v>
      </c>
      <c r="D20" s="3090"/>
      <c r="E20" s="3091"/>
      <c r="F20" s="3090"/>
      <c r="G20" s="3091"/>
      <c r="H20" s="3090"/>
      <c r="I20" s="3092"/>
      <c r="J20" s="3093"/>
      <c r="K20" s="3091"/>
      <c r="L20" s="3090"/>
      <c r="M20" s="2673"/>
      <c r="N20" s="2674"/>
      <c r="O20" s="3091"/>
      <c r="P20" s="3090"/>
      <c r="Q20" s="2679"/>
      <c r="R20" s="2680"/>
      <c r="S20" s="3091"/>
      <c r="T20" s="3090"/>
      <c r="U20" s="2679"/>
      <c r="V20" s="2680"/>
      <c r="W20" s="3091"/>
      <c r="X20" s="3090"/>
      <c r="Y20" s="2673"/>
      <c r="Z20" s="2674"/>
      <c r="AA20" s="2666"/>
      <c r="AB20" s="2667"/>
      <c r="AC20" s="3091"/>
      <c r="AD20" s="3090"/>
      <c r="AE20" s="2679"/>
      <c r="AF20" s="2680"/>
      <c r="AG20" s="3091"/>
      <c r="AH20" s="3090"/>
      <c r="AI20" s="2679"/>
      <c r="AJ20" s="2680"/>
      <c r="AK20" s="3091"/>
      <c r="AL20" s="3090"/>
      <c r="AM20" s="2673"/>
      <c r="AN20" s="2674"/>
      <c r="AO20" s="2679"/>
      <c r="AP20" s="2680"/>
      <c r="AQ20" s="3091"/>
      <c r="AR20" s="3090"/>
      <c r="AS20" s="2679"/>
      <c r="AT20" s="2680"/>
      <c r="AU20" s="3091"/>
      <c r="AV20" s="3090"/>
      <c r="AW20" s="2679"/>
      <c r="AX20" s="2680"/>
      <c r="AY20" s="3091"/>
      <c r="AZ20" s="3090"/>
      <c r="BA20" s="2673"/>
      <c r="BB20" s="2674"/>
      <c r="BC20" s="2666"/>
      <c r="BD20" s="2667"/>
      <c r="BE20" s="2679"/>
      <c r="BF20" s="2680"/>
      <c r="BG20" s="1202"/>
      <c r="BH20" s="1202"/>
      <c r="BI20" s="26"/>
      <c r="BJ20" s="26"/>
      <c r="BK20" s="1520"/>
    </row>
    <row r="21" spans="1:63" ht="15.6" x14ac:dyDescent="0.3">
      <c r="A21" s="146"/>
      <c r="B21" s="146"/>
      <c r="C21" s="2771" t="s">
        <v>527</v>
      </c>
      <c r="D21" s="2770" t="s">
        <v>50</v>
      </c>
      <c r="E21" s="1572">
        <f>+E33*$E$36/1000</f>
        <v>14895.277921060524</v>
      </c>
      <c r="F21" s="2770">
        <v>15819</v>
      </c>
      <c r="G21" s="1572">
        <f>+G33*$E$36/1000</f>
        <v>15369.838746900772</v>
      </c>
      <c r="H21" s="2770">
        <v>14184</v>
      </c>
      <c r="I21" s="2640">
        <f>+E21+G21</f>
        <v>30265.116667961294</v>
      </c>
      <c r="J21" s="1164">
        <f>+F21+H21</f>
        <v>30003</v>
      </c>
      <c r="K21" s="1572">
        <f>+K33*$E$36/1000</f>
        <v>14895.277921060524</v>
      </c>
      <c r="L21" s="2770">
        <v>15520</v>
      </c>
      <c r="M21" s="1144">
        <f>E21+G21+K21</f>
        <v>45160.394589021817</v>
      </c>
      <c r="N21" s="1145">
        <f>F21+H21+L21</f>
        <v>45523</v>
      </c>
      <c r="O21" s="1572">
        <f>+O33*$E$36/1000</f>
        <v>15073.238230750634</v>
      </c>
      <c r="P21" s="2770">
        <v>16160</v>
      </c>
      <c r="Q21" s="2640">
        <f>+M21+O21</f>
        <v>60233.632819772451</v>
      </c>
      <c r="R21" s="1164">
        <f>+N21+P21</f>
        <v>61683</v>
      </c>
      <c r="S21" s="1572">
        <f>+S33*$E$36/1000</f>
        <v>15073.238230750634</v>
      </c>
      <c r="T21" s="2770">
        <v>15934</v>
      </c>
      <c r="U21" s="2640">
        <f>+Q21+S21</f>
        <v>75306.871050523085</v>
      </c>
      <c r="V21" s="1164">
        <f>+R21+T21</f>
        <v>77617</v>
      </c>
      <c r="W21" s="1572">
        <f>+W33*$E$36/1000</f>
        <v>7910.3357657245333</v>
      </c>
      <c r="X21" s="2770">
        <v>17396</v>
      </c>
      <c r="Y21" s="1144">
        <f>O21+S21+W21</f>
        <v>38056.812227225804</v>
      </c>
      <c r="Z21" s="1145">
        <f>P21+T21+X21</f>
        <v>49490</v>
      </c>
      <c r="AA21" s="1147">
        <f>+U21+W21</f>
        <v>83217.206816247621</v>
      </c>
      <c r="AB21" s="1149">
        <f>+V21+X21</f>
        <v>95013</v>
      </c>
      <c r="AC21" s="1572">
        <f>+AC33*$E$36/1000</f>
        <v>15369.838746900772</v>
      </c>
      <c r="AD21" s="2770">
        <v>11392</v>
      </c>
      <c r="AE21" s="2640">
        <f>+AA21+AC21</f>
        <v>98587.045563148393</v>
      </c>
      <c r="AF21" s="1164">
        <f>+AB21+AD21</f>
        <v>106405</v>
      </c>
      <c r="AG21" s="1572">
        <f>+AG33*$E$36/1000</f>
        <v>14895.277921060524</v>
      </c>
      <c r="AH21" s="2770">
        <v>10726</v>
      </c>
      <c r="AI21" s="2640">
        <f>+AE21+AG21</f>
        <v>113482.32348420892</v>
      </c>
      <c r="AJ21" s="1164">
        <f>+AF21+AH21</f>
        <v>117131</v>
      </c>
      <c r="AK21" s="1572">
        <f>+AK33*$E$36/1000</f>
        <v>15369.838746900772</v>
      </c>
      <c r="AL21" s="2770">
        <v>0</v>
      </c>
      <c r="AM21" s="1144">
        <f>AC21+AG21+AK21</f>
        <v>45634.955414862066</v>
      </c>
      <c r="AN21" s="1145">
        <f>AD21+AH21+AL21</f>
        <v>22118</v>
      </c>
      <c r="AO21" s="2640">
        <f>+AI21+AK21</f>
        <v>128852.16223110969</v>
      </c>
      <c r="AP21" s="1164">
        <f>+AJ21+AL21</f>
        <v>117131</v>
      </c>
      <c r="AQ21" s="1572">
        <f>+AQ33*$E$36/1000</f>
        <v>15607.119159820902</v>
      </c>
      <c r="AR21" s="2770">
        <v>9304</v>
      </c>
      <c r="AS21" s="2640">
        <f>+AO21+AQ21</f>
        <v>144459.28139093058</v>
      </c>
      <c r="AT21" s="1164">
        <f>+AP21+AR21</f>
        <v>126435</v>
      </c>
      <c r="AU21" s="1572">
        <f>+AU33*$E$36/1000</f>
        <v>13946.156269380061</v>
      </c>
      <c r="AV21" s="2770">
        <v>13642</v>
      </c>
      <c r="AW21" s="2640">
        <f>+AS21+AU21</f>
        <v>158405.43766031065</v>
      </c>
      <c r="AX21" s="1164">
        <f>+AT21+AV21</f>
        <v>140077</v>
      </c>
      <c r="AY21" s="1572">
        <f>+AY33*$E$36/1000</f>
        <v>15607.119159820902</v>
      </c>
      <c r="AZ21" s="2770">
        <v>14879</v>
      </c>
      <c r="BA21" s="1144">
        <f>AQ21+AU21+AY21</f>
        <v>45160.394589021867</v>
      </c>
      <c r="BB21" s="1145">
        <f>AR21+AV21+AZ21</f>
        <v>37825</v>
      </c>
      <c r="BC21" s="1147">
        <f t="shared" ref="BC21:BC22" si="12">AM21+BA21</f>
        <v>90795.350003883941</v>
      </c>
      <c r="BD21" s="1147">
        <f t="shared" ref="BD21:BD22" si="13">AN21+BB21</f>
        <v>59943</v>
      </c>
      <c r="BE21" s="2640">
        <f>+AW21+AY21</f>
        <v>174012.55682013155</v>
      </c>
      <c r="BF21" s="1164">
        <f>+AX21+AZ21</f>
        <v>154956</v>
      </c>
      <c r="BG21" s="1202">
        <f t="shared" si="0"/>
        <v>0</v>
      </c>
      <c r="BH21" s="1202">
        <f t="shared" si="1"/>
        <v>0</v>
      </c>
      <c r="BI21" s="26"/>
      <c r="BJ21" s="26"/>
      <c r="BK21" s="1520"/>
    </row>
    <row r="22" spans="1:63" ht="15.6" x14ac:dyDescent="0.3">
      <c r="A22" s="146"/>
      <c r="B22" s="146"/>
      <c r="C22" s="6472" t="s">
        <v>521</v>
      </c>
      <c r="D22" s="2770" t="s">
        <v>50</v>
      </c>
      <c r="E22" s="1572">
        <f>+E21*E23/100</f>
        <v>2979.0555842121048</v>
      </c>
      <c r="F22" s="2770">
        <v>5378</v>
      </c>
      <c r="G22" s="1572">
        <f>+G21*G23/100</f>
        <v>3073.9677493801546</v>
      </c>
      <c r="H22" s="2770">
        <v>3120</v>
      </c>
      <c r="I22" s="2640">
        <f>+E22+G22</f>
        <v>6053.0233335922594</v>
      </c>
      <c r="J22" s="1164">
        <f>+F22+H22</f>
        <v>8498</v>
      </c>
      <c r="K22" s="1572">
        <f>+K21*K23/100</f>
        <v>2979.0555842121048</v>
      </c>
      <c r="L22" s="2770">
        <v>4718</v>
      </c>
      <c r="M22" s="1144">
        <f>E22+G22+K22</f>
        <v>9032.0789178043633</v>
      </c>
      <c r="N22" s="1145">
        <f>F22+H22+L22</f>
        <v>13216</v>
      </c>
      <c r="O22" s="1572">
        <f>+O21*O23/100</f>
        <v>3014.647646150127</v>
      </c>
      <c r="P22" s="2770">
        <v>4945</v>
      </c>
      <c r="Q22" s="2640">
        <f>+M22+O22</f>
        <v>12046.726563954489</v>
      </c>
      <c r="R22" s="1164">
        <f>+N22+P22</f>
        <v>18161</v>
      </c>
      <c r="S22" s="1572">
        <f>+S21*S23/100</f>
        <v>3014.647646150127</v>
      </c>
      <c r="T22" s="2770">
        <v>5736</v>
      </c>
      <c r="U22" s="2640">
        <f>+Q22+S22</f>
        <v>15061.374210104615</v>
      </c>
      <c r="V22" s="1164">
        <f>+R22+T22</f>
        <v>23897</v>
      </c>
      <c r="W22" s="1572">
        <f>+W21*W23/100</f>
        <v>1582.0671531449066</v>
      </c>
      <c r="X22" s="2770">
        <v>7623</v>
      </c>
      <c r="Y22" s="1144">
        <f>O22+S22+W22</f>
        <v>7611.3624454451601</v>
      </c>
      <c r="Z22" s="1145">
        <f>P22+T22+X22</f>
        <v>18304</v>
      </c>
      <c r="AA22" s="1147">
        <f>+U22+W22</f>
        <v>16643.441363249523</v>
      </c>
      <c r="AB22" s="1149">
        <f>+V22+X22</f>
        <v>31520</v>
      </c>
      <c r="AC22" s="1572">
        <f>+AC21*AC23/100</f>
        <v>3073.9677493801546</v>
      </c>
      <c r="AD22" s="2770">
        <v>3494</v>
      </c>
      <c r="AE22" s="2640">
        <f>+AA22+AC22</f>
        <v>19717.409112629677</v>
      </c>
      <c r="AF22" s="1164">
        <f>+AB22+AD22</f>
        <v>35014</v>
      </c>
      <c r="AG22" s="1572">
        <f>+AG21*AG23/100</f>
        <v>2979.0555842121048</v>
      </c>
      <c r="AH22" s="2770">
        <v>1815</v>
      </c>
      <c r="AI22" s="2640">
        <f>+AE22+AG22</f>
        <v>22696.46469684178</v>
      </c>
      <c r="AJ22" s="1164">
        <f>+AF22+AH22</f>
        <v>36829</v>
      </c>
      <c r="AK22" s="1572">
        <f>+AK21*AK23/100</f>
        <v>3073.9677493801546</v>
      </c>
      <c r="AL22" s="2770">
        <v>0</v>
      </c>
      <c r="AM22" s="1144">
        <f>AC22+AG22+AK22</f>
        <v>9126.991082972414</v>
      </c>
      <c r="AN22" s="1145">
        <f>AD22+AH22+AL22</f>
        <v>5309</v>
      </c>
      <c r="AO22" s="2640">
        <f>+AI22+AK22</f>
        <v>25770.432446221934</v>
      </c>
      <c r="AP22" s="1164">
        <f>+AJ22+AL22</f>
        <v>36829</v>
      </c>
      <c r="AQ22" s="1572">
        <f>+AQ21*AQ23/100</f>
        <v>3121.4238319641804</v>
      </c>
      <c r="AR22" s="2770">
        <v>3442</v>
      </c>
      <c r="AS22" s="2640">
        <f>+AO22+AQ22</f>
        <v>28891.856278186115</v>
      </c>
      <c r="AT22" s="1164">
        <f>+AP22+AR22</f>
        <v>40271</v>
      </c>
      <c r="AU22" s="1572">
        <f>+AU21*AU23/100</f>
        <v>2789.231253876012</v>
      </c>
      <c r="AV22" s="2770">
        <v>5047</v>
      </c>
      <c r="AW22" s="2640">
        <f>+AS22+AU22</f>
        <v>31681.087532062127</v>
      </c>
      <c r="AX22" s="1164">
        <f>+AT22+AV22</f>
        <v>45318</v>
      </c>
      <c r="AY22" s="1572">
        <f>+AY21*AY23/100</f>
        <v>3121.4238319641804</v>
      </c>
      <c r="AZ22" s="2770">
        <v>5187</v>
      </c>
      <c r="BA22" s="1144">
        <f>AQ22+AU22+AY22</f>
        <v>9032.0789178043724</v>
      </c>
      <c r="BB22" s="1145">
        <f>AR22+AV22+AZ22</f>
        <v>13676</v>
      </c>
      <c r="BC22" s="1147">
        <f t="shared" si="12"/>
        <v>18159.070000776788</v>
      </c>
      <c r="BD22" s="1147">
        <f t="shared" si="13"/>
        <v>18985</v>
      </c>
      <c r="BE22" s="2640">
        <f>+AW22+AY22</f>
        <v>34802.511364026308</v>
      </c>
      <c r="BF22" s="1164">
        <f>+AX22+AZ22</f>
        <v>50505</v>
      </c>
      <c r="BG22" s="1202">
        <f t="shared" si="0"/>
        <v>0</v>
      </c>
      <c r="BH22" s="1202">
        <f t="shared" si="1"/>
        <v>0</v>
      </c>
      <c r="BI22" s="26"/>
      <c r="BJ22" s="26"/>
      <c r="BK22" s="1520"/>
    </row>
    <row r="23" spans="1:63" ht="15.6" x14ac:dyDescent="0.3">
      <c r="A23" s="146"/>
      <c r="B23" s="146"/>
      <c r="C23" s="6472"/>
      <c r="D23" s="2770" t="s">
        <v>49</v>
      </c>
      <c r="E23" s="2769">
        <v>20</v>
      </c>
      <c r="F23" s="1143">
        <f>+F22/F21*100</f>
        <v>33.997092104431381</v>
      </c>
      <c r="G23" s="2769">
        <v>20</v>
      </c>
      <c r="H23" s="1143">
        <f>+H22/H21*100</f>
        <v>21.996615905245349</v>
      </c>
      <c r="I23" s="2643">
        <f>+I22/I21*100</f>
        <v>20</v>
      </c>
      <c r="J23" s="2678">
        <f>+J22/J21*100</f>
        <v>28.323834283238341</v>
      </c>
      <c r="K23" s="2769">
        <v>20</v>
      </c>
      <c r="L23" s="1143">
        <f>+L22/L21*100</f>
        <v>30.399484536082472</v>
      </c>
      <c r="M23" s="2641">
        <f>+M22/M21*100</f>
        <v>20</v>
      </c>
      <c r="N23" s="2672">
        <f>+N22/N21*100</f>
        <v>29.031478593238582</v>
      </c>
      <c r="O23" s="2769">
        <v>20</v>
      </c>
      <c r="P23" s="1143">
        <f>+P22/P21*100</f>
        <v>30.600247524752476</v>
      </c>
      <c r="Q23" s="2643">
        <f>+Q22/Q21*100</f>
        <v>20</v>
      </c>
      <c r="R23" s="2678">
        <f>+R22/R21*100</f>
        <v>29.442471993904316</v>
      </c>
      <c r="S23" s="2769">
        <v>20</v>
      </c>
      <c r="T23" s="1143">
        <f>+T22/T21*100</f>
        <v>35.998493786870846</v>
      </c>
      <c r="U23" s="2643">
        <f>+U22/U21*100</f>
        <v>20</v>
      </c>
      <c r="V23" s="2678">
        <f>+V22/V21*100</f>
        <v>30.788358220492935</v>
      </c>
      <c r="W23" s="2769">
        <v>20</v>
      </c>
      <c r="X23" s="1143">
        <f>+X22/X21*100</f>
        <v>43.820418487008503</v>
      </c>
      <c r="Y23" s="2641">
        <f>+Y22/Y21*100</f>
        <v>20</v>
      </c>
      <c r="Z23" s="2672">
        <f>+Z22/Z21*100</f>
        <v>36.985249545362699</v>
      </c>
      <c r="AA23" s="1147">
        <f>+AA22/AA21*100</f>
        <v>20</v>
      </c>
      <c r="AB23" s="2665">
        <f>+AB22/AB21*100</f>
        <v>33.174407712628799</v>
      </c>
      <c r="AC23" s="2769">
        <v>20</v>
      </c>
      <c r="AD23" s="1143">
        <f>+AD22/AD21*100</f>
        <v>30.670646067415731</v>
      </c>
      <c r="AE23" s="2643">
        <f>+AE22/AE21*100</f>
        <v>20</v>
      </c>
      <c r="AF23" s="2678">
        <f>+AF22/AF21*100</f>
        <v>32.906348385884122</v>
      </c>
      <c r="AG23" s="2769">
        <v>20</v>
      </c>
      <c r="AH23" s="1143">
        <f>+AH22/AH21*100</f>
        <v>16.921499160917396</v>
      </c>
      <c r="AI23" s="2643">
        <f>+AI22/AI21*100</f>
        <v>20</v>
      </c>
      <c r="AJ23" s="2678">
        <f>+AJ22/AJ21*100</f>
        <v>31.442572845788046</v>
      </c>
      <c r="AK23" s="2769">
        <v>20</v>
      </c>
      <c r="AL23" s="1143" t="e">
        <f>+AL22/AL21*100</f>
        <v>#DIV/0!</v>
      </c>
      <c r="AM23" s="2641">
        <f>+AM22/AM21*100</f>
        <v>20</v>
      </c>
      <c r="AN23" s="2672">
        <f>+AN22/AN21*100</f>
        <v>24.003074419025229</v>
      </c>
      <c r="AO23" s="2643">
        <f>+AO22/AO21*100</f>
        <v>20</v>
      </c>
      <c r="AP23" s="2678">
        <f>+AP22/AP21*100</f>
        <v>31.442572845788046</v>
      </c>
      <c r="AQ23" s="2769">
        <v>20</v>
      </c>
      <c r="AR23" s="1143">
        <f>+AR22/AR21*100</f>
        <v>36.994840928632847</v>
      </c>
      <c r="AS23" s="2643">
        <f>+AS22/AS21*100</f>
        <v>20</v>
      </c>
      <c r="AT23" s="2678">
        <f>+AT22/AT21*100</f>
        <v>31.851148811642343</v>
      </c>
      <c r="AU23" s="2769">
        <v>20</v>
      </c>
      <c r="AV23" s="1143">
        <f>+AV22/AV21*100</f>
        <v>36.996041636123735</v>
      </c>
      <c r="AW23" s="2643">
        <f>+AW22/AW21*100</f>
        <v>20</v>
      </c>
      <c r="AX23" s="2678">
        <f>+AX22/AX21*100</f>
        <v>32.352206286542398</v>
      </c>
      <c r="AY23" s="2769">
        <v>20</v>
      </c>
      <c r="AZ23" s="1143">
        <f>+AZ22/AZ21*100</f>
        <v>34.861213791249412</v>
      </c>
      <c r="BA23" s="2641">
        <f t="shared" ref="BA23:BF23" si="14">+BA22/BA21*100</f>
        <v>20</v>
      </c>
      <c r="BB23" s="2672">
        <f t="shared" si="14"/>
        <v>36.155981493721086</v>
      </c>
      <c r="BC23" s="1147">
        <f t="shared" si="14"/>
        <v>20</v>
      </c>
      <c r="BD23" s="2665">
        <f t="shared" si="14"/>
        <v>31.671754833758737</v>
      </c>
      <c r="BE23" s="2643">
        <f t="shared" si="14"/>
        <v>20</v>
      </c>
      <c r="BF23" s="2678">
        <f t="shared" si="14"/>
        <v>32.593123209169057</v>
      </c>
      <c r="BG23" s="1202"/>
      <c r="BH23" s="1202"/>
      <c r="BI23" s="26"/>
      <c r="BJ23" s="26"/>
      <c r="BK23" s="1520"/>
    </row>
    <row r="24" spans="1:63" ht="15.6" x14ac:dyDescent="0.3">
      <c r="A24" s="146"/>
      <c r="B24" s="146"/>
      <c r="C24" s="2771" t="s">
        <v>528</v>
      </c>
      <c r="D24" s="2770" t="s">
        <v>50</v>
      </c>
      <c r="E24" s="1572">
        <f>+E21-E22</f>
        <v>11916.222336848419</v>
      </c>
      <c r="F24" s="2770">
        <f>+F21-F22</f>
        <v>10441</v>
      </c>
      <c r="G24" s="1572">
        <f>+G21-G22</f>
        <v>12295.870997520618</v>
      </c>
      <c r="H24" s="2770">
        <f>+H21-H22</f>
        <v>11064</v>
      </c>
      <c r="I24" s="2640">
        <f>+E24+G24</f>
        <v>24212.093334369038</v>
      </c>
      <c r="J24" s="1164">
        <f>+F24+H24</f>
        <v>21505</v>
      </c>
      <c r="K24" s="1572">
        <f>+K21-K22</f>
        <v>11916.222336848419</v>
      </c>
      <c r="L24" s="2770">
        <f>+L21-L22</f>
        <v>10802</v>
      </c>
      <c r="M24" s="1144">
        <f>E24+G24+K24</f>
        <v>36128.315671217453</v>
      </c>
      <c r="N24" s="1145">
        <f>F24+H24+L24</f>
        <v>32307</v>
      </c>
      <c r="O24" s="1572">
        <f>+O21-O22</f>
        <v>12058.590584600508</v>
      </c>
      <c r="P24" s="2770">
        <f>+P21-P22</f>
        <v>11215</v>
      </c>
      <c r="Q24" s="2640">
        <f>+M24+O24</f>
        <v>48186.906255817958</v>
      </c>
      <c r="R24" s="1164">
        <f>+N24+P24</f>
        <v>43522</v>
      </c>
      <c r="S24" s="1572">
        <f>+S21-S22</f>
        <v>12058.590584600508</v>
      </c>
      <c r="T24" s="2770">
        <f>+T21-T22</f>
        <v>10198</v>
      </c>
      <c r="U24" s="2640">
        <f>+Q24+S24</f>
        <v>60245.496840418462</v>
      </c>
      <c r="V24" s="1164">
        <f>+R24+T24</f>
        <v>53720</v>
      </c>
      <c r="W24" s="1572">
        <f>+W21-W22</f>
        <v>6328.2686125796263</v>
      </c>
      <c r="X24" s="2770">
        <f>+X21-X22</f>
        <v>9773</v>
      </c>
      <c r="Y24" s="1144">
        <f>O24+S24+W24</f>
        <v>30445.44978178064</v>
      </c>
      <c r="Z24" s="1145">
        <f>P24+T24+X24</f>
        <v>31186</v>
      </c>
      <c r="AA24" s="1147">
        <f>+U24+W24</f>
        <v>66573.765452998094</v>
      </c>
      <c r="AB24" s="1149">
        <f>+V24+X24</f>
        <v>63493</v>
      </c>
      <c r="AC24" s="1572">
        <f>+AC21-AC22</f>
        <v>12295.870997520618</v>
      </c>
      <c r="AD24" s="2770">
        <f>+AD21-AD22</f>
        <v>7898</v>
      </c>
      <c r="AE24" s="2640">
        <f>+AA24+AC24</f>
        <v>78869.636450518708</v>
      </c>
      <c r="AF24" s="1164">
        <f>+AB24+AD24</f>
        <v>71391</v>
      </c>
      <c r="AG24" s="1572">
        <f>+AG21-AG22</f>
        <v>11916.222336848419</v>
      </c>
      <c r="AH24" s="2770">
        <f>+AH21-AH22</f>
        <v>8911</v>
      </c>
      <c r="AI24" s="2640">
        <f>+AE24+AG24</f>
        <v>90785.85878736712</v>
      </c>
      <c r="AJ24" s="1164">
        <f>+AF24+AH24</f>
        <v>80302</v>
      </c>
      <c r="AK24" s="1572">
        <f>+AK21-AK22</f>
        <v>12295.870997520618</v>
      </c>
      <c r="AL24" s="2770">
        <f>+AL21-AL22</f>
        <v>0</v>
      </c>
      <c r="AM24" s="1144">
        <f>AC24+AG24+AK24</f>
        <v>36507.964331889656</v>
      </c>
      <c r="AN24" s="1145">
        <f>AD24+AH24+AL24</f>
        <v>16809</v>
      </c>
      <c r="AO24" s="2640">
        <f>+AI24+AK24</f>
        <v>103081.72978488774</v>
      </c>
      <c r="AP24" s="1164">
        <f>+AJ24+AL24</f>
        <v>80302</v>
      </c>
      <c r="AQ24" s="1572">
        <f>+AQ21-AQ22</f>
        <v>12485.695327856722</v>
      </c>
      <c r="AR24" s="2770">
        <f>+AR21-AR22</f>
        <v>5862</v>
      </c>
      <c r="AS24" s="2640">
        <f>+AO24+AQ24</f>
        <v>115567.42511274446</v>
      </c>
      <c r="AT24" s="1164">
        <f>+AP24+AR24</f>
        <v>86164</v>
      </c>
      <c r="AU24" s="1572">
        <f>+AU21-AU22</f>
        <v>11156.925015504048</v>
      </c>
      <c r="AV24" s="2770">
        <f>+AV21-AV22</f>
        <v>8595</v>
      </c>
      <c r="AW24" s="2640">
        <f>+AS24+AU24</f>
        <v>126724.35012824851</v>
      </c>
      <c r="AX24" s="1164">
        <f>+AT24+AV24</f>
        <v>94759</v>
      </c>
      <c r="AY24" s="1572">
        <f>+AY21-AY22</f>
        <v>12485.695327856722</v>
      </c>
      <c r="AZ24" s="2770">
        <f>+AZ21-AZ22</f>
        <v>9692</v>
      </c>
      <c r="BA24" s="1144">
        <f>AQ24+AU24+AY24</f>
        <v>36128.31567121749</v>
      </c>
      <c r="BB24" s="1145">
        <f>AR24+AV24+AZ24</f>
        <v>24149</v>
      </c>
      <c r="BC24" s="1147">
        <f t="shared" ref="BC24:BC25" si="15">AM24+BA24</f>
        <v>72636.280003107153</v>
      </c>
      <c r="BD24" s="1147">
        <f t="shared" ref="BD24:BD25" si="16">AN24+BB24</f>
        <v>40958</v>
      </c>
      <c r="BE24" s="2640">
        <f>+AW24+AY24</f>
        <v>139210.04545610523</v>
      </c>
      <c r="BF24" s="1164">
        <f>+AX24+AZ24</f>
        <v>104451</v>
      </c>
      <c r="BG24" s="1202">
        <f t="shared" si="0"/>
        <v>0</v>
      </c>
      <c r="BH24" s="1202">
        <f t="shared" si="1"/>
        <v>0</v>
      </c>
      <c r="BI24" s="26"/>
      <c r="BJ24" s="26"/>
      <c r="BK24" s="1520"/>
    </row>
    <row r="25" spans="1:63" ht="15.6" x14ac:dyDescent="0.3">
      <c r="A25" s="146"/>
      <c r="B25" s="146"/>
      <c r="C25" s="2771" t="s">
        <v>562</v>
      </c>
      <c r="D25" s="2770" t="s">
        <v>50</v>
      </c>
      <c r="E25" s="1572">
        <f>+E24*E26/100</f>
        <v>6196.4356151611773</v>
      </c>
      <c r="F25" s="2770">
        <v>5429</v>
      </c>
      <c r="G25" s="1572">
        <f>+G24*G26/100</f>
        <v>6393.8529187107215</v>
      </c>
      <c r="H25" s="2770">
        <v>5753</v>
      </c>
      <c r="I25" s="2640">
        <f>+E25+G25</f>
        <v>12590.288533871899</v>
      </c>
      <c r="J25" s="1164">
        <f>+F25+H25</f>
        <v>11182</v>
      </c>
      <c r="K25" s="1572">
        <f>+K24*K26/100</f>
        <v>6196.4356151611773</v>
      </c>
      <c r="L25" s="2770">
        <v>5617</v>
      </c>
      <c r="M25" s="1144">
        <f>E25+G25+K25</f>
        <v>18786.724149033078</v>
      </c>
      <c r="N25" s="1145">
        <f>F25+H25+L25</f>
        <v>16799</v>
      </c>
      <c r="O25" s="1572">
        <f>+O24*O26/100</f>
        <v>6270.4671039922641</v>
      </c>
      <c r="P25" s="2770">
        <v>5832</v>
      </c>
      <c r="Q25" s="2640">
        <f>+M25+O25</f>
        <v>25057.191253025343</v>
      </c>
      <c r="R25" s="1164">
        <f>+N25+P25</f>
        <v>22631</v>
      </c>
      <c r="S25" s="1572">
        <f>+S24*S26/100</f>
        <v>6270.4671039922641</v>
      </c>
      <c r="T25" s="2770">
        <v>5303</v>
      </c>
      <c r="U25" s="2640">
        <f>+Q25+S25</f>
        <v>31327.658357017608</v>
      </c>
      <c r="V25" s="1164">
        <f>+R25+T25</f>
        <v>27934</v>
      </c>
      <c r="W25" s="1572">
        <f>+W24*W26/100</f>
        <v>3290.6996785414058</v>
      </c>
      <c r="X25" s="2770">
        <v>5082</v>
      </c>
      <c r="Y25" s="1144">
        <f>O25+S25+W25</f>
        <v>15831.633886525935</v>
      </c>
      <c r="Z25" s="1145">
        <f>P25+T25+X25</f>
        <v>16217</v>
      </c>
      <c r="AA25" s="1147">
        <f>+U25+W25</f>
        <v>34618.358035559017</v>
      </c>
      <c r="AB25" s="1149">
        <f>+V25+X25</f>
        <v>33016</v>
      </c>
      <c r="AC25" s="1572">
        <f>+AC24*AC26/100</f>
        <v>6393.8529187107215</v>
      </c>
      <c r="AD25" s="2770">
        <v>4107</v>
      </c>
      <c r="AE25" s="2640">
        <f>+AA25+AC25</f>
        <v>41012.210954269736</v>
      </c>
      <c r="AF25" s="1164">
        <f>+AB25+AD25</f>
        <v>37123</v>
      </c>
      <c r="AG25" s="1572">
        <f>+AG24*AG26/100</f>
        <v>6196.4356151611773</v>
      </c>
      <c r="AH25" s="2770">
        <v>4634</v>
      </c>
      <c r="AI25" s="2640">
        <f>+AE25+AG25</f>
        <v>47208.646569430915</v>
      </c>
      <c r="AJ25" s="1164">
        <f>+AF25+AH25</f>
        <v>41757</v>
      </c>
      <c r="AK25" s="1572">
        <f>+AK24*AK26/100</f>
        <v>6393.8529187107215</v>
      </c>
      <c r="AL25" s="2770">
        <v>0</v>
      </c>
      <c r="AM25" s="1144">
        <f>AC25+AG25+AK25</f>
        <v>18984.141452582619</v>
      </c>
      <c r="AN25" s="1145">
        <f>AD25+AH25+AL25</f>
        <v>8741</v>
      </c>
      <c r="AO25" s="2640">
        <f>+AI25+AK25</f>
        <v>53602.499488141635</v>
      </c>
      <c r="AP25" s="1164">
        <f>+AJ25+AL25</f>
        <v>41757</v>
      </c>
      <c r="AQ25" s="1572">
        <f>+AQ24*AQ26/100</f>
        <v>6492.5615704854954</v>
      </c>
      <c r="AR25" s="2770">
        <v>3048</v>
      </c>
      <c r="AS25" s="2640">
        <f>+AO25+AQ25</f>
        <v>60095.061058627129</v>
      </c>
      <c r="AT25" s="1164">
        <f>+AP25+AR25</f>
        <v>44805</v>
      </c>
      <c r="AU25" s="1572">
        <f>+AU24*AU26/100</f>
        <v>5801.6010080621054</v>
      </c>
      <c r="AV25" s="2770">
        <v>4469</v>
      </c>
      <c r="AW25" s="2640">
        <f>+AS25+AU25</f>
        <v>65896.662066689227</v>
      </c>
      <c r="AX25" s="1164">
        <f>+AT25+AV25</f>
        <v>49274</v>
      </c>
      <c r="AY25" s="1572">
        <f>+AY24*AY26/100</f>
        <v>6492.5615704854954</v>
      </c>
      <c r="AZ25" s="2770">
        <v>5040</v>
      </c>
      <c r="BA25" s="1144">
        <f>AQ25+AU25+AY25</f>
        <v>18786.724149033096</v>
      </c>
      <c r="BB25" s="1145">
        <f>AR25+AV25+AZ25</f>
        <v>12557</v>
      </c>
      <c r="BC25" s="1147">
        <f t="shared" si="15"/>
        <v>37770.865601615718</v>
      </c>
      <c r="BD25" s="1147">
        <f t="shared" si="16"/>
        <v>21298</v>
      </c>
      <c r="BE25" s="2640">
        <f>+AW25+AY25</f>
        <v>72389.223637174728</v>
      </c>
      <c r="BF25" s="1164">
        <f>+AX25+AZ25</f>
        <v>54314</v>
      </c>
      <c r="BG25" s="1202">
        <f t="shared" si="0"/>
        <v>0</v>
      </c>
      <c r="BH25" s="1202">
        <f t="shared" si="1"/>
        <v>0</v>
      </c>
      <c r="BI25" s="26"/>
      <c r="BJ25" s="26"/>
      <c r="BK25" s="1520"/>
    </row>
    <row r="26" spans="1:63" ht="15.6" x14ac:dyDescent="0.3">
      <c r="A26" s="146"/>
      <c r="B26" s="146"/>
      <c r="C26" s="2771" t="s">
        <v>529</v>
      </c>
      <c r="D26" s="2770" t="s">
        <v>49</v>
      </c>
      <c r="E26" s="2769">
        <v>52</v>
      </c>
      <c r="F26" s="1129">
        <f>+F25/F24*100</f>
        <v>51.996935159467483</v>
      </c>
      <c r="G26" s="2769">
        <v>52</v>
      </c>
      <c r="H26" s="1129">
        <f>+H25/H24*100</f>
        <v>51.997469269703544</v>
      </c>
      <c r="I26" s="2643">
        <f>+I25/I24*100</f>
        <v>52</v>
      </c>
      <c r="J26" s="2678">
        <f>+J25/J24*100</f>
        <v>51.997209951174149</v>
      </c>
      <c r="K26" s="2769">
        <v>52</v>
      </c>
      <c r="L26" s="1129">
        <f>+L25/L24*100</f>
        <v>51.999629698204039</v>
      </c>
      <c r="M26" s="2641">
        <f>+M25/M24*100</f>
        <v>52</v>
      </c>
      <c r="N26" s="2672">
        <f>+N25/N24*100</f>
        <v>51.998019005169162</v>
      </c>
      <c r="O26" s="2769">
        <v>52</v>
      </c>
      <c r="P26" s="1129">
        <f>+P25/P24*100</f>
        <v>52.001783325902807</v>
      </c>
      <c r="Q26" s="2643">
        <f>+Q25/Q24*100</f>
        <v>52.000000000000014</v>
      </c>
      <c r="R26" s="2678">
        <f>+R25/R24*100</f>
        <v>51.998989017048849</v>
      </c>
      <c r="S26" s="2769">
        <v>52</v>
      </c>
      <c r="T26" s="1129">
        <f>+T25/T24*100</f>
        <v>52.000392233771329</v>
      </c>
      <c r="U26" s="2643">
        <f>+U25/U24*100</f>
        <v>52.000000000000014</v>
      </c>
      <c r="V26" s="2678">
        <f>+V25/V24*100</f>
        <v>51.999255398361875</v>
      </c>
      <c r="W26" s="2769">
        <v>52</v>
      </c>
      <c r="X26" s="1129">
        <f>+X25/X24*100</f>
        <v>52.000409290903505</v>
      </c>
      <c r="Y26" s="2641">
        <f>+Y25/Y24*100</f>
        <v>52</v>
      </c>
      <c r="Z26" s="2672">
        <f>+Z25/Z24*100</f>
        <v>52.00089783877381</v>
      </c>
      <c r="AA26" s="1147">
        <f>+AA25/AA24*100</f>
        <v>52.000000000000014</v>
      </c>
      <c r="AB26" s="2665">
        <f>+AB25/AB24*100</f>
        <v>51.999433008363127</v>
      </c>
      <c r="AC26" s="2769">
        <v>52</v>
      </c>
      <c r="AD26" s="1129">
        <f>+AD25/AD24*100</f>
        <v>52.000506457330978</v>
      </c>
      <c r="AE26" s="2643">
        <f>+AE25/AE24*100</f>
        <v>52.000000000000014</v>
      </c>
      <c r="AF26" s="2678">
        <f>+AF25/AF24*100</f>
        <v>51.999551764227981</v>
      </c>
      <c r="AG26" s="2769">
        <v>52</v>
      </c>
      <c r="AH26" s="1129">
        <f>+AH25/AH24*100</f>
        <v>52.003142183817751</v>
      </c>
      <c r="AI26" s="2643">
        <f>+AI25/AI24*100</f>
        <v>52.000000000000014</v>
      </c>
      <c r="AJ26" s="2678">
        <f>+AJ25/AJ24*100</f>
        <v>51.999950188040145</v>
      </c>
      <c r="AK26" s="2769">
        <v>52</v>
      </c>
      <c r="AL26" s="1129" t="e">
        <f>+AL25/AL24*100</f>
        <v>#DIV/0!</v>
      </c>
      <c r="AM26" s="2641">
        <f>+AM25/AM24*100</f>
        <v>51.999999999999993</v>
      </c>
      <c r="AN26" s="2672">
        <f>+AN25/AN24*100</f>
        <v>52.001903742042956</v>
      </c>
      <c r="AO26" s="2643">
        <f>+AO25/AO24*100</f>
        <v>52.000000000000014</v>
      </c>
      <c r="AP26" s="2678">
        <f>+AP25/AP24*100</f>
        <v>51.999950188040145</v>
      </c>
      <c r="AQ26" s="2769">
        <v>52</v>
      </c>
      <c r="AR26" s="1129">
        <f>+AR25/AR24*100</f>
        <v>51.995905834186281</v>
      </c>
      <c r="AS26" s="2643">
        <f>+AS25/AS24*100</f>
        <v>52.000000000000014</v>
      </c>
      <c r="AT26" s="2678">
        <f>+AT25/AT24*100</f>
        <v>51.999675038299053</v>
      </c>
      <c r="AU26" s="2769">
        <v>52</v>
      </c>
      <c r="AV26" s="1129">
        <f>+AV25/AV24*100</f>
        <v>51.995346131471784</v>
      </c>
      <c r="AW26" s="2643">
        <f>+AW25/AW24*100</f>
        <v>52</v>
      </c>
      <c r="AX26" s="2678">
        <f>+AX25/AX24*100</f>
        <v>51.999282390063215</v>
      </c>
      <c r="AY26" s="2769">
        <v>52</v>
      </c>
      <c r="AZ26" s="1143">
        <f>+AZ25/AZ24*100</f>
        <v>52.001650846058602</v>
      </c>
      <c r="BA26" s="2641">
        <f t="shared" ref="BA26:BF26" si="17">+BA25/BA24*100</f>
        <v>52</v>
      </c>
      <c r="BB26" s="2672">
        <f t="shared" si="17"/>
        <v>51.998012340055489</v>
      </c>
      <c r="BC26" s="1147">
        <f t="shared" si="17"/>
        <v>52</v>
      </c>
      <c r="BD26" s="2665">
        <f t="shared" si="17"/>
        <v>51.999609355925578</v>
      </c>
      <c r="BE26" s="2643">
        <f t="shared" si="17"/>
        <v>52</v>
      </c>
      <c r="BF26" s="2678">
        <f t="shared" si="17"/>
        <v>51.999502158907049</v>
      </c>
      <c r="BG26" s="1202"/>
      <c r="BH26" s="1202"/>
      <c r="BI26" s="26"/>
      <c r="BJ26" s="26"/>
      <c r="BK26" s="1520"/>
    </row>
    <row r="27" spans="1:63" ht="15.6" x14ac:dyDescent="0.3">
      <c r="A27" s="146"/>
      <c r="B27" s="146"/>
      <c r="C27" s="2771" t="s">
        <v>615</v>
      </c>
      <c r="D27" s="2770" t="s">
        <v>50</v>
      </c>
      <c r="E27" s="1572">
        <f>+E25*E28/100</f>
        <v>433.75049306128238</v>
      </c>
      <c r="F27" s="1129">
        <v>300</v>
      </c>
      <c r="G27" s="1572">
        <f>+G25*G28/100</f>
        <v>447.56970430975053</v>
      </c>
      <c r="H27" s="1129">
        <v>310</v>
      </c>
      <c r="I27" s="2640">
        <f>+E27+G27</f>
        <v>881.32019737103292</v>
      </c>
      <c r="J27" s="1165">
        <f>+F27+H27</f>
        <v>610</v>
      </c>
      <c r="K27" s="1572">
        <f>+K25*K28/100</f>
        <v>433.75049306128238</v>
      </c>
      <c r="L27" s="1129">
        <v>300</v>
      </c>
      <c r="M27" s="1144">
        <f>E27+G27+K27</f>
        <v>1315.0706904323154</v>
      </c>
      <c r="N27" s="1146">
        <f>+J27+L27</f>
        <v>910</v>
      </c>
      <c r="O27" s="1572">
        <f>+O25*O28/100</f>
        <v>438.93269727945852</v>
      </c>
      <c r="P27" s="1129">
        <v>310</v>
      </c>
      <c r="Q27" s="2640">
        <f>+M27+O27</f>
        <v>1754.0033877117739</v>
      </c>
      <c r="R27" s="1165">
        <f>+N27+P27</f>
        <v>1220</v>
      </c>
      <c r="S27" s="1572">
        <f>+S25*S28/100</f>
        <v>438.93269727945852</v>
      </c>
      <c r="T27" s="1129">
        <v>310</v>
      </c>
      <c r="U27" s="2640">
        <f>+Q27+S27</f>
        <v>2192.9360849912323</v>
      </c>
      <c r="V27" s="1165">
        <f>+R27+T27</f>
        <v>1530</v>
      </c>
      <c r="W27" s="1572">
        <f>+W25*W28/100</f>
        <v>230.3489774978984</v>
      </c>
      <c r="X27" s="1129">
        <v>300</v>
      </c>
      <c r="Y27" s="1144">
        <f>O27+S27+W27</f>
        <v>1108.2143720568154</v>
      </c>
      <c r="Z27" s="1145">
        <f>P27+T27+X27</f>
        <v>920</v>
      </c>
      <c r="AA27" s="1147">
        <f>+U27+W27</f>
        <v>2423.2850624891307</v>
      </c>
      <c r="AB27" s="1148">
        <f>+V27+X27</f>
        <v>1830</v>
      </c>
      <c r="AC27" s="1572">
        <f>+AC25*AC28/100</f>
        <v>447.56970430975053</v>
      </c>
      <c r="AD27" s="1129">
        <v>310</v>
      </c>
      <c r="AE27" s="2640">
        <f>+AA27+AC27</f>
        <v>2870.8547667988814</v>
      </c>
      <c r="AF27" s="1165">
        <f>+AB27+AD27</f>
        <v>2140</v>
      </c>
      <c r="AG27" s="1572">
        <f>+AG25*AG28/100</f>
        <v>433.75049306128238</v>
      </c>
      <c r="AH27" s="1129">
        <v>300</v>
      </c>
      <c r="AI27" s="2640">
        <f>+AE27+AG27</f>
        <v>3304.6052598601636</v>
      </c>
      <c r="AJ27" s="1165">
        <f>+AF27+AH27</f>
        <v>2440</v>
      </c>
      <c r="AK27" s="1572">
        <f>+AK25*AK28/100</f>
        <v>447.56970430975053</v>
      </c>
      <c r="AL27" s="1129">
        <v>0</v>
      </c>
      <c r="AM27" s="1144">
        <f>AC27+AG27+AK27</f>
        <v>1328.8899016807834</v>
      </c>
      <c r="AN27" s="1145">
        <f>AD27+AH27+AL27</f>
        <v>610</v>
      </c>
      <c r="AO27" s="2640">
        <f>+AI27+AK27</f>
        <v>3752.1749641699143</v>
      </c>
      <c r="AP27" s="1165">
        <f>+AJ27+AL27</f>
        <v>2440</v>
      </c>
      <c r="AQ27" s="1572">
        <f>+AQ25*AQ28/100</f>
        <v>454.47930993398472</v>
      </c>
      <c r="AR27" s="1129">
        <v>70</v>
      </c>
      <c r="AS27" s="2640">
        <f>+AO27+AQ27</f>
        <v>4206.6542741038993</v>
      </c>
      <c r="AT27" s="1165">
        <f>+AP27+AR27</f>
        <v>2510</v>
      </c>
      <c r="AU27" s="1572">
        <f>+AU25*AU28/100</f>
        <v>406.11207056434739</v>
      </c>
      <c r="AV27" s="1129">
        <v>250</v>
      </c>
      <c r="AW27" s="2640">
        <f>+AS27+AU27</f>
        <v>4612.7663446682463</v>
      </c>
      <c r="AX27" s="1165">
        <f>+AT27+AV27</f>
        <v>2760</v>
      </c>
      <c r="AY27" s="1572">
        <f>+AY25*AY28/100</f>
        <v>454.47930993398472</v>
      </c>
      <c r="AZ27" s="1129">
        <v>270</v>
      </c>
      <c r="BA27" s="1144">
        <f>AQ27+AU27+AY27</f>
        <v>1315.070690432317</v>
      </c>
      <c r="BB27" s="1145">
        <f>AR27+AV27+AZ27</f>
        <v>590</v>
      </c>
      <c r="BC27" s="1147">
        <f>AM27+BA27</f>
        <v>2643.9605921131006</v>
      </c>
      <c r="BD27" s="1147">
        <f>AN27+BB27</f>
        <v>1200</v>
      </c>
      <c r="BE27" s="2640">
        <f>+AW27+AY27</f>
        <v>5067.2456546022313</v>
      </c>
      <c r="BF27" s="1165">
        <f>+AX27+AZ27</f>
        <v>3030</v>
      </c>
      <c r="BG27" s="1202">
        <f t="shared" si="0"/>
        <v>0</v>
      </c>
      <c r="BH27" s="1202">
        <f t="shared" si="1"/>
        <v>0</v>
      </c>
      <c r="BI27" s="26"/>
      <c r="BJ27" s="26"/>
      <c r="BK27" s="1520"/>
    </row>
    <row r="28" spans="1:63" ht="15.6" x14ac:dyDescent="0.3">
      <c r="A28" s="146"/>
      <c r="B28" s="146"/>
      <c r="C28" s="2771" t="s">
        <v>616</v>
      </c>
      <c r="D28" s="2770" t="s">
        <v>49</v>
      </c>
      <c r="E28" s="2769">
        <v>7</v>
      </c>
      <c r="F28" s="1143">
        <f>+F27/F25*100</f>
        <v>5.5258795358261192</v>
      </c>
      <c r="G28" s="2769">
        <v>7</v>
      </c>
      <c r="H28" s="1143">
        <f>+H27/H25*100</f>
        <v>5.3884929601946814</v>
      </c>
      <c r="I28" s="2643">
        <f>+I27/I25*100</f>
        <v>7.0000000000000009</v>
      </c>
      <c r="J28" s="2678">
        <f>+J27/J25*100</f>
        <v>5.4551958504739764</v>
      </c>
      <c r="K28" s="2769">
        <v>7</v>
      </c>
      <c r="L28" s="1143">
        <f>+L27/L25*100</f>
        <v>5.3409293217019762</v>
      </c>
      <c r="M28" s="2641">
        <f>+M27/M25*100</f>
        <v>6.9999999999999991</v>
      </c>
      <c r="N28" s="2672">
        <f>+N27/N25*100</f>
        <v>5.4169891064944338</v>
      </c>
      <c r="O28" s="2769">
        <v>7</v>
      </c>
      <c r="P28" s="1143">
        <f>+P27/P25*100</f>
        <v>5.315500685871057</v>
      </c>
      <c r="Q28" s="2643">
        <f>+Q27/Q25*100</f>
        <v>6.9999999999999991</v>
      </c>
      <c r="R28" s="2678">
        <f>+R27/R25*100</f>
        <v>5.3908355795148255</v>
      </c>
      <c r="S28" s="2769">
        <v>7</v>
      </c>
      <c r="T28" s="1143">
        <f>+T27/T25*100</f>
        <v>5.8457476899868004</v>
      </c>
      <c r="U28" s="2643">
        <f>+U27/U25*100</f>
        <v>6.9999999999999991</v>
      </c>
      <c r="V28" s="2678">
        <f>+V27/V25*100</f>
        <v>5.4771962482995633</v>
      </c>
      <c r="W28" s="2769">
        <v>7</v>
      </c>
      <c r="X28" s="1143">
        <f>+X27/X25*100</f>
        <v>5.9031877213695401</v>
      </c>
      <c r="Y28" s="2641">
        <f>+Y27/Y25*100</f>
        <v>6.9999999999999991</v>
      </c>
      <c r="Z28" s="2672">
        <f>+Z27/Z25*100</f>
        <v>5.6730591354751185</v>
      </c>
      <c r="AA28" s="2642">
        <f>+AA27/AA25*100</f>
        <v>6.9999999999999991</v>
      </c>
      <c r="AB28" s="2665">
        <f>+AB27/AB25*100</f>
        <v>5.5427671432032959</v>
      </c>
      <c r="AC28" s="2769">
        <v>7</v>
      </c>
      <c r="AD28" s="1143">
        <f>+AD27/AD25*100</f>
        <v>7.5480886291697109</v>
      </c>
      <c r="AE28" s="2643">
        <f>+AE27/AE25*100</f>
        <v>6.9999999999999991</v>
      </c>
      <c r="AF28" s="2678">
        <f>+AF27/AF25*100</f>
        <v>5.7646203162459928</v>
      </c>
      <c r="AG28" s="2769">
        <v>7</v>
      </c>
      <c r="AH28" s="1143">
        <f>+AH27/AH25*100</f>
        <v>6.473888649115235</v>
      </c>
      <c r="AI28" s="2643">
        <f>+AI27/AI25*100</f>
        <v>6.9999999999999991</v>
      </c>
      <c r="AJ28" s="2678">
        <f>+AJ27/AJ25*100</f>
        <v>5.8433316569676945</v>
      </c>
      <c r="AK28" s="2769">
        <v>7</v>
      </c>
      <c r="AL28" s="1143" t="e">
        <f>+AL27/AL25*100</f>
        <v>#DIV/0!</v>
      </c>
      <c r="AM28" s="2641">
        <f>+AM27/AM25*100</f>
        <v>7.0000000000000009</v>
      </c>
      <c r="AN28" s="2672">
        <f>+AN27/AN25*100</f>
        <v>6.9786065667543768</v>
      </c>
      <c r="AO28" s="2643">
        <f>+AO27/AO25*100</f>
        <v>6.9999999999999991</v>
      </c>
      <c r="AP28" s="2678">
        <f>+AP27/AP25*100</f>
        <v>5.8433316569676945</v>
      </c>
      <c r="AQ28" s="2769">
        <v>7</v>
      </c>
      <c r="AR28" s="1143">
        <f>+AR27/AR25*100</f>
        <v>2.2965879265091864</v>
      </c>
      <c r="AS28" s="2643">
        <f>+AS27/AS25*100</f>
        <v>7.0000000000000009</v>
      </c>
      <c r="AT28" s="2678">
        <f>+AT27/AT25*100</f>
        <v>5.6020533422609082</v>
      </c>
      <c r="AU28" s="2769">
        <v>7</v>
      </c>
      <c r="AV28" s="1143">
        <f>+AV27/AV25*100</f>
        <v>5.5940926381740885</v>
      </c>
      <c r="AW28" s="2643">
        <f>+AW27/AW25*100</f>
        <v>7.0000000000000009</v>
      </c>
      <c r="AX28" s="2678">
        <f>+AX27/AX25*100</f>
        <v>5.6013313309250314</v>
      </c>
      <c r="AY28" s="2769">
        <v>7</v>
      </c>
      <c r="AZ28" s="1143">
        <f>+AZ27/AZ25*100</f>
        <v>5.3571428571428568</v>
      </c>
      <c r="BA28" s="2641">
        <f t="shared" ref="BA28:BF28" si="18">+BA27/BA25*100</f>
        <v>7.0000000000000009</v>
      </c>
      <c r="BB28" s="2672">
        <f t="shared" si="18"/>
        <v>4.6985745002787285</v>
      </c>
      <c r="BC28" s="2642">
        <f t="shared" si="18"/>
        <v>7.0000000000000009</v>
      </c>
      <c r="BD28" s="2665">
        <f t="shared" si="18"/>
        <v>5.6343318621466807</v>
      </c>
      <c r="BE28" s="2643">
        <f t="shared" si="18"/>
        <v>7.0000000000000009</v>
      </c>
      <c r="BF28" s="2678">
        <f t="shared" si="18"/>
        <v>5.578672165555842</v>
      </c>
      <c r="BG28" s="1202"/>
      <c r="BH28" s="1202"/>
      <c r="BI28" s="26"/>
      <c r="BJ28" s="26"/>
      <c r="BK28" s="1520"/>
    </row>
    <row r="29" spans="1:63" ht="15.6" x14ac:dyDescent="0.3">
      <c r="A29" s="146"/>
      <c r="B29" s="146"/>
      <c r="C29" s="2377" t="s">
        <v>622</v>
      </c>
      <c r="D29" s="2770"/>
      <c r="E29" s="6467">
        <v>100</v>
      </c>
      <c r="F29" s="1143"/>
      <c r="G29" s="6467">
        <v>100</v>
      </c>
      <c r="H29" s="1143"/>
      <c r="I29" s="6457">
        <f>+((E29*E25)+(G29*G25))/(I25)</f>
        <v>100.00000000000001</v>
      </c>
      <c r="J29" s="2678"/>
      <c r="K29" s="6467">
        <v>90</v>
      </c>
      <c r="L29" s="1143"/>
      <c r="M29" s="6460">
        <f>+((E29*E25)+(G25*G29)+(K25*K29))/M25</f>
        <v>96.701694469985554</v>
      </c>
      <c r="N29" s="2672"/>
      <c r="O29" s="6467">
        <v>90</v>
      </c>
      <c r="P29" s="1143"/>
      <c r="Q29" s="6457">
        <f>+((M29*M25)+(O29*O25))/(Q25)</f>
        <v>95.024620839078196</v>
      </c>
      <c r="R29" s="2678"/>
      <c r="S29" s="6467">
        <v>90</v>
      </c>
      <c r="T29" s="1143"/>
      <c r="U29" s="6457">
        <f>+((Q29*Q25)+(S29*S25))/(U25)</f>
        <v>94.018905080740439</v>
      </c>
      <c r="V29" s="2678"/>
      <c r="W29" s="6467">
        <v>90</v>
      </c>
      <c r="X29" s="1143"/>
      <c r="Y29" s="6460">
        <f>+((O29*O25)+(S25*S29)+(W25*W29))/Y25</f>
        <v>90</v>
      </c>
      <c r="Z29" s="2672"/>
      <c r="AA29" s="6465">
        <f>+((U29*U25)+(W29*W25))/(AA25)</f>
        <v>93.636882061517611</v>
      </c>
      <c r="AB29" s="2665"/>
      <c r="AC29" s="6470">
        <v>100</v>
      </c>
      <c r="AD29" s="1143"/>
      <c r="AE29" s="6457">
        <f>+((AA29*AA25)+(AC29*AC25))/(AE25)</f>
        <v>94.628899786395493</v>
      </c>
      <c r="AF29" s="2678"/>
      <c r="AG29" s="6470">
        <v>100</v>
      </c>
      <c r="AH29" s="1143"/>
      <c r="AI29" s="6457">
        <f>+((AE29*AE25)+(AG29*AG25))/(AI25)</f>
        <v>95.333890907190082</v>
      </c>
      <c r="AJ29" s="2678"/>
      <c r="AK29" s="6470">
        <v>110</v>
      </c>
      <c r="AL29" s="1143"/>
      <c r="AM29" s="6460">
        <f>+((AC29*AC25)+(AG25*AG29)+(AK25*AK29))/AM25</f>
        <v>103.36799688028078</v>
      </c>
      <c r="AN29" s="2672"/>
      <c r="AO29" s="6457">
        <f>+((AI29*AI25)+(AK29*AK25))/(AO25)</f>
        <v>97.083304559998155</v>
      </c>
      <c r="AP29" s="2678"/>
      <c r="AQ29" s="6470">
        <v>110</v>
      </c>
      <c r="AR29" s="1143"/>
      <c r="AS29" s="6457">
        <f>+((AO29*AO25)+(AQ29*AQ25))/(AS25)</f>
        <v>98.478800944461554</v>
      </c>
      <c r="AT29" s="2678"/>
      <c r="AU29" s="6470">
        <v>110</v>
      </c>
      <c r="AV29" s="1143"/>
      <c r="AW29" s="6457">
        <f>+((AS29*AS25)+(AU29*AU25))/(AW25)</f>
        <v>99.493137603684914</v>
      </c>
      <c r="AX29" s="2678"/>
      <c r="AY29" s="6453">
        <v>110</v>
      </c>
      <c r="AZ29" s="1143"/>
      <c r="BA29" s="6460">
        <f>+((AQ29*AQ25)+(AU25*AU29)+(AY25*AY29))/BA25</f>
        <v>109.99999999999999</v>
      </c>
      <c r="BB29" s="2672"/>
      <c r="BC29" s="6465">
        <f>+((AM29*AM25)+(BA29*BA25))/(BC25)</f>
        <v>106.66666666666666</v>
      </c>
      <c r="BD29" s="2665"/>
      <c r="BE29" s="6457">
        <f>+((AW29*AW25)+(AY29*AY25))/(BE25)</f>
        <v>100.43549404285056</v>
      </c>
      <c r="BF29" s="2678"/>
      <c r="BG29" s="1202"/>
      <c r="BH29" s="1202"/>
      <c r="BI29" s="26"/>
      <c r="BJ29" s="26"/>
      <c r="BK29" s="1520"/>
    </row>
    <row r="30" spans="1:63" ht="15.6" x14ac:dyDescent="0.3">
      <c r="A30" s="146"/>
      <c r="B30" s="146"/>
      <c r="C30" s="2658" t="s">
        <v>700</v>
      </c>
      <c r="D30" s="2770"/>
      <c r="E30" s="6467"/>
      <c r="F30" s="3960">
        <v>140.38</v>
      </c>
      <c r="G30" s="6467"/>
      <c r="H30" s="3960">
        <v>126.1</v>
      </c>
      <c r="I30" s="6457"/>
      <c r="J30" s="1166">
        <f>+((F30*F25)+(H25*H30))/(F25+H25)</f>
        <v>133.03311751028437</v>
      </c>
      <c r="K30" s="6467"/>
      <c r="L30" s="3960">
        <v>86.33</v>
      </c>
      <c r="M30" s="6460">
        <f t="shared" ref="M30:M31" si="19">+((E30*E24)+(G24*G30)+(K24*K30))/M24</f>
        <v>0</v>
      </c>
      <c r="N30" s="1152">
        <f>+((F30*F25)+(H25*H30)+(L25*L30))/N25</f>
        <v>117.41722304899099</v>
      </c>
      <c r="O30" s="6467"/>
      <c r="P30" s="3960">
        <v>123.22</v>
      </c>
      <c r="Q30" s="6457"/>
      <c r="R30" s="1166">
        <f>+((N30*N25)+(P25*P30))/(N25+P25)</f>
        <v>118.91259643851353</v>
      </c>
      <c r="S30" s="6467"/>
      <c r="T30" s="3960">
        <v>107.33</v>
      </c>
      <c r="U30" s="6457"/>
      <c r="V30" s="1166">
        <f>+((R30*R25)+(T25*T30))/(R25+T25)</f>
        <v>116.7137524164101</v>
      </c>
      <c r="W30" s="6467"/>
      <c r="X30" s="3960">
        <v>107.75</v>
      </c>
      <c r="Y30" s="6460">
        <f t="shared" ref="Y30:Y31" si="20">+((Q30*Q24)+(S24*S30)+(W24*W30))/Y24</f>
        <v>0</v>
      </c>
      <c r="Z30" s="1152">
        <f>+((P30*P25)+(T25*T30)+(X25*X30))/Z25</f>
        <v>113.17602084232595</v>
      </c>
      <c r="AA30" s="6465"/>
      <c r="AB30" s="1153">
        <f>(N30*N$25+Z30*Z$25)/AB$25</f>
        <v>115.33400351344802</v>
      </c>
      <c r="AC30" s="6470"/>
      <c r="AD30" s="3960">
        <v>81.84</v>
      </c>
      <c r="AE30" s="6457"/>
      <c r="AF30" s="1166">
        <f>+((AB30*AB25)+(AD25*AD30))/(AB25+AD25)</f>
        <v>111.62848746060394</v>
      </c>
      <c r="AG30" s="6470"/>
      <c r="AH30" s="3960">
        <v>61.37</v>
      </c>
      <c r="AI30" s="6457"/>
      <c r="AJ30" s="1166">
        <f>+((AF30*AF25)+(AH25*AH30))/(AF25+AH25)</f>
        <v>106.05103144382977</v>
      </c>
      <c r="AK30" s="6470"/>
      <c r="AL30" s="3960">
        <v>0</v>
      </c>
      <c r="AM30" s="6460">
        <f t="shared" ref="AM30:AM31" si="21">+((AE30*AE24)+(AG24*AG30)+(AK24*AK30))/AM24</f>
        <v>0</v>
      </c>
      <c r="AN30" s="1152">
        <f>+((AD30*AD25)+(AH25*AH30)+(AL25*AL30))/AN25</f>
        <v>70.98792586660565</v>
      </c>
      <c r="AO30" s="6457"/>
      <c r="AP30" s="1166">
        <f>+((AJ30*AJ25)+(AL25*AL30))/(AJ25+AL25)</f>
        <v>106.05103144382977</v>
      </c>
      <c r="AQ30" s="6470"/>
      <c r="AR30" s="3960">
        <v>108.43</v>
      </c>
      <c r="AS30" s="6457"/>
      <c r="AT30" s="1166">
        <f>+((AP30*AP25)+(AR25*AR30))/(AP25+AR25)</f>
        <v>106.21286820667335</v>
      </c>
      <c r="AU30" s="6470"/>
      <c r="AV30" s="3960">
        <v>125.27</v>
      </c>
      <c r="AW30" s="6457"/>
      <c r="AX30" s="1166">
        <f>+((AT30*AT25)+(AV25*AV30))/(AT25+AV25)</f>
        <v>107.94129135040791</v>
      </c>
      <c r="AY30" s="6454"/>
      <c r="AZ30" s="3960">
        <v>123.41</v>
      </c>
      <c r="BA30" s="6460">
        <f t="shared" ref="BA30:BA31" si="22">+((AS30*AS24)+(AU24*AU30)+(AY24*AY30))/BA24</f>
        <v>0</v>
      </c>
      <c r="BB30" s="1152">
        <f>+((AR30*AR25)+(AV25*AV30)+(AZ25*AZ30))/BB25</f>
        <v>120.43582623238034</v>
      </c>
      <c r="BC30" s="6465"/>
      <c r="BD30" s="1153">
        <f>(AN30*AN$25+BB30*BB$25)/BD$25</f>
        <v>100.1417095501925</v>
      </c>
      <c r="BE30" s="6457"/>
      <c r="BF30" s="1166">
        <f>+((AX30*AX25)+(AZ25*AZ30))/(AX25+AZ25)</f>
        <v>109.37669090842139</v>
      </c>
      <c r="BG30" s="1202"/>
      <c r="BH30" s="1202"/>
      <c r="BI30" s="26"/>
      <c r="BJ30" s="26"/>
      <c r="BK30" s="1520"/>
    </row>
    <row r="31" spans="1:63" ht="16.2" thickBot="1" x14ac:dyDescent="0.35">
      <c r="A31" s="146"/>
      <c r="B31" s="146"/>
      <c r="C31" s="2659" t="s">
        <v>699</v>
      </c>
      <c r="D31" s="2660"/>
      <c r="E31" s="6468"/>
      <c r="F31" s="3961">
        <v>101.85</v>
      </c>
      <c r="G31" s="6468"/>
      <c r="H31" s="3961">
        <v>90.64</v>
      </c>
      <c r="I31" s="6458"/>
      <c r="J31" s="1167">
        <f>+((F31*F25)+(H25*H31))/(F25+H25)</f>
        <v>96.082594348059388</v>
      </c>
      <c r="K31" s="6468"/>
      <c r="L31" s="3961">
        <v>128.47</v>
      </c>
      <c r="M31" s="6461">
        <f t="shared" si="19"/>
        <v>0</v>
      </c>
      <c r="N31" s="1154">
        <f>+((F31*F25)+(H25*H31)+(L25*L31))/N25</f>
        <v>106.91181379844039</v>
      </c>
      <c r="O31" s="6468"/>
      <c r="P31" s="3961">
        <v>88.87</v>
      </c>
      <c r="Q31" s="6458"/>
      <c r="R31" s="1167">
        <f>+((N31*N25)+(P25*P31))/(N25+P25)</f>
        <v>102.26244531836861</v>
      </c>
      <c r="S31" s="6468"/>
      <c r="T31" s="3961">
        <v>78.7</v>
      </c>
      <c r="U31" s="6458"/>
      <c r="V31" s="1167">
        <f>+((R31*R25)+(T25*T31))/(R25+T25)</f>
        <v>97.789342736450209</v>
      </c>
      <c r="W31" s="6468"/>
      <c r="X31" s="3961">
        <v>83.33</v>
      </c>
      <c r="Y31" s="6461">
        <f t="shared" si="20"/>
        <v>0</v>
      </c>
      <c r="Z31" s="1154">
        <f>+((P31*P25)+(T25*T31)+(X25*X31))/Z25</f>
        <v>83.808287599432688</v>
      </c>
      <c r="AA31" s="6466"/>
      <c r="AB31" s="1155">
        <f>(N31*N$25+Z31*Z$25)/AB$25</f>
        <v>95.563683062757448</v>
      </c>
      <c r="AC31" s="6471"/>
      <c r="AD31" s="3961">
        <v>64.09</v>
      </c>
      <c r="AE31" s="6458"/>
      <c r="AF31" s="1167">
        <f>+((AB31*AB25)+(AD25*AD31))/(AB25+AD25)</f>
        <v>92.081679551760359</v>
      </c>
      <c r="AG31" s="6471"/>
      <c r="AH31" s="3961">
        <v>48.33</v>
      </c>
      <c r="AI31" s="6458"/>
      <c r="AJ31" s="1167">
        <f>+((AF31*AF25)+(AH25*AH31))/(AF25+AH25)</f>
        <v>87.226319180017725</v>
      </c>
      <c r="AK31" s="6471"/>
      <c r="AL31" s="3961">
        <v>0</v>
      </c>
      <c r="AM31" s="6461">
        <f t="shared" si="21"/>
        <v>0</v>
      </c>
      <c r="AN31" s="1154">
        <f>+((AD31*AD25)+(AH25*AH31)+(AL25*AL31))/AN25</f>
        <v>55.734910193341719</v>
      </c>
      <c r="AO31" s="6458"/>
      <c r="AP31" s="1167">
        <f>+((AJ31*AJ25)+(AL25*AL31))/(AJ25+AL25)</f>
        <v>87.226319180017725</v>
      </c>
      <c r="AQ31" s="6471"/>
      <c r="AR31" s="3961">
        <v>82.77</v>
      </c>
      <c r="AS31" s="6458"/>
      <c r="AT31" s="1167">
        <f>+((AP31*AP25)+(AR25*AR31))/(AP25+AR25)</f>
        <v>86.923164155786182</v>
      </c>
      <c r="AU31" s="6471"/>
      <c r="AV31" s="3961">
        <v>108.92</v>
      </c>
      <c r="AW31" s="6458"/>
      <c r="AX31" s="1167">
        <f>+((AT31*AT25)+(AV25*AV31))/(AT25+AV25)</f>
        <v>88.918209400495186</v>
      </c>
      <c r="AY31" s="6455"/>
      <c r="AZ31" s="3961">
        <v>100.33</v>
      </c>
      <c r="BA31" s="6461">
        <f t="shared" si="22"/>
        <v>0</v>
      </c>
      <c r="BB31" s="1154">
        <f>+((AR31*AR25)+(AV25*AV31)+(AZ25*AZ31))/BB25</f>
        <v>99.124762283985021</v>
      </c>
      <c r="BC31" s="6466"/>
      <c r="BD31" s="1155">
        <f>(AN31*AN$25+BB31*BB$25)/BD$25</f>
        <v>81.316954174100843</v>
      </c>
      <c r="BE31" s="6458"/>
      <c r="BF31" s="1167">
        <f>+((AX31*AX25)+(AZ25*AZ31))/(AX25+AZ25)</f>
        <v>89.977152299591268</v>
      </c>
      <c r="BG31" s="1202"/>
      <c r="BH31" s="1202"/>
      <c r="BI31" s="26"/>
      <c r="BJ31" s="26"/>
      <c r="BK31" s="1520"/>
    </row>
    <row r="32" spans="1:63" ht="15" thickBot="1" x14ac:dyDescent="0.35">
      <c r="A32" s="146"/>
      <c r="B32" s="146"/>
      <c r="C32" s="595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  <c r="BD32" s="146"/>
      <c r="BE32" s="146"/>
      <c r="BF32" s="146"/>
      <c r="BG32" s="1202"/>
      <c r="BH32" s="1202"/>
      <c r="BI32" s="26"/>
      <c r="BJ32" s="26"/>
      <c r="BK32" s="1520"/>
    </row>
    <row r="33" spans="1:63" ht="16.2" thickBot="1" x14ac:dyDescent="0.35">
      <c r="A33" s="146"/>
      <c r="B33" s="146"/>
      <c r="C33" s="518" t="s">
        <v>269</v>
      </c>
      <c r="D33" s="1322" t="s">
        <v>50</v>
      </c>
      <c r="E33" s="519">
        <f>+SMS!E5</f>
        <v>237110.48158640199</v>
      </c>
      <c r="F33" s="520">
        <f>+SMS!F5</f>
        <v>207020</v>
      </c>
      <c r="G33" s="519">
        <f>+SMS!G5</f>
        <v>244664.77809253999</v>
      </c>
      <c r="H33" s="520">
        <f>+SMS!H5</f>
        <v>236638</v>
      </c>
      <c r="I33" s="519">
        <f>+SMS!I5</f>
        <v>481775.25967894198</v>
      </c>
      <c r="J33" s="520">
        <f>+SMS!J5</f>
        <v>443658</v>
      </c>
      <c r="K33" s="519">
        <f>+SMS!K5</f>
        <v>237110.48158640199</v>
      </c>
      <c r="L33" s="520">
        <f>+SMS!L5</f>
        <v>243453</v>
      </c>
      <c r="M33" s="1493">
        <f>+SMS!M5</f>
        <v>718885.74126534397</v>
      </c>
      <c r="N33" s="1494">
        <f>+SMS!N5</f>
        <v>687111</v>
      </c>
      <c r="O33" s="519">
        <f>+SMS!O5</f>
        <v>239943.34277620399</v>
      </c>
      <c r="P33" s="520">
        <f>+SMS!P5</f>
        <v>253662</v>
      </c>
      <c r="Q33" s="519">
        <f>+SMS!Q5</f>
        <v>958829.08404154796</v>
      </c>
      <c r="R33" s="520">
        <f>+SMS!R5</f>
        <v>940773</v>
      </c>
      <c r="S33" s="519">
        <f>+SMS!S5</f>
        <v>239943.34277620399</v>
      </c>
      <c r="T33" s="520">
        <f>+SMS!T5</f>
        <v>237622</v>
      </c>
      <c r="U33" s="519">
        <f>+SMS!U5</f>
        <v>1198772.426817752</v>
      </c>
      <c r="V33" s="520">
        <f>+SMS!V5</f>
        <v>1178395</v>
      </c>
      <c r="W33" s="519">
        <f>+SMS!W5</f>
        <v>125920.679886686</v>
      </c>
      <c r="X33" s="520">
        <f>+SMS!X5</f>
        <v>226847</v>
      </c>
      <c r="Y33" s="1493">
        <f>+SMS!Y5</f>
        <v>605807.36543909402</v>
      </c>
      <c r="Z33" s="1494">
        <f>+SMS!Z5</f>
        <v>718131</v>
      </c>
      <c r="AA33" s="520">
        <f>+SMS!AA5</f>
        <v>1324693.1067044381</v>
      </c>
      <c r="AB33" s="520">
        <f>+SMS!AB5</f>
        <v>1405242</v>
      </c>
      <c r="AC33" s="519">
        <f>+SMS!AC5</f>
        <v>244664.77809253999</v>
      </c>
      <c r="AD33" s="520">
        <f>+SMS!AD5</f>
        <v>179201</v>
      </c>
      <c r="AE33" s="519">
        <f>+SMS!AE5</f>
        <v>1569357.884796978</v>
      </c>
      <c r="AF33" s="520">
        <f>+SMS!AF5</f>
        <v>1584443</v>
      </c>
      <c r="AG33" s="519">
        <f>+SMS!AG5</f>
        <v>237110.48158640199</v>
      </c>
      <c r="AH33" s="520">
        <f>+SMS!AH5</f>
        <v>229502</v>
      </c>
      <c r="AI33" s="519">
        <f>+SMS!AI5</f>
        <v>1806468.36638338</v>
      </c>
      <c r="AJ33" s="520">
        <f>+SMS!AJ5</f>
        <v>1813945</v>
      </c>
      <c r="AK33" s="519">
        <f>+SMS!AK5</f>
        <v>244664.77809253999</v>
      </c>
      <c r="AL33" s="520">
        <f>+SMS!AL5</f>
        <v>234365</v>
      </c>
      <c r="AM33" s="1493">
        <f>+SMS!AM5</f>
        <v>726440.03777148202</v>
      </c>
      <c r="AN33" s="1494">
        <f>+SMS!AN5</f>
        <v>643068</v>
      </c>
      <c r="AO33" s="519">
        <f>+SMS!AO5</f>
        <v>2051133.1444759201</v>
      </c>
      <c r="AP33" s="520">
        <f>+SMS!AP5</f>
        <v>2048310</v>
      </c>
      <c r="AQ33" s="519">
        <f>+SMS!AQ5</f>
        <v>248441.92634560907</v>
      </c>
      <c r="AR33" s="520">
        <f>+SMS!AR5</f>
        <v>228047</v>
      </c>
      <c r="AS33" s="519">
        <f>+SMS!AS5</f>
        <v>2299575.0708215293</v>
      </c>
      <c r="AT33" s="520">
        <f>+SMS!AT5</f>
        <v>2276357</v>
      </c>
      <c r="AU33" s="519">
        <f>+SMS!AU5</f>
        <v>222001.88857412653</v>
      </c>
      <c r="AV33" s="520">
        <f>+SMS!AV5</f>
        <v>185016</v>
      </c>
      <c r="AW33" s="519">
        <f>+SMS!AW5</f>
        <v>2521576.9593956559</v>
      </c>
      <c r="AX33" s="520">
        <f>+SMS!AX5</f>
        <v>2461373</v>
      </c>
      <c r="AY33" s="519">
        <f>+SMS!AY5</f>
        <v>248441.92634560907</v>
      </c>
      <c r="AZ33" s="520">
        <f>+SMS!AZ5</f>
        <v>241240</v>
      </c>
      <c r="BA33" s="1493">
        <f>+SMS!BA5</f>
        <v>718885.74126534467</v>
      </c>
      <c r="BB33" s="1494">
        <f>+SMS!BB5</f>
        <v>654303</v>
      </c>
      <c r="BC33" s="520">
        <f>+SMS!BC5</f>
        <v>1445325.7790368267</v>
      </c>
      <c r="BD33" s="520">
        <f>+SMS!BD5</f>
        <v>1297371</v>
      </c>
      <c r="BE33" s="1718">
        <f>+SMS!BE5</f>
        <v>2770018.885741265</v>
      </c>
      <c r="BF33" s="1718">
        <f>+SMS!BF5</f>
        <v>2702613</v>
      </c>
      <c r="BG33" s="1202"/>
      <c r="BH33" s="1202"/>
      <c r="BI33" s="26"/>
      <c r="BJ33" s="26"/>
      <c r="BK33" s="1520"/>
    </row>
    <row r="34" spans="1:63" ht="16.5" customHeight="1" thickBot="1" x14ac:dyDescent="0.35">
      <c r="C34" s="1329" t="s">
        <v>536</v>
      </c>
      <c r="D34" s="1330"/>
      <c r="E34" s="92"/>
      <c r="F34" s="92"/>
      <c r="G34" s="30"/>
      <c r="H34" s="30"/>
      <c r="I34" s="30"/>
      <c r="M34" s="30"/>
      <c r="N34" s="30"/>
      <c r="Q34" s="30"/>
      <c r="R34" s="30"/>
      <c r="U34" s="30"/>
      <c r="V34" s="30"/>
      <c r="Y34" s="30"/>
      <c r="Z34" s="30"/>
      <c r="AA34" s="30"/>
      <c r="AB34" s="30"/>
      <c r="BG34" s="26"/>
      <c r="BH34" s="26"/>
      <c r="BI34" s="26"/>
      <c r="BJ34" s="26"/>
      <c r="BK34" s="1520"/>
    </row>
    <row r="35" spans="1:63" ht="15.75" customHeight="1" x14ac:dyDescent="0.3">
      <c r="C35" s="1192" t="s">
        <v>531</v>
      </c>
      <c r="D35" s="1465" t="s">
        <v>532</v>
      </c>
      <c r="E35" s="1326">
        <v>246.90499374043677</v>
      </c>
      <c r="F35" s="92"/>
      <c r="G35" s="30"/>
      <c r="H35" s="30"/>
      <c r="I35" s="30"/>
      <c r="M35" s="30"/>
      <c r="N35" s="30"/>
      <c r="Q35" s="30"/>
      <c r="R35" s="30"/>
      <c r="U35" s="30"/>
      <c r="V35" s="30"/>
      <c r="Y35" s="30"/>
      <c r="Z35" s="30"/>
      <c r="AA35" s="30"/>
      <c r="AB35" s="30"/>
      <c r="BG35" s="26"/>
      <c r="BH35" s="26"/>
      <c r="BI35" s="26"/>
      <c r="BJ35" s="26"/>
      <c r="BK35" s="1520"/>
    </row>
    <row r="36" spans="1:63" ht="15.75" customHeight="1" x14ac:dyDescent="0.3">
      <c r="C36" s="1331" t="s">
        <v>533</v>
      </c>
      <c r="D36" s="1466" t="s">
        <v>532</v>
      </c>
      <c r="E36" s="1326">
        <v>62.819989320601806</v>
      </c>
      <c r="F36" s="92"/>
      <c r="G36" s="30"/>
      <c r="H36" s="30"/>
      <c r="I36" s="30"/>
      <c r="M36" s="30"/>
      <c r="N36" s="30"/>
      <c r="Q36" s="30"/>
      <c r="R36" s="30"/>
      <c r="U36" s="30"/>
      <c r="V36" s="30"/>
      <c r="Y36" s="30"/>
      <c r="Z36" s="30"/>
      <c r="AA36" s="30"/>
      <c r="AB36" s="30"/>
      <c r="BG36" s="26"/>
      <c r="BH36" s="26"/>
      <c r="BI36" s="26"/>
      <c r="BJ36" s="26"/>
      <c r="BK36" s="1520"/>
    </row>
    <row r="37" spans="1:63" ht="15.75" customHeight="1" x14ac:dyDescent="0.3">
      <c r="C37" s="1332" t="s">
        <v>525</v>
      </c>
      <c r="D37" s="1291" t="s">
        <v>535</v>
      </c>
      <c r="E37" s="342">
        <v>310</v>
      </c>
      <c r="F37" s="92"/>
      <c r="G37" s="30"/>
      <c r="H37" s="30"/>
      <c r="I37" s="30"/>
      <c r="M37" s="30"/>
      <c r="N37" s="30"/>
      <c r="Q37" s="30"/>
      <c r="R37" s="30"/>
      <c r="U37" s="30"/>
      <c r="V37" s="30"/>
      <c r="Y37" s="30"/>
      <c r="Z37" s="30"/>
      <c r="AA37" s="30"/>
      <c r="AB37" s="30"/>
      <c r="BG37" s="26"/>
      <c r="BH37" s="26"/>
      <c r="BI37" s="26"/>
      <c r="BJ37" s="26"/>
      <c r="BK37" s="1520"/>
    </row>
    <row r="38" spans="1:63" ht="16.5" customHeight="1" thickBot="1" x14ac:dyDescent="0.35">
      <c r="C38" s="1189" t="s">
        <v>530</v>
      </c>
      <c r="D38" s="1467" t="s">
        <v>535</v>
      </c>
      <c r="E38" s="342">
        <v>100</v>
      </c>
      <c r="F38" s="92"/>
      <c r="G38" s="30"/>
      <c r="H38" s="30"/>
      <c r="I38" s="30"/>
      <c r="M38" s="30"/>
      <c r="N38" s="30"/>
      <c r="Q38" s="30"/>
      <c r="R38" s="30"/>
      <c r="U38" s="30"/>
      <c r="V38" s="30"/>
      <c r="Y38" s="30"/>
      <c r="Z38" s="30"/>
      <c r="AA38" s="30"/>
      <c r="AB38" s="30"/>
      <c r="BG38" s="26"/>
      <c r="BH38" s="26"/>
      <c r="BI38" s="26"/>
      <c r="BJ38" s="26"/>
      <c r="BK38" s="1520"/>
    </row>
    <row r="39" spans="1:63" ht="11.25" customHeight="1" x14ac:dyDescent="0.3">
      <c r="C39" s="4"/>
      <c r="D39" s="4"/>
      <c r="G39" s="4"/>
      <c r="H39" s="4"/>
      <c r="I39" s="4"/>
      <c r="M39" s="4"/>
      <c r="N39" s="4"/>
      <c r="Q39" s="4"/>
      <c r="R39" s="4"/>
      <c r="U39" s="4"/>
      <c r="V39" s="4"/>
      <c r="Y39" s="4"/>
      <c r="Z39" s="4"/>
      <c r="AA39" s="4"/>
      <c r="AB39" s="4"/>
      <c r="BG39" s="26"/>
      <c r="BH39" s="26"/>
      <c r="BI39" s="26"/>
      <c r="BJ39" s="26"/>
      <c r="BK39" s="1520"/>
    </row>
    <row r="40" spans="1:63" ht="15" customHeight="1" x14ac:dyDescent="0.3">
      <c r="C40" s="4"/>
      <c r="D40" s="4"/>
      <c r="G40" s="4"/>
      <c r="H40" s="4"/>
      <c r="I40" s="4"/>
      <c r="M40" s="4"/>
      <c r="N40" s="4"/>
      <c r="Q40" s="4"/>
      <c r="R40" s="4"/>
      <c r="U40" s="4"/>
      <c r="V40" s="4"/>
      <c r="Y40" s="4"/>
      <c r="Z40" s="4"/>
      <c r="AA40" s="4"/>
      <c r="AB40" s="4"/>
      <c r="BI40" s="1520"/>
      <c r="BJ40" s="1520"/>
    </row>
    <row r="41" spans="1:63" ht="15" customHeight="1" x14ac:dyDescent="0.3">
      <c r="C41" s="2415"/>
      <c r="D41" s="2415"/>
      <c r="G41" s="4"/>
      <c r="H41" s="4"/>
      <c r="I41" s="4"/>
      <c r="M41" s="4"/>
      <c r="N41" s="4"/>
      <c r="P41" s="4"/>
      <c r="Q41" s="4"/>
      <c r="R41" s="4"/>
      <c r="T41" s="4"/>
      <c r="U41" s="4"/>
      <c r="V41" s="4"/>
      <c r="X41" s="4"/>
      <c r="Y41" s="4"/>
      <c r="Z41" s="4"/>
      <c r="AA41" s="4"/>
      <c r="AB41" s="4"/>
      <c r="BI41" s="1520"/>
      <c r="BJ41" s="1520"/>
    </row>
    <row r="42" spans="1:63" ht="15" customHeight="1" x14ac:dyDescent="0.3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T42" s="25">
        <f>+T7-RMHP!S60</f>
        <v>0</v>
      </c>
      <c r="U42" s="4"/>
      <c r="V42" s="4"/>
      <c r="X42" s="25">
        <f>+X7-RMHP!W60</f>
        <v>0</v>
      </c>
      <c r="Y42" s="4"/>
      <c r="Z42" s="25">
        <f>+Z7-RMHP!Y60</f>
        <v>0</v>
      </c>
      <c r="AB42" s="25">
        <f>+AB7-RMHP!AA60</f>
        <v>0</v>
      </c>
      <c r="AD42" s="25">
        <f>+AD7-RMHP!AC60</f>
        <v>0</v>
      </c>
      <c r="AH42" s="25">
        <f>+AH7-RMHP!AG60</f>
        <v>0</v>
      </c>
      <c r="AL42" s="25">
        <f>+AL7-RMHP!AK60</f>
        <v>0</v>
      </c>
      <c r="AN42" s="25">
        <f>+AN7-RMHP!AM60</f>
        <v>0</v>
      </c>
      <c r="AP42" s="25">
        <f>+AP7-RMHP!AO60</f>
        <v>0</v>
      </c>
      <c r="AR42" s="25">
        <f>+AR7-RMHP!AQ60</f>
        <v>0</v>
      </c>
      <c r="AS42" s="25"/>
      <c r="AT42" s="25">
        <f>+AT7-RMHP!AS60</f>
        <v>0</v>
      </c>
      <c r="AV42" s="25">
        <f>+AV7-RMHP!AU60</f>
        <v>0</v>
      </c>
      <c r="AX42" s="25">
        <f>+AX7-RMHP!AW60</f>
        <v>0</v>
      </c>
      <c r="BI42" s="1520"/>
      <c r="BJ42" s="1520"/>
    </row>
    <row r="43" spans="1:63" ht="15" customHeight="1" x14ac:dyDescent="0.3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T43" s="25">
        <f>+T21-RMHP!S61</f>
        <v>0</v>
      </c>
      <c r="U43" s="4"/>
      <c r="V43" s="4"/>
      <c r="X43" s="25">
        <f>+X21-RMHP!W61</f>
        <v>0</v>
      </c>
      <c r="Y43" s="4"/>
      <c r="Z43" s="25">
        <f>+Z21-RMHP!Y61</f>
        <v>0</v>
      </c>
      <c r="AB43" s="25">
        <f>+AB21-RMHP!AA61</f>
        <v>0</v>
      </c>
      <c r="AD43" s="25">
        <f>+AD21-RMHP!AC61</f>
        <v>0</v>
      </c>
      <c r="AH43" s="25">
        <f>+AH21-RMHP!AG61</f>
        <v>0</v>
      </c>
      <c r="AL43" s="25">
        <f>+AL21-RMHP!AK61</f>
        <v>0</v>
      </c>
      <c r="AN43" s="25">
        <f>+AN21-RMHP!AM61</f>
        <v>0</v>
      </c>
      <c r="AP43" s="25">
        <f>+AP21-RMHP!AO61</f>
        <v>0</v>
      </c>
      <c r="AR43" s="25">
        <f>+AR21-RMHP!AQ61</f>
        <v>0</v>
      </c>
      <c r="AS43" s="25"/>
      <c r="AT43" s="25">
        <f>+AT21-RMHP!AS61</f>
        <v>0</v>
      </c>
      <c r="AV43" s="25">
        <f>+AV21-RMHP!AU61</f>
        <v>0</v>
      </c>
      <c r="AX43" s="25">
        <f>+AX21-RMHP!AW61</f>
        <v>0</v>
      </c>
      <c r="BI43" s="1520"/>
      <c r="BJ43" s="1520"/>
    </row>
    <row r="44" spans="1:63" ht="15" customHeight="1" x14ac:dyDescent="0.3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1520"/>
      <c r="BJ44" s="1520"/>
    </row>
    <row r="45" spans="1:63" ht="15" customHeight="1" x14ac:dyDescent="0.3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1520"/>
      <c r="BJ45" s="1520"/>
    </row>
    <row r="46" spans="1:63" ht="15" customHeight="1" x14ac:dyDescent="0.3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1520"/>
      <c r="BJ46" s="1520"/>
    </row>
    <row r="47" spans="1:63" ht="15" customHeight="1" x14ac:dyDescent="0.3">
      <c r="C47" s="4"/>
      <c r="D47" s="4"/>
      <c r="G47" s="4"/>
      <c r="H47" s="4"/>
      <c r="I47" s="4"/>
      <c r="J47" s="4"/>
      <c r="K47" s="352"/>
      <c r="L47" s="150"/>
      <c r="M47" s="4"/>
      <c r="N47" s="4"/>
      <c r="P47" s="4"/>
      <c r="Q47" s="4"/>
      <c r="R47" s="4"/>
      <c r="T47" s="4"/>
      <c r="U47" s="4"/>
      <c r="V47" s="4"/>
      <c r="Y47" s="4"/>
      <c r="Z47" s="4"/>
      <c r="BI47" s="1520"/>
      <c r="BJ47" s="1520"/>
    </row>
    <row r="48" spans="1:63" ht="15" customHeight="1" x14ac:dyDescent="0.3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1520"/>
      <c r="BJ48" s="1520"/>
    </row>
    <row r="49" spans="3:62" ht="15" customHeight="1" x14ac:dyDescent="0.3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1520"/>
      <c r="BJ49" s="1520"/>
    </row>
    <row r="50" spans="3:62" ht="15" customHeight="1" x14ac:dyDescent="0.3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1520"/>
      <c r="BJ50" s="1520"/>
    </row>
    <row r="51" spans="3:62" ht="15" customHeight="1" x14ac:dyDescent="0.3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1520"/>
      <c r="BJ51" s="1520"/>
    </row>
    <row r="52" spans="3:62" ht="15" customHeight="1" x14ac:dyDescent="0.3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1520"/>
      <c r="BJ52" s="1520"/>
    </row>
    <row r="53" spans="3:62" ht="15" customHeight="1" x14ac:dyDescent="0.3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1520"/>
      <c r="BJ53" s="1520"/>
    </row>
    <row r="54" spans="3:62" ht="15" customHeight="1" x14ac:dyDescent="0.3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1520"/>
      <c r="BJ54" s="1520"/>
    </row>
    <row r="55" spans="3:62" ht="15" customHeight="1" x14ac:dyDescent="0.3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1520"/>
      <c r="BJ55" s="1520"/>
    </row>
    <row r="56" spans="3:62" ht="15" customHeight="1" x14ac:dyDescent="0.3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1520"/>
      <c r="BJ56" s="1520"/>
    </row>
    <row r="57" spans="3:62" ht="15" customHeight="1" x14ac:dyDescent="0.3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1520"/>
      <c r="BJ57" s="1520"/>
    </row>
    <row r="58" spans="3:62" ht="15" customHeight="1" x14ac:dyDescent="0.3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1520"/>
      <c r="BJ58" s="1520"/>
    </row>
    <row r="59" spans="3:62" ht="15" customHeight="1" x14ac:dyDescent="0.3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1520"/>
      <c r="BJ59" s="1520"/>
    </row>
    <row r="60" spans="3:62" ht="15" customHeight="1" x14ac:dyDescent="0.3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1520"/>
      <c r="BJ60" s="1520"/>
    </row>
    <row r="61" spans="3:62" ht="15" customHeight="1" x14ac:dyDescent="0.3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1520"/>
      <c r="BJ61" s="1520"/>
    </row>
    <row r="62" spans="3:62" ht="15" customHeight="1" x14ac:dyDescent="0.3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1520"/>
      <c r="BJ62" s="1520"/>
    </row>
    <row r="63" spans="3:62" ht="15" customHeight="1" x14ac:dyDescent="0.3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1520"/>
      <c r="BJ63" s="1520"/>
    </row>
    <row r="64" spans="3:62" ht="15" customHeight="1" x14ac:dyDescent="0.3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1520"/>
      <c r="BJ64" s="1520"/>
    </row>
    <row r="65" spans="3:62" ht="15" customHeight="1" x14ac:dyDescent="0.3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1520"/>
      <c r="BJ65" s="1520"/>
    </row>
    <row r="66" spans="3:62" ht="15" customHeight="1" x14ac:dyDescent="0.3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3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3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3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3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3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3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3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3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Q4:AR4"/>
    <mergeCell ref="AQ15:AQ19"/>
    <mergeCell ref="AQ29:AQ31"/>
    <mergeCell ref="AS4:AT4"/>
    <mergeCell ref="AS15:AS19"/>
    <mergeCell ref="AS29:AS31"/>
    <mergeCell ref="S4:T4"/>
    <mergeCell ref="U4:V4"/>
    <mergeCell ref="S15:S19"/>
    <mergeCell ref="U15:U19"/>
    <mergeCell ref="S29:S31"/>
    <mergeCell ref="U29:U31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C2:C3"/>
    <mergeCell ref="C4:C5"/>
    <mergeCell ref="D4:D5"/>
    <mergeCell ref="E4:F4"/>
    <mergeCell ref="G4:H4"/>
    <mergeCell ref="C8:C9"/>
    <mergeCell ref="C22:C23"/>
    <mergeCell ref="M4:N4"/>
    <mergeCell ref="E15:E19"/>
    <mergeCell ref="G15:G19"/>
    <mergeCell ref="I15:I19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AC4:AD4"/>
    <mergeCell ref="AC15:AC19"/>
    <mergeCell ref="AC29:AC31"/>
    <mergeCell ref="AE4:AF4"/>
    <mergeCell ref="AE15:AE19"/>
    <mergeCell ref="AE29:AE31"/>
    <mergeCell ref="AG4:AH4"/>
    <mergeCell ref="AI4:AJ4"/>
    <mergeCell ref="AG15:AG19"/>
    <mergeCell ref="AI15:AI19"/>
    <mergeCell ref="AG29:AG31"/>
    <mergeCell ref="AI29:AI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U4:AV4"/>
    <mergeCell ref="AW4:AX4"/>
    <mergeCell ref="AU15:AU19"/>
    <mergeCell ref="AW15:AW19"/>
    <mergeCell ref="AU29:AU31"/>
    <mergeCell ref="AW29:AW31"/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</mergeCells>
  <pageMargins left="0.7" right="0.7" top="0.75" bottom="0.75" header="0.3" footer="0.3"/>
  <pageSetup scale="78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>
    <tabColor rgb="FF003300"/>
    <pageSetUpPr fitToPage="1"/>
  </sheetPr>
  <dimension ref="A1:BJ42"/>
  <sheetViews>
    <sheetView zoomScale="85" zoomScaleNormal="85" workbookViewId="0">
      <pane xSplit="3" topLeftCell="R1" activePane="topRight" state="frozen"/>
      <selection pane="topRight" activeCell="BE33" sqref="BE33"/>
    </sheetView>
  </sheetViews>
  <sheetFormatPr defaultColWidth="8.88671875" defaultRowHeight="14.4" x14ac:dyDescent="0.3"/>
  <cols>
    <col min="1" max="1" width="9.109375"/>
    <col min="2" max="2" width="28.109375" customWidth="1"/>
    <col min="3" max="3" width="16.44140625" bestFit="1" customWidth="1"/>
    <col min="4" max="4" width="10.33203125" customWidth="1"/>
    <col min="5" max="5" width="10" customWidth="1"/>
    <col min="6" max="6" width="7.6640625" customWidth="1"/>
    <col min="7" max="7" width="11" customWidth="1"/>
    <col min="8" max="9" width="7.6640625" hidden="1" customWidth="1"/>
    <col min="10" max="11" width="7.88671875" customWidth="1"/>
    <col min="12" max="13" width="9" customWidth="1"/>
    <col min="14" max="15" width="7.6640625" customWidth="1"/>
    <col min="16" max="17" width="9" hidden="1" customWidth="1"/>
    <col min="18" max="18" width="11.5546875" customWidth="1"/>
    <col min="19" max="19" width="7.6640625" customWidth="1"/>
    <col min="20" max="21" width="9" hidden="1" customWidth="1"/>
    <col min="22" max="23" width="7.6640625" customWidth="1"/>
    <col min="24" max="25" width="9.6640625" customWidth="1"/>
    <col min="26" max="27" width="9" customWidth="1"/>
    <col min="28" max="29" width="8.88671875" customWidth="1"/>
    <col min="30" max="31" width="8.88671875" hidden="1" customWidth="1"/>
    <col min="32" max="33" width="8.88671875" customWidth="1"/>
    <col min="34" max="35" width="8.88671875" hidden="1" customWidth="1"/>
    <col min="36" max="39" width="8.88671875" customWidth="1"/>
    <col min="40" max="41" width="8.88671875" hidden="1" customWidth="1"/>
    <col min="42" max="42" width="8.5546875" bestFit="1" customWidth="1"/>
    <col min="43" max="43" width="8.88671875" customWidth="1"/>
    <col min="44" max="45" width="8.88671875" hidden="1" customWidth="1"/>
    <col min="46" max="46" width="8.88671875" customWidth="1"/>
    <col min="47" max="47" width="7.88671875" bestFit="1" customWidth="1"/>
    <col min="48" max="49" width="8.88671875" hidden="1" customWidth="1"/>
    <col min="50" max="50" width="12.5546875" customWidth="1"/>
    <col min="51" max="51" width="13.109375" bestFit="1" customWidth="1"/>
    <col min="52" max="57" width="8.88671875" customWidth="1"/>
    <col min="58" max="58" width="9.6640625" hidden="1" customWidth="1"/>
    <col min="59" max="59" width="9.44140625" hidden="1" customWidth="1"/>
    <col min="60" max="67" width="0" hidden="1" customWidth="1"/>
  </cols>
  <sheetData>
    <row r="1" spans="1:62" ht="18" x14ac:dyDescent="0.35">
      <c r="A1" s="2158"/>
      <c r="B1" s="2159" t="s">
        <v>99</v>
      </c>
      <c r="C1" s="2160"/>
      <c r="D1" s="2160"/>
      <c r="E1" s="2160"/>
      <c r="F1" s="2160"/>
      <c r="G1" s="2160"/>
      <c r="H1" s="2160"/>
      <c r="I1" s="2160"/>
      <c r="J1" s="2161"/>
      <c r="K1" s="2162"/>
      <c r="L1" s="2162"/>
      <c r="M1" s="2162"/>
      <c r="N1" s="2161"/>
      <c r="O1" s="2161"/>
      <c r="P1" s="2162"/>
      <c r="Q1" s="2162"/>
      <c r="R1" s="2161"/>
      <c r="S1" s="2161"/>
      <c r="T1" s="2162"/>
      <c r="U1" s="2162"/>
      <c r="V1" s="2162"/>
      <c r="W1" s="2162"/>
      <c r="X1" s="2162"/>
      <c r="Y1" s="2162"/>
      <c r="Z1" s="2162"/>
      <c r="AA1" s="2162"/>
    </row>
    <row r="2" spans="1:62" ht="18.600000000000001" thickBot="1" x14ac:dyDescent="0.4">
      <c r="A2" s="2162"/>
      <c r="B2" s="2164"/>
      <c r="C2" s="2164"/>
      <c r="D2" s="2165">
        <v>30</v>
      </c>
      <c r="E2" s="2165">
        <v>30</v>
      </c>
      <c r="F2" s="2165">
        <v>31</v>
      </c>
      <c r="G2" s="2165">
        <v>31</v>
      </c>
      <c r="H2" s="2165">
        <f>+D2+F2</f>
        <v>61</v>
      </c>
      <c r="I2" s="2165">
        <f>+E2+G2</f>
        <v>61</v>
      </c>
      <c r="J2" s="267">
        <v>30</v>
      </c>
      <c r="K2" s="2165">
        <v>30</v>
      </c>
      <c r="L2" s="2165">
        <f>+H2+J2</f>
        <v>91</v>
      </c>
      <c r="M2" s="2165">
        <f>+I2+K2</f>
        <v>91</v>
      </c>
      <c r="N2" s="267">
        <v>31</v>
      </c>
      <c r="O2" s="267">
        <v>31</v>
      </c>
      <c r="P2" s="2165">
        <f>+L2+N2</f>
        <v>122</v>
      </c>
      <c r="Q2" s="2165">
        <f>+M2+O2</f>
        <v>122</v>
      </c>
      <c r="R2" s="267">
        <v>31</v>
      </c>
      <c r="S2" s="267">
        <v>31</v>
      </c>
      <c r="T2" s="2165">
        <f>+P2+R2</f>
        <v>153</v>
      </c>
      <c r="U2" s="2165">
        <f>+Q2+S2</f>
        <v>153</v>
      </c>
      <c r="V2" s="2165">
        <v>30</v>
      </c>
      <c r="W2" s="2165">
        <v>30</v>
      </c>
      <c r="X2" s="2165">
        <f>+N2+R2+V2</f>
        <v>92</v>
      </c>
      <c r="Y2" s="2165">
        <f>+O2+S2+W2</f>
        <v>92</v>
      </c>
      <c r="Z2" s="2165">
        <f>+T2+V2</f>
        <v>183</v>
      </c>
      <c r="AA2" s="2165">
        <f>+U2+W2</f>
        <v>183</v>
      </c>
      <c r="AB2" s="2165">
        <v>31</v>
      </c>
      <c r="AC2" s="2165">
        <v>31</v>
      </c>
      <c r="AD2" s="2165">
        <f>+Z2+AB2</f>
        <v>214</v>
      </c>
      <c r="AE2" s="2165">
        <f>+AA2+AC2</f>
        <v>214</v>
      </c>
      <c r="AF2" s="2165">
        <v>30</v>
      </c>
      <c r="AG2" s="2165">
        <v>30</v>
      </c>
      <c r="AH2" s="2165">
        <f>+AD2+AF2</f>
        <v>244</v>
      </c>
      <c r="AI2" s="2165">
        <f>+AE2+AG2</f>
        <v>244</v>
      </c>
      <c r="AJ2" s="2165">
        <v>31</v>
      </c>
      <c r="AK2" s="2165">
        <v>31</v>
      </c>
      <c r="AL2" s="2165">
        <f>+AB2+AF2+AJ2</f>
        <v>92</v>
      </c>
      <c r="AM2" s="2165">
        <f>+AC2+AG2+AK2</f>
        <v>92</v>
      </c>
      <c r="AN2" s="2165">
        <f>+AH2+AJ2</f>
        <v>275</v>
      </c>
      <c r="AO2" s="2165">
        <f>+AI2+AK2</f>
        <v>275</v>
      </c>
      <c r="AP2" s="2165">
        <v>31</v>
      </c>
      <c r="AQ2" s="2165">
        <v>31</v>
      </c>
      <c r="AR2" s="2165">
        <f>+AN2+AP2</f>
        <v>306</v>
      </c>
      <c r="AS2" s="2165">
        <f>+AO2+AQ2</f>
        <v>306</v>
      </c>
      <c r="AT2" s="2165">
        <v>28</v>
      </c>
      <c r="AU2" s="2165">
        <v>28</v>
      </c>
      <c r="AV2" s="2165">
        <f>+AR2+AT2</f>
        <v>334</v>
      </c>
      <c r="AW2" s="2165">
        <f>+AS2+AU2</f>
        <v>334</v>
      </c>
      <c r="AX2" s="2165">
        <v>31</v>
      </c>
      <c r="AY2" s="2165">
        <v>31</v>
      </c>
      <c r="AZ2" s="2165">
        <f>+AP2+AT2+AX2</f>
        <v>90</v>
      </c>
      <c r="BA2" s="2165">
        <f>+AQ2+AU2+AY2</f>
        <v>90</v>
      </c>
      <c r="BB2" s="2165">
        <f>+AL2+AZ2</f>
        <v>182</v>
      </c>
      <c r="BC2" s="2165">
        <f>+AM2+BA2</f>
        <v>182</v>
      </c>
      <c r="BD2" s="2165">
        <f>+AV2+AX2</f>
        <v>365</v>
      </c>
      <c r="BE2" s="2165">
        <f>+AW2+AY2</f>
        <v>365</v>
      </c>
    </row>
    <row r="3" spans="1:62" ht="18" x14ac:dyDescent="0.35">
      <c r="A3" s="2162"/>
      <c r="B3" s="6493" t="s">
        <v>171</v>
      </c>
      <c r="C3" s="6495" t="s">
        <v>172</v>
      </c>
      <c r="D3" s="6489" t="s">
        <v>1962</v>
      </c>
      <c r="E3" s="6490"/>
      <c r="F3" s="6489" t="s">
        <v>2013</v>
      </c>
      <c r="G3" s="6490"/>
      <c r="H3" s="6491" t="s">
        <v>14</v>
      </c>
      <c r="I3" s="6492"/>
      <c r="J3" s="6489" t="s">
        <v>2043</v>
      </c>
      <c r="K3" s="6490"/>
      <c r="L3" s="6484" t="s">
        <v>637</v>
      </c>
      <c r="M3" s="6230"/>
      <c r="N3" s="6229" t="s">
        <v>2065</v>
      </c>
      <c r="O3" s="6229"/>
      <c r="P3" s="6227" t="s">
        <v>17</v>
      </c>
      <c r="Q3" s="6227"/>
      <c r="R3" s="6229" t="s">
        <v>2068</v>
      </c>
      <c r="S3" s="6229"/>
      <c r="T3" s="6227" t="s">
        <v>18</v>
      </c>
      <c r="U3" s="6227"/>
      <c r="V3" s="6229" t="s">
        <v>2110</v>
      </c>
      <c r="W3" s="6229"/>
      <c r="X3" s="6230" t="s">
        <v>660</v>
      </c>
      <c r="Y3" s="6230"/>
      <c r="Z3" s="6228" t="s">
        <v>657</v>
      </c>
      <c r="AA3" s="6228"/>
      <c r="AB3" s="6229" t="s">
        <v>2135</v>
      </c>
      <c r="AC3" s="6229"/>
      <c r="AD3" s="6227" t="s">
        <v>24</v>
      </c>
      <c r="AE3" s="6227"/>
      <c r="AF3" s="6229" t="s">
        <v>2238</v>
      </c>
      <c r="AG3" s="6229"/>
      <c r="AH3" s="6227" t="s">
        <v>27</v>
      </c>
      <c r="AI3" s="6227"/>
      <c r="AJ3" s="6229" t="s">
        <v>2262</v>
      </c>
      <c r="AK3" s="6229"/>
      <c r="AL3" s="6230" t="s">
        <v>662</v>
      </c>
      <c r="AM3" s="6230"/>
      <c r="AN3" s="6227" t="s">
        <v>1613</v>
      </c>
      <c r="AO3" s="6227"/>
      <c r="AP3" s="6229" t="s">
        <v>2274</v>
      </c>
      <c r="AQ3" s="6229"/>
      <c r="AR3" s="6227" t="s">
        <v>28</v>
      </c>
      <c r="AS3" s="6227"/>
      <c r="AT3" s="6229" t="s">
        <v>2311</v>
      </c>
      <c r="AU3" s="6229"/>
      <c r="AV3" s="6227" t="s">
        <v>30</v>
      </c>
      <c r="AW3" s="6227"/>
      <c r="AX3" s="6229" t="s">
        <v>2329</v>
      </c>
      <c r="AY3" s="6229"/>
      <c r="AZ3" s="6230" t="s">
        <v>663</v>
      </c>
      <c r="BA3" s="6230"/>
      <c r="BB3" s="6228" t="s">
        <v>670</v>
      </c>
      <c r="BC3" s="6228"/>
      <c r="BD3" s="6227" t="s">
        <v>2041</v>
      </c>
      <c r="BE3" s="6227"/>
    </row>
    <row r="4" spans="1:62" ht="18" x14ac:dyDescent="0.35">
      <c r="A4" s="2162"/>
      <c r="B4" s="6494"/>
      <c r="C4" s="6232"/>
      <c r="D4" s="2007" t="s">
        <v>173</v>
      </c>
      <c r="E4" s="2166" t="s">
        <v>174</v>
      </c>
      <c r="F4" s="2007" t="s">
        <v>173</v>
      </c>
      <c r="G4" s="2166" t="s">
        <v>174</v>
      </c>
      <c r="H4" s="838" t="s">
        <v>173</v>
      </c>
      <c r="I4" s="2167" t="s">
        <v>174</v>
      </c>
      <c r="J4" s="1321" t="s">
        <v>173</v>
      </c>
      <c r="K4" s="2166" t="s">
        <v>174</v>
      </c>
      <c r="L4" s="839" t="s">
        <v>173</v>
      </c>
      <c r="M4" s="2018" t="s">
        <v>174</v>
      </c>
      <c r="N4" s="265" t="s">
        <v>173</v>
      </c>
      <c r="O4" s="265" t="s">
        <v>174</v>
      </c>
      <c r="P4" s="2019" t="s">
        <v>173</v>
      </c>
      <c r="Q4" s="2019" t="s">
        <v>174</v>
      </c>
      <c r="R4" s="265" t="s">
        <v>173</v>
      </c>
      <c r="S4" s="265" t="s">
        <v>174</v>
      </c>
      <c r="T4" s="2019" t="s">
        <v>173</v>
      </c>
      <c r="U4" s="2019" t="s">
        <v>174</v>
      </c>
      <c r="V4" s="265" t="s">
        <v>173</v>
      </c>
      <c r="W4" s="265" t="s">
        <v>174</v>
      </c>
      <c r="X4" s="2018" t="s">
        <v>173</v>
      </c>
      <c r="Y4" s="2018" t="s">
        <v>174</v>
      </c>
      <c r="Z4" s="2168" t="s">
        <v>173</v>
      </c>
      <c r="AA4" s="2168" t="s">
        <v>174</v>
      </c>
      <c r="AB4" s="265" t="s">
        <v>173</v>
      </c>
      <c r="AC4" s="265" t="s">
        <v>174</v>
      </c>
      <c r="AD4" s="2019" t="s">
        <v>173</v>
      </c>
      <c r="AE4" s="2019" t="s">
        <v>174</v>
      </c>
      <c r="AF4" s="265" t="s">
        <v>173</v>
      </c>
      <c r="AG4" s="265" t="s">
        <v>174</v>
      </c>
      <c r="AH4" s="2019" t="s">
        <v>173</v>
      </c>
      <c r="AI4" s="2019" t="s">
        <v>174</v>
      </c>
      <c r="AJ4" s="265" t="s">
        <v>173</v>
      </c>
      <c r="AK4" s="265" t="s">
        <v>174</v>
      </c>
      <c r="AL4" s="2018" t="s">
        <v>173</v>
      </c>
      <c r="AM4" s="2018" t="s">
        <v>174</v>
      </c>
      <c r="AN4" s="2019" t="s">
        <v>173</v>
      </c>
      <c r="AO4" s="2019" t="s">
        <v>174</v>
      </c>
      <c r="AP4" s="265" t="s">
        <v>173</v>
      </c>
      <c r="AQ4" s="265" t="s">
        <v>174</v>
      </c>
      <c r="AR4" s="2019" t="s">
        <v>173</v>
      </c>
      <c r="AS4" s="2019" t="s">
        <v>174</v>
      </c>
      <c r="AT4" s="265" t="s">
        <v>173</v>
      </c>
      <c r="AU4" s="265" t="s">
        <v>174</v>
      </c>
      <c r="AV4" s="2019" t="s">
        <v>173</v>
      </c>
      <c r="AW4" s="2019" t="s">
        <v>174</v>
      </c>
      <c r="AX4" s="265" t="s">
        <v>173</v>
      </c>
      <c r="AY4" s="265" t="s">
        <v>174</v>
      </c>
      <c r="AZ4" s="2018" t="s">
        <v>173</v>
      </c>
      <c r="BA4" s="2018" t="s">
        <v>174</v>
      </c>
      <c r="BB4" s="2168" t="s">
        <v>173</v>
      </c>
      <c r="BC4" s="2168" t="s">
        <v>174</v>
      </c>
      <c r="BD4" s="2019" t="s">
        <v>173</v>
      </c>
      <c r="BE4" s="2019" t="s">
        <v>174</v>
      </c>
    </row>
    <row r="5" spans="1:62" ht="18" x14ac:dyDescent="0.35">
      <c r="A5" s="2158"/>
      <c r="B5" s="1446" t="s">
        <v>0</v>
      </c>
      <c r="C5" s="1327"/>
      <c r="D5" s="1450"/>
      <c r="E5" s="1447"/>
      <c r="F5" s="1450"/>
      <c r="G5" s="1447"/>
      <c r="H5" s="1444"/>
      <c r="I5" s="1447"/>
      <c r="J5" s="1451"/>
      <c r="K5" s="1447"/>
      <c r="L5" s="1444"/>
      <c r="M5" s="939"/>
      <c r="N5" s="940"/>
      <c r="O5" s="940"/>
      <c r="P5" s="939"/>
      <c r="Q5" s="939"/>
      <c r="R5" s="940"/>
      <c r="S5" s="940"/>
      <c r="T5" s="939"/>
      <c r="U5" s="939"/>
      <c r="V5" s="940"/>
      <c r="W5" s="940"/>
      <c r="X5" s="1444"/>
      <c r="Y5" s="939"/>
      <c r="Z5" s="939"/>
      <c r="AA5" s="939"/>
      <c r="AB5" s="940"/>
      <c r="AC5" s="940"/>
      <c r="AD5" s="939"/>
      <c r="AE5" s="939"/>
      <c r="AF5" s="940"/>
      <c r="AG5" s="940"/>
      <c r="AH5" s="939"/>
      <c r="AI5" s="939"/>
      <c r="AJ5" s="940"/>
      <c r="AK5" s="940"/>
      <c r="AL5" s="1444"/>
      <c r="AM5" s="939"/>
      <c r="AN5" s="939"/>
      <c r="AO5" s="939"/>
      <c r="AP5" s="940"/>
      <c r="AQ5" s="940"/>
      <c r="AR5" s="939"/>
      <c r="AS5" s="939"/>
      <c r="AT5" s="940"/>
      <c r="AU5" s="940"/>
      <c r="AV5" s="939"/>
      <c r="AW5" s="939"/>
      <c r="AX5" s="940"/>
      <c r="AY5" s="940"/>
      <c r="AZ5" s="1444"/>
      <c r="BA5" s="939"/>
      <c r="BB5" s="939"/>
      <c r="BC5" s="939"/>
      <c r="BD5" s="939"/>
      <c r="BE5" s="939"/>
    </row>
    <row r="6" spans="1:62" ht="18" x14ac:dyDescent="0.35">
      <c r="A6" s="2158"/>
      <c r="B6" s="6488" t="s">
        <v>416</v>
      </c>
      <c r="C6" s="49" t="s">
        <v>415</v>
      </c>
      <c r="D6" s="732">
        <v>1180.8</v>
      </c>
      <c r="E6" s="2004">
        <v>1187.9000000000003</v>
      </c>
      <c r="F6" s="732">
        <v>1220.1600000000001</v>
      </c>
      <c r="G6" s="2004">
        <v>1224.8599999999999</v>
      </c>
      <c r="H6" s="345">
        <f>+D6+F6</f>
        <v>2400.96</v>
      </c>
      <c r="I6" s="206">
        <f>+E6+G6</f>
        <v>2412.7600000000002</v>
      </c>
      <c r="J6" s="732">
        <v>1180.8</v>
      </c>
      <c r="K6" s="2004">
        <v>1211.2800000000004</v>
      </c>
      <c r="L6" s="400">
        <f>+D6+F6+J6</f>
        <v>3581.76</v>
      </c>
      <c r="M6" s="400">
        <f>+E6+G6+K6</f>
        <v>3624.0400000000009</v>
      </c>
      <c r="N6" s="732">
        <v>1220.1600000000001</v>
      </c>
      <c r="O6" s="2004">
        <v>1235.08</v>
      </c>
      <c r="P6" s="2100">
        <f>+L6+N6</f>
        <v>4801.92</v>
      </c>
      <c r="Q6" s="2100">
        <f>+M6+O6</f>
        <v>4859.1200000000008</v>
      </c>
      <c r="R6" s="732">
        <v>1220.1600000000001</v>
      </c>
      <c r="S6" s="2004">
        <v>1241.5899999999997</v>
      </c>
      <c r="T6" s="2100">
        <f>+P6+R6</f>
        <v>6022.08</v>
      </c>
      <c r="U6" s="2100">
        <f>+Q6+S6</f>
        <v>6100.7100000000009</v>
      </c>
      <c r="V6" s="732">
        <v>787.2</v>
      </c>
      <c r="W6" s="2004">
        <v>1216.18</v>
      </c>
      <c r="X6" s="400">
        <f>N6+R6+V6</f>
        <v>3227.5200000000004</v>
      </c>
      <c r="Y6" s="400">
        <f>O6+S6+W6</f>
        <v>3692.8499999999995</v>
      </c>
      <c r="Z6" s="492">
        <f>L6+X6</f>
        <v>6809.2800000000007</v>
      </c>
      <c r="AA6" s="492">
        <f>M6+Y6</f>
        <v>7316.89</v>
      </c>
      <c r="AB6" s="732">
        <v>1220.1600000000001</v>
      </c>
      <c r="AC6" s="2004">
        <v>1237.04</v>
      </c>
      <c r="AD6" s="2100">
        <f>+Z6+AB6</f>
        <v>8029.4400000000005</v>
      </c>
      <c r="AE6" s="2100">
        <f>+AA6+AC6</f>
        <v>8553.93</v>
      </c>
      <c r="AF6" s="732">
        <v>1180.8</v>
      </c>
      <c r="AG6" s="2004">
        <v>1207.92</v>
      </c>
      <c r="AH6" s="2100">
        <f>+AD6+AF6</f>
        <v>9210.24</v>
      </c>
      <c r="AI6" s="2100">
        <f>+AE6+AG6</f>
        <v>9761.85</v>
      </c>
      <c r="AJ6" s="732">
        <v>1220.1600000000001</v>
      </c>
      <c r="AK6" s="2004">
        <v>1254.4000000000003</v>
      </c>
      <c r="AL6" s="400">
        <f>AB6+AF6+AJ6</f>
        <v>3621.12</v>
      </c>
      <c r="AM6" s="400">
        <f>AC6+AG6+AK6</f>
        <v>3699.3600000000006</v>
      </c>
      <c r="AN6" s="2100">
        <f>+AH6+AJ6</f>
        <v>10430.4</v>
      </c>
      <c r="AO6" s="2100">
        <f>+AI6+AK6</f>
        <v>11016.25</v>
      </c>
      <c r="AP6" s="732">
        <v>1220.1600000000001</v>
      </c>
      <c r="AQ6" s="2004">
        <v>1227.8</v>
      </c>
      <c r="AR6" s="2100">
        <f>+AN6+AP6</f>
        <v>11650.56</v>
      </c>
      <c r="AS6" s="2100">
        <f>+AO6+AQ6</f>
        <v>12244.05</v>
      </c>
      <c r="AT6" s="732">
        <v>1102.08</v>
      </c>
      <c r="AU6" s="2004">
        <v>1130.57</v>
      </c>
      <c r="AV6" s="2100">
        <f>+AR6+AT6</f>
        <v>12752.64</v>
      </c>
      <c r="AW6" s="2100">
        <f>+AS6+AU6</f>
        <v>13374.619999999999</v>
      </c>
      <c r="AX6" s="732">
        <v>1220.1600000000001</v>
      </c>
      <c r="AY6" s="2004">
        <v>1239.7699999999998</v>
      </c>
      <c r="AZ6" s="400">
        <f>AP6+AT6+AX6</f>
        <v>3542.3999999999996</v>
      </c>
      <c r="BA6" s="400">
        <f>AQ6+AU6+AY6</f>
        <v>3598.1399999999994</v>
      </c>
      <c r="BB6" s="492">
        <f>AL6+AZ6</f>
        <v>7163.5199999999995</v>
      </c>
      <c r="BC6" s="492">
        <f>AM6+BA6</f>
        <v>7297.5</v>
      </c>
      <c r="BD6" s="2100">
        <f>+AV6+AX6</f>
        <v>13972.8</v>
      </c>
      <c r="BE6" s="2100">
        <f>+AW6+AY6</f>
        <v>14614.39</v>
      </c>
      <c r="BF6" s="1202">
        <v>13972.8</v>
      </c>
      <c r="BG6" s="1202">
        <f>BD6-BF6</f>
        <v>0</v>
      </c>
      <c r="BH6" s="1202"/>
      <c r="BI6" s="26">
        <f>AX6+AT6+AP6+AJ6+AF6+AB6+V6+R6+N6+J6+F6+D6-BD6</f>
        <v>0</v>
      </c>
      <c r="BJ6" s="26">
        <f>AY6+AU6+AQ6+AK6+AG6+AC6+W6+S6+O6+K6+G6+E6-BE6</f>
        <v>0</v>
      </c>
    </row>
    <row r="7" spans="1:62" ht="18" x14ac:dyDescent="0.35">
      <c r="A7" s="2158"/>
      <c r="B7" s="6488"/>
      <c r="C7" s="49" t="s">
        <v>50</v>
      </c>
      <c r="D7" s="732">
        <v>1686.8571428571429</v>
      </c>
      <c r="E7" s="2004">
        <v>1697.0000000000005</v>
      </c>
      <c r="F7" s="732">
        <v>1743.0857142857144</v>
      </c>
      <c r="G7" s="2004">
        <v>1749.8</v>
      </c>
      <c r="H7" s="345">
        <f t="shared" ref="H7:H15" si="0">+D7+F7</f>
        <v>3429.9428571428571</v>
      </c>
      <c r="I7" s="206">
        <f t="shared" ref="I7:I15" si="1">+E7+G7</f>
        <v>3446.8</v>
      </c>
      <c r="J7" s="732">
        <v>1686.8571428571429</v>
      </c>
      <c r="K7" s="2004">
        <v>1730.4000000000005</v>
      </c>
      <c r="L7" s="400">
        <f t="shared" ref="L7:L15" si="2">+D7+F7+J7</f>
        <v>5116.8</v>
      </c>
      <c r="M7" s="400">
        <f t="shared" ref="M7:M15" si="3">+E7+G7+K7</f>
        <v>5177.2000000000007</v>
      </c>
      <c r="N7" s="732">
        <v>1743.0857142857144</v>
      </c>
      <c r="O7" s="2004">
        <v>1764.3999999999999</v>
      </c>
      <c r="P7" s="2100">
        <f t="shared" ref="P7:Q15" si="4">+L7+N7</f>
        <v>6859.8857142857141</v>
      </c>
      <c r="Q7" s="2100">
        <f t="shared" si="4"/>
        <v>6941.6</v>
      </c>
      <c r="R7" s="732">
        <v>1743.0857142857144</v>
      </c>
      <c r="S7" s="2004">
        <v>1773.6999999999998</v>
      </c>
      <c r="T7" s="2100">
        <f t="shared" ref="T7:T15" si="5">+P7+R7</f>
        <v>8602.971428571429</v>
      </c>
      <c r="U7" s="2100">
        <f t="shared" ref="U7:U15" si="6">+Q7+S7</f>
        <v>8715.2999999999993</v>
      </c>
      <c r="V7" s="732">
        <v>1124.5714285714287</v>
      </c>
      <c r="W7" s="2004">
        <v>1737.4</v>
      </c>
      <c r="X7" s="400">
        <f t="shared" ref="X7:X15" si="7">N7+R7+V7</f>
        <v>4610.7428571428572</v>
      </c>
      <c r="Y7" s="400">
        <f t="shared" ref="Y7:Y15" si="8">O7+S7+W7</f>
        <v>5275.5</v>
      </c>
      <c r="Z7" s="492">
        <f t="shared" ref="Z7:Z15" si="9">L7+X7</f>
        <v>9727.5428571428565</v>
      </c>
      <c r="AA7" s="492">
        <f t="shared" ref="AA7:AA15" si="10">M7+Y7</f>
        <v>10452.700000000001</v>
      </c>
      <c r="AB7" s="732">
        <v>1743.0857142857144</v>
      </c>
      <c r="AC7" s="2004">
        <v>1767.2</v>
      </c>
      <c r="AD7" s="2100">
        <f t="shared" ref="AD7:AD15" si="11">+Z7+AB7</f>
        <v>11470.628571428571</v>
      </c>
      <c r="AE7" s="2100">
        <f t="shared" ref="AE7:AE15" si="12">+AA7+AC7</f>
        <v>12219.900000000001</v>
      </c>
      <c r="AF7" s="732">
        <v>1686.8571428571429</v>
      </c>
      <c r="AG7" s="2004">
        <v>1725.6</v>
      </c>
      <c r="AH7" s="2100">
        <f t="shared" ref="AH7:AH15" si="13">+AD7+AF7</f>
        <v>13157.485714285714</v>
      </c>
      <c r="AI7" s="2100">
        <f t="shared" ref="AI7:AI15" si="14">+AE7+AG7</f>
        <v>13945.500000000002</v>
      </c>
      <c r="AJ7" s="732">
        <v>1743.0857142857144</v>
      </c>
      <c r="AK7" s="2004">
        <v>1792.0000000000002</v>
      </c>
      <c r="AL7" s="400">
        <f t="shared" ref="AL7:AL15" si="15">AB7+AF7+AJ7</f>
        <v>5173.028571428571</v>
      </c>
      <c r="AM7" s="400">
        <f t="shared" ref="AM7:AM15" si="16">AC7+AG7+AK7</f>
        <v>5284.8</v>
      </c>
      <c r="AN7" s="2100">
        <f t="shared" ref="AN7:AN15" si="17">+AH7+AJ7</f>
        <v>14900.571428571429</v>
      </c>
      <c r="AO7" s="2100">
        <f t="shared" ref="AO7:AO15" si="18">+AI7+AK7</f>
        <v>15737.500000000002</v>
      </c>
      <c r="AP7" s="732">
        <v>1743.0857142857144</v>
      </c>
      <c r="AQ7" s="2004">
        <v>1754</v>
      </c>
      <c r="AR7" s="2100">
        <f t="shared" ref="AR7:AR15" si="19">+AN7+AP7</f>
        <v>16643.657142857144</v>
      </c>
      <c r="AS7" s="2100">
        <f t="shared" ref="AS7:AS15" si="20">+AO7+AQ7</f>
        <v>17491.5</v>
      </c>
      <c r="AT7" s="732">
        <v>1574.4</v>
      </c>
      <c r="AU7" s="2004">
        <v>1615.1</v>
      </c>
      <c r="AV7" s="2100">
        <f t="shared" ref="AV7:AV15" si="21">+AR7+AT7</f>
        <v>18218.057142857146</v>
      </c>
      <c r="AW7" s="2100">
        <f t="shared" ref="AW7:AW15" si="22">+AS7+AU7</f>
        <v>19106.599999999999</v>
      </c>
      <c r="AX7" s="732">
        <v>1743.0857142857144</v>
      </c>
      <c r="AY7" s="2004">
        <v>1771.0999999999997</v>
      </c>
      <c r="AZ7" s="400">
        <f t="shared" ref="AZ7:AZ13" si="23">AP7+AT7+AX7</f>
        <v>5060.5714285714294</v>
      </c>
      <c r="BA7" s="400">
        <f t="shared" ref="BA7:BA13" si="24">AQ7+AU7+AY7</f>
        <v>5140.2</v>
      </c>
      <c r="BB7" s="492">
        <f t="shared" ref="BB7:BB15" si="25">AL7+AZ7</f>
        <v>10233.6</v>
      </c>
      <c r="BC7" s="492">
        <f t="shared" ref="BC7:BC15" si="26">AM7+BA7</f>
        <v>10425</v>
      </c>
      <c r="BD7" s="2100">
        <f t="shared" ref="BD7:BD15" si="27">+AV7+AX7</f>
        <v>19961.142857142859</v>
      </c>
      <c r="BE7" s="2100">
        <f t="shared" ref="BE7:BE15" si="28">+AW7+AY7</f>
        <v>20877.699999999997</v>
      </c>
      <c r="BF7" s="1202">
        <v>19961.142857142859</v>
      </c>
      <c r="BG7" s="1202">
        <f t="shared" ref="BG7:BG15" si="29">BD7-BF7</f>
        <v>0</v>
      </c>
      <c r="BH7" s="26"/>
      <c r="BI7" s="26">
        <f t="shared" ref="BI7:BI39" si="30">AX7+AT7+AP7+AJ7+AF7+AB7+V7+R7+N7+J7+F7+D7-BD7</f>
        <v>0</v>
      </c>
      <c r="BJ7" s="26">
        <f t="shared" ref="BJ7:BJ39" si="31">AY7+AU7+AQ7+AK7+AG7+AC7+W7+S7+O7+K7+G7+E7-BE7</f>
        <v>0</v>
      </c>
    </row>
    <row r="8" spans="1:62" ht="18" x14ac:dyDescent="0.35">
      <c r="A8" s="2158"/>
      <c r="B8" s="6488" t="s">
        <v>417</v>
      </c>
      <c r="C8" s="49" t="s">
        <v>415</v>
      </c>
      <c r="D8" s="732">
        <v>28728</v>
      </c>
      <c r="E8" s="2004">
        <v>28888.789999999997</v>
      </c>
      <c r="F8" s="732">
        <v>29685.599999999999</v>
      </c>
      <c r="G8" s="2004">
        <v>29677.759999999995</v>
      </c>
      <c r="H8" s="345">
        <f t="shared" si="0"/>
        <v>58413.599999999999</v>
      </c>
      <c r="I8" s="206">
        <f t="shared" si="1"/>
        <v>58566.549999999988</v>
      </c>
      <c r="J8" s="732">
        <v>28728</v>
      </c>
      <c r="K8" s="2004">
        <v>29278.96999999999</v>
      </c>
      <c r="L8" s="400">
        <f t="shared" si="2"/>
        <v>87141.6</v>
      </c>
      <c r="M8" s="400">
        <f t="shared" si="3"/>
        <v>87845.519999999975</v>
      </c>
      <c r="N8" s="732">
        <v>29685.599999999999</v>
      </c>
      <c r="O8" s="2004">
        <v>30255.820000000007</v>
      </c>
      <c r="P8" s="2100">
        <f t="shared" si="4"/>
        <v>116827.20000000001</v>
      </c>
      <c r="Q8" s="2100">
        <f t="shared" si="4"/>
        <v>118101.33999999998</v>
      </c>
      <c r="R8" s="732">
        <v>29685.599999999999</v>
      </c>
      <c r="S8" s="2004">
        <v>30027.060000000005</v>
      </c>
      <c r="T8" s="2100">
        <f t="shared" si="5"/>
        <v>146512.80000000002</v>
      </c>
      <c r="U8" s="2100">
        <f t="shared" si="6"/>
        <v>148128.4</v>
      </c>
      <c r="V8" s="732">
        <v>19152</v>
      </c>
      <c r="W8" s="2004">
        <v>29254.190000000002</v>
      </c>
      <c r="X8" s="400">
        <f t="shared" si="7"/>
        <v>78523.199999999997</v>
      </c>
      <c r="Y8" s="400">
        <f t="shared" si="8"/>
        <v>89537.07</v>
      </c>
      <c r="Z8" s="492">
        <f t="shared" si="9"/>
        <v>165664.79999999999</v>
      </c>
      <c r="AA8" s="492">
        <f t="shared" si="10"/>
        <v>177382.58999999997</v>
      </c>
      <c r="AB8" s="732">
        <v>29685.599999999999</v>
      </c>
      <c r="AC8" s="2004">
        <v>29668.170000000006</v>
      </c>
      <c r="AD8" s="2100">
        <f t="shared" si="11"/>
        <v>195350.39999999999</v>
      </c>
      <c r="AE8" s="2100">
        <f t="shared" si="12"/>
        <v>207050.75999999998</v>
      </c>
      <c r="AF8" s="732">
        <v>28728</v>
      </c>
      <c r="AG8" s="2004">
        <v>29314.040000000005</v>
      </c>
      <c r="AH8" s="2100">
        <f t="shared" si="13"/>
        <v>224078.4</v>
      </c>
      <c r="AI8" s="2100">
        <f t="shared" si="14"/>
        <v>236364.79999999999</v>
      </c>
      <c r="AJ8" s="732">
        <v>29685.599999999999</v>
      </c>
      <c r="AK8" s="2004">
        <v>30443.559999999998</v>
      </c>
      <c r="AL8" s="400">
        <f t="shared" si="15"/>
        <v>88099.199999999997</v>
      </c>
      <c r="AM8" s="400">
        <f t="shared" si="16"/>
        <v>89425.77</v>
      </c>
      <c r="AN8" s="2100">
        <f t="shared" si="17"/>
        <v>253764</v>
      </c>
      <c r="AO8" s="2100">
        <f t="shared" si="18"/>
        <v>266808.36</v>
      </c>
      <c r="AP8" s="732">
        <v>29685.599999999999</v>
      </c>
      <c r="AQ8" s="2004">
        <v>29716.82</v>
      </c>
      <c r="AR8" s="2100">
        <f t="shared" si="19"/>
        <v>283449.59999999998</v>
      </c>
      <c r="AS8" s="2100">
        <f t="shared" si="20"/>
        <v>296525.18</v>
      </c>
      <c r="AT8" s="732">
        <v>26812.799999999999</v>
      </c>
      <c r="AU8" s="2004">
        <v>27579.299999999996</v>
      </c>
      <c r="AV8" s="2100">
        <f t="shared" si="21"/>
        <v>310262.39999999997</v>
      </c>
      <c r="AW8" s="2100">
        <f t="shared" si="22"/>
        <v>324104.48</v>
      </c>
      <c r="AX8" s="732">
        <v>29685.599999999999</v>
      </c>
      <c r="AY8" s="2004">
        <v>30212.279999999995</v>
      </c>
      <c r="AZ8" s="400">
        <f>AP8+AT8+AX10</f>
        <v>57108.479999999996</v>
      </c>
      <c r="BA8" s="400">
        <f t="shared" si="24"/>
        <v>87508.4</v>
      </c>
      <c r="BB8" s="492">
        <f t="shared" si="25"/>
        <v>145207.67999999999</v>
      </c>
      <c r="BC8" s="492">
        <f t="shared" si="26"/>
        <v>176934.16999999998</v>
      </c>
      <c r="BD8" s="2100">
        <f t="shared" si="27"/>
        <v>339947.99999999994</v>
      </c>
      <c r="BE8" s="2100">
        <f t="shared" si="28"/>
        <v>354316.75999999995</v>
      </c>
      <c r="BF8" s="1202">
        <v>339948</v>
      </c>
      <c r="BG8" s="1202">
        <f t="shared" si="29"/>
        <v>0</v>
      </c>
      <c r="BH8" s="26"/>
      <c r="BI8" s="26">
        <f t="shared" si="30"/>
        <v>0</v>
      </c>
      <c r="BJ8" s="26">
        <f t="shared" si="31"/>
        <v>0</v>
      </c>
    </row>
    <row r="9" spans="1:62" ht="18" x14ac:dyDescent="0.35">
      <c r="A9" s="2158"/>
      <c r="B9" s="6488"/>
      <c r="C9" s="49" t="s">
        <v>50</v>
      </c>
      <c r="D9" s="732">
        <v>41040</v>
      </c>
      <c r="E9" s="2004">
        <v>41269.699999999997</v>
      </c>
      <c r="F9" s="732">
        <v>42408</v>
      </c>
      <c r="G9" s="2004">
        <v>42396.799999999996</v>
      </c>
      <c r="H9" s="345">
        <f t="shared" si="0"/>
        <v>83448</v>
      </c>
      <c r="I9" s="206">
        <f t="shared" si="1"/>
        <v>83666.5</v>
      </c>
      <c r="J9" s="732">
        <v>41040</v>
      </c>
      <c r="K9" s="2004">
        <v>41827.099999999984</v>
      </c>
      <c r="L9" s="400">
        <f t="shared" si="2"/>
        <v>124488</v>
      </c>
      <c r="M9" s="400">
        <f t="shared" si="3"/>
        <v>125493.59999999998</v>
      </c>
      <c r="N9" s="732">
        <v>42408</v>
      </c>
      <c r="O9" s="2004">
        <v>43222.600000000013</v>
      </c>
      <c r="P9" s="2100">
        <f t="shared" si="4"/>
        <v>166896</v>
      </c>
      <c r="Q9" s="2100">
        <f t="shared" si="4"/>
        <v>168716.19999999998</v>
      </c>
      <c r="R9" s="732">
        <v>42408</v>
      </c>
      <c r="S9" s="2004">
        <v>42895.8</v>
      </c>
      <c r="T9" s="2100">
        <f t="shared" si="5"/>
        <v>209304</v>
      </c>
      <c r="U9" s="2100">
        <f t="shared" si="6"/>
        <v>211612</v>
      </c>
      <c r="V9" s="732">
        <v>27360</v>
      </c>
      <c r="W9" s="2004">
        <v>41791.700000000004</v>
      </c>
      <c r="X9" s="400">
        <f t="shared" si="7"/>
        <v>112176</v>
      </c>
      <c r="Y9" s="400">
        <f t="shared" si="8"/>
        <v>127910.10000000003</v>
      </c>
      <c r="Z9" s="492">
        <f t="shared" si="9"/>
        <v>236664</v>
      </c>
      <c r="AA9" s="492">
        <f t="shared" si="10"/>
        <v>253403.7</v>
      </c>
      <c r="AB9" s="732">
        <v>42408</v>
      </c>
      <c r="AC9" s="2004">
        <v>42383.100000000006</v>
      </c>
      <c r="AD9" s="2100">
        <f t="shared" si="11"/>
        <v>279072</v>
      </c>
      <c r="AE9" s="2100">
        <f t="shared" si="12"/>
        <v>295786.80000000005</v>
      </c>
      <c r="AF9" s="732">
        <v>41040</v>
      </c>
      <c r="AG9" s="2004">
        <v>41877.200000000004</v>
      </c>
      <c r="AH9" s="2100">
        <f t="shared" si="13"/>
        <v>320112</v>
      </c>
      <c r="AI9" s="2100">
        <f t="shared" si="14"/>
        <v>337664.00000000006</v>
      </c>
      <c r="AJ9" s="732">
        <v>42408</v>
      </c>
      <c r="AK9" s="2004">
        <v>43490.799999999996</v>
      </c>
      <c r="AL9" s="400">
        <f t="shared" si="15"/>
        <v>125856</v>
      </c>
      <c r="AM9" s="400">
        <f t="shared" si="16"/>
        <v>127751.1</v>
      </c>
      <c r="AN9" s="2100">
        <f t="shared" si="17"/>
        <v>362520</v>
      </c>
      <c r="AO9" s="2100">
        <f t="shared" si="18"/>
        <v>381154.80000000005</v>
      </c>
      <c r="AP9" s="732">
        <v>42408</v>
      </c>
      <c r="AQ9" s="2004">
        <v>42452.6</v>
      </c>
      <c r="AR9" s="2100">
        <f t="shared" si="19"/>
        <v>404928</v>
      </c>
      <c r="AS9" s="2100">
        <f t="shared" si="20"/>
        <v>423607.4</v>
      </c>
      <c r="AT9" s="732">
        <v>38304</v>
      </c>
      <c r="AU9" s="2004">
        <v>39398.999999999993</v>
      </c>
      <c r="AV9" s="2100">
        <f t="shared" si="21"/>
        <v>443232</v>
      </c>
      <c r="AW9" s="2100">
        <f t="shared" si="22"/>
        <v>463006.4</v>
      </c>
      <c r="AX9" s="732">
        <v>42408</v>
      </c>
      <c r="AY9" s="2004">
        <v>43160.399999999994</v>
      </c>
      <c r="AZ9" s="400">
        <f>AP9+AT9+AX11</f>
        <v>81474.600000000006</v>
      </c>
      <c r="BA9" s="400">
        <f t="shared" si="24"/>
        <v>125011.99999999999</v>
      </c>
      <c r="BB9" s="492">
        <f t="shared" si="25"/>
        <v>207330.6</v>
      </c>
      <c r="BC9" s="492">
        <f t="shared" si="26"/>
        <v>252763.09999999998</v>
      </c>
      <c r="BD9" s="2100">
        <f t="shared" si="27"/>
        <v>485640</v>
      </c>
      <c r="BE9" s="2100">
        <f t="shared" si="28"/>
        <v>506166.80000000005</v>
      </c>
      <c r="BF9" s="1202">
        <v>485640</v>
      </c>
      <c r="BG9" s="1202">
        <f t="shared" si="29"/>
        <v>0</v>
      </c>
      <c r="BH9" s="26"/>
      <c r="BI9" s="26">
        <f t="shared" si="30"/>
        <v>0</v>
      </c>
      <c r="BJ9" s="26">
        <f t="shared" si="31"/>
        <v>0</v>
      </c>
    </row>
    <row r="10" spans="1:62" ht="18" x14ac:dyDescent="0.35">
      <c r="A10" s="2158"/>
      <c r="B10" s="6488" t="s">
        <v>418</v>
      </c>
      <c r="C10" s="49" t="s">
        <v>415</v>
      </c>
      <c r="D10" s="732">
        <v>590.4</v>
      </c>
      <c r="E10" s="2004">
        <v>328.32</v>
      </c>
      <c r="F10" s="732">
        <v>610.08000000000004</v>
      </c>
      <c r="G10" s="2004">
        <v>344.23999999999995</v>
      </c>
      <c r="H10" s="345">
        <f t="shared" si="0"/>
        <v>1200.48</v>
      </c>
      <c r="I10" s="206">
        <f t="shared" si="1"/>
        <v>672.56</v>
      </c>
      <c r="J10" s="732">
        <v>590.4</v>
      </c>
      <c r="K10" s="2004">
        <v>336.63999999999993</v>
      </c>
      <c r="L10" s="400">
        <f t="shared" si="2"/>
        <v>1790.88</v>
      </c>
      <c r="M10" s="400">
        <f t="shared" si="3"/>
        <v>1009.1999999999998</v>
      </c>
      <c r="N10" s="732">
        <v>610.08000000000004</v>
      </c>
      <c r="O10" s="2004">
        <v>344.23999999999995</v>
      </c>
      <c r="P10" s="2100">
        <f t="shared" si="4"/>
        <v>2400.96</v>
      </c>
      <c r="Q10" s="2100">
        <f t="shared" si="4"/>
        <v>1353.4399999999998</v>
      </c>
      <c r="R10" s="732">
        <v>610.08000000000004</v>
      </c>
      <c r="S10" s="2004">
        <v>341.68</v>
      </c>
      <c r="T10" s="2100">
        <f t="shared" si="5"/>
        <v>3011.04</v>
      </c>
      <c r="U10" s="2100">
        <f t="shared" si="6"/>
        <v>1695.12</v>
      </c>
      <c r="V10" s="732">
        <v>393.6</v>
      </c>
      <c r="W10" s="2004">
        <v>337.19999999999993</v>
      </c>
      <c r="X10" s="400">
        <f t="shared" si="7"/>
        <v>1613.7600000000002</v>
      </c>
      <c r="Y10" s="400">
        <f t="shared" si="8"/>
        <v>1023.1199999999999</v>
      </c>
      <c r="Z10" s="492">
        <f t="shared" si="9"/>
        <v>3404.6400000000003</v>
      </c>
      <c r="AA10" s="492">
        <f t="shared" si="10"/>
        <v>2032.3199999999997</v>
      </c>
      <c r="AB10" s="732">
        <v>610.08000000000004</v>
      </c>
      <c r="AC10" s="2004">
        <v>344</v>
      </c>
      <c r="AD10" s="2100">
        <f t="shared" si="11"/>
        <v>4014.7200000000003</v>
      </c>
      <c r="AE10" s="2100">
        <f t="shared" si="12"/>
        <v>2376.3199999999997</v>
      </c>
      <c r="AF10" s="732">
        <v>590.4</v>
      </c>
      <c r="AG10" s="2004">
        <v>333.19999999999987</v>
      </c>
      <c r="AH10" s="2100">
        <f t="shared" si="13"/>
        <v>4605.12</v>
      </c>
      <c r="AI10" s="2100">
        <f t="shared" si="14"/>
        <v>2709.5199999999995</v>
      </c>
      <c r="AJ10" s="732">
        <v>610.08000000000004</v>
      </c>
      <c r="AK10" s="2004">
        <v>345.44000000000005</v>
      </c>
      <c r="AL10" s="400">
        <f t="shared" si="15"/>
        <v>1810.56</v>
      </c>
      <c r="AM10" s="400">
        <f t="shared" si="16"/>
        <v>1022.6399999999999</v>
      </c>
      <c r="AN10" s="2100">
        <f t="shared" si="17"/>
        <v>5215.2</v>
      </c>
      <c r="AO10" s="2100">
        <f t="shared" si="18"/>
        <v>3054.9599999999996</v>
      </c>
      <c r="AP10" s="732">
        <v>610.08000000000004</v>
      </c>
      <c r="AQ10" s="2004">
        <v>348.23999999999995</v>
      </c>
      <c r="AR10" s="2100">
        <f t="shared" si="19"/>
        <v>5825.28</v>
      </c>
      <c r="AS10" s="2100">
        <f t="shared" si="20"/>
        <v>3403.1999999999994</v>
      </c>
      <c r="AT10" s="732">
        <v>551.04</v>
      </c>
      <c r="AU10" s="2004">
        <v>313.92</v>
      </c>
      <c r="AV10" s="2100">
        <f t="shared" si="21"/>
        <v>6376.32</v>
      </c>
      <c r="AW10" s="2100">
        <f t="shared" si="22"/>
        <v>3717.1199999999994</v>
      </c>
      <c r="AX10" s="732">
        <v>610.08000000000004</v>
      </c>
      <c r="AY10" s="2004">
        <v>345.83999999999992</v>
      </c>
      <c r="AZ10" s="400">
        <f>AP10+AT10+AX14</f>
        <v>2219.0879999999997</v>
      </c>
      <c r="BA10" s="400">
        <f t="shared" si="24"/>
        <v>1007.9999999999999</v>
      </c>
      <c r="BB10" s="492">
        <f t="shared" si="25"/>
        <v>4029.6479999999997</v>
      </c>
      <c r="BC10" s="492">
        <f t="shared" si="26"/>
        <v>2030.6399999999999</v>
      </c>
      <c r="BD10" s="2100">
        <f t="shared" si="27"/>
        <v>6986.4</v>
      </c>
      <c r="BE10" s="2100">
        <f t="shared" si="28"/>
        <v>4062.9599999999991</v>
      </c>
      <c r="BF10" s="1202">
        <v>6986.4</v>
      </c>
      <c r="BG10" s="1202">
        <f t="shared" si="29"/>
        <v>0</v>
      </c>
      <c r="BH10" s="26"/>
      <c r="BI10" s="26">
        <f t="shared" si="30"/>
        <v>0</v>
      </c>
      <c r="BJ10" s="26">
        <f t="shared" si="31"/>
        <v>0</v>
      </c>
    </row>
    <row r="11" spans="1:62" ht="18" x14ac:dyDescent="0.35">
      <c r="A11" s="2158"/>
      <c r="B11" s="6488"/>
      <c r="C11" s="49" t="s">
        <v>50</v>
      </c>
      <c r="D11" s="732">
        <v>737.99999999999989</v>
      </c>
      <c r="E11" s="2004">
        <v>410.40000000000003</v>
      </c>
      <c r="F11" s="732">
        <v>762.6</v>
      </c>
      <c r="G11" s="2004">
        <v>430.29999999999995</v>
      </c>
      <c r="H11" s="345">
        <f t="shared" si="0"/>
        <v>1500.6</v>
      </c>
      <c r="I11" s="206">
        <f t="shared" si="1"/>
        <v>840.7</v>
      </c>
      <c r="J11" s="732">
        <v>737.99999999999989</v>
      </c>
      <c r="K11" s="2004">
        <v>420.79999999999995</v>
      </c>
      <c r="L11" s="400">
        <f t="shared" si="2"/>
        <v>2238.6</v>
      </c>
      <c r="M11" s="400">
        <f t="shared" si="3"/>
        <v>1261.5</v>
      </c>
      <c r="N11" s="732">
        <v>762.6</v>
      </c>
      <c r="O11" s="2004">
        <v>430.29999999999995</v>
      </c>
      <c r="P11" s="2100">
        <f t="shared" si="4"/>
        <v>3001.2</v>
      </c>
      <c r="Q11" s="2100">
        <f t="shared" si="4"/>
        <v>1691.8</v>
      </c>
      <c r="R11" s="732">
        <v>762.6</v>
      </c>
      <c r="S11" s="2004">
        <v>427.09999999999997</v>
      </c>
      <c r="T11" s="2100">
        <f t="shared" si="5"/>
        <v>3763.7999999999997</v>
      </c>
      <c r="U11" s="2100">
        <f t="shared" si="6"/>
        <v>2118.9</v>
      </c>
      <c r="V11" s="732">
        <v>491.99999999999994</v>
      </c>
      <c r="W11" s="2004">
        <v>421.49999999999994</v>
      </c>
      <c r="X11" s="400">
        <f t="shared" si="7"/>
        <v>2017.2</v>
      </c>
      <c r="Y11" s="400">
        <f t="shared" si="8"/>
        <v>1278.8999999999999</v>
      </c>
      <c r="Z11" s="492">
        <f t="shared" si="9"/>
        <v>4255.8</v>
      </c>
      <c r="AA11" s="492">
        <f t="shared" si="10"/>
        <v>2540.3999999999996</v>
      </c>
      <c r="AB11" s="732">
        <v>762.6</v>
      </c>
      <c r="AC11" s="2004">
        <v>430</v>
      </c>
      <c r="AD11" s="2100">
        <f t="shared" si="11"/>
        <v>5018.4000000000005</v>
      </c>
      <c r="AE11" s="2100">
        <f t="shared" si="12"/>
        <v>2970.3999999999996</v>
      </c>
      <c r="AF11" s="732">
        <v>737.99999999999989</v>
      </c>
      <c r="AG11" s="2004">
        <v>416.49999999999989</v>
      </c>
      <c r="AH11" s="2100">
        <f t="shared" si="13"/>
        <v>5756.4000000000005</v>
      </c>
      <c r="AI11" s="2100">
        <f t="shared" si="14"/>
        <v>3386.8999999999996</v>
      </c>
      <c r="AJ11" s="732">
        <v>762.6</v>
      </c>
      <c r="AK11" s="2004">
        <v>431.80000000000007</v>
      </c>
      <c r="AL11" s="400">
        <f t="shared" si="15"/>
        <v>2263.1999999999998</v>
      </c>
      <c r="AM11" s="400">
        <f t="shared" si="16"/>
        <v>1278.3</v>
      </c>
      <c r="AN11" s="2100">
        <f t="shared" si="17"/>
        <v>6519.0000000000009</v>
      </c>
      <c r="AO11" s="2100">
        <f t="shared" si="18"/>
        <v>3818.7</v>
      </c>
      <c r="AP11" s="732">
        <v>762.6</v>
      </c>
      <c r="AQ11" s="2004">
        <v>435.29999999999995</v>
      </c>
      <c r="AR11" s="2100">
        <f t="shared" si="19"/>
        <v>7281.6000000000013</v>
      </c>
      <c r="AS11" s="2100">
        <f t="shared" si="20"/>
        <v>4254</v>
      </c>
      <c r="AT11" s="732">
        <v>688.8</v>
      </c>
      <c r="AU11" s="2004">
        <v>392.4</v>
      </c>
      <c r="AV11" s="2100">
        <f t="shared" si="21"/>
        <v>7970.4000000000015</v>
      </c>
      <c r="AW11" s="2100">
        <f t="shared" si="22"/>
        <v>4646.3999999999996</v>
      </c>
      <c r="AX11" s="732">
        <v>762.6</v>
      </c>
      <c r="AY11" s="2004">
        <v>432.29999999999995</v>
      </c>
      <c r="AZ11" s="400">
        <f>AP11+AT11+AX15</f>
        <v>3340.6285714285714</v>
      </c>
      <c r="BA11" s="400">
        <f t="shared" si="24"/>
        <v>1260</v>
      </c>
      <c r="BB11" s="492">
        <f t="shared" si="25"/>
        <v>5603.8285714285712</v>
      </c>
      <c r="BC11" s="492">
        <f t="shared" si="26"/>
        <v>2538.3000000000002</v>
      </c>
      <c r="BD11" s="2100">
        <f t="shared" si="27"/>
        <v>8733.0000000000018</v>
      </c>
      <c r="BE11" s="2100">
        <f t="shared" si="28"/>
        <v>5078.7</v>
      </c>
      <c r="BF11" s="1202">
        <v>8733</v>
      </c>
      <c r="BG11" s="1202">
        <f t="shared" si="29"/>
        <v>0</v>
      </c>
      <c r="BH11" s="26"/>
      <c r="BI11" s="26">
        <f t="shared" si="30"/>
        <v>0</v>
      </c>
      <c r="BJ11" s="26">
        <f t="shared" si="31"/>
        <v>0</v>
      </c>
    </row>
    <row r="12" spans="1:62" ht="18" x14ac:dyDescent="0.35">
      <c r="A12" s="2158"/>
      <c r="B12" s="6488" t="s">
        <v>419</v>
      </c>
      <c r="C12" s="49" t="s">
        <v>415</v>
      </c>
      <c r="D12" s="732">
        <v>23256</v>
      </c>
      <c r="E12" s="2004">
        <v>27201.599999999999</v>
      </c>
      <c r="F12" s="732">
        <v>24031.200000000001</v>
      </c>
      <c r="G12" s="2004">
        <v>28108.080000000002</v>
      </c>
      <c r="H12" s="345">
        <f t="shared" si="0"/>
        <v>47287.199999999997</v>
      </c>
      <c r="I12" s="206">
        <f t="shared" si="1"/>
        <v>55309.68</v>
      </c>
      <c r="J12" s="732">
        <v>23256</v>
      </c>
      <c r="K12" s="2004">
        <v>27245.280000000002</v>
      </c>
      <c r="L12" s="400">
        <f t="shared" si="2"/>
        <v>70543.199999999997</v>
      </c>
      <c r="M12" s="400">
        <f t="shared" si="3"/>
        <v>82554.960000000006</v>
      </c>
      <c r="N12" s="732">
        <v>24031.200000000001</v>
      </c>
      <c r="O12" s="2004">
        <v>28681.360000000008</v>
      </c>
      <c r="P12" s="2100">
        <f t="shared" si="4"/>
        <v>94574.399999999994</v>
      </c>
      <c r="Q12" s="2100">
        <f t="shared" si="4"/>
        <v>111236.32</v>
      </c>
      <c r="R12" s="732">
        <v>24031.200000000001</v>
      </c>
      <c r="S12" s="2004">
        <v>28437.119999999995</v>
      </c>
      <c r="T12" s="2100">
        <f t="shared" si="5"/>
        <v>118605.59999999999</v>
      </c>
      <c r="U12" s="2100">
        <f t="shared" si="6"/>
        <v>139673.44</v>
      </c>
      <c r="V12" s="732">
        <v>15276</v>
      </c>
      <c r="W12" s="2004">
        <v>27652.880000000001</v>
      </c>
      <c r="X12" s="400">
        <f t="shared" si="7"/>
        <v>63338.400000000001</v>
      </c>
      <c r="Y12" s="400">
        <f t="shared" si="8"/>
        <v>84771.36</v>
      </c>
      <c r="Z12" s="492">
        <f t="shared" si="9"/>
        <v>133881.60000000001</v>
      </c>
      <c r="AA12" s="492">
        <f t="shared" si="10"/>
        <v>167326.32</v>
      </c>
      <c r="AB12" s="732">
        <v>24031.200000000001</v>
      </c>
      <c r="AC12" s="2004">
        <v>27482.400000000009</v>
      </c>
      <c r="AD12" s="2100">
        <f t="shared" si="11"/>
        <v>157912.80000000002</v>
      </c>
      <c r="AE12" s="2100">
        <f t="shared" si="12"/>
        <v>194808.72000000003</v>
      </c>
      <c r="AF12" s="732">
        <v>23256</v>
      </c>
      <c r="AG12" s="2004">
        <v>27081.839999999993</v>
      </c>
      <c r="AH12" s="2100">
        <f t="shared" si="13"/>
        <v>181168.80000000002</v>
      </c>
      <c r="AI12" s="2100">
        <f t="shared" si="14"/>
        <v>221890.56000000003</v>
      </c>
      <c r="AJ12" s="732">
        <v>24031.200000000001</v>
      </c>
      <c r="AK12" s="2004">
        <v>28873.992000000002</v>
      </c>
      <c r="AL12" s="400">
        <f t="shared" si="15"/>
        <v>71318.399999999994</v>
      </c>
      <c r="AM12" s="400">
        <f t="shared" si="16"/>
        <v>83438.232000000004</v>
      </c>
      <c r="AN12" s="2100">
        <f t="shared" si="17"/>
        <v>205200.00000000003</v>
      </c>
      <c r="AO12" s="2100">
        <f t="shared" si="18"/>
        <v>250764.55200000003</v>
      </c>
      <c r="AP12" s="732">
        <v>24031.200000000001</v>
      </c>
      <c r="AQ12" s="2004">
        <v>27605.759999999995</v>
      </c>
      <c r="AR12" s="2100">
        <f t="shared" si="19"/>
        <v>229231.20000000004</v>
      </c>
      <c r="AS12" s="2100">
        <f t="shared" si="20"/>
        <v>278370.31200000003</v>
      </c>
      <c r="AT12" s="732">
        <v>21705.599999999999</v>
      </c>
      <c r="AU12" s="2004">
        <v>25277.919999999998</v>
      </c>
      <c r="AV12" s="2100">
        <f t="shared" si="21"/>
        <v>250936.80000000005</v>
      </c>
      <c r="AW12" s="2100">
        <f t="shared" si="22"/>
        <v>303648.23200000002</v>
      </c>
      <c r="AX12" s="732">
        <v>24031.200000000001</v>
      </c>
      <c r="AY12" s="2004">
        <v>27788.799999999999</v>
      </c>
      <c r="AZ12" s="400">
        <f t="shared" si="23"/>
        <v>69768</v>
      </c>
      <c r="BA12" s="400">
        <f t="shared" si="24"/>
        <v>80672.479999999996</v>
      </c>
      <c r="BB12" s="492">
        <f t="shared" si="25"/>
        <v>141086.39999999999</v>
      </c>
      <c r="BC12" s="492">
        <f t="shared" si="26"/>
        <v>164110.712</v>
      </c>
      <c r="BD12" s="2100">
        <f t="shared" si="27"/>
        <v>274968.00000000006</v>
      </c>
      <c r="BE12" s="2100">
        <f t="shared" si="28"/>
        <v>331437.03200000001</v>
      </c>
      <c r="BF12" s="1202">
        <v>274968</v>
      </c>
      <c r="BG12" s="1202">
        <f t="shared" si="29"/>
        <v>0</v>
      </c>
      <c r="BH12" s="26"/>
      <c r="BI12" s="26">
        <f t="shared" si="30"/>
        <v>0</v>
      </c>
      <c r="BJ12" s="26">
        <f t="shared" si="31"/>
        <v>0</v>
      </c>
    </row>
    <row r="13" spans="1:62" ht="18.600000000000001" thickBot="1" x14ac:dyDescent="0.4">
      <c r="A13" s="2158"/>
      <c r="B13" s="6488"/>
      <c r="C13" s="49" t="s">
        <v>50</v>
      </c>
      <c r="D13" s="732">
        <v>29070</v>
      </c>
      <c r="E13" s="2004">
        <v>34002</v>
      </c>
      <c r="F13" s="732">
        <v>30039</v>
      </c>
      <c r="G13" s="2004">
        <v>35135.1</v>
      </c>
      <c r="H13" s="345">
        <f t="shared" si="0"/>
        <v>59109</v>
      </c>
      <c r="I13" s="206">
        <f t="shared" si="1"/>
        <v>69137.100000000006</v>
      </c>
      <c r="J13" s="732">
        <v>29070</v>
      </c>
      <c r="K13" s="2004">
        <v>34056.600000000006</v>
      </c>
      <c r="L13" s="400">
        <f t="shared" si="2"/>
        <v>88179</v>
      </c>
      <c r="M13" s="400">
        <f t="shared" si="3"/>
        <v>103193.70000000001</v>
      </c>
      <c r="N13" s="732">
        <v>30039</v>
      </c>
      <c r="O13" s="2004">
        <v>35851.700000000012</v>
      </c>
      <c r="P13" s="2100">
        <f t="shared" si="4"/>
        <v>118218</v>
      </c>
      <c r="Q13" s="2100">
        <f t="shared" si="4"/>
        <v>139045.40000000002</v>
      </c>
      <c r="R13" s="732">
        <v>30039</v>
      </c>
      <c r="S13" s="2004">
        <v>35546.399999999994</v>
      </c>
      <c r="T13" s="2100">
        <f t="shared" si="5"/>
        <v>148257</v>
      </c>
      <c r="U13" s="2100">
        <f t="shared" si="6"/>
        <v>174591.80000000002</v>
      </c>
      <c r="V13" s="732">
        <v>19095</v>
      </c>
      <c r="W13" s="2004">
        <v>34566.1</v>
      </c>
      <c r="X13" s="400">
        <f t="shared" si="7"/>
        <v>79173</v>
      </c>
      <c r="Y13" s="400">
        <f t="shared" si="8"/>
        <v>105964.20000000001</v>
      </c>
      <c r="Z13" s="492">
        <f t="shared" si="9"/>
        <v>167352</v>
      </c>
      <c r="AA13" s="492">
        <f t="shared" si="10"/>
        <v>209157.90000000002</v>
      </c>
      <c r="AB13" s="732">
        <v>30039</v>
      </c>
      <c r="AC13" s="2004">
        <v>34353.000000000007</v>
      </c>
      <c r="AD13" s="2100">
        <f t="shared" si="11"/>
        <v>197391</v>
      </c>
      <c r="AE13" s="2100">
        <f t="shared" si="12"/>
        <v>243510.90000000002</v>
      </c>
      <c r="AF13" s="732">
        <v>29070</v>
      </c>
      <c r="AG13" s="2004">
        <v>33852.299999999988</v>
      </c>
      <c r="AH13" s="2100">
        <f t="shared" si="13"/>
        <v>226461</v>
      </c>
      <c r="AI13" s="2100">
        <f t="shared" si="14"/>
        <v>277363.20000000001</v>
      </c>
      <c r="AJ13" s="732">
        <v>30039</v>
      </c>
      <c r="AK13" s="2004">
        <v>36092.490000000005</v>
      </c>
      <c r="AL13" s="400">
        <f t="shared" si="15"/>
        <v>89148</v>
      </c>
      <c r="AM13" s="400">
        <f t="shared" si="16"/>
        <v>104297.79</v>
      </c>
      <c r="AN13" s="2100">
        <f t="shared" si="17"/>
        <v>256500</v>
      </c>
      <c r="AO13" s="2100">
        <f t="shared" si="18"/>
        <v>313455.69</v>
      </c>
      <c r="AP13" s="732">
        <v>30039</v>
      </c>
      <c r="AQ13" s="2004">
        <v>34507.199999999997</v>
      </c>
      <c r="AR13" s="2100">
        <f t="shared" si="19"/>
        <v>286539</v>
      </c>
      <c r="AS13" s="2100">
        <f t="shared" si="20"/>
        <v>347962.89</v>
      </c>
      <c r="AT13" s="732">
        <v>27132</v>
      </c>
      <c r="AU13" s="2004">
        <v>31597.399999999998</v>
      </c>
      <c r="AV13" s="2100">
        <f t="shared" si="21"/>
        <v>313671</v>
      </c>
      <c r="AW13" s="2100">
        <f t="shared" si="22"/>
        <v>379560.29000000004</v>
      </c>
      <c r="AX13" s="732">
        <v>30039</v>
      </c>
      <c r="AY13" s="2004">
        <v>34736</v>
      </c>
      <c r="AZ13" s="400">
        <f t="shared" si="23"/>
        <v>87210</v>
      </c>
      <c r="BA13" s="400">
        <f t="shared" si="24"/>
        <v>100840.59999999999</v>
      </c>
      <c r="BB13" s="492">
        <f t="shared" si="25"/>
        <v>176358</v>
      </c>
      <c r="BC13" s="492">
        <f t="shared" si="26"/>
        <v>205138.38999999998</v>
      </c>
      <c r="BD13" s="2100">
        <f t="shared" si="27"/>
        <v>343710</v>
      </c>
      <c r="BE13" s="2100">
        <f t="shared" si="28"/>
        <v>414296.29000000004</v>
      </c>
      <c r="BF13" s="1202">
        <v>343710</v>
      </c>
      <c r="BG13" s="1202">
        <f t="shared" si="29"/>
        <v>0</v>
      </c>
      <c r="BH13" s="26"/>
      <c r="BI13" s="26">
        <f t="shared" si="30"/>
        <v>0</v>
      </c>
      <c r="BJ13" s="26">
        <f t="shared" si="31"/>
        <v>0</v>
      </c>
    </row>
    <row r="14" spans="1:62" ht="18" x14ac:dyDescent="0.35">
      <c r="A14" s="2158"/>
      <c r="B14" s="6488" t="s">
        <v>420</v>
      </c>
      <c r="C14" s="49" t="s">
        <v>415</v>
      </c>
      <c r="D14" s="732">
        <v>1023.84</v>
      </c>
      <c r="E14" s="2004">
        <v>881.72</v>
      </c>
      <c r="F14" s="732">
        <v>1057.9680000000001</v>
      </c>
      <c r="G14" s="2004">
        <v>871.5559999999997</v>
      </c>
      <c r="H14" s="345">
        <f t="shared" si="0"/>
        <v>2081.808</v>
      </c>
      <c r="I14" s="206">
        <f t="shared" si="1"/>
        <v>1753.2759999999998</v>
      </c>
      <c r="J14" s="732">
        <v>1023.84</v>
      </c>
      <c r="K14" s="2004">
        <v>928.14399999999978</v>
      </c>
      <c r="L14" s="400">
        <f t="shared" si="2"/>
        <v>3105.6480000000001</v>
      </c>
      <c r="M14" s="400">
        <f t="shared" si="3"/>
        <v>2681.4199999999996</v>
      </c>
      <c r="N14" s="732">
        <v>1057.9680000000001</v>
      </c>
      <c r="O14" s="2004">
        <v>937.72</v>
      </c>
      <c r="P14" s="2100">
        <f t="shared" si="4"/>
        <v>4163.616</v>
      </c>
      <c r="Q14" s="2100">
        <f t="shared" si="4"/>
        <v>3619.1399999999994</v>
      </c>
      <c r="R14" s="732">
        <v>1057.9680000000001</v>
      </c>
      <c r="S14" s="2004">
        <v>912.4079999999999</v>
      </c>
      <c r="T14" s="2100">
        <f t="shared" si="5"/>
        <v>5221.5839999999998</v>
      </c>
      <c r="U14" s="2100">
        <f t="shared" si="6"/>
        <v>4531.5479999999989</v>
      </c>
      <c r="V14" s="732">
        <v>682.56</v>
      </c>
      <c r="W14" s="2004">
        <v>927.47200000000043</v>
      </c>
      <c r="X14" s="400">
        <f t="shared" si="7"/>
        <v>2798.4960000000001</v>
      </c>
      <c r="Y14" s="400">
        <f t="shared" si="8"/>
        <v>2777.6000000000004</v>
      </c>
      <c r="Z14" s="492">
        <f t="shared" si="9"/>
        <v>5904.1440000000002</v>
      </c>
      <c r="AA14" s="492">
        <f t="shared" si="10"/>
        <v>5459.02</v>
      </c>
      <c r="AB14" s="732">
        <v>1057.9680000000001</v>
      </c>
      <c r="AC14" s="2004">
        <v>928.64800000000014</v>
      </c>
      <c r="AD14" s="2100">
        <f t="shared" si="11"/>
        <v>6962.1120000000001</v>
      </c>
      <c r="AE14" s="2100">
        <f t="shared" si="12"/>
        <v>6387.6680000000006</v>
      </c>
      <c r="AF14" s="732">
        <v>1023.84</v>
      </c>
      <c r="AG14" s="2004">
        <v>906.92</v>
      </c>
      <c r="AH14" s="2100">
        <f t="shared" si="13"/>
        <v>7985.9520000000002</v>
      </c>
      <c r="AI14" s="2100">
        <f t="shared" si="14"/>
        <v>7294.5880000000006</v>
      </c>
      <c r="AJ14" s="732">
        <v>1057.9680000000001</v>
      </c>
      <c r="AK14" s="2004">
        <v>957.2639999999999</v>
      </c>
      <c r="AL14" s="400">
        <f t="shared" si="15"/>
        <v>3139.7759999999998</v>
      </c>
      <c r="AM14" s="400">
        <f t="shared" si="16"/>
        <v>2792.8320000000003</v>
      </c>
      <c r="AN14" s="2100">
        <f t="shared" si="17"/>
        <v>9043.92</v>
      </c>
      <c r="AO14" s="2100">
        <f t="shared" si="18"/>
        <v>8251.8520000000008</v>
      </c>
      <c r="AP14" s="732">
        <v>1057.9680000000001</v>
      </c>
      <c r="AQ14" s="2004">
        <v>899.47199999999987</v>
      </c>
      <c r="AR14" s="2100">
        <f t="shared" si="19"/>
        <v>10101.888000000001</v>
      </c>
      <c r="AS14" s="2100">
        <f t="shared" si="20"/>
        <v>9151.3240000000005</v>
      </c>
      <c r="AT14" s="732">
        <v>955.58399999999995</v>
      </c>
      <c r="AU14" s="2004">
        <v>866.32</v>
      </c>
      <c r="AV14" s="2100">
        <f t="shared" si="21"/>
        <v>11057.472000000002</v>
      </c>
      <c r="AW14" s="2100">
        <f t="shared" si="22"/>
        <v>10017.644</v>
      </c>
      <c r="AX14" s="732">
        <v>1057.9680000000001</v>
      </c>
      <c r="AY14" s="2004">
        <v>927.24800000000005</v>
      </c>
      <c r="AZ14" s="400">
        <f t="shared" ref="AZ14:AZ15" si="32">AP14+AT14+AX14</f>
        <v>3071.5200000000004</v>
      </c>
      <c r="BA14" s="400">
        <f t="shared" ref="BA14:BA15" si="33">AQ14+AU14+AY14</f>
        <v>2693.04</v>
      </c>
      <c r="BB14" s="492">
        <f t="shared" si="25"/>
        <v>6211.2960000000003</v>
      </c>
      <c r="BC14" s="492">
        <f t="shared" si="26"/>
        <v>5485.8720000000003</v>
      </c>
      <c r="BD14" s="2100">
        <f t="shared" si="27"/>
        <v>12115.440000000002</v>
      </c>
      <c r="BE14" s="2100">
        <f t="shared" si="28"/>
        <v>10944.892</v>
      </c>
      <c r="BF14" s="5487">
        <f>SUM('[2]OXY PL'!E21:P21)</f>
        <v>12115.440000000002</v>
      </c>
      <c r="BG14" s="1202">
        <f t="shared" si="29"/>
        <v>0</v>
      </c>
      <c r="BH14" s="26"/>
      <c r="BI14" s="26">
        <f t="shared" si="30"/>
        <v>0</v>
      </c>
      <c r="BJ14" s="26">
        <f t="shared" si="31"/>
        <v>0</v>
      </c>
    </row>
    <row r="15" spans="1:62" ht="18.600000000000001" thickBot="1" x14ac:dyDescent="0.4">
      <c r="A15" s="2158"/>
      <c r="B15" s="6488"/>
      <c r="C15" s="49" t="s">
        <v>50</v>
      </c>
      <c r="D15" s="732">
        <v>1828.2857142857142</v>
      </c>
      <c r="E15" s="2004">
        <v>1574.5</v>
      </c>
      <c r="F15" s="732">
        <v>1889.2285714285713</v>
      </c>
      <c r="G15" s="2004">
        <v>1556.3499999999995</v>
      </c>
      <c r="H15" s="345">
        <f t="shared" si="0"/>
        <v>3717.5142857142855</v>
      </c>
      <c r="I15" s="206">
        <f t="shared" si="1"/>
        <v>3130.8499999999995</v>
      </c>
      <c r="J15" s="732">
        <v>1828.2857142857142</v>
      </c>
      <c r="K15" s="2004">
        <v>1657.3999999999996</v>
      </c>
      <c r="L15" s="400">
        <f t="shared" si="2"/>
        <v>5545.7999999999993</v>
      </c>
      <c r="M15" s="400">
        <f t="shared" si="3"/>
        <v>4788.2499999999991</v>
      </c>
      <c r="N15" s="732">
        <v>1889.2285714285713</v>
      </c>
      <c r="O15" s="2004">
        <v>1674.5</v>
      </c>
      <c r="P15" s="2100">
        <f t="shared" si="4"/>
        <v>7435.028571428571</v>
      </c>
      <c r="Q15" s="2100">
        <f t="shared" si="4"/>
        <v>6462.7499999999991</v>
      </c>
      <c r="R15" s="732">
        <v>1889.2285714285713</v>
      </c>
      <c r="S15" s="2004">
        <v>1629.2999999999997</v>
      </c>
      <c r="T15" s="2100">
        <f t="shared" si="5"/>
        <v>9324.2571428571428</v>
      </c>
      <c r="U15" s="2100">
        <f t="shared" si="6"/>
        <v>8092.0499999999993</v>
      </c>
      <c r="V15" s="732">
        <v>1218.8571428571427</v>
      </c>
      <c r="W15" s="2004">
        <v>1656.2000000000007</v>
      </c>
      <c r="X15" s="400">
        <f t="shared" si="7"/>
        <v>4997.3142857142848</v>
      </c>
      <c r="Y15" s="400">
        <f t="shared" si="8"/>
        <v>4960</v>
      </c>
      <c r="Z15" s="492">
        <f t="shared" si="9"/>
        <v>10543.114285714284</v>
      </c>
      <c r="AA15" s="492">
        <f t="shared" si="10"/>
        <v>9748.25</v>
      </c>
      <c r="AB15" s="732">
        <v>1889.2285714285713</v>
      </c>
      <c r="AC15" s="2004">
        <v>1658.3000000000002</v>
      </c>
      <c r="AD15" s="2100">
        <f t="shared" si="11"/>
        <v>12432.342857142856</v>
      </c>
      <c r="AE15" s="2100">
        <f t="shared" si="12"/>
        <v>11406.55</v>
      </c>
      <c r="AF15" s="732">
        <v>1828.2857142857142</v>
      </c>
      <c r="AG15" s="2004">
        <v>1619.5</v>
      </c>
      <c r="AH15" s="2100">
        <f t="shared" si="13"/>
        <v>14260.62857142857</v>
      </c>
      <c r="AI15" s="2100">
        <f t="shared" si="14"/>
        <v>13026.05</v>
      </c>
      <c r="AJ15" s="732">
        <v>1889.2285714285713</v>
      </c>
      <c r="AK15" s="2004">
        <v>1709.3999999999999</v>
      </c>
      <c r="AL15" s="400">
        <f t="shared" si="15"/>
        <v>5606.7428571428572</v>
      </c>
      <c r="AM15" s="400">
        <f t="shared" si="16"/>
        <v>4987.2</v>
      </c>
      <c r="AN15" s="2100">
        <f t="shared" si="17"/>
        <v>16149.857142857141</v>
      </c>
      <c r="AO15" s="2100">
        <f t="shared" si="18"/>
        <v>14735.449999999999</v>
      </c>
      <c r="AP15" s="732">
        <v>1889.2285714285713</v>
      </c>
      <c r="AQ15" s="2004">
        <v>1606.1999999999998</v>
      </c>
      <c r="AR15" s="2100">
        <f t="shared" si="19"/>
        <v>18039.085714285713</v>
      </c>
      <c r="AS15" s="2100">
        <f t="shared" si="20"/>
        <v>16341.649999999998</v>
      </c>
      <c r="AT15" s="732">
        <v>1706.3999999999996</v>
      </c>
      <c r="AU15" s="2004">
        <v>1547</v>
      </c>
      <c r="AV15" s="2100">
        <f t="shared" si="21"/>
        <v>19745.485714285714</v>
      </c>
      <c r="AW15" s="2100">
        <f t="shared" si="22"/>
        <v>17888.649999999998</v>
      </c>
      <c r="AX15" s="732">
        <v>1889.2285714285713</v>
      </c>
      <c r="AY15" s="2004">
        <v>1655.8</v>
      </c>
      <c r="AZ15" s="400">
        <f t="shared" si="32"/>
        <v>5484.8571428571422</v>
      </c>
      <c r="BA15" s="400">
        <f t="shared" si="33"/>
        <v>4809</v>
      </c>
      <c r="BB15" s="492">
        <f t="shared" si="25"/>
        <v>11091.599999999999</v>
      </c>
      <c r="BC15" s="492">
        <f t="shared" si="26"/>
        <v>9796.2000000000007</v>
      </c>
      <c r="BD15" s="2100">
        <f t="shared" si="27"/>
        <v>21634.714285714286</v>
      </c>
      <c r="BE15" s="2100">
        <f t="shared" si="28"/>
        <v>19544.449999999997</v>
      </c>
      <c r="BF15" s="5488">
        <f>SUM('[2]OXY PL'!E22:P22)</f>
        <v>21634.714285714286</v>
      </c>
      <c r="BG15" s="1202">
        <f t="shared" si="29"/>
        <v>0</v>
      </c>
      <c r="BH15" s="26"/>
      <c r="BI15" s="26">
        <f t="shared" si="30"/>
        <v>0</v>
      </c>
      <c r="BJ15" s="26">
        <f t="shared" si="31"/>
        <v>0</v>
      </c>
    </row>
    <row r="16" spans="1:62" ht="18" x14ac:dyDescent="0.35">
      <c r="A16" s="2169"/>
      <c r="B16" s="1448" t="s">
        <v>335</v>
      </c>
      <c r="C16" s="1328"/>
      <c r="D16" s="1451"/>
      <c r="E16" s="1449"/>
      <c r="F16" s="1451"/>
      <c r="G16" s="1449"/>
      <c r="H16" s="1445"/>
      <c r="I16" s="1449"/>
      <c r="J16" s="1451"/>
      <c r="K16" s="1449"/>
      <c r="L16" s="1445"/>
      <c r="M16" s="1449"/>
      <c r="N16" s="1451"/>
      <c r="O16" s="1449"/>
      <c r="P16" s="940"/>
      <c r="Q16" s="940"/>
      <c r="R16" s="1451"/>
      <c r="S16" s="1449"/>
      <c r="T16" s="940"/>
      <c r="U16" s="940"/>
      <c r="V16" s="1451"/>
      <c r="W16" s="1449"/>
      <c r="X16" s="1445"/>
      <c r="Y16" s="1449"/>
      <c r="Z16" s="940"/>
      <c r="AA16" s="940"/>
      <c r="AB16" s="1451"/>
      <c r="AC16" s="1449"/>
      <c r="AD16" s="940"/>
      <c r="AE16" s="940"/>
      <c r="AF16" s="1451"/>
      <c r="AG16" s="1449"/>
      <c r="AH16" s="940"/>
      <c r="AI16" s="940"/>
      <c r="AJ16" s="1451"/>
      <c r="AK16" s="1449"/>
      <c r="AL16" s="1445"/>
      <c r="AM16" s="1449"/>
      <c r="AN16" s="940"/>
      <c r="AO16" s="940"/>
      <c r="AP16" s="1451"/>
      <c r="AQ16" s="1449"/>
      <c r="AR16" s="940"/>
      <c r="AS16" s="940"/>
      <c r="AT16" s="1451"/>
      <c r="AU16" s="1449"/>
      <c r="AV16" s="940"/>
      <c r="AW16" s="940"/>
      <c r="AX16" s="1451"/>
      <c r="AY16" s="1449"/>
      <c r="AZ16" s="1445"/>
      <c r="BA16" s="1449"/>
      <c r="BB16" s="940"/>
      <c r="BC16" s="940"/>
      <c r="BD16" s="940"/>
      <c r="BE16" s="940"/>
      <c r="BF16" s="1202"/>
      <c r="BG16" s="1202"/>
      <c r="BH16" s="26"/>
      <c r="BI16" s="26">
        <f t="shared" si="30"/>
        <v>0</v>
      </c>
      <c r="BJ16" s="26">
        <f t="shared" si="31"/>
        <v>0</v>
      </c>
    </row>
    <row r="17" spans="1:62" ht="18" x14ac:dyDescent="0.35">
      <c r="A17" s="2169"/>
      <c r="B17" s="1448" t="s">
        <v>100</v>
      </c>
      <c r="C17" s="1328"/>
      <c r="D17" s="1451"/>
      <c r="E17" s="1449"/>
      <c r="F17" s="1451"/>
      <c r="G17" s="1449"/>
      <c r="H17" s="1445"/>
      <c r="I17" s="1449"/>
      <c r="J17" s="1451"/>
      <c r="K17" s="1449"/>
      <c r="L17" s="1445"/>
      <c r="M17" s="1449"/>
      <c r="N17" s="1451"/>
      <c r="O17" s="1449"/>
      <c r="P17" s="940"/>
      <c r="Q17" s="940"/>
      <c r="R17" s="1451"/>
      <c r="S17" s="1449"/>
      <c r="T17" s="940"/>
      <c r="U17" s="940"/>
      <c r="V17" s="1451"/>
      <c r="W17" s="1449"/>
      <c r="X17" s="1445"/>
      <c r="Y17" s="1449"/>
      <c r="Z17" s="940"/>
      <c r="AA17" s="940"/>
      <c r="AB17" s="1451"/>
      <c r="AC17" s="1449"/>
      <c r="AD17" s="940"/>
      <c r="AE17" s="940"/>
      <c r="AF17" s="1451"/>
      <c r="AG17" s="1449"/>
      <c r="AH17" s="940"/>
      <c r="AI17" s="940"/>
      <c r="AJ17" s="1451"/>
      <c r="AK17" s="1449"/>
      <c r="AL17" s="1445"/>
      <c r="AM17" s="1449"/>
      <c r="AN17" s="940"/>
      <c r="AO17" s="940"/>
      <c r="AP17" s="1451"/>
      <c r="AQ17" s="1449"/>
      <c r="AR17" s="940"/>
      <c r="AS17" s="940"/>
      <c r="AT17" s="1451"/>
      <c r="AU17" s="1449"/>
      <c r="AV17" s="940"/>
      <c r="AW17" s="940"/>
      <c r="AX17" s="1451"/>
      <c r="AY17" s="1449"/>
      <c r="AZ17" s="1445"/>
      <c r="BA17" s="1449"/>
      <c r="BB17" s="940"/>
      <c r="BC17" s="940"/>
      <c r="BD17" s="940"/>
      <c r="BE17" s="940"/>
      <c r="BF17" s="1202"/>
      <c r="BG17" s="1202"/>
      <c r="BH17" s="26"/>
      <c r="BI17" s="26">
        <f t="shared" si="30"/>
        <v>0</v>
      </c>
      <c r="BJ17" s="26">
        <f t="shared" si="31"/>
        <v>0</v>
      </c>
    </row>
    <row r="18" spans="1:62" ht="18" x14ac:dyDescent="0.35">
      <c r="A18" s="2158"/>
      <c r="B18" s="2170" t="s">
        <v>808</v>
      </c>
      <c r="C18" s="49" t="s">
        <v>560</v>
      </c>
      <c r="D18" s="2006">
        <f>1800/1000</f>
        <v>1.8</v>
      </c>
      <c r="E18" s="2005">
        <f>957.67/(24*E$2)</f>
        <v>1.3300972222222223</v>
      </c>
      <c r="F18" s="2006">
        <f>1800/1000</f>
        <v>1.8</v>
      </c>
      <c r="G18" s="2005">
        <f>989.59/(24*G$2)</f>
        <v>1.3300940860215054</v>
      </c>
      <c r="H18" s="2008">
        <f t="shared" ref="H18:I22" si="34">+((D18*D$2)+(F18*F$2))/H$2</f>
        <v>1.8000000000000003</v>
      </c>
      <c r="I18" s="2772">
        <f t="shared" si="34"/>
        <v>1.3300956284153007</v>
      </c>
      <c r="J18" s="2006">
        <f>1800/1000</f>
        <v>1.8</v>
      </c>
      <c r="K18" s="2005">
        <f>980.63/(24*K$2)</f>
        <v>1.3619861111111111</v>
      </c>
      <c r="L18" s="2171">
        <f t="shared" ref="L18:M22" si="35">+((D18*D$2)+(F18*F$2)+(J18*J$2))/L$2</f>
        <v>1.8</v>
      </c>
      <c r="M18" s="2171">
        <f t="shared" si="35"/>
        <v>1.3406089743589744</v>
      </c>
      <c r="N18" s="2006">
        <f>1800/1000</f>
        <v>1.8</v>
      </c>
      <c r="O18" s="2005">
        <f>1023.19/(24*O$2)</f>
        <v>1.375255376344086</v>
      </c>
      <c r="P18" s="344">
        <f t="shared" ref="P18:Q22" si="36">+((L18*L$2)+(N18*N$2))/P$2</f>
        <v>1.8000000000000003</v>
      </c>
      <c r="Q18" s="344">
        <f t="shared" si="36"/>
        <v>1.349412568306011</v>
      </c>
      <c r="R18" s="2006">
        <f>1800/1000</f>
        <v>1.8</v>
      </c>
      <c r="S18" s="2005">
        <f>986.02/(24*S$2)</f>
        <v>1.3252956989247311</v>
      </c>
      <c r="T18" s="344">
        <f t="shared" ref="T18:T22" si="37">+((P18*P$2)+(R18*R$2))/T$2</f>
        <v>1.8000000000000003</v>
      </c>
      <c r="U18" s="344">
        <f t="shared" ref="U18:U22" si="38">+((Q18*Q$2)+(S18*S$2))/U$2</f>
        <v>1.3445261437908496</v>
      </c>
      <c r="V18" s="2006">
        <f>1100/1000</f>
        <v>1.1000000000000001</v>
      </c>
      <c r="W18" s="2005">
        <f>869.47/(24*W$2)</f>
        <v>1.2075972222222222</v>
      </c>
      <c r="X18" s="2171">
        <f t="shared" ref="X18:Y20" si="39">(N18*N$2+R18*R$2+V18*V$2)/X$2</f>
        <v>1.5717391304347827</v>
      </c>
      <c r="Y18" s="2171">
        <f t="shared" si="39"/>
        <v>1.30375</v>
      </c>
      <c r="Z18" s="493">
        <f t="shared" ref="Z18:AA22" si="40">+((T18*T$2)+(V18*V$2))/Z$2</f>
        <v>1.6852459016393444</v>
      </c>
      <c r="AA18" s="493">
        <f t="shared" si="40"/>
        <v>1.3220787795992712</v>
      </c>
      <c r="AB18" s="2006">
        <v>1.8</v>
      </c>
      <c r="AC18" s="2005">
        <f>805.98/(24*AC$2)</f>
        <v>1.0833064516129032</v>
      </c>
      <c r="AD18" s="344">
        <f t="shared" ref="AD18:AD22" si="41">+((Z18*Z$2)+(AB18*AB$2))/AD$2</f>
        <v>1.7018691588785049</v>
      </c>
      <c r="AE18" s="344">
        <f t="shared" ref="AE18:AE22" si="42">+((AA18*AA$2)+(AC18*AC$2))/AE$2</f>
        <v>1.2874902647975075</v>
      </c>
      <c r="AF18" s="2006">
        <v>1.8</v>
      </c>
      <c r="AG18" s="2005">
        <f>872.27/(24*AG$2)</f>
        <v>1.211486111111111</v>
      </c>
      <c r="AH18" s="344">
        <f t="shared" ref="AH18:AH22" si="43">+((AD18*AD$2)+(AF18*AF$2))/AH$2</f>
        <v>1.7139344262295084</v>
      </c>
      <c r="AI18" s="344">
        <f t="shared" ref="AI18:AI22" si="44">+((AE18*AE$2)+(AG18*AG$2))/AI$2</f>
        <v>1.2781454918032784</v>
      </c>
      <c r="AJ18" s="2006">
        <v>1.8</v>
      </c>
      <c r="AK18" s="2005">
        <f>860.23/(24*AK$2)</f>
        <v>1.1562231182795699</v>
      </c>
      <c r="AL18" s="2171">
        <f t="shared" ref="AL18:AL22" si="45">(AB18*AB$2+AF18*AF$2+AJ18*AJ$2)/AL$2</f>
        <v>1.8000000000000003</v>
      </c>
      <c r="AM18" s="2171">
        <f t="shared" ref="AM18:AM22" si="46">(AC18*AC$2+AG18*AG$2+AK18*AK$2)/AM$2</f>
        <v>1.1496739130434783</v>
      </c>
      <c r="AN18" s="344">
        <f t="shared" ref="AN18:AN22" si="47">+((AH18*AH$2)+(AJ18*AJ$2))/AN$2</f>
        <v>1.7236363636363639</v>
      </c>
      <c r="AO18" s="344">
        <f t="shared" ref="AO18:AO22" si="48">+((AI18*AI$2)+(AK18*AK$2))/AO$2</f>
        <v>1.2644015151515149</v>
      </c>
      <c r="AP18" s="2006">
        <f>1800/1000</f>
        <v>1.8</v>
      </c>
      <c r="AQ18" s="2005">
        <f>790.51/(24*AQ$2)</f>
        <v>1.062513440860215</v>
      </c>
      <c r="AR18" s="344">
        <f t="shared" ref="AR18:AR22" si="49">+((AN18*AN$2)+(AP18*AP$2))/AR$2</f>
        <v>1.7313725490196081</v>
      </c>
      <c r="AS18" s="344">
        <f t="shared" ref="AS18:AS22" si="50">+((AO18*AO$2)+(AQ18*AQ$2))/AS$2</f>
        <v>1.2439488017429192</v>
      </c>
      <c r="AT18" s="2006">
        <f>1800/1000</f>
        <v>1.8</v>
      </c>
      <c r="AU18" s="2005">
        <f>646.31/(24*AU$2)</f>
        <v>0.96177083333333324</v>
      </c>
      <c r="AV18" s="344">
        <f t="shared" ref="AV18:AV22" si="51">+((AR18*AR$2)+(AT18*AT$2))/AV$2</f>
        <v>1.7371257485029941</v>
      </c>
      <c r="AW18" s="344">
        <f t="shared" ref="AW18:AW22" si="52">+((AS18*AS$2)+(AU18*AU$2))/AW$2</f>
        <v>1.2202931636726544</v>
      </c>
      <c r="AX18" s="2006">
        <v>1.8</v>
      </c>
      <c r="AY18" s="2005">
        <f>849.87/(24*AY$2)</f>
        <v>1.1422983870967742</v>
      </c>
      <c r="AZ18" s="2171">
        <f t="shared" ref="AZ18:AZ22" si="53">(AP18*AP$2+AT18*AT$2+AX18*AX$2)/AZ$2</f>
        <v>1.8</v>
      </c>
      <c r="BA18" s="2171">
        <f t="shared" ref="BA18:BA22" si="54">(AQ18*AQ$2+AU18*AU$2+AY18*AY$2)/BA$2</f>
        <v>1.0586527777777779</v>
      </c>
      <c r="BB18" s="493">
        <f t="shared" ref="BB18:BC22" si="55">+((AL18*AL$2)+(AZ18*AZ$2))/BB$2</f>
        <v>1.8</v>
      </c>
      <c r="BC18" s="493">
        <f t="shared" si="55"/>
        <v>1.1046634615384618</v>
      </c>
      <c r="BD18" s="344">
        <f t="shared" ref="BD18:BD22" si="56">+((AV18*AV$2)+(AX18*AX$2))/BD$2</f>
        <v>1.7424657534246575</v>
      </c>
      <c r="BE18" s="344">
        <f t="shared" ref="BE18:BE22" si="57">+((AW18*AW$2)+(AY18*AY$2))/BE$2</f>
        <v>1.2136689497716893</v>
      </c>
      <c r="BF18" s="1202"/>
      <c r="BG18" s="1202"/>
      <c r="BH18" s="26"/>
      <c r="BI18" s="26">
        <f t="shared" si="30"/>
        <v>19.157534246575345</v>
      </c>
      <c r="BJ18" s="26">
        <f t="shared" si="31"/>
        <v>13.334255109368096</v>
      </c>
    </row>
    <row r="19" spans="1:62" ht="18" x14ac:dyDescent="0.35">
      <c r="A19" s="2158"/>
      <c r="B19" s="2170" t="s">
        <v>15</v>
      </c>
      <c r="C19" s="49" t="s">
        <v>560</v>
      </c>
      <c r="D19" s="2006">
        <v>21.5</v>
      </c>
      <c r="E19" s="2005">
        <f>12416.74/(24*E$2)</f>
        <v>17.245472222222222</v>
      </c>
      <c r="F19" s="2006">
        <v>21.5</v>
      </c>
      <c r="G19" s="2005">
        <f>14695.87/(24*G$2)</f>
        <v>19.752513440860216</v>
      </c>
      <c r="H19" s="2008">
        <f t="shared" si="34"/>
        <v>21.5</v>
      </c>
      <c r="I19" s="2772">
        <f t="shared" si="34"/>
        <v>18.519542349726777</v>
      </c>
      <c r="J19" s="2006">
        <v>21.5</v>
      </c>
      <c r="K19" s="2005">
        <f>14896.84/(24*K$2)</f>
        <v>20.690055555555556</v>
      </c>
      <c r="L19" s="2171">
        <f t="shared" si="35"/>
        <v>21.5</v>
      </c>
      <c r="M19" s="2171">
        <f t="shared" si="35"/>
        <v>19.235096153846158</v>
      </c>
      <c r="N19" s="2006">
        <f>21500/1000</f>
        <v>21.5</v>
      </c>
      <c r="O19" s="2005">
        <f>16309.58/(24*O$2)</f>
        <v>21.921478494623656</v>
      </c>
      <c r="P19" s="344">
        <f t="shared" si="36"/>
        <v>21.5</v>
      </c>
      <c r="Q19" s="344">
        <f t="shared" si="36"/>
        <v>19.917701502732243</v>
      </c>
      <c r="R19" s="2006">
        <f>21500/1000</f>
        <v>21.5</v>
      </c>
      <c r="S19" s="2005">
        <f>15230.74/(24*S$2)</f>
        <v>20.471424731182797</v>
      </c>
      <c r="T19" s="344">
        <f t="shared" si="37"/>
        <v>21.5</v>
      </c>
      <c r="U19" s="344">
        <f t="shared" si="38"/>
        <v>20.029893790849677</v>
      </c>
      <c r="V19" s="2006">
        <f>14166.6666666667/1000</f>
        <v>14.1666666666667</v>
      </c>
      <c r="W19" s="2005">
        <f>14173.74/(24*W$2)</f>
        <v>19.685749999999999</v>
      </c>
      <c r="X19" s="2171">
        <f t="shared" si="39"/>
        <v>19.108695652173925</v>
      </c>
      <c r="Y19" s="2171">
        <f t="shared" si="39"/>
        <v>20.703831521739129</v>
      </c>
      <c r="Z19" s="493">
        <f t="shared" si="40"/>
        <v>20.29781420765028</v>
      </c>
      <c r="AA19" s="493">
        <f t="shared" si="40"/>
        <v>19.973476775956289</v>
      </c>
      <c r="AB19" s="2006">
        <v>21.5</v>
      </c>
      <c r="AC19" s="2005">
        <f>10676.82/(24*AC$2)</f>
        <v>14.350564516129031</v>
      </c>
      <c r="AD19" s="344">
        <f t="shared" si="41"/>
        <v>20.471962616822438</v>
      </c>
      <c r="AE19" s="344">
        <f t="shared" si="42"/>
        <v>19.158942757009349</v>
      </c>
      <c r="AF19" s="2006">
        <v>21.5</v>
      </c>
      <c r="AG19" s="2005">
        <f>13834.31/(24*AG$2)</f>
        <v>19.214319444444445</v>
      </c>
      <c r="AH19" s="344">
        <f t="shared" si="43"/>
        <v>20.598360655737711</v>
      </c>
      <c r="AI19" s="344">
        <f t="shared" si="44"/>
        <v>19.165751366120222</v>
      </c>
      <c r="AJ19" s="2006">
        <v>21.5</v>
      </c>
      <c r="AK19" s="2005">
        <f>14802.83/(24*AK$2)</f>
        <v>19.896276881720429</v>
      </c>
      <c r="AL19" s="2171">
        <f t="shared" si="45"/>
        <v>21.5</v>
      </c>
      <c r="AM19" s="2171">
        <f t="shared" si="46"/>
        <v>17.805235507246376</v>
      </c>
      <c r="AN19" s="344">
        <f t="shared" si="47"/>
        <v>20.700000000000006</v>
      </c>
      <c r="AO19" s="344">
        <f t="shared" si="48"/>
        <v>19.248101515151518</v>
      </c>
      <c r="AP19" s="2006">
        <v>21.5</v>
      </c>
      <c r="AQ19" s="2005">
        <f>12897.29/(24*AQ$2)</f>
        <v>17.335067204301076</v>
      </c>
      <c r="AR19" s="344">
        <f t="shared" si="49"/>
        <v>20.781045751633993</v>
      </c>
      <c r="AS19" s="344">
        <f t="shared" si="50"/>
        <v>19.054297385620917</v>
      </c>
      <c r="AT19" s="2006">
        <v>21.5</v>
      </c>
      <c r="AU19" s="2005">
        <f>5956.3/(24*AU$2)</f>
        <v>8.8635416666666664</v>
      </c>
      <c r="AV19" s="2475">
        <f t="shared" si="51"/>
        <v>20.841317365269468</v>
      </c>
      <c r="AW19" s="2475">
        <f t="shared" si="52"/>
        <v>18.199982534930143</v>
      </c>
      <c r="AX19" s="2006">
        <v>21.5</v>
      </c>
      <c r="AY19" s="1576">
        <f>14452.69/(24*AY$2)</f>
        <v>19.425658602150538</v>
      </c>
      <c r="AZ19" s="2173">
        <f t="shared" si="53"/>
        <v>21.5</v>
      </c>
      <c r="BA19" s="2173">
        <f t="shared" si="54"/>
        <v>15.419574074074076</v>
      </c>
      <c r="BB19" s="4485">
        <f t="shared" si="55"/>
        <v>21.5</v>
      </c>
      <c r="BC19" s="4485">
        <f t="shared" si="55"/>
        <v>16.625512820512821</v>
      </c>
      <c r="BD19" s="2475">
        <f t="shared" si="56"/>
        <v>20.897260273972609</v>
      </c>
      <c r="BE19" s="2475">
        <f t="shared" si="57"/>
        <v>18.304081050228312</v>
      </c>
      <c r="BF19" s="1202"/>
      <c r="BG19" s="1202"/>
      <c r="BH19" s="26"/>
      <c r="BI19" s="26">
        <f t="shared" si="30"/>
        <v>229.76940639269407</v>
      </c>
      <c r="BJ19" s="26">
        <f t="shared" si="31"/>
        <v>200.54804170962831</v>
      </c>
    </row>
    <row r="20" spans="1:62" ht="18" x14ac:dyDescent="0.35">
      <c r="A20" s="2158"/>
      <c r="B20" s="2170" t="s">
        <v>57</v>
      </c>
      <c r="C20" s="49" t="s">
        <v>560</v>
      </c>
      <c r="D20" s="2006">
        <v>16.795325779036801</v>
      </c>
      <c r="E20" s="2005">
        <f>10427.69/(24*E$2)</f>
        <v>14.482902777777779</v>
      </c>
      <c r="F20" s="2006">
        <v>16.771375917633801</v>
      </c>
      <c r="G20" s="2005">
        <f>11693.43/(24*G$2)</f>
        <v>15.716975806451613</v>
      </c>
      <c r="H20" s="2008">
        <f t="shared" si="34"/>
        <v>16.783154537995934</v>
      </c>
      <c r="I20" s="2772">
        <f t="shared" si="34"/>
        <v>15.110054644808743</v>
      </c>
      <c r="J20" s="2006">
        <v>16.795325779036801</v>
      </c>
      <c r="K20" s="2005">
        <f>12008.29/(24*K$2)</f>
        <v>16.678180555555556</v>
      </c>
      <c r="L20" s="2171">
        <f t="shared" si="35"/>
        <v>16.787167035042373</v>
      </c>
      <c r="M20" s="2171">
        <f t="shared" si="35"/>
        <v>15.627019230769232</v>
      </c>
      <c r="N20" s="2006">
        <f>16447.7291419172/1000</f>
        <v>16.4477291419172</v>
      </c>
      <c r="O20" s="2005">
        <f>12814.2/(24*O$2)</f>
        <v>17.223387096774193</v>
      </c>
      <c r="P20" s="344">
        <f t="shared" si="36"/>
        <v>16.700916422854831</v>
      </c>
      <c r="Q20" s="344">
        <f t="shared" si="36"/>
        <v>16.03265368852459</v>
      </c>
      <c r="R20" s="2006">
        <f>16447.7291419172/1000</f>
        <v>16.4477291419172</v>
      </c>
      <c r="S20" s="2005">
        <f>13174/(24*S$2)</f>
        <v>17.706989247311828</v>
      </c>
      <c r="T20" s="344">
        <f t="shared" si="37"/>
        <v>16.649617039135443</v>
      </c>
      <c r="U20" s="344">
        <f t="shared" si="38"/>
        <v>16.371898148148148</v>
      </c>
      <c r="V20" s="2006">
        <f>12000/1000</f>
        <v>12</v>
      </c>
      <c r="W20" s="2005">
        <f>12699.12/(24*W$2)</f>
        <v>17.637666666666668</v>
      </c>
      <c r="X20" s="2171">
        <f t="shared" si="39"/>
        <v>14.997382682596374</v>
      </c>
      <c r="Y20" s="2171">
        <f t="shared" si="39"/>
        <v>17.521431159420292</v>
      </c>
      <c r="Z20" s="493">
        <f t="shared" si="40"/>
        <v>15.887384737637829</v>
      </c>
      <c r="AA20" s="493">
        <f t="shared" si="40"/>
        <v>16.579401183970855</v>
      </c>
      <c r="AB20" s="2006">
        <f>16771.3759176338/1000</f>
        <v>16.771375917633797</v>
      </c>
      <c r="AC20" s="2005">
        <f>10480.89/(24*AC$2)</f>
        <v>14.087217741935483</v>
      </c>
      <c r="AD20" s="344">
        <f t="shared" si="41"/>
        <v>16.01543953474005</v>
      </c>
      <c r="AE20" s="344">
        <f t="shared" si="42"/>
        <v>16.218383956386294</v>
      </c>
      <c r="AF20" s="2006">
        <f>16795.3257790368/1000</f>
        <v>16.795325779036801</v>
      </c>
      <c r="AG20" s="2005">
        <f>12761.77/(24*AG$2)</f>
        <v>17.724680555555555</v>
      </c>
      <c r="AH20" s="344">
        <f t="shared" si="43"/>
        <v>16.111327187727355</v>
      </c>
      <c r="AI20" s="344">
        <f t="shared" si="44"/>
        <v>16.403584357923499</v>
      </c>
      <c r="AJ20" s="2006">
        <v>16.771375917633801</v>
      </c>
      <c r="AK20" s="2005">
        <f>12808.67/(24*AK$2)</f>
        <v>17.215954301075268</v>
      </c>
      <c r="AL20" s="2171">
        <f t="shared" si="45"/>
        <v>16.779185655047819</v>
      </c>
      <c r="AM20" s="2171">
        <f t="shared" si="46"/>
        <v>16.327595108695654</v>
      </c>
      <c r="AN20" s="344">
        <f t="shared" si="47"/>
        <v>16.185732680916807</v>
      </c>
      <c r="AO20" s="344">
        <f t="shared" si="48"/>
        <v>16.495160606060605</v>
      </c>
      <c r="AP20" s="2006">
        <v>17.030293338207073</v>
      </c>
      <c r="AQ20" s="2005">
        <f>12352.27/(24*AQ$2)</f>
        <v>16.602513440860214</v>
      </c>
      <c r="AR20" s="344">
        <f t="shared" si="49"/>
        <v>16.27129274750504</v>
      </c>
      <c r="AS20" s="344">
        <f t="shared" si="50"/>
        <v>16.506036220043573</v>
      </c>
      <c r="AT20" s="2006">
        <v>16.848357615000673</v>
      </c>
      <c r="AU20" s="2005">
        <f>9804.27/(24*AU$2)</f>
        <v>14.5896875</v>
      </c>
      <c r="AV20" s="344">
        <f t="shared" si="51"/>
        <v>16.319669442983713</v>
      </c>
      <c r="AW20" s="344">
        <f t="shared" si="52"/>
        <v>16.345384231536926</v>
      </c>
      <c r="AX20" s="2006">
        <v>17.030293338207073</v>
      </c>
      <c r="AY20" s="2005">
        <f>12428.43/(24*AY$2)</f>
        <v>16.704879032258066</v>
      </c>
      <c r="AZ20" s="2171">
        <f t="shared" si="53"/>
        <v>16.973691113209526</v>
      </c>
      <c r="BA20" s="2171">
        <f t="shared" si="54"/>
        <v>16.011560185185186</v>
      </c>
      <c r="BB20" s="493">
        <f t="shared" si="55"/>
        <v>16.875369672820092</v>
      </c>
      <c r="BC20" s="493">
        <f t="shared" si="55"/>
        <v>16.171314102564104</v>
      </c>
      <c r="BD20" s="344">
        <f t="shared" si="56"/>
        <v>16.380023801208164</v>
      </c>
      <c r="BE20" s="344">
        <f t="shared" si="57"/>
        <v>16.375916666666665</v>
      </c>
      <c r="BF20" s="1202"/>
      <c r="BG20" s="1202"/>
      <c r="BH20" s="26"/>
      <c r="BI20" s="26">
        <f t="shared" si="30"/>
        <v>180.12448386405285</v>
      </c>
      <c r="BJ20" s="26">
        <f t="shared" si="31"/>
        <v>179.99511805555559</v>
      </c>
    </row>
    <row r="21" spans="1:62" ht="18" x14ac:dyDescent="0.35">
      <c r="A21" s="2158"/>
      <c r="B21" s="2170" t="s">
        <v>742</v>
      </c>
      <c r="C21" s="49" t="s">
        <v>560</v>
      </c>
      <c r="D21" s="2006">
        <f>1444.67422096317/1000</f>
        <v>1.44467422096317</v>
      </c>
      <c r="E21" s="2005">
        <f>0/(24*E$2)</f>
        <v>0</v>
      </c>
      <c r="F21" s="2006">
        <v>1.4686240823662</v>
      </c>
      <c r="G21" s="2005">
        <f>0/(24*G$2)</f>
        <v>0</v>
      </c>
      <c r="H21" s="2008">
        <f t="shared" si="34"/>
        <v>1.4568454620040541</v>
      </c>
      <c r="I21" s="2772">
        <f t="shared" si="34"/>
        <v>0</v>
      </c>
      <c r="J21" s="2006">
        <v>1.44467422096317</v>
      </c>
      <c r="K21" s="2005">
        <f>0/(24*K$2)</f>
        <v>0</v>
      </c>
      <c r="L21" s="2171">
        <f t="shared" si="35"/>
        <v>1.4528329649576088</v>
      </c>
      <c r="M21" s="2171">
        <f t="shared" si="35"/>
        <v>0</v>
      </c>
      <c r="N21" s="2006">
        <f>1792.27085808279/1000</f>
        <v>1.79227085808279</v>
      </c>
      <c r="O21" s="2005">
        <f>0/(24*O$2)</f>
        <v>0</v>
      </c>
      <c r="P21" s="344">
        <f t="shared" si="36"/>
        <v>1.5390835771451548</v>
      </c>
      <c r="Q21" s="344">
        <f t="shared" si="36"/>
        <v>0</v>
      </c>
      <c r="R21" s="2006">
        <f>1792.27085808279/1000</f>
        <v>1.79227085808279</v>
      </c>
      <c r="S21" s="2005">
        <f>0/(24*S$2)</f>
        <v>0</v>
      </c>
      <c r="T21" s="344">
        <f t="shared" si="37"/>
        <v>1.590382960864545</v>
      </c>
      <c r="U21" s="344">
        <f t="shared" si="38"/>
        <v>0</v>
      </c>
      <c r="V21" s="2006">
        <f>426.666666666631/1000</f>
        <v>0.426666666666631</v>
      </c>
      <c r="W21" s="2005">
        <f>0/(24*W$2)</f>
        <v>0</v>
      </c>
      <c r="X21" s="2171">
        <f t="shared" ref="X21:X22" si="58">(N21*N$2+R21*R$2+V21*V$2)/X$2</f>
        <v>1.3469651434905643</v>
      </c>
      <c r="Y21" s="2171">
        <f t="shared" ref="Y21:Y22" si="59">(O21*O$2+S21*S$2+W21*W$2)/Y$2</f>
        <v>0</v>
      </c>
      <c r="Z21" s="493">
        <f t="shared" si="40"/>
        <v>1.3996097978812803</v>
      </c>
      <c r="AA21" s="493">
        <f t="shared" si="40"/>
        <v>0</v>
      </c>
      <c r="AB21" s="2006">
        <v>1.4686240823662</v>
      </c>
      <c r="AC21" s="2005">
        <f>0/(24*AC$2)</f>
        <v>0</v>
      </c>
      <c r="AD21" s="344">
        <f t="shared" si="41"/>
        <v>1.4096071942318993</v>
      </c>
      <c r="AE21" s="344">
        <f t="shared" si="42"/>
        <v>0</v>
      </c>
      <c r="AF21" s="2006">
        <v>1.44467422096317</v>
      </c>
      <c r="AG21" s="2005">
        <f>0/(24*AG$2)</f>
        <v>0</v>
      </c>
      <c r="AH21" s="344">
        <f t="shared" si="43"/>
        <v>1.4139187139119735</v>
      </c>
      <c r="AI21" s="344">
        <f t="shared" si="44"/>
        <v>0</v>
      </c>
      <c r="AJ21" s="2006">
        <f>1468.6240823662/1000</f>
        <v>1.4686240823661998</v>
      </c>
      <c r="AK21" s="2005">
        <f>0/(24*AK$2)</f>
        <v>0</v>
      </c>
      <c r="AL21" s="2171">
        <f t="shared" si="45"/>
        <v>1.4608143449521684</v>
      </c>
      <c r="AM21" s="2171">
        <f t="shared" si="46"/>
        <v>0</v>
      </c>
      <c r="AN21" s="344">
        <f t="shared" si="47"/>
        <v>1.4200855009013591</v>
      </c>
      <c r="AO21" s="344">
        <f t="shared" si="48"/>
        <v>0</v>
      </c>
      <c r="AP21" s="2006">
        <f>1209.71/1000</f>
        <v>1.2097100000000001</v>
      </c>
      <c r="AQ21" s="2005">
        <f>0/(24*AQ$2)</f>
        <v>0</v>
      </c>
      <c r="AR21" s="344">
        <f t="shared" si="49"/>
        <v>1.3987729501564501</v>
      </c>
      <c r="AS21" s="344">
        <f t="shared" si="50"/>
        <v>0</v>
      </c>
      <c r="AT21" s="2006">
        <f>1392/1000</f>
        <v>1.3919999999999999</v>
      </c>
      <c r="AU21" s="2005">
        <f>0/(24*AU$2)</f>
        <v>0</v>
      </c>
      <c r="AV21" s="344">
        <f t="shared" si="51"/>
        <v>1.3982051579277657</v>
      </c>
      <c r="AW21" s="344">
        <f t="shared" si="52"/>
        <v>0</v>
      </c>
      <c r="AX21" s="2006">
        <v>1.2097066617929269</v>
      </c>
      <c r="AY21" s="2005">
        <f>0/(24*AY$2)</f>
        <v>0</v>
      </c>
      <c r="AZ21" s="2171">
        <f t="shared" si="53"/>
        <v>1.2664212946175639</v>
      </c>
      <c r="BA21" s="2171">
        <f t="shared" si="54"/>
        <v>0</v>
      </c>
      <c r="BB21" s="493">
        <f t="shared" si="55"/>
        <v>1.3646859134680236</v>
      </c>
      <c r="BC21" s="493">
        <f t="shared" si="55"/>
        <v>0</v>
      </c>
      <c r="BD21" s="344">
        <f t="shared" si="56"/>
        <v>1.382195696612204</v>
      </c>
      <c r="BE21" s="344">
        <f t="shared" si="57"/>
        <v>0</v>
      </c>
      <c r="BF21" s="1202"/>
      <c r="BG21" s="1202"/>
      <c r="BH21" s="26"/>
      <c r="BI21" s="26">
        <f t="shared" si="30"/>
        <v>15.180324258001043</v>
      </c>
      <c r="BJ21" s="26">
        <f t="shared" si="31"/>
        <v>0</v>
      </c>
    </row>
    <row r="22" spans="1:62" ht="18" x14ac:dyDescent="0.35">
      <c r="A22" s="2158"/>
      <c r="B22" s="2170" t="s">
        <v>101</v>
      </c>
      <c r="C22" s="49" t="s">
        <v>560</v>
      </c>
      <c r="D22" s="2006">
        <v>0</v>
      </c>
      <c r="E22" s="2005">
        <f>0/(24*E$2)</f>
        <v>0</v>
      </c>
      <c r="F22" s="2006">
        <v>0</v>
      </c>
      <c r="G22" s="2005">
        <f>0/(24*G$2)</f>
        <v>0</v>
      </c>
      <c r="H22" s="345">
        <f t="shared" si="34"/>
        <v>0</v>
      </c>
      <c r="I22" s="206">
        <f t="shared" si="34"/>
        <v>0</v>
      </c>
      <c r="J22" s="2006">
        <v>0</v>
      </c>
      <c r="K22" s="2005">
        <f>0/(24*K$2)</f>
        <v>0</v>
      </c>
      <c r="L22" s="2171">
        <f t="shared" si="35"/>
        <v>0</v>
      </c>
      <c r="M22" s="2171">
        <f t="shared" si="35"/>
        <v>0</v>
      </c>
      <c r="N22" s="2006">
        <v>0</v>
      </c>
      <c r="O22" s="2005">
        <f>0/(24*O$2)</f>
        <v>0</v>
      </c>
      <c r="P22" s="344">
        <f t="shared" si="36"/>
        <v>0</v>
      </c>
      <c r="Q22" s="344">
        <f t="shared" si="36"/>
        <v>0</v>
      </c>
      <c r="R22" s="2006">
        <v>0</v>
      </c>
      <c r="S22" s="2005">
        <f>0/(24*S$2)</f>
        <v>0</v>
      </c>
      <c r="T22" s="344">
        <f t="shared" si="37"/>
        <v>0</v>
      </c>
      <c r="U22" s="344">
        <f t="shared" si="38"/>
        <v>0</v>
      </c>
      <c r="V22" s="2006">
        <v>0</v>
      </c>
      <c r="W22" s="2005">
        <f>0/(24*W$2)</f>
        <v>0</v>
      </c>
      <c r="X22" s="2171">
        <f t="shared" si="58"/>
        <v>0</v>
      </c>
      <c r="Y22" s="2171">
        <f t="shared" si="59"/>
        <v>0</v>
      </c>
      <c r="Z22" s="493">
        <f t="shared" si="40"/>
        <v>0</v>
      </c>
      <c r="AA22" s="493">
        <f t="shared" si="40"/>
        <v>0</v>
      </c>
      <c r="AB22" s="2006">
        <v>0</v>
      </c>
      <c r="AC22" s="2005">
        <f>0/(24*AC$2)</f>
        <v>0</v>
      </c>
      <c r="AD22" s="344">
        <f t="shared" si="41"/>
        <v>0</v>
      </c>
      <c r="AE22" s="344">
        <f t="shared" si="42"/>
        <v>0</v>
      </c>
      <c r="AF22" s="2006">
        <v>0</v>
      </c>
      <c r="AG22" s="2005">
        <f>0/(24*AG$2)</f>
        <v>0</v>
      </c>
      <c r="AH22" s="344">
        <f t="shared" si="43"/>
        <v>0</v>
      </c>
      <c r="AI22" s="344">
        <f t="shared" si="44"/>
        <v>0</v>
      </c>
      <c r="AJ22" s="2006">
        <v>0</v>
      </c>
      <c r="AK22" s="2005">
        <f>0/(24*AK$2)</f>
        <v>0</v>
      </c>
      <c r="AL22" s="2171">
        <f t="shared" si="45"/>
        <v>0</v>
      </c>
      <c r="AM22" s="2171">
        <f t="shared" si="46"/>
        <v>0</v>
      </c>
      <c r="AN22" s="344">
        <f t="shared" si="47"/>
        <v>0</v>
      </c>
      <c r="AO22" s="344">
        <f t="shared" si="48"/>
        <v>0</v>
      </c>
      <c r="AP22" s="2006">
        <v>0</v>
      </c>
      <c r="AQ22" s="2005">
        <f>0/(24*AQ$2)</f>
        <v>0</v>
      </c>
      <c r="AR22" s="344">
        <f t="shared" si="49"/>
        <v>0</v>
      </c>
      <c r="AS22" s="344">
        <f t="shared" si="50"/>
        <v>0</v>
      </c>
      <c r="AT22" s="2006">
        <v>0</v>
      </c>
      <c r="AU22" s="2005">
        <f>0/(24*AU$2)</f>
        <v>0</v>
      </c>
      <c r="AV22" s="344">
        <f t="shared" si="51"/>
        <v>0</v>
      </c>
      <c r="AW22" s="344">
        <f t="shared" si="52"/>
        <v>0</v>
      </c>
      <c r="AX22" s="2006">
        <v>0</v>
      </c>
      <c r="AY22" s="2005">
        <v>0</v>
      </c>
      <c r="AZ22" s="2171">
        <f t="shared" si="53"/>
        <v>0</v>
      </c>
      <c r="BA22" s="2171">
        <f t="shared" si="54"/>
        <v>0</v>
      </c>
      <c r="BB22" s="493">
        <f t="shared" si="55"/>
        <v>0</v>
      </c>
      <c r="BC22" s="493">
        <f t="shared" si="55"/>
        <v>0</v>
      </c>
      <c r="BD22" s="344">
        <f t="shared" si="56"/>
        <v>0</v>
      </c>
      <c r="BE22" s="344">
        <f t="shared" si="57"/>
        <v>0</v>
      </c>
      <c r="BF22" s="1202"/>
      <c r="BG22" s="1202"/>
      <c r="BH22" s="26"/>
      <c r="BI22" s="26">
        <f t="shared" si="30"/>
        <v>0</v>
      </c>
      <c r="BJ22" s="26">
        <f t="shared" si="31"/>
        <v>0</v>
      </c>
    </row>
    <row r="23" spans="1:62" ht="18" x14ac:dyDescent="0.35">
      <c r="A23" s="2158"/>
      <c r="B23" s="2170" t="s">
        <v>101</v>
      </c>
      <c r="C23" s="49" t="s">
        <v>50</v>
      </c>
      <c r="D23" s="732">
        <v>0</v>
      </c>
      <c r="E23" s="2004">
        <v>0</v>
      </c>
      <c r="F23" s="732">
        <v>0</v>
      </c>
      <c r="G23" s="2004">
        <v>0</v>
      </c>
      <c r="H23" s="345">
        <f>+D23+F23</f>
        <v>0</v>
      </c>
      <c r="I23" s="206">
        <f>+E23+G23</f>
        <v>0</v>
      </c>
      <c r="J23" s="732">
        <v>0</v>
      </c>
      <c r="K23" s="2004">
        <v>0</v>
      </c>
      <c r="L23" s="400">
        <f>+D23+F23+J23</f>
        <v>0</v>
      </c>
      <c r="M23" s="400">
        <f>+E23+G23+K23</f>
        <v>0</v>
      </c>
      <c r="N23" s="732">
        <v>0</v>
      </c>
      <c r="O23" s="2004">
        <v>0</v>
      </c>
      <c r="P23" s="2100">
        <f>+L23+N23</f>
        <v>0</v>
      </c>
      <c r="Q23" s="2100">
        <f>+M23+O23</f>
        <v>0</v>
      </c>
      <c r="R23" s="732">
        <v>0</v>
      </c>
      <c r="S23" s="2004">
        <v>0</v>
      </c>
      <c r="T23" s="2100">
        <f>+P23+R23</f>
        <v>0</v>
      </c>
      <c r="U23" s="2100">
        <f>+Q23+S23</f>
        <v>0</v>
      </c>
      <c r="V23" s="732">
        <v>0</v>
      </c>
      <c r="W23" s="2004">
        <v>0</v>
      </c>
      <c r="X23" s="400">
        <f>N23+R23+V23</f>
        <v>0</v>
      </c>
      <c r="Y23" s="400">
        <f>O23+S23+W23</f>
        <v>0</v>
      </c>
      <c r="Z23" s="492">
        <f>+T23+V23</f>
        <v>0</v>
      </c>
      <c r="AA23" s="492">
        <f>+U23+W23</f>
        <v>0</v>
      </c>
      <c r="AB23" s="732">
        <v>0</v>
      </c>
      <c r="AC23" s="2004">
        <v>0</v>
      </c>
      <c r="AD23" s="2100">
        <f>+Z23+AB23</f>
        <v>0</v>
      </c>
      <c r="AE23" s="2100">
        <f>+AA23+AC23</f>
        <v>0</v>
      </c>
      <c r="AF23" s="732">
        <v>0</v>
      </c>
      <c r="AG23" s="2004">
        <v>0</v>
      </c>
      <c r="AH23" s="2100">
        <f>+AD23+AF23</f>
        <v>0</v>
      </c>
      <c r="AI23" s="2100">
        <f>+AE23+AG23</f>
        <v>0</v>
      </c>
      <c r="AJ23" s="732">
        <v>0</v>
      </c>
      <c r="AK23" s="2004">
        <v>0</v>
      </c>
      <c r="AL23" s="400">
        <f>AB23+AF23+AJ23</f>
        <v>0</v>
      </c>
      <c r="AM23" s="400">
        <f>AC23+AG23+AK23</f>
        <v>0</v>
      </c>
      <c r="AN23" s="2100">
        <f>+AH23+AJ23</f>
        <v>0</v>
      </c>
      <c r="AO23" s="2100">
        <f>+AI23+AK23</f>
        <v>0</v>
      </c>
      <c r="AP23" s="732">
        <v>0</v>
      </c>
      <c r="AQ23" s="2004">
        <v>0</v>
      </c>
      <c r="AR23" s="2100">
        <f>+AN23+AP23</f>
        <v>0</v>
      </c>
      <c r="AS23" s="2100">
        <f>+AO23+AQ23</f>
        <v>0</v>
      </c>
      <c r="AT23" s="732">
        <v>0</v>
      </c>
      <c r="AU23" s="2004">
        <v>0</v>
      </c>
      <c r="AV23" s="2100">
        <f>+AR23+AT23</f>
        <v>0</v>
      </c>
      <c r="AW23" s="2100">
        <f>+AS23+AU23</f>
        <v>0</v>
      </c>
      <c r="AX23" s="732">
        <v>0</v>
      </c>
      <c r="AY23" s="2004">
        <v>0</v>
      </c>
      <c r="AZ23" s="400">
        <f>AP23+AT23+AX23</f>
        <v>0</v>
      </c>
      <c r="BA23" s="400">
        <f>AQ23+AU23+AY23</f>
        <v>0</v>
      </c>
      <c r="BB23" s="492">
        <f>+AL23+AZ23</f>
        <v>0</v>
      </c>
      <c r="BC23" s="492">
        <f>+AM23+BA23</f>
        <v>0</v>
      </c>
      <c r="BD23" s="2100">
        <f>+AV23+AX23</f>
        <v>0</v>
      </c>
      <c r="BE23" s="2100">
        <f>+AW23+AY23</f>
        <v>0</v>
      </c>
      <c r="BF23" s="1202"/>
      <c r="BG23" s="1202"/>
      <c r="BH23" s="26"/>
      <c r="BI23" s="26">
        <f t="shared" si="30"/>
        <v>0</v>
      </c>
      <c r="BJ23" s="26">
        <f t="shared" si="31"/>
        <v>0</v>
      </c>
    </row>
    <row r="24" spans="1:62" ht="18" x14ac:dyDescent="0.35">
      <c r="A24" s="2169"/>
      <c r="B24" s="2172" t="s">
        <v>21</v>
      </c>
      <c r="C24" s="836" t="s">
        <v>560</v>
      </c>
      <c r="D24" s="2006">
        <f t="shared" ref="D24:AA24" si="60">SUM(D18:D22)</f>
        <v>41.539999999999971</v>
      </c>
      <c r="E24" s="2005">
        <f t="shared" si="60"/>
        <v>33.058472222222221</v>
      </c>
      <c r="F24" s="2006">
        <f t="shared" ref="F24:G24" si="61">SUM(F18:F22)</f>
        <v>41.54</v>
      </c>
      <c r="G24" s="2005">
        <f t="shared" si="61"/>
        <v>36.799583333333338</v>
      </c>
      <c r="H24" s="2008">
        <f t="shared" si="60"/>
        <v>41.539999999999992</v>
      </c>
      <c r="I24" s="2772">
        <f t="shared" si="60"/>
        <v>34.959692622950818</v>
      </c>
      <c r="J24" s="2006">
        <f t="shared" ref="J24:K24" si="62">SUM(J18:J22)</f>
        <v>41.539999999999971</v>
      </c>
      <c r="K24" s="2005">
        <f t="shared" si="62"/>
        <v>38.730222222222224</v>
      </c>
      <c r="L24" s="2173">
        <f t="shared" si="60"/>
        <v>41.539999999999978</v>
      </c>
      <c r="M24" s="2009">
        <f t="shared" si="60"/>
        <v>36.202724358974365</v>
      </c>
      <c r="N24" s="2006">
        <f t="shared" ref="N24:O24" si="63">SUM(N18:N22)</f>
        <v>41.539999999999992</v>
      </c>
      <c r="O24" s="2005">
        <f t="shared" si="63"/>
        <v>40.520120967741931</v>
      </c>
      <c r="P24" s="344">
        <f t="shared" si="60"/>
        <v>41.539999999999985</v>
      </c>
      <c r="Q24" s="344">
        <f t="shared" si="60"/>
        <v>37.29976775956284</v>
      </c>
      <c r="R24" s="2006">
        <f t="shared" ref="R24:S24" si="64">SUM(R18:R22)</f>
        <v>41.539999999999992</v>
      </c>
      <c r="S24" s="2005">
        <f t="shared" si="64"/>
        <v>39.503709677419351</v>
      </c>
      <c r="T24" s="344">
        <f t="shared" ref="T24:W24" si="65">SUM(T18:T22)</f>
        <v>41.539999999999992</v>
      </c>
      <c r="U24" s="344">
        <f t="shared" si="65"/>
        <v>37.746318082788676</v>
      </c>
      <c r="V24" s="2006">
        <f t="shared" si="65"/>
        <v>27.693333333333332</v>
      </c>
      <c r="W24" s="2005">
        <f t="shared" si="65"/>
        <v>38.531013888888893</v>
      </c>
      <c r="X24" s="2171">
        <f>SUM(X18:X22)</f>
        <v>37.024782608695645</v>
      </c>
      <c r="Y24" s="2171">
        <f>SUM(Y18:Y22)</f>
        <v>39.529012681159422</v>
      </c>
      <c r="Z24" s="2183">
        <f t="shared" si="60"/>
        <v>39.270054644808738</v>
      </c>
      <c r="AA24" s="2183">
        <f t="shared" si="60"/>
        <v>37.874956739526411</v>
      </c>
      <c r="AB24" s="2006">
        <f>SUM(AB18:AB23)</f>
        <v>41.54</v>
      </c>
      <c r="AC24" s="2005">
        <f t="shared" ref="AC24" si="66">SUM(AC18:AC22)</f>
        <v>29.521088709677418</v>
      </c>
      <c r="AD24" s="344">
        <f t="shared" ref="AD24:AE24" si="67">SUM(AD18:AD22)</f>
        <v>39.598878504672896</v>
      </c>
      <c r="AE24" s="344">
        <f t="shared" si="67"/>
        <v>36.664816978193151</v>
      </c>
      <c r="AF24" s="2006">
        <f>SUM(AF18:AF23)</f>
        <v>41.539999999999971</v>
      </c>
      <c r="AG24" s="2005">
        <f t="shared" ref="AG24" si="68">SUM(AG18:AG22)</f>
        <v>38.150486111111107</v>
      </c>
      <c r="AH24" s="344">
        <f t="shared" ref="AH24:AI24" si="69">SUM(AH18:AH22)</f>
        <v>39.837540983606551</v>
      </c>
      <c r="AI24" s="344">
        <f t="shared" si="69"/>
        <v>36.847481215846997</v>
      </c>
      <c r="AJ24" s="2006">
        <f>SUM(AJ18:AJ23)</f>
        <v>41.54</v>
      </c>
      <c r="AK24" s="2005">
        <f t="shared" ref="AK24" si="70">SUM(AK18:AK22)</f>
        <v>38.268454301075266</v>
      </c>
      <c r="AL24" s="2171">
        <f>SUM(AL18:AL22)</f>
        <v>41.539999999999992</v>
      </c>
      <c r="AM24" s="2171">
        <f>SUM(AM18:AM22)</f>
        <v>35.282504528985513</v>
      </c>
      <c r="AN24" s="344">
        <f t="shared" ref="AN24:AO24" si="71">SUM(AN18:AN22)</f>
        <v>40.029454545454534</v>
      </c>
      <c r="AO24" s="344">
        <f t="shared" si="71"/>
        <v>37.007663636363638</v>
      </c>
      <c r="AP24" s="5423">
        <f>SUM(AP18:AP23)</f>
        <v>41.540003338207072</v>
      </c>
      <c r="AQ24" s="2005">
        <f t="shared" ref="AQ24" si="72">SUM(AQ18:AQ22)</f>
        <v>35.000094086021505</v>
      </c>
      <c r="AR24" s="344">
        <f t="shared" ref="AR24:AS24" si="73">SUM(AR18:AR22)</f>
        <v>40.182483998315085</v>
      </c>
      <c r="AS24" s="344">
        <f t="shared" si="73"/>
        <v>36.804282407407413</v>
      </c>
      <c r="AT24" s="2006">
        <f>SUM(AT18:AT23)</f>
        <v>41.54035761500068</v>
      </c>
      <c r="AU24" s="1576">
        <f t="shared" ref="AU24" si="74">SUM(AU18:AU22)</f>
        <v>24.414999999999999</v>
      </c>
      <c r="AV24" s="344">
        <f t="shared" ref="AV24:AW24" si="75">SUM(AV18:AV22)</f>
        <v>40.296317714683937</v>
      </c>
      <c r="AW24" s="344">
        <f t="shared" si="75"/>
        <v>35.765659930139719</v>
      </c>
      <c r="AX24" s="2006">
        <f>SUM(AX18:AX23)</f>
        <v>41.54</v>
      </c>
      <c r="AY24" s="1576">
        <f t="shared" ref="AY24" si="76">SUM(AY18:AY22)</f>
        <v>37.272836021505377</v>
      </c>
      <c r="AZ24" s="2171">
        <f>SUM(AZ18:AZ22)</f>
        <v>41.540112407827088</v>
      </c>
      <c r="BA24" s="2171">
        <f>SUM(BA18:BA22)</f>
        <v>32.48978703703704</v>
      </c>
      <c r="BB24" s="2183">
        <f t="shared" ref="BB24:BC24" si="77">SUM(BB18:BB22)</f>
        <v>41.540055586288119</v>
      </c>
      <c r="BC24" s="2183">
        <f t="shared" si="77"/>
        <v>33.901490384615386</v>
      </c>
      <c r="BD24" s="344">
        <f t="shared" ref="BD24:BE24" si="78">SUM(BD18:BD22)</f>
        <v>40.401945525217634</v>
      </c>
      <c r="BE24" s="344">
        <f t="shared" si="78"/>
        <v>35.893666666666668</v>
      </c>
      <c r="BF24" s="1202">
        <v>1000</v>
      </c>
      <c r="BG24" s="1202"/>
      <c r="BH24" s="26"/>
      <c r="BI24" s="26">
        <f t="shared" si="30"/>
        <v>444.23174876132327</v>
      </c>
      <c r="BJ24" s="26">
        <f t="shared" si="31"/>
        <v>393.87741487455196</v>
      </c>
    </row>
    <row r="25" spans="1:62" ht="18" x14ac:dyDescent="0.35">
      <c r="A25" s="2169"/>
      <c r="B25" s="1448" t="s">
        <v>102</v>
      </c>
      <c r="C25" s="1328"/>
      <c r="D25" s="2174"/>
      <c r="E25" s="2175"/>
      <c r="F25" s="2174"/>
      <c r="G25" s="2175"/>
      <c r="H25" s="3085"/>
      <c r="I25" s="3086"/>
      <c r="J25" s="2174"/>
      <c r="K25" s="2175"/>
      <c r="L25" s="2176"/>
      <c r="M25" s="2175"/>
      <c r="N25" s="2174"/>
      <c r="O25" s="2175"/>
      <c r="P25" s="2177"/>
      <c r="Q25" s="2177"/>
      <c r="R25" s="2174"/>
      <c r="S25" s="2175"/>
      <c r="T25" s="2177"/>
      <c r="U25" s="2177"/>
      <c r="V25" s="2174"/>
      <c r="W25" s="2175"/>
      <c r="X25" s="2176"/>
      <c r="Y25" s="2175"/>
      <c r="Z25" s="2177"/>
      <c r="AA25" s="2177"/>
      <c r="AB25" s="2174"/>
      <c r="AC25" s="2175"/>
      <c r="AD25" s="2177"/>
      <c r="AE25" s="2177"/>
      <c r="AF25" s="2174"/>
      <c r="AG25" s="2175"/>
      <c r="AH25" s="2177"/>
      <c r="AI25" s="2177"/>
      <c r="AJ25" s="2174"/>
      <c r="AK25" s="2175"/>
      <c r="AL25" s="2176"/>
      <c r="AM25" s="2175"/>
      <c r="AN25" s="2177"/>
      <c r="AO25" s="2177"/>
      <c r="AP25" s="2174"/>
      <c r="AQ25" s="2175"/>
      <c r="AR25" s="2177"/>
      <c r="AS25" s="2177"/>
      <c r="AT25" s="2174"/>
      <c r="AU25" s="2175"/>
      <c r="AV25" s="2177"/>
      <c r="AW25" s="2177"/>
      <c r="AX25" s="2174"/>
      <c r="AY25" s="2175"/>
      <c r="AZ25" s="2176"/>
      <c r="BA25" s="2175"/>
      <c r="BB25" s="2177"/>
      <c r="BC25" s="2177"/>
      <c r="BD25" s="2177"/>
      <c r="BE25" s="2177"/>
      <c r="BF25" s="1202"/>
      <c r="BG25" s="1202"/>
      <c r="BH25" s="26"/>
      <c r="BI25" s="26">
        <f t="shared" si="30"/>
        <v>0</v>
      </c>
      <c r="BJ25" s="26">
        <f t="shared" si="31"/>
        <v>0</v>
      </c>
    </row>
    <row r="26" spans="1:62" ht="18" x14ac:dyDescent="0.35">
      <c r="A26" s="2158"/>
      <c r="B26" s="2170" t="s">
        <v>15</v>
      </c>
      <c r="C26" s="49" t="s">
        <v>560</v>
      </c>
      <c r="D26" s="1490">
        <v>17</v>
      </c>
      <c r="E26" s="2005">
        <f>4100/(24*E$2)</f>
        <v>5.6944444444444446</v>
      </c>
      <c r="F26" s="1490">
        <v>17</v>
      </c>
      <c r="G26" s="2005">
        <f>4100/(24*G$2)</f>
        <v>5.510752688172043</v>
      </c>
      <c r="H26" s="2008">
        <f t="shared" ref="H26:I28" si="79">+((D26*D$2)+(F26*F$2))/H$2</f>
        <v>17</v>
      </c>
      <c r="I26" s="2772">
        <f t="shared" si="79"/>
        <v>5.6010928961748636</v>
      </c>
      <c r="J26" s="1490">
        <v>17</v>
      </c>
      <c r="K26" s="2005">
        <f>4100/(24*K$2)</f>
        <v>5.6944444444444446</v>
      </c>
      <c r="L26" s="2171">
        <f t="shared" ref="L26:M31" si="80">+((D26*D$2)+(F26*F$2)+(J26*J$2))/L$2</f>
        <v>17</v>
      </c>
      <c r="M26" s="2171">
        <f>+((E26*E$2)+(G26*G$2)+(K26*K$2))/M$2</f>
        <v>5.6318681318681323</v>
      </c>
      <c r="N26" s="1490">
        <v>17</v>
      </c>
      <c r="O26" s="2005">
        <f>4100/(24*O$2)</f>
        <v>5.510752688172043</v>
      </c>
      <c r="P26" s="344">
        <f>+((L26*L$2)+(N26*N$2))/P$2</f>
        <v>17</v>
      </c>
      <c r="Q26" s="344">
        <f>+((M26*M$2)+(O26*O$2))/Q$2</f>
        <v>5.6010928961748636</v>
      </c>
      <c r="R26" s="1490">
        <v>17</v>
      </c>
      <c r="S26" s="2005">
        <f>4100/(24*S$2)</f>
        <v>5.510752688172043</v>
      </c>
      <c r="T26" s="344">
        <f>+((P26*P$2)+(R26*R$2))/T$2</f>
        <v>17</v>
      </c>
      <c r="U26" s="344">
        <f>+((Q26*Q$2)+(S26*S$2))/U$2</f>
        <v>5.582788671023966</v>
      </c>
      <c r="V26" s="1490">
        <f>10333.3333333333/1000</f>
        <v>10.3333333333333</v>
      </c>
      <c r="W26" s="2005">
        <f>4100/(24*W$2)</f>
        <v>5.6944444444444446</v>
      </c>
      <c r="X26" s="2171">
        <f>(N26*N$2+R26*R$2+V26*V$2)/X$2</f>
        <v>14.826086956521729</v>
      </c>
      <c r="Y26" s="2171">
        <f>(O26*O$2+S26*S$2+W26*W$2)/Y$2</f>
        <v>5.5706521739130439</v>
      </c>
      <c r="Z26" s="493">
        <f>(L26*L$2+X26*X$2)/Z$2</f>
        <v>15.907103825136607</v>
      </c>
      <c r="AA26" s="493">
        <f>(M26*M$2+Y26*Y$2)/AA$2</f>
        <v>5.6010928961748636</v>
      </c>
      <c r="AB26" s="1490">
        <v>17</v>
      </c>
      <c r="AC26" s="2005">
        <f>4100/(24*AC$2)</f>
        <v>5.510752688172043</v>
      </c>
      <c r="AD26" s="344">
        <f>+((Z26*Z$2)+(AB26*AB$2))/AD$2</f>
        <v>16.065420560747658</v>
      </c>
      <c r="AE26" s="344">
        <f>+((AA26*AA$2)+(AC26*AC$2))/AE$2</f>
        <v>5.5880062305295946</v>
      </c>
      <c r="AF26" s="1490">
        <v>17</v>
      </c>
      <c r="AG26" s="2005">
        <f>4100/(24*AG$2)</f>
        <v>5.6944444444444446</v>
      </c>
      <c r="AH26" s="344">
        <f>+((AD26*AD$2)+(AF26*AF$2))/AH$2</f>
        <v>16.180327868852455</v>
      </c>
      <c r="AI26" s="344">
        <f>+((AE26*AE$2)+(AG26*AG$2))/AI$2</f>
        <v>5.6010928961748627</v>
      </c>
      <c r="AJ26" s="1490">
        <v>17</v>
      </c>
      <c r="AK26" s="2005">
        <f>4100/(24*AK$2)</f>
        <v>5.510752688172043</v>
      </c>
      <c r="AL26" s="2171">
        <f>(AB26*AB$2+AF26*AF$2+AJ26*AJ$2)/AL$2</f>
        <v>17</v>
      </c>
      <c r="AM26" s="2171">
        <f>(AC26*AC$2+AG26*AG$2+AK26*AK$2)/AM$2</f>
        <v>5.5706521739130439</v>
      </c>
      <c r="AN26" s="344">
        <f>+((AH26*AH$2)+(AJ26*AJ$2))/AN$2</f>
        <v>16.27272727272727</v>
      </c>
      <c r="AO26" s="344">
        <f>+((AI26*AI$2)+(AK26*AK$2))/AO$2</f>
        <v>5.5909090909090899</v>
      </c>
      <c r="AP26" s="1490">
        <v>17</v>
      </c>
      <c r="AQ26" s="2005">
        <f>4100/(24*AQ$2)</f>
        <v>5.510752688172043</v>
      </c>
      <c r="AR26" s="344">
        <f>+((AN26*AN$2)+(AP26*AP$2))/AR$2</f>
        <v>16.346405228758169</v>
      </c>
      <c r="AS26" s="344">
        <f>+((AO26*AO$2)+(AQ26*AQ$2))/AS$2</f>
        <v>5.5827886710239643</v>
      </c>
      <c r="AT26" s="1490">
        <v>17</v>
      </c>
      <c r="AU26" s="2005">
        <f>4100/(24*AU$2)</f>
        <v>6.1011904761904763</v>
      </c>
      <c r="AV26" s="344">
        <f>+((AR26*AR$2)+(AT26*AT$2))/AV$2</f>
        <v>16.401197604790418</v>
      </c>
      <c r="AW26" s="344">
        <f>+((AS26*AS$2)+(AU26*AU$2))/AW$2</f>
        <v>5.6262475049900189</v>
      </c>
      <c r="AX26" s="1490">
        <v>17</v>
      </c>
      <c r="AY26" s="2005">
        <f>4100/(24*AY$2)</f>
        <v>5.510752688172043</v>
      </c>
      <c r="AZ26" s="2171">
        <f>(AP26*AP$2+AT26*AT$2+AX26*AX$2)/AZ$2</f>
        <v>17</v>
      </c>
      <c r="BA26" s="2171">
        <f>(AQ26*AQ$2+AU26*AU$2+AY26*AY$2)/BA$2</f>
        <v>5.6944444444444446</v>
      </c>
      <c r="BB26" s="493">
        <f t="shared" ref="BB26:BC29" si="81">(AL26*AL$2+AZ26*AZ$2)/BB$2</f>
        <v>17</v>
      </c>
      <c r="BC26" s="493">
        <f t="shared" si="81"/>
        <v>5.6318681318681323</v>
      </c>
      <c r="BD26" s="344">
        <f>+((AV26*AV$2)+(AX26*AX$2))/BD$2</f>
        <v>16.452054794520549</v>
      </c>
      <c r="BE26" s="344">
        <f>+((AW26*AW$2)+(AY26*AY$2))/BE$2</f>
        <v>5.616438356164382</v>
      </c>
      <c r="BF26" s="1202"/>
      <c r="BG26" s="1202"/>
      <c r="BH26" s="26"/>
      <c r="BI26" s="26">
        <f t="shared" si="30"/>
        <v>180.88127853881275</v>
      </c>
      <c r="BJ26" s="26">
        <f t="shared" si="31"/>
        <v>61.837798715008162</v>
      </c>
    </row>
    <row r="27" spans="1:62" ht="18" x14ac:dyDescent="0.35">
      <c r="A27" s="2158"/>
      <c r="B27" s="2170" t="s">
        <v>57</v>
      </c>
      <c r="C27" s="49" t="s">
        <v>560</v>
      </c>
      <c r="D27" s="1490">
        <f>11500/1000</f>
        <v>11.5</v>
      </c>
      <c r="E27" s="2005">
        <f>5823.76/(24*E$2)</f>
        <v>8.0885555555555566</v>
      </c>
      <c r="F27" s="1490">
        <f>11500/1000</f>
        <v>11.5</v>
      </c>
      <c r="G27" s="2005">
        <f>6733.2/(24*G$2)</f>
        <v>9.0499999999999989</v>
      </c>
      <c r="H27" s="2008">
        <f t="shared" si="79"/>
        <v>11.5</v>
      </c>
      <c r="I27" s="2772">
        <f t="shared" si="79"/>
        <v>8.5771584699453562</v>
      </c>
      <c r="J27" s="1490">
        <f>11500/1000</f>
        <v>11.5</v>
      </c>
      <c r="K27" s="2005">
        <f>6778.16/(24*K$2)</f>
        <v>9.4141111111111115</v>
      </c>
      <c r="L27" s="2171">
        <f t="shared" si="80"/>
        <v>11.5</v>
      </c>
      <c r="M27" s="2171">
        <f>+((E27*E$2)+(G27*G$2)+(K27*K$2))/M$2</f>
        <v>8.8530769230769248</v>
      </c>
      <c r="N27" s="1490">
        <f>11500/1000</f>
        <v>11.5</v>
      </c>
      <c r="O27" s="2005">
        <f>7110.32/(24*O$2)</f>
        <v>9.5568817204301073</v>
      </c>
      <c r="P27" s="344">
        <f>+((L27*L$2)+(N27*N$2))/P$2</f>
        <v>11.5</v>
      </c>
      <c r="Q27" s="344">
        <f>+((M27*M$2)+(O27*O$2))/Q$2</f>
        <v>9.0319125683060122</v>
      </c>
      <c r="R27" s="1490">
        <f>11500/1000</f>
        <v>11.5</v>
      </c>
      <c r="S27" s="2005">
        <f>7037.44/(24*S$2)</f>
        <v>9.4589247311827958</v>
      </c>
      <c r="T27" s="344">
        <f>+((P27*P$2)+(R27*R$2))/T$2</f>
        <v>11.5</v>
      </c>
      <c r="U27" s="344">
        <f>+((Q27*Q$2)+(S27*S$2))/U$2</f>
        <v>9.1184313725490203</v>
      </c>
      <c r="V27" s="1490">
        <f>7833.33333333333/1000</f>
        <v>7.8333333333333304</v>
      </c>
      <c r="W27" s="2005">
        <f>6829.28/(24*W$2)</f>
        <v>9.4851111111111113</v>
      </c>
      <c r="X27" s="2171">
        <f t="shared" ref="X27:X30" si="82">(N27*N$2+R27*R$2+V27*V$2)/X$2</f>
        <v>10.304347826086955</v>
      </c>
      <c r="Y27" s="2171">
        <f t="shared" ref="Y27:Y28" si="83">(O27*O$2+S27*S$2+W27*W$2)/Y$2</f>
        <v>9.5004710144927529</v>
      </c>
      <c r="Z27" s="493">
        <f t="shared" ref="Z27:Z28" si="84">(L27*L$2+X27*X$2)/Z$2</f>
        <v>10.898907103825136</v>
      </c>
      <c r="AA27" s="493">
        <f t="shared" ref="AA27:AA28" si="85">(M27*M$2+Y27*Y$2)/AA$2</f>
        <v>9.1785428051001823</v>
      </c>
      <c r="AB27" s="1490">
        <v>11.5</v>
      </c>
      <c r="AC27" s="2005">
        <f>5776.48/(24*AC$2)</f>
        <v>7.764086021505376</v>
      </c>
      <c r="AD27" s="344">
        <f>+((Z27*Z$2)+(AB27*AB$2))/AD$2</f>
        <v>10.985981308411215</v>
      </c>
      <c r="AE27" s="344">
        <f>+((AA27*AA$2)+(AC27*AC$2))/AE$2</f>
        <v>8.9736448598130849</v>
      </c>
      <c r="AF27" s="1490">
        <v>11.5</v>
      </c>
      <c r="AG27" s="2005">
        <f>6728.32/(24*AG$2)</f>
        <v>9.3448888888888888</v>
      </c>
      <c r="AH27" s="344">
        <f>+((AD27*AD$2)+(AF27*AF$2))/AH$2</f>
        <v>11.049180327868852</v>
      </c>
      <c r="AI27" s="344">
        <f>+((AE27*AE$2)+(AG27*AG$2))/AI$2</f>
        <v>9.0192896174863399</v>
      </c>
      <c r="AJ27" s="1490">
        <v>11.5</v>
      </c>
      <c r="AK27" s="2005">
        <f>7038.64/(24*AK$2)</f>
        <v>9.4605376344086025</v>
      </c>
      <c r="AL27" s="2171">
        <f t="shared" ref="AL27:AL31" si="86">(AB27*AB$2+AF27*AF$2+AJ27*AJ$2)/AL$2</f>
        <v>11.5</v>
      </c>
      <c r="AM27" s="2171">
        <f t="shared" ref="AM27:AM28" si="87">(AC27*AC$2+AG27*AG$2+AK27*AK$2)/AM$2</f>
        <v>8.8511956521739119</v>
      </c>
      <c r="AN27" s="344">
        <f>+((AH27*AH$2)+(AJ27*AJ$2))/AN$2</f>
        <v>11.1</v>
      </c>
      <c r="AO27" s="344">
        <f>+((AI27*AI$2)+(AK27*AK$2))/AO$2</f>
        <v>9.0690303030303046</v>
      </c>
      <c r="AP27" s="1490">
        <v>11.5</v>
      </c>
      <c r="AQ27" s="2005">
        <f>6952.24/(24*AQ$2)</f>
        <v>9.344408602150537</v>
      </c>
      <c r="AR27" s="344">
        <f>+((AN27*AN$2)+(AP27*AP$2))/AR$2</f>
        <v>11.140522875816993</v>
      </c>
      <c r="AS27" s="344">
        <f>+((AO27*AO$2)+(AQ27*AQ$2))/AS$2</f>
        <v>9.0969281045751647</v>
      </c>
      <c r="AT27" s="1490">
        <v>11.5</v>
      </c>
      <c r="AU27" s="2005">
        <f>6020/(24*AU$2)</f>
        <v>8.9583333333333339</v>
      </c>
      <c r="AV27" s="344">
        <f>+((AR27*AR$2)+(AT27*AT$2))/AV$2</f>
        <v>11.17065868263473</v>
      </c>
      <c r="AW27" s="344">
        <f>+((AS27*AS$2)+(AU27*AU$2))/AW$2</f>
        <v>9.0853093812375256</v>
      </c>
      <c r="AX27" s="1490">
        <v>11.5</v>
      </c>
      <c r="AY27" s="2005">
        <f>6954.08/(24*AY$2)</f>
        <v>9.3468817204301082</v>
      </c>
      <c r="AZ27" s="2171">
        <f t="shared" ref="AZ27:AZ31" si="88">(AP27*AP$2+AT27*AT$2+AX27*AX$2)/AZ$2</f>
        <v>11.5</v>
      </c>
      <c r="BA27" s="2171">
        <f t="shared" ref="BA27:BA28" si="89">(AQ27*AQ$2+AU27*AU$2+AY27*AY$2)/BA$2</f>
        <v>9.2251481481481488</v>
      </c>
      <c r="BB27" s="493">
        <f t="shared" si="81"/>
        <v>11.5</v>
      </c>
      <c r="BC27" s="493">
        <f t="shared" si="81"/>
        <v>9.0361172161172156</v>
      </c>
      <c r="BD27" s="344">
        <f>+((AV27*AV$2)+(AX27*AX$2))/BD$2</f>
        <v>11.198630136986301</v>
      </c>
      <c r="BE27" s="344">
        <f>+((AW27*AW$2)+(AY27*AY$2))/BE$2</f>
        <v>9.1075251141552513</v>
      </c>
      <c r="BF27" s="1202"/>
      <c r="BG27" s="1202"/>
      <c r="BH27" s="26"/>
      <c r="BI27" s="26">
        <f t="shared" si="30"/>
        <v>123.13470319634702</v>
      </c>
      <c r="BJ27" s="26">
        <f t="shared" si="31"/>
        <v>100.16519531595227</v>
      </c>
    </row>
    <row r="28" spans="1:62" ht="18" x14ac:dyDescent="0.35">
      <c r="A28" s="2158"/>
      <c r="B28" s="2170" t="s">
        <v>806</v>
      </c>
      <c r="C28" s="49" t="s">
        <v>560</v>
      </c>
      <c r="D28" s="1490">
        <f>2000/1000</f>
        <v>2</v>
      </c>
      <c r="E28" s="2005">
        <f>864/(24*E$2)</f>
        <v>1.2</v>
      </c>
      <c r="F28" s="1490">
        <f>2000/1000</f>
        <v>2</v>
      </c>
      <c r="G28" s="2005">
        <f>892.8/(24*G$2)</f>
        <v>1.2</v>
      </c>
      <c r="H28" s="2008">
        <f t="shared" si="79"/>
        <v>2</v>
      </c>
      <c r="I28" s="2772">
        <f t="shared" si="79"/>
        <v>1.1999999999999997</v>
      </c>
      <c r="J28" s="1490">
        <f>2000/1000</f>
        <v>2</v>
      </c>
      <c r="K28" s="2005">
        <f>864/(24*K$2)</f>
        <v>1.2</v>
      </c>
      <c r="L28" s="2171">
        <f t="shared" si="80"/>
        <v>2</v>
      </c>
      <c r="M28" s="2171">
        <f>+((E28*E$2)+(G28*G$2)+(K28*K$2))/M$2</f>
        <v>1.2</v>
      </c>
      <c r="N28" s="1490">
        <v>2</v>
      </c>
      <c r="O28" s="2005">
        <f>892.8/(24*O$2)</f>
        <v>1.2</v>
      </c>
      <c r="P28" s="344">
        <f>+((L28*L$2)+(N28*N$2))/P$2</f>
        <v>2</v>
      </c>
      <c r="Q28" s="344">
        <f>+((M28*M$2)+((O28*O$2)))/Q$2</f>
        <v>1.2</v>
      </c>
      <c r="R28" s="1490">
        <v>2</v>
      </c>
      <c r="S28" s="2005">
        <f>892.8/(24*S$2)</f>
        <v>1.2</v>
      </c>
      <c r="T28" s="344">
        <f>+((P28*P$2)+(R28*R$2))/T$2</f>
        <v>2</v>
      </c>
      <c r="U28" s="344">
        <f>+((Q28*Q$2)+((S28*S$2)))/U$2</f>
        <v>1.2</v>
      </c>
      <c r="V28" s="1490">
        <v>2</v>
      </c>
      <c r="W28" s="2005">
        <f>864/(24*W$2)</f>
        <v>1.2</v>
      </c>
      <c r="X28" s="2171">
        <f t="shared" si="82"/>
        <v>2</v>
      </c>
      <c r="Y28" s="2171">
        <f t="shared" si="83"/>
        <v>1.2</v>
      </c>
      <c r="Z28" s="493">
        <f t="shared" si="84"/>
        <v>2</v>
      </c>
      <c r="AA28" s="493">
        <f t="shared" si="85"/>
        <v>1.2</v>
      </c>
      <c r="AB28" s="1490">
        <v>2</v>
      </c>
      <c r="AC28" s="2005">
        <f>892.8/(24*AC$2)</f>
        <v>1.2</v>
      </c>
      <c r="AD28" s="344">
        <f>+((Z28*Z$2)+(AB28*AB$2))/AD$2</f>
        <v>2</v>
      </c>
      <c r="AE28" s="344">
        <f>+((AA28*AA$2)+((AC28*AC$2)))/AE$2</f>
        <v>1.2</v>
      </c>
      <c r="AF28" s="1490">
        <v>2</v>
      </c>
      <c r="AG28" s="2005">
        <f>864/(24*AG$2)</f>
        <v>1.2</v>
      </c>
      <c r="AH28" s="344">
        <f>+((AD28*AD$2)+(AF28*AF$2))/AH$2</f>
        <v>2</v>
      </c>
      <c r="AI28" s="344">
        <f>+((AE28*AE$2)+((AG28*AG$2)))/AI$2</f>
        <v>1.2</v>
      </c>
      <c r="AJ28" s="1490">
        <v>2</v>
      </c>
      <c r="AK28" s="2005">
        <f>892.8/(24*AK$2)</f>
        <v>1.2</v>
      </c>
      <c r="AL28" s="2171">
        <f>(AB28*AB$2+AF28*AF$2+AJ28*AJ$2)/AL$2</f>
        <v>2</v>
      </c>
      <c r="AM28" s="2171">
        <f t="shared" si="87"/>
        <v>1.1999999999999997</v>
      </c>
      <c r="AN28" s="344">
        <f>+((AH28*AH$2)+(AJ28*AJ$2))/AN$2</f>
        <v>2</v>
      </c>
      <c r="AO28" s="344">
        <f>+((AI28*AI$2)+((AK28*AK$2)))/AO$2</f>
        <v>1.2</v>
      </c>
      <c r="AP28" s="1490">
        <v>2</v>
      </c>
      <c r="AQ28" s="2005">
        <f>892.8/(24*AQ$2)</f>
        <v>1.2</v>
      </c>
      <c r="AR28" s="344">
        <f>+((AN28*AN$2)+(AP28*AP$2))/AR$2</f>
        <v>2</v>
      </c>
      <c r="AS28" s="344">
        <f>+((AO28*AO$2)+((AQ28*AQ$2)))/AS$2</f>
        <v>1.2</v>
      </c>
      <c r="AT28" s="1490">
        <v>2</v>
      </c>
      <c r="AU28" s="2005">
        <f>806.4/(24*AU$2)</f>
        <v>1.2</v>
      </c>
      <c r="AV28" s="344">
        <f>+((AR28*AR$2)+(AT28*AT$2))/AV$2</f>
        <v>2</v>
      </c>
      <c r="AW28" s="344">
        <f>+((AS28*AS$2)+((AU28*AU$2)))/AW$2</f>
        <v>1.2</v>
      </c>
      <c r="AX28" s="1490">
        <v>2</v>
      </c>
      <c r="AY28" s="2005">
        <f>892.8/(24*AY$2)</f>
        <v>1.2</v>
      </c>
      <c r="AZ28" s="2171">
        <f t="shared" si="88"/>
        <v>2</v>
      </c>
      <c r="BA28" s="2171">
        <f t="shared" si="89"/>
        <v>1.2</v>
      </c>
      <c r="BB28" s="493">
        <f t="shared" si="81"/>
        <v>2</v>
      </c>
      <c r="BC28" s="493">
        <f t="shared" si="81"/>
        <v>1.2</v>
      </c>
      <c r="BD28" s="344">
        <f>+((AV28*AV$2)+(AX28*AX$2))/BD$2</f>
        <v>2</v>
      </c>
      <c r="BE28" s="344">
        <f>+((AW28*AW$2)+((AY28*AY$2)))/BE$2</f>
        <v>1.2</v>
      </c>
      <c r="BF28" s="1202"/>
      <c r="BG28" s="1202"/>
      <c r="BH28" s="26"/>
      <c r="BI28" s="26">
        <f t="shared" si="30"/>
        <v>22</v>
      </c>
      <c r="BJ28" s="26">
        <f t="shared" si="31"/>
        <v>13.199999999999998</v>
      </c>
    </row>
    <row r="29" spans="1:62" ht="18" x14ac:dyDescent="0.35">
      <c r="A29" s="2158"/>
      <c r="B29" s="2170" t="s">
        <v>807</v>
      </c>
      <c r="C29" s="49" t="s">
        <v>560</v>
      </c>
      <c r="D29" s="1490">
        <v>2</v>
      </c>
      <c r="E29" s="6482">
        <f>15616.56/(24*E$2)</f>
        <v>21.689666666666668</v>
      </c>
      <c r="F29" s="1490">
        <v>2.5</v>
      </c>
      <c r="G29" s="6482">
        <f>15635.04/(24*G$2)</f>
        <v>21.01483870967742</v>
      </c>
      <c r="H29" s="2008">
        <f>+((D29*D$2)+(F29*F$2))/H$2</f>
        <v>2.2540983606557377</v>
      </c>
      <c r="I29" s="6496">
        <f>+((E29*E$2)+(G29*G$2))/I$2</f>
        <v>21.346721311475413</v>
      </c>
      <c r="J29" s="1490">
        <v>2</v>
      </c>
      <c r="K29" s="6482">
        <f>14622.48/(24*K$2)</f>
        <v>20.309000000000001</v>
      </c>
      <c r="L29" s="2171">
        <f t="shared" si="80"/>
        <v>2.1703296703296702</v>
      </c>
      <c r="M29" s="6486">
        <f>+((E29*E$2)+(G29*G$2)+(K29*K$2))/M$2</f>
        <v>21.004615384615384</v>
      </c>
      <c r="N29" s="1490">
        <v>2.5</v>
      </c>
      <c r="O29" s="6482">
        <f>14954.88/(24*O$2)</f>
        <v>20.10064516129032</v>
      </c>
      <c r="P29" s="344">
        <f>+((L29*L$2)+(N29*N$2))/P$2</f>
        <v>2.2540983606557377</v>
      </c>
      <c r="Q29" s="6483">
        <f>+((M29*M$2)+(O29*O$2))/Q$2</f>
        <v>20.774918032786886</v>
      </c>
      <c r="R29" s="1490">
        <v>2.5</v>
      </c>
      <c r="S29" s="6482">
        <f>15504.48/(24*S$2)</f>
        <v>20.839354838709678</v>
      </c>
      <c r="T29" s="344">
        <f>+((P29*P$2)+(R29*R$2))/T$2</f>
        <v>2.3039215686274508</v>
      </c>
      <c r="U29" s="6483">
        <f>+((Q29*Q$2)+(S29*S$2))/U$2</f>
        <v>20.787973856209149</v>
      </c>
      <c r="V29" s="1490">
        <v>1.5</v>
      </c>
      <c r="W29" s="6482">
        <f>15348.96/(24*W$2)</f>
        <v>21.317999999999998</v>
      </c>
      <c r="X29" s="2171">
        <f t="shared" si="82"/>
        <v>2.1739130434782608</v>
      </c>
      <c r="Y29" s="6486">
        <f>(O29*O$2+S29*S$2+W29*W$2)/Y$2</f>
        <v>20.746521739130433</v>
      </c>
      <c r="Z29" s="493">
        <f>(L29*L$2+X29*X$2)/Z$2</f>
        <v>2.1721311475409837</v>
      </c>
      <c r="AA29" s="6485">
        <f>(M29*M$2+Y29*Y$2)/AA$2</f>
        <v>20.874863387978142</v>
      </c>
      <c r="AB29" s="1490">
        <v>2.5</v>
      </c>
      <c r="AC29" s="6482">
        <f>16424.4/(24*AC$2)</f>
        <v>22.075806451612905</v>
      </c>
      <c r="AD29" s="344">
        <f>+((Z29*Z$2)+(AB29*AB$2))/AD$2</f>
        <v>2.2196261682242993</v>
      </c>
      <c r="AE29" s="6483">
        <f>+((AA29*AA$2)+(AC29*AC$2))/AE$2</f>
        <v>21.048831775700933</v>
      </c>
      <c r="AF29" s="1490">
        <v>2.5</v>
      </c>
      <c r="AG29" s="6482">
        <f>15122.16/(24*AG$2)</f>
        <v>21.003</v>
      </c>
      <c r="AH29" s="344">
        <f>+((AD29*AD$2)+(AF29*AF$2))/AH$2</f>
        <v>2.2540983606557377</v>
      </c>
      <c r="AI29" s="6483">
        <f>+((AE29*AE$2)+(AG29*AG$2))/AI$2</f>
        <v>21.043196721311475</v>
      </c>
      <c r="AJ29" s="1490">
        <v>2.5</v>
      </c>
      <c r="AK29" s="6482">
        <f>15828.64/(24*AK$2)</f>
        <v>21.275053763440859</v>
      </c>
      <c r="AL29" s="2171">
        <f t="shared" si="86"/>
        <v>2.5</v>
      </c>
      <c r="AM29" s="6486">
        <f>(AC29*AC$2+AG29*AG$2+AK29*AK$2)/AM$2</f>
        <v>21.456159420289854</v>
      </c>
      <c r="AN29" s="344">
        <f>+((AH29*AH$2)+(AJ29*AJ$2))/AN$2</f>
        <v>2.2818181818181817</v>
      </c>
      <c r="AO29" s="6483">
        <f>+((AI29*AI$2)+(AK29*AK$2))/AO$2</f>
        <v>21.069333333333333</v>
      </c>
      <c r="AP29" s="1490">
        <v>2.5</v>
      </c>
      <c r="AQ29" s="6482">
        <f>15246.8/(24*AQ$2)</f>
        <v>20.493010752688171</v>
      </c>
      <c r="AR29" s="344">
        <f>+((AN29*AN$2)+(AP29*AP$2))/AR$2</f>
        <v>2.3039215686274508</v>
      </c>
      <c r="AS29" s="6483">
        <f>+((AO29*AO$2)+(AQ29*AQ$2))/AS$2</f>
        <v>21.0109477124183</v>
      </c>
      <c r="AT29" s="1490">
        <v>2.5</v>
      </c>
      <c r="AU29" s="6482">
        <f>14365.68/(24*AU$2)</f>
        <v>21.377500000000001</v>
      </c>
      <c r="AV29" s="344">
        <f>+((AR29*AR$2)+(AT29*AT$2))/AV$2</f>
        <v>2.3203592814371254</v>
      </c>
      <c r="AW29" s="6483">
        <f>+((AS29*AS$2)+(AU29*AU$2))/AW$2</f>
        <v>21.041676646706584</v>
      </c>
      <c r="AX29" s="1490">
        <v>2.5</v>
      </c>
      <c r="AY29" s="6482">
        <f>15964.64/(24*AY$2)</f>
        <v>21.457849462365591</v>
      </c>
      <c r="AZ29" s="2171">
        <f t="shared" si="88"/>
        <v>2.5</v>
      </c>
      <c r="BA29" s="6486">
        <f>(AQ29*AQ$2+AU29*AU$2+AY29*AY$2)/BA$2</f>
        <v>21.10051851851852</v>
      </c>
      <c r="BB29" s="493">
        <f t="shared" si="81"/>
        <v>2.5</v>
      </c>
      <c r="BC29" s="6485">
        <f t="shared" si="81"/>
        <v>21.280293040293039</v>
      </c>
      <c r="BD29" s="344">
        <f>+((AV29*AV$2)+(AX29*AX$2))/BD$2</f>
        <v>2.3356164383561642</v>
      </c>
      <c r="BE29" s="6483">
        <f>+((AW29*AW$2)+(AY29*AY$2))/BE$2</f>
        <v>21.077022831050225</v>
      </c>
      <c r="BF29" s="1202"/>
      <c r="BG29" s="1202"/>
      <c r="BH29" s="26"/>
      <c r="BI29" s="26">
        <f t="shared" si="30"/>
        <v>25.664383561643834</v>
      </c>
      <c r="BJ29" s="26">
        <f t="shared" si="31"/>
        <v>231.87670297540137</v>
      </c>
    </row>
    <row r="30" spans="1:62" ht="18" x14ac:dyDescent="0.35">
      <c r="A30" s="2158"/>
      <c r="B30" s="2170" t="s">
        <v>701</v>
      </c>
      <c r="C30" s="49" t="s">
        <v>560</v>
      </c>
      <c r="D30" s="1490">
        <f>620/1000</f>
        <v>0.62</v>
      </c>
      <c r="E30" s="6482"/>
      <c r="F30" s="1490">
        <v>0.12</v>
      </c>
      <c r="G30" s="6482"/>
      <c r="H30" s="2008">
        <f>+((D30*D$2)+(F30*F$2))/H$2</f>
        <v>0.36590163934426229</v>
      </c>
      <c r="I30" s="6496"/>
      <c r="J30" s="1490">
        <v>0.62</v>
      </c>
      <c r="K30" s="6482"/>
      <c r="L30" s="2171">
        <f t="shared" si="80"/>
        <v>0.44967032967032972</v>
      </c>
      <c r="M30" s="6487"/>
      <c r="N30" s="1490">
        <v>0.12</v>
      </c>
      <c r="O30" s="6482"/>
      <c r="P30" s="344">
        <f>+((L30*L$2)+(N30*N$2))/P$2</f>
        <v>0.36590163934426229</v>
      </c>
      <c r="Q30" s="6483"/>
      <c r="R30" s="1490">
        <v>0.12</v>
      </c>
      <c r="S30" s="6482"/>
      <c r="T30" s="344">
        <f>+((P30*P$2)+(R30*R$2))/T$2</f>
        <v>0.31607843137254904</v>
      </c>
      <c r="U30" s="6483"/>
      <c r="V30" s="1490">
        <v>9.6666666666703302E-2</v>
      </c>
      <c r="W30" s="6482"/>
      <c r="X30" s="2171">
        <f t="shared" si="82"/>
        <v>0.11239130434783802</v>
      </c>
      <c r="Y30" s="6487"/>
      <c r="Z30" s="493">
        <f>(L30*L$2+X30*X$2)/Z$2</f>
        <v>0.28010928961749232</v>
      </c>
      <c r="AA30" s="6485"/>
      <c r="AB30" s="1490">
        <v>0.120000000000007</v>
      </c>
      <c r="AC30" s="6482"/>
      <c r="AD30" s="344">
        <f>+((Z30*Z$2)+(AB30*AB$2))/AD$2</f>
        <v>0.25691588785047342</v>
      </c>
      <c r="AE30" s="6483"/>
      <c r="AF30" s="1490">
        <v>0.12</v>
      </c>
      <c r="AG30" s="6482"/>
      <c r="AH30" s="344">
        <f>+((AD30*AD$2)+(AF30*AF$2))/AH$2</f>
        <v>0.24008196721312014</v>
      </c>
      <c r="AI30" s="6483"/>
      <c r="AJ30" s="1490">
        <v>0.12</v>
      </c>
      <c r="AK30" s="6482"/>
      <c r="AL30" s="2171">
        <f t="shared" si="86"/>
        <v>0.12000000000000234</v>
      </c>
      <c r="AM30" s="6487"/>
      <c r="AN30" s="344">
        <f>+((AH30*AH$2)+(AJ30*AJ$2))/AN$2</f>
        <v>0.22654545454545932</v>
      </c>
      <c r="AO30" s="6483"/>
      <c r="AP30" s="1490">
        <v>0.12000000000000728</v>
      </c>
      <c r="AQ30" s="6482"/>
      <c r="AR30" s="344">
        <f>+((AN30*AN$2)+(AP30*AP$2))/AR$2</f>
        <v>0.21575163398693312</v>
      </c>
      <c r="AS30" s="6483"/>
      <c r="AT30" s="1490">
        <v>0.12000000000000728</v>
      </c>
      <c r="AU30" s="6482"/>
      <c r="AV30" s="344">
        <f>+((AR30*AR$2)+(AT30*AT$2))/AV$2</f>
        <v>0.20772455089820877</v>
      </c>
      <c r="AW30" s="6483"/>
      <c r="AX30" s="1490">
        <v>0.12000000000000728</v>
      </c>
      <c r="AY30" s="6482"/>
      <c r="AZ30" s="2171">
        <f t="shared" si="88"/>
        <v>0.1200000000000073</v>
      </c>
      <c r="BA30" s="6487"/>
      <c r="BB30" s="493">
        <f>(AL30*AL$2+AZ30*AZ$2)/BB$2</f>
        <v>0.12000000000000478</v>
      </c>
      <c r="BC30" s="6485"/>
      <c r="BD30" s="344">
        <f>+((AV30*AV$2)+(AX30*AX$2))/BD$2</f>
        <v>0.20027397260274507</v>
      </c>
      <c r="BE30" s="6483"/>
      <c r="BF30" s="1202"/>
      <c r="BG30" s="1202"/>
      <c r="BH30" s="26"/>
      <c r="BI30" s="26">
        <f t="shared" si="30"/>
        <v>2.2163926940639871</v>
      </c>
      <c r="BJ30" s="26">
        <f t="shared" si="31"/>
        <v>0</v>
      </c>
    </row>
    <row r="31" spans="1:62" ht="18" x14ac:dyDescent="0.35">
      <c r="A31" s="2158"/>
      <c r="B31" s="6488" t="s">
        <v>101</v>
      </c>
      <c r="C31" s="49" t="s">
        <v>560</v>
      </c>
      <c r="D31" s="1490">
        <v>0</v>
      </c>
      <c r="E31" s="2005">
        <v>0</v>
      </c>
      <c r="F31" s="1490">
        <v>0</v>
      </c>
      <c r="G31" s="2005">
        <v>0</v>
      </c>
      <c r="H31" s="345">
        <f>+((D31*D$2)+(F31*F$2))/H$2</f>
        <v>0</v>
      </c>
      <c r="I31" s="206">
        <f>+((E31*E$2)+(G31*G$2))/I$2</f>
        <v>0</v>
      </c>
      <c r="J31" s="1490">
        <v>0</v>
      </c>
      <c r="K31" s="2005">
        <v>0</v>
      </c>
      <c r="L31" s="2171">
        <f t="shared" si="80"/>
        <v>0</v>
      </c>
      <c r="M31" s="2171">
        <f t="shared" si="80"/>
        <v>0</v>
      </c>
      <c r="N31" s="1490">
        <v>0</v>
      </c>
      <c r="O31" s="2005">
        <v>0</v>
      </c>
      <c r="P31" s="344">
        <f>+((L31*L$2)+(N31*N$2))/P$2</f>
        <v>0</v>
      </c>
      <c r="Q31" s="344">
        <f>+((M31*M$2)+(O31*O$2))/Q$2</f>
        <v>0</v>
      </c>
      <c r="R31" s="1490">
        <v>0</v>
      </c>
      <c r="S31" s="2005">
        <v>0</v>
      </c>
      <c r="T31" s="344">
        <f>+((P31*P$2)+(R31*R$2))/T$2</f>
        <v>0</v>
      </c>
      <c r="U31" s="344">
        <f>+((Q31*Q$2)+(S31*S$2))/U$2</f>
        <v>0</v>
      </c>
      <c r="V31" s="1490">
        <v>0</v>
      </c>
      <c r="W31" s="2005">
        <v>0</v>
      </c>
      <c r="X31" s="2171">
        <f t="shared" ref="X31" si="90">(N31*N$2+R31*R$2+V31*V$2)/X$2</f>
        <v>0</v>
      </c>
      <c r="Y31" s="2171">
        <f t="shared" ref="Y31" si="91">(O31*O$2+S31*S$2+W31*W$2)/Y$2</f>
        <v>0</v>
      </c>
      <c r="Z31" s="493">
        <f t="shared" ref="Z31" si="92">(L31*L$2+X31*X$2)/Z$2</f>
        <v>0</v>
      </c>
      <c r="AA31" s="493">
        <f t="shared" ref="AA31" si="93">(M31*M$2+Y31*Y$2)/AA$2</f>
        <v>0</v>
      </c>
      <c r="AB31" s="1490">
        <v>0</v>
      </c>
      <c r="AC31" s="2005">
        <v>0</v>
      </c>
      <c r="AD31" s="344">
        <f>+((Z31*Z$2)+(AB31*AB$2))/AD$2</f>
        <v>0</v>
      </c>
      <c r="AE31" s="344">
        <f>+((AA31*AA$2)+(AC31*AC$2))/AE$2</f>
        <v>0</v>
      </c>
      <c r="AF31" s="1490">
        <v>0</v>
      </c>
      <c r="AG31" s="2005">
        <v>0</v>
      </c>
      <c r="AH31" s="344">
        <f>+((AD31*AD$2)+(AF31*AF$2))/AH$2</f>
        <v>0</v>
      </c>
      <c r="AI31" s="344">
        <f>+((AE31*AE$2)+(AG31*AG$2))/AI$2</f>
        <v>0</v>
      </c>
      <c r="AJ31" s="1490">
        <v>0</v>
      </c>
      <c r="AK31" s="2005">
        <v>0</v>
      </c>
      <c r="AL31" s="2171">
        <f t="shared" si="86"/>
        <v>0</v>
      </c>
      <c r="AM31" s="2171">
        <f t="shared" ref="AM31" si="94">(AC31*AC$2+AG31*AG$2+AK31*AK$2)/AM$2</f>
        <v>0</v>
      </c>
      <c r="AN31" s="344">
        <f>+((AH31*AH$2)+(AJ31*AJ$2))/AN$2</f>
        <v>0</v>
      </c>
      <c r="AO31" s="344">
        <f>+((AI31*AI$2)+(AK31*AK$2))/AO$2</f>
        <v>0</v>
      </c>
      <c r="AP31" s="1490">
        <v>0</v>
      </c>
      <c r="AQ31" s="2005">
        <v>0</v>
      </c>
      <c r="AR31" s="344">
        <f>+((AN31*AN$2)+(AP31*AP$2))/AR$2</f>
        <v>0</v>
      </c>
      <c r="AS31" s="344">
        <f>+((AO31*AO$2)+(AQ31*AQ$2))/AS$2</f>
        <v>0</v>
      </c>
      <c r="AT31" s="1490">
        <v>0</v>
      </c>
      <c r="AU31" s="2005">
        <v>0</v>
      </c>
      <c r="AV31" s="344">
        <f>+((AR31*AR$2)+(AT31*AT$2))/AV$2</f>
        <v>0</v>
      </c>
      <c r="AW31" s="344">
        <f>+((AS31*AS$2)+(AU31*AU$2))/AW$2</f>
        <v>0</v>
      </c>
      <c r="AX31" s="1490">
        <v>0</v>
      </c>
      <c r="AY31" s="2005">
        <v>0</v>
      </c>
      <c r="AZ31" s="2171">
        <f t="shared" si="88"/>
        <v>0</v>
      </c>
      <c r="BA31" s="2171">
        <f t="shared" ref="BA31" si="95">(AQ31*AQ$2+AU31*AU$2+AY31*AY$2)/BA$2</f>
        <v>0</v>
      </c>
      <c r="BB31" s="493">
        <f>(AL31*AL$2+AZ31*AZ$2)/BB$2</f>
        <v>0</v>
      </c>
      <c r="BC31" s="493">
        <f>(AM31*AM$2+BA31*BA$2)/BC$2</f>
        <v>0</v>
      </c>
      <c r="BD31" s="344">
        <f>+((AV31*AV$2)+(AX31*AX$2))/BD$2</f>
        <v>0</v>
      </c>
      <c r="BE31" s="344">
        <f>+((AW31*AW$2)+(AY31*AY$2))/BE$2</f>
        <v>0</v>
      </c>
      <c r="BF31" s="1202"/>
      <c r="BG31" s="1202"/>
      <c r="BH31" s="26"/>
      <c r="BI31" s="26">
        <f t="shared" si="30"/>
        <v>0</v>
      </c>
      <c r="BJ31" s="26">
        <f t="shared" si="31"/>
        <v>0</v>
      </c>
    </row>
    <row r="32" spans="1:62" ht="15.75" customHeight="1" x14ac:dyDescent="0.35">
      <c r="A32" s="2158"/>
      <c r="B32" s="6488"/>
      <c r="C32" s="49" t="s">
        <v>50</v>
      </c>
      <c r="D32" s="732">
        <v>0</v>
      </c>
      <c r="E32" s="2004">
        <v>0</v>
      </c>
      <c r="F32" s="732">
        <v>0</v>
      </c>
      <c r="G32" s="2004">
        <v>0</v>
      </c>
      <c r="H32" s="345">
        <f>+D32+F32</f>
        <v>0</v>
      </c>
      <c r="I32" s="206">
        <f>+E32+G32</f>
        <v>0</v>
      </c>
      <c r="J32" s="732">
        <v>0</v>
      </c>
      <c r="K32" s="2004">
        <v>0</v>
      </c>
      <c r="L32" s="400">
        <f>+D32+F32+J32</f>
        <v>0</v>
      </c>
      <c r="M32" s="400">
        <f>+E32+G32+K32</f>
        <v>0</v>
      </c>
      <c r="N32" s="732">
        <v>0</v>
      </c>
      <c r="O32" s="2004">
        <v>0</v>
      </c>
      <c r="P32" s="2100">
        <f>+L32+N32</f>
        <v>0</v>
      </c>
      <c r="Q32" s="2100">
        <f>+M32+O32</f>
        <v>0</v>
      </c>
      <c r="R32" s="732">
        <v>0</v>
      </c>
      <c r="S32" s="2004">
        <v>0</v>
      </c>
      <c r="T32" s="2100">
        <f>+P32+R32</f>
        <v>0</v>
      </c>
      <c r="U32" s="2100">
        <f>+Q32+S32</f>
        <v>0</v>
      </c>
      <c r="V32" s="732">
        <v>0</v>
      </c>
      <c r="W32" s="2004">
        <v>0</v>
      </c>
      <c r="X32" s="2171">
        <f>N32+R32+V32</f>
        <v>0</v>
      </c>
      <c r="Y32" s="2171">
        <f>O32+S32+W32</f>
        <v>0</v>
      </c>
      <c r="Z32" s="492">
        <f>+L32+X32</f>
        <v>0</v>
      </c>
      <c r="AA32" s="492">
        <f>+M32+Y32</f>
        <v>0</v>
      </c>
      <c r="AB32" s="732">
        <v>0</v>
      </c>
      <c r="AC32" s="2004">
        <v>0</v>
      </c>
      <c r="AD32" s="2100">
        <f>+Z32+AB32</f>
        <v>0</v>
      </c>
      <c r="AE32" s="2100">
        <f>+AA32+AC32</f>
        <v>0</v>
      </c>
      <c r="AF32" s="732">
        <v>0</v>
      </c>
      <c r="AG32" s="2004">
        <v>0</v>
      </c>
      <c r="AH32" s="2100">
        <f>+AD32+AF32</f>
        <v>0</v>
      </c>
      <c r="AI32" s="2100">
        <f>+AE32+AG32</f>
        <v>0</v>
      </c>
      <c r="AJ32" s="732">
        <v>0</v>
      </c>
      <c r="AK32" s="2004">
        <v>0</v>
      </c>
      <c r="AL32" s="2171">
        <f>AB32+AF32+AJ32</f>
        <v>0</v>
      </c>
      <c r="AM32" s="2171">
        <f>AC32+AG32+AK32</f>
        <v>0</v>
      </c>
      <c r="AN32" s="2100">
        <f>+AH32+AJ32</f>
        <v>0</v>
      </c>
      <c r="AO32" s="2100">
        <f>+AI32+AK32</f>
        <v>0</v>
      </c>
      <c r="AP32" s="732">
        <v>0</v>
      </c>
      <c r="AQ32" s="2004">
        <v>0</v>
      </c>
      <c r="AR32" s="2100">
        <f>+AN32+AP32</f>
        <v>0</v>
      </c>
      <c r="AS32" s="2100">
        <f>+AO32+AQ32</f>
        <v>0</v>
      </c>
      <c r="AT32" s="732">
        <v>0</v>
      </c>
      <c r="AU32" s="2004">
        <v>0</v>
      </c>
      <c r="AV32" s="2100">
        <f>+AR32+AT32</f>
        <v>0</v>
      </c>
      <c r="AW32" s="2100">
        <f>+AS32+AU32</f>
        <v>0</v>
      </c>
      <c r="AX32" s="732">
        <v>0</v>
      </c>
      <c r="AY32" s="2004">
        <v>0</v>
      </c>
      <c r="AZ32" s="2171">
        <f>AP32+AT32+AX32</f>
        <v>0</v>
      </c>
      <c r="BA32" s="2171">
        <f>AQ32+AU32+AY32</f>
        <v>0</v>
      </c>
      <c r="BB32" s="492">
        <f>+AL32+AZ32</f>
        <v>0</v>
      </c>
      <c r="BC32" s="492">
        <f>+AM32+BA32</f>
        <v>0</v>
      </c>
      <c r="BD32" s="2100">
        <f>+AV32+AX32</f>
        <v>0</v>
      </c>
      <c r="BE32" s="2100">
        <f>+AW32+AY32</f>
        <v>0</v>
      </c>
      <c r="BF32" s="1202"/>
      <c r="BG32" s="1202"/>
      <c r="BH32" s="26"/>
      <c r="BI32" s="26">
        <f t="shared" si="30"/>
        <v>0</v>
      </c>
      <c r="BJ32" s="26">
        <f t="shared" si="31"/>
        <v>0</v>
      </c>
    </row>
    <row r="33" spans="1:62" ht="18" x14ac:dyDescent="0.35">
      <c r="A33" s="2169"/>
      <c r="B33" s="2172" t="s">
        <v>21</v>
      </c>
      <c r="C33" s="836" t="s">
        <v>560</v>
      </c>
      <c r="D33" s="1490">
        <f>SUM(D26:D32)</f>
        <v>33.119999999999997</v>
      </c>
      <c r="E33" s="2005">
        <f t="shared" ref="E33" si="96">SUM(E26:E31)</f>
        <v>36.672666666666672</v>
      </c>
      <c r="F33" s="1490">
        <f>SUM(F26:F32)</f>
        <v>33.119999999999997</v>
      </c>
      <c r="G33" s="2005">
        <f t="shared" ref="G33" si="97">SUM(G26:G31)</f>
        <v>36.77559139784946</v>
      </c>
      <c r="H33" s="2008">
        <f t="shared" ref="H33:AA33" si="98">SUM(H26:H31)</f>
        <v>33.120000000000005</v>
      </c>
      <c r="I33" s="2772">
        <f t="shared" si="98"/>
        <v>36.72497267759563</v>
      </c>
      <c r="J33" s="1490">
        <f>SUM(J26:J32)</f>
        <v>33.119999999999997</v>
      </c>
      <c r="K33" s="2005">
        <f t="shared" ref="K33" si="99">SUM(K26:K31)</f>
        <v>36.617555555555555</v>
      </c>
      <c r="L33" s="2171">
        <f t="shared" ref="L33:M33" si="100">SUM(L26:L31)</f>
        <v>33.120000000000005</v>
      </c>
      <c r="M33" s="2010">
        <f t="shared" si="100"/>
        <v>36.689560439560438</v>
      </c>
      <c r="N33" s="1490">
        <f>SUM(N26:N32)</f>
        <v>33.119999999999997</v>
      </c>
      <c r="O33" s="2005">
        <f t="shared" ref="O33" si="101">SUM(O26:O31)</f>
        <v>36.368279569892465</v>
      </c>
      <c r="P33" s="344">
        <f t="shared" si="98"/>
        <v>33.120000000000005</v>
      </c>
      <c r="Q33" s="344">
        <f t="shared" si="98"/>
        <v>36.607923497267763</v>
      </c>
      <c r="R33" s="1490">
        <f>SUM(R26:R32)</f>
        <v>33.119999999999997</v>
      </c>
      <c r="S33" s="2005">
        <f t="shared" ref="S33" si="102">SUM(S26:S31)</f>
        <v>37.009032258064515</v>
      </c>
      <c r="T33" s="344">
        <f t="shared" ref="T33:U33" si="103">SUM(T26:T31)</f>
        <v>33.119999999999997</v>
      </c>
      <c r="U33" s="344">
        <f t="shared" si="103"/>
        <v>36.689193899782133</v>
      </c>
      <c r="V33" s="1490">
        <f>SUM(V26:V32)</f>
        <v>21.763333333333332</v>
      </c>
      <c r="W33" s="2005">
        <f t="shared" ref="W33" si="104">SUM(W26:W31)</f>
        <v>37.697555555555553</v>
      </c>
      <c r="X33" s="2171">
        <f>SUM(X26:X31)</f>
        <v>29.416739130434784</v>
      </c>
      <c r="Y33" s="2010">
        <f>SUM(Y26:Y31)</f>
        <v>37.017644927536224</v>
      </c>
      <c r="Z33" s="2184">
        <f t="shared" si="98"/>
        <v>31.25825136612022</v>
      </c>
      <c r="AA33" s="2184">
        <f t="shared" si="98"/>
        <v>36.854499089253189</v>
      </c>
      <c r="AB33" s="1490">
        <f>SUM(AB26:AB32)</f>
        <v>33.120000000000005</v>
      </c>
      <c r="AC33" s="2005">
        <f t="shared" ref="AC33" si="105">SUM(AC26:AC31)</f>
        <v>36.550645161290319</v>
      </c>
      <c r="AD33" s="344">
        <f t="shared" ref="AD33:AE33" si="106">SUM(AD26:AD31)</f>
        <v>31.527943925233647</v>
      </c>
      <c r="AE33" s="344">
        <f t="shared" si="106"/>
        <v>36.810482866043614</v>
      </c>
      <c r="AF33" s="1490">
        <f>SUM(AF26:AF32)</f>
        <v>33.119999999999997</v>
      </c>
      <c r="AG33" s="2005">
        <f t="shared" ref="AG33" si="107">SUM(AG26:AG31)</f>
        <v>37.242333333333335</v>
      </c>
      <c r="AH33" s="344">
        <f t="shared" ref="AH33:AI33" si="108">SUM(AH26:AH31)</f>
        <v>31.723688524590163</v>
      </c>
      <c r="AI33" s="344">
        <f t="shared" si="108"/>
        <v>36.863579234972676</v>
      </c>
      <c r="AJ33" s="1490">
        <f>SUM(AJ26:AJ32)</f>
        <v>33.119999999999997</v>
      </c>
      <c r="AK33" s="2005">
        <f t="shared" ref="AK33" si="109">SUM(AK26:AK31)</f>
        <v>37.446344086021504</v>
      </c>
      <c r="AL33" s="2171">
        <f>SUM(AL26:AL31)</f>
        <v>33.120000000000005</v>
      </c>
      <c r="AM33" s="2010">
        <f>SUM(AM26:AM31)</f>
        <v>37.078007246376814</v>
      </c>
      <c r="AN33" s="344">
        <f t="shared" ref="AN33:AO33" si="110">SUM(AN26:AN31)</f>
        <v>31.881090909090908</v>
      </c>
      <c r="AO33" s="344">
        <f t="shared" si="110"/>
        <v>36.929272727272725</v>
      </c>
      <c r="AP33" s="1490">
        <f>SUM(AP26:AP32)</f>
        <v>33.120000000000005</v>
      </c>
      <c r="AQ33" s="2005">
        <f t="shared" ref="AQ33" si="111">SUM(AQ26:AQ31)</f>
        <v>36.548172043010752</v>
      </c>
      <c r="AR33" s="344">
        <f t="shared" ref="AR33:AS33" si="112">SUM(AR26:AR31)</f>
        <v>32.006601307189548</v>
      </c>
      <c r="AS33" s="344">
        <f t="shared" si="112"/>
        <v>36.890664488017428</v>
      </c>
      <c r="AT33" s="1490">
        <f>SUM(AT26:AT32)</f>
        <v>33.120000000000005</v>
      </c>
      <c r="AU33" s="2005">
        <f t="shared" ref="AU33" si="113">SUM(AU26:AU31)</f>
        <v>37.637023809523811</v>
      </c>
      <c r="AV33" s="344">
        <f t="shared" ref="AV33:AY33" si="114">SUM(AV26:AV31)</f>
        <v>32.099940119760483</v>
      </c>
      <c r="AW33" s="344">
        <f t="shared" si="114"/>
        <v>36.953233532934128</v>
      </c>
      <c r="AX33" s="1490">
        <f>SUM(AX26:AX32)</f>
        <v>33.120000000000005</v>
      </c>
      <c r="AY33" s="2005">
        <f t="shared" si="114"/>
        <v>37.515483870967742</v>
      </c>
      <c r="AZ33" s="2171">
        <f>SUM(AZ26:AZ31)</f>
        <v>33.120000000000005</v>
      </c>
      <c r="BA33" s="2010">
        <f>SUM(BA26:BA31)</f>
        <v>37.220111111111109</v>
      </c>
      <c r="BB33" s="2184">
        <f t="shared" ref="BB33:BC33" si="115">SUM(BB26:BB31)</f>
        <v>33.120000000000005</v>
      </c>
      <c r="BC33" s="2184">
        <f t="shared" si="115"/>
        <v>37.148278388278385</v>
      </c>
      <c r="BD33" s="344">
        <f t="shared" ref="BD33:BE33" si="116">SUM(BD26:BD31)</f>
        <v>32.186575342465765</v>
      </c>
      <c r="BE33" s="344">
        <f t="shared" si="116"/>
        <v>37.000986301369856</v>
      </c>
      <c r="BF33" s="1202"/>
      <c r="BG33" s="1202"/>
      <c r="BH33" s="26"/>
      <c r="BI33" s="26">
        <f t="shared" si="30"/>
        <v>353.89675799086763</v>
      </c>
      <c r="BJ33" s="26">
        <f t="shared" si="31"/>
        <v>407.07969700636181</v>
      </c>
    </row>
    <row r="34" spans="1:62" ht="18" x14ac:dyDescent="0.35">
      <c r="A34" s="2169"/>
      <c r="B34" s="1448" t="s">
        <v>103</v>
      </c>
      <c r="C34" s="1328"/>
      <c r="D34" s="2174"/>
      <c r="E34" s="2175"/>
      <c r="F34" s="2174"/>
      <c r="G34" s="2175"/>
      <c r="H34" s="3085"/>
      <c r="I34" s="3086"/>
      <c r="J34" s="2174"/>
      <c r="K34" s="2175"/>
      <c r="L34" s="2176"/>
      <c r="M34" s="2175"/>
      <c r="N34" s="2174"/>
      <c r="O34" s="2175"/>
      <c r="P34" s="2177"/>
      <c r="Q34" s="2177"/>
      <c r="R34" s="2174"/>
      <c r="S34" s="2175"/>
      <c r="T34" s="2177"/>
      <c r="U34" s="2177"/>
      <c r="V34" s="2174"/>
      <c r="W34" s="2175"/>
      <c r="X34" s="2176"/>
      <c r="Y34" s="2175"/>
      <c r="Z34" s="2177"/>
      <c r="AA34" s="2177"/>
      <c r="AB34" s="2174"/>
      <c r="AC34" s="2175"/>
      <c r="AD34" s="2177"/>
      <c r="AE34" s="2177"/>
      <c r="AF34" s="2174"/>
      <c r="AG34" s="2175"/>
      <c r="AH34" s="2177"/>
      <c r="AI34" s="2177"/>
      <c r="AJ34" s="2174"/>
      <c r="AK34" s="2175"/>
      <c r="AL34" s="2176"/>
      <c r="AM34" s="2175"/>
      <c r="AN34" s="2177"/>
      <c r="AO34" s="2177"/>
      <c r="AP34" s="2174"/>
      <c r="AQ34" s="2175"/>
      <c r="AR34" s="2177"/>
      <c r="AS34" s="2177"/>
      <c r="AT34" s="2174"/>
      <c r="AU34" s="2175"/>
      <c r="AV34" s="2177"/>
      <c r="AW34" s="2177"/>
      <c r="AX34" s="2174"/>
      <c r="AY34" s="2175"/>
      <c r="AZ34" s="2176"/>
      <c r="BA34" s="2175"/>
      <c r="BB34" s="2177"/>
      <c r="BC34" s="2177"/>
      <c r="BD34" s="2177"/>
      <c r="BE34" s="2177"/>
      <c r="BF34" s="1202"/>
      <c r="BG34" s="1202"/>
      <c r="BH34" s="26"/>
      <c r="BI34" s="26">
        <f t="shared" si="30"/>
        <v>0</v>
      </c>
      <c r="BJ34" s="26">
        <f t="shared" si="31"/>
        <v>0</v>
      </c>
    </row>
    <row r="35" spans="1:62" ht="18" x14ac:dyDescent="0.35">
      <c r="A35" s="2158"/>
      <c r="B35" s="2170" t="s">
        <v>57</v>
      </c>
      <c r="C35" s="49" t="s">
        <v>560</v>
      </c>
      <c r="D35" s="1490">
        <v>0.6</v>
      </c>
      <c r="E35" s="2005">
        <f>283.976/(24*E$2)</f>
        <v>0.3944111111111111</v>
      </c>
      <c r="F35" s="1490">
        <v>0.6</v>
      </c>
      <c r="G35" s="2005">
        <f>418.04/(24*G$2)</f>
        <v>0.56188172043010753</v>
      </c>
      <c r="H35" s="2008">
        <f t="shared" ref="H35:I37" si="117">+((D35*D$2)+(F35*F$2))/H$2</f>
        <v>0.59999999999999987</v>
      </c>
      <c r="I35" s="2772">
        <f t="shared" si="117"/>
        <v>0.4795191256830601</v>
      </c>
      <c r="J35" s="1490">
        <v>0.6</v>
      </c>
      <c r="K35" s="2005">
        <f>278.684/(24*K$2)</f>
        <v>0.38706111111111113</v>
      </c>
      <c r="L35" s="2171">
        <f t="shared" ref="L35:M37" si="118">+((D35*D$2)+(F35*F$2)+(J35*J$2))/L$2</f>
        <v>0.6</v>
      </c>
      <c r="M35" s="2171">
        <f t="shared" si="118"/>
        <v>0.4490384615384615</v>
      </c>
      <c r="N35" s="1490">
        <v>0.6</v>
      </c>
      <c r="O35" s="2005">
        <f>546.224/(24*O$2)</f>
        <v>0.73417204301075278</v>
      </c>
      <c r="P35" s="344">
        <f t="shared" ref="P35:Q37" si="119">+((L35*L$2)+(N35*N$2))/P$2</f>
        <v>0.6</v>
      </c>
      <c r="Q35" s="344">
        <f t="shared" si="119"/>
        <v>0.52149043715846999</v>
      </c>
      <c r="R35" s="1490">
        <v>0.6</v>
      </c>
      <c r="S35" s="2005">
        <f>530.432/(24*S$2)</f>
        <v>0.7129462365591398</v>
      </c>
      <c r="T35" s="344">
        <f t="shared" ref="T35:T37" si="120">+((P35*P$2)+(R35*R$2))/T$2</f>
        <v>0.6</v>
      </c>
      <c r="U35" s="344">
        <f t="shared" ref="U35:U37" si="121">+((Q35*Q$2)+(S35*S$2))/U$2</f>
        <v>0.5602821350762528</v>
      </c>
      <c r="V35" s="1490">
        <v>0.3</v>
      </c>
      <c r="W35" s="2005">
        <f>492.8392/(24*W$2)</f>
        <v>0.68449888888888888</v>
      </c>
      <c r="X35" s="2171">
        <f t="shared" ref="X35:Y37" si="122">(N35*N$2+R35*R$2+V35*V$2)/X$2</f>
        <v>0.50217391304347825</v>
      </c>
      <c r="Y35" s="2171">
        <f t="shared" si="122"/>
        <v>0.71082210144927538</v>
      </c>
      <c r="Z35" s="493">
        <f t="shared" ref="Z35:Z37" si="123">(L35*L$2+X35*X$2)/Z$2</f>
        <v>0.55081967213114758</v>
      </c>
      <c r="AA35" s="493">
        <f t="shared" ref="AA35:AA37" si="124">(M35*M$2+Y35*Y$2)/AA$2</f>
        <v>0.5806455373406193</v>
      </c>
      <c r="AB35" s="1490">
        <v>0.6</v>
      </c>
      <c r="AC35" s="2005">
        <f>441.616/(24*AC$2)</f>
        <v>0.59356989247311831</v>
      </c>
      <c r="AD35" s="344">
        <f t="shared" ref="AD35:AD37" si="125">+((Z35*Z$2)+(AB35*AB$2))/AD$2</f>
        <v>0.55794392523364489</v>
      </c>
      <c r="AE35" s="344">
        <f t="shared" ref="AE35:AE37" si="126">+((AA35*AA$2)+(AC35*AC$2))/AE$2</f>
        <v>0.58251775700934583</v>
      </c>
      <c r="AF35" s="1490">
        <v>0.6</v>
      </c>
      <c r="AG35" s="2005">
        <f>464.688/(24*AG$2)</f>
        <v>0.64539999999999997</v>
      </c>
      <c r="AH35" s="344">
        <f t="shared" ref="AH35:AH37" si="127">+((AD35*AD$2)+(AF35*AF$2))/AH$2</f>
        <v>0.56311475409836065</v>
      </c>
      <c r="AI35" s="344">
        <f t="shared" ref="AI35:AI37" si="128">+((AE35*AE$2)+(AG35*AG$2))/AI$2</f>
        <v>0.59024918032786888</v>
      </c>
      <c r="AJ35" s="1490">
        <v>0.6</v>
      </c>
      <c r="AK35" s="2005">
        <f>478.296/(24*AK$2)</f>
        <v>0.64287096774193553</v>
      </c>
      <c r="AL35" s="2171">
        <f t="shared" ref="AL35:AL37" si="129">(AB35*AB$2+AF35*AF$2+AJ35*AJ$2)/AL$2</f>
        <v>0.59999999999999987</v>
      </c>
      <c r="AM35" s="2171">
        <f t="shared" ref="AM35:AM37" si="130">(AC35*AC$2+AG35*AG$2+AK35*AK$2)/AM$2</f>
        <v>0.62708333333333333</v>
      </c>
      <c r="AN35" s="344">
        <f t="shared" ref="AN35:AN37" si="131">+((AH35*AH$2)+(AJ35*AJ$2))/AN$2</f>
        <v>0.56727272727272726</v>
      </c>
      <c r="AO35" s="344">
        <f t="shared" ref="AO35:AO37" si="132">+((AI35*AI$2)+(AK35*AK$2))/AO$2</f>
        <v>0.59618109090909099</v>
      </c>
      <c r="AP35" s="1490">
        <v>0.6</v>
      </c>
      <c r="AQ35" s="2005">
        <f>470.68/(24*AQ$2)</f>
        <v>0.63263440860215059</v>
      </c>
      <c r="AR35" s="344">
        <f t="shared" ref="AR35:AR37" si="133">+((AN35*AN$2)+(AP35*AP$2))/AR$2</f>
        <v>0.57058823529411762</v>
      </c>
      <c r="AS35" s="344">
        <f t="shared" ref="AS35:AS37" si="134">+((AO35*AO$2)+(AQ35*AQ$2))/AS$2</f>
        <v>0.59987407407407412</v>
      </c>
      <c r="AT35" s="1490">
        <v>0.6</v>
      </c>
      <c r="AU35" s="2005">
        <f>416.53/(24*AU$2)</f>
        <v>0.61983630952380953</v>
      </c>
      <c r="AV35" s="344">
        <f t="shared" ref="AV35:AV37" si="135">+((AR35*AR$2)+(AT35*AT$2))/AV$2</f>
        <v>0.57305389221556891</v>
      </c>
      <c r="AW35" s="344">
        <f t="shared" ref="AW35:AW37" si="136">+((AS35*AS$2)+(AU35*AU$2))/AW$2</f>
        <v>0.6015475548902196</v>
      </c>
      <c r="AX35" s="1490">
        <v>0.6</v>
      </c>
      <c r="AY35" s="2005">
        <f>507.98/(24*AY$2)</f>
        <v>0.68276881720430105</v>
      </c>
      <c r="AZ35" s="2171">
        <f t="shared" ref="AZ35:AZ37" si="137">(AP35*AP$2+AT35*AT$2+AX35*AX$2)/AZ$2</f>
        <v>0.6</v>
      </c>
      <c r="BA35" s="2171">
        <f t="shared" ref="BA35:BA37" si="138">(AQ35*AQ$2+AU35*AU$2+AY35*AY$2)/BA$2</f>
        <v>0.64592129629629624</v>
      </c>
      <c r="BB35" s="493">
        <f t="shared" ref="BB35:BC37" si="139">(AL35*AL$2+AZ35*AZ$2)/BB$2</f>
        <v>0.6</v>
      </c>
      <c r="BC35" s="493">
        <f t="shared" si="139"/>
        <v>0.63639880952380945</v>
      </c>
      <c r="BD35" s="344">
        <f t="shared" ref="BD35:BD37" si="140">+((AV35*AV$2)+(AX35*AX$2))/BD$2</f>
        <v>0.57534246575342463</v>
      </c>
      <c r="BE35" s="344">
        <f t="shared" ref="BE35:BE37" si="141">+((AW35*AW$2)+(AY35*AY$2))/BE$2</f>
        <v>0.608445799086758</v>
      </c>
      <c r="BF35" s="1202"/>
      <c r="BG35" s="1202"/>
      <c r="BH35" s="26"/>
      <c r="BI35" s="26">
        <f t="shared" si="30"/>
        <v>6.3246575342465743</v>
      </c>
      <c r="BJ35" s="26">
        <f t="shared" si="31"/>
        <v>6.6836057075696695</v>
      </c>
    </row>
    <row r="36" spans="1:62" ht="18" x14ac:dyDescent="0.35">
      <c r="A36" s="2158"/>
      <c r="B36" s="2170" t="s">
        <v>561</v>
      </c>
      <c r="C36" s="49" t="s">
        <v>560</v>
      </c>
      <c r="D36" s="1490">
        <v>0.238666666666668</v>
      </c>
      <c r="E36" s="2005">
        <f>0/(24*E$2)</f>
        <v>0</v>
      </c>
      <c r="F36" s="1490">
        <v>0.238666666666668</v>
      </c>
      <c r="G36" s="2005">
        <f>0/(24*G$2)</f>
        <v>0</v>
      </c>
      <c r="H36" s="2008">
        <f t="shared" si="117"/>
        <v>0.23866666666666803</v>
      </c>
      <c r="I36" s="2772">
        <f t="shared" si="117"/>
        <v>0</v>
      </c>
      <c r="J36" s="1490">
        <v>0.238666666666668</v>
      </c>
      <c r="K36" s="2005">
        <f>0/(24*K$2)</f>
        <v>0</v>
      </c>
      <c r="L36" s="2171">
        <f t="shared" si="118"/>
        <v>0.238666666666668</v>
      </c>
      <c r="M36" s="2171">
        <f t="shared" si="118"/>
        <v>0</v>
      </c>
      <c r="N36" s="1490">
        <f>238.666666666668/1000</f>
        <v>0.238666666666668</v>
      </c>
      <c r="O36" s="2005">
        <f>0/(24*O$2)</f>
        <v>0</v>
      </c>
      <c r="P36" s="344">
        <f t="shared" si="119"/>
        <v>0.23866666666666803</v>
      </c>
      <c r="Q36" s="344">
        <f t="shared" si="119"/>
        <v>0</v>
      </c>
      <c r="R36" s="1490">
        <f>238.666666666668/1000</f>
        <v>0.238666666666668</v>
      </c>
      <c r="S36" s="2005">
        <f>0/(24*S$2)</f>
        <v>0</v>
      </c>
      <c r="T36" s="344">
        <f t="shared" si="120"/>
        <v>0.238666666666668</v>
      </c>
      <c r="U36" s="344">
        <f t="shared" si="121"/>
        <v>0</v>
      </c>
      <c r="V36" s="1490">
        <v>0.34466666666666701</v>
      </c>
      <c r="W36" s="2005">
        <f>0/(24*W$2)</f>
        <v>0</v>
      </c>
      <c r="X36" s="2171">
        <f t="shared" si="122"/>
        <v>0.27323188405797205</v>
      </c>
      <c r="Y36" s="2171">
        <f t="shared" si="122"/>
        <v>0</v>
      </c>
      <c r="Z36" s="493">
        <f t="shared" si="123"/>
        <v>0.25604371584699576</v>
      </c>
      <c r="AA36" s="493">
        <f t="shared" si="124"/>
        <v>0</v>
      </c>
      <c r="AB36" s="1490">
        <v>0.238666666666668</v>
      </c>
      <c r="AC36" s="2005">
        <f>0/(24*AC$2)</f>
        <v>0</v>
      </c>
      <c r="AD36" s="344">
        <f t="shared" si="125"/>
        <v>0.25352647975078002</v>
      </c>
      <c r="AE36" s="344">
        <f t="shared" si="126"/>
        <v>0</v>
      </c>
      <c r="AF36" s="1490">
        <v>0.238666666666668</v>
      </c>
      <c r="AG36" s="2005">
        <f>0/(24*AG$2)</f>
        <v>0</v>
      </c>
      <c r="AH36" s="344">
        <f t="shared" si="127"/>
        <v>0.25169945355191375</v>
      </c>
      <c r="AI36" s="344">
        <f t="shared" si="128"/>
        <v>0</v>
      </c>
      <c r="AJ36" s="1490">
        <v>0.238666666666668</v>
      </c>
      <c r="AK36" s="2005">
        <f>0/(24*AK$2)</f>
        <v>0</v>
      </c>
      <c r="AL36" s="2171">
        <f t="shared" si="129"/>
        <v>0.23866666666666803</v>
      </c>
      <c r="AM36" s="2171">
        <f t="shared" si="130"/>
        <v>0</v>
      </c>
      <c r="AN36" s="344">
        <f t="shared" si="131"/>
        <v>0.25023030303030419</v>
      </c>
      <c r="AO36" s="344">
        <f t="shared" si="132"/>
        <v>0</v>
      </c>
      <c r="AP36" s="1490">
        <v>0.23866666666666753</v>
      </c>
      <c r="AQ36" s="2005">
        <f>0/(24*AQ$2)</f>
        <v>0</v>
      </c>
      <c r="AR36" s="344">
        <f t="shared" si="133"/>
        <v>0.24905882352941294</v>
      </c>
      <c r="AS36" s="344">
        <f t="shared" si="134"/>
        <v>0</v>
      </c>
      <c r="AT36" s="1490">
        <v>0.23866666666666753</v>
      </c>
      <c r="AU36" s="2005">
        <f>0/(24*AU$2)</f>
        <v>0</v>
      </c>
      <c r="AV36" s="344">
        <f t="shared" si="135"/>
        <v>0.24818762475050016</v>
      </c>
      <c r="AW36" s="344">
        <f t="shared" si="136"/>
        <v>0</v>
      </c>
      <c r="AX36" s="1490">
        <v>0.23866666666666753</v>
      </c>
      <c r="AY36" s="2005">
        <f>0/(24*AY$2)</f>
        <v>0</v>
      </c>
      <c r="AZ36" s="2171">
        <f t="shared" si="137"/>
        <v>0.2386666666666675</v>
      </c>
      <c r="BA36" s="2171">
        <f t="shared" si="138"/>
        <v>0</v>
      </c>
      <c r="BB36" s="493">
        <f t="shared" si="139"/>
        <v>0.23866666666666778</v>
      </c>
      <c r="BC36" s="493">
        <f t="shared" si="139"/>
        <v>0</v>
      </c>
      <c r="BD36" s="344">
        <f t="shared" si="140"/>
        <v>0.2473789954337911</v>
      </c>
      <c r="BE36" s="344">
        <f t="shared" si="141"/>
        <v>0</v>
      </c>
      <c r="BF36" s="1202"/>
      <c r="BG36" s="1202"/>
      <c r="BH36" s="26"/>
      <c r="BI36" s="26">
        <f t="shared" si="30"/>
        <v>2.7226210045662218</v>
      </c>
      <c r="BJ36" s="26">
        <f t="shared" si="31"/>
        <v>0</v>
      </c>
    </row>
    <row r="37" spans="1:62" ht="18" x14ac:dyDescent="0.35">
      <c r="A37" s="2158"/>
      <c r="B37" s="6488" t="s">
        <v>101</v>
      </c>
      <c r="C37" s="49" t="s">
        <v>560</v>
      </c>
      <c r="D37" s="1490">
        <v>0.58333333333333204</v>
      </c>
      <c r="E37" s="2005">
        <f>354.7376/(24*E$2)</f>
        <v>0.49269111111111108</v>
      </c>
      <c r="F37" s="1490">
        <v>0.58333333333333204</v>
      </c>
      <c r="G37" s="2005">
        <f>392.7952/(24*G$2)</f>
        <v>0.52795053763440858</v>
      </c>
      <c r="H37" s="2008">
        <f t="shared" si="117"/>
        <v>0.58333333333333204</v>
      </c>
      <c r="I37" s="2772">
        <f t="shared" si="117"/>
        <v>0.51060983606557375</v>
      </c>
      <c r="J37" s="1490">
        <v>0.58333333333333204</v>
      </c>
      <c r="K37" s="2005">
        <f>518/(24*K$2)</f>
        <v>0.71944444444444444</v>
      </c>
      <c r="L37" s="2171">
        <f t="shared" si="118"/>
        <v>0.58333333333333204</v>
      </c>
      <c r="M37" s="2171">
        <f t="shared" si="118"/>
        <v>0.57945641025641015</v>
      </c>
      <c r="N37" s="1490">
        <v>0.58333333333333204</v>
      </c>
      <c r="O37" s="2005">
        <f>221.7376/(24*O$2)</f>
        <v>0.29803440860215052</v>
      </c>
      <c r="P37" s="344">
        <f t="shared" si="119"/>
        <v>0.58333333333333204</v>
      </c>
      <c r="Q37" s="344">
        <f t="shared" si="119"/>
        <v>0.5079475409836065</v>
      </c>
      <c r="R37" s="1490">
        <v>0.58333333333333204</v>
      </c>
      <c r="S37" s="2005">
        <f>228.0208/(24*S$2)</f>
        <v>0.3064795698924731</v>
      </c>
      <c r="T37" s="344">
        <f t="shared" si="120"/>
        <v>0.58333333333333204</v>
      </c>
      <c r="U37" s="344">
        <f t="shared" si="121"/>
        <v>0.46712723311546833</v>
      </c>
      <c r="V37" s="1490">
        <v>0.30333333333333301</v>
      </c>
      <c r="W37" s="2005">
        <f>228.7488/(24*W$2)</f>
        <v>0.31770666666666664</v>
      </c>
      <c r="X37" s="2171">
        <f t="shared" si="122"/>
        <v>0.49202898550724544</v>
      </c>
      <c r="Y37" s="2171">
        <f t="shared" si="122"/>
        <v>0.30729492753623189</v>
      </c>
      <c r="Z37" s="493">
        <f t="shared" si="123"/>
        <v>0.53743169398906987</v>
      </c>
      <c r="AA37" s="493">
        <f t="shared" si="124"/>
        <v>0.442632058287796</v>
      </c>
      <c r="AB37" s="1490">
        <f>583.333333333332/1000</f>
        <v>0.58333333333333204</v>
      </c>
      <c r="AC37" s="2005">
        <f>286.6472/(24*AC$2)</f>
        <v>0.38527849462365593</v>
      </c>
      <c r="AD37" s="344">
        <f t="shared" si="125"/>
        <v>0.54408099688473399</v>
      </c>
      <c r="AE37" s="344">
        <f t="shared" si="126"/>
        <v>0.43432383177570094</v>
      </c>
      <c r="AF37" s="1490">
        <v>0.58333333333333204</v>
      </c>
      <c r="AG37" s="2005">
        <f>331.5928/(24*AG$2)</f>
        <v>0.4605455555555556</v>
      </c>
      <c r="AH37" s="344">
        <f t="shared" si="127"/>
        <v>0.54890710382513541</v>
      </c>
      <c r="AI37" s="344">
        <f t="shared" si="128"/>
        <v>0.43754781420765027</v>
      </c>
      <c r="AJ37" s="1490">
        <f>583.333333333332/1000</f>
        <v>0.58333333333333204</v>
      </c>
      <c r="AK37" s="2005">
        <f>411.1016/(24*AK$2)</f>
        <v>0.55255591397849468</v>
      </c>
      <c r="AL37" s="2171">
        <f t="shared" si="129"/>
        <v>0.58333333333333204</v>
      </c>
      <c r="AM37" s="2171">
        <f t="shared" si="130"/>
        <v>0.46618731884057973</v>
      </c>
      <c r="AN37" s="344">
        <f t="shared" si="131"/>
        <v>0.55278787878787761</v>
      </c>
      <c r="AO37" s="344">
        <f t="shared" si="132"/>
        <v>0.45051236363636366</v>
      </c>
      <c r="AP37" s="1490">
        <v>0.58333333333333248</v>
      </c>
      <c r="AQ37" s="2005">
        <f>307.05/(24*AQ$2)</f>
        <v>0.41270161290322582</v>
      </c>
      <c r="AR37" s="344">
        <f t="shared" si="133"/>
        <v>0.55588235294117538</v>
      </c>
      <c r="AS37" s="344">
        <f t="shared" si="134"/>
        <v>0.44668186274509808</v>
      </c>
      <c r="AT37" s="1490">
        <v>0.58333333333333248</v>
      </c>
      <c r="AU37" s="2005">
        <f>379.05/(24*AU$2)</f>
        <v>0.56406250000000002</v>
      </c>
      <c r="AV37" s="344">
        <f t="shared" si="135"/>
        <v>0.55818363273452998</v>
      </c>
      <c r="AW37" s="344">
        <f t="shared" si="136"/>
        <v>0.45652215568862275</v>
      </c>
      <c r="AX37" s="1490">
        <v>0.58333333333333248</v>
      </c>
      <c r="AY37" s="2005">
        <f>287.96/(24*AY$2)</f>
        <v>0.38704301075268815</v>
      </c>
      <c r="AZ37" s="2171">
        <f t="shared" si="137"/>
        <v>0.58333333333333248</v>
      </c>
      <c r="BA37" s="2171">
        <f t="shared" si="138"/>
        <v>0.45095370370370369</v>
      </c>
      <c r="BB37" s="493">
        <f t="shared" si="139"/>
        <v>0.58333333333333226</v>
      </c>
      <c r="BC37" s="493">
        <f t="shared" si="139"/>
        <v>0.45865421245421245</v>
      </c>
      <c r="BD37" s="344">
        <f t="shared" si="140"/>
        <v>0.56031963470319546</v>
      </c>
      <c r="BE37" s="344">
        <f t="shared" si="141"/>
        <v>0.45062118721461186</v>
      </c>
      <c r="BF37" s="1202"/>
      <c r="BG37" s="1202"/>
      <c r="BH37" s="26"/>
      <c r="BI37" s="26">
        <f t="shared" si="30"/>
        <v>6.1596803652967917</v>
      </c>
      <c r="BJ37" s="26">
        <f t="shared" si="31"/>
        <v>4.9738726389502625</v>
      </c>
    </row>
    <row r="38" spans="1:62" ht="18" x14ac:dyDescent="0.35">
      <c r="A38" s="2158"/>
      <c r="B38" s="6488"/>
      <c r="C38" s="49" t="s">
        <v>50</v>
      </c>
      <c r="D38" s="732">
        <v>750</v>
      </c>
      <c r="E38" s="2004">
        <v>633.46</v>
      </c>
      <c r="F38" s="732">
        <v>775</v>
      </c>
      <c r="G38" s="2004">
        <v>701.42</v>
      </c>
      <c r="H38" s="345">
        <f>+D38+F38</f>
        <v>1525</v>
      </c>
      <c r="I38" s="206">
        <f>+E38+G38</f>
        <v>1334.88</v>
      </c>
      <c r="J38" s="732">
        <v>750</v>
      </c>
      <c r="K38" s="2004">
        <v>925</v>
      </c>
      <c r="L38" s="400">
        <f>+D38+F38+J38</f>
        <v>2275</v>
      </c>
      <c r="M38" s="400">
        <f>+E38+G38+K38</f>
        <v>2259.88</v>
      </c>
      <c r="N38" s="732">
        <v>775</v>
      </c>
      <c r="O38" s="2004">
        <v>395.96</v>
      </c>
      <c r="P38" s="2100">
        <f>+L38+N38</f>
        <v>3050</v>
      </c>
      <c r="Q38" s="2100">
        <f>+M38+O38</f>
        <v>2655.84</v>
      </c>
      <c r="R38" s="732">
        <v>775</v>
      </c>
      <c r="S38" s="2004">
        <v>407.18</v>
      </c>
      <c r="T38" s="2100">
        <f>+P38+R38</f>
        <v>3825</v>
      </c>
      <c r="U38" s="2100">
        <f>+Q38+S38</f>
        <v>3063.02</v>
      </c>
      <c r="V38" s="732">
        <v>390</v>
      </c>
      <c r="W38" s="2004">
        <v>408.48000000000008</v>
      </c>
      <c r="X38" s="400">
        <f>N38+R38+V38</f>
        <v>1940</v>
      </c>
      <c r="Y38" s="400">
        <f>O38+S38+W38</f>
        <v>1211.6200000000001</v>
      </c>
      <c r="Z38" s="492">
        <f>L38+X38</f>
        <v>4215</v>
      </c>
      <c r="AA38" s="492">
        <f>M38+Y38</f>
        <v>3471.5</v>
      </c>
      <c r="AB38" s="732">
        <v>775</v>
      </c>
      <c r="AC38" s="2004">
        <v>511.87</v>
      </c>
      <c r="AD38" s="2100">
        <f>+Z38+AB38</f>
        <v>4990</v>
      </c>
      <c r="AE38" s="2100">
        <f>+AA38+AC38</f>
        <v>3983.37</v>
      </c>
      <c r="AF38" s="732">
        <v>750</v>
      </c>
      <c r="AG38" s="2004">
        <v>592.13</v>
      </c>
      <c r="AH38" s="2100">
        <f>+AD38+AF38</f>
        <v>5740</v>
      </c>
      <c r="AI38" s="2100">
        <f>+AE38+AG38</f>
        <v>4575.5</v>
      </c>
      <c r="AJ38" s="732">
        <v>775</v>
      </c>
      <c r="AK38" s="2004">
        <v>734.11</v>
      </c>
      <c r="AL38" s="400">
        <f>AB38+AF38+AJ38</f>
        <v>2300</v>
      </c>
      <c r="AM38" s="400">
        <f>AC38+AG38+AK38</f>
        <v>1838.1100000000001</v>
      </c>
      <c r="AN38" s="2100">
        <f>+AH38+AJ38</f>
        <v>6515</v>
      </c>
      <c r="AO38" s="2100">
        <f>+AI38+AK38</f>
        <v>5309.61</v>
      </c>
      <c r="AP38" s="732">
        <v>775</v>
      </c>
      <c r="AQ38" s="2004">
        <v>548.29999999999995</v>
      </c>
      <c r="AR38" s="2100">
        <f>+AN38+AP38</f>
        <v>7290</v>
      </c>
      <c r="AS38" s="2100">
        <f>+AO38+AQ38</f>
        <v>5857.91</v>
      </c>
      <c r="AT38" s="732">
        <v>775</v>
      </c>
      <c r="AU38" s="2004">
        <v>676.88</v>
      </c>
      <c r="AV38" s="2100">
        <f>+AR38+AT38</f>
        <v>8065</v>
      </c>
      <c r="AW38" s="2100">
        <f>+AS38+AU38</f>
        <v>6534.79</v>
      </c>
      <c r="AX38" s="732">
        <v>775</v>
      </c>
      <c r="AY38" s="2004"/>
      <c r="AZ38" s="400">
        <f>AP38+AT38+AX38</f>
        <v>2325</v>
      </c>
      <c r="BA38" s="400">
        <f>AQ38+AU38+AY38</f>
        <v>1225.1799999999998</v>
      </c>
      <c r="BB38" s="492">
        <f>AL38+AZ38</f>
        <v>4625</v>
      </c>
      <c r="BC38" s="492">
        <f>AM38+BA38</f>
        <v>3063.29</v>
      </c>
      <c r="BD38" s="2100">
        <f>+AV38+AX38</f>
        <v>8840</v>
      </c>
      <c r="BE38" s="2100">
        <f>+AW38+AY38</f>
        <v>6534.79</v>
      </c>
      <c r="BF38" s="1202"/>
      <c r="BG38" s="1202"/>
      <c r="BH38" s="26"/>
      <c r="BI38" s="26">
        <f t="shared" si="30"/>
        <v>0</v>
      </c>
      <c r="BJ38" s="26">
        <f t="shared" si="31"/>
        <v>0</v>
      </c>
    </row>
    <row r="39" spans="1:62" ht="18.600000000000001" thickBot="1" x14ac:dyDescent="0.4">
      <c r="A39" s="2169"/>
      <c r="B39" s="2178" t="s">
        <v>21</v>
      </c>
      <c r="C39" s="2179" t="s">
        <v>560</v>
      </c>
      <c r="D39" s="3084">
        <f>SUM(D35:D37)</f>
        <v>1.4220000000000002</v>
      </c>
      <c r="E39" s="3083">
        <f t="shared" ref="E39" si="142">SUM(E35:E37)</f>
        <v>0.88710222222222224</v>
      </c>
      <c r="F39" s="3084">
        <f>SUM(F35:F37)</f>
        <v>1.4220000000000002</v>
      </c>
      <c r="G39" s="3083">
        <f t="shared" ref="G39" si="143">SUM(G35:G37)</f>
        <v>1.0898322580645161</v>
      </c>
      <c r="H39" s="3087">
        <f t="shared" ref="H39:AE39" si="144">SUM(H35:H37)</f>
        <v>1.4219999999999999</v>
      </c>
      <c r="I39" s="3088">
        <f t="shared" si="144"/>
        <v>0.99012896174863385</v>
      </c>
      <c r="J39" s="3084">
        <f>SUM(J35:J37)</f>
        <v>1.4220000000000002</v>
      </c>
      <c r="K39" s="3083">
        <f t="shared" ref="K39" si="145">SUM(K35:K37)</f>
        <v>1.1065055555555556</v>
      </c>
      <c r="L39" s="2181">
        <f>SUM(L35:L37)</f>
        <v>1.4220000000000002</v>
      </c>
      <c r="M39" s="2182">
        <f>SUM(M35:M37)</f>
        <v>1.0284948717948716</v>
      </c>
      <c r="N39" s="3084">
        <f>SUM(N35:N37)</f>
        <v>1.4220000000000002</v>
      </c>
      <c r="O39" s="3083">
        <f t="shared" ref="O39" si="146">SUM(O35:O37)</f>
        <v>1.0322064516129033</v>
      </c>
      <c r="P39" s="344">
        <f t="shared" si="144"/>
        <v>1.4220000000000002</v>
      </c>
      <c r="Q39" s="344">
        <f t="shared" si="144"/>
        <v>1.0294379781420764</v>
      </c>
      <c r="R39" s="3084">
        <f>SUM(R35:R37)</f>
        <v>1.4220000000000002</v>
      </c>
      <c r="S39" s="3083">
        <f t="shared" ref="S39" si="147">SUM(S35:S37)</f>
        <v>1.0194258064516128</v>
      </c>
      <c r="T39" s="344">
        <f t="shared" ref="T39:U39" si="148">SUM(T35:T37)</f>
        <v>1.4220000000000002</v>
      </c>
      <c r="U39" s="344">
        <f t="shared" si="148"/>
        <v>1.0274093681917211</v>
      </c>
      <c r="V39" s="3084">
        <f>SUM(V35:V37)</f>
        <v>0.94799999999999995</v>
      </c>
      <c r="W39" s="3083">
        <f t="shared" ref="W39" si="149">SUM(W35:W37)</f>
        <v>1.0022055555555556</v>
      </c>
      <c r="X39" s="2181">
        <f>SUM(X35:X37)</f>
        <v>1.2674347826086958</v>
      </c>
      <c r="Y39" s="2182">
        <f>SUM(Y35:Y37)</f>
        <v>1.0181170289855073</v>
      </c>
      <c r="Z39" s="2185">
        <f t="shared" si="144"/>
        <v>1.3442950819672133</v>
      </c>
      <c r="AA39" s="5017">
        <f t="shared" si="144"/>
        <v>1.0232775956284152</v>
      </c>
      <c r="AB39" s="3084">
        <f>SUM(AB35:AB37)</f>
        <v>1.4220000000000002</v>
      </c>
      <c r="AC39" s="3083">
        <f t="shared" ref="AC39" si="150">SUM(AC35:AC37)</f>
        <v>0.97884838709677424</v>
      </c>
      <c r="AD39" s="344">
        <f t="shared" si="144"/>
        <v>1.355551401869159</v>
      </c>
      <c r="AE39" s="344">
        <f t="shared" si="144"/>
        <v>1.0168415887850468</v>
      </c>
      <c r="AF39" s="3084">
        <f>SUM(AF35:AF37)</f>
        <v>1.4220000000000002</v>
      </c>
      <c r="AG39" s="3083">
        <f t="shared" ref="AG39" si="151">SUM(AG35:AG37)</f>
        <v>1.1059455555555555</v>
      </c>
      <c r="AH39" s="344">
        <f t="shared" ref="AH39:AI39" si="152">SUM(AH35:AH37)</f>
        <v>1.3637213114754099</v>
      </c>
      <c r="AI39" s="344">
        <f t="shared" si="152"/>
        <v>1.0277969945355192</v>
      </c>
      <c r="AJ39" s="3084">
        <f>SUM(AJ35:AJ37)</f>
        <v>1.4220000000000002</v>
      </c>
      <c r="AK39" s="3083">
        <f t="shared" ref="AK39" si="153">SUM(AK35:AK37)</f>
        <v>1.1954268817204303</v>
      </c>
      <c r="AL39" s="2181">
        <f>SUM(AL35:AL37)</f>
        <v>1.4219999999999999</v>
      </c>
      <c r="AM39" s="2182">
        <f>SUM(AM35:AM37)</f>
        <v>1.0932706521739131</v>
      </c>
      <c r="AN39" s="344">
        <f t="shared" ref="AN39:AS39" si="154">SUM(AN35:AN37)</f>
        <v>1.370290909090909</v>
      </c>
      <c r="AO39" s="344">
        <f t="shared" si="154"/>
        <v>1.0466934545454547</v>
      </c>
      <c r="AP39" s="3084">
        <f>SUM(AP35:AP37)</f>
        <v>1.4220000000000002</v>
      </c>
      <c r="AQ39" s="3083">
        <f t="shared" ref="AQ39" si="155">SUM(AQ35:AQ37)</f>
        <v>1.0453360215053764</v>
      </c>
      <c r="AR39" s="344">
        <f t="shared" si="154"/>
        <v>1.3755294117647059</v>
      </c>
      <c r="AS39" s="344">
        <f t="shared" si="154"/>
        <v>1.0465559368191721</v>
      </c>
      <c r="AT39" s="3084">
        <f>SUM(AT35:AT37)</f>
        <v>1.4220000000000002</v>
      </c>
      <c r="AU39" s="3083">
        <f t="shared" ref="AU39" si="156">SUM(AU35:AU37)</f>
        <v>1.1838988095238094</v>
      </c>
      <c r="AV39" s="344">
        <f t="shared" ref="AV39:AW39" si="157">SUM(AV35:AV37)</f>
        <v>1.3794251497005989</v>
      </c>
      <c r="AW39" s="344">
        <f t="shared" si="157"/>
        <v>1.0580697105788424</v>
      </c>
      <c r="AX39" s="2180">
        <f t="shared" ref="AX39:AY39" si="158">SUM(AX35:AX37)</f>
        <v>1.4220000000000002</v>
      </c>
      <c r="AY39" s="3083">
        <f t="shared" si="158"/>
        <v>1.0698118279569893</v>
      </c>
      <c r="AZ39" s="2181">
        <f>SUM(AZ35:AZ37)</f>
        <v>1.4219999999999999</v>
      </c>
      <c r="BA39" s="2182">
        <f>SUM(BA35:BA37)</f>
        <v>1.0968749999999998</v>
      </c>
      <c r="BB39" s="2185">
        <f t="shared" ref="BB39:BC39" si="159">SUM(BB35:BB37)</f>
        <v>1.4220000000000002</v>
      </c>
      <c r="BC39" s="2185">
        <f t="shared" si="159"/>
        <v>1.0950530219780219</v>
      </c>
      <c r="BD39" s="344">
        <f t="shared" ref="BD39:BE39" si="160">SUM(BD35:BD37)</f>
        <v>1.3830410958904111</v>
      </c>
      <c r="BE39" s="344">
        <f t="shared" si="160"/>
        <v>1.05906698630137</v>
      </c>
      <c r="BF39" s="1202"/>
      <c r="BG39" s="1202"/>
      <c r="BH39" s="26"/>
      <c r="BI39" s="26">
        <f t="shared" si="30"/>
        <v>15.206958904109593</v>
      </c>
      <c r="BJ39" s="26">
        <f t="shared" si="31"/>
        <v>11.65747834651993</v>
      </c>
    </row>
    <row r="40" spans="1:62" x14ac:dyDescent="0.3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3">
      <c r="S42" s="528"/>
    </row>
  </sheetData>
  <mergeCells count="63">
    <mergeCell ref="AX3:AY3"/>
    <mergeCell ref="BD3:BE3"/>
    <mergeCell ref="AY29:AY30"/>
    <mergeCell ref="BE29:BE30"/>
    <mergeCell ref="AZ3:BA3"/>
    <mergeCell ref="BA29:BA30"/>
    <mergeCell ref="BB3:BC3"/>
    <mergeCell ref="BC29:BC30"/>
    <mergeCell ref="AJ3:AK3"/>
    <mergeCell ref="AN3:AO3"/>
    <mergeCell ref="AK29:AK30"/>
    <mergeCell ref="AO29:AO30"/>
    <mergeCell ref="AL3:AM3"/>
    <mergeCell ref="AM29:AM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L3:M3"/>
    <mergeCell ref="P3:Q3"/>
    <mergeCell ref="N3:O3"/>
    <mergeCell ref="V3:W3"/>
    <mergeCell ref="Z3:AA3"/>
    <mergeCell ref="X3:Y3"/>
    <mergeCell ref="R3:S3"/>
    <mergeCell ref="T3:U3"/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</mergeCells>
  <pageMargins left="0.7" right="0.7" top="0.75" bottom="0.75" header="0.3" footer="0.3"/>
  <pageSetup scale="6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AQ2" activePane="bottomRight" state="frozen"/>
      <selection pane="topRight" activeCell="E1" sqref="E1"/>
      <selection pane="bottomLeft" activeCell="A2" sqref="A2"/>
      <selection pane="bottomRight" activeCell="BD37" sqref="BD37"/>
    </sheetView>
  </sheetViews>
  <sheetFormatPr defaultRowHeight="14.4" x14ac:dyDescent="0.3"/>
  <cols>
    <col min="3" max="3" width="19" customWidth="1"/>
    <col min="4" max="4" width="23.33203125" bestFit="1" customWidth="1"/>
    <col min="5" max="5" width="13.6640625" customWidth="1"/>
    <col min="6" max="6" width="12.6640625" customWidth="1"/>
    <col min="7" max="7" width="12.5546875" customWidth="1"/>
    <col min="8" max="8" width="11.88671875" customWidth="1"/>
    <col min="9" max="10" width="11.88671875" hidden="1" customWidth="1"/>
    <col min="11" max="11" width="11.109375" customWidth="1"/>
    <col min="12" max="12" width="9.6640625" customWidth="1"/>
    <col min="13" max="13" width="11.109375" customWidth="1"/>
    <col min="14" max="14" width="9.6640625" customWidth="1"/>
    <col min="15" max="15" width="11.109375" customWidth="1"/>
    <col min="16" max="16" width="9.6640625" customWidth="1"/>
    <col min="17" max="17" width="11.109375" hidden="1" customWidth="1"/>
    <col min="18" max="18" width="9.6640625" hidden="1" customWidth="1"/>
    <col min="19" max="19" width="11.109375" customWidth="1"/>
    <col min="20" max="20" width="9.6640625" customWidth="1"/>
    <col min="21" max="21" width="13" hidden="1" customWidth="1"/>
    <col min="22" max="22" width="11.6640625" hidden="1" customWidth="1"/>
    <col min="23" max="23" width="11.109375" customWidth="1"/>
    <col min="24" max="24" width="9.6640625" customWidth="1"/>
    <col min="25" max="25" width="11.109375" customWidth="1"/>
    <col min="26" max="26" width="9.6640625" customWidth="1"/>
    <col min="27" max="27" width="11.109375" customWidth="1"/>
    <col min="28" max="28" width="9.6640625" customWidth="1"/>
    <col min="29" max="29" width="11.109375" customWidth="1"/>
    <col min="30" max="30" width="9.109375" customWidth="1"/>
    <col min="31" max="31" width="11.109375" hidden="1" customWidth="1"/>
    <col min="32" max="32" width="9.6640625" hidden="1" customWidth="1"/>
    <col min="33" max="33" width="11.109375" customWidth="1"/>
    <col min="34" max="34" width="9.6640625" customWidth="1"/>
    <col min="35" max="35" width="11.109375" hidden="1" customWidth="1"/>
    <col min="36" max="36" width="9.6640625" hidden="1" customWidth="1"/>
    <col min="37" max="37" width="11.109375" customWidth="1"/>
    <col min="38" max="38" width="9.6640625" customWidth="1"/>
    <col min="39" max="39" width="11.109375" customWidth="1"/>
    <col min="40" max="40" width="9.6640625" customWidth="1"/>
    <col min="41" max="41" width="11.109375" hidden="1" customWidth="1"/>
    <col min="42" max="42" width="9.6640625" hidden="1" customWidth="1"/>
    <col min="43" max="43" width="11.109375" customWidth="1"/>
    <col min="44" max="44" width="9.109375" customWidth="1"/>
    <col min="45" max="45" width="11.109375" hidden="1" customWidth="1"/>
    <col min="46" max="46" width="9.6640625" hidden="1" customWidth="1"/>
    <col min="47" max="47" width="11.109375" customWidth="1"/>
    <col min="48" max="48" width="9.6640625" customWidth="1"/>
    <col min="49" max="49" width="11.109375" hidden="1" customWidth="1"/>
    <col min="50" max="50" width="9.6640625" hidden="1" customWidth="1"/>
    <col min="51" max="51" width="11.109375" customWidth="1"/>
    <col min="52" max="52" width="9.6640625" customWidth="1"/>
    <col min="53" max="53" width="11.109375" customWidth="1"/>
    <col min="54" max="54" width="9.6640625" customWidth="1"/>
    <col min="55" max="55" width="11.109375" customWidth="1"/>
    <col min="56" max="56" width="9.6640625" customWidth="1"/>
    <col min="57" max="57" width="11.109375" customWidth="1"/>
    <col min="58" max="58" width="9.6640625" customWidth="1"/>
    <col min="59" max="59" width="9.109375" hidden="1" customWidth="1"/>
    <col min="60" max="61" width="0" hidden="1" customWidth="1"/>
  </cols>
  <sheetData>
    <row r="1" spans="3:62" ht="23.4" x14ac:dyDescent="0.45">
      <c r="C1" s="6503" t="s">
        <v>991</v>
      </c>
      <c r="D1" s="6503"/>
      <c r="E1" s="6503"/>
      <c r="F1" s="6503"/>
      <c r="G1" s="6503"/>
      <c r="H1" s="6503"/>
      <c r="I1" s="6503"/>
      <c r="J1" s="6503"/>
      <c r="K1" s="6503"/>
      <c r="L1" s="6503"/>
      <c r="M1" s="6503"/>
      <c r="N1" s="6503"/>
      <c r="O1" s="6503"/>
      <c r="P1" s="6503"/>
      <c r="Q1" s="6503"/>
      <c r="R1" s="6503"/>
      <c r="S1" s="6503"/>
      <c r="T1" s="6503"/>
    </row>
    <row r="2" spans="3:62" ht="24" thickBot="1" x14ac:dyDescent="0.5">
      <c r="C2" s="1075"/>
      <c r="D2" s="1075"/>
      <c r="E2" s="1075"/>
      <c r="F2" s="1075"/>
      <c r="G2" s="1075"/>
      <c r="H2" s="1075"/>
      <c r="I2" s="1075"/>
      <c r="J2" s="1075"/>
      <c r="K2" s="1075"/>
      <c r="L2" s="1075"/>
      <c r="M2" s="1075"/>
      <c r="N2" s="1075"/>
      <c r="O2" s="1075"/>
      <c r="P2" s="1075"/>
      <c r="Q2" s="1075"/>
      <c r="R2" s="1075"/>
      <c r="S2" s="1075"/>
      <c r="T2" s="1075"/>
    </row>
    <row r="3" spans="3:62" ht="15" thickBot="1" x14ac:dyDescent="0.35">
      <c r="C3" s="1100"/>
      <c r="D3" s="1101"/>
      <c r="E3" s="6497" t="s">
        <v>1998</v>
      </c>
      <c r="F3" s="6498"/>
      <c r="G3" s="6497" t="s">
        <v>2013</v>
      </c>
      <c r="H3" s="6498"/>
      <c r="I3" s="6499" t="s">
        <v>658</v>
      </c>
      <c r="J3" s="6500"/>
      <c r="K3" s="6504" t="s">
        <v>2043</v>
      </c>
      <c r="L3" s="6504"/>
      <c r="M3" s="6505" t="s">
        <v>637</v>
      </c>
      <c r="N3" s="6506"/>
      <c r="O3" s="6497" t="s">
        <v>2065</v>
      </c>
      <c r="P3" s="6498"/>
      <c r="Q3" s="6499" t="s">
        <v>651</v>
      </c>
      <c r="R3" s="6500"/>
      <c r="S3" s="6497" t="s">
        <v>2068</v>
      </c>
      <c r="T3" s="6498"/>
      <c r="U3" s="6499" t="s">
        <v>830</v>
      </c>
      <c r="V3" s="6500"/>
      <c r="W3" s="6504" t="s">
        <v>2110</v>
      </c>
      <c r="X3" s="6504"/>
      <c r="Y3" s="6505" t="s">
        <v>660</v>
      </c>
      <c r="Z3" s="6506"/>
      <c r="AA3" s="6514" t="s">
        <v>657</v>
      </c>
      <c r="AB3" s="6515"/>
      <c r="AC3" s="6497" t="s">
        <v>2135</v>
      </c>
      <c r="AD3" s="6498"/>
      <c r="AE3" s="6499" t="s">
        <v>1090</v>
      </c>
      <c r="AF3" s="6500"/>
      <c r="AG3" s="6497" t="s">
        <v>2238</v>
      </c>
      <c r="AH3" s="6498"/>
      <c r="AI3" s="6499" t="s">
        <v>1599</v>
      </c>
      <c r="AJ3" s="6500"/>
      <c r="AK3" s="6497" t="s">
        <v>2262</v>
      </c>
      <c r="AL3" s="6498"/>
      <c r="AM3" s="6501" t="s">
        <v>662</v>
      </c>
      <c r="AN3" s="6502"/>
      <c r="AO3" s="6499" t="s">
        <v>908</v>
      </c>
      <c r="AP3" s="6500"/>
      <c r="AQ3" s="6497" t="s">
        <v>2274</v>
      </c>
      <c r="AR3" s="6498"/>
      <c r="AS3" s="6499" t="s">
        <v>1631</v>
      </c>
      <c r="AT3" s="6500"/>
      <c r="AU3" s="6497" t="s">
        <v>2311</v>
      </c>
      <c r="AV3" s="6498"/>
      <c r="AW3" s="6499" t="s">
        <v>1637</v>
      </c>
      <c r="AX3" s="6500"/>
      <c r="AY3" s="6497" t="s">
        <v>2329</v>
      </c>
      <c r="AZ3" s="6498"/>
      <c r="BA3" s="6501" t="s">
        <v>663</v>
      </c>
      <c r="BB3" s="6502"/>
      <c r="BC3" s="6507" t="s">
        <v>670</v>
      </c>
      <c r="BD3" s="6508"/>
      <c r="BE3" s="6499" t="s">
        <v>2041</v>
      </c>
      <c r="BF3" s="6500"/>
    </row>
    <row r="4" spans="3:62" ht="15" thickBot="1" x14ac:dyDescent="0.35">
      <c r="C4" s="563" t="s">
        <v>974</v>
      </c>
      <c r="D4" s="559"/>
      <c r="E4" s="1477" t="s">
        <v>977</v>
      </c>
      <c r="F4" s="563" t="s">
        <v>978</v>
      </c>
      <c r="G4" s="1477" t="s">
        <v>977</v>
      </c>
      <c r="H4" s="563" t="s">
        <v>978</v>
      </c>
      <c r="I4" s="1478" t="s">
        <v>977</v>
      </c>
      <c r="J4" s="1434" t="s">
        <v>978</v>
      </c>
      <c r="K4" s="1476" t="s">
        <v>977</v>
      </c>
      <c r="L4" s="1477" t="s">
        <v>978</v>
      </c>
      <c r="M4" s="4009" t="s">
        <v>977</v>
      </c>
      <c r="N4" s="4010" t="s">
        <v>978</v>
      </c>
      <c r="O4" s="1477" t="s">
        <v>977</v>
      </c>
      <c r="P4" s="563" t="s">
        <v>978</v>
      </c>
      <c r="Q4" s="1478" t="s">
        <v>977</v>
      </c>
      <c r="R4" s="1434" t="s">
        <v>978</v>
      </c>
      <c r="S4" s="1477" t="s">
        <v>977</v>
      </c>
      <c r="T4" s="563" t="s">
        <v>978</v>
      </c>
      <c r="U4" s="1478" t="s">
        <v>977</v>
      </c>
      <c r="V4" s="1434" t="s">
        <v>978</v>
      </c>
      <c r="W4" s="1477" t="s">
        <v>977</v>
      </c>
      <c r="X4" s="563" t="s">
        <v>978</v>
      </c>
      <c r="Y4" s="4009" t="s">
        <v>977</v>
      </c>
      <c r="Z4" s="4010" t="s">
        <v>978</v>
      </c>
      <c r="AA4" s="3999" t="s">
        <v>977</v>
      </c>
      <c r="AB4" s="4000" t="s">
        <v>978</v>
      </c>
      <c r="AC4" s="1477" t="s">
        <v>977</v>
      </c>
      <c r="AD4" s="563" t="s">
        <v>978</v>
      </c>
      <c r="AE4" s="1478" t="s">
        <v>977</v>
      </c>
      <c r="AF4" s="1434" t="s">
        <v>978</v>
      </c>
      <c r="AG4" s="1477" t="s">
        <v>977</v>
      </c>
      <c r="AH4" s="563" t="s">
        <v>978</v>
      </c>
      <c r="AI4" s="1478" t="s">
        <v>977</v>
      </c>
      <c r="AJ4" s="1434" t="s">
        <v>978</v>
      </c>
      <c r="AK4" s="1477" t="s">
        <v>977</v>
      </c>
      <c r="AL4" s="563" t="s">
        <v>978</v>
      </c>
      <c r="AM4" s="1087" t="s">
        <v>977</v>
      </c>
      <c r="AN4" s="1088" t="s">
        <v>978</v>
      </c>
      <c r="AO4" s="1478" t="s">
        <v>977</v>
      </c>
      <c r="AP4" s="1434" t="s">
        <v>978</v>
      </c>
      <c r="AQ4" s="1477" t="s">
        <v>977</v>
      </c>
      <c r="AR4" s="563" t="s">
        <v>978</v>
      </c>
      <c r="AS4" s="1478" t="s">
        <v>977</v>
      </c>
      <c r="AT4" s="1434" t="s">
        <v>978</v>
      </c>
      <c r="AU4" s="1477" t="s">
        <v>977</v>
      </c>
      <c r="AV4" s="563" t="s">
        <v>978</v>
      </c>
      <c r="AW4" s="1478" t="s">
        <v>977</v>
      </c>
      <c r="AX4" s="1434" t="s">
        <v>978</v>
      </c>
      <c r="AY4" s="1477" t="s">
        <v>977</v>
      </c>
      <c r="AZ4" s="563" t="s">
        <v>978</v>
      </c>
      <c r="BA4" s="1087" t="s">
        <v>977</v>
      </c>
      <c r="BB4" s="1088" t="s">
        <v>978</v>
      </c>
      <c r="BC4" s="1598" t="s">
        <v>977</v>
      </c>
      <c r="BD4" s="1599" t="s">
        <v>978</v>
      </c>
      <c r="BE4" s="1478" t="s">
        <v>977</v>
      </c>
      <c r="BF4" s="1434" t="s">
        <v>978</v>
      </c>
    </row>
    <row r="5" spans="3:62" hidden="1" x14ac:dyDescent="0.3">
      <c r="C5" s="6511" t="s">
        <v>16</v>
      </c>
      <c r="D5" s="2011" t="s">
        <v>1282</v>
      </c>
      <c r="E5" s="554"/>
      <c r="F5" s="558"/>
      <c r="G5" s="554"/>
      <c r="H5" s="558"/>
      <c r="I5" s="1435">
        <f>+E5+G5</f>
        <v>0</v>
      </c>
      <c r="J5" s="1436">
        <f>+H5+F5</f>
        <v>0</v>
      </c>
      <c r="K5" s="1310"/>
      <c r="L5" s="554"/>
      <c r="M5" s="4011">
        <f t="shared" ref="M5:N8" si="0">+E5+G5+K5</f>
        <v>0</v>
      </c>
      <c r="N5" s="4018">
        <f t="shared" si="0"/>
        <v>0</v>
      </c>
      <c r="O5" s="1310"/>
      <c r="P5" s="554"/>
      <c r="Q5" s="1435">
        <f>+M5+O5</f>
        <v>0</v>
      </c>
      <c r="R5" s="1436">
        <f>+P5+N5</f>
        <v>0</v>
      </c>
      <c r="S5" s="554">
        <v>0</v>
      </c>
      <c r="T5" s="558">
        <v>0</v>
      </c>
      <c r="U5" s="1435">
        <f>+Q5+S5</f>
        <v>0</v>
      </c>
      <c r="V5" s="1436">
        <f>+T5+R5</f>
        <v>0</v>
      </c>
      <c r="W5" s="554"/>
      <c r="X5" s="558"/>
      <c r="Y5" s="4011">
        <f t="shared" ref="Y5:Z8" si="1">+O5+S5+W5</f>
        <v>0</v>
      </c>
      <c r="Z5" s="4011">
        <f t="shared" si="1"/>
        <v>0</v>
      </c>
      <c r="AA5" s="4001">
        <f t="shared" ref="AA5:AB8" si="2">+M5+Y5</f>
        <v>0</v>
      </c>
      <c r="AB5" s="4002">
        <f t="shared" si="2"/>
        <v>0</v>
      </c>
      <c r="AC5" s="554"/>
      <c r="AD5" s="558"/>
      <c r="AE5" s="1435">
        <f>+AA5+AC5</f>
        <v>0</v>
      </c>
      <c r="AF5" s="1436">
        <f>+AD5+AB5</f>
        <v>0</v>
      </c>
      <c r="AG5" s="554">
        <v>0</v>
      </c>
      <c r="AH5" s="558">
        <v>0</v>
      </c>
      <c r="AI5" s="1435">
        <f>+AE5+AG5</f>
        <v>0</v>
      </c>
      <c r="AJ5" s="1436">
        <f>+AH5+AF5</f>
        <v>0</v>
      </c>
      <c r="AK5" s="554">
        <v>0</v>
      </c>
      <c r="AL5" s="558">
        <v>0</v>
      </c>
      <c r="AM5" s="1089">
        <f t="shared" ref="AM5:AM8" si="3">+AC5+AG5+AK5</f>
        <v>0</v>
      </c>
      <c r="AN5" s="1089">
        <f t="shared" ref="AN5:AN8" si="4">+AD5+AH5+AL5</f>
        <v>0</v>
      </c>
      <c r="AO5" s="1435">
        <f>+AI5+AK5</f>
        <v>0</v>
      </c>
      <c r="AP5" s="1436">
        <f>+AL5+AJ5</f>
        <v>0</v>
      </c>
      <c r="AQ5" s="554">
        <v>0</v>
      </c>
      <c r="AR5" s="558">
        <v>0</v>
      </c>
      <c r="AS5" s="1435">
        <f>+AO5+AQ5</f>
        <v>0</v>
      </c>
      <c r="AT5" s="1436">
        <f>+AR5+AP5</f>
        <v>0</v>
      </c>
      <c r="AU5" s="554">
        <v>0</v>
      </c>
      <c r="AV5" s="558">
        <v>0</v>
      </c>
      <c r="AW5" s="1435">
        <f>+AS5+AU5</f>
        <v>0</v>
      </c>
      <c r="AX5" s="1436">
        <f>+AV5+AT5</f>
        <v>0</v>
      </c>
      <c r="AY5" s="554">
        <v>0</v>
      </c>
      <c r="AZ5" s="558">
        <v>0</v>
      </c>
      <c r="BA5" s="1089">
        <f t="shared" ref="BA5:BA8" si="5">+AQ5+AU5+AY5</f>
        <v>0</v>
      </c>
      <c r="BB5" s="1089">
        <f t="shared" ref="BB5:BB8" si="6">+AR5+AV5+AZ5</f>
        <v>0</v>
      </c>
      <c r="BC5" s="1600">
        <f>+AM5+BA5</f>
        <v>0</v>
      </c>
      <c r="BD5" s="1600">
        <f>+AN5+BB5</f>
        <v>0</v>
      </c>
      <c r="BE5" s="1435">
        <f>+AW5+AY5</f>
        <v>0</v>
      </c>
      <c r="BF5" s="1436">
        <f>+AZ5+AX5</f>
        <v>0</v>
      </c>
      <c r="BG5" s="26"/>
      <c r="BH5" s="26"/>
      <c r="BI5" s="26"/>
      <c r="BJ5" s="26"/>
    </row>
    <row r="6" spans="3:62" hidden="1" x14ac:dyDescent="0.3">
      <c r="C6" s="6512"/>
      <c r="D6" s="2011" t="s">
        <v>1183</v>
      </c>
      <c r="E6" s="561"/>
      <c r="F6" s="558"/>
      <c r="G6" s="554"/>
      <c r="H6" s="558"/>
      <c r="I6" s="1435">
        <f>+E6+G6</f>
        <v>0</v>
      </c>
      <c r="J6" s="1436">
        <f>+H6+F6</f>
        <v>0</v>
      </c>
      <c r="K6" s="1310"/>
      <c r="L6" s="554"/>
      <c r="M6" s="4011">
        <f t="shared" si="0"/>
        <v>0</v>
      </c>
      <c r="N6" s="4018">
        <f t="shared" si="0"/>
        <v>0</v>
      </c>
      <c r="O6" s="1311"/>
      <c r="P6" s="554"/>
      <c r="Q6" s="1435">
        <f t="shared" ref="Q6:Q8" si="7">+M6+O6</f>
        <v>0</v>
      </c>
      <c r="R6" s="1436">
        <f t="shared" ref="R6:R8" si="8">+P6+N6</f>
        <v>0</v>
      </c>
      <c r="S6" s="561">
        <v>0</v>
      </c>
      <c r="T6" s="558">
        <v>0</v>
      </c>
      <c r="U6" s="1435">
        <f t="shared" ref="U6:U8" si="9">+Q6+S6</f>
        <v>0</v>
      </c>
      <c r="V6" s="1436">
        <f t="shared" ref="V6:V8" si="10">+T6+R6</f>
        <v>0</v>
      </c>
      <c r="W6" s="561"/>
      <c r="X6" s="558"/>
      <c r="Y6" s="4011">
        <f t="shared" si="1"/>
        <v>0</v>
      </c>
      <c r="Z6" s="4011">
        <f t="shared" si="1"/>
        <v>0</v>
      </c>
      <c r="AA6" s="4001">
        <f t="shared" si="2"/>
        <v>0</v>
      </c>
      <c r="AB6" s="4002">
        <f t="shared" si="2"/>
        <v>0</v>
      </c>
      <c r="AC6" s="561"/>
      <c r="AD6" s="558"/>
      <c r="AE6" s="1435">
        <f t="shared" ref="AE6:AE8" si="11">+AA6+AC6</f>
        <v>0</v>
      </c>
      <c r="AF6" s="1436">
        <f t="shared" ref="AF6:AF8" si="12">+AD6+AB6</f>
        <v>0</v>
      </c>
      <c r="AG6" s="561">
        <v>0</v>
      </c>
      <c r="AH6" s="558">
        <v>0</v>
      </c>
      <c r="AI6" s="1435">
        <f t="shared" ref="AI6:AI8" si="13">+AE6+AG6</f>
        <v>0</v>
      </c>
      <c r="AJ6" s="1436">
        <f t="shared" ref="AJ6:AJ8" si="14">+AH6+AF6</f>
        <v>0</v>
      </c>
      <c r="AK6" s="561">
        <v>0</v>
      </c>
      <c r="AL6" s="558">
        <v>0</v>
      </c>
      <c r="AM6" s="1089">
        <f t="shared" si="3"/>
        <v>0</v>
      </c>
      <c r="AN6" s="1089">
        <f t="shared" si="4"/>
        <v>0</v>
      </c>
      <c r="AO6" s="1435">
        <f t="shared" ref="AO6:AO8" si="15">+AI6+AK6</f>
        <v>0</v>
      </c>
      <c r="AP6" s="1436">
        <f t="shared" ref="AP6:AP8" si="16">+AL6+AJ6</f>
        <v>0</v>
      </c>
      <c r="AQ6" s="561">
        <v>0</v>
      </c>
      <c r="AR6" s="558">
        <v>0</v>
      </c>
      <c r="AS6" s="1435">
        <f t="shared" ref="AS6:AS8" si="17">+AO6+AQ6</f>
        <v>0</v>
      </c>
      <c r="AT6" s="1436">
        <f t="shared" ref="AT6:AT8" si="18">+AR6+AP6</f>
        <v>0</v>
      </c>
      <c r="AU6" s="561">
        <v>0</v>
      </c>
      <c r="AV6" s="558">
        <v>0</v>
      </c>
      <c r="AW6" s="1435">
        <f t="shared" ref="AW6:AW8" si="19">+AS6+AU6</f>
        <v>0</v>
      </c>
      <c r="AX6" s="1436">
        <f t="shared" ref="AX6:AX8" si="20">+AV6+AT6</f>
        <v>0</v>
      </c>
      <c r="AY6" s="561">
        <v>0</v>
      </c>
      <c r="AZ6" s="558">
        <v>0</v>
      </c>
      <c r="BA6" s="1089">
        <f t="shared" si="5"/>
        <v>0</v>
      </c>
      <c r="BB6" s="1089">
        <f t="shared" si="6"/>
        <v>0</v>
      </c>
      <c r="BC6" s="1600">
        <f t="shared" ref="BC6:BC8" si="21">+AM6+BA6</f>
        <v>0</v>
      </c>
      <c r="BD6" s="1600">
        <f t="shared" ref="BD6:BD8" si="22">+AN6+BB6</f>
        <v>0</v>
      </c>
      <c r="BE6" s="1435">
        <f t="shared" ref="BE6:BE8" si="23">+AW6+AY6</f>
        <v>0</v>
      </c>
      <c r="BF6" s="1436">
        <f t="shared" ref="BF6:BF8" si="24">+AZ6+AX6</f>
        <v>0</v>
      </c>
      <c r="BG6" s="26"/>
      <c r="BH6" s="26"/>
      <c r="BI6" s="26"/>
      <c r="BJ6" s="26"/>
    </row>
    <row r="7" spans="3:62" hidden="1" x14ac:dyDescent="0.3">
      <c r="C7" s="6512"/>
      <c r="D7" s="4904" t="s">
        <v>2062</v>
      </c>
      <c r="E7" s="4905"/>
      <c r="F7" s="4906"/>
      <c r="G7" s="4907"/>
      <c r="H7" s="4906"/>
      <c r="I7" s="1435">
        <f>+E7+G7</f>
        <v>0</v>
      </c>
      <c r="J7" s="1436">
        <f>+H7+F7</f>
        <v>0</v>
      </c>
      <c r="K7" s="1311"/>
      <c r="L7" s="554"/>
      <c r="M7" s="4011">
        <f t="shared" ref="M7" si="25">+E7+G7+K7</f>
        <v>0</v>
      </c>
      <c r="N7" s="4018">
        <f t="shared" ref="N7" si="26">+F7+H7+L7</f>
        <v>0</v>
      </c>
      <c r="O7" s="1311"/>
      <c r="P7" s="554"/>
      <c r="Q7" s="1435">
        <f t="shared" ref="Q7" si="27">+M7+O7</f>
        <v>0</v>
      </c>
      <c r="R7" s="1436">
        <f t="shared" ref="R7" si="28">+P7+N7</f>
        <v>0</v>
      </c>
      <c r="S7" s="561">
        <v>0</v>
      </c>
      <c r="T7" s="558">
        <v>0</v>
      </c>
      <c r="U7" s="1435">
        <f t="shared" ref="U7" si="29">+Q7+S7</f>
        <v>0</v>
      </c>
      <c r="V7" s="1436">
        <f t="shared" ref="V7" si="30">+T7+R7</f>
        <v>0</v>
      </c>
      <c r="W7" s="561"/>
      <c r="X7" s="558"/>
      <c r="Y7" s="4011">
        <f t="shared" ref="Y7" si="31">+O7+S7+W7</f>
        <v>0</v>
      </c>
      <c r="Z7" s="4011">
        <f t="shared" ref="Z7" si="32">+P7+T7+X7</f>
        <v>0</v>
      </c>
      <c r="AA7" s="4001">
        <f t="shared" ref="AA7" si="33">+M7+Y7</f>
        <v>0</v>
      </c>
      <c r="AB7" s="4002">
        <f t="shared" ref="AB7" si="34">+N7+Z7</f>
        <v>0</v>
      </c>
      <c r="AC7" s="561"/>
      <c r="AD7" s="558"/>
      <c r="AE7" s="1435">
        <f t="shared" ref="AE7" si="35">+AA7+AC7</f>
        <v>0</v>
      </c>
      <c r="AF7" s="1436">
        <f t="shared" ref="AF7" si="36">+AD7+AB7</f>
        <v>0</v>
      </c>
      <c r="AG7" s="561">
        <v>0</v>
      </c>
      <c r="AH7" s="558">
        <v>0</v>
      </c>
      <c r="AI7" s="1435">
        <f t="shared" ref="AI7" si="37">+AE7+AG7</f>
        <v>0</v>
      </c>
      <c r="AJ7" s="1436">
        <f t="shared" ref="AJ7" si="38">+AH7+AF7</f>
        <v>0</v>
      </c>
      <c r="AK7" s="561">
        <v>0</v>
      </c>
      <c r="AL7" s="558">
        <v>0</v>
      </c>
      <c r="AM7" s="1089">
        <f t="shared" ref="AM7" si="39">+AC7+AG7+AK7</f>
        <v>0</v>
      </c>
      <c r="AN7" s="1089">
        <f t="shared" ref="AN7" si="40">+AD7+AH7+AL7</f>
        <v>0</v>
      </c>
      <c r="AO7" s="1435">
        <f t="shared" ref="AO7" si="41">+AI7+AK7</f>
        <v>0</v>
      </c>
      <c r="AP7" s="1436">
        <f t="shared" ref="AP7" si="42">+AL7+AJ7</f>
        <v>0</v>
      </c>
      <c r="AQ7" s="561">
        <v>0</v>
      </c>
      <c r="AR7" s="558">
        <v>0</v>
      </c>
      <c r="AS7" s="1435">
        <f t="shared" ref="AS7" si="43">+AO7+AQ7</f>
        <v>0</v>
      </c>
      <c r="AT7" s="1436">
        <f t="shared" ref="AT7" si="44">+AR7+AP7</f>
        <v>0</v>
      </c>
      <c r="AU7" s="561">
        <v>0</v>
      </c>
      <c r="AV7" s="558">
        <v>0</v>
      </c>
      <c r="AW7" s="1435">
        <f t="shared" ref="AW7" si="45">+AS7+AU7</f>
        <v>0</v>
      </c>
      <c r="AX7" s="1436">
        <f t="shared" ref="AX7" si="46">+AV7+AT7</f>
        <v>0</v>
      </c>
      <c r="AY7" s="561">
        <v>0</v>
      </c>
      <c r="AZ7" s="558">
        <v>0</v>
      </c>
      <c r="BA7" s="1089">
        <f t="shared" ref="BA7" si="47">+AQ7+AU7+AY7</f>
        <v>0</v>
      </c>
      <c r="BB7" s="1089">
        <f t="shared" ref="BB7" si="48">+AR7+AV7+AZ7</f>
        <v>0</v>
      </c>
      <c r="BC7" s="1600">
        <f t="shared" ref="BC7" si="49">+AM7+BA7</f>
        <v>0</v>
      </c>
      <c r="BD7" s="1600">
        <f t="shared" ref="BD7" si="50">+AN7+BB7</f>
        <v>0</v>
      </c>
      <c r="BE7" s="1435">
        <f t="shared" ref="BE7" si="51">+AW7+AY7</f>
        <v>0</v>
      </c>
      <c r="BF7" s="1436">
        <f t="shared" ref="BF7" si="52">+AZ7+AX7</f>
        <v>0</v>
      </c>
      <c r="BG7" s="26"/>
      <c r="BH7" s="26"/>
      <c r="BI7" s="26"/>
      <c r="BJ7" s="26"/>
    </row>
    <row r="8" spans="3:62" ht="15" hidden="1" thickBot="1" x14ac:dyDescent="0.35">
      <c r="C8" s="6512"/>
      <c r="D8" s="2012" t="s">
        <v>2062</v>
      </c>
      <c r="E8" s="560"/>
      <c r="F8" s="556"/>
      <c r="G8" s="564"/>
      <c r="H8" s="556"/>
      <c r="I8" s="1435">
        <f>+E8+G8</f>
        <v>0</v>
      </c>
      <c r="J8" s="1436">
        <f>+H8+F8</f>
        <v>0</v>
      </c>
      <c r="K8" s="1312"/>
      <c r="L8" s="564"/>
      <c r="M8" s="4011">
        <f t="shared" si="0"/>
        <v>0</v>
      </c>
      <c r="N8" s="4018">
        <f t="shared" si="0"/>
        <v>0</v>
      </c>
      <c r="O8" s="1312"/>
      <c r="P8" s="564"/>
      <c r="Q8" s="1435">
        <f t="shared" si="7"/>
        <v>0</v>
      </c>
      <c r="R8" s="1436">
        <f t="shared" si="8"/>
        <v>0</v>
      </c>
      <c r="S8" s="564">
        <v>0</v>
      </c>
      <c r="T8" s="556">
        <v>0</v>
      </c>
      <c r="U8" s="1435">
        <f t="shared" si="9"/>
        <v>0</v>
      </c>
      <c r="V8" s="1436">
        <f t="shared" si="10"/>
        <v>0</v>
      </c>
      <c r="W8" s="564"/>
      <c r="X8" s="556"/>
      <c r="Y8" s="4011">
        <f t="shared" si="1"/>
        <v>0</v>
      </c>
      <c r="Z8" s="4011">
        <f t="shared" si="1"/>
        <v>0</v>
      </c>
      <c r="AA8" s="4001">
        <f t="shared" si="2"/>
        <v>0</v>
      </c>
      <c r="AB8" s="4002">
        <f t="shared" si="2"/>
        <v>0</v>
      </c>
      <c r="AC8" s="564"/>
      <c r="AD8" s="556"/>
      <c r="AE8" s="1435">
        <f t="shared" si="11"/>
        <v>0</v>
      </c>
      <c r="AF8" s="1436">
        <f t="shared" si="12"/>
        <v>0</v>
      </c>
      <c r="AG8" s="564">
        <v>0</v>
      </c>
      <c r="AH8" s="556">
        <v>0</v>
      </c>
      <c r="AI8" s="1435">
        <f t="shared" si="13"/>
        <v>0</v>
      </c>
      <c r="AJ8" s="1436">
        <f t="shared" si="14"/>
        <v>0</v>
      </c>
      <c r="AK8" s="564">
        <v>0</v>
      </c>
      <c r="AL8" s="556">
        <v>0</v>
      </c>
      <c r="AM8" s="1089">
        <f t="shared" si="3"/>
        <v>0</v>
      </c>
      <c r="AN8" s="1089">
        <f t="shared" si="4"/>
        <v>0</v>
      </c>
      <c r="AO8" s="1435">
        <f t="shared" si="15"/>
        <v>0</v>
      </c>
      <c r="AP8" s="1436">
        <f t="shared" si="16"/>
        <v>0</v>
      </c>
      <c r="AQ8" s="564">
        <v>0</v>
      </c>
      <c r="AR8" s="556">
        <v>0</v>
      </c>
      <c r="AS8" s="1435">
        <f t="shared" si="17"/>
        <v>0</v>
      </c>
      <c r="AT8" s="1436">
        <f t="shared" si="18"/>
        <v>0</v>
      </c>
      <c r="AU8" s="564">
        <v>0</v>
      </c>
      <c r="AV8" s="556">
        <v>0</v>
      </c>
      <c r="AW8" s="1435">
        <f t="shared" si="19"/>
        <v>0</v>
      </c>
      <c r="AX8" s="1436">
        <f t="shared" si="20"/>
        <v>0</v>
      </c>
      <c r="AY8" s="564">
        <v>0</v>
      </c>
      <c r="AZ8" s="556">
        <v>0</v>
      </c>
      <c r="BA8" s="1089">
        <f t="shared" si="5"/>
        <v>0</v>
      </c>
      <c r="BB8" s="1089">
        <f t="shared" si="6"/>
        <v>0</v>
      </c>
      <c r="BC8" s="1600">
        <f t="shared" si="21"/>
        <v>0</v>
      </c>
      <c r="BD8" s="1600">
        <f t="shared" si="22"/>
        <v>0</v>
      </c>
      <c r="BE8" s="1435">
        <f t="shared" si="23"/>
        <v>0</v>
      </c>
      <c r="BF8" s="1436">
        <f t="shared" si="24"/>
        <v>0</v>
      </c>
      <c r="BG8" s="26"/>
      <c r="BH8" s="26"/>
      <c r="BI8" s="26"/>
      <c r="BJ8" s="26"/>
    </row>
    <row r="9" spans="3:62" ht="15" hidden="1" thickBot="1" x14ac:dyDescent="0.35">
      <c r="C9" s="6513"/>
      <c r="D9" s="1771" t="s">
        <v>2</v>
      </c>
      <c r="E9" s="565">
        <f t="shared" ref="E9:N9" si="53">SUM(E5:E8)</f>
        <v>0</v>
      </c>
      <c r="F9" s="555">
        <f t="shared" si="53"/>
        <v>0</v>
      </c>
      <c r="G9" s="565">
        <f t="shared" si="53"/>
        <v>0</v>
      </c>
      <c r="H9" s="555">
        <f t="shared" si="53"/>
        <v>0</v>
      </c>
      <c r="I9" s="1096">
        <f>SUM(I5:I8)</f>
        <v>0</v>
      </c>
      <c r="J9" s="1097">
        <f>SUM(J5:J8)</f>
        <v>0</v>
      </c>
      <c r="K9" s="1313">
        <f t="shared" si="53"/>
        <v>0</v>
      </c>
      <c r="L9" s="565">
        <f t="shared" si="53"/>
        <v>0</v>
      </c>
      <c r="M9" s="4012">
        <f t="shared" si="53"/>
        <v>0</v>
      </c>
      <c r="N9" s="4013">
        <f t="shared" si="53"/>
        <v>0</v>
      </c>
      <c r="O9" s="1313">
        <f t="shared" ref="O9:P9" si="54">SUM(O5:O8)</f>
        <v>0</v>
      </c>
      <c r="P9" s="565">
        <f t="shared" si="54"/>
        <v>0</v>
      </c>
      <c r="Q9" s="1096">
        <f t="shared" ref="Q9:AF9" si="55">SUM(Q5:Q8)</f>
        <v>0</v>
      </c>
      <c r="R9" s="1097">
        <f t="shared" si="55"/>
        <v>0</v>
      </c>
      <c r="S9" s="565">
        <f t="shared" ref="S9:V9" si="56">SUM(S5:S8)</f>
        <v>0</v>
      </c>
      <c r="T9" s="555">
        <f t="shared" si="56"/>
        <v>0</v>
      </c>
      <c r="U9" s="1096">
        <f t="shared" si="56"/>
        <v>0</v>
      </c>
      <c r="V9" s="1097">
        <f t="shared" si="56"/>
        <v>0</v>
      </c>
      <c r="W9" s="565">
        <f t="shared" ref="W9:X9" si="57">SUM(W5:W8)</f>
        <v>0</v>
      </c>
      <c r="X9" s="555">
        <f t="shared" si="57"/>
        <v>0</v>
      </c>
      <c r="Y9" s="4012">
        <f t="shared" si="55"/>
        <v>0</v>
      </c>
      <c r="Z9" s="4013">
        <f t="shared" si="55"/>
        <v>0</v>
      </c>
      <c r="AA9" s="4003">
        <f t="shared" si="55"/>
        <v>0</v>
      </c>
      <c r="AB9" s="4004">
        <f t="shared" si="55"/>
        <v>0</v>
      </c>
      <c r="AC9" s="565"/>
      <c r="AD9" s="555"/>
      <c r="AE9" s="1096">
        <f t="shared" si="55"/>
        <v>0</v>
      </c>
      <c r="AF9" s="1097">
        <f t="shared" si="55"/>
        <v>0</v>
      </c>
      <c r="AG9" s="565">
        <f t="shared" ref="AG9:AJ9" si="58">SUM(AG5:AG8)</f>
        <v>0</v>
      </c>
      <c r="AH9" s="555">
        <f t="shared" si="58"/>
        <v>0</v>
      </c>
      <c r="AI9" s="1096">
        <f t="shared" si="58"/>
        <v>0</v>
      </c>
      <c r="AJ9" s="1097">
        <f t="shared" si="58"/>
        <v>0</v>
      </c>
      <c r="AK9" s="565">
        <f t="shared" ref="AK9:AT9" si="59">SUM(AK5:AK8)</f>
        <v>0</v>
      </c>
      <c r="AL9" s="555">
        <f t="shared" si="59"/>
        <v>0</v>
      </c>
      <c r="AM9" s="1090">
        <f t="shared" si="59"/>
        <v>0</v>
      </c>
      <c r="AN9" s="1091">
        <f t="shared" si="59"/>
        <v>0</v>
      </c>
      <c r="AO9" s="1096">
        <f t="shared" si="59"/>
        <v>0</v>
      </c>
      <c r="AP9" s="1097">
        <f t="shared" si="59"/>
        <v>0</v>
      </c>
      <c r="AQ9" s="565">
        <f t="shared" si="59"/>
        <v>0</v>
      </c>
      <c r="AR9" s="555">
        <f t="shared" si="59"/>
        <v>0</v>
      </c>
      <c r="AS9" s="1096">
        <f t="shared" si="59"/>
        <v>0</v>
      </c>
      <c r="AT9" s="1097">
        <f t="shared" si="59"/>
        <v>0</v>
      </c>
      <c r="AU9" s="565">
        <f t="shared" ref="AU9:AX9" si="60">SUM(AU5:AU8)</f>
        <v>0</v>
      </c>
      <c r="AV9" s="555">
        <f t="shared" si="60"/>
        <v>0</v>
      </c>
      <c r="AW9" s="1096">
        <f t="shared" si="60"/>
        <v>0</v>
      </c>
      <c r="AX9" s="1097">
        <f t="shared" si="60"/>
        <v>0</v>
      </c>
      <c r="AY9" s="565">
        <f t="shared" ref="AY9:BF9" si="61">SUM(AY5:AY8)</f>
        <v>0</v>
      </c>
      <c r="AZ9" s="555">
        <f t="shared" si="61"/>
        <v>0</v>
      </c>
      <c r="BA9" s="1090">
        <f t="shared" si="61"/>
        <v>0</v>
      </c>
      <c r="BB9" s="1091">
        <f t="shared" si="61"/>
        <v>0</v>
      </c>
      <c r="BC9" s="1601">
        <f t="shared" si="61"/>
        <v>0</v>
      </c>
      <c r="BD9" s="1602">
        <f t="shared" si="61"/>
        <v>0</v>
      </c>
      <c r="BE9" s="1096">
        <f t="shared" si="61"/>
        <v>0</v>
      </c>
      <c r="BF9" s="1097">
        <f t="shared" si="61"/>
        <v>0</v>
      </c>
      <c r="BG9" s="26"/>
      <c r="BH9" s="26"/>
      <c r="BI9" s="26"/>
      <c r="BJ9" s="26"/>
    </row>
    <row r="10" spans="3:62" x14ac:dyDescent="0.3">
      <c r="C10" s="6516" t="s">
        <v>975</v>
      </c>
      <c r="D10" s="2011" t="s">
        <v>1182</v>
      </c>
      <c r="E10" s="554"/>
      <c r="F10" s="558"/>
      <c r="G10" s="554"/>
      <c r="H10" s="558"/>
      <c r="I10" s="1435">
        <f>+E10+G10</f>
        <v>0</v>
      </c>
      <c r="J10" s="1436">
        <f>+H10+F10</f>
        <v>0</v>
      </c>
      <c r="K10" s="554"/>
      <c r="L10" s="558"/>
      <c r="M10" s="4011">
        <f t="shared" ref="M10:N15" si="62">+E10+G10+K10</f>
        <v>0</v>
      </c>
      <c r="N10" s="4018">
        <f t="shared" si="62"/>
        <v>0</v>
      </c>
      <c r="O10" s="554"/>
      <c r="P10" s="558"/>
      <c r="Q10" s="1435">
        <f>+M10+O10</f>
        <v>0</v>
      </c>
      <c r="R10" s="1436">
        <f>+P10+N10</f>
        <v>0</v>
      </c>
      <c r="S10" s="554"/>
      <c r="T10" s="558"/>
      <c r="U10" s="1435">
        <f>+Q10+S10</f>
        <v>0</v>
      </c>
      <c r="V10" s="1436">
        <f>+T10+R10</f>
        <v>0</v>
      </c>
      <c r="W10" s="554"/>
      <c r="X10" s="558"/>
      <c r="Y10" s="4011">
        <f t="shared" ref="Y10:Z15" si="63">+O10+S10+W10</f>
        <v>0</v>
      </c>
      <c r="Z10" s="4011">
        <f t="shared" si="63"/>
        <v>0</v>
      </c>
      <c r="AA10" s="4001">
        <f t="shared" ref="AA10:AB15" si="64">+M10+Y10</f>
        <v>0</v>
      </c>
      <c r="AB10" s="4002">
        <f t="shared" si="64"/>
        <v>0</v>
      </c>
      <c r="AC10" s="554"/>
      <c r="AD10" s="558"/>
      <c r="AE10" s="1435">
        <f>+AA10+AC10</f>
        <v>0</v>
      </c>
      <c r="AF10" s="1436">
        <f>+AD10+AB10</f>
        <v>0</v>
      </c>
      <c r="AG10" s="554"/>
      <c r="AH10" s="558"/>
      <c r="AI10" s="1435">
        <f>+AE10+AG10</f>
        <v>0</v>
      </c>
      <c r="AJ10" s="1436">
        <f>+AH10+AF10</f>
        <v>0</v>
      </c>
      <c r="AK10" s="554"/>
      <c r="AL10" s="558"/>
      <c r="AM10" s="1089">
        <f t="shared" ref="AM10:AM15" si="65">+AC10+AG10+AK10</f>
        <v>0</v>
      </c>
      <c r="AN10" s="1089">
        <f t="shared" ref="AN10:AN15" si="66">+AD10+AH10+AL10</f>
        <v>0</v>
      </c>
      <c r="AO10" s="1435">
        <f>+AI10+AK10</f>
        <v>0</v>
      </c>
      <c r="AP10" s="1436">
        <f>+AL10+AJ10</f>
        <v>0</v>
      </c>
      <c r="AQ10" s="554"/>
      <c r="AR10" s="558"/>
      <c r="AS10" s="1435">
        <f>+AO10+AQ10</f>
        <v>0</v>
      </c>
      <c r="AT10" s="1436">
        <f>+AR10+AP10</f>
        <v>0</v>
      </c>
      <c r="AU10" s="554"/>
      <c r="AV10" s="558"/>
      <c r="AW10" s="1435">
        <f>+AS10+AU10</f>
        <v>0</v>
      </c>
      <c r="AX10" s="1436">
        <f>+AV10+AT10</f>
        <v>0</v>
      </c>
      <c r="AY10" s="554"/>
      <c r="AZ10" s="558"/>
      <c r="BA10" s="1089">
        <f t="shared" ref="BA10:BA15" si="67">+AQ10+AU10+AY10</f>
        <v>0</v>
      </c>
      <c r="BB10" s="1089">
        <f t="shared" ref="BB10:BB15" si="68">+AR10+AV10+AZ10</f>
        <v>0</v>
      </c>
      <c r="BC10" s="1600">
        <f t="shared" ref="BC10:BC15" si="69">+AM10+BA10</f>
        <v>0</v>
      </c>
      <c r="BD10" s="1600">
        <f t="shared" ref="BD10:BD15" si="70">+AN10+BB10</f>
        <v>0</v>
      </c>
      <c r="BE10" s="1435">
        <f>+AW10+AY10</f>
        <v>0</v>
      </c>
      <c r="BF10" s="1436">
        <f>+AZ10+AX10</f>
        <v>0</v>
      </c>
      <c r="BG10" s="26">
        <f>+AY11+AU11+AQ11+AK11+AG11+AC11+W11+S11+O11+K11+G11+E11-BE11</f>
        <v>0</v>
      </c>
      <c r="BH10" s="26">
        <f>+AZ11+AV11+AR11+AL11+AH11+AD11+X11+T11+P11+L11+H11+F11-BF11</f>
        <v>0</v>
      </c>
      <c r="BI10" s="26"/>
      <c r="BJ10" s="26"/>
    </row>
    <row r="11" spans="3:62" x14ac:dyDescent="0.3">
      <c r="C11" s="6517"/>
      <c r="D11" s="2011" t="s">
        <v>1870</v>
      </c>
      <c r="E11" s="554">
        <v>5058.57</v>
      </c>
      <c r="F11" s="558">
        <v>2606.42</v>
      </c>
      <c r="G11" s="554">
        <v>2936.62</v>
      </c>
      <c r="H11" s="558">
        <v>3329.1699999999996</v>
      </c>
      <c r="I11" s="1435">
        <f t="shared" ref="I11:I15" si="71">+E11+G11</f>
        <v>7995.19</v>
      </c>
      <c r="J11" s="1436">
        <f t="shared" ref="J11:J15" si="72">+H11+F11</f>
        <v>5935.59</v>
      </c>
      <c r="K11" s="554">
        <v>1650.3149999999996</v>
      </c>
      <c r="L11" s="558">
        <v>2553.2999999999997</v>
      </c>
      <c r="M11" s="4011">
        <f t="shared" si="62"/>
        <v>9645.5049999999992</v>
      </c>
      <c r="N11" s="4018">
        <f t="shared" si="62"/>
        <v>8488.89</v>
      </c>
      <c r="O11" s="554">
        <v>3276.0899999999988</v>
      </c>
      <c r="P11" s="558">
        <v>2770.58</v>
      </c>
      <c r="Q11" s="1435">
        <f t="shared" ref="Q11:Q15" si="73">+M11+O11</f>
        <v>12921.594999999998</v>
      </c>
      <c r="R11" s="1436">
        <f t="shared" ref="R11:R15" si="74">+P11+N11</f>
        <v>11259.47</v>
      </c>
      <c r="S11" s="554"/>
      <c r="T11" s="558">
        <v>1418.6100000000001</v>
      </c>
      <c r="U11" s="1435">
        <f t="shared" ref="U11:U15" si="75">+Q11+S11</f>
        <v>12921.594999999998</v>
      </c>
      <c r="V11" s="1436">
        <f t="shared" ref="V11:V15" si="76">+T11+R11</f>
        <v>12678.08</v>
      </c>
      <c r="W11" s="554">
        <v>2259.7249999999995</v>
      </c>
      <c r="X11" s="558">
        <v>763.62000000000012</v>
      </c>
      <c r="Y11" s="4011">
        <f t="shared" si="63"/>
        <v>5535.8149999999987</v>
      </c>
      <c r="Z11" s="4011">
        <f t="shared" si="63"/>
        <v>4952.8100000000004</v>
      </c>
      <c r="AA11" s="4001">
        <f t="shared" si="64"/>
        <v>15181.319999999998</v>
      </c>
      <c r="AB11" s="4002">
        <f t="shared" si="64"/>
        <v>13441.7</v>
      </c>
      <c r="AC11" s="554"/>
      <c r="AD11" s="558">
        <v>1451.5499999999997</v>
      </c>
      <c r="AE11" s="1435">
        <f t="shared" ref="AE11:AE15" si="77">+AA11+AC11</f>
        <v>15181.319999999998</v>
      </c>
      <c r="AF11" s="1436">
        <f t="shared" ref="AF11:AF15" si="78">+AD11+AB11</f>
        <v>14893.25</v>
      </c>
      <c r="AG11" s="554">
        <v>1229.5600000000004</v>
      </c>
      <c r="AH11" s="558">
        <v>1039.394</v>
      </c>
      <c r="AI11" s="1435">
        <f t="shared" ref="AI11:AI15" si="79">+AE11+AG11</f>
        <v>16410.879999999997</v>
      </c>
      <c r="AJ11" s="1436">
        <f t="shared" ref="AJ11:AJ15" si="80">+AH11+AF11</f>
        <v>15932.644</v>
      </c>
      <c r="AK11" s="554">
        <v>3130.8950000000009</v>
      </c>
      <c r="AL11" s="558">
        <v>3077.92</v>
      </c>
      <c r="AM11" s="1089">
        <f t="shared" si="65"/>
        <v>4360.4550000000017</v>
      </c>
      <c r="AN11" s="1089">
        <f t="shared" si="66"/>
        <v>5568.8639999999996</v>
      </c>
      <c r="AO11" s="1435">
        <f t="shared" ref="AO11:AO15" si="81">+AI11+AK11</f>
        <v>19541.774999999998</v>
      </c>
      <c r="AP11" s="1436">
        <f t="shared" ref="AP11:AP15" si="82">+AL11+AJ11</f>
        <v>19010.563999999998</v>
      </c>
      <c r="AQ11" s="554">
        <v>5002.0700000000024</v>
      </c>
      <c r="AR11" s="558">
        <v>4885.92</v>
      </c>
      <c r="AS11" s="1435">
        <f>+AO11+AQ11</f>
        <v>24543.845000000001</v>
      </c>
      <c r="AT11" s="1436">
        <f t="shared" ref="AT11:AT15" si="83">+AR11+AP11</f>
        <v>23896.483999999997</v>
      </c>
      <c r="AU11" s="554">
        <v>5167.715000000002</v>
      </c>
      <c r="AV11" s="558">
        <v>5067.51</v>
      </c>
      <c r="AW11" s="1435">
        <f t="shared" ref="AW11:AW15" si="84">+AS11+AU11</f>
        <v>29711.560000000005</v>
      </c>
      <c r="AX11" s="1436">
        <f t="shared" ref="AX11:AX15" si="85">+AV11+AT11</f>
        <v>28963.993999999999</v>
      </c>
      <c r="AY11" s="554">
        <v>6194.2521739959393</v>
      </c>
      <c r="AZ11" s="558">
        <v>6735.2</v>
      </c>
      <c r="BA11" s="1089">
        <f>+AQ11+AU11+AY11</f>
        <v>16364.037173995943</v>
      </c>
      <c r="BB11" s="1089">
        <f t="shared" si="68"/>
        <v>16688.63</v>
      </c>
      <c r="BC11" s="1600">
        <f t="shared" si="69"/>
        <v>20724.492173995946</v>
      </c>
      <c r="BD11" s="1600">
        <f t="shared" si="70"/>
        <v>22257.493999999999</v>
      </c>
      <c r="BE11" s="1435">
        <f t="shared" ref="BE11:BE15" si="86">+AW11+AY11</f>
        <v>35905.812173995946</v>
      </c>
      <c r="BF11" s="1436">
        <f t="shared" ref="BF11:BF15" si="87">+AZ11+AX11</f>
        <v>35699.193999999996</v>
      </c>
      <c r="BG11" s="26">
        <f t="shared" ref="BG11:BG17" si="88">+AY12+AU12+AQ12+AK12+AG12+AC12+W12+S12+O12+K12+G12+E12-BE12</f>
        <v>0</v>
      </c>
      <c r="BH11" s="26">
        <f t="shared" ref="BH11:BH17" si="89">+AZ12+AV12+AR12+AL12+AH12+AD12+X12+T12+P12+L12+H12+F12-BF12</f>
        <v>0</v>
      </c>
      <c r="BI11" s="26"/>
      <c r="BJ11" s="26"/>
    </row>
    <row r="12" spans="3:62" x14ac:dyDescent="0.3">
      <c r="C12" s="6517"/>
      <c r="D12" s="2011" t="s">
        <v>1329</v>
      </c>
      <c r="E12" s="554"/>
      <c r="F12" s="558"/>
      <c r="G12" s="554"/>
      <c r="H12" s="558"/>
      <c r="I12" s="1435">
        <f t="shared" si="71"/>
        <v>0</v>
      </c>
      <c r="J12" s="1436">
        <f t="shared" si="72"/>
        <v>0</v>
      </c>
      <c r="K12" s="554"/>
      <c r="L12" s="558"/>
      <c r="M12" s="4011">
        <f t="shared" si="62"/>
        <v>0</v>
      </c>
      <c r="N12" s="4018">
        <f t="shared" si="62"/>
        <v>0</v>
      </c>
      <c r="O12" s="554"/>
      <c r="P12" s="558"/>
      <c r="Q12" s="1435">
        <f t="shared" si="73"/>
        <v>0</v>
      </c>
      <c r="R12" s="1436">
        <f t="shared" si="74"/>
        <v>0</v>
      </c>
      <c r="S12" s="554"/>
      <c r="T12" s="558"/>
      <c r="U12" s="1435">
        <f t="shared" si="75"/>
        <v>0</v>
      </c>
      <c r="V12" s="1436">
        <f t="shared" si="76"/>
        <v>0</v>
      </c>
      <c r="W12" s="554"/>
      <c r="X12" s="558"/>
      <c r="Y12" s="4011">
        <f t="shared" si="63"/>
        <v>0</v>
      </c>
      <c r="Z12" s="4011">
        <f t="shared" si="63"/>
        <v>0</v>
      </c>
      <c r="AA12" s="4001">
        <f t="shared" si="64"/>
        <v>0</v>
      </c>
      <c r="AB12" s="4002">
        <f t="shared" si="64"/>
        <v>0</v>
      </c>
      <c r="AC12" s="554"/>
      <c r="AD12" s="558"/>
      <c r="AE12" s="1435">
        <f t="shared" si="77"/>
        <v>0</v>
      </c>
      <c r="AF12" s="1436">
        <f t="shared" si="78"/>
        <v>0</v>
      </c>
      <c r="AG12" s="554"/>
      <c r="AH12" s="558">
        <v>24.324000000000002</v>
      </c>
      <c r="AI12" s="1435">
        <f t="shared" si="79"/>
        <v>0</v>
      </c>
      <c r="AJ12" s="1436">
        <f t="shared" si="80"/>
        <v>24.324000000000002</v>
      </c>
      <c r="AK12" s="554"/>
      <c r="AL12" s="558">
        <v>38.923000000000002</v>
      </c>
      <c r="AM12" s="1089">
        <f t="shared" si="65"/>
        <v>0</v>
      </c>
      <c r="AN12" s="1089">
        <f t="shared" si="66"/>
        <v>63.247</v>
      </c>
      <c r="AO12" s="1435">
        <f t="shared" si="81"/>
        <v>0</v>
      </c>
      <c r="AP12" s="1436">
        <f t="shared" si="82"/>
        <v>63.247</v>
      </c>
      <c r="AQ12" s="554"/>
      <c r="AR12" s="558"/>
      <c r="AS12" s="1435">
        <f t="shared" ref="AS12:AS15" si="90">+AO12+AQ12</f>
        <v>0</v>
      </c>
      <c r="AT12" s="1436">
        <f t="shared" si="83"/>
        <v>63.247</v>
      </c>
      <c r="AU12" s="554"/>
      <c r="AV12" s="558"/>
      <c r="AW12" s="1435">
        <f t="shared" si="84"/>
        <v>0</v>
      </c>
      <c r="AX12" s="1436">
        <f t="shared" si="85"/>
        <v>63.247</v>
      </c>
      <c r="AY12" s="554"/>
      <c r="AZ12" s="558"/>
      <c r="BA12" s="1089">
        <f t="shared" si="67"/>
        <v>0</v>
      </c>
      <c r="BB12" s="1089">
        <f t="shared" si="68"/>
        <v>0</v>
      </c>
      <c r="BC12" s="1600">
        <f t="shared" si="69"/>
        <v>0</v>
      </c>
      <c r="BD12" s="1600">
        <f t="shared" si="70"/>
        <v>63.247</v>
      </c>
      <c r="BE12" s="1435">
        <f t="shared" si="86"/>
        <v>0</v>
      </c>
      <c r="BF12" s="1436">
        <f t="shared" si="87"/>
        <v>63.247</v>
      </c>
      <c r="BG12" s="26">
        <f t="shared" si="88"/>
        <v>0</v>
      </c>
      <c r="BH12" s="26">
        <f t="shared" si="89"/>
        <v>0</v>
      </c>
      <c r="BI12" s="26"/>
      <c r="BJ12" s="26"/>
    </row>
    <row r="13" spans="3:62" x14ac:dyDescent="0.3">
      <c r="C13" s="6517"/>
      <c r="D13" s="2011" t="s">
        <v>1186</v>
      </c>
      <c r="E13" s="554">
        <v>14295.540000000015</v>
      </c>
      <c r="F13" s="558">
        <v>14131.059999999992</v>
      </c>
      <c r="G13" s="558">
        <v>8564.9000000000124</v>
      </c>
      <c r="H13" s="558">
        <v>6163.3799999999992</v>
      </c>
      <c r="I13" s="1435">
        <f t="shared" si="71"/>
        <v>22860.440000000028</v>
      </c>
      <c r="J13" s="1436">
        <f t="shared" si="72"/>
        <v>20294.439999999991</v>
      </c>
      <c r="K13" s="554">
        <v>7993.1250000000064</v>
      </c>
      <c r="L13" s="558">
        <v>4807.3</v>
      </c>
      <c r="M13" s="4011">
        <f t="shared" si="62"/>
        <v>30853.565000000035</v>
      </c>
      <c r="N13" s="4018">
        <f t="shared" si="62"/>
        <v>25101.739999999991</v>
      </c>
      <c r="O13" s="554">
        <v>7960.655000000007</v>
      </c>
      <c r="P13" s="558">
        <v>11289.410000000002</v>
      </c>
      <c r="Q13" s="1435">
        <f t="shared" si="73"/>
        <v>38814.220000000045</v>
      </c>
      <c r="R13" s="1436">
        <f t="shared" si="74"/>
        <v>36391.149999999994</v>
      </c>
      <c r="S13" s="554">
        <v>7257.2500000000045</v>
      </c>
      <c r="T13" s="558">
        <v>9006</v>
      </c>
      <c r="U13" s="1435">
        <f t="shared" si="75"/>
        <v>46071.470000000052</v>
      </c>
      <c r="V13" s="1436">
        <f t="shared" si="76"/>
        <v>45397.149999999994</v>
      </c>
      <c r="W13" s="1185">
        <v>13499.48500000001</v>
      </c>
      <c r="X13" s="558">
        <v>8734.58</v>
      </c>
      <c r="Y13" s="4011">
        <f t="shared" si="63"/>
        <v>28717.390000000021</v>
      </c>
      <c r="Z13" s="4011">
        <f t="shared" si="63"/>
        <v>29029.990000000005</v>
      </c>
      <c r="AA13" s="4001">
        <f t="shared" si="64"/>
        <v>59570.95500000006</v>
      </c>
      <c r="AB13" s="4002">
        <f t="shared" si="64"/>
        <v>54131.729999999996</v>
      </c>
      <c r="AC13" s="554">
        <v>2618.8650000000002</v>
      </c>
      <c r="AD13" s="558">
        <v>5432.3600000000006</v>
      </c>
      <c r="AE13" s="1435">
        <f t="shared" si="77"/>
        <v>62189.820000000058</v>
      </c>
      <c r="AF13" s="1436">
        <f t="shared" si="78"/>
        <v>59564.09</v>
      </c>
      <c r="AG13" s="554">
        <v>9189.830000000009</v>
      </c>
      <c r="AH13" s="558">
        <v>5347</v>
      </c>
      <c r="AI13" s="1435">
        <f t="shared" si="79"/>
        <v>71379.650000000067</v>
      </c>
      <c r="AJ13" s="1436">
        <f t="shared" si="80"/>
        <v>64911.09</v>
      </c>
      <c r="AK13" s="554">
        <v>10765.490000000025</v>
      </c>
      <c r="AL13" s="558">
        <v>16629.539999999997</v>
      </c>
      <c r="AM13" s="1089">
        <f t="shared" si="65"/>
        <v>22574.185000000034</v>
      </c>
      <c r="AN13" s="1089">
        <f t="shared" si="66"/>
        <v>27408.899999999998</v>
      </c>
      <c r="AO13" s="1435">
        <f t="shared" si="81"/>
        <v>82145.140000000087</v>
      </c>
      <c r="AP13" s="1436">
        <f t="shared" si="82"/>
        <v>81540.62999999999</v>
      </c>
      <c r="AQ13" s="554">
        <v>12092.485000000021</v>
      </c>
      <c r="AR13" s="558">
        <v>11554.129999999997</v>
      </c>
      <c r="AS13" s="1435">
        <f t="shared" si="90"/>
        <v>94237.625000000102</v>
      </c>
      <c r="AT13" s="1436">
        <f t="shared" si="83"/>
        <v>93094.75999999998</v>
      </c>
      <c r="AU13" s="554">
        <v>13334.820000000036</v>
      </c>
      <c r="AV13" s="558">
        <v>11769.44</v>
      </c>
      <c r="AW13" s="1435">
        <f t="shared" si="84"/>
        <v>107572.44500000014</v>
      </c>
      <c r="AX13" s="1436">
        <f t="shared" si="85"/>
        <v>104864.19999999998</v>
      </c>
      <c r="AY13" s="554">
        <v>8275.9339487280085</v>
      </c>
      <c r="AZ13" s="558">
        <v>10566.97</v>
      </c>
      <c r="BA13" s="1089">
        <f t="shared" si="67"/>
        <v>33703.238948728067</v>
      </c>
      <c r="BB13" s="1089">
        <f t="shared" si="68"/>
        <v>33890.54</v>
      </c>
      <c r="BC13" s="1600">
        <f t="shared" si="69"/>
        <v>56277.423948728101</v>
      </c>
      <c r="BD13" s="1600">
        <f t="shared" si="70"/>
        <v>61299.44</v>
      </c>
      <c r="BE13" s="1435">
        <f t="shared" si="86"/>
        <v>115848.37894872815</v>
      </c>
      <c r="BF13" s="1436">
        <f t="shared" si="87"/>
        <v>115431.16999999998</v>
      </c>
      <c r="BG13" s="26">
        <f t="shared" si="88"/>
        <v>0</v>
      </c>
      <c r="BH13" s="26">
        <f t="shared" si="89"/>
        <v>0</v>
      </c>
      <c r="BI13" s="26"/>
      <c r="BJ13" s="26"/>
    </row>
    <row r="14" spans="3:62" x14ac:dyDescent="0.3">
      <c r="C14" s="6517"/>
      <c r="D14" s="2011" t="s">
        <v>1185</v>
      </c>
      <c r="E14" s="554">
        <v>3836.4199999999996</v>
      </c>
      <c r="F14" s="558">
        <v>2155.3900000000003</v>
      </c>
      <c r="G14" s="554">
        <v>8096.2000000000035</v>
      </c>
      <c r="H14" s="558">
        <v>10114.569999999998</v>
      </c>
      <c r="I14" s="1435">
        <f t="shared" si="71"/>
        <v>11932.620000000003</v>
      </c>
      <c r="J14" s="1436">
        <f t="shared" si="72"/>
        <v>12269.96</v>
      </c>
      <c r="K14" s="554">
        <v>10118.940000000015</v>
      </c>
      <c r="L14" s="558">
        <v>9903.4400000000023</v>
      </c>
      <c r="M14" s="4011">
        <f t="shared" si="62"/>
        <v>22051.560000000019</v>
      </c>
      <c r="N14" s="4018">
        <f t="shared" si="62"/>
        <v>22173.4</v>
      </c>
      <c r="O14" s="554">
        <v>7626.2800000000061</v>
      </c>
      <c r="P14" s="558">
        <v>7580.22</v>
      </c>
      <c r="Q14" s="1435">
        <f t="shared" si="73"/>
        <v>29677.840000000026</v>
      </c>
      <c r="R14" s="1436">
        <f t="shared" si="74"/>
        <v>29753.620000000003</v>
      </c>
      <c r="S14" s="554">
        <v>10797.600000000008</v>
      </c>
      <c r="T14" s="558">
        <v>9293.1999999999971</v>
      </c>
      <c r="U14" s="1435">
        <f t="shared" si="75"/>
        <v>40475.440000000031</v>
      </c>
      <c r="V14" s="1436">
        <f t="shared" si="76"/>
        <v>39046.82</v>
      </c>
      <c r="W14" s="1185">
        <v>4776.67</v>
      </c>
      <c r="X14" s="558">
        <v>3702.84</v>
      </c>
      <c r="Y14" s="4011">
        <f t="shared" si="63"/>
        <v>23200.55000000001</v>
      </c>
      <c r="Z14" s="4011">
        <f t="shared" si="63"/>
        <v>20576.259999999998</v>
      </c>
      <c r="AA14" s="4001">
        <f t="shared" si="64"/>
        <v>45252.11000000003</v>
      </c>
      <c r="AB14" s="4002">
        <f t="shared" si="64"/>
        <v>42749.66</v>
      </c>
      <c r="AC14" s="554">
        <v>2417.0249999999987</v>
      </c>
      <c r="AD14" s="558">
        <v>4872.78</v>
      </c>
      <c r="AE14" s="1435">
        <f t="shared" si="77"/>
        <v>47669.135000000031</v>
      </c>
      <c r="AF14" s="1436">
        <f t="shared" si="78"/>
        <v>47622.44</v>
      </c>
      <c r="AG14" s="554">
        <v>7494.3600000000051</v>
      </c>
      <c r="AH14" s="558">
        <v>7003.2529999999997</v>
      </c>
      <c r="AI14" s="1435">
        <f t="shared" si="79"/>
        <v>55163.495000000039</v>
      </c>
      <c r="AJ14" s="1436">
        <f t="shared" si="80"/>
        <v>54625.692999999999</v>
      </c>
      <c r="AK14" s="554">
        <v>11453.70000000001</v>
      </c>
      <c r="AL14" s="558">
        <v>7532.5499999999993</v>
      </c>
      <c r="AM14" s="1089">
        <f t="shared" si="65"/>
        <v>21365.085000000014</v>
      </c>
      <c r="AN14" s="1089">
        <f t="shared" si="66"/>
        <v>19408.582999999999</v>
      </c>
      <c r="AO14" s="1435">
        <f t="shared" si="81"/>
        <v>66617.195000000051</v>
      </c>
      <c r="AP14" s="1436">
        <f t="shared" si="82"/>
        <v>62158.243000000002</v>
      </c>
      <c r="AQ14" s="554">
        <v>11605.375000000025</v>
      </c>
      <c r="AR14" s="558">
        <v>15680.570000000005</v>
      </c>
      <c r="AS14" s="1435">
        <f t="shared" si="90"/>
        <v>78222.57000000008</v>
      </c>
      <c r="AT14" s="1436">
        <f t="shared" si="83"/>
        <v>77838.813000000009</v>
      </c>
      <c r="AU14" s="554">
        <v>11638.095000000027</v>
      </c>
      <c r="AV14" s="558">
        <v>8051.41</v>
      </c>
      <c r="AW14" s="1435">
        <f t="shared" si="84"/>
        <v>89860.66500000011</v>
      </c>
      <c r="AX14" s="1436">
        <f t="shared" si="85"/>
        <v>85890.223000000013</v>
      </c>
      <c r="AY14" s="554">
        <v>4225.6220374120858</v>
      </c>
      <c r="AZ14" s="558">
        <v>9181.06</v>
      </c>
      <c r="BA14" s="1089">
        <f t="shared" si="67"/>
        <v>27469.092037412138</v>
      </c>
      <c r="BB14" s="1089">
        <f t="shared" si="68"/>
        <v>32913.040000000001</v>
      </c>
      <c r="BC14" s="1600">
        <f t="shared" si="69"/>
        <v>48834.177037412155</v>
      </c>
      <c r="BD14" s="1600">
        <f t="shared" si="70"/>
        <v>52321.623</v>
      </c>
      <c r="BE14" s="1435">
        <f t="shared" si="86"/>
        <v>94086.287037412199</v>
      </c>
      <c r="BF14" s="1436">
        <f t="shared" si="87"/>
        <v>95071.28300000001</v>
      </c>
      <c r="BG14" s="26">
        <f t="shared" si="88"/>
        <v>0</v>
      </c>
      <c r="BH14" s="26">
        <f t="shared" si="89"/>
        <v>0</v>
      </c>
      <c r="BI14" s="26"/>
      <c r="BJ14" s="26"/>
    </row>
    <row r="15" spans="3:62" ht="15" thickBot="1" x14ac:dyDescent="0.35">
      <c r="C15" s="6517"/>
      <c r="D15" s="2011" t="s">
        <v>1184</v>
      </c>
      <c r="E15" s="554">
        <v>8355.6899999999987</v>
      </c>
      <c r="F15" s="558">
        <v>8244.4799999999977</v>
      </c>
      <c r="G15" s="554">
        <v>9685.2300000000105</v>
      </c>
      <c r="H15" s="558">
        <v>9649.5299999999952</v>
      </c>
      <c r="I15" s="1435">
        <f t="shared" si="71"/>
        <v>18040.920000000009</v>
      </c>
      <c r="J15" s="1436">
        <f t="shared" si="72"/>
        <v>17894.009999999995</v>
      </c>
      <c r="K15" s="554">
        <v>12248.71500000002</v>
      </c>
      <c r="L15" s="558">
        <v>11997.7</v>
      </c>
      <c r="M15" s="4011">
        <f t="shared" si="62"/>
        <v>30289.635000000031</v>
      </c>
      <c r="N15" s="4018">
        <f t="shared" si="62"/>
        <v>29891.709999999995</v>
      </c>
      <c r="O15" s="554"/>
      <c r="P15" s="558">
        <v>70.990000000000009</v>
      </c>
      <c r="Q15" s="1435">
        <f t="shared" si="73"/>
        <v>30289.635000000031</v>
      </c>
      <c r="R15" s="1436">
        <f t="shared" si="74"/>
        <v>29962.699999999997</v>
      </c>
      <c r="S15" s="554">
        <v>10931.275000000014</v>
      </c>
      <c r="T15" s="558">
        <v>10838.53</v>
      </c>
      <c r="U15" s="1435">
        <f t="shared" si="75"/>
        <v>41220.910000000047</v>
      </c>
      <c r="V15" s="1436">
        <f t="shared" si="76"/>
        <v>40801.229999999996</v>
      </c>
      <c r="W15" s="1185">
        <v>8653.0450000000092</v>
      </c>
      <c r="X15" s="558">
        <v>8827.9800000000014</v>
      </c>
      <c r="Y15" s="4011">
        <f t="shared" si="63"/>
        <v>19584.320000000022</v>
      </c>
      <c r="Z15" s="4011">
        <f t="shared" si="63"/>
        <v>19737.5</v>
      </c>
      <c r="AA15" s="4001">
        <f t="shared" si="64"/>
        <v>49873.955000000053</v>
      </c>
      <c r="AB15" s="4002">
        <f t="shared" si="64"/>
        <v>49629.209999999992</v>
      </c>
      <c r="AC15" s="554">
        <v>5541.9500000000025</v>
      </c>
      <c r="AD15" s="558">
        <v>5513.7300000000005</v>
      </c>
      <c r="AE15" s="1435">
        <f t="shared" si="77"/>
        <v>55415.905000000057</v>
      </c>
      <c r="AF15" s="1436">
        <f t="shared" si="78"/>
        <v>55142.939999999995</v>
      </c>
      <c r="AG15" s="554">
        <v>7396.3050000000067</v>
      </c>
      <c r="AH15" s="558">
        <v>6780.8000000000011</v>
      </c>
      <c r="AI15" s="1435">
        <f t="shared" si="79"/>
        <v>62812.210000000065</v>
      </c>
      <c r="AJ15" s="1436">
        <f t="shared" si="80"/>
        <v>61923.74</v>
      </c>
      <c r="AK15" s="554">
        <v>5922.3600000000051</v>
      </c>
      <c r="AL15" s="558">
        <v>6591.4400000000005</v>
      </c>
      <c r="AM15" s="1089">
        <f t="shared" si="65"/>
        <v>18860.615000000013</v>
      </c>
      <c r="AN15" s="1089">
        <f t="shared" si="66"/>
        <v>18885.97</v>
      </c>
      <c r="AO15" s="1435">
        <f t="shared" si="81"/>
        <v>68734.570000000065</v>
      </c>
      <c r="AP15" s="1436">
        <f t="shared" si="82"/>
        <v>68515.179999999993</v>
      </c>
      <c r="AQ15" s="554"/>
      <c r="AR15" s="558">
        <v>61.52</v>
      </c>
      <c r="AS15" s="1435">
        <f t="shared" si="90"/>
        <v>68734.570000000065</v>
      </c>
      <c r="AT15" s="1436">
        <f t="shared" si="83"/>
        <v>68576.7</v>
      </c>
      <c r="AU15" s="554">
        <v>12209.965000000022</v>
      </c>
      <c r="AV15" s="558">
        <v>12021.11</v>
      </c>
      <c r="AW15" s="1435">
        <f t="shared" si="84"/>
        <v>80944.535000000091</v>
      </c>
      <c r="AX15" s="1436">
        <f t="shared" si="85"/>
        <v>80597.81</v>
      </c>
      <c r="AY15" s="554">
        <v>5896.0024687895275</v>
      </c>
      <c r="AZ15" s="558">
        <v>5845.46</v>
      </c>
      <c r="BA15" s="1089">
        <f t="shared" si="67"/>
        <v>18105.967468789549</v>
      </c>
      <c r="BB15" s="1089">
        <f t="shared" si="68"/>
        <v>17928.09</v>
      </c>
      <c r="BC15" s="1600">
        <f t="shared" si="69"/>
        <v>36966.582468789566</v>
      </c>
      <c r="BD15" s="1600">
        <f t="shared" si="70"/>
        <v>36814.06</v>
      </c>
      <c r="BE15" s="1435">
        <f t="shared" si="86"/>
        <v>86840.537468789611</v>
      </c>
      <c r="BF15" s="1436">
        <f t="shared" si="87"/>
        <v>86443.27</v>
      </c>
      <c r="BG15" s="26">
        <f t="shared" si="88"/>
        <v>0</v>
      </c>
      <c r="BH15" s="26">
        <f t="shared" si="89"/>
        <v>0</v>
      </c>
      <c r="BI15" s="26"/>
      <c r="BJ15" s="26"/>
    </row>
    <row r="16" spans="3:62" ht="15" thickBot="1" x14ac:dyDescent="0.35">
      <c r="C16" s="6518"/>
      <c r="D16" s="2013" t="s">
        <v>2</v>
      </c>
      <c r="E16" s="562">
        <f t="shared" ref="E16:AJ16" si="91">SUM(E10:E15)</f>
        <v>31546.220000000012</v>
      </c>
      <c r="F16" s="553">
        <f t="shared" si="91"/>
        <v>27137.349999999991</v>
      </c>
      <c r="G16" s="562">
        <f t="shared" si="91"/>
        <v>29282.950000000026</v>
      </c>
      <c r="H16" s="553">
        <f t="shared" si="91"/>
        <v>29256.649999999991</v>
      </c>
      <c r="I16" s="1437">
        <f t="shared" si="91"/>
        <v>60829.170000000042</v>
      </c>
      <c r="J16" s="1438">
        <f t="shared" si="91"/>
        <v>56393.999999999985</v>
      </c>
      <c r="K16" s="1314">
        <f t="shared" si="91"/>
        <v>32011.095000000038</v>
      </c>
      <c r="L16" s="1314">
        <f t="shared" si="91"/>
        <v>29261.74</v>
      </c>
      <c r="M16" s="4014">
        <f t="shared" si="91"/>
        <v>92840.265000000087</v>
      </c>
      <c r="N16" s="4019">
        <f t="shared" si="91"/>
        <v>85655.739999999991</v>
      </c>
      <c r="O16" s="1314">
        <f t="shared" ref="O16:P16" si="92">SUM(O10:O15)</f>
        <v>18863.025000000012</v>
      </c>
      <c r="P16" s="1314">
        <f t="shared" si="92"/>
        <v>21711.200000000004</v>
      </c>
      <c r="Q16" s="1437">
        <f t="shared" si="91"/>
        <v>111703.2900000001</v>
      </c>
      <c r="R16" s="1438">
        <f t="shared" si="91"/>
        <v>107366.93999999999</v>
      </c>
      <c r="S16" s="1314">
        <f t="shared" si="91"/>
        <v>28986.125000000029</v>
      </c>
      <c r="T16" s="553">
        <f t="shared" si="91"/>
        <v>30556.339999999997</v>
      </c>
      <c r="U16" s="1437">
        <f t="shared" si="91"/>
        <v>140689.41500000012</v>
      </c>
      <c r="V16" s="1438">
        <f t="shared" si="91"/>
        <v>137923.27999999997</v>
      </c>
      <c r="W16" s="1314">
        <f t="shared" si="91"/>
        <v>29188.925000000021</v>
      </c>
      <c r="X16" s="553">
        <f t="shared" si="91"/>
        <v>22029.020000000004</v>
      </c>
      <c r="Y16" s="4014">
        <f t="shared" si="91"/>
        <v>77038.075000000041</v>
      </c>
      <c r="Z16" s="4015">
        <f t="shared" si="91"/>
        <v>74296.56</v>
      </c>
      <c r="AA16" s="4005">
        <f t="shared" si="91"/>
        <v>169878.34000000014</v>
      </c>
      <c r="AB16" s="4006">
        <f t="shared" si="91"/>
        <v>159952.29999999999</v>
      </c>
      <c r="AC16" s="1314">
        <f t="shared" si="91"/>
        <v>10577.840000000002</v>
      </c>
      <c r="AD16" s="553">
        <f t="shared" si="91"/>
        <v>17270.419999999998</v>
      </c>
      <c r="AE16" s="1437">
        <f t="shared" si="91"/>
        <v>180456.18000000014</v>
      </c>
      <c r="AF16" s="1438">
        <f t="shared" si="91"/>
        <v>177222.72</v>
      </c>
      <c r="AG16" s="1314">
        <f t="shared" si="91"/>
        <v>25310.055000000022</v>
      </c>
      <c r="AH16" s="553">
        <f t="shared" si="91"/>
        <v>20194.771000000001</v>
      </c>
      <c r="AI16" s="1437">
        <f t="shared" si="91"/>
        <v>205766.23500000016</v>
      </c>
      <c r="AJ16" s="1438">
        <f t="shared" si="91"/>
        <v>197417.49099999998</v>
      </c>
      <c r="AK16" s="1314">
        <f t="shared" ref="AK16:BF16" si="93">SUM(AK10:AK15)</f>
        <v>31272.44500000004</v>
      </c>
      <c r="AL16" s="553">
        <f t="shared" si="93"/>
        <v>33870.373</v>
      </c>
      <c r="AM16" s="1092">
        <f t="shared" si="93"/>
        <v>67160.340000000055</v>
      </c>
      <c r="AN16" s="1093">
        <f t="shared" si="93"/>
        <v>71335.563999999998</v>
      </c>
      <c r="AO16" s="1437">
        <f t="shared" si="93"/>
        <v>237038.6800000002</v>
      </c>
      <c r="AP16" s="1438">
        <f t="shared" si="93"/>
        <v>231287.864</v>
      </c>
      <c r="AQ16" s="1314">
        <f t="shared" si="93"/>
        <v>28699.930000000048</v>
      </c>
      <c r="AR16" s="553">
        <f t="shared" si="93"/>
        <v>32182.140000000003</v>
      </c>
      <c r="AS16" s="1437">
        <f t="shared" si="93"/>
        <v>265738.61000000022</v>
      </c>
      <c r="AT16" s="1438">
        <f t="shared" si="93"/>
        <v>263470.00400000002</v>
      </c>
      <c r="AU16" s="1314">
        <f t="shared" si="93"/>
        <v>42350.595000000088</v>
      </c>
      <c r="AV16" s="553">
        <f t="shared" si="93"/>
        <v>36909.47</v>
      </c>
      <c r="AW16" s="1437">
        <f t="shared" si="93"/>
        <v>308089.20500000037</v>
      </c>
      <c r="AX16" s="1438">
        <f t="shared" si="93"/>
        <v>300379.47399999999</v>
      </c>
      <c r="AY16" s="1314">
        <f t="shared" si="93"/>
        <v>24591.810628925559</v>
      </c>
      <c r="AZ16" s="553">
        <f t="shared" si="93"/>
        <v>32328.689999999995</v>
      </c>
      <c r="BA16" s="1092">
        <f t="shared" si="93"/>
        <v>95642.335628925692</v>
      </c>
      <c r="BB16" s="1093">
        <f t="shared" si="93"/>
        <v>101420.29999999999</v>
      </c>
      <c r="BC16" s="1603">
        <f t="shared" si="93"/>
        <v>162802.67562892576</v>
      </c>
      <c r="BD16" s="1604">
        <f t="shared" si="93"/>
        <v>172755.864</v>
      </c>
      <c r="BE16" s="1437">
        <f t="shared" si="93"/>
        <v>332681.01562892587</v>
      </c>
      <c r="BF16" s="1438">
        <f t="shared" si="93"/>
        <v>332708.16399999999</v>
      </c>
      <c r="BG16" s="26">
        <f t="shared" si="88"/>
        <v>0</v>
      </c>
      <c r="BH16" s="26">
        <f t="shared" si="89"/>
        <v>0</v>
      </c>
      <c r="BI16" s="26"/>
      <c r="BJ16" s="26"/>
    </row>
    <row r="17" spans="3:62" ht="18" thickBot="1" x14ac:dyDescent="0.35">
      <c r="C17" s="6509" t="s">
        <v>976</v>
      </c>
      <c r="D17" s="6510"/>
      <c r="E17" s="557">
        <f t="shared" ref="E17:AJ17" si="94">+E9+E16</f>
        <v>31546.220000000012</v>
      </c>
      <c r="F17" s="566">
        <f t="shared" si="94"/>
        <v>27137.349999999991</v>
      </c>
      <c r="G17" s="557">
        <f t="shared" si="94"/>
        <v>29282.950000000026</v>
      </c>
      <c r="H17" s="566">
        <f t="shared" si="94"/>
        <v>29256.649999999991</v>
      </c>
      <c r="I17" s="1098">
        <f t="shared" si="94"/>
        <v>60829.170000000042</v>
      </c>
      <c r="J17" s="1099">
        <f t="shared" si="94"/>
        <v>56393.999999999985</v>
      </c>
      <c r="K17" s="1315">
        <f t="shared" si="94"/>
        <v>32011.095000000038</v>
      </c>
      <c r="L17" s="557">
        <f t="shared" si="94"/>
        <v>29261.74</v>
      </c>
      <c r="M17" s="4016">
        <f t="shared" si="94"/>
        <v>92840.265000000087</v>
      </c>
      <c r="N17" s="4020">
        <f t="shared" si="94"/>
        <v>85655.739999999991</v>
      </c>
      <c r="O17" s="1315">
        <f t="shared" ref="O17:P17" si="95">+O9+O16</f>
        <v>18863.025000000012</v>
      </c>
      <c r="P17" s="557">
        <f t="shared" si="95"/>
        <v>21711.200000000004</v>
      </c>
      <c r="Q17" s="1098">
        <f t="shared" si="94"/>
        <v>111703.2900000001</v>
      </c>
      <c r="R17" s="1099">
        <f t="shared" si="94"/>
        <v>107366.93999999999</v>
      </c>
      <c r="S17" s="557">
        <f t="shared" si="94"/>
        <v>28986.125000000029</v>
      </c>
      <c r="T17" s="566">
        <f t="shared" si="94"/>
        <v>30556.339999999997</v>
      </c>
      <c r="U17" s="1098">
        <f t="shared" si="94"/>
        <v>140689.41500000012</v>
      </c>
      <c r="V17" s="1099">
        <f t="shared" si="94"/>
        <v>137923.27999999997</v>
      </c>
      <c r="W17" s="557">
        <f t="shared" si="94"/>
        <v>29188.925000000021</v>
      </c>
      <c r="X17" s="566">
        <f t="shared" si="94"/>
        <v>22029.020000000004</v>
      </c>
      <c r="Y17" s="4016">
        <f t="shared" si="94"/>
        <v>77038.075000000041</v>
      </c>
      <c r="Z17" s="4017">
        <f t="shared" si="94"/>
        <v>74296.56</v>
      </c>
      <c r="AA17" s="4007">
        <f t="shared" si="94"/>
        <v>169878.34000000014</v>
      </c>
      <c r="AB17" s="4008">
        <f t="shared" si="94"/>
        <v>159952.29999999999</v>
      </c>
      <c r="AC17" s="557">
        <f t="shared" si="94"/>
        <v>10577.840000000002</v>
      </c>
      <c r="AD17" s="566">
        <f t="shared" si="94"/>
        <v>17270.419999999998</v>
      </c>
      <c r="AE17" s="1098">
        <f t="shared" si="94"/>
        <v>180456.18000000014</v>
      </c>
      <c r="AF17" s="1099">
        <f t="shared" si="94"/>
        <v>177222.72</v>
      </c>
      <c r="AG17" s="557">
        <f t="shared" si="94"/>
        <v>25310.055000000022</v>
      </c>
      <c r="AH17" s="566">
        <f t="shared" si="94"/>
        <v>20194.771000000001</v>
      </c>
      <c r="AI17" s="1098">
        <f t="shared" si="94"/>
        <v>205766.23500000016</v>
      </c>
      <c r="AJ17" s="1099">
        <f t="shared" si="94"/>
        <v>197417.49099999998</v>
      </c>
      <c r="AK17" s="557">
        <f t="shared" ref="AK17:BF17" si="96">+AK9+AK16</f>
        <v>31272.44500000004</v>
      </c>
      <c r="AL17" s="566">
        <f t="shared" si="96"/>
        <v>33870.373</v>
      </c>
      <c r="AM17" s="1094">
        <f t="shared" si="96"/>
        <v>67160.340000000055</v>
      </c>
      <c r="AN17" s="1095">
        <f t="shared" si="96"/>
        <v>71335.563999999998</v>
      </c>
      <c r="AO17" s="1098">
        <f t="shared" si="96"/>
        <v>237038.6800000002</v>
      </c>
      <c r="AP17" s="1099">
        <f t="shared" si="96"/>
        <v>231287.864</v>
      </c>
      <c r="AQ17" s="557">
        <f t="shared" si="96"/>
        <v>28699.930000000048</v>
      </c>
      <c r="AR17" s="566">
        <f t="shared" si="96"/>
        <v>32182.140000000003</v>
      </c>
      <c r="AS17" s="1098">
        <f t="shared" si="96"/>
        <v>265738.61000000022</v>
      </c>
      <c r="AT17" s="1099">
        <f t="shared" si="96"/>
        <v>263470.00400000002</v>
      </c>
      <c r="AU17" s="557">
        <f t="shared" si="96"/>
        <v>42350.595000000088</v>
      </c>
      <c r="AV17" s="566">
        <f t="shared" si="96"/>
        <v>36909.47</v>
      </c>
      <c r="AW17" s="1098">
        <f t="shared" si="96"/>
        <v>308089.20500000037</v>
      </c>
      <c r="AX17" s="1099">
        <f t="shared" si="96"/>
        <v>300379.47399999999</v>
      </c>
      <c r="AY17" s="557">
        <f t="shared" si="96"/>
        <v>24591.810628925559</v>
      </c>
      <c r="AZ17" s="566">
        <f t="shared" si="96"/>
        <v>32328.689999999995</v>
      </c>
      <c r="BA17" s="1094">
        <f t="shared" si="96"/>
        <v>95642.335628925692</v>
      </c>
      <c r="BB17" s="1095">
        <f t="shared" si="96"/>
        <v>101420.29999999999</v>
      </c>
      <c r="BC17" s="1605">
        <f t="shared" si="96"/>
        <v>162802.67562892576</v>
      </c>
      <c r="BD17" s="1606">
        <f t="shared" si="96"/>
        <v>172755.864</v>
      </c>
      <c r="BE17" s="1098">
        <f t="shared" si="96"/>
        <v>332681.01562892587</v>
      </c>
      <c r="BF17" s="1099">
        <f t="shared" si="96"/>
        <v>332708.16399999999</v>
      </c>
      <c r="BG17" s="26">
        <f t="shared" si="88"/>
        <v>0</v>
      </c>
      <c r="BH17" s="26">
        <f t="shared" si="89"/>
        <v>0</v>
      </c>
      <c r="BI17" s="26"/>
      <c r="BJ17" s="26"/>
    </row>
    <row r="19" spans="3:62" x14ac:dyDescent="0.3">
      <c r="Z19" s="26"/>
    </row>
    <row r="20" spans="3:62" x14ac:dyDescent="0.3">
      <c r="Z20" s="26"/>
    </row>
    <row r="21" spans="3:62" ht="23.4" hidden="1" x14ac:dyDescent="0.45">
      <c r="D21" s="6503" t="s">
        <v>1094</v>
      </c>
      <c r="E21" s="6503"/>
      <c r="F21" s="6503"/>
      <c r="G21" s="6503"/>
      <c r="H21" s="6503"/>
      <c r="I21" s="6503"/>
      <c r="J21" s="6503"/>
      <c r="K21" s="6503"/>
      <c r="L21" s="6503"/>
      <c r="M21" s="6503"/>
      <c r="N21" s="6503"/>
      <c r="O21" s="6503"/>
      <c r="P21" s="6503"/>
      <c r="Q21" s="6503"/>
      <c r="R21" s="6503"/>
      <c r="S21" s="6503"/>
      <c r="T21" s="6503"/>
    </row>
    <row r="22" spans="3:62" hidden="1" x14ac:dyDescent="0.3"/>
    <row r="23" spans="3:62" hidden="1" x14ac:dyDescent="0.3">
      <c r="D23" s="181"/>
      <c r="E23" s="181"/>
      <c r="F23" s="269" t="s">
        <v>957</v>
      </c>
      <c r="G23" s="269" t="s">
        <v>979</v>
      </c>
      <c r="H23" s="269" t="s">
        <v>983</v>
      </c>
      <c r="I23" s="269"/>
      <c r="J23" s="269"/>
      <c r="K23" s="269" t="s">
        <v>637</v>
      </c>
      <c r="L23" s="269" t="s">
        <v>992</v>
      </c>
      <c r="M23" s="269" t="s">
        <v>1014</v>
      </c>
      <c r="N23" s="269" t="s">
        <v>1063</v>
      </c>
      <c r="O23" s="269" t="s">
        <v>660</v>
      </c>
      <c r="P23" s="269" t="s">
        <v>657</v>
      </c>
      <c r="Q23" s="269"/>
      <c r="R23" s="269"/>
      <c r="S23" s="269" t="s">
        <v>1089</v>
      </c>
      <c r="T23" s="269" t="s">
        <v>1090</v>
      </c>
    </row>
    <row r="24" spans="3:62" hidden="1" x14ac:dyDescent="0.3">
      <c r="D24" s="181" t="s">
        <v>962</v>
      </c>
      <c r="E24" s="181" t="s">
        <v>66</v>
      </c>
      <c r="F24" s="346">
        <v>0</v>
      </c>
      <c r="G24" s="346">
        <v>0</v>
      </c>
      <c r="H24" s="346">
        <v>1279.2</v>
      </c>
      <c r="I24" s="346"/>
      <c r="J24" s="346"/>
      <c r="K24" s="346">
        <f>SUM(F24:H24)</f>
        <v>1279.2</v>
      </c>
      <c r="L24" s="346">
        <v>0</v>
      </c>
      <c r="M24" s="346">
        <v>850.75</v>
      </c>
      <c r="N24" s="346">
        <v>1435</v>
      </c>
      <c r="O24" s="346">
        <f>SUM(L24:N24)</f>
        <v>2285.75</v>
      </c>
      <c r="P24" s="346">
        <f>+O24+K24</f>
        <v>3564.95</v>
      </c>
      <c r="Q24" s="346"/>
      <c r="R24" s="346"/>
      <c r="S24" s="346">
        <v>988.1</v>
      </c>
      <c r="T24" s="346">
        <f>P24+S24</f>
        <v>4553.05</v>
      </c>
    </row>
    <row r="25" spans="3:62" hidden="1" x14ac:dyDescent="0.3">
      <c r="D25" s="181" t="s">
        <v>965</v>
      </c>
      <c r="E25" s="181" t="s">
        <v>66</v>
      </c>
      <c r="F25" s="346">
        <v>516.12</v>
      </c>
      <c r="G25" s="346">
        <v>332.09999999999997</v>
      </c>
      <c r="H25" s="346">
        <v>0</v>
      </c>
      <c r="I25" s="346"/>
      <c r="J25" s="346"/>
      <c r="K25" s="346">
        <f t="shared" ref="K25:K31" si="97">SUM(F25:H25)</f>
        <v>848.22</v>
      </c>
      <c r="L25" s="346">
        <v>0</v>
      </c>
      <c r="M25" s="346">
        <v>0</v>
      </c>
      <c r="N25" s="346">
        <v>529</v>
      </c>
      <c r="O25" s="346">
        <f t="shared" ref="O25:O31" si="98">SUM(L25:N25)</f>
        <v>529</v>
      </c>
      <c r="P25" s="346">
        <f t="shared" ref="P25:P31" si="99">+O25+K25</f>
        <v>1377.22</v>
      </c>
      <c r="Q25" s="346"/>
      <c r="R25" s="346"/>
      <c r="S25" s="346">
        <v>740.05</v>
      </c>
      <c r="T25" s="346">
        <f t="shared" ref="T25:T30" si="100">P25+S25</f>
        <v>2117.27</v>
      </c>
    </row>
    <row r="26" spans="3:62" hidden="1" x14ac:dyDescent="0.3">
      <c r="D26" s="181" t="s">
        <v>964</v>
      </c>
      <c r="E26" s="181" t="s">
        <v>66</v>
      </c>
      <c r="F26" s="346">
        <v>367.24799999999999</v>
      </c>
      <c r="G26" s="346">
        <v>0</v>
      </c>
      <c r="H26" s="346">
        <v>393.6</v>
      </c>
      <c r="I26" s="346"/>
      <c r="J26" s="346"/>
      <c r="K26" s="346">
        <f t="shared" si="97"/>
        <v>760.84799999999996</v>
      </c>
      <c r="L26" s="346">
        <v>1521.1</v>
      </c>
      <c r="M26" s="346">
        <v>742.09999999999991</v>
      </c>
      <c r="N26" s="346">
        <v>845</v>
      </c>
      <c r="O26" s="346">
        <f t="shared" si="98"/>
        <v>3108.2</v>
      </c>
      <c r="P26" s="346">
        <f t="shared" si="99"/>
        <v>3869.0479999999998</v>
      </c>
      <c r="Q26" s="346"/>
      <c r="R26" s="346"/>
      <c r="S26" s="346">
        <v>1566.2</v>
      </c>
      <c r="T26" s="346">
        <f t="shared" si="100"/>
        <v>5435.2479999999996</v>
      </c>
    </row>
    <row r="27" spans="3:62" hidden="1" x14ac:dyDescent="0.3">
      <c r="D27" s="181" t="s">
        <v>966</v>
      </c>
      <c r="E27" s="181" t="s">
        <v>66</v>
      </c>
      <c r="F27" s="346">
        <v>1028.192</v>
      </c>
      <c r="G27" s="346">
        <v>313.64999999999998</v>
      </c>
      <c r="H27" s="346">
        <v>1558</v>
      </c>
      <c r="I27" s="346"/>
      <c r="J27" s="346"/>
      <c r="K27" s="346">
        <f t="shared" si="97"/>
        <v>2899.8420000000001</v>
      </c>
      <c r="L27" s="346">
        <v>1033.1999999999998</v>
      </c>
      <c r="M27" s="346">
        <v>491.99999999999994</v>
      </c>
      <c r="N27" s="346">
        <v>759</v>
      </c>
      <c r="O27" s="346">
        <f t="shared" si="98"/>
        <v>2284.1999999999998</v>
      </c>
      <c r="P27" s="346">
        <f t="shared" si="99"/>
        <v>5184.0419999999995</v>
      </c>
      <c r="Q27" s="346"/>
      <c r="R27" s="346"/>
      <c r="S27" s="346">
        <v>1221.8</v>
      </c>
      <c r="T27" s="346">
        <f t="shared" si="100"/>
        <v>6405.8419999999996</v>
      </c>
    </row>
    <row r="28" spans="3:62" hidden="1" x14ac:dyDescent="0.3">
      <c r="D28" s="181" t="s">
        <v>980</v>
      </c>
      <c r="E28" s="181" t="s">
        <v>66</v>
      </c>
      <c r="F28" s="346">
        <v>0</v>
      </c>
      <c r="G28" s="346">
        <v>143.5</v>
      </c>
      <c r="H28" s="346">
        <v>0</v>
      </c>
      <c r="I28" s="346"/>
      <c r="J28" s="346"/>
      <c r="K28" s="346">
        <f t="shared" si="97"/>
        <v>143.5</v>
      </c>
      <c r="L28" s="346">
        <v>0</v>
      </c>
      <c r="M28" s="346">
        <v>0</v>
      </c>
      <c r="N28" s="346">
        <v>0</v>
      </c>
      <c r="O28" s="346">
        <f t="shared" si="98"/>
        <v>0</v>
      </c>
      <c r="P28" s="346">
        <f t="shared" si="99"/>
        <v>143.5</v>
      </c>
      <c r="Q28" s="346"/>
      <c r="R28" s="346"/>
      <c r="S28" s="346">
        <v>0</v>
      </c>
      <c r="T28" s="346">
        <f t="shared" si="100"/>
        <v>143.5</v>
      </c>
    </row>
    <row r="29" spans="3:62" hidden="1" x14ac:dyDescent="0.3">
      <c r="D29" s="181" t="s">
        <v>967</v>
      </c>
      <c r="E29" s="181" t="s">
        <v>66</v>
      </c>
      <c r="F29" s="346">
        <v>42.84</v>
      </c>
      <c r="G29" s="346">
        <v>0</v>
      </c>
      <c r="H29" s="346">
        <v>0</v>
      </c>
      <c r="I29" s="346"/>
      <c r="J29" s="346"/>
      <c r="K29" s="346">
        <f t="shared" si="97"/>
        <v>42.84</v>
      </c>
      <c r="L29" s="346">
        <v>0</v>
      </c>
      <c r="M29" s="346">
        <v>153.75</v>
      </c>
      <c r="N29" s="346">
        <v>0</v>
      </c>
      <c r="O29" s="346">
        <f t="shared" si="98"/>
        <v>153.75</v>
      </c>
      <c r="P29" s="346">
        <f t="shared" si="99"/>
        <v>196.59</v>
      </c>
      <c r="Q29" s="346"/>
      <c r="R29" s="346"/>
      <c r="S29" s="346">
        <v>0</v>
      </c>
      <c r="T29" s="346">
        <f t="shared" si="100"/>
        <v>196.59</v>
      </c>
    </row>
    <row r="30" spans="3:62" hidden="1" x14ac:dyDescent="0.3">
      <c r="D30" s="181" t="s">
        <v>912</v>
      </c>
      <c r="E30" s="181" t="s">
        <v>66</v>
      </c>
      <c r="F30" s="346">
        <v>2756.5039999999999</v>
      </c>
      <c r="G30" s="346">
        <v>3013.4999999999995</v>
      </c>
      <c r="H30" s="346">
        <v>6814.2</v>
      </c>
      <c r="I30" s="346"/>
      <c r="J30" s="346"/>
      <c r="K30" s="346">
        <f t="shared" si="97"/>
        <v>12584.203999999998</v>
      </c>
      <c r="L30" s="346">
        <v>5334.0999999999995</v>
      </c>
      <c r="M30" s="346">
        <v>6262.75</v>
      </c>
      <c r="N30" s="346">
        <v>9301</v>
      </c>
      <c r="O30" s="346">
        <f t="shared" si="98"/>
        <v>20897.849999999999</v>
      </c>
      <c r="P30" s="346">
        <f t="shared" si="99"/>
        <v>33482.053999999996</v>
      </c>
      <c r="Q30" s="346"/>
      <c r="R30" s="346"/>
      <c r="S30" s="346">
        <v>7052</v>
      </c>
      <c r="T30" s="346">
        <f t="shared" si="100"/>
        <v>40534.053999999996</v>
      </c>
    </row>
    <row r="31" spans="3:62" ht="18" hidden="1" x14ac:dyDescent="0.35">
      <c r="D31" s="1037" t="s">
        <v>2</v>
      </c>
      <c r="E31" s="1037"/>
      <c r="F31" s="1038">
        <f>SUM(F24:F30)</f>
        <v>4710.9039999999995</v>
      </c>
      <c r="G31" s="1038">
        <f t="shared" ref="G31:S31" si="101">SUM(G24:G30)</f>
        <v>3802.7499999999995</v>
      </c>
      <c r="H31" s="1038">
        <f t="shared" si="101"/>
        <v>10045</v>
      </c>
      <c r="I31" s="1038"/>
      <c r="J31" s="1038"/>
      <c r="K31" s="1038">
        <f t="shared" si="97"/>
        <v>18558.653999999999</v>
      </c>
      <c r="L31" s="1038">
        <f t="shared" si="101"/>
        <v>7888.4</v>
      </c>
      <c r="M31" s="1038">
        <f t="shared" si="101"/>
        <v>8501.35</v>
      </c>
      <c r="N31" s="1038">
        <f t="shared" si="101"/>
        <v>12869</v>
      </c>
      <c r="O31" s="1038">
        <f t="shared" si="98"/>
        <v>29258.75</v>
      </c>
      <c r="P31" s="1038">
        <f t="shared" si="99"/>
        <v>47817.403999999995</v>
      </c>
      <c r="Q31" s="1038"/>
      <c r="R31" s="1038"/>
      <c r="S31" s="1038">
        <f t="shared" si="101"/>
        <v>11568.150000000001</v>
      </c>
      <c r="T31" s="1038">
        <f>SUM(T24:T30)</f>
        <v>59385.553999999996</v>
      </c>
    </row>
  </sheetData>
  <mergeCells count="32"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  <mergeCell ref="C1:T1"/>
    <mergeCell ref="G3:H3"/>
    <mergeCell ref="U3:V3"/>
    <mergeCell ref="W3:X3"/>
    <mergeCell ref="Y3:Z3"/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</mergeCells>
  <printOptions horizontalCentered="1" verticalCentered="1"/>
  <pageMargins left="0" right="0" top="0" bottom="0" header="0" footer="0"/>
  <pageSetup paperSize="9" scale="81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>
    <tabColor rgb="FF92D050"/>
  </sheetPr>
  <dimension ref="D2:BM18"/>
  <sheetViews>
    <sheetView topLeftCell="C2" workbookViewId="0">
      <selection activeCell="D4" sqref="D4:D15"/>
    </sheetView>
  </sheetViews>
  <sheetFormatPr defaultRowHeight="14.4" x14ac:dyDescent="0.3"/>
  <cols>
    <col min="1" max="2" width="0" hidden="1" customWidth="1"/>
    <col min="4" max="4" width="38.6640625" bestFit="1" customWidth="1"/>
    <col min="5" max="5" width="12.109375" customWidth="1"/>
    <col min="6" max="6" width="9.109375" hidden="1" customWidth="1"/>
    <col min="7" max="7" width="10.88671875" customWidth="1"/>
    <col min="8" max="8" width="2.6640625" hidden="1" customWidth="1"/>
    <col min="9" max="9" width="10.6640625" customWidth="1"/>
    <col min="10" max="10" width="2.6640625" hidden="1" customWidth="1"/>
    <col min="11" max="11" width="8.44140625" hidden="1" customWidth="1"/>
    <col min="12" max="12" width="2.6640625" hidden="1" customWidth="1"/>
    <col min="13" max="13" width="11.109375" customWidth="1"/>
    <col min="14" max="14" width="2.6640625" hidden="1" customWidth="1"/>
    <col min="15" max="15" width="10.33203125" customWidth="1"/>
    <col min="16" max="16" width="2.6640625" hidden="1" customWidth="1"/>
    <col min="17" max="17" width="10" customWidth="1"/>
    <col min="18" max="18" width="2.6640625" hidden="1" customWidth="1"/>
    <col min="19" max="19" width="8.44140625" hidden="1" customWidth="1"/>
    <col min="20" max="20" width="2.6640625" hidden="1" customWidth="1"/>
    <col min="21" max="21" width="9.5546875" customWidth="1"/>
    <col min="22" max="22" width="2.6640625" hidden="1" customWidth="1"/>
    <col min="23" max="23" width="10.88671875" hidden="1" customWidth="1"/>
    <col min="24" max="24" width="2.6640625" hidden="1" customWidth="1"/>
    <col min="25" max="25" width="8.44140625" customWidth="1"/>
    <col min="26" max="26" width="2.6640625" hidden="1" customWidth="1"/>
    <col min="27" max="27" width="8.88671875" customWidth="1"/>
    <col min="28" max="28" width="2.6640625" hidden="1" customWidth="1"/>
    <col min="29" max="29" width="8.44140625" customWidth="1"/>
    <col min="30" max="30" width="9.109375" hidden="1" customWidth="1"/>
    <col min="31" max="31" width="9.109375" customWidth="1"/>
    <col min="32" max="32" width="9.109375" hidden="1" customWidth="1"/>
    <col min="33" max="33" width="9.88671875" hidden="1" customWidth="1"/>
    <col min="34" max="34" width="9.109375" hidden="1" customWidth="1"/>
    <col min="35" max="35" width="9.109375" customWidth="1"/>
    <col min="36" max="36" width="9.109375" hidden="1" customWidth="1"/>
    <col min="37" max="37" width="9.88671875" hidden="1" customWidth="1"/>
    <col min="38" max="38" width="9.109375" hidden="1" customWidth="1"/>
    <col min="39" max="39" width="9.109375" customWidth="1"/>
    <col min="40" max="40" width="9.109375" hidden="1" customWidth="1"/>
    <col min="41" max="41" width="9.109375" customWidth="1"/>
    <col min="42" max="42" width="9.109375" hidden="1" customWidth="1"/>
    <col min="43" max="43" width="9.88671875" hidden="1" customWidth="1"/>
    <col min="44" max="44" width="9.109375" hidden="1" customWidth="1"/>
    <col min="45" max="45" width="9.109375" customWidth="1"/>
    <col min="46" max="46" width="9.109375" hidden="1" customWidth="1"/>
    <col min="47" max="47" width="9.88671875" hidden="1" customWidth="1"/>
    <col min="48" max="48" width="9.109375" hidden="1" customWidth="1"/>
    <col min="49" max="49" width="9.109375" customWidth="1"/>
    <col min="50" max="50" width="9.109375" hidden="1" customWidth="1"/>
    <col min="51" max="51" width="9.88671875" hidden="1" customWidth="1"/>
    <col min="52" max="52" width="9.109375" hidden="1" customWidth="1"/>
    <col min="53" max="53" width="9.109375" customWidth="1"/>
    <col min="54" max="54" width="9.109375" hidden="1" customWidth="1"/>
    <col min="55" max="55" width="9.109375" customWidth="1"/>
    <col min="56" max="56" width="9.109375" hidden="1" customWidth="1"/>
    <col min="57" max="57" width="9.88671875" customWidth="1"/>
    <col min="58" max="58" width="9.109375" hidden="1" customWidth="1"/>
    <col min="59" max="59" width="9.88671875" customWidth="1"/>
    <col min="60" max="61" width="9.109375" customWidth="1"/>
  </cols>
  <sheetData>
    <row r="2" spans="4:65" ht="26.4" thickBot="1" x14ac:dyDescent="0.55000000000000004">
      <c r="D2" s="6528" t="s">
        <v>1773</v>
      </c>
      <c r="E2" s="6528"/>
      <c r="F2" s="6528"/>
      <c r="G2" s="6528"/>
      <c r="H2" s="6528"/>
      <c r="I2" s="6528"/>
      <c r="J2" s="6528"/>
      <c r="K2" s="6528"/>
      <c r="L2" s="6528"/>
      <c r="M2" s="6528"/>
      <c r="N2" s="6528"/>
      <c r="O2" s="6528"/>
      <c r="P2" s="6528"/>
      <c r="Q2" s="6528"/>
      <c r="R2" s="6528"/>
      <c r="S2" s="6528"/>
      <c r="T2" s="6528"/>
      <c r="U2" s="6528"/>
      <c r="V2" s="6528"/>
      <c r="W2" s="6528"/>
      <c r="X2" s="6528"/>
      <c r="Y2" s="6528"/>
      <c r="Z2" s="6528"/>
      <c r="AA2" s="6528"/>
      <c r="AB2" s="6528"/>
      <c r="AC2" s="6528"/>
      <c r="AD2" s="6528"/>
      <c r="AE2" s="6528"/>
      <c r="AF2" s="6528"/>
      <c r="AG2" s="6528"/>
      <c r="AH2" s="6528"/>
      <c r="AI2" s="6528"/>
      <c r="AJ2" s="6528"/>
      <c r="AK2" s="6528"/>
    </row>
    <row r="3" spans="4:65" s="32" customFormat="1" ht="18" x14ac:dyDescent="0.3">
      <c r="D3" s="1157"/>
      <c r="E3" s="1158"/>
      <c r="F3" s="6519" t="s">
        <v>1998</v>
      </c>
      <c r="G3" s="6520"/>
      <c r="H3" s="6519" t="s">
        <v>2013</v>
      </c>
      <c r="I3" s="6520"/>
      <c r="J3" s="6521" t="s">
        <v>658</v>
      </c>
      <c r="K3" s="6522"/>
      <c r="L3" s="6519" t="s">
        <v>2043</v>
      </c>
      <c r="M3" s="6520"/>
      <c r="N3" s="6523" t="s">
        <v>637</v>
      </c>
      <c r="O3" s="6524"/>
      <c r="P3" s="6519" t="s">
        <v>2065</v>
      </c>
      <c r="Q3" s="6520"/>
      <c r="R3" s="6521" t="s">
        <v>651</v>
      </c>
      <c r="S3" s="6522"/>
      <c r="T3" s="6519" t="s">
        <v>2068</v>
      </c>
      <c r="U3" s="6520"/>
      <c r="V3" s="6521" t="s">
        <v>18</v>
      </c>
      <c r="W3" s="6522"/>
      <c r="X3" s="6519" t="s">
        <v>2110</v>
      </c>
      <c r="Y3" s="6520"/>
      <c r="Z3" s="6523" t="s">
        <v>660</v>
      </c>
      <c r="AA3" s="6524"/>
      <c r="AB3" s="6529" t="s">
        <v>657</v>
      </c>
      <c r="AC3" s="6530"/>
      <c r="AD3" s="6519" t="s">
        <v>2135</v>
      </c>
      <c r="AE3" s="6520"/>
      <c r="AF3" s="6521" t="s">
        <v>24</v>
      </c>
      <c r="AG3" s="6522"/>
      <c r="AH3" s="6519" t="s">
        <v>2238</v>
      </c>
      <c r="AI3" s="6520"/>
      <c r="AJ3" s="6521" t="s">
        <v>27</v>
      </c>
      <c r="AK3" s="6522"/>
      <c r="AL3" s="6519" t="s">
        <v>2262</v>
      </c>
      <c r="AM3" s="6520"/>
      <c r="AN3" s="6523" t="s">
        <v>662</v>
      </c>
      <c r="AO3" s="6524"/>
      <c r="AP3" s="6521" t="s">
        <v>1613</v>
      </c>
      <c r="AQ3" s="6522"/>
      <c r="AR3" s="6519" t="s">
        <v>2274</v>
      </c>
      <c r="AS3" s="6520"/>
      <c r="AT3" s="6521" t="s">
        <v>28</v>
      </c>
      <c r="AU3" s="6522"/>
      <c r="AV3" s="6519" t="s">
        <v>2311</v>
      </c>
      <c r="AW3" s="6520"/>
      <c r="AX3" s="6521" t="s">
        <v>30</v>
      </c>
      <c r="AY3" s="6522"/>
      <c r="AZ3" s="6519" t="s">
        <v>2329</v>
      </c>
      <c r="BA3" s="6520"/>
      <c r="BB3" s="6523" t="s">
        <v>663</v>
      </c>
      <c r="BC3" s="6524"/>
      <c r="BD3" s="6529" t="s">
        <v>670</v>
      </c>
      <c r="BE3" s="6530"/>
      <c r="BF3" s="6521" t="s">
        <v>2041</v>
      </c>
      <c r="BG3" s="6522"/>
    </row>
    <row r="4" spans="4:65" ht="18" x14ac:dyDescent="0.35">
      <c r="D4" s="1159" t="s">
        <v>962</v>
      </c>
      <c r="E4" s="6525" t="s">
        <v>66</v>
      </c>
      <c r="F4" s="1102"/>
      <c r="G4" s="1102">
        <f>+'Value added steel '!G12</f>
        <v>1096.75</v>
      </c>
      <c r="H4" s="1102"/>
      <c r="I4" s="1102">
        <f>+'Value added steel '!I12</f>
        <v>223.45000000000002</v>
      </c>
      <c r="J4" s="624"/>
      <c r="K4" s="624">
        <f>+G4+I4</f>
        <v>1320.2</v>
      </c>
      <c r="L4" s="1102"/>
      <c r="M4" s="1102">
        <f>+'Value added steel '!M12</f>
        <v>699.05000000000007</v>
      </c>
      <c r="N4" s="628"/>
      <c r="O4" s="628">
        <f>+G4+I4+M4</f>
        <v>2019.25</v>
      </c>
      <c r="P4" s="1102"/>
      <c r="Q4" s="1102">
        <f>+'Value added steel '!Q12</f>
        <v>455.09999999999997</v>
      </c>
      <c r="R4" s="624"/>
      <c r="S4" s="624">
        <f>+O4+Q4</f>
        <v>2474.35</v>
      </c>
      <c r="T4" s="1102"/>
      <c r="U4" s="1102">
        <f>+'Value added steel '!U12</f>
        <v>1242.3</v>
      </c>
      <c r="V4" s="624"/>
      <c r="W4" s="624">
        <f>+S4+U4</f>
        <v>3716.6499999999996</v>
      </c>
      <c r="X4" s="1102"/>
      <c r="Y4" s="1102">
        <f>+'Value added steel '!Y12</f>
        <v>742.1</v>
      </c>
      <c r="Z4" s="628"/>
      <c r="AA4" s="628">
        <f>+Q4+U4+Y4</f>
        <v>2439.5</v>
      </c>
      <c r="AB4" s="1156"/>
      <c r="AC4" s="1156">
        <f>+O4+AA4</f>
        <v>4458.75</v>
      </c>
      <c r="AD4" s="1102"/>
      <c r="AE4" s="1102">
        <f>+'Value added steel '!AE12</f>
        <v>0</v>
      </c>
      <c r="AF4" s="624"/>
      <c r="AG4" s="624">
        <f>+AC4+AE4</f>
        <v>4458.75</v>
      </c>
      <c r="AH4" s="1102"/>
      <c r="AI4" s="1102">
        <f>+'Value added steel '!AI12</f>
        <v>1869.6</v>
      </c>
      <c r="AJ4" s="624"/>
      <c r="AK4" s="624">
        <f>+AG4+AI4</f>
        <v>6328.35</v>
      </c>
      <c r="AL4" s="1102"/>
      <c r="AM4" s="1102">
        <f>+'Value added steel '!AM12</f>
        <v>399.75</v>
      </c>
      <c r="AN4" s="628"/>
      <c r="AO4" s="628">
        <f>+AE4+AI4+AM4</f>
        <v>2269.35</v>
      </c>
      <c r="AP4" s="624"/>
      <c r="AQ4" s="624">
        <f>+AK4+AM4</f>
        <v>6728.1</v>
      </c>
      <c r="AR4" s="1102"/>
      <c r="AS4" s="1102">
        <f>+'Value added steel '!AS12</f>
        <v>655.99999999999989</v>
      </c>
      <c r="AT4" s="624"/>
      <c r="AU4" s="624">
        <f>+AQ4+AS4</f>
        <v>7384.1</v>
      </c>
      <c r="AV4" s="1102"/>
      <c r="AW4" s="1102">
        <f>+'Value added steel '!AW12</f>
        <v>979.90000000000009</v>
      </c>
      <c r="AX4" s="624"/>
      <c r="AY4" s="624">
        <f>+AU4+AW4</f>
        <v>8364</v>
      </c>
      <c r="AZ4" s="1102"/>
      <c r="BA4" s="1102">
        <f>+'Value added steel '!BA12</f>
        <v>186.55</v>
      </c>
      <c r="BB4" s="628"/>
      <c r="BC4" s="628">
        <f>+AS4+AW4+BA4</f>
        <v>1822.45</v>
      </c>
      <c r="BD4" s="1156"/>
      <c r="BE4" s="1156">
        <f>+AO4+BC4</f>
        <v>4091.8</v>
      </c>
      <c r="BF4" s="624"/>
      <c r="BG4" s="624">
        <f>+AY4+BA4</f>
        <v>8550.5499999999993</v>
      </c>
      <c r="BH4" s="26"/>
      <c r="BI4" s="26"/>
      <c r="BJ4" s="26"/>
    </row>
    <row r="5" spans="4:65" ht="18" x14ac:dyDescent="0.35">
      <c r="D5" s="1159" t="s">
        <v>1582</v>
      </c>
      <c r="E5" s="6526"/>
      <c r="F5" s="1102"/>
      <c r="G5" s="1102">
        <f>+'Value added steel '!G13</f>
        <v>0</v>
      </c>
      <c r="H5" s="1102"/>
      <c r="I5" s="1102">
        <f>+'Value added steel '!I13</f>
        <v>0</v>
      </c>
      <c r="J5" s="624"/>
      <c r="K5" s="624">
        <f t="shared" ref="K5:K15" si="0">+G5+I5</f>
        <v>0</v>
      </c>
      <c r="L5" s="1102"/>
      <c r="M5" s="1102">
        <f>+'Value added steel '!M13</f>
        <v>0</v>
      </c>
      <c r="N5" s="628"/>
      <c r="O5" s="628">
        <f t="shared" ref="O5:O15" si="1">+G5+I5+M5</f>
        <v>0</v>
      </c>
      <c r="P5" s="1102"/>
      <c r="Q5" s="1102">
        <f>+'Value added steel '!Q13</f>
        <v>0</v>
      </c>
      <c r="R5" s="624"/>
      <c r="S5" s="624">
        <f t="shared" ref="S5:S15" si="2">+O5+Q5</f>
        <v>0</v>
      </c>
      <c r="T5" s="1102"/>
      <c r="U5" s="1102">
        <f>+'Value added steel '!U13</f>
        <v>0</v>
      </c>
      <c r="V5" s="624"/>
      <c r="W5" s="624">
        <f t="shared" ref="W5:W14" si="3">+S5+U5</f>
        <v>0</v>
      </c>
      <c r="X5" s="1102"/>
      <c r="Y5" s="1102">
        <f>+'Value added steel '!Y13</f>
        <v>0</v>
      </c>
      <c r="Z5" s="628"/>
      <c r="AA5" s="628">
        <f t="shared" ref="AA5:AA15" si="4">+Q5+U5+Y5</f>
        <v>0</v>
      </c>
      <c r="AB5" s="1156"/>
      <c r="AC5" s="1156">
        <f t="shared" ref="AC5:AC15" si="5">+O5+AA5</f>
        <v>0</v>
      </c>
      <c r="AD5" s="1102"/>
      <c r="AE5" s="1102">
        <f>+'Value added steel '!AE13</f>
        <v>0</v>
      </c>
      <c r="AF5" s="624"/>
      <c r="AG5" s="624">
        <f t="shared" ref="AG5:AG13" si="6">+AC5+AE5</f>
        <v>0</v>
      </c>
      <c r="AH5" s="1102"/>
      <c r="AI5" s="1102">
        <f>+'Value added steel '!AI13</f>
        <v>0</v>
      </c>
      <c r="AJ5" s="624"/>
      <c r="AK5" s="624">
        <f t="shared" ref="AK5:AK15" si="7">+AG5+AI5</f>
        <v>0</v>
      </c>
      <c r="AL5" s="1102"/>
      <c r="AM5" s="1102">
        <f>+'Value added steel '!AM13</f>
        <v>0</v>
      </c>
      <c r="AN5" s="628"/>
      <c r="AO5" s="628">
        <f t="shared" ref="AO5:AO15" si="8">+AE5+AI5+AM5</f>
        <v>0</v>
      </c>
      <c r="AP5" s="624"/>
      <c r="AQ5" s="624">
        <f t="shared" ref="AQ5:AQ14" si="9">+AK5+AM5</f>
        <v>0</v>
      </c>
      <c r="AR5" s="1102"/>
      <c r="AS5" s="1102">
        <f>+'Value added steel '!AS13</f>
        <v>0</v>
      </c>
      <c r="AT5" s="624"/>
      <c r="AU5" s="624">
        <f t="shared" ref="AU5:AU14" si="10">+AQ5+AS5</f>
        <v>0</v>
      </c>
      <c r="AV5" s="1102"/>
      <c r="AW5" s="1102">
        <f>+'Value added steel '!AW13</f>
        <v>0</v>
      </c>
      <c r="AX5" s="624"/>
      <c r="AY5" s="624">
        <f t="shared" ref="AY5:AY15" si="11">+AU5+AW5</f>
        <v>0</v>
      </c>
      <c r="AZ5" s="1102"/>
      <c r="BA5" s="1102">
        <f>+'Value added steel '!BA13</f>
        <v>0</v>
      </c>
      <c r="BB5" s="628"/>
      <c r="BC5" s="628">
        <f t="shared" ref="BC5:BC12" si="12">+AS5+AW5+BA5</f>
        <v>0</v>
      </c>
      <c r="BD5" s="1156"/>
      <c r="BE5" s="1156">
        <f t="shared" ref="BE5:BE12" si="13">+AO5+BC5</f>
        <v>0</v>
      </c>
      <c r="BF5" s="624"/>
      <c r="BG5" s="624">
        <f t="shared" ref="BG5:BG12" si="14">+AY5+BA5</f>
        <v>0</v>
      </c>
      <c r="BH5" s="26"/>
      <c r="BI5" s="26"/>
      <c r="BJ5" s="26"/>
    </row>
    <row r="6" spans="4:65" ht="18" x14ac:dyDescent="0.35">
      <c r="D6" s="1159" t="s">
        <v>965</v>
      </c>
      <c r="E6" s="6526"/>
      <c r="F6" s="4316"/>
      <c r="G6" s="1102">
        <f>+'Value added steel '!G14</f>
        <v>559.65</v>
      </c>
      <c r="H6" s="4316"/>
      <c r="I6" s="1102">
        <f>+'Value added steel '!I14</f>
        <v>565.79999999999995</v>
      </c>
      <c r="J6" s="4317"/>
      <c r="K6" s="624">
        <f t="shared" si="0"/>
        <v>1125.4499999999998</v>
      </c>
      <c r="L6" s="4316"/>
      <c r="M6" s="1102">
        <f>+'Value added steel '!M14</f>
        <v>502.24999999999994</v>
      </c>
      <c r="N6" s="4318"/>
      <c r="O6" s="628">
        <f t="shared" si="1"/>
        <v>1627.6999999999998</v>
      </c>
      <c r="P6" s="4316"/>
      <c r="Q6" s="1102">
        <f>+'Value added steel '!Q14</f>
        <v>338.25</v>
      </c>
      <c r="R6" s="4317"/>
      <c r="S6" s="624">
        <f t="shared" si="2"/>
        <v>1965.9499999999998</v>
      </c>
      <c r="T6" s="4316"/>
      <c r="U6" s="1102">
        <f>+'Value added steel '!U14</f>
        <v>338.25</v>
      </c>
      <c r="V6" s="4317"/>
      <c r="W6" s="624">
        <f t="shared" si="3"/>
        <v>2304.1999999999998</v>
      </c>
      <c r="X6" s="4316"/>
      <c r="Y6" s="1102">
        <f>+'Value added steel '!Y14</f>
        <v>319.8</v>
      </c>
      <c r="Z6" s="4318"/>
      <c r="AA6" s="628">
        <f t="shared" si="4"/>
        <v>996.3</v>
      </c>
      <c r="AB6" s="4319"/>
      <c r="AC6" s="1156">
        <f t="shared" si="5"/>
        <v>2624</v>
      </c>
      <c r="AD6" s="4316"/>
      <c r="AE6" s="1102">
        <f>+'Value added steel '!AE14</f>
        <v>0</v>
      </c>
      <c r="AF6" s="4317"/>
      <c r="AG6" s="624">
        <f t="shared" si="6"/>
        <v>2624</v>
      </c>
      <c r="AH6" s="4316"/>
      <c r="AI6" s="1102">
        <f>+'Value added steel '!AI14</f>
        <v>0</v>
      </c>
      <c r="AJ6" s="4317"/>
      <c r="AK6" s="624">
        <f t="shared" si="7"/>
        <v>2624</v>
      </c>
      <c r="AL6" s="4316"/>
      <c r="AM6" s="1102">
        <f>+'Value added steel '!AM14</f>
        <v>709.30000000000007</v>
      </c>
      <c r="AN6" s="4318"/>
      <c r="AO6" s="628">
        <f t="shared" si="8"/>
        <v>709.30000000000007</v>
      </c>
      <c r="AP6" s="4317"/>
      <c r="AQ6" s="624">
        <f t="shared" si="9"/>
        <v>3333.3</v>
      </c>
      <c r="AR6" s="4316"/>
      <c r="AS6" s="1102">
        <f>+'Value added steel '!AS14</f>
        <v>699.05</v>
      </c>
      <c r="AT6" s="4317"/>
      <c r="AU6" s="624">
        <f t="shared" si="10"/>
        <v>4032.3500000000004</v>
      </c>
      <c r="AV6" s="4316"/>
      <c r="AW6" s="1102">
        <f>+'Value added steel '!AW14</f>
        <v>0</v>
      </c>
      <c r="AX6" s="4317"/>
      <c r="AY6" s="624">
        <f t="shared" si="11"/>
        <v>4032.3500000000004</v>
      </c>
      <c r="AZ6" s="4316"/>
      <c r="BA6" s="1102">
        <f>+'Value added steel '!BA14</f>
        <v>120.95</v>
      </c>
      <c r="BB6" s="4318"/>
      <c r="BC6" s="628">
        <f t="shared" si="12"/>
        <v>820</v>
      </c>
      <c r="BD6" s="4319"/>
      <c r="BE6" s="1156">
        <f t="shared" si="13"/>
        <v>1529.3000000000002</v>
      </c>
      <c r="BF6" s="4317"/>
      <c r="BG6" s="624">
        <f t="shared" si="14"/>
        <v>4153.3</v>
      </c>
      <c r="BH6" s="26"/>
      <c r="BI6" s="26"/>
      <c r="BJ6" s="26"/>
    </row>
    <row r="7" spans="4:65" ht="18" x14ac:dyDescent="0.35">
      <c r="D7" s="1159" t="s">
        <v>964</v>
      </c>
      <c r="E7" s="6526"/>
      <c r="F7" s="4316"/>
      <c r="G7" s="1102">
        <f>+'Value added steel '!G15</f>
        <v>596.54999999999995</v>
      </c>
      <c r="H7" s="4316"/>
      <c r="I7" s="1102">
        <f>+'Value added steel '!I15</f>
        <v>906.1</v>
      </c>
      <c r="J7" s="4317"/>
      <c r="K7" s="624">
        <f t="shared" si="0"/>
        <v>1502.65</v>
      </c>
      <c r="L7" s="4316"/>
      <c r="M7" s="1102">
        <f>+'Value added steel '!M15</f>
        <v>1012.7</v>
      </c>
      <c r="N7" s="4318"/>
      <c r="O7" s="628">
        <f t="shared" si="1"/>
        <v>2515.3500000000004</v>
      </c>
      <c r="P7" s="4316"/>
      <c r="Q7" s="1102">
        <f>+'Value added steel '!Q15</f>
        <v>1246.3999999999999</v>
      </c>
      <c r="R7" s="4317"/>
      <c r="S7" s="624">
        <f t="shared" si="2"/>
        <v>3761.75</v>
      </c>
      <c r="T7" s="4316"/>
      <c r="U7" s="1102">
        <f>+'Value added steel '!U15</f>
        <v>1609.25</v>
      </c>
      <c r="V7" s="4317"/>
      <c r="W7" s="624">
        <f t="shared" si="3"/>
        <v>5371</v>
      </c>
      <c r="X7" s="4316"/>
      <c r="Y7" s="1102">
        <f>+'Value added steel '!Y15</f>
        <v>1783.5</v>
      </c>
      <c r="Z7" s="4318"/>
      <c r="AA7" s="628">
        <f t="shared" si="4"/>
        <v>4639.1499999999996</v>
      </c>
      <c r="AB7" s="4319"/>
      <c r="AC7" s="1156">
        <f t="shared" si="5"/>
        <v>7154.5</v>
      </c>
      <c r="AD7" s="4316"/>
      <c r="AE7" s="1102">
        <f>+'Value added steel '!AE15</f>
        <v>813.85</v>
      </c>
      <c r="AF7" s="4317"/>
      <c r="AG7" s="624">
        <f t="shared" si="6"/>
        <v>7968.35</v>
      </c>
      <c r="AH7" s="4316"/>
      <c r="AI7" s="1102">
        <f>+'Value added steel '!AI15</f>
        <v>1603.1000000000001</v>
      </c>
      <c r="AJ7" s="4317"/>
      <c r="AK7" s="624">
        <f t="shared" si="7"/>
        <v>9571.4500000000007</v>
      </c>
      <c r="AL7" s="4316"/>
      <c r="AM7" s="1102">
        <f>+'Value added steel '!AM15</f>
        <v>1227.9500000000003</v>
      </c>
      <c r="AN7" s="4318"/>
      <c r="AO7" s="628">
        <f t="shared" si="8"/>
        <v>3644.9000000000005</v>
      </c>
      <c r="AP7" s="4317"/>
      <c r="AQ7" s="624">
        <f t="shared" si="9"/>
        <v>10799.400000000001</v>
      </c>
      <c r="AR7" s="4316"/>
      <c r="AS7" s="1102">
        <f>+'Value added steel '!AS15</f>
        <v>2457.9500000000003</v>
      </c>
      <c r="AT7" s="4317"/>
      <c r="AU7" s="624">
        <f t="shared" si="10"/>
        <v>13257.350000000002</v>
      </c>
      <c r="AV7" s="4316"/>
      <c r="AW7" s="1102">
        <f>+'Value added steel '!AW15</f>
        <v>1457.5500000000004</v>
      </c>
      <c r="AX7" s="4317"/>
      <c r="AY7" s="624">
        <f t="shared" si="11"/>
        <v>14714.900000000003</v>
      </c>
      <c r="AZ7" s="4316"/>
      <c r="BA7" s="1102">
        <f>+'Value added steel '!BA15</f>
        <v>1371.4499999999998</v>
      </c>
      <c r="BB7" s="4318"/>
      <c r="BC7" s="628">
        <f t="shared" si="12"/>
        <v>5286.9500000000007</v>
      </c>
      <c r="BD7" s="4319"/>
      <c r="BE7" s="1156">
        <f t="shared" si="13"/>
        <v>8931.8500000000022</v>
      </c>
      <c r="BF7" s="4317"/>
      <c r="BG7" s="624">
        <f t="shared" si="14"/>
        <v>16086.350000000002</v>
      </c>
      <c r="BH7" s="26"/>
      <c r="BI7" s="26"/>
      <c r="BJ7" s="26"/>
    </row>
    <row r="8" spans="4:65" ht="18" x14ac:dyDescent="0.35">
      <c r="D8" s="1159" t="s">
        <v>1126</v>
      </c>
      <c r="E8" s="6526"/>
      <c r="F8" s="4316"/>
      <c r="G8" s="1102">
        <f>+'Value added steel '!G16</f>
        <v>252.14999999999998</v>
      </c>
      <c r="H8" s="4316"/>
      <c r="I8" s="1102">
        <f>+'Value added steel '!I16</f>
        <v>243.95000000000002</v>
      </c>
      <c r="J8" s="4317"/>
      <c r="K8" s="624">
        <f t="shared" si="0"/>
        <v>496.1</v>
      </c>
      <c r="L8" s="4316"/>
      <c r="M8" s="1102">
        <f>+'Value added steel '!M16</f>
        <v>0</v>
      </c>
      <c r="N8" s="4318"/>
      <c r="O8" s="628">
        <f t="shared" si="1"/>
        <v>496.1</v>
      </c>
      <c r="P8" s="4316"/>
      <c r="Q8" s="1102">
        <f>+'Value added steel '!Q16</f>
        <v>202.95</v>
      </c>
      <c r="R8" s="4317"/>
      <c r="S8" s="624">
        <f t="shared" si="2"/>
        <v>699.05</v>
      </c>
      <c r="T8" s="4316"/>
      <c r="U8" s="1102">
        <f>+'Value added steel '!U16</f>
        <v>399.74999999999994</v>
      </c>
      <c r="V8" s="4317"/>
      <c r="W8" s="624">
        <f t="shared" si="3"/>
        <v>1098.8</v>
      </c>
      <c r="X8" s="4316"/>
      <c r="Y8" s="1102">
        <f>+'Value added steel '!Y16</f>
        <v>0</v>
      </c>
      <c r="Z8" s="4318"/>
      <c r="AA8" s="628">
        <f t="shared" si="4"/>
        <v>602.69999999999993</v>
      </c>
      <c r="AB8" s="4319"/>
      <c r="AC8" s="1156">
        <f t="shared" si="5"/>
        <v>1098.8</v>
      </c>
      <c r="AD8" s="4316"/>
      <c r="AE8" s="1102">
        <f>+'Value added steel '!AE16</f>
        <v>0</v>
      </c>
      <c r="AF8" s="4317"/>
      <c r="AG8" s="624">
        <f t="shared" si="6"/>
        <v>1098.8</v>
      </c>
      <c r="AH8" s="4316"/>
      <c r="AI8" s="1102">
        <f>+'Value added steel '!AI16</f>
        <v>0</v>
      </c>
      <c r="AJ8" s="4317"/>
      <c r="AK8" s="624">
        <f t="shared" si="7"/>
        <v>1098.8</v>
      </c>
      <c r="AL8" s="4316"/>
      <c r="AM8" s="1102">
        <f>+'Value added steel '!AM16</f>
        <v>340.3</v>
      </c>
      <c r="AN8" s="4318"/>
      <c r="AO8" s="628">
        <f t="shared" si="8"/>
        <v>340.3</v>
      </c>
      <c r="AP8" s="4317"/>
      <c r="AQ8" s="624">
        <f t="shared" si="9"/>
        <v>1439.1</v>
      </c>
      <c r="AR8" s="4316"/>
      <c r="AS8" s="1102">
        <f>+'Value added steel '!AS16</f>
        <v>594.5</v>
      </c>
      <c r="AT8" s="4317"/>
      <c r="AU8" s="624">
        <f t="shared" si="10"/>
        <v>2033.6</v>
      </c>
      <c r="AV8" s="4316"/>
      <c r="AW8" s="1102">
        <f>+'Value added steel '!AW16</f>
        <v>291.10000000000002</v>
      </c>
      <c r="AX8" s="4317"/>
      <c r="AY8" s="624">
        <f t="shared" si="11"/>
        <v>2324.6999999999998</v>
      </c>
      <c r="AZ8" s="4316"/>
      <c r="BA8" s="1102">
        <f>+'Value added steel '!BA16</f>
        <v>0</v>
      </c>
      <c r="BB8" s="4318"/>
      <c r="BC8" s="628">
        <f t="shared" si="12"/>
        <v>885.6</v>
      </c>
      <c r="BD8" s="4319"/>
      <c r="BE8" s="1156">
        <f t="shared" si="13"/>
        <v>1225.9000000000001</v>
      </c>
      <c r="BF8" s="4317"/>
      <c r="BG8" s="624">
        <f t="shared" si="14"/>
        <v>2324.6999999999998</v>
      </c>
      <c r="BH8" s="26"/>
      <c r="BI8" s="26"/>
      <c r="BJ8" s="26"/>
    </row>
    <row r="9" spans="4:65" ht="18" x14ac:dyDescent="0.35">
      <c r="D9" s="1159" t="s">
        <v>966</v>
      </c>
      <c r="E9" s="6526"/>
      <c r="F9" s="4316"/>
      <c r="G9" s="1102">
        <f>+'Value added steel '!G17</f>
        <v>1332.4999999999995</v>
      </c>
      <c r="H9" s="4316"/>
      <c r="I9" s="1102">
        <f>+'Value added steel '!I17</f>
        <v>2177.1</v>
      </c>
      <c r="J9" s="4317"/>
      <c r="K9" s="624">
        <f t="shared" si="0"/>
        <v>3509.5999999999995</v>
      </c>
      <c r="L9" s="4316"/>
      <c r="M9" s="1102">
        <f>+'Value added steel '!M17</f>
        <v>1922.8999999999994</v>
      </c>
      <c r="N9" s="4318"/>
      <c r="O9" s="628">
        <f t="shared" si="1"/>
        <v>5432.4999999999991</v>
      </c>
      <c r="P9" s="4316"/>
      <c r="Q9" s="1102">
        <f>+'Value added steel '!Q17</f>
        <v>1215.6499999999999</v>
      </c>
      <c r="R9" s="4317"/>
      <c r="S9" s="624">
        <f t="shared" si="2"/>
        <v>6648.1499999999987</v>
      </c>
      <c r="T9" s="4316"/>
      <c r="U9" s="1102">
        <f>+'Value added steel '!U17</f>
        <v>2285.7500000000005</v>
      </c>
      <c r="V9" s="4317"/>
      <c r="W9" s="624">
        <f t="shared" si="3"/>
        <v>8933.9</v>
      </c>
      <c r="X9" s="4316"/>
      <c r="Y9" s="1102">
        <f>+'Value added steel '!Y17</f>
        <v>1029.0999999999999</v>
      </c>
      <c r="Z9" s="4318"/>
      <c r="AA9" s="628">
        <f t="shared" si="4"/>
        <v>4530.5</v>
      </c>
      <c r="AB9" s="4319"/>
      <c r="AC9" s="1156">
        <f t="shared" si="5"/>
        <v>9963</v>
      </c>
      <c r="AD9" s="4316"/>
      <c r="AE9" s="1102">
        <f>+'Value added steel '!AE17</f>
        <v>861.00000000000023</v>
      </c>
      <c r="AF9" s="4317"/>
      <c r="AG9" s="624">
        <f t="shared" si="6"/>
        <v>10824</v>
      </c>
      <c r="AH9" s="4316"/>
      <c r="AI9" s="1102">
        <f>+'Value added steel '!AI17</f>
        <v>2410.8000000000002</v>
      </c>
      <c r="AJ9" s="4317"/>
      <c r="AK9" s="624">
        <f t="shared" si="7"/>
        <v>13234.8</v>
      </c>
      <c r="AL9" s="4316"/>
      <c r="AM9" s="1102">
        <f>+'Value added steel '!AM17</f>
        <v>711.34999999999991</v>
      </c>
      <c r="AN9" s="4318"/>
      <c r="AO9" s="628">
        <f t="shared" si="8"/>
        <v>3983.15</v>
      </c>
      <c r="AP9" s="4317"/>
      <c r="AQ9" s="624">
        <f t="shared" si="9"/>
        <v>13946.15</v>
      </c>
      <c r="AR9" s="4316"/>
      <c r="AS9" s="1102">
        <f>+'Value added steel '!AS17</f>
        <v>2103.3000000000002</v>
      </c>
      <c r="AT9" s="4317"/>
      <c r="AU9" s="624">
        <f t="shared" si="10"/>
        <v>16049.45</v>
      </c>
      <c r="AV9" s="4316"/>
      <c r="AW9" s="1102">
        <f>+'Value added steel '!AW17</f>
        <v>1033.1999999999998</v>
      </c>
      <c r="AX9" s="4317"/>
      <c r="AY9" s="624">
        <f t="shared" si="11"/>
        <v>17082.650000000001</v>
      </c>
      <c r="AZ9" s="4316"/>
      <c r="BA9" s="1102">
        <f>+'Value added steel '!BA17</f>
        <v>2339.0499999999997</v>
      </c>
      <c r="BB9" s="4318"/>
      <c r="BC9" s="628">
        <f t="shared" si="12"/>
        <v>5475.5499999999993</v>
      </c>
      <c r="BD9" s="4319"/>
      <c r="BE9" s="1156">
        <f t="shared" si="13"/>
        <v>9458.6999999999989</v>
      </c>
      <c r="BF9" s="4317"/>
      <c r="BG9" s="624">
        <f t="shared" si="14"/>
        <v>19421.7</v>
      </c>
      <c r="BH9" s="26"/>
      <c r="BI9" s="26"/>
      <c r="BJ9" s="26"/>
    </row>
    <row r="10" spans="4:65" ht="18" x14ac:dyDescent="0.35">
      <c r="D10" s="1159" t="s">
        <v>1130</v>
      </c>
      <c r="E10" s="6526"/>
      <c r="F10" s="2692"/>
      <c r="G10" s="1102">
        <f>+'Value added steel '!G18</f>
        <v>18.45</v>
      </c>
      <c r="H10" s="2692"/>
      <c r="I10" s="1102">
        <f>+'Value added steel '!I18</f>
        <v>4.0999999999999996</v>
      </c>
      <c r="J10" s="2693"/>
      <c r="K10" s="624">
        <f t="shared" si="0"/>
        <v>22.549999999999997</v>
      </c>
      <c r="L10" s="2692"/>
      <c r="M10" s="1102">
        <f>+'Value added steel '!M18</f>
        <v>98.4</v>
      </c>
      <c r="N10" s="2694"/>
      <c r="O10" s="628">
        <f t="shared" si="1"/>
        <v>120.95</v>
      </c>
      <c r="P10" s="2692"/>
      <c r="Q10" s="1102">
        <f>+'Value added steel '!Q18</f>
        <v>6.1499999999999995</v>
      </c>
      <c r="R10" s="2693"/>
      <c r="S10" s="624">
        <f t="shared" si="2"/>
        <v>127.10000000000001</v>
      </c>
      <c r="T10" s="2692"/>
      <c r="U10" s="1102">
        <f>+'Value added steel '!U18</f>
        <v>6.15</v>
      </c>
      <c r="V10" s="2693"/>
      <c r="W10" s="624">
        <f t="shared" si="3"/>
        <v>133.25</v>
      </c>
      <c r="X10" s="2692"/>
      <c r="Y10" s="1102">
        <f>+'Value added steel '!Y18</f>
        <v>0</v>
      </c>
      <c r="Z10" s="2694"/>
      <c r="AA10" s="628">
        <f t="shared" si="4"/>
        <v>12.3</v>
      </c>
      <c r="AB10" s="1156"/>
      <c r="AC10" s="1156">
        <f t="shared" si="5"/>
        <v>133.25</v>
      </c>
      <c r="AD10" s="2692"/>
      <c r="AE10" s="1102">
        <f>+'Value added steel '!AE18</f>
        <v>94.3</v>
      </c>
      <c r="AF10" s="2693"/>
      <c r="AG10" s="624">
        <f t="shared" si="6"/>
        <v>227.55</v>
      </c>
      <c r="AH10" s="2692"/>
      <c r="AI10" s="1102">
        <f>+'Value added steel '!AI18</f>
        <v>2.0499999999999998</v>
      </c>
      <c r="AJ10" s="2693"/>
      <c r="AK10" s="624">
        <f t="shared" si="7"/>
        <v>229.60000000000002</v>
      </c>
      <c r="AL10" s="2692"/>
      <c r="AM10" s="1102">
        <f>+'Value added steel '!AM18</f>
        <v>92.25</v>
      </c>
      <c r="AN10" s="2694"/>
      <c r="AO10" s="628">
        <f t="shared" si="8"/>
        <v>188.6</v>
      </c>
      <c r="AP10" s="2693"/>
      <c r="AQ10" s="624">
        <f t="shared" si="9"/>
        <v>321.85000000000002</v>
      </c>
      <c r="AR10" s="2692"/>
      <c r="AS10" s="1102">
        <f>+'Value added steel '!AS18</f>
        <v>0</v>
      </c>
      <c r="AT10" s="2693"/>
      <c r="AU10" s="624">
        <f t="shared" si="10"/>
        <v>321.85000000000002</v>
      </c>
      <c r="AV10" s="2692"/>
      <c r="AW10" s="1102">
        <f>+'Value added steel '!AW18</f>
        <v>225.5</v>
      </c>
      <c r="AX10" s="2693"/>
      <c r="AY10" s="624">
        <f t="shared" si="11"/>
        <v>547.35</v>
      </c>
      <c r="AZ10" s="2692"/>
      <c r="BA10" s="1102">
        <f>+'Value added steel '!BA18</f>
        <v>53.3</v>
      </c>
      <c r="BB10" s="2694"/>
      <c r="BC10" s="628">
        <f t="shared" si="12"/>
        <v>278.8</v>
      </c>
      <c r="BD10" s="2695"/>
      <c r="BE10" s="1156">
        <f t="shared" si="13"/>
        <v>467.4</v>
      </c>
      <c r="BF10" s="2693"/>
      <c r="BG10" s="624">
        <f t="shared" si="14"/>
        <v>600.65</v>
      </c>
      <c r="BH10" s="26"/>
      <c r="BI10" s="26"/>
      <c r="BJ10" s="26"/>
      <c r="BM10" s="26"/>
    </row>
    <row r="11" spans="4:65" ht="18" x14ac:dyDescent="0.35">
      <c r="D11" s="1159" t="s">
        <v>967</v>
      </c>
      <c r="E11" s="6526"/>
      <c r="F11" s="1102"/>
      <c r="G11" s="1102">
        <f>+'Value added steel '!G19</f>
        <v>108.65</v>
      </c>
      <c r="H11" s="1102"/>
      <c r="I11" s="1102">
        <f>+'Value added steel '!I19</f>
        <v>0</v>
      </c>
      <c r="J11" s="624"/>
      <c r="K11" s="624">
        <f t="shared" si="0"/>
        <v>108.65</v>
      </c>
      <c r="L11" s="1102"/>
      <c r="M11" s="1102">
        <f>+'Value added steel '!M19</f>
        <v>0</v>
      </c>
      <c r="N11" s="628"/>
      <c r="O11" s="628">
        <f t="shared" si="1"/>
        <v>108.65</v>
      </c>
      <c r="P11" s="1102"/>
      <c r="Q11" s="1102">
        <f>+'Value added steel '!Q19</f>
        <v>0</v>
      </c>
      <c r="R11" s="624"/>
      <c r="S11" s="624">
        <f t="shared" si="2"/>
        <v>108.65</v>
      </c>
      <c r="T11" s="1102"/>
      <c r="U11" s="1102">
        <f>+'Value added steel '!U19</f>
        <v>0</v>
      </c>
      <c r="V11" s="624"/>
      <c r="W11" s="624">
        <f t="shared" si="3"/>
        <v>108.65</v>
      </c>
      <c r="X11" s="1102"/>
      <c r="Y11" s="1102">
        <f>+'Value added steel '!Y19</f>
        <v>0</v>
      </c>
      <c r="Z11" s="628"/>
      <c r="AA11" s="628">
        <f t="shared" si="4"/>
        <v>0</v>
      </c>
      <c r="AB11" s="1156"/>
      <c r="AC11" s="1156">
        <f t="shared" si="5"/>
        <v>108.65</v>
      </c>
      <c r="AD11" s="1102"/>
      <c r="AE11" s="1102">
        <f>+'Value added steel '!AE19</f>
        <v>0</v>
      </c>
      <c r="AF11" s="624"/>
      <c r="AG11" s="624">
        <f t="shared" si="6"/>
        <v>108.65</v>
      </c>
      <c r="AH11" s="1102"/>
      <c r="AI11" s="1102">
        <f>+'Value added steel '!AI19</f>
        <v>0</v>
      </c>
      <c r="AJ11" s="624"/>
      <c r="AK11" s="624">
        <f t="shared" si="7"/>
        <v>108.65</v>
      </c>
      <c r="AL11" s="1102"/>
      <c r="AM11" s="1102">
        <f>+'Value added steel '!AM19</f>
        <v>82</v>
      </c>
      <c r="AN11" s="628"/>
      <c r="AO11" s="628">
        <f t="shared" si="8"/>
        <v>82</v>
      </c>
      <c r="AP11" s="624"/>
      <c r="AQ11" s="624">
        <f t="shared" si="9"/>
        <v>190.65</v>
      </c>
      <c r="AR11" s="1102"/>
      <c r="AS11" s="1102">
        <f>+'Value added steel '!AS19</f>
        <v>0</v>
      </c>
      <c r="AT11" s="624"/>
      <c r="AU11" s="624">
        <f t="shared" si="10"/>
        <v>190.65</v>
      </c>
      <c r="AV11" s="1102"/>
      <c r="AW11" s="1102">
        <f>+'Value added steel '!AW19</f>
        <v>375.15</v>
      </c>
      <c r="AX11" s="624"/>
      <c r="AY11" s="624">
        <f t="shared" si="11"/>
        <v>565.79999999999995</v>
      </c>
      <c r="AZ11" s="1102"/>
      <c r="BA11" s="1102">
        <f>+'Value added steel '!BA19</f>
        <v>0</v>
      </c>
      <c r="BB11" s="628"/>
      <c r="BC11" s="628">
        <f t="shared" si="12"/>
        <v>375.15</v>
      </c>
      <c r="BD11" s="1156"/>
      <c r="BE11" s="1156">
        <f t="shared" si="13"/>
        <v>457.15</v>
      </c>
      <c r="BF11" s="624"/>
      <c r="BG11" s="624">
        <f t="shared" si="14"/>
        <v>565.79999999999995</v>
      </c>
      <c r="BH11" s="26"/>
      <c r="BI11" s="26"/>
      <c r="BJ11" s="26"/>
      <c r="BM11" s="26"/>
    </row>
    <row r="12" spans="4:65" ht="18" x14ac:dyDescent="0.35">
      <c r="D12" s="1159" t="s">
        <v>1844</v>
      </c>
      <c r="E12" s="6526"/>
      <c r="F12" s="1102"/>
      <c r="G12" s="1102">
        <f>+'Value added steel '!G20</f>
        <v>0</v>
      </c>
      <c r="H12" s="1102"/>
      <c r="I12" s="1102">
        <f>+'Value added steel '!I20</f>
        <v>0</v>
      </c>
      <c r="J12" s="624"/>
      <c r="K12" s="624">
        <f t="shared" si="0"/>
        <v>0</v>
      </c>
      <c r="L12" s="1102"/>
      <c r="M12" s="1102">
        <f>+'Value added steel '!M20</f>
        <v>79.95</v>
      </c>
      <c r="N12" s="628"/>
      <c r="O12" s="628">
        <f t="shared" si="1"/>
        <v>79.95</v>
      </c>
      <c r="P12" s="1102"/>
      <c r="Q12" s="1102">
        <f>+'Value added steel '!Q20</f>
        <v>0</v>
      </c>
      <c r="R12" s="624"/>
      <c r="S12" s="624">
        <f t="shared" si="2"/>
        <v>79.95</v>
      </c>
      <c r="T12" s="1102"/>
      <c r="U12" s="1102">
        <f>+'Value added steel '!U20</f>
        <v>0</v>
      </c>
      <c r="V12" s="624"/>
      <c r="W12" s="624">
        <f t="shared" si="3"/>
        <v>79.95</v>
      </c>
      <c r="X12" s="1102"/>
      <c r="Y12" s="1102">
        <f>+'Value added steel '!Y20</f>
        <v>0</v>
      </c>
      <c r="Z12" s="628"/>
      <c r="AA12" s="628">
        <f t="shared" si="4"/>
        <v>0</v>
      </c>
      <c r="AB12" s="1156"/>
      <c r="AC12" s="1156">
        <f t="shared" si="5"/>
        <v>79.95</v>
      </c>
      <c r="AD12" s="1102"/>
      <c r="AE12" s="1102">
        <f>+'Value added steel '!AE20</f>
        <v>0</v>
      </c>
      <c r="AF12" s="624"/>
      <c r="AG12" s="624">
        <f t="shared" si="6"/>
        <v>79.95</v>
      </c>
      <c r="AH12" s="1102"/>
      <c r="AI12" s="1102">
        <f>+'Value added steel '!AI20</f>
        <v>0</v>
      </c>
      <c r="AJ12" s="624"/>
      <c r="AK12" s="624">
        <f t="shared" si="7"/>
        <v>79.95</v>
      </c>
      <c r="AL12" s="1102"/>
      <c r="AM12" s="1102">
        <f>+'Value added steel '!AM20</f>
        <v>0</v>
      </c>
      <c r="AN12" s="628"/>
      <c r="AO12" s="628">
        <f t="shared" si="8"/>
        <v>0</v>
      </c>
      <c r="AP12" s="624"/>
      <c r="AQ12" s="624">
        <f t="shared" si="9"/>
        <v>79.95</v>
      </c>
      <c r="AR12" s="1102"/>
      <c r="AS12" s="1102">
        <f>+'Value added steel '!AS20</f>
        <v>0</v>
      </c>
      <c r="AT12" s="624"/>
      <c r="AU12" s="624">
        <f t="shared" si="10"/>
        <v>79.95</v>
      </c>
      <c r="AV12" s="1102"/>
      <c r="AW12" s="1102">
        <f>+'Value added steel '!AW20</f>
        <v>0</v>
      </c>
      <c r="AX12" s="624"/>
      <c r="AY12" s="624">
        <f t="shared" si="11"/>
        <v>79.95</v>
      </c>
      <c r="AZ12" s="1102"/>
      <c r="BA12" s="1102">
        <f>+'Value added steel '!BA20</f>
        <v>0</v>
      </c>
      <c r="BB12" s="628"/>
      <c r="BC12" s="628">
        <f t="shared" si="12"/>
        <v>0</v>
      </c>
      <c r="BD12" s="1156"/>
      <c r="BE12" s="1156">
        <f t="shared" si="13"/>
        <v>0</v>
      </c>
      <c r="BF12" s="624"/>
      <c r="BG12" s="624">
        <f t="shared" si="14"/>
        <v>79.95</v>
      </c>
      <c r="BH12" s="26"/>
      <c r="BI12" s="26"/>
      <c r="BJ12" s="26"/>
      <c r="BM12" s="26"/>
    </row>
    <row r="13" spans="4:65" ht="18" x14ac:dyDescent="0.35">
      <c r="D13" s="1159" t="s">
        <v>1845</v>
      </c>
      <c r="E13" s="6526"/>
      <c r="F13" s="1102"/>
      <c r="G13" s="1102">
        <f>+'Value added steel '!G21</f>
        <v>498.15000000000003</v>
      </c>
      <c r="H13" s="1102"/>
      <c r="I13" s="1102">
        <f>+'Value added steel '!I21</f>
        <v>578.1</v>
      </c>
      <c r="J13" s="624"/>
      <c r="K13" s="624">
        <f t="shared" si="0"/>
        <v>1076.25</v>
      </c>
      <c r="L13" s="1102"/>
      <c r="M13" s="1102">
        <f>+'Value added steel '!M21</f>
        <v>434.6</v>
      </c>
      <c r="N13" s="628"/>
      <c r="O13" s="628">
        <f t="shared" si="1"/>
        <v>1510.85</v>
      </c>
      <c r="P13" s="1102"/>
      <c r="Q13" s="1102">
        <f>+'Value added steel '!Q21</f>
        <v>0</v>
      </c>
      <c r="R13" s="624"/>
      <c r="S13" s="624">
        <f t="shared" si="2"/>
        <v>1510.85</v>
      </c>
      <c r="T13" s="1102"/>
      <c r="U13" s="1102">
        <f>+'Value added steel '!U21</f>
        <v>0</v>
      </c>
      <c r="V13" s="624"/>
      <c r="W13" s="624">
        <f t="shared" si="3"/>
        <v>1510.85</v>
      </c>
      <c r="X13" s="1102"/>
      <c r="Y13" s="1102">
        <f>+'Value added steel '!Y21</f>
        <v>0</v>
      </c>
      <c r="Z13" s="628"/>
      <c r="AA13" s="628">
        <f t="shared" si="4"/>
        <v>0</v>
      </c>
      <c r="AB13" s="1156"/>
      <c r="AC13" s="1156">
        <f t="shared" si="5"/>
        <v>1510.85</v>
      </c>
      <c r="AD13" s="1102"/>
      <c r="AE13" s="1102">
        <f>+'Value added steel '!AE21</f>
        <v>0</v>
      </c>
      <c r="AF13" s="624"/>
      <c r="AG13" s="624">
        <f t="shared" si="6"/>
        <v>1510.85</v>
      </c>
      <c r="AH13" s="1102"/>
      <c r="AI13" s="1102">
        <f>+'Value added steel '!AI21</f>
        <v>0</v>
      </c>
      <c r="AJ13" s="624"/>
      <c r="AK13" s="624">
        <f t="shared" si="7"/>
        <v>1510.85</v>
      </c>
      <c r="AL13" s="1102"/>
      <c r="AM13" s="1102">
        <f>+'Value added steel '!AM21</f>
        <v>0</v>
      </c>
      <c r="AN13" s="628"/>
      <c r="AO13" s="628">
        <f t="shared" si="8"/>
        <v>0</v>
      </c>
      <c r="AP13" s="624"/>
      <c r="AQ13" s="624">
        <f t="shared" si="9"/>
        <v>1510.85</v>
      </c>
      <c r="AR13" s="1102"/>
      <c r="AS13" s="1102">
        <f>+'Value added steel '!AS21</f>
        <v>0</v>
      </c>
      <c r="AT13" s="624"/>
      <c r="AU13" s="624">
        <f t="shared" si="10"/>
        <v>1510.85</v>
      </c>
      <c r="AV13" s="1102"/>
      <c r="AW13" s="1102">
        <f>+'Value added steel '!AW21</f>
        <v>0</v>
      </c>
      <c r="AX13" s="624"/>
      <c r="AY13" s="624">
        <f t="shared" si="11"/>
        <v>1510.85</v>
      </c>
      <c r="AZ13" s="1102"/>
      <c r="BA13" s="1102">
        <f>+'Value added steel '!BA21</f>
        <v>0</v>
      </c>
      <c r="BB13" s="628"/>
      <c r="BC13" s="628">
        <f t="shared" ref="BC13:BC15" si="15">+AS13+AW13+BA13</f>
        <v>0</v>
      </c>
      <c r="BD13" s="1156"/>
      <c r="BE13" s="1156">
        <f t="shared" ref="BE13:BE15" si="16">+AO13+BC13</f>
        <v>0</v>
      </c>
      <c r="BF13" s="624"/>
      <c r="BG13" s="624">
        <f t="shared" ref="BG13:BG15" si="17">+AY13+BA13</f>
        <v>1510.85</v>
      </c>
      <c r="BH13" s="26"/>
      <c r="BI13" s="26"/>
      <c r="BJ13" s="26"/>
      <c r="BM13" s="26"/>
    </row>
    <row r="14" spans="4:65" ht="18" x14ac:dyDescent="0.35">
      <c r="D14" s="1159" t="s">
        <v>1808</v>
      </c>
      <c r="E14" s="6526"/>
      <c r="F14" s="1102"/>
      <c r="G14" s="1102">
        <f>+'Value added steel '!G22</f>
        <v>0</v>
      </c>
      <c r="H14" s="1102"/>
      <c r="I14" s="1102">
        <f>+'Value added steel '!I22</f>
        <v>0</v>
      </c>
      <c r="J14" s="624"/>
      <c r="K14" s="624">
        <f t="shared" si="0"/>
        <v>0</v>
      </c>
      <c r="L14" s="1102"/>
      <c r="M14" s="1102">
        <f>+'Value added steel '!M22</f>
        <v>0</v>
      </c>
      <c r="N14" s="628"/>
      <c r="O14" s="628">
        <f t="shared" si="1"/>
        <v>0</v>
      </c>
      <c r="P14" s="1102"/>
      <c r="Q14" s="1102">
        <f>+'Value added steel '!Q22</f>
        <v>0</v>
      </c>
      <c r="R14" s="624"/>
      <c r="S14" s="624">
        <f t="shared" si="2"/>
        <v>0</v>
      </c>
      <c r="T14" s="1102"/>
      <c r="U14" s="1102">
        <f>+'Value added steel '!U22</f>
        <v>0</v>
      </c>
      <c r="V14" s="624"/>
      <c r="W14" s="624">
        <f t="shared" si="3"/>
        <v>0</v>
      </c>
      <c r="X14" s="1102"/>
      <c r="Y14" s="1102">
        <f>+'Value added steel '!Y22</f>
        <v>0</v>
      </c>
      <c r="Z14" s="628"/>
      <c r="AA14" s="628">
        <f t="shared" si="4"/>
        <v>0</v>
      </c>
      <c r="AB14" s="1156"/>
      <c r="AC14" s="1156">
        <f t="shared" si="5"/>
        <v>0</v>
      </c>
      <c r="AD14" s="1102"/>
      <c r="AE14" s="1102">
        <f>+'Value added steel '!AE22</f>
        <v>0</v>
      </c>
      <c r="AF14" s="624"/>
      <c r="AG14" s="624">
        <f t="shared" ref="AG14:AG15" si="18">+AC14+AE14</f>
        <v>0</v>
      </c>
      <c r="AH14" s="1102"/>
      <c r="AI14" s="1102">
        <f>+'Value added steel '!AI22</f>
        <v>0</v>
      </c>
      <c r="AJ14" s="624"/>
      <c r="AK14" s="624">
        <f t="shared" si="7"/>
        <v>0</v>
      </c>
      <c r="AL14" s="1102"/>
      <c r="AM14" s="1102">
        <f>+'Value added steel '!AM22</f>
        <v>0</v>
      </c>
      <c r="AN14" s="628"/>
      <c r="AO14" s="628">
        <f t="shared" si="8"/>
        <v>0</v>
      </c>
      <c r="AP14" s="624"/>
      <c r="AQ14" s="624">
        <f t="shared" si="9"/>
        <v>0</v>
      </c>
      <c r="AR14" s="1102"/>
      <c r="AS14" s="1102">
        <f>+'Value added steel '!AS22</f>
        <v>0</v>
      </c>
      <c r="AT14" s="624"/>
      <c r="AU14" s="624">
        <f t="shared" si="10"/>
        <v>0</v>
      </c>
      <c r="AV14" s="1102"/>
      <c r="AW14" s="1102">
        <f>+'Value added steel '!AW22</f>
        <v>0</v>
      </c>
      <c r="AX14" s="624"/>
      <c r="AY14" s="624">
        <f t="shared" si="11"/>
        <v>0</v>
      </c>
      <c r="AZ14" s="1102"/>
      <c r="BA14" s="1102">
        <f>+'Value added steel '!BA22</f>
        <v>0</v>
      </c>
      <c r="BB14" s="628"/>
      <c r="BC14" s="628">
        <f t="shared" si="15"/>
        <v>0</v>
      </c>
      <c r="BD14" s="1156"/>
      <c r="BE14" s="1156">
        <f t="shared" si="16"/>
        <v>0</v>
      </c>
      <c r="BF14" s="624"/>
      <c r="BG14" s="624">
        <f t="shared" si="17"/>
        <v>0</v>
      </c>
      <c r="BH14" s="26"/>
      <c r="BI14" s="26"/>
      <c r="BJ14" s="26"/>
      <c r="BM14" s="26"/>
    </row>
    <row r="15" spans="4:65" ht="18" x14ac:dyDescent="0.35">
      <c r="D15" s="1159" t="s">
        <v>1131</v>
      </c>
      <c r="E15" s="6526"/>
      <c r="F15" s="1102"/>
      <c r="G15" s="1102">
        <f>+'Value added steel '!G24</f>
        <v>6219.7</v>
      </c>
      <c r="H15" s="1102"/>
      <c r="I15" s="1102">
        <f>+'Value added steel '!I24</f>
        <v>3847.85</v>
      </c>
      <c r="J15" s="624"/>
      <c r="K15" s="624">
        <f t="shared" si="0"/>
        <v>10067.549999999999</v>
      </c>
      <c r="L15" s="1102"/>
      <c r="M15" s="1102">
        <f>+'Value added steel '!M24</f>
        <v>6943.3499999999995</v>
      </c>
      <c r="N15" s="628"/>
      <c r="O15" s="628">
        <f t="shared" si="1"/>
        <v>17010.899999999998</v>
      </c>
      <c r="P15" s="1102"/>
      <c r="Q15" s="1102">
        <f>+'Value added steel '!Q24</f>
        <v>6264.8</v>
      </c>
      <c r="R15" s="624"/>
      <c r="S15" s="624">
        <f t="shared" si="2"/>
        <v>23275.699999999997</v>
      </c>
      <c r="T15" s="1102"/>
      <c r="U15" s="1102">
        <f>+'Value added steel '!U24</f>
        <v>4844.1500000000005</v>
      </c>
      <c r="V15" s="624"/>
      <c r="W15" s="624">
        <f t="shared" ref="W15" si="19">+S15+U15</f>
        <v>28119.85</v>
      </c>
      <c r="X15" s="1102"/>
      <c r="Y15" s="1102">
        <f>+'Value added steel '!Y24</f>
        <v>6642</v>
      </c>
      <c r="Z15" s="628"/>
      <c r="AA15" s="628">
        <f t="shared" si="4"/>
        <v>17750.95</v>
      </c>
      <c r="AB15" s="1156"/>
      <c r="AC15" s="1156">
        <f t="shared" si="5"/>
        <v>34761.85</v>
      </c>
      <c r="AD15" s="1102"/>
      <c r="AE15" s="1102">
        <f>+'Value added steel '!AE24</f>
        <v>9739.5499999999993</v>
      </c>
      <c r="AF15" s="624"/>
      <c r="AG15" s="624">
        <f t="shared" si="18"/>
        <v>44501.399999999994</v>
      </c>
      <c r="AH15" s="1102"/>
      <c r="AI15" s="1102">
        <f>+'Value added steel '!AI24</f>
        <v>5760.5</v>
      </c>
      <c r="AJ15" s="624"/>
      <c r="AK15" s="624">
        <f t="shared" si="7"/>
        <v>50261.899999999994</v>
      </c>
      <c r="AL15" s="1102"/>
      <c r="AM15" s="1102">
        <f>+'Value added steel '!AM24</f>
        <v>8384.5</v>
      </c>
      <c r="AN15" s="628"/>
      <c r="AO15" s="628">
        <f t="shared" si="8"/>
        <v>23884.55</v>
      </c>
      <c r="AP15" s="624"/>
      <c r="AQ15" s="624">
        <f t="shared" ref="AQ15" si="20">+AK15+AM15</f>
        <v>58646.399999999994</v>
      </c>
      <c r="AR15" s="1102"/>
      <c r="AS15" s="1102">
        <f>+'Value added steel '!AS24</f>
        <v>11320.100000000002</v>
      </c>
      <c r="AT15" s="624"/>
      <c r="AU15" s="624">
        <f t="shared" ref="AU15" si="21">+AQ15+AS15</f>
        <v>69966.5</v>
      </c>
      <c r="AV15" s="1102"/>
      <c r="AW15" s="1102">
        <f>+'Value added steel '!AW24</f>
        <v>8419.35</v>
      </c>
      <c r="AX15" s="624"/>
      <c r="AY15" s="624">
        <f t="shared" si="11"/>
        <v>78385.850000000006</v>
      </c>
      <c r="AZ15" s="1102"/>
      <c r="BA15" s="1102">
        <f>+'Value added steel '!BA24</f>
        <v>9930.1999999999916</v>
      </c>
      <c r="BB15" s="628"/>
      <c r="BC15" s="628">
        <f t="shared" si="15"/>
        <v>29669.649999999994</v>
      </c>
      <c r="BD15" s="1156"/>
      <c r="BE15" s="1156">
        <f t="shared" si="16"/>
        <v>53554.2</v>
      </c>
      <c r="BF15" s="624"/>
      <c r="BG15" s="624">
        <f t="shared" si="17"/>
        <v>88316.05</v>
      </c>
      <c r="BH15" s="26"/>
      <c r="BI15" s="26"/>
      <c r="BJ15" s="26"/>
      <c r="BM15" s="26"/>
    </row>
    <row r="16" spans="4:65" ht="18.600000000000001" thickBot="1" x14ac:dyDescent="0.4">
      <c r="D16" s="1160" t="s">
        <v>2</v>
      </c>
      <c r="E16" s="6527"/>
      <c r="F16" s="1161"/>
      <c r="G16" s="1161">
        <f>SUM(G4:G15)</f>
        <v>10682.55</v>
      </c>
      <c r="H16" s="1161">
        <f t="shared" ref="H16:AK16" si="22">SUM(H4:H15)</f>
        <v>0</v>
      </c>
      <c r="I16" s="1161">
        <f>SUM(I4:I15)</f>
        <v>8546.4500000000007</v>
      </c>
      <c r="J16" s="1161">
        <f t="shared" si="22"/>
        <v>0</v>
      </c>
      <c r="K16" s="1161">
        <f t="shared" si="22"/>
        <v>19229</v>
      </c>
      <c r="L16" s="1161">
        <f t="shared" si="22"/>
        <v>0</v>
      </c>
      <c r="M16" s="1161">
        <f>SUM(M4:M15)</f>
        <v>11693.199999999999</v>
      </c>
      <c r="N16" s="1161">
        <f t="shared" si="22"/>
        <v>0</v>
      </c>
      <c r="O16" s="1161">
        <f t="shared" si="22"/>
        <v>30922.199999999997</v>
      </c>
      <c r="P16" s="1161">
        <f t="shared" si="22"/>
        <v>0</v>
      </c>
      <c r="Q16" s="1161">
        <f t="shared" si="22"/>
        <v>9729.2999999999993</v>
      </c>
      <c r="R16" s="1161">
        <f t="shared" si="22"/>
        <v>0</v>
      </c>
      <c r="S16" s="1161">
        <f t="shared" si="22"/>
        <v>40651.499999999993</v>
      </c>
      <c r="T16" s="1161">
        <f t="shared" si="22"/>
        <v>0</v>
      </c>
      <c r="U16" s="1161">
        <f t="shared" si="22"/>
        <v>10725.600000000002</v>
      </c>
      <c r="V16" s="1161">
        <f t="shared" si="22"/>
        <v>0</v>
      </c>
      <c r="W16" s="1161">
        <f t="shared" si="22"/>
        <v>51377.099999999991</v>
      </c>
      <c r="X16" s="1161">
        <f t="shared" si="22"/>
        <v>0</v>
      </c>
      <c r="Y16" s="1161">
        <f t="shared" si="22"/>
        <v>10516.5</v>
      </c>
      <c r="Z16" s="1161">
        <f t="shared" si="22"/>
        <v>0</v>
      </c>
      <c r="AA16" s="1161">
        <f t="shared" si="22"/>
        <v>30971.4</v>
      </c>
      <c r="AB16" s="1161">
        <f t="shared" si="22"/>
        <v>0</v>
      </c>
      <c r="AC16" s="1161">
        <f t="shared" si="22"/>
        <v>61893.599999999999</v>
      </c>
      <c r="AD16" s="1161">
        <f t="shared" si="22"/>
        <v>0</v>
      </c>
      <c r="AE16" s="1161">
        <f t="shared" si="22"/>
        <v>11508.699999999999</v>
      </c>
      <c r="AF16" s="1161">
        <f t="shared" si="22"/>
        <v>0</v>
      </c>
      <c r="AG16" s="1161">
        <f t="shared" si="22"/>
        <v>73402.299999999988</v>
      </c>
      <c r="AH16" s="1161">
        <f t="shared" si="22"/>
        <v>0</v>
      </c>
      <c r="AI16" s="1161">
        <f t="shared" si="22"/>
        <v>11646.05</v>
      </c>
      <c r="AJ16" s="1161">
        <f t="shared" si="22"/>
        <v>0</v>
      </c>
      <c r="AK16" s="1161">
        <f t="shared" si="22"/>
        <v>85048.349999999991</v>
      </c>
      <c r="AL16" s="1161">
        <f t="shared" ref="AL16:BG16" si="23">SUM(AL4:AL15)</f>
        <v>0</v>
      </c>
      <c r="AM16" s="1161">
        <f t="shared" si="23"/>
        <v>11947.400000000001</v>
      </c>
      <c r="AN16" s="1161">
        <f t="shared" si="23"/>
        <v>0</v>
      </c>
      <c r="AO16" s="1161">
        <f t="shared" si="23"/>
        <v>35102.15</v>
      </c>
      <c r="AP16" s="1161">
        <f t="shared" si="23"/>
        <v>0</v>
      </c>
      <c r="AQ16" s="1161">
        <f t="shared" si="23"/>
        <v>96995.75</v>
      </c>
      <c r="AR16" s="1161">
        <f t="shared" si="23"/>
        <v>0</v>
      </c>
      <c r="AS16" s="1161">
        <f t="shared" ref="AS16" si="24">SUM(AS4:AS15)</f>
        <v>17830.900000000001</v>
      </c>
      <c r="AT16" s="1161">
        <f t="shared" si="23"/>
        <v>0</v>
      </c>
      <c r="AU16" s="1161">
        <f t="shared" si="23"/>
        <v>114826.65</v>
      </c>
      <c r="AV16" s="1161">
        <f t="shared" si="23"/>
        <v>0</v>
      </c>
      <c r="AW16" s="1161">
        <f t="shared" si="23"/>
        <v>12781.75</v>
      </c>
      <c r="AX16" s="1161">
        <f t="shared" ref="AX16:AY16" si="25">SUM(AX4:AX15)</f>
        <v>0</v>
      </c>
      <c r="AY16" s="1161">
        <f t="shared" si="25"/>
        <v>127608.40000000001</v>
      </c>
      <c r="AZ16" s="1161">
        <f t="shared" si="23"/>
        <v>0</v>
      </c>
      <c r="BA16" s="1161">
        <f t="shared" ref="BA16" si="26">SUM(BA4:BA15)</f>
        <v>14001.499999999991</v>
      </c>
      <c r="BB16" s="1161">
        <f t="shared" si="23"/>
        <v>0</v>
      </c>
      <c r="BC16" s="1161">
        <f t="shared" si="23"/>
        <v>44614.149999999994</v>
      </c>
      <c r="BD16" s="1161">
        <f t="shared" si="23"/>
        <v>0</v>
      </c>
      <c r="BE16" s="1161">
        <f t="shared" si="23"/>
        <v>79716.3</v>
      </c>
      <c r="BF16" s="1161">
        <f t="shared" si="23"/>
        <v>0</v>
      </c>
      <c r="BG16" s="1161">
        <f t="shared" si="23"/>
        <v>141609.90000000002</v>
      </c>
      <c r="BH16" s="26"/>
      <c r="BI16" s="26"/>
      <c r="BJ16" s="26"/>
      <c r="BM16" s="26"/>
    </row>
    <row r="17" spans="65:65" x14ac:dyDescent="0.3">
      <c r="BM17" s="26"/>
    </row>
    <row r="18" spans="65:65" x14ac:dyDescent="0.3">
      <c r="BM18" s="26"/>
    </row>
  </sheetData>
  <mergeCells count="29"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  <mergeCell ref="E4:E16"/>
    <mergeCell ref="F3:G3"/>
    <mergeCell ref="H3:I3"/>
    <mergeCell ref="J3:K3"/>
    <mergeCell ref="L3:M3"/>
    <mergeCell ref="AR3:AS3"/>
    <mergeCell ref="AT3:AU3"/>
    <mergeCell ref="AD3:AE3"/>
    <mergeCell ref="AF3:AG3"/>
    <mergeCell ref="AL3:AM3"/>
    <mergeCell ref="AP3:AQ3"/>
    <mergeCell ref="AN3:AO3"/>
    <mergeCell ref="AJ3:AK3"/>
  </mergeCell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>
    <tabColor rgb="FF0000FF"/>
    <pageSetUpPr fitToPage="1"/>
  </sheetPr>
  <dimension ref="C2:BI17"/>
  <sheetViews>
    <sheetView zoomScaleNormal="100" workbookViewId="0">
      <pane xSplit="3" topLeftCell="AK1" activePane="topRight" state="frozen"/>
      <selection pane="topRight" activeCell="AV16" sqref="AV16"/>
    </sheetView>
  </sheetViews>
  <sheetFormatPr defaultColWidth="8.88671875" defaultRowHeight="18" x14ac:dyDescent="0.35"/>
  <cols>
    <col min="1" max="2" width="8.88671875" style="537"/>
    <col min="3" max="3" width="53.109375" style="537" customWidth="1"/>
    <col min="4" max="4" width="19.44140625" style="537" customWidth="1"/>
    <col min="5" max="5" width="11.6640625" style="537" customWidth="1"/>
    <col min="6" max="6" width="13.5546875" style="537" customWidth="1"/>
    <col min="7" max="8" width="9.109375" style="537" customWidth="1"/>
    <col min="9" max="10" width="9.109375" style="537" hidden="1" customWidth="1"/>
    <col min="11" max="16" width="9.109375" style="537" customWidth="1"/>
    <col min="17" max="18" width="9.109375" style="537" hidden="1" customWidth="1"/>
    <col min="19" max="20" width="9.109375" style="537" customWidth="1"/>
    <col min="21" max="22" width="9.109375" style="537" hidden="1" customWidth="1"/>
    <col min="23" max="28" width="9.109375" style="537" customWidth="1"/>
    <col min="29" max="30" width="8.88671875" style="537" customWidth="1"/>
    <col min="31" max="32" width="8.88671875" style="537" hidden="1" customWidth="1"/>
    <col min="33" max="34" width="8.88671875" style="537" customWidth="1"/>
    <col min="35" max="36" width="8.88671875" style="537" hidden="1" customWidth="1"/>
    <col min="37" max="40" width="8.88671875" style="537" customWidth="1"/>
    <col min="41" max="42" width="8.88671875" style="537" hidden="1" customWidth="1"/>
    <col min="43" max="44" width="8.88671875" style="537" customWidth="1"/>
    <col min="45" max="46" width="8.88671875" style="537" hidden="1" customWidth="1"/>
    <col min="47" max="48" width="8.88671875" style="537" customWidth="1"/>
    <col min="49" max="50" width="8.88671875" style="537" hidden="1" customWidth="1"/>
    <col min="51" max="59" width="8.88671875" style="537" customWidth="1"/>
    <col min="60" max="16384" width="8.88671875" style="537"/>
  </cols>
  <sheetData>
    <row r="2" spans="3:61" x14ac:dyDescent="0.35">
      <c r="C2" s="2101" t="s">
        <v>667</v>
      </c>
    </row>
    <row r="3" spans="3:61" ht="15.75" customHeight="1" thickBot="1" x14ac:dyDescent="0.4">
      <c r="C3" s="2102"/>
    </row>
    <row r="4" spans="3:61" ht="18.600000000000001" thickBot="1" x14ac:dyDescent="0.4">
      <c r="C4" s="6540" t="s">
        <v>592</v>
      </c>
      <c r="D4" s="6542" t="s">
        <v>172</v>
      </c>
      <c r="E4" s="6535" t="s">
        <v>1962</v>
      </c>
      <c r="F4" s="6544"/>
      <c r="G4" s="6535" t="s">
        <v>2013</v>
      </c>
      <c r="H4" s="6535"/>
      <c r="I4" s="6533" t="s">
        <v>14</v>
      </c>
      <c r="J4" s="6534"/>
      <c r="K4" s="6536" t="s">
        <v>2043</v>
      </c>
      <c r="L4" s="6537"/>
      <c r="M4" s="6538" t="s">
        <v>138</v>
      </c>
      <c r="N4" s="6539"/>
      <c r="O4" s="6535" t="s">
        <v>2065</v>
      </c>
      <c r="P4" s="6535"/>
      <c r="Q4" s="6533" t="s">
        <v>17</v>
      </c>
      <c r="R4" s="6534"/>
      <c r="S4" s="6535" t="s">
        <v>2068</v>
      </c>
      <c r="T4" s="6535"/>
      <c r="U4" s="6533" t="s">
        <v>18</v>
      </c>
      <c r="V4" s="6534"/>
      <c r="W4" s="6535" t="s">
        <v>2110</v>
      </c>
      <c r="X4" s="6535"/>
      <c r="Y4" s="6545" t="s">
        <v>139</v>
      </c>
      <c r="Z4" s="6539"/>
      <c r="AA4" s="6546" t="s">
        <v>512</v>
      </c>
      <c r="AB4" s="6547"/>
      <c r="AC4" s="6535" t="s">
        <v>2135</v>
      </c>
      <c r="AD4" s="6535"/>
      <c r="AE4" s="6533" t="s">
        <v>24</v>
      </c>
      <c r="AF4" s="6534"/>
      <c r="AG4" s="6535" t="s">
        <v>2238</v>
      </c>
      <c r="AH4" s="6535"/>
      <c r="AI4" s="6533" t="s">
        <v>27</v>
      </c>
      <c r="AJ4" s="6534"/>
      <c r="AK4" s="6535" t="s">
        <v>2262</v>
      </c>
      <c r="AL4" s="6535"/>
      <c r="AM4" s="6545" t="s">
        <v>1615</v>
      </c>
      <c r="AN4" s="6539"/>
      <c r="AO4" s="6533" t="s">
        <v>1613</v>
      </c>
      <c r="AP4" s="6534"/>
      <c r="AQ4" s="6536" t="s">
        <v>2274</v>
      </c>
      <c r="AR4" s="6537"/>
      <c r="AS4" s="6531" t="s">
        <v>28</v>
      </c>
      <c r="AT4" s="6532"/>
      <c r="AU4" s="6536" t="s">
        <v>2311</v>
      </c>
      <c r="AV4" s="6537"/>
      <c r="AW4" s="6531" t="s">
        <v>30</v>
      </c>
      <c r="AX4" s="6532"/>
      <c r="AY4" s="6536" t="s">
        <v>2329</v>
      </c>
      <c r="AZ4" s="6537"/>
      <c r="BA4" s="6545" t="s">
        <v>1649</v>
      </c>
      <c r="BB4" s="6539"/>
      <c r="BC4" s="6546" t="s">
        <v>550</v>
      </c>
      <c r="BD4" s="6547"/>
      <c r="BE4" s="6531" t="s">
        <v>2041</v>
      </c>
      <c r="BF4" s="6532"/>
    </row>
    <row r="5" spans="3:61" ht="18.600000000000001" thickBot="1" x14ac:dyDescent="0.4">
      <c r="C5" s="6541"/>
      <c r="D5" s="6543"/>
      <c r="E5" s="2103" t="s">
        <v>173</v>
      </c>
      <c r="F5" s="2104" t="s">
        <v>174</v>
      </c>
      <c r="G5" s="2103" t="s">
        <v>173</v>
      </c>
      <c r="H5" s="2105" t="s">
        <v>174</v>
      </c>
      <c r="I5" s="2106" t="s">
        <v>173</v>
      </c>
      <c r="J5" s="2107" t="s">
        <v>174</v>
      </c>
      <c r="K5" s="2108" t="s">
        <v>173</v>
      </c>
      <c r="L5" s="2109" t="s">
        <v>174</v>
      </c>
      <c r="M5" s="2110" t="s">
        <v>173</v>
      </c>
      <c r="N5" s="2111" t="s">
        <v>174</v>
      </c>
      <c r="O5" s="2103" t="s">
        <v>173</v>
      </c>
      <c r="P5" s="2105" t="s">
        <v>174</v>
      </c>
      <c r="Q5" s="2106" t="s">
        <v>173</v>
      </c>
      <c r="R5" s="2107" t="s">
        <v>174</v>
      </c>
      <c r="S5" s="2103" t="s">
        <v>173</v>
      </c>
      <c r="T5" s="2105" t="s">
        <v>174</v>
      </c>
      <c r="U5" s="2106" t="s">
        <v>173</v>
      </c>
      <c r="V5" s="2107" t="s">
        <v>174</v>
      </c>
      <c r="W5" s="2103" t="s">
        <v>173</v>
      </c>
      <c r="X5" s="2105" t="s">
        <v>174</v>
      </c>
      <c r="Y5" s="2112" t="s">
        <v>173</v>
      </c>
      <c r="Z5" s="2111" t="s">
        <v>174</v>
      </c>
      <c r="AA5" s="2113" t="s">
        <v>173</v>
      </c>
      <c r="AB5" s="2114" t="s">
        <v>174</v>
      </c>
      <c r="AC5" s="2103" t="s">
        <v>173</v>
      </c>
      <c r="AD5" s="2105" t="s">
        <v>174</v>
      </c>
      <c r="AE5" s="2106" t="s">
        <v>173</v>
      </c>
      <c r="AF5" s="2107" t="s">
        <v>174</v>
      </c>
      <c r="AG5" s="2103" t="s">
        <v>173</v>
      </c>
      <c r="AH5" s="2105" t="s">
        <v>174</v>
      </c>
      <c r="AI5" s="2106" t="s">
        <v>173</v>
      </c>
      <c r="AJ5" s="2107" t="s">
        <v>174</v>
      </c>
      <c r="AK5" s="2103" t="s">
        <v>173</v>
      </c>
      <c r="AL5" s="2105" t="s">
        <v>174</v>
      </c>
      <c r="AM5" s="2112" t="s">
        <v>173</v>
      </c>
      <c r="AN5" s="2111" t="s">
        <v>174</v>
      </c>
      <c r="AO5" s="2106" t="s">
        <v>173</v>
      </c>
      <c r="AP5" s="2107" t="s">
        <v>174</v>
      </c>
      <c r="AQ5" s="2103" t="s">
        <v>173</v>
      </c>
      <c r="AR5" s="2105" t="s">
        <v>174</v>
      </c>
      <c r="AS5" s="2106" t="s">
        <v>173</v>
      </c>
      <c r="AT5" s="2107" t="s">
        <v>174</v>
      </c>
      <c r="AU5" s="2103" t="s">
        <v>173</v>
      </c>
      <c r="AV5" s="2105" t="s">
        <v>174</v>
      </c>
      <c r="AW5" s="2106" t="s">
        <v>173</v>
      </c>
      <c r="AX5" s="2107" t="s">
        <v>174</v>
      </c>
      <c r="AY5" s="2103" t="s">
        <v>173</v>
      </c>
      <c r="AZ5" s="2105" t="s">
        <v>174</v>
      </c>
      <c r="BA5" s="2112" t="s">
        <v>173</v>
      </c>
      <c r="BB5" s="2111" t="s">
        <v>174</v>
      </c>
      <c r="BC5" s="2113" t="s">
        <v>173</v>
      </c>
      <c r="BD5" s="2114" t="s">
        <v>174</v>
      </c>
      <c r="BE5" s="2106" t="s">
        <v>173</v>
      </c>
      <c r="BF5" s="2107" t="s">
        <v>174</v>
      </c>
    </row>
    <row r="6" spans="3:61" ht="18.600000000000001" thickBot="1" x14ac:dyDescent="0.4">
      <c r="C6" s="2115" t="s">
        <v>7</v>
      </c>
      <c r="D6" s="2116" t="s">
        <v>50</v>
      </c>
      <c r="E6" s="2117">
        <v>99</v>
      </c>
      <c r="F6" s="2118">
        <v>97.16</v>
      </c>
      <c r="G6" s="2119">
        <v>101</v>
      </c>
      <c r="H6" s="2118">
        <v>92.66</v>
      </c>
      <c r="I6" s="2120">
        <f t="shared" ref="I6:J8" si="0">+E6+G6</f>
        <v>200</v>
      </c>
      <c r="J6" s="2121">
        <f t="shared" si="0"/>
        <v>189.82</v>
      </c>
      <c r="K6" s="2119">
        <v>100</v>
      </c>
      <c r="L6" s="2118">
        <v>92.57</v>
      </c>
      <c r="M6" s="2122">
        <f t="shared" ref="M6:N8" si="1">+I6+K6</f>
        <v>300</v>
      </c>
      <c r="N6" s="2123">
        <f t="shared" si="1"/>
        <v>282.39</v>
      </c>
      <c r="O6" s="2119">
        <v>101</v>
      </c>
      <c r="P6" s="2118">
        <v>132.46</v>
      </c>
      <c r="Q6" s="2120">
        <f t="shared" ref="Q6:R8" si="2">+M6+O6</f>
        <v>401</v>
      </c>
      <c r="R6" s="2121">
        <f t="shared" si="2"/>
        <v>414.85</v>
      </c>
      <c r="S6" s="2119">
        <v>101</v>
      </c>
      <c r="T6" s="2118">
        <v>151.11000000000001</v>
      </c>
      <c r="U6" s="2120">
        <f t="shared" ref="U6:U8" si="3">+Q6+S6</f>
        <v>502</v>
      </c>
      <c r="V6" s="2121">
        <f t="shared" ref="V6:V8" si="4">+R6+T6</f>
        <v>565.96</v>
      </c>
      <c r="W6" s="2119">
        <v>99</v>
      </c>
      <c r="X6" s="2118">
        <v>141.69</v>
      </c>
      <c r="Y6" s="2122">
        <f t="shared" ref="Y6:Z8" si="5">+O6+S6+W6</f>
        <v>301</v>
      </c>
      <c r="Z6" s="2123">
        <f t="shared" si="5"/>
        <v>425.26000000000005</v>
      </c>
      <c r="AA6" s="2124">
        <f t="shared" ref="AA6:AB8" si="6">+U6+W6</f>
        <v>601</v>
      </c>
      <c r="AB6" s="2125">
        <f t="shared" si="6"/>
        <v>707.65000000000009</v>
      </c>
      <c r="AC6" s="2119">
        <v>100</v>
      </c>
      <c r="AD6" s="2118">
        <v>131.66999999999999</v>
      </c>
      <c r="AE6" s="2120">
        <f t="shared" ref="AE6:AE8" si="7">+AA6+AC6</f>
        <v>701</v>
      </c>
      <c r="AF6" s="2121">
        <f t="shared" ref="AF6:AF8" si="8">+AB6+AD6</f>
        <v>839.32</v>
      </c>
      <c r="AG6" s="2119">
        <v>100</v>
      </c>
      <c r="AH6" s="2118">
        <v>158.5</v>
      </c>
      <c r="AI6" s="2120">
        <f t="shared" ref="AI6:AI8" si="9">+AE6+AG6</f>
        <v>801</v>
      </c>
      <c r="AJ6" s="2121">
        <f t="shared" ref="AJ6:AJ8" si="10">+AF6+AH6</f>
        <v>997.82</v>
      </c>
      <c r="AK6" s="2119">
        <v>100</v>
      </c>
      <c r="AL6" s="2118">
        <v>139.09</v>
      </c>
      <c r="AM6" s="2122">
        <f t="shared" ref="AM6:AM8" si="11">+AC6+AG6+AK6</f>
        <v>300</v>
      </c>
      <c r="AN6" s="2123">
        <f t="shared" ref="AN6:AN8" si="12">+AD6+AH6+AL6</f>
        <v>429.26</v>
      </c>
      <c r="AO6" s="2120">
        <f t="shared" ref="AO6:AO8" si="13">+AI6+AK6</f>
        <v>901</v>
      </c>
      <c r="AP6" s="2121">
        <f t="shared" ref="AP6:AP8" si="14">+AJ6+AL6</f>
        <v>1136.9100000000001</v>
      </c>
      <c r="AQ6" s="2119">
        <v>100</v>
      </c>
      <c r="AR6" s="2118">
        <v>141.66999999999999</v>
      </c>
      <c r="AS6" s="2120">
        <f t="shared" ref="AS6:AS8" si="15">+AO6+AQ6</f>
        <v>1001</v>
      </c>
      <c r="AT6" s="2121">
        <f t="shared" ref="AT6:AT8" si="16">+AP6+AR6</f>
        <v>1278.5800000000002</v>
      </c>
      <c r="AU6" s="2119">
        <v>99</v>
      </c>
      <c r="AV6" s="2118">
        <v>89.76</v>
      </c>
      <c r="AW6" s="2120">
        <f t="shared" ref="AW6:AW8" si="17">+AS6+AU6</f>
        <v>1100</v>
      </c>
      <c r="AX6" s="2121">
        <f t="shared" ref="AX6:AX8" si="18">+AT6+AV6</f>
        <v>1368.3400000000001</v>
      </c>
      <c r="AY6" s="2119">
        <v>100</v>
      </c>
      <c r="AZ6" s="2118">
        <v>171.8</v>
      </c>
      <c r="BA6" s="2122">
        <f t="shared" ref="BA6:BA8" si="19">+AQ6+AU6+AY6</f>
        <v>299</v>
      </c>
      <c r="BB6" s="2123">
        <f t="shared" ref="BB6:BB8" si="20">+AR6+AV6+AZ6</f>
        <v>403.23</v>
      </c>
      <c r="BC6" s="2124">
        <f>AM6+BA6</f>
        <v>599</v>
      </c>
      <c r="BD6" s="2124">
        <f>AN6+BB6</f>
        <v>832.49</v>
      </c>
      <c r="BE6" s="2120">
        <f t="shared" ref="BE6:BE8" si="21">+AW6+AY6</f>
        <v>1200</v>
      </c>
      <c r="BF6" s="2121">
        <f t="shared" ref="BF6:BF8" si="22">+AX6+AZ6</f>
        <v>1540.14</v>
      </c>
      <c r="BG6" s="580"/>
      <c r="BH6" s="580"/>
      <c r="BI6" s="580"/>
    </row>
    <row r="7" spans="3:61" ht="18.600000000000001" thickBot="1" x14ac:dyDescent="0.4">
      <c r="C7" s="2126" t="s">
        <v>593</v>
      </c>
      <c r="D7" s="2127" t="s">
        <v>50</v>
      </c>
      <c r="E7" s="2128">
        <v>150</v>
      </c>
      <c r="F7" s="2129">
        <v>143.6</v>
      </c>
      <c r="G7" s="2130">
        <v>150</v>
      </c>
      <c r="H7" s="2129">
        <v>124</v>
      </c>
      <c r="I7" s="2131">
        <f t="shared" si="0"/>
        <v>300</v>
      </c>
      <c r="J7" s="2132">
        <f t="shared" si="0"/>
        <v>267.60000000000002</v>
      </c>
      <c r="K7" s="2130">
        <v>150</v>
      </c>
      <c r="L7" s="2129">
        <v>134.4</v>
      </c>
      <c r="M7" s="2133">
        <f t="shared" si="1"/>
        <v>450</v>
      </c>
      <c r="N7" s="2134">
        <f t="shared" si="1"/>
        <v>402</v>
      </c>
      <c r="O7" s="2130">
        <v>150</v>
      </c>
      <c r="P7" s="2129">
        <v>111</v>
      </c>
      <c r="Q7" s="2131">
        <f t="shared" si="2"/>
        <v>600</v>
      </c>
      <c r="R7" s="2132">
        <f t="shared" si="2"/>
        <v>513</v>
      </c>
      <c r="S7" s="2130">
        <v>151</v>
      </c>
      <c r="T7" s="2129">
        <v>143.9</v>
      </c>
      <c r="U7" s="2131">
        <f t="shared" si="3"/>
        <v>751</v>
      </c>
      <c r="V7" s="2132">
        <f t="shared" si="4"/>
        <v>656.9</v>
      </c>
      <c r="W7" s="2130">
        <v>150</v>
      </c>
      <c r="X7" s="2129">
        <v>129.5</v>
      </c>
      <c r="Y7" s="2133">
        <f t="shared" si="5"/>
        <v>451</v>
      </c>
      <c r="Z7" s="2134">
        <f t="shared" si="5"/>
        <v>384.4</v>
      </c>
      <c r="AA7" s="2135">
        <f t="shared" si="6"/>
        <v>901</v>
      </c>
      <c r="AB7" s="2136">
        <f t="shared" si="6"/>
        <v>786.4</v>
      </c>
      <c r="AC7" s="2130">
        <v>150</v>
      </c>
      <c r="AD7" s="2129">
        <v>132.4</v>
      </c>
      <c r="AE7" s="2131">
        <f t="shared" si="7"/>
        <v>1051</v>
      </c>
      <c r="AF7" s="2132">
        <f t="shared" si="8"/>
        <v>918.8</v>
      </c>
      <c r="AG7" s="2130">
        <v>150</v>
      </c>
      <c r="AH7" s="2129">
        <v>128.5</v>
      </c>
      <c r="AI7" s="2131">
        <f t="shared" si="9"/>
        <v>1201</v>
      </c>
      <c r="AJ7" s="2132">
        <f t="shared" si="10"/>
        <v>1047.3</v>
      </c>
      <c r="AK7" s="2130">
        <v>150</v>
      </c>
      <c r="AL7" s="2129">
        <v>132.5</v>
      </c>
      <c r="AM7" s="2133">
        <f t="shared" si="11"/>
        <v>450</v>
      </c>
      <c r="AN7" s="2134">
        <f t="shared" si="12"/>
        <v>393.4</v>
      </c>
      <c r="AO7" s="2131">
        <f t="shared" si="13"/>
        <v>1351</v>
      </c>
      <c r="AP7" s="2132">
        <f t="shared" si="14"/>
        <v>1179.8</v>
      </c>
      <c r="AQ7" s="2130">
        <v>150</v>
      </c>
      <c r="AR7" s="2129">
        <v>130.6</v>
      </c>
      <c r="AS7" s="2131">
        <f t="shared" si="15"/>
        <v>1501</v>
      </c>
      <c r="AT7" s="2132">
        <f t="shared" si="16"/>
        <v>1310.3999999999999</v>
      </c>
      <c r="AU7" s="2130">
        <v>149</v>
      </c>
      <c r="AV7" s="2129">
        <v>120.85</v>
      </c>
      <c r="AW7" s="2131">
        <f t="shared" si="17"/>
        <v>1650</v>
      </c>
      <c r="AX7" s="2132">
        <f t="shared" si="18"/>
        <v>1431.2499999999998</v>
      </c>
      <c r="AY7" s="2130">
        <v>150</v>
      </c>
      <c r="AZ7" s="2129">
        <v>159.75</v>
      </c>
      <c r="BA7" s="2133">
        <f t="shared" si="19"/>
        <v>449</v>
      </c>
      <c r="BB7" s="2134">
        <f t="shared" si="20"/>
        <v>411.2</v>
      </c>
      <c r="BC7" s="2124">
        <f>AM7+BA7</f>
        <v>899</v>
      </c>
      <c r="BD7" s="2124">
        <f>AN7+BB7</f>
        <v>804.59999999999991</v>
      </c>
      <c r="BE7" s="2131">
        <f t="shared" si="21"/>
        <v>1800</v>
      </c>
      <c r="BF7" s="2132">
        <f t="shared" si="22"/>
        <v>1590.9999999999998</v>
      </c>
      <c r="BG7" s="580"/>
      <c r="BH7" s="580"/>
      <c r="BI7" s="580"/>
    </row>
    <row r="8" spans="3:61" ht="18.600000000000001" thickBot="1" x14ac:dyDescent="0.4">
      <c r="C8" s="2137" t="s">
        <v>8</v>
      </c>
      <c r="D8" s="2138" t="s">
        <v>50</v>
      </c>
      <c r="E8" s="2139">
        <v>4</v>
      </c>
      <c r="F8" s="2140">
        <v>4</v>
      </c>
      <c r="G8" s="2141">
        <v>4</v>
      </c>
      <c r="H8" s="2140">
        <v>4</v>
      </c>
      <c r="I8" s="2142">
        <f t="shared" si="0"/>
        <v>8</v>
      </c>
      <c r="J8" s="2143">
        <f t="shared" si="0"/>
        <v>8</v>
      </c>
      <c r="K8" s="2141">
        <v>4</v>
      </c>
      <c r="L8" s="2140">
        <v>5</v>
      </c>
      <c r="M8" s="2144">
        <f t="shared" si="1"/>
        <v>12</v>
      </c>
      <c r="N8" s="2145">
        <f t="shared" si="1"/>
        <v>13</v>
      </c>
      <c r="O8" s="2141">
        <v>5</v>
      </c>
      <c r="P8" s="2140">
        <v>4.7</v>
      </c>
      <c r="Q8" s="2142">
        <f t="shared" si="2"/>
        <v>17</v>
      </c>
      <c r="R8" s="2143">
        <f t="shared" si="2"/>
        <v>17.7</v>
      </c>
      <c r="S8" s="2141">
        <v>5</v>
      </c>
      <c r="T8" s="2140">
        <v>4.75</v>
      </c>
      <c r="U8" s="2142">
        <f t="shared" si="3"/>
        <v>22</v>
      </c>
      <c r="V8" s="2143">
        <f t="shared" si="4"/>
        <v>22.45</v>
      </c>
      <c r="W8" s="2141">
        <v>4</v>
      </c>
      <c r="X8" s="2140">
        <v>4</v>
      </c>
      <c r="Y8" s="2144">
        <f t="shared" si="5"/>
        <v>14</v>
      </c>
      <c r="Z8" s="2145">
        <f t="shared" si="5"/>
        <v>13.45</v>
      </c>
      <c r="AA8" s="2146">
        <f t="shared" si="6"/>
        <v>26</v>
      </c>
      <c r="AB8" s="2147">
        <f t="shared" si="6"/>
        <v>26.45</v>
      </c>
      <c r="AC8" s="2141">
        <v>4</v>
      </c>
      <c r="AD8" s="2140">
        <v>4</v>
      </c>
      <c r="AE8" s="2142">
        <f t="shared" si="7"/>
        <v>30</v>
      </c>
      <c r="AF8" s="2143">
        <f t="shared" si="8"/>
        <v>30.45</v>
      </c>
      <c r="AG8" s="2141">
        <v>4</v>
      </c>
      <c r="AH8" s="2140">
        <v>4</v>
      </c>
      <c r="AI8" s="2142">
        <f t="shared" si="9"/>
        <v>34</v>
      </c>
      <c r="AJ8" s="2143">
        <f t="shared" si="10"/>
        <v>34.450000000000003</v>
      </c>
      <c r="AK8" s="2141">
        <v>4</v>
      </c>
      <c r="AL8" s="2140">
        <v>4</v>
      </c>
      <c r="AM8" s="2144">
        <f t="shared" si="11"/>
        <v>12</v>
      </c>
      <c r="AN8" s="2145">
        <f t="shared" si="12"/>
        <v>12</v>
      </c>
      <c r="AO8" s="2142">
        <f t="shared" si="13"/>
        <v>38</v>
      </c>
      <c r="AP8" s="2143">
        <f t="shared" si="14"/>
        <v>38.450000000000003</v>
      </c>
      <c r="AQ8" s="2141">
        <v>4</v>
      </c>
      <c r="AR8" s="2140">
        <v>4</v>
      </c>
      <c r="AS8" s="2142">
        <f t="shared" si="15"/>
        <v>42</v>
      </c>
      <c r="AT8" s="2143">
        <f t="shared" si="16"/>
        <v>42.45</v>
      </c>
      <c r="AU8" s="2141">
        <v>4</v>
      </c>
      <c r="AV8" s="2140">
        <v>4</v>
      </c>
      <c r="AW8" s="2142">
        <f t="shared" si="17"/>
        <v>46</v>
      </c>
      <c r="AX8" s="2143">
        <f t="shared" si="18"/>
        <v>46.45</v>
      </c>
      <c r="AY8" s="2141">
        <v>4</v>
      </c>
      <c r="AZ8" s="2140">
        <v>4</v>
      </c>
      <c r="BA8" s="2144">
        <f t="shared" si="19"/>
        <v>12</v>
      </c>
      <c r="BB8" s="2145">
        <f t="shared" si="20"/>
        <v>12</v>
      </c>
      <c r="BC8" s="2124">
        <f t="shared" ref="BC8:BD8" si="23">AM8+BA8</f>
        <v>24</v>
      </c>
      <c r="BD8" s="2124">
        <f t="shared" si="23"/>
        <v>24</v>
      </c>
      <c r="BE8" s="2142">
        <f t="shared" si="21"/>
        <v>50</v>
      </c>
      <c r="BF8" s="2143">
        <f t="shared" si="22"/>
        <v>50.45</v>
      </c>
      <c r="BG8" s="580"/>
      <c r="BH8" s="5506"/>
      <c r="BI8" s="580"/>
    </row>
    <row r="13" spans="3:61" x14ac:dyDescent="0.35">
      <c r="K13" s="2148"/>
      <c r="L13" s="2149"/>
    </row>
    <row r="14" spans="3:61" x14ac:dyDescent="0.35">
      <c r="K14" s="2148"/>
      <c r="L14" s="2150"/>
    </row>
    <row r="15" spans="3:61" x14ac:dyDescent="0.35">
      <c r="K15" s="2148"/>
      <c r="L15" s="2149"/>
    </row>
    <row r="17" spans="3:3" x14ac:dyDescent="0.35">
      <c r="C17" s="538"/>
    </row>
  </sheetData>
  <mergeCells count="29"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  <mergeCell ref="K4:L4"/>
    <mergeCell ref="M4:N4"/>
    <mergeCell ref="S4:T4"/>
    <mergeCell ref="C4:C5"/>
    <mergeCell ref="D4:D5"/>
    <mergeCell ref="E4:F4"/>
    <mergeCell ref="G4:H4"/>
    <mergeCell ref="I4:J4"/>
    <mergeCell ref="AS4:AT4"/>
    <mergeCell ref="AO4:AP4"/>
    <mergeCell ref="AG4:AH4"/>
    <mergeCell ref="AI4:AJ4"/>
    <mergeCell ref="AC4:AD4"/>
  </mergeCells>
  <pageMargins left="0.7" right="0.7" top="0.75" bottom="0.75" header="0.3" footer="0.3"/>
  <pageSetup scale="8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CC98B4"/>
    <pageSetUpPr fitToPage="1"/>
  </sheetPr>
  <dimension ref="D5:AD66"/>
  <sheetViews>
    <sheetView topLeftCell="G12" zoomScale="70" zoomScaleNormal="70" workbookViewId="0">
      <selection activeCell="X64" sqref="X64"/>
    </sheetView>
  </sheetViews>
  <sheetFormatPr defaultColWidth="9.109375" defaultRowHeight="15.6" x14ac:dyDescent="0.3"/>
  <cols>
    <col min="1" max="3" width="9.109375" style="1675"/>
    <col min="4" max="4" width="30.44140625" style="1675" customWidth="1"/>
    <col min="5" max="5" width="16.109375" style="1675" hidden="1" customWidth="1"/>
    <col min="6" max="6" width="15.44140625" style="1675" customWidth="1"/>
    <col min="7" max="7" width="15.6640625" style="1675" bestFit="1" customWidth="1"/>
    <col min="8" max="8" width="16.44140625" style="1675" bestFit="1" customWidth="1"/>
    <col min="9" max="9" width="2.88671875" style="2517" customWidth="1"/>
    <col min="10" max="10" width="30.88671875" style="1675" customWidth="1"/>
    <col min="11" max="11" width="15.44140625" style="1675" hidden="1" customWidth="1"/>
    <col min="12" max="12" width="17.109375" style="1675" customWidth="1"/>
    <col min="13" max="13" width="15.6640625" style="1675" bestFit="1" customWidth="1"/>
    <col min="14" max="14" width="16.44140625" style="1675" bestFit="1" customWidth="1"/>
    <col min="15" max="15" width="3.109375" style="2517" customWidth="1"/>
    <col min="16" max="16" width="30" style="1675" customWidth="1"/>
    <col min="17" max="17" width="5.6640625" style="1675" hidden="1" customWidth="1"/>
    <col min="18" max="18" width="13.88671875" style="1675" customWidth="1"/>
    <col min="19" max="19" width="14" style="1675" bestFit="1" customWidth="1"/>
    <col min="20" max="20" width="16.44140625" style="1675" customWidth="1"/>
    <col min="21" max="21" width="17.109375" style="1675" bestFit="1" customWidth="1"/>
    <col min="22" max="22" width="3" style="1675" customWidth="1"/>
    <col min="23" max="23" width="32" style="1675" customWidth="1"/>
    <col min="24" max="24" width="17.109375" style="1675" bestFit="1" customWidth="1"/>
    <col min="25" max="25" width="15.44140625" style="1675" customWidth="1"/>
    <col min="26" max="26" width="17.88671875" style="1675" customWidth="1"/>
    <col min="27" max="27" width="14.33203125" style="1675" bestFit="1" customWidth="1"/>
    <col min="28" max="28" width="18.88671875" style="1675" customWidth="1"/>
    <col min="29" max="29" width="18.5546875" style="1675" customWidth="1"/>
    <col min="30" max="30" width="20.109375" style="1675" bestFit="1" customWidth="1"/>
    <col min="31" max="16384" width="9.109375" style="1675"/>
  </cols>
  <sheetData>
    <row r="5" spans="4:30" ht="28.8" x14ac:dyDescent="0.55000000000000004">
      <c r="D5" s="6551" t="s">
        <v>1451</v>
      </c>
      <c r="E5" s="6551"/>
      <c r="F5" s="6551"/>
      <c r="G5" s="6551"/>
      <c r="H5" s="6551"/>
      <c r="J5" s="6551" t="s">
        <v>1452</v>
      </c>
      <c r="K5" s="6551"/>
      <c r="L5" s="6551"/>
      <c r="M5" s="6551"/>
      <c r="N5" s="6551"/>
      <c r="P5" s="6552" t="s">
        <v>60</v>
      </c>
      <c r="Q5" s="6553"/>
      <c r="R5" s="6553"/>
      <c r="S5" s="6553"/>
      <c r="T5" s="6553"/>
      <c r="U5" s="6554"/>
      <c r="W5" s="6551" t="s">
        <v>1289</v>
      </c>
      <c r="X5" s="6551"/>
      <c r="Y5" s="6551"/>
      <c r="Z5" s="6551"/>
      <c r="AA5" s="6551"/>
      <c r="AB5" s="6551"/>
      <c r="AC5" s="6551"/>
      <c r="AD5" s="6551"/>
    </row>
    <row r="6" spans="4:30" ht="28.8" x14ac:dyDescent="0.3">
      <c r="D6" s="5266"/>
      <c r="E6" s="5266"/>
      <c r="F6" s="5267" t="s">
        <v>1453</v>
      </c>
      <c r="G6" s="5267" t="s">
        <v>1454</v>
      </c>
      <c r="H6" s="5267" t="s">
        <v>1455</v>
      </c>
      <c r="I6" s="2518"/>
      <c r="J6" s="5266"/>
      <c r="K6" s="5266"/>
      <c r="L6" s="5267" t="s">
        <v>1453</v>
      </c>
      <c r="M6" s="5267" t="s">
        <v>1454</v>
      </c>
      <c r="N6" s="5267" t="s">
        <v>1455</v>
      </c>
      <c r="P6" s="5266"/>
      <c r="Q6" s="5266"/>
      <c r="R6" s="5267" t="s">
        <v>1453</v>
      </c>
      <c r="S6" s="5267" t="s">
        <v>1454</v>
      </c>
      <c r="T6" s="5267" t="s">
        <v>1455</v>
      </c>
      <c r="U6" s="5267" t="s">
        <v>1595</v>
      </c>
      <c r="W6" s="5266"/>
      <c r="X6" s="5267" t="s">
        <v>1453</v>
      </c>
      <c r="Y6" s="5267" t="s">
        <v>2253</v>
      </c>
      <c r="Z6" s="5267" t="s">
        <v>209</v>
      </c>
      <c r="AA6" s="5267" t="s">
        <v>2254</v>
      </c>
      <c r="AB6" s="5267" t="s">
        <v>2251</v>
      </c>
      <c r="AC6" s="5267" t="s">
        <v>2252</v>
      </c>
      <c r="AD6" s="5267" t="s">
        <v>2261</v>
      </c>
    </row>
    <row r="7" spans="4:30" ht="32.25" customHeight="1" x14ac:dyDescent="0.55000000000000004">
      <c r="D7" s="5177" t="s">
        <v>1456</v>
      </c>
      <c r="E7" s="5268"/>
      <c r="F7" s="5195">
        <v>62.592421052631636</v>
      </c>
      <c r="G7" s="5195">
        <v>2.7966315789473684</v>
      </c>
      <c r="H7" s="5195">
        <v>3.3077368421052609</v>
      </c>
      <c r="J7" s="5177" t="s">
        <v>1456</v>
      </c>
      <c r="K7" s="5268"/>
      <c r="L7" s="5195">
        <v>63.913176470588255</v>
      </c>
      <c r="M7" s="5195">
        <v>1.8717647058823521</v>
      </c>
      <c r="N7" s="5195">
        <v>2.5894117647058814</v>
      </c>
      <c r="P7" s="5177" t="s">
        <v>1456</v>
      </c>
      <c r="Q7" s="5268"/>
      <c r="R7" s="5195">
        <v>57.384682274928792</v>
      </c>
      <c r="S7" s="5195">
        <v>4.061069698250412</v>
      </c>
      <c r="T7" s="5195">
        <v>2.9385519762231174</v>
      </c>
      <c r="U7" s="5195">
        <v>2.0851733646466379</v>
      </c>
      <c r="W7" s="5177" t="s">
        <v>1456</v>
      </c>
      <c r="X7" s="6555" t="s">
        <v>1914</v>
      </c>
      <c r="Y7" s="6555"/>
      <c r="Z7" s="6555"/>
      <c r="AA7" s="6555"/>
      <c r="AB7" s="6555"/>
      <c r="AC7" s="6555"/>
      <c r="AD7" s="6555"/>
    </row>
    <row r="8" spans="4:30" ht="28.8" x14ac:dyDescent="0.55000000000000004">
      <c r="D8" s="5177" t="s">
        <v>1457</v>
      </c>
      <c r="E8" s="5268"/>
      <c r="F8" s="5195">
        <v>62.414772946859848</v>
      </c>
      <c r="G8" s="5195">
        <v>3.0926360708534615</v>
      </c>
      <c r="H8" s="5195">
        <v>3.2114518760195785</v>
      </c>
      <c r="J8" s="5177" t="s">
        <v>1457</v>
      </c>
      <c r="K8" s="5268"/>
      <c r="L8" s="5195">
        <v>62.616530612244915</v>
      </c>
      <c r="M8" s="5195">
        <v>2.7822448979591838</v>
      </c>
      <c r="N8" s="5195">
        <v>3.0315918367346955</v>
      </c>
      <c r="P8" s="5177" t="s">
        <v>1457</v>
      </c>
      <c r="Q8" s="5268"/>
      <c r="R8" s="5195">
        <v>57.666494386436916</v>
      </c>
      <c r="S8" s="5195">
        <v>4.2392835375161679</v>
      </c>
      <c r="T8" s="5195">
        <v>3.0860570231678586</v>
      </c>
      <c r="U8" s="5195">
        <v>1.991930149178982</v>
      </c>
      <c r="W8" s="5177" t="s">
        <v>1457</v>
      </c>
      <c r="X8" s="6555"/>
      <c r="Y8" s="6555"/>
      <c r="Z8" s="6555"/>
      <c r="AA8" s="6555"/>
      <c r="AB8" s="6555"/>
      <c r="AC8" s="6555"/>
      <c r="AD8" s="6555"/>
    </row>
    <row r="9" spans="4:30" ht="28.8" x14ac:dyDescent="0.55000000000000004">
      <c r="D9" s="5177" t="s">
        <v>1458</v>
      </c>
      <c r="E9" s="5268"/>
      <c r="F9" s="5195">
        <v>62.249008403361287</v>
      </c>
      <c r="G9" s="5195">
        <v>3.7766554621848756</v>
      </c>
      <c r="H9" s="5195">
        <v>2.8714453781512606</v>
      </c>
      <c r="J9" s="5177" t="s">
        <v>1458</v>
      </c>
      <c r="K9" s="5268"/>
      <c r="L9" s="5195">
        <v>62.877727272727292</v>
      </c>
      <c r="M9" s="5195">
        <v>3.2952447552447564</v>
      </c>
      <c r="N9" s="5195">
        <v>2.1003496503496493</v>
      </c>
      <c r="P9" s="5177" t="s">
        <v>1458</v>
      </c>
      <c r="Q9" s="5268"/>
      <c r="R9" s="5195">
        <v>56.516058983090353</v>
      </c>
      <c r="S9" s="5195">
        <v>4.6805393152959391</v>
      </c>
      <c r="T9" s="5195">
        <v>2.9923282891980403</v>
      </c>
      <c r="U9" s="5195">
        <v>1.9580285119928031</v>
      </c>
      <c r="W9" s="5177" t="s">
        <v>1458</v>
      </c>
      <c r="X9" s="6555"/>
      <c r="Y9" s="6555"/>
      <c r="Z9" s="6555"/>
      <c r="AA9" s="6555"/>
      <c r="AB9" s="6555"/>
      <c r="AC9" s="6555"/>
      <c r="AD9" s="6555"/>
    </row>
    <row r="10" spans="4:30" ht="28.8" x14ac:dyDescent="0.55000000000000004">
      <c r="D10" s="5177" t="s">
        <v>1459</v>
      </c>
      <c r="E10" s="5268"/>
      <c r="F10" s="5195">
        <v>62.630572774869059</v>
      </c>
      <c r="G10" s="5195">
        <v>3.8978219895288015</v>
      </c>
      <c r="H10" s="5195">
        <v>2.2407120418848168</v>
      </c>
      <c r="J10" s="5177" t="s">
        <v>1459</v>
      </c>
      <c r="K10" s="5268"/>
      <c r="L10" s="5195">
        <v>63.026620999999963</v>
      </c>
      <c r="M10" s="5195">
        <v>3.7217741935483826</v>
      </c>
      <c r="N10" s="5195">
        <v>1.7948387096774181</v>
      </c>
      <c r="P10" s="5177" t="s">
        <v>1459</v>
      </c>
      <c r="Q10" s="5268"/>
      <c r="R10" s="5195">
        <v>56.248274943557462</v>
      </c>
      <c r="S10" s="5195">
        <v>4.8152999238446981</v>
      </c>
      <c r="T10" s="5195">
        <v>2.7998356123762473</v>
      </c>
      <c r="U10" s="5195">
        <v>1.9306909509977692</v>
      </c>
      <c r="W10" s="5177" t="s">
        <v>1459</v>
      </c>
      <c r="X10" s="6555"/>
      <c r="Y10" s="6555"/>
      <c r="Z10" s="6555"/>
      <c r="AA10" s="6555"/>
      <c r="AB10" s="6555"/>
      <c r="AC10" s="6555"/>
      <c r="AD10" s="6555"/>
    </row>
    <row r="11" spans="4:30" ht="28.8" x14ac:dyDescent="0.55000000000000004">
      <c r="D11" s="5177" t="s">
        <v>1460</v>
      </c>
      <c r="E11" s="5268"/>
      <c r="F11" s="5195">
        <v>61.856832946635677</v>
      </c>
      <c r="G11" s="5195">
        <v>4.2113573085846827</v>
      </c>
      <c r="H11" s="5195">
        <v>2.9364037122969839</v>
      </c>
      <c r="J11" s="5177" t="s">
        <v>1460</v>
      </c>
      <c r="K11" s="5268"/>
      <c r="L11" s="5195">
        <v>63.031521739130476</v>
      </c>
      <c r="M11" s="5195">
        <v>3.6093675889328081</v>
      </c>
      <c r="N11" s="5195">
        <v>1.8816403162055333</v>
      </c>
      <c r="P11" s="5177" t="s">
        <v>1460</v>
      </c>
      <c r="Q11" s="5268"/>
      <c r="R11" s="5195">
        <v>54.658268778978936</v>
      </c>
      <c r="S11" s="5195">
        <v>5.7694903097523493</v>
      </c>
      <c r="T11" s="5195">
        <v>2.9344785604493309</v>
      </c>
      <c r="U11" s="5195">
        <v>1.8331881373504406</v>
      </c>
      <c r="W11" s="5177" t="s">
        <v>1460</v>
      </c>
      <c r="X11" s="6555"/>
      <c r="Y11" s="6555"/>
      <c r="Z11" s="6555"/>
      <c r="AA11" s="6555"/>
      <c r="AB11" s="6555"/>
      <c r="AC11" s="6555"/>
      <c r="AD11" s="6555"/>
    </row>
    <row r="12" spans="4:30" ht="28.8" x14ac:dyDescent="0.55000000000000004">
      <c r="D12" s="5177" t="s">
        <v>1461</v>
      </c>
      <c r="E12" s="5268"/>
      <c r="F12" s="5195">
        <v>62.0164385093167</v>
      </c>
      <c r="G12" s="5195">
        <v>4.8478136645962682</v>
      </c>
      <c r="H12" s="5195">
        <v>2.1067950310558992</v>
      </c>
      <c r="J12" s="5177" t="s">
        <v>1461</v>
      </c>
      <c r="K12" s="5268"/>
      <c r="L12" s="5195">
        <v>62.828988919667516</v>
      </c>
      <c r="M12" s="5195">
        <v>4.1222160664819949</v>
      </c>
      <c r="N12" s="5195">
        <v>1.5608310249307473</v>
      </c>
      <c r="P12" s="5177" t="s">
        <v>1461</v>
      </c>
      <c r="Q12" s="5268"/>
      <c r="R12" s="5195">
        <v>54.557901847922452</v>
      </c>
      <c r="S12" s="5195">
        <v>5.9917244627008408</v>
      </c>
      <c r="T12" s="5195">
        <v>2.300313254544184</v>
      </c>
      <c r="U12" s="5195">
        <v>1.8502380482071401</v>
      </c>
      <c r="W12" s="5177" t="s">
        <v>1461</v>
      </c>
      <c r="X12" s="6555"/>
      <c r="Y12" s="6555"/>
      <c r="Z12" s="6555"/>
      <c r="AA12" s="6555"/>
      <c r="AB12" s="6555"/>
      <c r="AC12" s="6555"/>
      <c r="AD12" s="6555"/>
    </row>
    <row r="13" spans="4:30" ht="9.75" customHeight="1" x14ac:dyDescent="0.55000000000000004">
      <c r="D13" s="5269"/>
      <c r="E13" s="5270"/>
      <c r="F13" s="5271"/>
      <c r="G13" s="5271"/>
      <c r="H13" s="5271"/>
      <c r="J13" s="5269"/>
      <c r="K13" s="5270"/>
      <c r="L13" s="5271"/>
      <c r="M13" s="5271"/>
      <c r="N13" s="5271"/>
      <c r="P13" s="5269"/>
      <c r="Q13" s="5270"/>
      <c r="R13" s="5271"/>
      <c r="S13" s="5271"/>
      <c r="T13" s="5271"/>
      <c r="U13" s="5271"/>
      <c r="W13" s="5269"/>
      <c r="X13" s="5271"/>
      <c r="Y13" s="5178"/>
      <c r="Z13" s="5178"/>
      <c r="AA13" s="5178"/>
      <c r="AB13" s="5178"/>
      <c r="AC13" s="5178"/>
      <c r="AD13" s="5178"/>
    </row>
    <row r="14" spans="4:30" ht="28.8" x14ac:dyDescent="0.55000000000000004">
      <c r="D14" s="5179" t="s">
        <v>1462</v>
      </c>
      <c r="E14" s="5272"/>
      <c r="F14" s="5181">
        <v>61.36</v>
      </c>
      <c r="G14" s="5181">
        <v>4.2300000000000004</v>
      </c>
      <c r="H14" s="5181">
        <v>2.64</v>
      </c>
      <c r="J14" s="5179" t="s">
        <v>1462</v>
      </c>
      <c r="K14" s="5272"/>
      <c r="L14" s="5181">
        <v>62.43</v>
      </c>
      <c r="M14" s="5181">
        <v>3.52</v>
      </c>
      <c r="N14" s="5181">
        <v>2.2000000000000002</v>
      </c>
      <c r="P14" s="5179" t="s">
        <v>1462</v>
      </c>
      <c r="Q14" s="5272"/>
      <c r="R14" s="5181" t="s">
        <v>1596</v>
      </c>
      <c r="S14" s="5181" t="s">
        <v>1597</v>
      </c>
      <c r="T14" s="5181" t="s">
        <v>1598</v>
      </c>
      <c r="U14" s="5181">
        <v>1.85</v>
      </c>
      <c r="W14" s="5179"/>
      <c r="X14" s="5180"/>
      <c r="Y14" s="5180"/>
      <c r="Z14" s="5180"/>
      <c r="AA14" s="5180"/>
      <c r="AB14" s="5180"/>
      <c r="AC14" s="5180"/>
      <c r="AD14" s="5180"/>
    </row>
    <row r="15" spans="4:30" ht="28.5" hidden="1" customHeight="1" x14ac:dyDescent="0.55000000000000004">
      <c r="D15" s="6548" t="s">
        <v>1463</v>
      </c>
      <c r="E15" s="5272" t="s">
        <v>1464</v>
      </c>
      <c r="F15" s="5181">
        <v>62.26452542372882</v>
      </c>
      <c r="G15" s="5181">
        <v>4.0506779661016958</v>
      </c>
      <c r="H15" s="5181">
        <v>2.4597457627118628</v>
      </c>
      <c r="J15" s="5179"/>
      <c r="K15" s="5272" t="s">
        <v>1464</v>
      </c>
      <c r="L15" s="5181">
        <v>63.255868686868716</v>
      </c>
      <c r="M15" s="5181">
        <v>2.9725252525252523</v>
      </c>
      <c r="N15" s="5181">
        <v>1.8761616161616164</v>
      </c>
      <c r="P15" s="5179"/>
      <c r="Q15" s="5272"/>
      <c r="R15" s="5181"/>
      <c r="S15" s="5181"/>
      <c r="T15" s="5181"/>
      <c r="U15" s="5181"/>
      <c r="W15" s="5179"/>
      <c r="X15" s="5181"/>
      <c r="Y15" s="5178"/>
      <c r="Z15" s="5178"/>
      <c r="AA15" s="5178"/>
      <c r="AB15" s="5178"/>
      <c r="AC15" s="5178"/>
      <c r="AD15" s="5178"/>
    </row>
    <row r="16" spans="4:30" ht="28.5" hidden="1" customHeight="1" x14ac:dyDescent="0.55000000000000004">
      <c r="D16" s="6549"/>
      <c r="E16" s="5272" t="s">
        <v>1465</v>
      </c>
      <c r="F16" s="5181">
        <v>60.557013432835802</v>
      </c>
      <c r="G16" s="5181">
        <v>6.7840298507462693</v>
      </c>
      <c r="H16" s="5181">
        <v>2.5667164179104476</v>
      </c>
      <c r="J16" s="5179"/>
      <c r="K16" s="5272"/>
      <c r="L16" s="5181"/>
      <c r="M16" s="5181"/>
      <c r="N16" s="5181"/>
      <c r="P16" s="5179"/>
      <c r="Q16" s="5272"/>
      <c r="R16" s="5181"/>
      <c r="S16" s="5181"/>
      <c r="T16" s="5181"/>
      <c r="U16" s="5181"/>
      <c r="W16" s="5179"/>
      <c r="X16" s="5181"/>
      <c r="Y16" s="5178"/>
      <c r="Z16" s="5178"/>
      <c r="AA16" s="5178"/>
      <c r="AB16" s="5178"/>
      <c r="AC16" s="5178"/>
      <c r="AD16" s="5178"/>
    </row>
    <row r="17" spans="4:30" ht="28.5" hidden="1" customHeight="1" x14ac:dyDescent="0.55000000000000004">
      <c r="D17" s="6549"/>
      <c r="E17" s="5272" t="s">
        <v>1466</v>
      </c>
      <c r="F17" s="5181">
        <v>59.483333333333348</v>
      </c>
      <c r="G17" s="5181">
        <v>5.6566666666666663</v>
      </c>
      <c r="H17" s="5181">
        <v>5.4725000000000001</v>
      </c>
      <c r="J17" s="5179"/>
      <c r="K17" s="5272"/>
      <c r="L17" s="5181"/>
      <c r="M17" s="5181"/>
      <c r="N17" s="5181"/>
      <c r="P17" s="5179"/>
      <c r="Q17" s="5272"/>
      <c r="R17" s="5181"/>
      <c r="S17" s="5181"/>
      <c r="T17" s="5181"/>
      <c r="U17" s="5181"/>
      <c r="W17" s="5179"/>
      <c r="X17" s="5181"/>
      <c r="Y17" s="5178"/>
      <c r="Z17" s="5178"/>
      <c r="AA17" s="5178"/>
      <c r="AB17" s="5178"/>
      <c r="AC17" s="5178"/>
      <c r="AD17" s="5178"/>
    </row>
    <row r="18" spans="4:30" ht="28.5" hidden="1" customHeight="1" x14ac:dyDescent="0.55000000000000004">
      <c r="D18" s="6549"/>
      <c r="E18" s="5272" t="s">
        <v>1467</v>
      </c>
      <c r="F18" s="5181">
        <v>60.085000000000001</v>
      </c>
      <c r="G18" s="5181">
        <v>6.68</v>
      </c>
      <c r="H18" s="5181">
        <v>3.2549999999999999</v>
      </c>
      <c r="J18" s="5179"/>
      <c r="K18" s="5272"/>
      <c r="L18" s="5181"/>
      <c r="M18" s="5181"/>
      <c r="N18" s="5181"/>
      <c r="P18" s="5179"/>
      <c r="Q18" s="5272"/>
      <c r="R18" s="5181"/>
      <c r="S18" s="5181"/>
      <c r="T18" s="5181"/>
      <c r="U18" s="5181"/>
      <c r="W18" s="5179"/>
      <c r="X18" s="5181"/>
      <c r="Y18" s="5178"/>
      <c r="Z18" s="5178"/>
      <c r="AA18" s="5178"/>
      <c r="AB18" s="5178"/>
      <c r="AC18" s="5178"/>
      <c r="AD18" s="5178"/>
    </row>
    <row r="19" spans="4:30" ht="28.5" hidden="1" customHeight="1" x14ac:dyDescent="0.55000000000000004">
      <c r="D19" s="6549"/>
      <c r="E19" s="5272" t="s">
        <v>1468</v>
      </c>
      <c r="F19" s="5181">
        <v>61.6405009428032</v>
      </c>
      <c r="G19" s="5181">
        <v>4.9323067253299859</v>
      </c>
      <c r="H19" s="5181">
        <v>2.6575109993714601</v>
      </c>
      <c r="J19" s="5179"/>
      <c r="K19" s="5272"/>
      <c r="L19" s="5181"/>
      <c r="M19" s="5181"/>
      <c r="N19" s="5181"/>
      <c r="P19" s="5179"/>
      <c r="Q19" s="5272"/>
      <c r="R19" s="5181"/>
      <c r="S19" s="5181"/>
      <c r="T19" s="5181"/>
      <c r="U19" s="5181"/>
      <c r="W19" s="5179"/>
      <c r="X19" s="5181"/>
      <c r="Y19" s="5178"/>
      <c r="Z19" s="5178"/>
      <c r="AA19" s="5178"/>
      <c r="AB19" s="5178"/>
      <c r="AC19" s="5178"/>
      <c r="AD19" s="5178"/>
    </row>
    <row r="20" spans="4:30" ht="27.75" customHeight="1" x14ac:dyDescent="0.55000000000000004">
      <c r="D20" s="6550"/>
      <c r="E20" s="5272" t="s">
        <v>1469</v>
      </c>
      <c r="F20" s="5181">
        <v>61.65299988764054</v>
      </c>
      <c r="G20" s="5181">
        <v>4.8020112359550522</v>
      </c>
      <c r="H20" s="5181">
        <v>2.6520674157303348</v>
      </c>
      <c r="J20" s="5179" t="s">
        <v>1463</v>
      </c>
      <c r="K20" s="5272" t="s">
        <v>1469</v>
      </c>
      <c r="L20" s="5181">
        <v>62.937881390593041</v>
      </c>
      <c r="M20" s="5181">
        <v>3.5104498977505156</v>
      </c>
      <c r="N20" s="5181">
        <v>1.8599591002044982</v>
      </c>
      <c r="P20" s="5179" t="s">
        <v>1463</v>
      </c>
      <c r="Q20" s="5272" t="s">
        <v>1469</v>
      </c>
      <c r="R20" s="5181">
        <v>53.472138936884413</v>
      </c>
      <c r="S20" s="5181">
        <v>6.2968578269727109</v>
      </c>
      <c r="T20" s="5181">
        <v>2.6378704610110186</v>
      </c>
      <c r="U20" s="5181">
        <v>1.8678503639381072</v>
      </c>
      <c r="W20" s="5179" t="s">
        <v>1463</v>
      </c>
      <c r="X20" s="5181"/>
      <c r="Y20" s="5180"/>
      <c r="Z20" s="5180"/>
      <c r="AA20" s="5180"/>
      <c r="AB20" s="5180"/>
      <c r="AC20" s="5180"/>
      <c r="AD20" s="5180"/>
    </row>
    <row r="21" spans="4:30" ht="26.25" hidden="1" customHeight="1" x14ac:dyDescent="0.55000000000000004">
      <c r="D21" s="5179" t="s">
        <v>1470</v>
      </c>
      <c r="E21" s="5272"/>
      <c r="F21" s="5181">
        <v>61.5</v>
      </c>
      <c r="G21" s="5181">
        <v>4.2</v>
      </c>
      <c r="H21" s="5181">
        <v>2.5</v>
      </c>
      <c r="J21" s="5179" t="s">
        <v>1470</v>
      </c>
      <c r="K21" s="5272"/>
      <c r="L21" s="5181">
        <v>62.8</v>
      </c>
      <c r="M21" s="5181">
        <v>3.5</v>
      </c>
      <c r="N21" s="5181">
        <v>1.9</v>
      </c>
      <c r="P21" s="5179" t="s">
        <v>1470</v>
      </c>
      <c r="Q21" s="5272"/>
      <c r="R21" s="5181">
        <v>53.37822824219618</v>
      </c>
      <c r="S21" s="5181">
        <v>5.9162847311280826</v>
      </c>
      <c r="T21" s="5181">
        <v>3.1141975851535659</v>
      </c>
      <c r="U21" s="5181">
        <v>1.8680849713778922</v>
      </c>
      <c r="W21" s="5179" t="s">
        <v>1470</v>
      </c>
      <c r="X21" s="5181"/>
      <c r="Y21" s="5178"/>
      <c r="Z21" s="5178"/>
      <c r="AA21" s="5178"/>
      <c r="AB21" s="5178"/>
      <c r="AC21" s="5178"/>
      <c r="AD21" s="5178"/>
    </row>
    <row r="22" spans="4:30" ht="29.25" customHeight="1" x14ac:dyDescent="0.55000000000000004">
      <c r="D22" s="5179" t="s">
        <v>1680</v>
      </c>
      <c r="E22" s="5272"/>
      <c r="F22" s="5181">
        <v>61.37</v>
      </c>
      <c r="G22" s="5181">
        <v>4.9800000000000004</v>
      </c>
      <c r="H22" s="5181">
        <v>2.65</v>
      </c>
      <c r="J22" s="5179" t="s">
        <v>1680</v>
      </c>
      <c r="K22" s="5272"/>
      <c r="L22" s="5181">
        <v>62.5</v>
      </c>
      <c r="M22" s="5181">
        <v>3.95</v>
      </c>
      <c r="N22" s="5181">
        <v>2.0299999999999998</v>
      </c>
      <c r="P22" s="5179" t="s">
        <v>1680</v>
      </c>
      <c r="Q22" s="5272"/>
      <c r="R22" s="5181">
        <v>53.37822824219618</v>
      </c>
      <c r="S22" s="5181">
        <v>5.9162847311280826</v>
      </c>
      <c r="T22" s="5181">
        <v>3.1141975851535659</v>
      </c>
      <c r="U22" s="5181">
        <v>1.8680849713778922</v>
      </c>
      <c r="W22" s="5179" t="s">
        <v>1680</v>
      </c>
      <c r="X22" s="5181"/>
      <c r="Y22" s="5180"/>
      <c r="Z22" s="5180"/>
      <c r="AA22" s="5180"/>
      <c r="AB22" s="5180"/>
      <c r="AC22" s="5180"/>
      <c r="AD22" s="5180"/>
    </row>
    <row r="23" spans="4:30" ht="114" hidden="1" customHeight="1" x14ac:dyDescent="0.55000000000000004">
      <c r="D23" s="5182" t="s">
        <v>1630</v>
      </c>
      <c r="E23" s="5273"/>
      <c r="F23" s="5183">
        <v>60.83</v>
      </c>
      <c r="G23" s="5183">
        <v>4.82</v>
      </c>
      <c r="H23" s="5183">
        <v>3.32</v>
      </c>
      <c r="J23" s="5182" t="s">
        <v>1630</v>
      </c>
      <c r="K23" s="5273"/>
      <c r="L23" s="5183">
        <v>62.45</v>
      </c>
      <c r="M23" s="5183">
        <v>2.85</v>
      </c>
      <c r="N23" s="5183">
        <v>2.29</v>
      </c>
      <c r="P23" s="5182" t="s">
        <v>1630</v>
      </c>
      <c r="Q23" s="5273"/>
      <c r="R23" s="5183">
        <v>53.16</v>
      </c>
      <c r="S23" s="5183">
        <v>6.19</v>
      </c>
      <c r="T23" s="5183">
        <v>3.12</v>
      </c>
      <c r="U23" s="5183">
        <v>1.87</v>
      </c>
      <c r="W23" s="5182" t="s">
        <v>1630</v>
      </c>
      <c r="X23" s="5183"/>
      <c r="Y23" s="5178"/>
      <c r="Z23" s="5178"/>
      <c r="AA23" s="5178"/>
      <c r="AB23" s="5178"/>
      <c r="AC23" s="5178"/>
      <c r="AD23" s="5178"/>
    </row>
    <row r="24" spans="4:30" ht="114" hidden="1" customHeight="1" x14ac:dyDescent="0.55000000000000004">
      <c r="D24" s="5182" t="s">
        <v>1622</v>
      </c>
      <c r="E24" s="5273"/>
      <c r="F24" s="5183">
        <v>61.312799999999982</v>
      </c>
      <c r="G24" s="5183">
        <v>3.6630000000000003</v>
      </c>
      <c r="H24" s="5183">
        <v>2.8299999999999987</v>
      </c>
      <c r="J24" s="5182" t="s">
        <v>1622</v>
      </c>
      <c r="K24" s="5273"/>
      <c r="L24" s="5183">
        <v>62.771507246376814</v>
      </c>
      <c r="M24" s="5183">
        <v>2.4013043478260871</v>
      </c>
      <c r="N24" s="5183">
        <v>1.6024637681159422</v>
      </c>
      <c r="P24" s="5182" t="s">
        <v>1622</v>
      </c>
      <c r="Q24" s="5273"/>
      <c r="R24" s="5183">
        <v>52.19</v>
      </c>
      <c r="S24" s="5183">
        <v>6.36</v>
      </c>
      <c r="T24" s="5183">
        <v>3.15</v>
      </c>
      <c r="U24" s="5183">
        <v>1.85</v>
      </c>
      <c r="W24" s="5182" t="s">
        <v>1622</v>
      </c>
      <c r="X24" s="5183"/>
      <c r="Y24" s="5178"/>
      <c r="Z24" s="5178"/>
      <c r="AA24" s="5178"/>
      <c r="AB24" s="5178"/>
      <c r="AC24" s="5178"/>
      <c r="AD24" s="5178"/>
    </row>
    <row r="25" spans="4:30" ht="114" hidden="1" customHeight="1" x14ac:dyDescent="0.55000000000000004">
      <c r="D25" s="5182" t="s">
        <v>1624</v>
      </c>
      <c r="E25" s="5273"/>
      <c r="F25" s="5183">
        <v>61.834753424657535</v>
      </c>
      <c r="G25" s="5183">
        <v>3.0872602739726025</v>
      </c>
      <c r="H25" s="5183">
        <v>2.512876712328767</v>
      </c>
      <c r="J25" s="5182" t="s">
        <v>1624</v>
      </c>
      <c r="K25" s="5273"/>
      <c r="L25" s="5183">
        <v>62.529117647058818</v>
      </c>
      <c r="M25" s="5183">
        <v>2.3072549019607846</v>
      </c>
      <c r="N25" s="5183">
        <v>1.975490196078431</v>
      </c>
      <c r="P25" s="5182" t="s">
        <v>1624</v>
      </c>
      <c r="Q25" s="5273"/>
      <c r="R25" s="5183">
        <v>55.08</v>
      </c>
      <c r="S25" s="5183">
        <v>5.1260000000000003</v>
      </c>
      <c r="T25" s="5183">
        <v>2.67</v>
      </c>
      <c r="U25" s="5183">
        <v>1.87</v>
      </c>
      <c r="W25" s="5182" t="s">
        <v>1624</v>
      </c>
      <c r="X25" s="5183"/>
      <c r="Y25" s="5178"/>
      <c r="Z25" s="5178"/>
      <c r="AA25" s="5178"/>
      <c r="AB25" s="5178"/>
      <c r="AC25" s="5178"/>
      <c r="AD25" s="5178"/>
    </row>
    <row r="26" spans="4:30" ht="114" hidden="1" customHeight="1" x14ac:dyDescent="0.55000000000000004">
      <c r="D26" s="5182" t="s">
        <v>1623</v>
      </c>
      <c r="E26" s="5273"/>
      <c r="F26" s="5183">
        <v>61.09731868131869</v>
      </c>
      <c r="G26" s="5183">
        <v>4.4797802197802179</v>
      </c>
      <c r="H26" s="5183">
        <v>2.3717582417582417</v>
      </c>
      <c r="I26" s="2517">
        <v>61.09731868131869</v>
      </c>
      <c r="J26" s="5182" t="s">
        <v>1623</v>
      </c>
      <c r="K26" s="5273"/>
      <c r="L26" s="5183">
        <v>62.505999999999993</v>
      </c>
      <c r="M26" s="5183">
        <v>2.7073170731707319</v>
      </c>
      <c r="N26" s="5183">
        <v>1.6843902439024394</v>
      </c>
      <c r="P26" s="5182" t="s">
        <v>1623</v>
      </c>
      <c r="Q26" s="5273"/>
      <c r="R26" s="5183">
        <v>52.78</v>
      </c>
      <c r="S26" s="5183">
        <v>6.24</v>
      </c>
      <c r="T26" s="5183">
        <v>2.65</v>
      </c>
      <c r="U26" s="5183">
        <v>1.86</v>
      </c>
      <c r="W26" s="5182" t="s">
        <v>1623</v>
      </c>
      <c r="X26" s="5183"/>
      <c r="Y26" s="5178"/>
      <c r="Z26" s="5178"/>
      <c r="AA26" s="5178"/>
      <c r="AB26" s="5178"/>
      <c r="AC26" s="5178"/>
      <c r="AD26" s="5178"/>
    </row>
    <row r="27" spans="4:30" ht="114" hidden="1" customHeight="1" x14ac:dyDescent="0.55000000000000004">
      <c r="D27" s="5182" t="s">
        <v>1625</v>
      </c>
      <c r="E27" s="5273"/>
      <c r="F27" s="5183">
        <v>60.579487804878084</v>
      </c>
      <c r="G27" s="5183">
        <v>5.0039024390243911</v>
      </c>
      <c r="H27" s="5183">
        <v>2.4721951219512199</v>
      </c>
      <c r="J27" s="5182" t="s">
        <v>1625</v>
      </c>
      <c r="K27" s="5273"/>
      <c r="L27" s="5183">
        <v>62.400642857142863</v>
      </c>
      <c r="M27" s="5183">
        <v>3.3657142857142861</v>
      </c>
      <c r="N27" s="5183">
        <v>1.3010714285714289</v>
      </c>
      <c r="P27" s="5182" t="s">
        <v>1625</v>
      </c>
      <c r="Q27" s="5273"/>
      <c r="R27" s="5183">
        <v>52.52</v>
      </c>
      <c r="S27" s="5183">
        <v>6.63</v>
      </c>
      <c r="T27" s="5183">
        <v>2.58</v>
      </c>
      <c r="U27" s="5183">
        <v>1.81</v>
      </c>
      <c r="W27" s="5182" t="s">
        <v>1625</v>
      </c>
      <c r="X27" s="5183"/>
      <c r="Y27" s="5178"/>
      <c r="Z27" s="5178"/>
      <c r="AA27" s="5178"/>
      <c r="AB27" s="5178"/>
      <c r="AC27" s="5178"/>
      <c r="AD27" s="5178"/>
    </row>
    <row r="28" spans="4:30" ht="114" hidden="1" customHeight="1" x14ac:dyDescent="0.55000000000000004">
      <c r="D28" s="5182" t="s">
        <v>1626</v>
      </c>
      <c r="E28" s="5273"/>
      <c r="F28" s="5183">
        <v>61.352785714285709</v>
      </c>
      <c r="G28" s="5183">
        <v>4.1680000000000019</v>
      </c>
      <c r="H28" s="5183">
        <v>2.0210000000000008</v>
      </c>
      <c r="J28" s="5182" t="s">
        <v>1626</v>
      </c>
      <c r="K28" s="5273"/>
      <c r="L28" s="5183">
        <v>62.178060606060612</v>
      </c>
      <c r="M28" s="5183">
        <v>3.3260606060606062</v>
      </c>
      <c r="N28" s="5183">
        <v>1.4766666666666668</v>
      </c>
      <c r="P28" s="5182" t="s">
        <v>1626</v>
      </c>
      <c r="Q28" s="5273"/>
      <c r="R28" s="5183">
        <v>52.6</v>
      </c>
      <c r="S28" s="5183">
        <v>6.63</v>
      </c>
      <c r="T28" s="5183">
        <v>2.42</v>
      </c>
      <c r="U28" s="5183">
        <v>1.75</v>
      </c>
      <c r="W28" s="5182" t="s">
        <v>1626</v>
      </c>
      <c r="X28" s="5183"/>
      <c r="Y28" s="5178"/>
      <c r="Z28" s="5178"/>
      <c r="AA28" s="5178"/>
      <c r="AB28" s="5178"/>
      <c r="AC28" s="5178"/>
      <c r="AD28" s="5178"/>
    </row>
    <row r="29" spans="4:30" ht="114" hidden="1" customHeight="1" x14ac:dyDescent="0.55000000000000004">
      <c r="D29" s="5182" t="s">
        <v>1627</v>
      </c>
      <c r="E29" s="5273"/>
      <c r="F29" s="5183">
        <v>60.652396039603971</v>
      </c>
      <c r="G29" s="5183">
        <v>4.925841584158416</v>
      </c>
      <c r="H29" s="5183">
        <v>2.2668316831683168</v>
      </c>
      <c r="J29" s="5182" t="s">
        <v>1627</v>
      </c>
      <c r="K29" s="5273"/>
      <c r="L29" s="5183">
        <v>62.535204545454569</v>
      </c>
      <c r="M29" s="5183">
        <v>2.8165909090909089</v>
      </c>
      <c r="N29" s="5183">
        <v>1.3911363636363632</v>
      </c>
      <c r="P29" s="5182" t="s">
        <v>1627</v>
      </c>
      <c r="Q29" s="5273"/>
      <c r="R29" s="5183">
        <v>53.18</v>
      </c>
      <c r="S29" s="5183">
        <v>6.46</v>
      </c>
      <c r="T29" s="5183">
        <v>2.27</v>
      </c>
      <c r="U29" s="5183">
        <v>1.75</v>
      </c>
      <c r="W29" s="5182" t="s">
        <v>1627</v>
      </c>
      <c r="X29" s="5183"/>
      <c r="Y29" s="5178"/>
      <c r="Z29" s="5178"/>
      <c r="AA29" s="5178"/>
      <c r="AB29" s="5178"/>
      <c r="AC29" s="5178"/>
      <c r="AD29" s="5178"/>
    </row>
    <row r="30" spans="4:30" ht="114" hidden="1" customHeight="1" x14ac:dyDescent="0.55000000000000004">
      <c r="D30" s="5182" t="s">
        <v>1628</v>
      </c>
      <c r="E30" s="5273"/>
      <c r="F30" s="5183">
        <v>61.29</v>
      </c>
      <c r="G30" s="5183">
        <v>4.04</v>
      </c>
      <c r="H30" s="5183">
        <v>2.21</v>
      </c>
      <c r="J30" s="5182" t="s">
        <v>1628</v>
      </c>
      <c r="K30" s="5273"/>
      <c r="L30" s="5183">
        <v>62.22</v>
      </c>
      <c r="M30" s="5183">
        <v>3.19</v>
      </c>
      <c r="N30" s="5183">
        <v>1.7</v>
      </c>
      <c r="P30" s="5182" t="s">
        <v>1628</v>
      </c>
      <c r="Q30" s="5273"/>
      <c r="R30" s="5183">
        <v>53.3</v>
      </c>
      <c r="S30" s="5183">
        <v>6.38</v>
      </c>
      <c r="T30" s="5183">
        <v>2.41</v>
      </c>
      <c r="U30" s="5183">
        <v>1.74</v>
      </c>
      <c r="W30" s="5182" t="s">
        <v>1628</v>
      </c>
      <c r="X30" s="5183"/>
      <c r="Y30" s="5178"/>
      <c r="Z30" s="5178"/>
      <c r="AA30" s="5178"/>
      <c r="AB30" s="5178"/>
      <c r="AC30" s="5178"/>
      <c r="AD30" s="5178"/>
    </row>
    <row r="31" spans="4:30" ht="114" hidden="1" customHeight="1" x14ac:dyDescent="0.55000000000000004">
      <c r="D31" s="5182" t="s">
        <v>1629</v>
      </c>
      <c r="E31" s="5273"/>
      <c r="F31" s="5183">
        <v>61.497297029702963</v>
      </c>
      <c r="G31" s="5183">
        <v>4.2097029702970303</v>
      </c>
      <c r="H31" s="5183">
        <v>1.8356435643564362</v>
      </c>
      <c r="J31" s="5182" t="s">
        <v>1629</v>
      </c>
      <c r="K31" s="5273"/>
      <c r="L31" s="5183">
        <v>62.373446808510671</v>
      </c>
      <c r="M31" s="5183">
        <v>3.2148936170212763</v>
      </c>
      <c r="N31" s="5183">
        <v>1.4134042553191488</v>
      </c>
      <c r="P31" s="5182" t="s">
        <v>1629</v>
      </c>
      <c r="Q31" s="5273"/>
      <c r="R31" s="5183">
        <v>53.96</v>
      </c>
      <c r="S31" s="5183">
        <v>6.1</v>
      </c>
      <c r="T31" s="5183">
        <v>2.21</v>
      </c>
      <c r="U31" s="5183">
        <v>1.74</v>
      </c>
      <c r="W31" s="5182" t="s">
        <v>1629</v>
      </c>
      <c r="X31" s="5183"/>
      <c r="Y31" s="5178"/>
      <c r="Z31" s="5178"/>
      <c r="AA31" s="5178"/>
      <c r="AB31" s="5178"/>
      <c r="AC31" s="5178"/>
      <c r="AD31" s="5178"/>
    </row>
    <row r="32" spans="4:30" ht="114" hidden="1" customHeight="1" x14ac:dyDescent="0.55000000000000004">
      <c r="D32" s="5182" t="s">
        <v>1634</v>
      </c>
      <c r="E32" s="5273"/>
      <c r="F32" s="5183">
        <v>61.49</v>
      </c>
      <c r="G32" s="5183">
        <v>3.8231868131868114</v>
      </c>
      <c r="H32" s="5183">
        <v>2.1123076923076924</v>
      </c>
      <c r="J32" s="5182" t="s">
        <v>1634</v>
      </c>
      <c r="K32" s="5273"/>
      <c r="L32" s="5183">
        <v>62</v>
      </c>
      <c r="M32" s="5183">
        <v>3.22</v>
      </c>
      <c r="N32" s="5183">
        <v>1.89</v>
      </c>
      <c r="P32" s="5182" t="s">
        <v>1634</v>
      </c>
      <c r="Q32" s="5273"/>
      <c r="R32" s="5183">
        <v>53.82</v>
      </c>
      <c r="S32" s="5183">
        <v>6.04</v>
      </c>
      <c r="T32" s="5183">
        <v>2.4</v>
      </c>
      <c r="U32" s="5183">
        <v>1.76</v>
      </c>
      <c r="W32" s="5182" t="s">
        <v>1634</v>
      </c>
      <c r="X32" s="5183"/>
      <c r="Y32" s="5178"/>
      <c r="Z32" s="5178"/>
      <c r="AA32" s="5178"/>
      <c r="AB32" s="5178"/>
      <c r="AC32" s="5178"/>
      <c r="AD32" s="5178"/>
    </row>
    <row r="33" spans="4:30" ht="114" hidden="1" customHeight="1" x14ac:dyDescent="0.55000000000000004">
      <c r="D33" s="5182" t="s">
        <v>1645</v>
      </c>
      <c r="E33" s="5273"/>
      <c r="F33" s="5183">
        <v>60.483788732394359</v>
      </c>
      <c r="G33" s="5183">
        <v>4.5140845070422539</v>
      </c>
      <c r="H33" s="5183">
        <v>2.9476056338028171</v>
      </c>
      <c r="J33" s="5182" t="s">
        <v>1645</v>
      </c>
      <c r="K33" s="5273"/>
      <c r="L33" s="5183">
        <v>61.784959183673486</v>
      </c>
      <c r="M33" s="5183">
        <v>3.1918367346938772</v>
      </c>
      <c r="N33" s="5183">
        <v>2.2140816326530612</v>
      </c>
      <c r="P33" s="5182" t="s">
        <v>1645</v>
      </c>
      <c r="Q33" s="5273"/>
      <c r="R33" s="5183">
        <v>53.01</v>
      </c>
      <c r="S33" s="5183">
        <v>6.26</v>
      </c>
      <c r="T33" s="5183">
        <v>2.79</v>
      </c>
      <c r="U33" s="5183">
        <v>1.77</v>
      </c>
      <c r="W33" s="5182" t="s">
        <v>1645</v>
      </c>
      <c r="X33" s="5183"/>
      <c r="Y33" s="5178"/>
      <c r="Z33" s="5178"/>
      <c r="AA33" s="5178"/>
      <c r="AB33" s="5178"/>
      <c r="AC33" s="5178"/>
      <c r="AD33" s="5178"/>
    </row>
    <row r="34" spans="4:30" ht="114" hidden="1" customHeight="1" x14ac:dyDescent="0.55000000000000004">
      <c r="D34" s="5182" t="s">
        <v>1656</v>
      </c>
      <c r="E34" s="5273"/>
      <c r="F34" s="5183">
        <v>60.709963855421684</v>
      </c>
      <c r="G34" s="5183">
        <v>4.3401204819277126</v>
      </c>
      <c r="H34" s="5183">
        <v>2.8090361445783141</v>
      </c>
      <c r="J34" s="5182" t="s">
        <v>1656</v>
      </c>
      <c r="K34" s="5273"/>
      <c r="L34" s="5183">
        <v>62.315816326530602</v>
      </c>
      <c r="M34" s="5183">
        <v>2.6636734693877555</v>
      </c>
      <c r="N34" s="5183">
        <v>1.9604081632653059</v>
      </c>
      <c r="P34" s="5182" t="s">
        <v>1656</v>
      </c>
      <c r="Q34" s="5273"/>
      <c r="R34" s="5183">
        <v>51.75</v>
      </c>
      <c r="S34" s="5183">
        <v>6.94</v>
      </c>
      <c r="T34" s="5183">
        <v>3.05</v>
      </c>
      <c r="U34" s="5183">
        <v>1.75</v>
      </c>
      <c r="W34" s="5182" t="s">
        <v>1656</v>
      </c>
      <c r="X34" s="5183"/>
      <c r="Y34" s="5178"/>
      <c r="Z34" s="5178"/>
      <c r="AA34" s="5178"/>
      <c r="AB34" s="5178"/>
      <c r="AC34" s="5178"/>
      <c r="AD34" s="5178"/>
    </row>
    <row r="35" spans="4:30" ht="28.8" x14ac:dyDescent="0.55000000000000004">
      <c r="D35" s="5177" t="s">
        <v>1681</v>
      </c>
      <c r="E35" s="5268"/>
      <c r="F35" s="5195">
        <f>+AVERAGE(F23:F34)</f>
        <v>61.094215940188583</v>
      </c>
      <c r="G35" s="5195">
        <f>+AVERAGE(G23:G34)</f>
        <v>4.2562399407824527</v>
      </c>
      <c r="H35" s="5195">
        <f>+AVERAGE(H23:H34)</f>
        <v>2.4757712328543167</v>
      </c>
      <c r="J35" s="5177" t="s">
        <v>1681</v>
      </c>
      <c r="K35" s="5268"/>
      <c r="L35" s="5195">
        <f>+AVERAGE(L23:L34)</f>
        <v>62.338729601734038</v>
      </c>
      <c r="M35" s="5195">
        <f t="shared" ref="M35:N35" si="0">+AVERAGE(M23:M34)</f>
        <v>2.9378871620771925</v>
      </c>
      <c r="N35" s="5195">
        <f t="shared" si="0"/>
        <v>1.7415927265173989</v>
      </c>
      <c r="P35" s="5177" t="s">
        <v>1681</v>
      </c>
      <c r="Q35" s="5268"/>
      <c r="R35" s="5195">
        <f t="shared" ref="R35:U35" si="1">+AVERAGE(R23:R34)</f>
        <v>53.112500000000004</v>
      </c>
      <c r="S35" s="5195">
        <f t="shared" si="1"/>
        <v>6.2796666666666674</v>
      </c>
      <c r="T35" s="5195">
        <f t="shared" si="1"/>
        <v>2.6433333333333331</v>
      </c>
      <c r="U35" s="5195">
        <f t="shared" si="1"/>
        <v>1.7933333333333332</v>
      </c>
      <c r="W35" s="5177" t="s">
        <v>1681</v>
      </c>
      <c r="X35" s="5195">
        <v>63.409864864864851</v>
      </c>
      <c r="Y35" s="5195">
        <v>94.173066666666728</v>
      </c>
      <c r="Z35" s="5195">
        <v>0.70680000000000009</v>
      </c>
      <c r="AA35" s="5274">
        <v>222.89333333333335</v>
      </c>
      <c r="AB35" s="5195">
        <v>2.3660000000000001</v>
      </c>
      <c r="AC35" s="5195">
        <v>3.803066666666667</v>
      </c>
      <c r="AD35" s="5195">
        <v>22.167466666666673</v>
      </c>
    </row>
    <row r="36" spans="4:30" ht="6.75" customHeight="1" x14ac:dyDescent="0.3">
      <c r="I36" s="1675"/>
      <c r="O36" s="1675"/>
      <c r="W36" s="5178"/>
      <c r="X36" s="5178"/>
      <c r="Y36" s="5178"/>
      <c r="Z36" s="5178"/>
      <c r="AA36" s="5178"/>
      <c r="AB36" s="5178"/>
      <c r="AC36" s="5178"/>
      <c r="AD36" s="5178"/>
    </row>
    <row r="37" spans="4:30" ht="28.8" x14ac:dyDescent="0.55000000000000004">
      <c r="D37" s="5179" t="s">
        <v>1668</v>
      </c>
      <c r="F37" s="5181">
        <v>61.57</v>
      </c>
      <c r="G37" s="5181">
        <v>4.67</v>
      </c>
      <c r="H37" s="5181">
        <v>2.59</v>
      </c>
      <c r="I37" s="1675"/>
      <c r="J37" s="5179" t="s">
        <v>1668</v>
      </c>
      <c r="L37" s="5181">
        <v>62.47</v>
      </c>
      <c r="M37" s="5181">
        <v>3.84</v>
      </c>
      <c r="N37" s="5181">
        <v>2.13</v>
      </c>
      <c r="O37" s="1675"/>
      <c r="P37" s="5179" t="s">
        <v>1668</v>
      </c>
      <c r="R37" s="5181">
        <f>+[3]SINTER!D103</f>
        <v>55.430739802849317</v>
      </c>
      <c r="S37" s="5181">
        <f>+[3]SINTER!D105</f>
        <v>5.3691091749165931</v>
      </c>
      <c r="T37" s="5181">
        <f>+[3]SINTER!D106</f>
        <v>2.7277716029417967</v>
      </c>
      <c r="U37" s="5181">
        <f>+[3]SINTER!D109</f>
        <v>1.7221171729653546</v>
      </c>
      <c r="W37" s="5179"/>
      <c r="X37" s="5181"/>
      <c r="Y37" s="5181"/>
      <c r="Z37" s="5181"/>
      <c r="AA37" s="5181"/>
      <c r="AB37" s="5181"/>
      <c r="AC37" s="5181"/>
      <c r="AD37" s="5181"/>
    </row>
    <row r="38" spans="4:30" ht="114" hidden="1" customHeight="1" x14ac:dyDescent="0.55000000000000004">
      <c r="D38" s="5184" t="s">
        <v>1675</v>
      </c>
      <c r="E38" s="5275"/>
      <c r="F38" s="5185">
        <v>61.297225352112704</v>
      </c>
      <c r="G38" s="5185">
        <v>4.1054929577464776</v>
      </c>
      <c r="H38" s="5185">
        <v>2.1745070422535218</v>
      </c>
      <c r="I38" s="1675"/>
      <c r="J38" s="5184" t="s">
        <v>1675</v>
      </c>
      <c r="K38" s="5275"/>
      <c r="L38" s="5185">
        <v>61.974096774193548</v>
      </c>
      <c r="M38" s="5185">
        <v>3.3241935483870959</v>
      </c>
      <c r="N38" s="5185">
        <v>1.9058064516129034</v>
      </c>
      <c r="O38" s="1675"/>
      <c r="P38" s="5184" t="s">
        <v>1675</v>
      </c>
      <c r="Q38" s="5275"/>
      <c r="R38" s="5185">
        <v>53.9</v>
      </c>
      <c r="S38" s="5185">
        <v>6</v>
      </c>
      <c r="T38" s="5185">
        <v>2.5099999999999998</v>
      </c>
      <c r="U38" s="5185">
        <v>1.76</v>
      </c>
      <c r="W38" s="5184" t="s">
        <v>1675</v>
      </c>
      <c r="X38" s="5185"/>
      <c r="Y38" s="5178"/>
      <c r="Z38" s="5178"/>
      <c r="AA38" s="5178"/>
      <c r="AB38" s="5178"/>
      <c r="AC38" s="5178"/>
      <c r="AD38" s="5178"/>
    </row>
    <row r="39" spans="4:30" ht="114" hidden="1" customHeight="1" x14ac:dyDescent="0.55000000000000004">
      <c r="D39" s="5184" t="s">
        <v>1774</v>
      </c>
      <c r="E39" s="5275"/>
      <c r="F39" s="5185">
        <v>60.624448275862093</v>
      </c>
      <c r="G39" s="5185">
        <v>4.3388505747126436</v>
      </c>
      <c r="H39" s="5185">
        <v>3.0133333333333336</v>
      </c>
      <c r="I39" s="1675"/>
      <c r="J39" s="5184" t="s">
        <v>1774</v>
      </c>
      <c r="K39" s="5275"/>
      <c r="L39" s="5185">
        <v>62.292258620689672</v>
      </c>
      <c r="M39" s="5185">
        <v>2.7684482758620699</v>
      </c>
      <c r="N39" s="5185">
        <v>1.9418965517241378</v>
      </c>
      <c r="O39" s="1675"/>
      <c r="P39" s="5184" t="s">
        <v>1774</v>
      </c>
      <c r="Q39" s="5275"/>
      <c r="R39" s="5185">
        <v>54.71</v>
      </c>
      <c r="S39" s="5185">
        <v>5.6</v>
      </c>
      <c r="T39" s="5185">
        <v>2.5299999999999998</v>
      </c>
      <c r="U39" s="5185">
        <v>1.76</v>
      </c>
      <c r="W39" s="5184" t="s">
        <v>1774</v>
      </c>
      <c r="X39" s="5185"/>
      <c r="Y39" s="5178"/>
      <c r="Z39" s="5178"/>
      <c r="AA39" s="5178"/>
      <c r="AB39" s="5178"/>
      <c r="AC39" s="5178"/>
      <c r="AD39" s="5178"/>
    </row>
    <row r="40" spans="4:30" ht="114" hidden="1" customHeight="1" x14ac:dyDescent="0.55000000000000004">
      <c r="D40" s="5184" t="s">
        <v>1806</v>
      </c>
      <c r="E40" s="5275"/>
      <c r="F40" s="5185">
        <v>61.508841269841277</v>
      </c>
      <c r="G40" s="5185">
        <v>3.5650793650793644</v>
      </c>
      <c r="H40" s="5185">
        <v>2.4058730158730164</v>
      </c>
      <c r="I40" s="1675"/>
      <c r="J40" s="5184" t="s">
        <v>1806</v>
      </c>
      <c r="K40" s="5275"/>
      <c r="L40" s="5185">
        <v>62.426810810810807</v>
      </c>
      <c r="M40" s="5185">
        <v>2.7586486486486481</v>
      </c>
      <c r="N40" s="5185">
        <v>1.7997297297297299</v>
      </c>
      <c r="O40" s="1675"/>
      <c r="P40" s="5184" t="s">
        <v>1806</v>
      </c>
      <c r="Q40" s="5275"/>
      <c r="R40" s="5185">
        <v>55.77</v>
      </c>
      <c r="S40" s="5185">
        <v>5.04</v>
      </c>
      <c r="T40" s="5185">
        <v>2.65</v>
      </c>
      <c r="U40" s="5185">
        <v>1.79</v>
      </c>
      <c r="W40" s="5184" t="s">
        <v>1806</v>
      </c>
      <c r="X40" s="5185"/>
      <c r="Y40" s="5178"/>
      <c r="Z40" s="5178"/>
      <c r="AA40" s="5178"/>
      <c r="AB40" s="5178"/>
      <c r="AC40" s="5178"/>
      <c r="AD40" s="5178"/>
    </row>
    <row r="41" spans="4:30" ht="114" hidden="1" customHeight="1" x14ac:dyDescent="0.55000000000000004">
      <c r="D41" s="5184" t="s">
        <v>1819</v>
      </c>
      <c r="E41" s="5275"/>
      <c r="F41" s="5185">
        <v>61.76</v>
      </c>
      <c r="G41" s="5185">
        <v>3.52</v>
      </c>
      <c r="H41" s="5185">
        <v>2.09</v>
      </c>
      <c r="I41" s="1675"/>
      <c r="J41" s="5184" t="s">
        <v>1819</v>
      </c>
      <c r="K41" s="5275"/>
      <c r="L41" s="5185">
        <v>62.4</v>
      </c>
      <c r="M41" s="5185">
        <v>2.99</v>
      </c>
      <c r="N41" s="5185">
        <v>1.62</v>
      </c>
      <c r="O41" s="1675"/>
      <c r="P41" s="5184" t="s">
        <v>1819</v>
      </c>
      <c r="Q41" s="5275"/>
      <c r="R41" s="5185">
        <v>55.7</v>
      </c>
      <c r="S41" s="5185">
        <v>5.23</v>
      </c>
      <c r="T41" s="5185">
        <v>2.71</v>
      </c>
      <c r="U41" s="5185">
        <v>1.79</v>
      </c>
      <c r="W41" s="5184" t="s">
        <v>1819</v>
      </c>
      <c r="X41" s="5185"/>
      <c r="Y41" s="5178"/>
      <c r="Z41" s="5178"/>
      <c r="AA41" s="5178"/>
      <c r="AB41" s="5178"/>
      <c r="AC41" s="5178"/>
      <c r="AD41" s="5178"/>
    </row>
    <row r="42" spans="4:30" ht="114" hidden="1" customHeight="1" x14ac:dyDescent="0.55000000000000004">
      <c r="D42" s="5184" t="s">
        <v>1828</v>
      </c>
      <c r="E42" s="5275"/>
      <c r="F42" s="5185">
        <v>61.220569444444465</v>
      </c>
      <c r="G42" s="5185">
        <v>4.3161111111111099</v>
      </c>
      <c r="H42" s="5185">
        <v>2.3977777777777782</v>
      </c>
      <c r="I42" s="1675"/>
      <c r="J42" s="5184" t="s">
        <v>1828</v>
      </c>
      <c r="K42" s="5275"/>
      <c r="L42" s="5185">
        <v>62.312097560975616</v>
      </c>
      <c r="M42" s="5185">
        <v>3.2736585365853652</v>
      </c>
      <c r="N42" s="5185">
        <v>1.6480487804878043</v>
      </c>
      <c r="O42" s="1675"/>
      <c r="P42" s="5184" t="s">
        <v>1828</v>
      </c>
      <c r="Q42" s="5275"/>
      <c r="R42" s="5185">
        <v>55.53</v>
      </c>
      <c r="S42" s="5185">
        <v>5.43</v>
      </c>
      <c r="T42" s="5185">
        <v>2.5</v>
      </c>
      <c r="U42" s="5185">
        <v>1.76</v>
      </c>
      <c r="W42" s="5184" t="s">
        <v>1828</v>
      </c>
      <c r="X42" s="5185"/>
      <c r="Y42" s="5178"/>
      <c r="Z42" s="5178"/>
      <c r="AA42" s="5178"/>
      <c r="AB42" s="5178"/>
      <c r="AC42" s="5178"/>
      <c r="AD42" s="5178"/>
    </row>
    <row r="43" spans="4:30" ht="114" hidden="1" customHeight="1" x14ac:dyDescent="0.55000000000000004">
      <c r="D43" s="5184" t="s">
        <v>1838</v>
      </c>
      <c r="E43" s="5275"/>
      <c r="F43" s="5185">
        <v>60.76</v>
      </c>
      <c r="G43" s="5185">
        <v>4.8</v>
      </c>
      <c r="H43" s="5185">
        <v>2.64</v>
      </c>
      <c r="I43" s="1675"/>
      <c r="J43" s="5184" t="s">
        <v>1838</v>
      </c>
      <c r="K43" s="5275"/>
      <c r="L43" s="5185">
        <v>62.21</v>
      </c>
      <c r="M43" s="5185">
        <v>3.43</v>
      </c>
      <c r="N43" s="5185">
        <v>1.65</v>
      </c>
      <c r="O43" s="1675"/>
      <c r="P43" s="5184" t="s">
        <v>1838</v>
      </c>
      <c r="Q43" s="5275"/>
      <c r="R43" s="5185">
        <v>55.61</v>
      </c>
      <c r="S43" s="5185">
        <v>5.49</v>
      </c>
      <c r="T43" s="5185">
        <v>2.5299999999999998</v>
      </c>
      <c r="U43" s="5185">
        <v>1.76</v>
      </c>
      <c r="W43" s="5184" t="s">
        <v>1838</v>
      </c>
      <c r="X43" s="5185"/>
      <c r="Y43" s="5178"/>
      <c r="Z43" s="5178"/>
      <c r="AA43" s="5178"/>
      <c r="AB43" s="5178"/>
      <c r="AC43" s="5178"/>
      <c r="AD43" s="5178"/>
    </row>
    <row r="44" spans="4:30" ht="114" hidden="1" customHeight="1" x14ac:dyDescent="0.55000000000000004">
      <c r="D44" s="5184" t="s">
        <v>1849</v>
      </c>
      <c r="E44" s="5275"/>
      <c r="F44" s="5185">
        <v>60.77</v>
      </c>
      <c r="G44" s="5185">
        <v>5.14</v>
      </c>
      <c r="H44" s="5185">
        <v>2.27</v>
      </c>
      <c r="I44" s="1675"/>
      <c r="J44" s="5184" t="s">
        <v>1849</v>
      </c>
      <c r="K44" s="5275"/>
      <c r="L44" s="5185">
        <v>61.98</v>
      </c>
      <c r="M44" s="5185">
        <v>4.04</v>
      </c>
      <c r="N44" s="5185">
        <v>1.47</v>
      </c>
      <c r="O44" s="1675"/>
      <c r="P44" s="5184" t="s">
        <v>1849</v>
      </c>
      <c r="Q44" s="5275"/>
      <c r="R44" s="5185">
        <v>55.38</v>
      </c>
      <c r="S44" s="5185">
        <v>5.92</v>
      </c>
      <c r="T44" s="5185">
        <v>2.21</v>
      </c>
      <c r="U44" s="5185">
        <v>1.71</v>
      </c>
      <c r="W44" s="5184" t="s">
        <v>1849</v>
      </c>
      <c r="X44" s="5185"/>
      <c r="Y44" s="5178"/>
      <c r="Z44" s="5178"/>
      <c r="AA44" s="5178"/>
      <c r="AB44" s="5178"/>
      <c r="AC44" s="5178"/>
      <c r="AD44" s="5178"/>
    </row>
    <row r="45" spans="4:30" ht="114" hidden="1" customHeight="1" x14ac:dyDescent="0.55000000000000004">
      <c r="D45" s="5184" t="s">
        <v>1850</v>
      </c>
      <c r="E45" s="5275"/>
      <c r="F45" s="5185">
        <v>60.28</v>
      </c>
      <c r="G45" s="5185">
        <v>5.9</v>
      </c>
      <c r="H45" s="5185">
        <v>2.3199999999999998</v>
      </c>
      <c r="I45" s="1675"/>
      <c r="J45" s="5184" t="s">
        <v>1850</v>
      </c>
      <c r="K45" s="5275"/>
      <c r="L45" s="5185">
        <v>63.36</v>
      </c>
      <c r="M45" s="5185">
        <v>1.94</v>
      </c>
      <c r="N45" s="5185">
        <v>1.1599999999999999</v>
      </c>
      <c r="O45" s="1675"/>
      <c r="P45" s="5184" t="s">
        <v>1850</v>
      </c>
      <c r="Q45" s="5275"/>
      <c r="R45" s="5185">
        <v>55.14</v>
      </c>
      <c r="S45" s="5185">
        <v>6.21</v>
      </c>
      <c r="T45" s="5185">
        <v>1.86</v>
      </c>
      <c r="U45" s="5185">
        <v>1.65</v>
      </c>
      <c r="W45" s="5184" t="s">
        <v>1850</v>
      </c>
      <c r="X45" s="5185"/>
      <c r="Y45" s="5178"/>
      <c r="Z45" s="5178"/>
      <c r="AA45" s="5178"/>
      <c r="AB45" s="5178"/>
      <c r="AC45" s="5178"/>
      <c r="AD45" s="5178"/>
    </row>
    <row r="46" spans="4:30" ht="114" hidden="1" customHeight="1" x14ac:dyDescent="0.55000000000000004">
      <c r="D46" s="5184" t="s">
        <v>1871</v>
      </c>
      <c r="E46" s="5275"/>
      <c r="F46" s="5185">
        <v>60.800194029850751</v>
      </c>
      <c r="G46" s="5185">
        <v>5.4104477611940291</v>
      </c>
      <c r="H46" s="5185">
        <v>2.5916417910447751</v>
      </c>
      <c r="I46" s="1675"/>
      <c r="J46" s="5184" t="s">
        <v>1871</v>
      </c>
      <c r="K46" s="5275"/>
      <c r="L46" s="5185">
        <v>62.609470588235297</v>
      </c>
      <c r="M46" s="5185">
        <v>3.2664705882352947</v>
      </c>
      <c r="N46" s="5185">
        <v>1.8623529411764705</v>
      </c>
      <c r="O46" s="1675"/>
      <c r="P46" s="5184" t="s">
        <v>1871</v>
      </c>
      <c r="Q46" s="5275"/>
      <c r="R46" s="5185">
        <v>55.163473084886107</v>
      </c>
      <c r="S46" s="5185">
        <v>6.0949327122153214</v>
      </c>
      <c r="T46" s="5185">
        <v>2.0597308488612844</v>
      </c>
      <c r="U46" s="5185">
        <v>1.6836904761904761</v>
      </c>
      <c r="W46" s="5184" t="s">
        <v>1871</v>
      </c>
      <c r="X46" s="5185"/>
      <c r="Y46" s="5178"/>
      <c r="Z46" s="5178"/>
      <c r="AA46" s="5178"/>
      <c r="AB46" s="5178"/>
      <c r="AC46" s="5178"/>
      <c r="AD46" s="5178"/>
    </row>
    <row r="47" spans="4:30" ht="114" hidden="1" customHeight="1" x14ac:dyDescent="0.55000000000000004">
      <c r="D47" s="5184" t="s">
        <v>1889</v>
      </c>
      <c r="E47" s="5275"/>
      <c r="F47" s="5185">
        <v>61.573957142857161</v>
      </c>
      <c r="G47" s="5185">
        <v>4.7048571428571444</v>
      </c>
      <c r="H47" s="5185">
        <v>2.452285714285714</v>
      </c>
      <c r="I47" s="1675"/>
      <c r="J47" s="5184" t="s">
        <v>1889</v>
      </c>
      <c r="K47" s="5275"/>
      <c r="L47" s="5185">
        <v>62.925323529411756</v>
      </c>
      <c r="M47" s="5185">
        <v>3.1526470588235291</v>
      </c>
      <c r="N47" s="5185">
        <v>1.9364705882352942</v>
      </c>
      <c r="O47" s="1675"/>
      <c r="P47" s="5184" t="s">
        <v>1889</v>
      </c>
      <c r="Q47" s="5275"/>
      <c r="R47" s="5185">
        <v>55.2</v>
      </c>
      <c r="S47" s="5185">
        <v>6.21</v>
      </c>
      <c r="T47" s="5185">
        <v>2.08</v>
      </c>
      <c r="U47" s="5185">
        <v>1.67</v>
      </c>
      <c r="W47" s="5184" t="s">
        <v>1889</v>
      </c>
      <c r="X47" s="5185"/>
      <c r="Y47" s="5178"/>
      <c r="Z47" s="5178"/>
      <c r="AA47" s="5178"/>
      <c r="AB47" s="5178"/>
      <c r="AC47" s="5178"/>
      <c r="AD47" s="5178"/>
    </row>
    <row r="48" spans="4:30" ht="114" hidden="1" customHeight="1" x14ac:dyDescent="0.55000000000000004">
      <c r="D48" s="5184" t="s">
        <v>1893</v>
      </c>
      <c r="E48" s="5275"/>
      <c r="F48" s="5185">
        <v>61.4</v>
      </c>
      <c r="G48" s="5185">
        <v>4.8082857142857129</v>
      </c>
      <c r="H48" s="5185">
        <v>2.6940000000000004</v>
      </c>
      <c r="I48" s="1675"/>
      <c r="J48" s="5184" t="s">
        <v>1893</v>
      </c>
      <c r="K48" s="5275"/>
      <c r="L48" s="5185">
        <v>62.508307692307682</v>
      </c>
      <c r="M48" s="5185">
        <v>3.5346153846153849</v>
      </c>
      <c r="N48" s="5185">
        <v>2.2957692307692303</v>
      </c>
      <c r="O48" s="1675"/>
      <c r="P48" s="5184" t="s">
        <v>1893</v>
      </c>
      <c r="Q48" s="5275"/>
      <c r="R48" s="5185">
        <v>56.4</v>
      </c>
      <c r="S48" s="5185">
        <v>5.55</v>
      </c>
      <c r="T48" s="5185">
        <v>2.15</v>
      </c>
      <c r="U48" s="5185">
        <v>1.68</v>
      </c>
      <c r="W48" s="5184" t="s">
        <v>1893</v>
      </c>
      <c r="X48" s="5185"/>
      <c r="Y48" s="5178"/>
      <c r="Z48" s="5178"/>
      <c r="AA48" s="5178"/>
      <c r="AB48" s="5178"/>
      <c r="AC48" s="5178"/>
      <c r="AD48" s="5178"/>
    </row>
    <row r="49" spans="4:30" ht="114" hidden="1" customHeight="1" x14ac:dyDescent="0.55000000000000004">
      <c r="D49" s="5184" t="s">
        <v>1905</v>
      </c>
      <c r="E49" s="5275"/>
      <c r="F49" s="5185">
        <v>61.197309278350545</v>
      </c>
      <c r="G49" s="5185">
        <v>4.8077319587628855</v>
      </c>
      <c r="H49" s="5185">
        <v>3.0503092783505159</v>
      </c>
      <c r="I49" s="1675"/>
      <c r="J49" s="5184" t="s">
        <v>1905</v>
      </c>
      <c r="K49" s="5275"/>
      <c r="L49" s="5185">
        <v>62.936629032258054</v>
      </c>
      <c r="M49" s="5185">
        <v>3.0269354838709677</v>
      </c>
      <c r="N49" s="5185">
        <v>2.02</v>
      </c>
      <c r="O49" s="1675"/>
      <c r="P49" s="5184" t="s">
        <v>1905</v>
      </c>
      <c r="Q49" s="5275"/>
      <c r="R49" s="5185">
        <v>55.72</v>
      </c>
      <c r="S49" s="5185">
        <v>5.85</v>
      </c>
      <c r="T49" s="5185">
        <v>2.48</v>
      </c>
      <c r="U49" s="5185">
        <v>1.66</v>
      </c>
      <c r="W49" s="5184" t="s">
        <v>1905</v>
      </c>
      <c r="X49" s="5185"/>
      <c r="Y49" s="5178"/>
      <c r="Z49" s="5178"/>
      <c r="AA49" s="5178"/>
      <c r="AB49" s="5178"/>
      <c r="AC49" s="5178"/>
      <c r="AD49" s="5178"/>
    </row>
    <row r="50" spans="4:30" ht="28.8" x14ac:dyDescent="0.55000000000000004">
      <c r="D50" s="5177" t="s">
        <v>2004</v>
      </c>
      <c r="E50" s="5268"/>
      <c r="F50" s="5195">
        <f>AVERAGE(F38:F49)</f>
        <v>61.099378732776579</v>
      </c>
      <c r="G50" s="5195">
        <f t="shared" ref="G50:H50" si="2">AVERAGE(G38:G49)</f>
        <v>4.6180713821457813</v>
      </c>
      <c r="H50" s="5195">
        <f t="shared" si="2"/>
        <v>2.5083106627432215</v>
      </c>
      <c r="J50" s="5177" t="s">
        <v>2004</v>
      </c>
      <c r="K50" s="5268"/>
      <c r="L50" s="5195">
        <f>AVERAGE(L38:L49)</f>
        <v>62.49458288407353</v>
      </c>
      <c r="M50" s="5195">
        <f t="shared" ref="M50:N50" si="3">AVERAGE(M38:M49)</f>
        <v>3.1254681270856959</v>
      </c>
      <c r="N50" s="5195">
        <f t="shared" si="3"/>
        <v>1.7758395228112978</v>
      </c>
      <c r="P50" s="5177" t="s">
        <v>2004</v>
      </c>
      <c r="Q50" s="5268"/>
      <c r="R50" s="5195">
        <v>55.364096471484046</v>
      </c>
      <c r="S50" s="5195">
        <v>5.691699348023473</v>
      </c>
      <c r="T50" s="5195">
        <v>2.3946434167015349</v>
      </c>
      <c r="U50" s="5195">
        <v>1.7271057079087773</v>
      </c>
      <c r="W50" s="5177" t="s">
        <v>2004</v>
      </c>
      <c r="X50" s="5195">
        <v>63.88831578947368</v>
      </c>
      <c r="Y50" s="5195">
        <v>96.467894736842069</v>
      </c>
      <c r="Z50" s="5195">
        <v>0.82434210526315799</v>
      </c>
      <c r="AA50" s="5274">
        <v>221.875</v>
      </c>
      <c r="AB50" s="5195">
        <v>1.3349342105263151</v>
      </c>
      <c r="AC50" s="5195">
        <v>4.2319736842105282</v>
      </c>
      <c r="AD50" s="5195">
        <v>20.966249999999992</v>
      </c>
    </row>
    <row r="51" spans="4:30" ht="10.5" customHeight="1" x14ac:dyDescent="0.3">
      <c r="I51" s="1675"/>
      <c r="O51" s="1675"/>
      <c r="W51" s="5178"/>
      <c r="X51" s="5178"/>
      <c r="Y51" s="5178"/>
      <c r="Z51" s="5178"/>
      <c r="AA51" s="5178"/>
      <c r="AB51" s="5178"/>
      <c r="AC51" s="5178"/>
      <c r="AD51" s="5178"/>
    </row>
    <row r="52" spans="4:30" ht="10.5" customHeight="1" x14ac:dyDescent="0.3">
      <c r="I52" s="1675"/>
      <c r="O52" s="1675"/>
      <c r="W52" s="5178"/>
      <c r="X52" s="5178"/>
      <c r="Y52" s="5178"/>
      <c r="Z52" s="5178"/>
      <c r="AA52" s="5178"/>
      <c r="AB52" s="5178"/>
      <c r="AC52" s="5178"/>
      <c r="AD52" s="5178"/>
    </row>
    <row r="53" spans="4:30" ht="28.8" x14ac:dyDescent="0.55000000000000004">
      <c r="D53" s="5184" t="s">
        <v>2003</v>
      </c>
      <c r="E53" s="5275"/>
      <c r="F53" s="5185">
        <v>61.33</v>
      </c>
      <c r="G53" s="5185">
        <v>4.9000000000000004</v>
      </c>
      <c r="H53" s="5185">
        <v>2.75</v>
      </c>
      <c r="I53" s="1675"/>
      <c r="J53" s="5184" t="s">
        <v>2003</v>
      </c>
      <c r="K53" s="5275"/>
      <c r="L53" s="5185">
        <v>62.97</v>
      </c>
      <c r="M53" s="5185">
        <v>3.26</v>
      </c>
      <c r="N53" s="5185">
        <v>1.76</v>
      </c>
      <c r="O53" s="1675"/>
      <c r="P53" s="5184" t="s">
        <v>2003</v>
      </c>
      <c r="Q53" s="5275"/>
      <c r="R53" s="5185">
        <v>57.06</v>
      </c>
      <c r="S53" s="5185">
        <v>5.18</v>
      </c>
      <c r="T53" s="5185">
        <v>2.21</v>
      </c>
      <c r="U53" s="5185">
        <v>1.67</v>
      </c>
      <c r="W53" s="5184" t="s">
        <v>2003</v>
      </c>
      <c r="X53" s="5185">
        <v>63.366999999999997</v>
      </c>
      <c r="Y53" s="5185">
        <v>98.02000000000001</v>
      </c>
      <c r="Z53" s="5185">
        <v>0.71799999999999997</v>
      </c>
      <c r="AA53" s="5276">
        <v>221.8</v>
      </c>
      <c r="AB53" s="5185">
        <v>1.302</v>
      </c>
      <c r="AC53" s="5185">
        <v>4.266</v>
      </c>
      <c r="AD53" s="5185">
        <v>20.634000000000004</v>
      </c>
    </row>
    <row r="54" spans="4:30" ht="28.8" x14ac:dyDescent="0.55000000000000004">
      <c r="D54" s="5184" t="s">
        <v>2029</v>
      </c>
      <c r="E54" s="5275"/>
      <c r="F54" s="5185">
        <v>62.17</v>
      </c>
      <c r="G54" s="5185">
        <v>4.08</v>
      </c>
      <c r="H54" s="5185">
        <v>2.25</v>
      </c>
      <c r="I54" s="1675"/>
      <c r="J54" s="5184" t="s">
        <v>2029</v>
      </c>
      <c r="K54" s="5275"/>
      <c r="L54" s="5185">
        <v>63.05</v>
      </c>
      <c r="M54" s="5185">
        <v>3.07</v>
      </c>
      <c r="N54" s="5185">
        <v>1.79</v>
      </c>
      <c r="O54" s="1675"/>
      <c r="P54" s="5184" t="s">
        <v>2029</v>
      </c>
      <c r="Q54" s="5275"/>
      <c r="R54" s="5185">
        <v>56.88</v>
      </c>
      <c r="S54" s="5185">
        <v>5.22</v>
      </c>
      <c r="T54" s="5185">
        <v>2.36</v>
      </c>
      <c r="U54" s="5185">
        <v>1.67</v>
      </c>
      <c r="W54" s="5184" t="s">
        <v>2029</v>
      </c>
      <c r="X54" s="5185">
        <v>63.336250000000007</v>
      </c>
      <c r="Y54" s="5185">
        <v>97.935000000000002</v>
      </c>
      <c r="Z54" s="5185">
        <v>0.67125000000000001</v>
      </c>
      <c r="AA54" s="5276">
        <v>221.6875</v>
      </c>
      <c r="AB54" s="5185">
        <v>1.3712500000000001</v>
      </c>
      <c r="AC54" s="5185">
        <v>4.6375000000000002</v>
      </c>
      <c r="AD54" s="5185">
        <v>20.680000000000003</v>
      </c>
    </row>
    <row r="55" spans="4:30" ht="28.8" x14ac:dyDescent="0.55000000000000004">
      <c r="D55" s="5184" t="s">
        <v>2064</v>
      </c>
      <c r="E55" s="5275"/>
      <c r="F55" s="5185">
        <v>62.248035714285727</v>
      </c>
      <c r="G55" s="5185">
        <v>4.3788095238095242</v>
      </c>
      <c r="H55" s="5185">
        <v>1.8026190476190478</v>
      </c>
      <c r="I55" s="1675"/>
      <c r="J55" s="5184" t="s">
        <v>2064</v>
      </c>
      <c r="K55" s="5275"/>
      <c r="L55" s="5185">
        <v>63.086674418604645</v>
      </c>
      <c r="M55" s="5185">
        <v>3.4095348837209305</v>
      </c>
      <c r="N55" s="5185">
        <v>1.40139534883721</v>
      </c>
      <c r="O55" s="1675"/>
      <c r="P55" s="5184" t="s">
        <v>2064</v>
      </c>
      <c r="Q55" s="5275"/>
      <c r="R55" s="5185">
        <v>56.59</v>
      </c>
      <c r="S55" s="5185">
        <v>5.53</v>
      </c>
      <c r="T55" s="5185">
        <v>2.1800000000000002</v>
      </c>
      <c r="U55" s="5185">
        <v>1.67</v>
      </c>
      <c r="W55" s="5184" t="s">
        <v>2064</v>
      </c>
      <c r="X55" s="5185">
        <v>63.178235294117648</v>
      </c>
      <c r="Y55" s="5185">
        <v>97.392941176470586</v>
      </c>
      <c r="Z55" s="5185">
        <v>0.79882352941176482</v>
      </c>
      <c r="AA55" s="5276">
        <v>222.23529411764707</v>
      </c>
      <c r="AB55" s="5185">
        <v>1.3947058823529412</v>
      </c>
      <c r="AC55" s="5185">
        <v>4.5182352941176473</v>
      </c>
      <c r="AD55" s="5185">
        <v>19.970588235294112</v>
      </c>
    </row>
    <row r="56" spans="4:30" ht="28.8" x14ac:dyDescent="0.55000000000000004">
      <c r="D56" s="5184" t="s">
        <v>2076</v>
      </c>
      <c r="E56" s="5275"/>
      <c r="F56" s="5185">
        <v>61.9</v>
      </c>
      <c r="G56" s="5185">
        <v>4.83</v>
      </c>
      <c r="H56" s="5185">
        <v>1.94</v>
      </c>
      <c r="I56" s="1675"/>
      <c r="J56" s="5184" t="s">
        <v>2076</v>
      </c>
      <c r="K56" s="5275"/>
      <c r="L56" s="5185">
        <v>62.5</v>
      </c>
      <c r="M56" s="5185">
        <v>4.16</v>
      </c>
      <c r="N56" s="5185">
        <v>1.59</v>
      </c>
      <c r="O56" s="1675"/>
      <c r="P56" s="5184" t="s">
        <v>2076</v>
      </c>
      <c r="Q56" s="5275"/>
      <c r="R56" s="5185">
        <v>55.77</v>
      </c>
      <c r="S56" s="5185">
        <v>5.97</v>
      </c>
      <c r="T56" s="5185">
        <v>2.06</v>
      </c>
      <c r="U56" s="5185">
        <v>1.68</v>
      </c>
      <c r="W56" s="5184" t="s">
        <v>2076</v>
      </c>
      <c r="X56" s="5185">
        <v>63.954999999999998</v>
      </c>
      <c r="Y56" s="5185">
        <v>92.20750000000001</v>
      </c>
      <c r="Z56" s="5185">
        <v>0.82062499999999994</v>
      </c>
      <c r="AA56" s="5276">
        <v>221.6875</v>
      </c>
      <c r="AB56" s="5185">
        <v>1.5856249999999998</v>
      </c>
      <c r="AC56" s="5185">
        <v>4.5562499999999995</v>
      </c>
      <c r="AD56" s="5185">
        <v>20.580625000000001</v>
      </c>
    </row>
    <row r="57" spans="4:30" ht="28.8" x14ac:dyDescent="0.55000000000000004">
      <c r="D57" s="5184" t="s">
        <v>2107</v>
      </c>
      <c r="E57" s="5275"/>
      <c r="F57" s="5185">
        <v>62.336177215189885</v>
      </c>
      <c r="G57" s="5185">
        <v>4.4302531645569596</v>
      </c>
      <c r="H57" s="5185">
        <v>1.7729113924050632</v>
      </c>
      <c r="I57" s="1675"/>
      <c r="J57" s="5184" t="s">
        <v>2107</v>
      </c>
      <c r="K57" s="5275"/>
      <c r="L57" s="5185">
        <v>63.167023255813973</v>
      </c>
      <c r="M57" s="5185">
        <v>3.5416279069767445</v>
      </c>
      <c r="N57" s="5185">
        <v>1.35</v>
      </c>
      <c r="O57" s="1675"/>
      <c r="P57" s="5184" t="s">
        <v>2107</v>
      </c>
      <c r="Q57" s="5275"/>
      <c r="R57" s="5185">
        <v>56.09</v>
      </c>
      <c r="S57" s="5185">
        <v>5.79</v>
      </c>
      <c r="T57" s="5185">
        <v>2.0299999999999998</v>
      </c>
      <c r="U57" s="5185">
        <v>1.66</v>
      </c>
      <c r="W57" s="5184" t="s">
        <v>2107</v>
      </c>
      <c r="X57" s="5185">
        <v>63.846666666666678</v>
      </c>
      <c r="Y57" s="5185">
        <v>98.188571428571407</v>
      </c>
      <c r="Z57" s="5185">
        <v>0.80666666666666653</v>
      </c>
      <c r="AA57" s="5276">
        <v>222.1904761904762</v>
      </c>
      <c r="AB57" s="5185">
        <v>1.52</v>
      </c>
      <c r="AC57" s="5185">
        <v>4.539523809523808</v>
      </c>
      <c r="AD57" s="5185">
        <v>20.658095238095243</v>
      </c>
    </row>
    <row r="58" spans="4:30" ht="28.8" x14ac:dyDescent="0.55000000000000004">
      <c r="D58" s="5184" t="s">
        <v>2132</v>
      </c>
      <c r="E58" s="5275"/>
      <c r="F58" s="5185">
        <v>62.11</v>
      </c>
      <c r="G58" s="5185">
        <v>4.82</v>
      </c>
      <c r="H58" s="5185">
        <v>1.83</v>
      </c>
      <c r="I58" s="1675"/>
      <c r="J58" s="5184" t="s">
        <v>2132</v>
      </c>
      <c r="K58" s="5275"/>
      <c r="L58" s="5185">
        <v>62.72</v>
      </c>
      <c r="M58" s="5185">
        <v>4.03</v>
      </c>
      <c r="N58" s="5185">
        <v>1.65</v>
      </c>
      <c r="O58" s="1675"/>
      <c r="P58" s="5184" t="s">
        <v>2132</v>
      </c>
      <c r="Q58" s="5275"/>
      <c r="R58" s="5185">
        <v>55.81</v>
      </c>
      <c r="S58" s="5185">
        <v>6.16</v>
      </c>
      <c r="T58" s="5185">
        <v>2.06</v>
      </c>
      <c r="U58" s="5185">
        <v>1.65</v>
      </c>
      <c r="W58" s="5184" t="s">
        <v>2132</v>
      </c>
      <c r="X58" s="5185">
        <v>63.853076923076927</v>
      </c>
      <c r="Y58" s="5185">
        <v>97.533076923076905</v>
      </c>
      <c r="Z58" s="5185">
        <v>0.88615384615384607</v>
      </c>
      <c r="AA58" s="5276">
        <v>222.69230769230768</v>
      </c>
      <c r="AB58" s="5185">
        <v>1.513076923076923</v>
      </c>
      <c r="AC58" s="5185">
        <v>4.5823076923076931</v>
      </c>
      <c r="AD58" s="5185">
        <v>20.495384615384616</v>
      </c>
    </row>
    <row r="59" spans="4:30" ht="28.8" x14ac:dyDescent="0.55000000000000004">
      <c r="D59" s="5184" t="s">
        <v>2136</v>
      </c>
      <c r="E59" s="5275"/>
      <c r="F59" s="5185">
        <v>61.59</v>
      </c>
      <c r="G59" s="5185">
        <v>5.0599999999999996</v>
      </c>
      <c r="H59" s="5185">
        <v>2.35</v>
      </c>
      <c r="I59" s="1675"/>
      <c r="J59" s="5184" t="s">
        <v>2136</v>
      </c>
      <c r="K59" s="5275"/>
      <c r="L59" s="5185">
        <v>62.71</v>
      </c>
      <c r="M59" s="5185">
        <v>4</v>
      </c>
      <c r="N59" s="5185">
        <v>1.7</v>
      </c>
      <c r="O59" s="1675"/>
      <c r="P59" s="5184" t="s">
        <v>2136</v>
      </c>
      <c r="Q59" s="5275"/>
      <c r="R59" s="5185">
        <v>55.81</v>
      </c>
      <c r="S59" s="5185">
        <v>6.75</v>
      </c>
      <c r="T59" s="5185">
        <v>2.13</v>
      </c>
      <c r="U59" s="5185">
        <v>1.65</v>
      </c>
      <c r="W59" s="5184" t="s">
        <v>2136</v>
      </c>
      <c r="X59" s="5185">
        <v>63.32866666666667</v>
      </c>
      <c r="Y59" s="5185">
        <v>97.765999999999991</v>
      </c>
      <c r="Z59" s="5185">
        <v>0.79199999999999982</v>
      </c>
      <c r="AA59" s="5276">
        <v>222.46666666666667</v>
      </c>
      <c r="AB59" s="5185">
        <v>1.774</v>
      </c>
      <c r="AC59" s="5185">
        <v>4.352666666666666</v>
      </c>
      <c r="AD59" s="5185">
        <v>20.649333333333335</v>
      </c>
    </row>
    <row r="60" spans="4:30" ht="28.8" x14ac:dyDescent="0.55000000000000004">
      <c r="D60" s="5184" t="s">
        <v>2249</v>
      </c>
      <c r="E60" s="5275"/>
      <c r="F60" s="5185">
        <v>61.53716129032258</v>
      </c>
      <c r="G60" s="5185">
        <v>4.8370967741935491</v>
      </c>
      <c r="H60" s="5185">
        <v>2.6507258064516135</v>
      </c>
      <c r="I60" s="1675"/>
      <c r="J60" s="5184" t="s">
        <v>2249</v>
      </c>
      <c r="K60" s="5275"/>
      <c r="L60" s="5185">
        <v>63.103594594594576</v>
      </c>
      <c r="M60" s="5185">
        <v>3.1154054054054052</v>
      </c>
      <c r="N60" s="5185">
        <v>1.6935135135135133</v>
      </c>
      <c r="O60" s="1675"/>
      <c r="P60" s="5184" t="s">
        <v>2249</v>
      </c>
      <c r="Q60" s="5275"/>
      <c r="R60" s="5185">
        <v>55.81</v>
      </c>
      <c r="S60" s="5185">
        <v>6.53</v>
      </c>
      <c r="T60" s="5185">
        <v>2.48</v>
      </c>
      <c r="U60" s="5185">
        <v>1.65</v>
      </c>
      <c r="W60" s="5184" t="s">
        <v>2249</v>
      </c>
      <c r="X60" s="5185">
        <v>62.823333333333338</v>
      </c>
      <c r="Y60" s="5185">
        <v>97.611333333333334</v>
      </c>
      <c r="Z60" s="5185">
        <v>0.78933333333333333</v>
      </c>
      <c r="AA60" s="5276">
        <v>221.86666666666667</v>
      </c>
      <c r="AB60" s="5185">
        <v>1.7860000000000003</v>
      </c>
      <c r="AC60" s="5185">
        <v>4.3860000000000001</v>
      </c>
      <c r="AD60" s="5185">
        <v>20.500666666666671</v>
      </c>
    </row>
    <row r="61" spans="4:30" ht="28.5" customHeight="1" x14ac:dyDescent="0.55000000000000004">
      <c r="D61" s="5184" t="s">
        <v>2270</v>
      </c>
      <c r="E61" s="5275"/>
      <c r="F61" s="5185">
        <v>61.02</v>
      </c>
      <c r="G61" s="5185">
        <v>5.04</v>
      </c>
      <c r="H61" s="5185">
        <v>3.16</v>
      </c>
      <c r="I61" s="1675"/>
      <c r="J61" s="5184" t="s">
        <v>2270</v>
      </c>
      <c r="K61" s="5275"/>
      <c r="L61" s="5185">
        <v>62.52</v>
      </c>
      <c r="M61" s="5185">
        <v>3.47</v>
      </c>
      <c r="N61" s="5185">
        <v>2.35</v>
      </c>
      <c r="O61" s="1675"/>
      <c r="P61" s="5184" t="s">
        <v>2270</v>
      </c>
      <c r="Q61" s="5275"/>
      <c r="R61" s="5185">
        <v>53.71</v>
      </c>
      <c r="S61" s="5185">
        <v>6.78</v>
      </c>
      <c r="T61" s="5185">
        <v>2.86</v>
      </c>
      <c r="U61" s="5185">
        <v>1.64</v>
      </c>
      <c r="W61" s="5184" t="s">
        <v>2270</v>
      </c>
      <c r="X61" s="5185">
        <v>62.42</v>
      </c>
      <c r="Y61" s="5185">
        <v>97.7</v>
      </c>
      <c r="Z61" s="5185">
        <v>0.79</v>
      </c>
      <c r="AA61" s="5298">
        <v>222</v>
      </c>
      <c r="AB61" s="5185">
        <v>1.73</v>
      </c>
      <c r="AC61" s="5185">
        <v>4.25</v>
      </c>
      <c r="AD61" s="5185">
        <v>20.6</v>
      </c>
    </row>
    <row r="62" spans="4:30" ht="28.5" customHeight="1" x14ac:dyDescent="0.55000000000000004">
      <c r="D62" s="5184" t="s">
        <v>2310</v>
      </c>
      <c r="E62" s="5275"/>
      <c r="F62" s="5185">
        <v>61.440828571428575</v>
      </c>
      <c r="G62" s="5185">
        <v>4.7460000000000004</v>
      </c>
      <c r="H62" s="5185">
        <v>2.8357142857142867</v>
      </c>
      <c r="I62" s="1675"/>
      <c r="J62" s="5184" t="s">
        <v>2310</v>
      </c>
      <c r="K62" s="5275"/>
      <c r="L62" s="5185">
        <v>62.606999999999992</v>
      </c>
      <c r="M62" s="5185">
        <v>3.4915384615384628</v>
      </c>
      <c r="N62" s="5185">
        <v>2.253076923076923</v>
      </c>
      <c r="O62" s="1675"/>
      <c r="P62" s="5184" t="s">
        <v>2310</v>
      </c>
      <c r="Q62" s="5275"/>
      <c r="R62" s="5185">
        <v>54.17</v>
      </c>
      <c r="S62" s="5185">
        <v>6.42</v>
      </c>
      <c r="T62" s="5185">
        <v>2.77</v>
      </c>
      <c r="U62" s="5185">
        <v>1.68</v>
      </c>
      <c r="W62" s="5184" t="s">
        <v>2310</v>
      </c>
      <c r="X62" s="5185">
        <v>62.94</v>
      </c>
      <c r="Y62" s="5185">
        <v>97.16</v>
      </c>
      <c r="Z62" s="5185">
        <v>0.79</v>
      </c>
      <c r="AA62" s="5298">
        <v>222</v>
      </c>
      <c r="AB62" s="5185">
        <v>1.68</v>
      </c>
      <c r="AC62" s="5185">
        <v>4.4400000000000004</v>
      </c>
      <c r="AD62" s="5185">
        <v>20.48</v>
      </c>
    </row>
    <row r="63" spans="4:30" ht="28.5" customHeight="1" x14ac:dyDescent="0.55000000000000004">
      <c r="D63" s="5184" t="s">
        <v>2325</v>
      </c>
      <c r="E63" s="5275"/>
      <c r="F63" s="5185">
        <v>61.577289855072443</v>
      </c>
      <c r="G63" s="5185">
        <v>4.7105797101449278</v>
      </c>
      <c r="H63" s="5185">
        <v>2.623188405797102</v>
      </c>
      <c r="I63" s="1675"/>
      <c r="J63" s="5184" t="s">
        <v>2325</v>
      </c>
      <c r="K63" s="5275"/>
      <c r="L63" s="5185">
        <v>62.828891304347806</v>
      </c>
      <c r="M63" s="5185">
        <v>3.3573913043478258</v>
      </c>
      <c r="N63" s="5185">
        <v>1.9639130434782603</v>
      </c>
      <c r="O63" s="1675"/>
      <c r="P63" s="5184" t="s">
        <v>2325</v>
      </c>
      <c r="Q63" s="5275"/>
      <c r="R63" s="5185">
        <v>55.25</v>
      </c>
      <c r="S63" s="5185">
        <v>6.1</v>
      </c>
      <c r="T63" s="5185">
        <v>2.5</v>
      </c>
      <c r="U63" s="5185">
        <v>1.65</v>
      </c>
      <c r="W63" s="5184" t="s">
        <v>2325</v>
      </c>
      <c r="X63" s="5185">
        <v>63.323571428571434</v>
      </c>
      <c r="Y63" s="5185">
        <v>97.559999999999988</v>
      </c>
      <c r="Z63" s="5185">
        <v>0.78999999999999992</v>
      </c>
      <c r="AA63" s="5298">
        <v>222.28571428571428</v>
      </c>
      <c r="AB63" s="5185">
        <v>1.5185714285714285</v>
      </c>
      <c r="AC63" s="5185">
        <v>4.4550000000000001</v>
      </c>
      <c r="AD63" s="5185">
        <v>20.580714285714286</v>
      </c>
    </row>
    <row r="64" spans="4:30" ht="28.5" customHeight="1" x14ac:dyDescent="0.55000000000000004">
      <c r="D64" s="5184" t="s">
        <v>2346</v>
      </c>
      <c r="E64" s="5275"/>
      <c r="F64" s="5185">
        <v>61.330570666666667</v>
      </c>
      <c r="G64" s="5185">
        <v>4.6728000000000005</v>
      </c>
      <c r="H64" s="5185">
        <v>2.9284000000000012</v>
      </c>
      <c r="I64" s="1675"/>
      <c r="J64" s="5184" t="s">
        <v>2346</v>
      </c>
      <c r="K64" s="5275"/>
      <c r="L64" s="5185">
        <v>62.996566037735839</v>
      </c>
      <c r="M64" s="5185">
        <v>2.8333962264150947</v>
      </c>
      <c r="N64" s="5185">
        <v>2.1915094339622647</v>
      </c>
      <c r="O64" s="1675"/>
      <c r="P64" s="5184" t="s">
        <v>2346</v>
      </c>
      <c r="Q64" s="5275"/>
      <c r="R64" s="5185">
        <v>55.76</v>
      </c>
      <c r="S64" s="5185">
        <v>5.77</v>
      </c>
      <c r="T64" s="5185">
        <v>2.71</v>
      </c>
      <c r="U64" s="5185">
        <v>1.64</v>
      </c>
      <c r="W64" s="5184" t="s">
        <v>2346</v>
      </c>
      <c r="X64" s="5185">
        <v>62.881333333333338</v>
      </c>
      <c r="Y64" s="5185">
        <v>97.48066666666665</v>
      </c>
      <c r="Z64" s="5185">
        <v>0.8819999999999999</v>
      </c>
      <c r="AA64" s="5298">
        <v>222.06666666666666</v>
      </c>
      <c r="AB64" s="5185">
        <v>1.7353333333333334</v>
      </c>
      <c r="AC64" s="5185">
        <v>4.280666666666666</v>
      </c>
      <c r="AD64" s="5185">
        <v>20.545333333333335</v>
      </c>
    </row>
    <row r="65" spans="4:30" ht="28.8" x14ac:dyDescent="0.55000000000000004">
      <c r="D65" s="5186" t="s">
        <v>1469</v>
      </c>
      <c r="E65" s="5277"/>
      <c r="F65" s="5187">
        <f>AVERAGE(F53:F64)</f>
        <v>61.715838609413822</v>
      </c>
      <c r="G65" s="5187">
        <f t="shared" ref="G65" si="4">AVERAGE(G53:G64)</f>
        <v>4.7087949310587467</v>
      </c>
      <c r="H65" s="5187">
        <f>AVERAGE(H53:H64)</f>
        <v>2.4077965781655926</v>
      </c>
      <c r="I65" s="1675"/>
      <c r="J65" s="5279" t="s">
        <v>1469</v>
      </c>
      <c r="K65" s="5280"/>
      <c r="L65" s="5187">
        <f>AVERAGE(L53:L64)</f>
        <v>62.85497913425808</v>
      </c>
      <c r="M65" s="5187">
        <f>AVERAGE(M53:M64)</f>
        <v>3.4782411823670389</v>
      </c>
      <c r="N65" s="5187">
        <f>AVERAGE(N53:N64)</f>
        <v>1.8077840219056807</v>
      </c>
      <c r="O65" s="5281"/>
      <c r="P65" s="5279" t="s">
        <v>1469</v>
      </c>
      <c r="Q65" s="5280"/>
      <c r="R65" s="5187">
        <v>55.72005642302755</v>
      </c>
      <c r="S65" s="5187">
        <v>6.0114655960496437</v>
      </c>
      <c r="T65" s="5187">
        <v>2.3618628089530618</v>
      </c>
      <c r="U65" s="5187">
        <v>1.6594047947477459</v>
      </c>
      <c r="V65" s="5281"/>
      <c r="W65" s="5279" t="s">
        <v>1469</v>
      </c>
      <c r="X65" s="5187">
        <f t="shared" ref="X65:AD65" si="5">AVERAGE(X53:X64)</f>
        <v>63.271094470480499</v>
      </c>
      <c r="Y65" s="5187">
        <f t="shared" si="5"/>
        <v>97.212924127343243</v>
      </c>
      <c r="Z65" s="5187">
        <f t="shared" si="5"/>
        <v>0.79457103129713413</v>
      </c>
      <c r="AA65" s="5278">
        <f t="shared" si="5"/>
        <v>222.08156602384543</v>
      </c>
      <c r="AB65" s="5187">
        <f t="shared" si="5"/>
        <v>1.5758802139445522</v>
      </c>
      <c r="AC65" s="5187">
        <f t="shared" si="5"/>
        <v>4.438679177440207</v>
      </c>
      <c r="AD65" s="5187">
        <f t="shared" si="5"/>
        <v>20.531228392318464</v>
      </c>
    </row>
    <row r="66" spans="4:30" x14ac:dyDescent="0.3">
      <c r="G66" s="3097"/>
    </row>
  </sheetData>
  <mergeCells count="6">
    <mergeCell ref="D15:D20"/>
    <mergeCell ref="D5:H5"/>
    <mergeCell ref="J5:N5"/>
    <mergeCell ref="P5:U5"/>
    <mergeCell ref="W5:AD5"/>
    <mergeCell ref="X7:AD12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3">
    <tabColor rgb="FFFFC000"/>
    <pageSetUpPr fitToPage="1"/>
  </sheetPr>
  <dimension ref="C1:BJ87"/>
  <sheetViews>
    <sheetView workbookViewId="0">
      <pane xSplit="4" ySplit="3" topLeftCell="AI67" activePane="bottomRight" state="frozen"/>
      <selection pane="topRight" activeCell="E1" sqref="E1"/>
      <selection pane="bottomLeft" activeCell="A4" sqref="A4"/>
      <selection pane="bottomRight" activeCell="BG78" sqref="BG78"/>
    </sheetView>
  </sheetViews>
  <sheetFormatPr defaultRowHeight="18" x14ac:dyDescent="0.35"/>
  <cols>
    <col min="2" max="2" width="30.109375" bestFit="1" customWidth="1"/>
    <col min="3" max="3" width="24.5546875" bestFit="1" customWidth="1"/>
    <col min="4" max="4" width="51.6640625" bestFit="1" customWidth="1"/>
    <col min="5" max="5" width="9.88671875" bestFit="1" customWidth="1"/>
    <col min="6" max="6" width="15.44140625" hidden="1" customWidth="1"/>
    <col min="7" max="7" width="12.5546875" bestFit="1" customWidth="1"/>
    <col min="8" max="8" width="9.88671875" hidden="1" customWidth="1"/>
    <col min="9" max="9" width="15.5546875" customWidth="1"/>
    <col min="10" max="12" width="10.109375" hidden="1" customWidth="1"/>
    <col min="13" max="13" width="11.5546875" customWidth="1"/>
    <col min="14" max="14" width="10.109375" hidden="1" customWidth="1"/>
    <col min="15" max="15" width="9.88671875" customWidth="1"/>
    <col min="16" max="16" width="9.109375" hidden="1" customWidth="1"/>
    <col min="17" max="17" width="9.88671875" customWidth="1"/>
    <col min="18" max="18" width="9.109375" hidden="1" customWidth="1"/>
    <col min="19" max="20" width="9.88671875" hidden="1" customWidth="1"/>
    <col min="21" max="21" width="9.88671875" customWidth="1"/>
    <col min="22" max="22" width="9.109375" hidden="1" customWidth="1"/>
    <col min="23" max="23" width="11.44140625" customWidth="1"/>
    <col min="24" max="24" width="11.44140625" hidden="1" customWidth="1"/>
    <col min="25" max="25" width="9.88671875" customWidth="1"/>
    <col min="26" max="26" width="9.109375" hidden="1" customWidth="1"/>
    <col min="27" max="27" width="11.44140625" customWidth="1"/>
    <col min="28" max="28" width="9.109375" hidden="1" customWidth="1"/>
    <col min="29" max="29" width="11.33203125" style="537" customWidth="1"/>
    <col min="30" max="30" width="9.109375" hidden="1" customWidth="1"/>
    <col min="31" max="31" width="9.88671875" customWidth="1"/>
    <col min="32" max="32" width="9.109375" hidden="1" customWidth="1"/>
    <col min="33" max="33" width="11.33203125" hidden="1" customWidth="1"/>
    <col min="34" max="34" width="9.109375" hidden="1" customWidth="1"/>
    <col min="35" max="35" width="9.88671875" customWidth="1"/>
    <col min="36" max="36" width="9.109375" hidden="1" customWidth="1"/>
    <col min="37" max="37" width="11.33203125" hidden="1" customWidth="1"/>
    <col min="38" max="38" width="9.109375" hidden="1" customWidth="1"/>
    <col min="39" max="39" width="9.88671875" customWidth="1"/>
    <col min="40" max="40" width="9.88671875" hidden="1" customWidth="1"/>
    <col min="41" max="41" width="9.88671875" customWidth="1"/>
    <col min="42" max="42" width="9.109375" hidden="1" customWidth="1"/>
    <col min="43" max="43" width="11.33203125" hidden="1" customWidth="1"/>
    <col min="44" max="44" width="9.109375" hidden="1" customWidth="1"/>
    <col min="45" max="45" width="9.88671875" customWidth="1"/>
    <col min="46" max="46" width="9.109375" hidden="1" customWidth="1"/>
    <col min="47" max="47" width="11.33203125" hidden="1" customWidth="1"/>
    <col min="48" max="48" width="9.109375" hidden="1" customWidth="1"/>
    <col min="49" max="49" width="9.88671875" customWidth="1"/>
    <col min="50" max="50" width="9.109375" hidden="1" customWidth="1"/>
    <col min="51" max="51" width="11.33203125" hidden="1" customWidth="1"/>
    <col min="52" max="52" width="9.109375" hidden="1" customWidth="1"/>
    <col min="53" max="53" width="9.88671875" customWidth="1"/>
    <col min="54" max="54" width="9.109375" hidden="1" customWidth="1"/>
    <col min="55" max="55" width="9.88671875" customWidth="1"/>
    <col min="56" max="56" width="9.109375" hidden="1" customWidth="1"/>
    <col min="57" max="57" width="11.33203125" customWidth="1"/>
    <col min="58" max="58" width="9.109375" hidden="1" customWidth="1"/>
    <col min="59" max="59" width="11.33203125" customWidth="1"/>
    <col min="60" max="60" width="9.109375" customWidth="1"/>
    <col min="61" max="61" width="9.5546875" bestFit="1" customWidth="1"/>
  </cols>
  <sheetData>
    <row r="1" spans="3:62" ht="23.4" x14ac:dyDescent="0.45">
      <c r="C1" s="6503" t="s">
        <v>1891</v>
      </c>
      <c r="D1" s="6503"/>
      <c r="E1" s="6503"/>
      <c r="F1" s="6503"/>
      <c r="G1" s="6503"/>
      <c r="H1" s="6503"/>
      <c r="I1" s="6503"/>
      <c r="J1" s="6503"/>
      <c r="K1" s="6503"/>
      <c r="L1" s="6503"/>
      <c r="M1" s="6503"/>
      <c r="N1" s="6503"/>
      <c r="O1" s="6503"/>
    </row>
    <row r="3" spans="3:62" ht="17.399999999999999" x14ac:dyDescent="0.3">
      <c r="C3" s="548" t="s">
        <v>956</v>
      </c>
      <c r="D3" s="548" t="s">
        <v>844</v>
      </c>
      <c r="E3" s="548" t="s">
        <v>172</v>
      </c>
      <c r="F3" s="6565" t="s">
        <v>1998</v>
      </c>
      <c r="G3" s="6564"/>
      <c r="H3" s="6565" t="s">
        <v>2013</v>
      </c>
      <c r="I3" s="6564"/>
      <c r="J3" s="6558" t="s">
        <v>658</v>
      </c>
      <c r="K3" s="6559"/>
      <c r="L3" s="6565" t="s">
        <v>2043</v>
      </c>
      <c r="M3" s="6564"/>
      <c r="N3" s="6560" t="s">
        <v>637</v>
      </c>
      <c r="O3" s="6561"/>
      <c r="P3" s="6565" t="s">
        <v>2065</v>
      </c>
      <c r="Q3" s="6564"/>
      <c r="R3" s="6560" t="s">
        <v>651</v>
      </c>
      <c r="S3" s="6561"/>
      <c r="T3" s="6556">
        <v>45870</v>
      </c>
      <c r="U3" s="6564"/>
      <c r="V3" s="6560" t="s">
        <v>830</v>
      </c>
      <c r="W3" s="6561"/>
      <c r="X3" s="6556">
        <v>45901</v>
      </c>
      <c r="Y3" s="6557"/>
      <c r="Z3" s="6560" t="s">
        <v>660</v>
      </c>
      <c r="AA3" s="6562"/>
      <c r="AB3" s="6563" t="s">
        <v>512</v>
      </c>
      <c r="AC3" s="6563"/>
      <c r="AD3" s="6556">
        <v>45931</v>
      </c>
      <c r="AE3" s="6557"/>
      <c r="AF3" s="6560" t="s">
        <v>1090</v>
      </c>
      <c r="AG3" s="6561"/>
      <c r="AH3" s="6556">
        <v>45962</v>
      </c>
      <c r="AI3" s="6557"/>
      <c r="AJ3" s="6558" t="s">
        <v>1599</v>
      </c>
      <c r="AK3" s="6559"/>
      <c r="AL3" s="6556">
        <v>45992</v>
      </c>
      <c r="AM3" s="6557"/>
      <c r="AN3" s="6560" t="s">
        <v>662</v>
      </c>
      <c r="AO3" s="6562"/>
      <c r="AP3" s="6558" t="s">
        <v>908</v>
      </c>
      <c r="AQ3" s="6559"/>
      <c r="AR3" s="6556" t="s">
        <v>2274</v>
      </c>
      <c r="AS3" s="6557"/>
      <c r="AT3" s="6558" t="s">
        <v>1631</v>
      </c>
      <c r="AU3" s="6559"/>
      <c r="AV3" s="6556" t="s">
        <v>2311</v>
      </c>
      <c r="AW3" s="6557"/>
      <c r="AX3" s="6558" t="s">
        <v>1637</v>
      </c>
      <c r="AY3" s="6559"/>
      <c r="AZ3" s="6556" t="s">
        <v>2329</v>
      </c>
      <c r="BA3" s="6557"/>
      <c r="BB3" s="6560" t="s">
        <v>663</v>
      </c>
      <c r="BC3" s="6562"/>
      <c r="BD3" s="6563" t="s">
        <v>550</v>
      </c>
      <c r="BE3" s="6563"/>
      <c r="BF3" s="6558" t="s">
        <v>2041</v>
      </c>
      <c r="BG3" s="6559"/>
    </row>
    <row r="4" spans="3:62" x14ac:dyDescent="0.35">
      <c r="C4" s="549" t="s">
        <v>16</v>
      </c>
      <c r="D4" s="1607" t="s">
        <v>1353</v>
      </c>
      <c r="E4" s="4366"/>
      <c r="F4" s="549"/>
      <c r="G4" s="550">
        <f>+SUMIF(WRM!$C$7:$C$127,$D4,WRM!$F$7:$F$127)</f>
        <v>475.60000000000008</v>
      </c>
      <c r="H4" s="550"/>
      <c r="I4" s="550">
        <f>+SUMIF(WRM!$C$7:$C$127,$D4,WRM!$H$7:$H$127)</f>
        <v>1963.9</v>
      </c>
      <c r="J4" s="620"/>
      <c r="K4" s="620">
        <f t="shared" ref="K4:K37" si="0">+G4+I4</f>
        <v>2439.5</v>
      </c>
      <c r="L4" s="550"/>
      <c r="M4" s="550">
        <f>+SUMIF(WRM!$C$7:$C$127,$D4,WRM!$L$7:$L$127)</f>
        <v>301.34999999999997</v>
      </c>
      <c r="N4" s="625"/>
      <c r="O4" s="625">
        <f t="shared" ref="O4:O37" si="1">+G4+I4+M4</f>
        <v>2740.85</v>
      </c>
      <c r="P4" s="550"/>
      <c r="Q4" s="550">
        <f>+SUMIF(WRM!$C$7:$C$127,$D4,WRM!P$7:$P$127)</f>
        <v>990.15000000000009</v>
      </c>
      <c r="R4" s="625"/>
      <c r="S4" s="625">
        <f>O4+Q4</f>
        <v>3731</v>
      </c>
      <c r="T4" s="550"/>
      <c r="U4" s="550">
        <f>+SUMIF(WRM!$C$7:$C$127,$D4,WRM!$T$7:T$127)</f>
        <v>303.39999999999998</v>
      </c>
      <c r="V4" s="625"/>
      <c r="W4" s="625">
        <f>S4+U4</f>
        <v>4034.4</v>
      </c>
      <c r="X4" s="625"/>
      <c r="Y4" s="550">
        <f>+SUMIF(WRM!$C$7:$C$127,$D4,WRM!$X$7:X$127)</f>
        <v>1195.1500000000001</v>
      </c>
      <c r="Z4" s="625"/>
      <c r="AA4" s="2151">
        <f>Q4+U4+Y4</f>
        <v>2488.7000000000003</v>
      </c>
      <c r="AB4" s="2193"/>
      <c r="AC4" s="1156">
        <f>O4+AA4</f>
        <v>5229.55</v>
      </c>
      <c r="AD4" s="625"/>
      <c r="AE4" s="550">
        <f>+SUMIF(WRM!$C$7:$C$127,$D4,WRM!$AD$7:$AD$127)</f>
        <v>442.79999999999995</v>
      </c>
      <c r="AF4" s="625"/>
      <c r="AG4" s="625">
        <f>AC4+AE4</f>
        <v>5672.35</v>
      </c>
      <c r="AH4" s="625"/>
      <c r="AI4" s="550">
        <f>+SUMIF(WRM!$C$7:$C$127,$D4,WRM!$AH$7:$AH$127)</f>
        <v>1070.1000000000001</v>
      </c>
      <c r="AJ4" s="620"/>
      <c r="AK4" s="620">
        <f>AG4+AI4</f>
        <v>6742.4500000000007</v>
      </c>
      <c r="AL4" s="625"/>
      <c r="AM4" s="550">
        <f>+SUMIF(WRM!$C$7:$C$127,$D4,WRM!$AL$7:$AL$127)</f>
        <v>918.4</v>
      </c>
      <c r="AN4" s="625"/>
      <c r="AO4" s="2151">
        <f>AE4+AI4+AM4</f>
        <v>2431.3000000000002</v>
      </c>
      <c r="AP4" s="620"/>
      <c r="AQ4" s="620">
        <f>AK4+AM4</f>
        <v>7660.85</v>
      </c>
      <c r="AR4" s="625"/>
      <c r="AS4" s="550">
        <f>+SUMIF(WRM!$C$7:$C$127,$D4,WRM!$AR$7:$AR$127)</f>
        <v>0</v>
      </c>
      <c r="AT4" s="620"/>
      <c r="AU4" s="620">
        <f>AQ4+AS4</f>
        <v>7660.85</v>
      </c>
      <c r="AV4" s="625"/>
      <c r="AW4" s="550">
        <f>+SUMIF(WRM!$C$7:$C$127,$D4,WRM!$AV$7:$AV$127)</f>
        <v>1353</v>
      </c>
      <c r="AX4" s="620"/>
      <c r="AY4" s="620">
        <f>AU4+AW4</f>
        <v>9013.85</v>
      </c>
      <c r="AZ4" s="625"/>
      <c r="BA4" s="550">
        <f>+SUMIF(WRM!$C$7:$C$127,$D4,WRM!$AZ$7:$AZ$127)</f>
        <v>5303.3500000000031</v>
      </c>
      <c r="BB4" s="625"/>
      <c r="BC4" s="2151">
        <f>AS4+AW4+BA4</f>
        <v>6656.3500000000031</v>
      </c>
      <c r="BD4" s="2193"/>
      <c r="BE4" s="1156">
        <f>AO4+BC4</f>
        <v>9087.6500000000033</v>
      </c>
      <c r="BF4" s="620"/>
      <c r="BG4" s="620">
        <f>AY4+BA4</f>
        <v>14317.200000000004</v>
      </c>
      <c r="BH4" s="26"/>
      <c r="BI4" s="26"/>
      <c r="BJ4" s="26"/>
    </row>
    <row r="5" spans="3:62" x14ac:dyDescent="0.35">
      <c r="C5" s="549" t="s">
        <v>16</v>
      </c>
      <c r="D5" s="1607" t="s">
        <v>1830</v>
      </c>
      <c r="E5" s="4367"/>
      <c r="F5" s="549"/>
      <c r="G5" s="550">
        <f>+SUMIF(WRM!$C$7:$C$127,$D5,WRM!$F$7:$F$127)</f>
        <v>1262.8000000000002</v>
      </c>
      <c r="H5" s="550"/>
      <c r="I5" s="550">
        <f>+SUMIF(WRM!$C$7:$C$127,$D5,WRM!$H$7:$H$127)</f>
        <v>0</v>
      </c>
      <c r="J5" s="620"/>
      <c r="K5" s="620">
        <f t="shared" si="0"/>
        <v>1262.8000000000002</v>
      </c>
      <c r="L5" s="550"/>
      <c r="M5" s="550">
        <f>+SUMIF(WRM!$C$7:$C$127,$D5,WRM!$L$7:$L$127)</f>
        <v>0</v>
      </c>
      <c r="N5" s="625"/>
      <c r="O5" s="625">
        <f t="shared" si="1"/>
        <v>1262.8000000000002</v>
      </c>
      <c r="P5" s="550"/>
      <c r="Q5" s="550">
        <f>+SUMIF(WRM!$C$7:$C$127,$D5,WRM!P$7:$P$127)</f>
        <v>0</v>
      </c>
      <c r="R5" s="625"/>
      <c r="S5" s="625">
        <f t="shared" ref="S5:S24" si="2">O5+Q5</f>
        <v>1262.8000000000002</v>
      </c>
      <c r="T5" s="550"/>
      <c r="U5" s="550">
        <f>+SUMIF(WRM!$C$7:$C$127,$D5,WRM!$T$7:T$127)</f>
        <v>0</v>
      </c>
      <c r="V5" s="625"/>
      <c r="W5" s="625">
        <f t="shared" ref="W5:W37" si="3">S5+U5</f>
        <v>1262.8000000000002</v>
      </c>
      <c r="X5" s="625"/>
      <c r="Y5" s="550">
        <f>+SUMIF(WRM!$C$7:$C$127,$D5,WRM!$X$7:X$127)</f>
        <v>0</v>
      </c>
      <c r="Z5" s="625"/>
      <c r="AA5" s="2151">
        <f t="shared" ref="AA5:AA37" si="4">Q5+U5+Y5</f>
        <v>0</v>
      </c>
      <c r="AB5" s="2193"/>
      <c r="AC5" s="1156">
        <f t="shared" ref="AC5:AC37" si="5">O5+AA5</f>
        <v>1262.8000000000002</v>
      </c>
      <c r="AD5" s="625"/>
      <c r="AE5" s="550">
        <f>+SUMIF(WRM!$C$7:$C$127,$D5,WRM!$AD$7:$AD$127)</f>
        <v>0</v>
      </c>
      <c r="AF5" s="625"/>
      <c r="AG5" s="625">
        <f t="shared" ref="AG5:AG37" si="6">AC5+AE5</f>
        <v>1262.8000000000002</v>
      </c>
      <c r="AH5" s="625"/>
      <c r="AI5" s="550">
        <f>+SUMIF(WRM!$C$7:$C$127,$D5,WRM!$AH$7:$AH$127)</f>
        <v>0</v>
      </c>
      <c r="AJ5" s="620"/>
      <c r="AK5" s="620">
        <f t="shared" ref="AK5:AK37" si="7">AG5+AI5</f>
        <v>1262.8000000000002</v>
      </c>
      <c r="AL5" s="625"/>
      <c r="AM5" s="550">
        <f>+SUMIF(WRM!$C$7:$C$127,$D5,WRM!$AL$7:$AL$127)</f>
        <v>0</v>
      </c>
      <c r="AN5" s="625"/>
      <c r="AO5" s="2151">
        <f t="shared" ref="AO5:AO37" si="8">AE5+AI5+AM5</f>
        <v>0</v>
      </c>
      <c r="AP5" s="620"/>
      <c r="AQ5" s="620">
        <f t="shared" ref="AQ5:AQ37" si="9">AK5+AM5</f>
        <v>1262.8000000000002</v>
      </c>
      <c r="AR5" s="625"/>
      <c r="AS5" s="550">
        <f>+SUMIF(WRM!$C$7:$C$127,$D5,WRM!$AR$7:$AR$127)</f>
        <v>0</v>
      </c>
      <c r="AT5" s="620"/>
      <c r="AU5" s="620">
        <f t="shared" ref="AU5:AU37" si="10">AQ5+AS5</f>
        <v>1262.8000000000002</v>
      </c>
      <c r="AV5" s="625"/>
      <c r="AW5" s="550">
        <f>+SUMIF(WRM!$C$7:$C$127,$D5,WRM!$AV$7:$AV$127)</f>
        <v>0</v>
      </c>
      <c r="AX5" s="620"/>
      <c r="AY5" s="620">
        <f t="shared" ref="AY5:AY37" si="11">AU5+AW5</f>
        <v>1262.8000000000002</v>
      </c>
      <c r="AZ5" s="625"/>
      <c r="BA5" s="550">
        <f>+SUMIF(WRM!$C$7:$C$127,$D5,WRM!$AZ$7:$AZ$127)</f>
        <v>0</v>
      </c>
      <c r="BB5" s="625"/>
      <c r="BC5" s="2151">
        <f t="shared" ref="BC5:BC37" si="12">AS5+AW5+BA5</f>
        <v>0</v>
      </c>
      <c r="BD5" s="2193"/>
      <c r="BE5" s="1156">
        <f t="shared" ref="BE5:BE68" si="13">AO5+BC5</f>
        <v>0</v>
      </c>
      <c r="BF5" s="620"/>
      <c r="BG5" s="620">
        <f t="shared" ref="BG5:BG71" si="14">AY5+BA5</f>
        <v>1262.8000000000002</v>
      </c>
      <c r="BH5" s="26"/>
      <c r="BI5" s="26"/>
      <c r="BJ5" s="26"/>
    </row>
    <row r="6" spans="3:62" x14ac:dyDescent="0.35">
      <c r="C6" s="549" t="s">
        <v>16</v>
      </c>
      <c r="D6" s="1607" t="s">
        <v>1311</v>
      </c>
      <c r="E6" s="4367"/>
      <c r="F6" s="549"/>
      <c r="G6" s="550">
        <f>+SUMIF(WRM!$C$7:$C$127,$D6,WRM!$F$7:$F$127)</f>
        <v>0</v>
      </c>
      <c r="H6" s="550"/>
      <c r="I6" s="550">
        <f>+SUMIF(WRM!$C$7:$C$127,$D6,WRM!$H$7:$H$127)</f>
        <v>0</v>
      </c>
      <c r="J6" s="620"/>
      <c r="K6" s="620">
        <f t="shared" si="0"/>
        <v>0</v>
      </c>
      <c r="L6" s="550"/>
      <c r="M6" s="550">
        <f>+SUMIF(WRM!$C$7:$C$127,$D6,WRM!$L$7:$L$127)</f>
        <v>161.95000000000002</v>
      </c>
      <c r="N6" s="625"/>
      <c r="O6" s="625">
        <f t="shared" si="1"/>
        <v>161.95000000000002</v>
      </c>
      <c r="P6" s="550"/>
      <c r="Q6" s="550">
        <f>+SUMIF(WRM!$C$7:$C$127,$D6,WRM!P$7:$P$127)</f>
        <v>676.5</v>
      </c>
      <c r="R6" s="625"/>
      <c r="S6" s="625">
        <f t="shared" si="2"/>
        <v>838.45</v>
      </c>
      <c r="T6" s="550"/>
      <c r="U6" s="550">
        <f>+SUMIF(WRM!$C$7:$C$127,$D6,WRM!$T$7:T$127)</f>
        <v>211.14999999999998</v>
      </c>
      <c r="V6" s="625"/>
      <c r="W6" s="625">
        <f t="shared" si="3"/>
        <v>1049.5999999999999</v>
      </c>
      <c r="X6" s="625"/>
      <c r="Y6" s="550">
        <f>+SUMIF(WRM!$C$7:$C$127,$D6,WRM!$X$7:X$127)</f>
        <v>1326.3500000000001</v>
      </c>
      <c r="Z6" s="625"/>
      <c r="AA6" s="2151">
        <f t="shared" si="4"/>
        <v>2214</v>
      </c>
      <c r="AB6" s="2193"/>
      <c r="AC6" s="1156">
        <f t="shared" si="5"/>
        <v>2375.9499999999998</v>
      </c>
      <c r="AD6" s="625"/>
      <c r="AE6" s="550">
        <f>+SUMIF(WRM!$C$7:$C$127,$D6,WRM!$AD$7:$AD$127)</f>
        <v>0</v>
      </c>
      <c r="AF6" s="625"/>
      <c r="AG6" s="625">
        <f t="shared" si="6"/>
        <v>2375.9499999999998</v>
      </c>
      <c r="AH6" s="625"/>
      <c r="AI6" s="550">
        <f>+SUMIF(WRM!$C$7:$C$127,$D6,WRM!$AH$7:$AH$127)</f>
        <v>0</v>
      </c>
      <c r="AJ6" s="620"/>
      <c r="AK6" s="620">
        <f t="shared" si="7"/>
        <v>2375.9499999999998</v>
      </c>
      <c r="AL6" s="625"/>
      <c r="AM6" s="550">
        <f>+SUMIF(WRM!$C$7:$C$127,$D6,WRM!$AL$7:$AL$127)</f>
        <v>0</v>
      </c>
      <c r="AN6" s="625"/>
      <c r="AO6" s="2151">
        <f t="shared" si="8"/>
        <v>0</v>
      </c>
      <c r="AP6" s="620"/>
      <c r="AQ6" s="620">
        <f t="shared" si="9"/>
        <v>2375.9499999999998</v>
      </c>
      <c r="AR6" s="625"/>
      <c r="AS6" s="550">
        <f>+SUMIF(WRM!$C$7:$C$127,$D6,WRM!$AR$7:$AR$127)</f>
        <v>670.35</v>
      </c>
      <c r="AT6" s="620"/>
      <c r="AU6" s="620">
        <f t="shared" si="10"/>
        <v>3046.2999999999997</v>
      </c>
      <c r="AV6" s="625"/>
      <c r="AW6" s="550">
        <f>+SUMIF(WRM!$C$7:$C$127,$D6,WRM!$AV$7:$AV$127)</f>
        <v>0</v>
      </c>
      <c r="AX6" s="620"/>
      <c r="AY6" s="620">
        <f t="shared" si="11"/>
        <v>3046.2999999999997</v>
      </c>
      <c r="AZ6" s="625"/>
      <c r="BA6" s="550">
        <f>+SUMIF(WRM!$C$7:$C$127,$D6,WRM!$AZ$7:$AZ$127)</f>
        <v>0</v>
      </c>
      <c r="BB6" s="625"/>
      <c r="BC6" s="2151">
        <f t="shared" si="12"/>
        <v>670.35</v>
      </c>
      <c r="BD6" s="2193"/>
      <c r="BE6" s="1156">
        <f t="shared" si="13"/>
        <v>670.35</v>
      </c>
      <c r="BF6" s="620"/>
      <c r="BG6" s="620">
        <f t="shared" si="14"/>
        <v>3046.2999999999997</v>
      </c>
      <c r="BH6" s="26"/>
      <c r="BI6" s="26"/>
      <c r="BJ6" s="26"/>
    </row>
    <row r="7" spans="3:62" x14ac:dyDescent="0.35">
      <c r="C7" s="549" t="s">
        <v>16</v>
      </c>
      <c r="D7" s="1607" t="s">
        <v>941</v>
      </c>
      <c r="E7" s="4367"/>
      <c r="F7" s="549"/>
      <c r="G7" s="550">
        <f>+SUMIF(WRM!$C$7:$C$127,$D7,WRM!$F$7:$F$127)</f>
        <v>0</v>
      </c>
      <c r="H7" s="550"/>
      <c r="I7" s="550">
        <f>+SUMIF(WRM!$C$7:$C$127,$D7,WRM!$H$7:$H$127)</f>
        <v>104.55</v>
      </c>
      <c r="J7" s="620"/>
      <c r="K7" s="620">
        <f t="shared" si="0"/>
        <v>104.55</v>
      </c>
      <c r="L7" s="550"/>
      <c r="M7" s="550">
        <f>+SUMIF(WRM!$C$7:$C$127,$D7,WRM!$L$7:$L$127)</f>
        <v>0</v>
      </c>
      <c r="N7" s="625"/>
      <c r="O7" s="625">
        <f t="shared" si="1"/>
        <v>104.55</v>
      </c>
      <c r="P7" s="550"/>
      <c r="Q7" s="550">
        <f>+SUMIF(WRM!$C$7:$C$127,$D7,WRM!P$7:$P$127)</f>
        <v>0</v>
      </c>
      <c r="R7" s="625"/>
      <c r="S7" s="625">
        <f t="shared" si="2"/>
        <v>104.55</v>
      </c>
      <c r="T7" s="550"/>
      <c r="U7" s="550">
        <f>+SUMIF(WRM!$C$7:$C$127,$D7,WRM!$T$7:T$127)</f>
        <v>0</v>
      </c>
      <c r="V7" s="625"/>
      <c r="W7" s="625">
        <f t="shared" si="3"/>
        <v>104.55</v>
      </c>
      <c r="X7" s="625"/>
      <c r="Y7" s="550">
        <f>+SUMIF(WRM!$C$7:$C$127,$D7,WRM!$X$7:X$127)</f>
        <v>0</v>
      </c>
      <c r="Z7" s="625"/>
      <c r="AA7" s="2151">
        <f t="shared" si="4"/>
        <v>0</v>
      </c>
      <c r="AB7" s="2193"/>
      <c r="AC7" s="1156">
        <f t="shared" si="5"/>
        <v>104.55</v>
      </c>
      <c r="AD7" s="625"/>
      <c r="AE7" s="550">
        <f>+SUMIF(WRM!$C$7:$C$127,$D7,WRM!$AD$7:$AD$127)</f>
        <v>0</v>
      </c>
      <c r="AF7" s="625"/>
      <c r="AG7" s="625">
        <f t="shared" si="6"/>
        <v>104.55</v>
      </c>
      <c r="AH7" s="625"/>
      <c r="AI7" s="550">
        <f>+SUMIF(WRM!$C$7:$C$127,$D7,WRM!$AH$7:$AH$127)</f>
        <v>0</v>
      </c>
      <c r="AJ7" s="620"/>
      <c r="AK7" s="620">
        <f t="shared" si="7"/>
        <v>104.55</v>
      </c>
      <c r="AL7" s="625"/>
      <c r="AM7" s="550">
        <f>+SUMIF(WRM!$C$7:$C$127,$D7,WRM!$AL$7:$AL$127)</f>
        <v>0</v>
      </c>
      <c r="AN7" s="625"/>
      <c r="AO7" s="2151">
        <f t="shared" si="8"/>
        <v>0</v>
      </c>
      <c r="AP7" s="620"/>
      <c r="AQ7" s="620">
        <f t="shared" si="9"/>
        <v>104.55</v>
      </c>
      <c r="AR7" s="625"/>
      <c r="AS7" s="550">
        <f>+SUMIF(WRM!$C$7:$C$127,$D7,WRM!$AR$7:$AR$127)</f>
        <v>0</v>
      </c>
      <c r="AT7" s="620"/>
      <c r="AU7" s="620">
        <f t="shared" si="10"/>
        <v>104.55</v>
      </c>
      <c r="AV7" s="625"/>
      <c r="AW7" s="550">
        <f>+SUMIF(WRM!$C$7:$C$127,$D7,WRM!$AV$7:$AV$127)</f>
        <v>0</v>
      </c>
      <c r="AX7" s="620"/>
      <c r="AY7" s="620">
        <f t="shared" si="11"/>
        <v>104.55</v>
      </c>
      <c r="AZ7" s="625"/>
      <c r="BA7" s="550">
        <f>+SUMIF(WRM!$C$7:$C$127,$D7,WRM!$AZ$7:$AZ$127)</f>
        <v>0</v>
      </c>
      <c r="BB7" s="625"/>
      <c r="BC7" s="2151">
        <f t="shared" si="12"/>
        <v>0</v>
      </c>
      <c r="BD7" s="2193"/>
      <c r="BE7" s="1156">
        <f t="shared" si="13"/>
        <v>0</v>
      </c>
      <c r="BF7" s="620"/>
      <c r="BG7" s="620">
        <f t="shared" si="14"/>
        <v>104.55</v>
      </c>
      <c r="BH7" s="26"/>
      <c r="BI7" s="26"/>
      <c r="BJ7" s="26"/>
    </row>
    <row r="8" spans="3:62" x14ac:dyDescent="0.35">
      <c r="C8" s="549" t="s">
        <v>16</v>
      </c>
      <c r="D8" s="1607" t="s">
        <v>1354</v>
      </c>
      <c r="E8" s="4367"/>
      <c r="F8" s="549"/>
      <c r="G8" s="550">
        <f>+SUMIF(WRM!$C$7:$C$127,$D8,WRM!$F$7:$F$127)</f>
        <v>0</v>
      </c>
      <c r="H8" s="550"/>
      <c r="I8" s="550">
        <f>+SUMIF(WRM!$C$7:$C$127,$D8,WRM!$H$7:$H$127)</f>
        <v>0</v>
      </c>
      <c r="J8" s="620"/>
      <c r="K8" s="620">
        <f t="shared" si="0"/>
        <v>0</v>
      </c>
      <c r="L8" s="550"/>
      <c r="M8" s="550">
        <f>+SUMIF(WRM!$C$7:$C$127,$D8,WRM!$L$7:$L$127)</f>
        <v>0</v>
      </c>
      <c r="N8" s="625"/>
      <c r="O8" s="625">
        <f t="shared" si="1"/>
        <v>0</v>
      </c>
      <c r="P8" s="550"/>
      <c r="Q8" s="550">
        <f>+SUMIF(WRM!$C$7:$C$127,$D8,WRM!P$7:$P$127)</f>
        <v>0</v>
      </c>
      <c r="R8" s="625"/>
      <c r="S8" s="625">
        <f t="shared" si="2"/>
        <v>0</v>
      </c>
      <c r="T8" s="550"/>
      <c r="U8" s="550">
        <f>+SUMIF(WRM!$C$7:$C$127,$D8,WRM!$T$7:T$127)</f>
        <v>0</v>
      </c>
      <c r="V8" s="625"/>
      <c r="W8" s="625">
        <f t="shared" si="3"/>
        <v>0</v>
      </c>
      <c r="X8" s="625"/>
      <c r="Y8" s="550">
        <f>+SUMIF(WRM!$C$7:$C$127,$D8,WRM!$X$7:X$127)</f>
        <v>0</v>
      </c>
      <c r="Z8" s="625"/>
      <c r="AA8" s="2151">
        <f t="shared" si="4"/>
        <v>0</v>
      </c>
      <c r="AB8" s="2193"/>
      <c r="AC8" s="1156">
        <f t="shared" si="5"/>
        <v>0</v>
      </c>
      <c r="AD8" s="625"/>
      <c r="AE8" s="550">
        <f>+SUMIF(WRM!$C$7:$C$127,$D8,WRM!$AD$7:$AD$127)</f>
        <v>0</v>
      </c>
      <c r="AF8" s="625"/>
      <c r="AG8" s="625">
        <f t="shared" si="6"/>
        <v>0</v>
      </c>
      <c r="AH8" s="625"/>
      <c r="AI8" s="550">
        <f>+SUMIF(WRM!$C$7:$C$127,$D8,WRM!$AH$7:$AH$127)</f>
        <v>0</v>
      </c>
      <c r="AJ8" s="620"/>
      <c r="AK8" s="620">
        <f t="shared" si="7"/>
        <v>0</v>
      </c>
      <c r="AL8" s="625"/>
      <c r="AM8" s="550">
        <f>+SUMIF(WRM!$C$7:$C$127,$D8,WRM!$AL$7:$AL$127)</f>
        <v>0</v>
      </c>
      <c r="AN8" s="625"/>
      <c r="AO8" s="2151">
        <f t="shared" si="8"/>
        <v>0</v>
      </c>
      <c r="AP8" s="620"/>
      <c r="AQ8" s="620">
        <f t="shared" si="9"/>
        <v>0</v>
      </c>
      <c r="AR8" s="625"/>
      <c r="AS8" s="550">
        <f>+SUMIF(WRM!$C$7:$C$127,$D8,WRM!$AR$7:$AR$127)</f>
        <v>0</v>
      </c>
      <c r="AT8" s="620"/>
      <c r="AU8" s="620">
        <f t="shared" si="10"/>
        <v>0</v>
      </c>
      <c r="AV8" s="625"/>
      <c r="AW8" s="550">
        <f>+SUMIF(WRM!$C$7:$C$127,$D8,WRM!$AV$7:$AV$127)</f>
        <v>0</v>
      </c>
      <c r="AX8" s="620"/>
      <c r="AY8" s="620">
        <f t="shared" si="11"/>
        <v>0</v>
      </c>
      <c r="AZ8" s="625"/>
      <c r="BA8" s="550">
        <f>+SUMIF(WRM!$C$7:$C$127,$D8,WRM!$AZ$7:$AZ$127)</f>
        <v>0</v>
      </c>
      <c r="BB8" s="625"/>
      <c r="BC8" s="2151">
        <f t="shared" si="12"/>
        <v>0</v>
      </c>
      <c r="BD8" s="2193"/>
      <c r="BE8" s="1156">
        <f t="shared" si="13"/>
        <v>0</v>
      </c>
      <c r="BF8" s="620"/>
      <c r="BG8" s="620">
        <f t="shared" si="14"/>
        <v>0</v>
      </c>
      <c r="BH8" s="26"/>
      <c r="BI8" s="26"/>
      <c r="BJ8" s="26"/>
    </row>
    <row r="9" spans="3:62" x14ac:dyDescent="0.35">
      <c r="C9" s="549" t="s">
        <v>16</v>
      </c>
      <c r="D9" s="1607" t="s">
        <v>868</v>
      </c>
      <c r="E9" s="4367"/>
      <c r="F9" s="549"/>
      <c r="G9" s="550">
        <f>+SUMIF(WRM!$C$7:$C$127,$D9,WRM!$F$7:$F$127)</f>
        <v>4233.3500000000004</v>
      </c>
      <c r="H9" s="550"/>
      <c r="I9" s="550">
        <f>+SUMIF(WRM!$C$7:$C$127,$D9,WRM!$H$7:$H$127)</f>
        <v>9491.5</v>
      </c>
      <c r="J9" s="620"/>
      <c r="K9" s="620">
        <f t="shared" si="0"/>
        <v>13724.85</v>
      </c>
      <c r="L9" s="550"/>
      <c r="M9" s="550">
        <f>+SUMIF(WRM!$C$7:$C$127,$D9,WRM!$L$7:$L$127)</f>
        <v>4954.8500000000004</v>
      </c>
      <c r="N9" s="625"/>
      <c r="O9" s="625">
        <f t="shared" si="1"/>
        <v>18679.7</v>
      </c>
      <c r="P9" s="550"/>
      <c r="Q9" s="550">
        <f>+SUMIF(WRM!$C$7:$C$127,$D9,WRM!P$7:$P$127)</f>
        <v>7790.0000000000009</v>
      </c>
      <c r="R9" s="625"/>
      <c r="S9" s="625">
        <f t="shared" si="2"/>
        <v>26469.7</v>
      </c>
      <c r="T9" s="550"/>
      <c r="U9" s="550">
        <f>+SUMIF(WRM!$C$7:$C$127,$D9,WRM!$T$7:T$127)</f>
        <v>6562.05</v>
      </c>
      <c r="V9" s="625"/>
      <c r="W9" s="625">
        <f t="shared" si="3"/>
        <v>33031.75</v>
      </c>
      <c r="X9" s="625"/>
      <c r="Y9" s="550">
        <f>+SUMIF(WRM!$C$7:$C$127,$D9,WRM!$X$7:X$127)</f>
        <v>8247.15</v>
      </c>
      <c r="Z9" s="625"/>
      <c r="AA9" s="2151">
        <f t="shared" si="4"/>
        <v>22599.200000000001</v>
      </c>
      <c r="AB9" s="2193"/>
      <c r="AC9" s="1156">
        <f t="shared" si="5"/>
        <v>41278.9</v>
      </c>
      <c r="AD9" s="625"/>
      <c r="AE9" s="550">
        <f>+SUMIF(WRM!$C$7:$C$127,$D9,WRM!$AD$7:$AD$127)</f>
        <v>5110.6499999999996</v>
      </c>
      <c r="AF9" s="625"/>
      <c r="AG9" s="625">
        <f t="shared" si="6"/>
        <v>46389.55</v>
      </c>
      <c r="AH9" s="625"/>
      <c r="AI9" s="550">
        <f>+SUMIF(WRM!$C$7:$C$127,$D9,WRM!$AH$7:$AH$127)</f>
        <v>9261.9000000000051</v>
      </c>
      <c r="AJ9" s="620"/>
      <c r="AK9" s="620">
        <f t="shared" si="7"/>
        <v>55651.450000000012</v>
      </c>
      <c r="AL9" s="625"/>
      <c r="AM9" s="550">
        <f>+SUMIF(WRM!$C$7:$C$127,$D9,WRM!$AL$7:$AL$127)</f>
        <v>5922.4500000000007</v>
      </c>
      <c r="AN9" s="625"/>
      <c r="AO9" s="2151">
        <f t="shared" si="8"/>
        <v>20295.000000000007</v>
      </c>
      <c r="AP9" s="620"/>
      <c r="AQ9" s="620">
        <f t="shared" si="9"/>
        <v>61573.900000000009</v>
      </c>
      <c r="AR9" s="625"/>
      <c r="AS9" s="550">
        <f>+SUMIF(WRM!$C$7:$C$127,$D9,WRM!$AR$7:$AR$127)</f>
        <v>5807.65</v>
      </c>
      <c r="AT9" s="620"/>
      <c r="AU9" s="620">
        <f t="shared" si="10"/>
        <v>67381.55</v>
      </c>
      <c r="AV9" s="625"/>
      <c r="AW9" s="550">
        <f>+SUMIF(WRM!$C$7:$C$127,$D9,WRM!$AV$7:$AV$127)</f>
        <v>9950.7000000000098</v>
      </c>
      <c r="AX9" s="620"/>
      <c r="AY9" s="620">
        <f t="shared" si="11"/>
        <v>77332.250000000015</v>
      </c>
      <c r="AZ9" s="625"/>
      <c r="BA9" s="550">
        <f>+SUMIF(WRM!$C$7:$C$127,$D9,WRM!$AZ$7:$AZ$127)</f>
        <v>9653.4499999999989</v>
      </c>
      <c r="BB9" s="625"/>
      <c r="BC9" s="2151">
        <f t="shared" si="12"/>
        <v>25411.80000000001</v>
      </c>
      <c r="BD9" s="2193"/>
      <c r="BE9" s="1156">
        <f t="shared" si="13"/>
        <v>45706.800000000017</v>
      </c>
      <c r="BF9" s="620"/>
      <c r="BG9" s="620">
        <f t="shared" si="14"/>
        <v>86985.700000000012</v>
      </c>
      <c r="BH9" s="26"/>
      <c r="BI9" s="26"/>
      <c r="BJ9" s="26"/>
    </row>
    <row r="10" spans="3:62" x14ac:dyDescent="0.35">
      <c r="C10" s="549" t="s">
        <v>16</v>
      </c>
      <c r="D10" s="1607" t="s">
        <v>2045</v>
      </c>
      <c r="E10" s="4367"/>
      <c r="F10" s="549"/>
      <c r="G10" s="550">
        <f>+SUMIF(WRM!$C$7:$C$127,$D10,WRM!$F$7:$F$127)</f>
        <v>0</v>
      </c>
      <c r="H10" s="550"/>
      <c r="I10" s="550">
        <f>+SUMIF(WRM!$C$7:$C$127,$D10,WRM!$H$7:$H$127)</f>
        <v>0</v>
      </c>
      <c r="J10" s="620"/>
      <c r="K10" s="620">
        <f t="shared" si="0"/>
        <v>0</v>
      </c>
      <c r="L10" s="550"/>
      <c r="M10" s="550">
        <f>+SUMIF(WRM!$C$7:$C$127,$D10,WRM!$L$7:$L$127)</f>
        <v>3761.75</v>
      </c>
      <c r="N10" s="625"/>
      <c r="O10" s="625">
        <f t="shared" si="1"/>
        <v>3761.75</v>
      </c>
      <c r="P10" s="550"/>
      <c r="Q10" s="550">
        <f>+SUMIF(WRM!$C$7:$C$127,$D10,WRM!P$7:$P$127)</f>
        <v>9542.7500000000018</v>
      </c>
      <c r="R10" s="625"/>
      <c r="S10" s="625">
        <f t="shared" si="2"/>
        <v>13304.500000000002</v>
      </c>
      <c r="T10" s="550"/>
      <c r="U10" s="550">
        <f>+SUMIF(WRM!$C$7:$C$127,$D10,WRM!$T$7:T$127)</f>
        <v>0</v>
      </c>
      <c r="V10" s="625"/>
      <c r="W10" s="625">
        <f t="shared" si="3"/>
        <v>13304.500000000002</v>
      </c>
      <c r="X10" s="625"/>
      <c r="Y10" s="550">
        <f>+SUMIF(WRM!$C$7:$C$127,$D10,WRM!$X$7:X$127)</f>
        <v>0</v>
      </c>
      <c r="Z10" s="625"/>
      <c r="AA10" s="2151">
        <f t="shared" si="4"/>
        <v>9542.7500000000018</v>
      </c>
      <c r="AB10" s="2193"/>
      <c r="AC10" s="1156">
        <f t="shared" si="5"/>
        <v>13304.500000000002</v>
      </c>
      <c r="AD10" s="625"/>
      <c r="AE10" s="550">
        <f>+SUMIF(WRM!$C$7:$C$127,$D10,WRM!$AD$7:$AD$127)</f>
        <v>0</v>
      </c>
      <c r="AF10" s="625"/>
      <c r="AG10" s="625">
        <f t="shared" si="6"/>
        <v>13304.500000000002</v>
      </c>
      <c r="AH10" s="625"/>
      <c r="AI10" s="550">
        <f>+SUMIF(WRM!$C$7:$C$127,$D10,WRM!$AH$7:$AH$127)</f>
        <v>0</v>
      </c>
      <c r="AJ10" s="620"/>
      <c r="AK10" s="620">
        <f t="shared" si="7"/>
        <v>13304.500000000002</v>
      </c>
      <c r="AL10" s="625"/>
      <c r="AM10" s="550">
        <f>+SUMIF(WRM!$C$7:$C$127,$D10,WRM!$AL$7:$AL$127)</f>
        <v>0</v>
      </c>
      <c r="AN10" s="625"/>
      <c r="AO10" s="2151">
        <f t="shared" si="8"/>
        <v>0</v>
      </c>
      <c r="AP10" s="620"/>
      <c r="AQ10" s="620">
        <f t="shared" si="9"/>
        <v>13304.500000000002</v>
      </c>
      <c r="AR10" s="625"/>
      <c r="AS10" s="550">
        <f>+SUMIF(WRM!$C$7:$C$127,$D10,WRM!$AR$7:$AR$127)</f>
        <v>0</v>
      </c>
      <c r="AT10" s="620"/>
      <c r="AU10" s="620">
        <f t="shared" si="10"/>
        <v>13304.500000000002</v>
      </c>
      <c r="AV10" s="625"/>
      <c r="AW10" s="550">
        <f>+SUMIF(WRM!$C$7:$C$127,$D10,WRM!$AV$7:$AV$127)</f>
        <v>0</v>
      </c>
      <c r="AX10" s="620"/>
      <c r="AY10" s="620">
        <f t="shared" si="11"/>
        <v>13304.500000000002</v>
      </c>
      <c r="AZ10" s="625"/>
      <c r="BA10" s="550">
        <f>+SUMIF(WRM!$C$7:$C$127,$D10,WRM!$AZ$7:$AZ$127)</f>
        <v>0</v>
      </c>
      <c r="BB10" s="625"/>
      <c r="BC10" s="2151">
        <f t="shared" si="12"/>
        <v>0</v>
      </c>
      <c r="BD10" s="2193"/>
      <c r="BE10" s="1156">
        <f t="shared" si="13"/>
        <v>0</v>
      </c>
      <c r="BF10" s="620"/>
      <c r="BG10" s="620">
        <f t="shared" si="14"/>
        <v>13304.500000000002</v>
      </c>
      <c r="BH10" s="26"/>
      <c r="BI10" s="26"/>
      <c r="BJ10" s="26"/>
    </row>
    <row r="11" spans="3:62" x14ac:dyDescent="0.35">
      <c r="C11" s="549" t="s">
        <v>16</v>
      </c>
      <c r="D11" s="1607" t="s">
        <v>1258</v>
      </c>
      <c r="E11" s="4367"/>
      <c r="F11" s="549"/>
      <c r="G11" s="550">
        <f>+SUMIF(WRM!$C$7:$C$127,$D11,WRM!$F$7:$F$127)</f>
        <v>0</v>
      </c>
      <c r="H11" s="550"/>
      <c r="I11" s="550">
        <f>+SUMIF(WRM!$C$7:$C$127,$D11,WRM!$H$7:$H$127)</f>
        <v>0</v>
      </c>
      <c r="J11" s="620"/>
      <c r="K11" s="620">
        <f t="shared" si="0"/>
        <v>0</v>
      </c>
      <c r="L11" s="550"/>
      <c r="M11" s="550">
        <f>+SUMIF(WRM!$C$7:$C$127,$D11,WRM!$L$7:$L$127)</f>
        <v>5600</v>
      </c>
      <c r="N11" s="625"/>
      <c r="O11" s="625">
        <f t="shared" si="1"/>
        <v>5600</v>
      </c>
      <c r="P11" s="550"/>
      <c r="Q11" s="550">
        <f>+SUMIF(WRM!$C$7:$C$127,$D11,WRM!P$7:$P$127)</f>
        <v>1705.6</v>
      </c>
      <c r="R11" s="625"/>
      <c r="S11" s="625">
        <f t="shared" si="2"/>
        <v>7305.6</v>
      </c>
      <c r="T11" s="550"/>
      <c r="U11" s="550">
        <f>+SUMIF(WRM!$C$7:$C$127,$D11,WRM!$T$7:T$127)</f>
        <v>0</v>
      </c>
      <c r="V11" s="625"/>
      <c r="W11" s="625">
        <f t="shared" si="3"/>
        <v>7305.6</v>
      </c>
      <c r="X11" s="625"/>
      <c r="Y11" s="550">
        <f>+SUMIF(WRM!$C$7:$C$127,$D11,WRM!$X$7:X$127)</f>
        <v>0</v>
      </c>
      <c r="Z11" s="625"/>
      <c r="AA11" s="2151">
        <f t="shared" si="4"/>
        <v>1705.6</v>
      </c>
      <c r="AB11" s="2193"/>
      <c r="AC11" s="1156">
        <f t="shared" si="5"/>
        <v>7305.6</v>
      </c>
      <c r="AD11" s="625"/>
      <c r="AE11" s="550">
        <f>+SUMIF(WRM!$C$7:$C$127,$D11,WRM!$AD$7:$AD$127)</f>
        <v>0</v>
      </c>
      <c r="AF11" s="625"/>
      <c r="AG11" s="625">
        <f t="shared" si="6"/>
        <v>7305.6</v>
      </c>
      <c r="AH11" s="625"/>
      <c r="AI11" s="550">
        <f>+SUMIF(WRM!$C$7:$C$127,$D11,WRM!$AH$7:$AH$127)</f>
        <v>0</v>
      </c>
      <c r="AJ11" s="620"/>
      <c r="AK11" s="620">
        <f t="shared" si="7"/>
        <v>7305.6</v>
      </c>
      <c r="AL11" s="625"/>
      <c r="AM11" s="550">
        <f>+SUMIF(WRM!$C$7:$C$127,$D11,WRM!$AL$7:$AL$127)</f>
        <v>0</v>
      </c>
      <c r="AN11" s="625"/>
      <c r="AO11" s="2151">
        <f t="shared" si="8"/>
        <v>0</v>
      </c>
      <c r="AP11" s="620"/>
      <c r="AQ11" s="620">
        <f t="shared" si="9"/>
        <v>7305.6</v>
      </c>
      <c r="AR11" s="625"/>
      <c r="AS11" s="550">
        <f>+SUMIF(WRM!$C$7:$C$127,$D11,WRM!$AR$7:$AR$127)</f>
        <v>0</v>
      </c>
      <c r="AT11" s="620"/>
      <c r="AU11" s="620">
        <f t="shared" si="10"/>
        <v>7305.6</v>
      </c>
      <c r="AV11" s="625"/>
      <c r="AW11" s="550">
        <f>+SUMIF(WRM!$C$7:$C$127,$D11,WRM!$AV$7:$AV$127)</f>
        <v>0</v>
      </c>
      <c r="AX11" s="620"/>
      <c r="AY11" s="620">
        <f t="shared" si="11"/>
        <v>7305.6</v>
      </c>
      <c r="AZ11" s="625"/>
      <c r="BA11" s="550">
        <f>+SUMIF(WRM!$C$7:$C$127,$D11,WRM!$AZ$7:$AZ$127)</f>
        <v>0</v>
      </c>
      <c r="BB11" s="625"/>
      <c r="BC11" s="2151">
        <f t="shared" si="12"/>
        <v>0</v>
      </c>
      <c r="BD11" s="2193"/>
      <c r="BE11" s="1156">
        <f t="shared" si="13"/>
        <v>0</v>
      </c>
      <c r="BF11" s="620"/>
      <c r="BG11" s="620">
        <f t="shared" si="14"/>
        <v>7305.6</v>
      </c>
      <c r="BH11" s="26"/>
      <c r="BI11" s="26"/>
      <c r="BJ11" s="26"/>
    </row>
    <row r="12" spans="3:62" x14ac:dyDescent="0.35">
      <c r="C12" s="549" t="s">
        <v>16</v>
      </c>
      <c r="D12" s="1607" t="s">
        <v>962</v>
      </c>
      <c r="E12" s="4367"/>
      <c r="F12" s="549"/>
      <c r="G12" s="550">
        <f>+SUMIF(WRM!$C$7:$C$127,$D12,WRM!$F$7:$F$127)</f>
        <v>1096.75</v>
      </c>
      <c r="H12" s="550"/>
      <c r="I12" s="550">
        <f>+SUMIF(WRM!$C$7:$C$127,$D12,WRM!$H$7:$H$127)</f>
        <v>223.45000000000002</v>
      </c>
      <c r="J12" s="620"/>
      <c r="K12" s="620">
        <f t="shared" si="0"/>
        <v>1320.2</v>
      </c>
      <c r="L12" s="550"/>
      <c r="M12" s="550">
        <f>+SUMIF(WRM!$C$7:$C$127,$D12,WRM!$L$7:$L$127)</f>
        <v>699.05000000000007</v>
      </c>
      <c r="N12" s="625"/>
      <c r="O12" s="625">
        <f t="shared" si="1"/>
        <v>2019.25</v>
      </c>
      <c r="P12" s="550"/>
      <c r="Q12" s="550">
        <f>+SUMIF(WRM!$C$7:$C$127,$D12,WRM!P$7:$P$127)</f>
        <v>455.09999999999997</v>
      </c>
      <c r="R12" s="625"/>
      <c r="S12" s="625">
        <f t="shared" si="2"/>
        <v>2474.35</v>
      </c>
      <c r="T12" s="550"/>
      <c r="U12" s="550">
        <f>+SUMIF(WRM!$C$7:$C$127,$D12,WRM!$T$7:T$127)</f>
        <v>1242.3</v>
      </c>
      <c r="V12" s="625"/>
      <c r="W12" s="625">
        <f t="shared" si="3"/>
        <v>3716.6499999999996</v>
      </c>
      <c r="X12" s="625"/>
      <c r="Y12" s="550">
        <f>+SUMIF(WRM!$C$7:$C$127,$D12,WRM!$X$7:X$127)</f>
        <v>742.1</v>
      </c>
      <c r="Z12" s="625"/>
      <c r="AA12" s="2151">
        <f t="shared" si="4"/>
        <v>2439.5</v>
      </c>
      <c r="AB12" s="2193"/>
      <c r="AC12" s="1156">
        <f t="shared" si="5"/>
        <v>4458.75</v>
      </c>
      <c r="AD12" s="625"/>
      <c r="AE12" s="550">
        <f>+SUMIF(WRM!$C$7:$C$127,$D12,WRM!$AD$7:$AD$127)</f>
        <v>0</v>
      </c>
      <c r="AF12" s="625"/>
      <c r="AG12" s="625">
        <f t="shared" si="6"/>
        <v>4458.75</v>
      </c>
      <c r="AH12" s="625"/>
      <c r="AI12" s="550">
        <f>+SUMIF(WRM!$C$7:$C$127,$D12,WRM!$AH$7:$AH$127)</f>
        <v>1869.6</v>
      </c>
      <c r="AJ12" s="620"/>
      <c r="AK12" s="620">
        <f t="shared" si="7"/>
        <v>6328.35</v>
      </c>
      <c r="AL12" s="625"/>
      <c r="AM12" s="550">
        <f>+SUMIF(WRM!$C$7:$C$127,$D12,WRM!$AL$7:$AL$127)</f>
        <v>399.75</v>
      </c>
      <c r="AN12" s="625"/>
      <c r="AO12" s="2151">
        <f t="shared" si="8"/>
        <v>2269.35</v>
      </c>
      <c r="AP12" s="620"/>
      <c r="AQ12" s="620">
        <f t="shared" si="9"/>
        <v>6728.1</v>
      </c>
      <c r="AR12" s="625"/>
      <c r="AS12" s="550">
        <f>+SUMIF(WRM!$C$7:$C$127,$D12,WRM!$AR$7:$AR$127)</f>
        <v>655.99999999999989</v>
      </c>
      <c r="AT12" s="620"/>
      <c r="AU12" s="620">
        <f t="shared" si="10"/>
        <v>7384.1</v>
      </c>
      <c r="AV12" s="625"/>
      <c r="AW12" s="550">
        <f>+SUMIF(WRM!$C$7:$C$127,$D12,WRM!$AV$7:$AV$127)</f>
        <v>979.90000000000009</v>
      </c>
      <c r="AX12" s="620"/>
      <c r="AY12" s="620">
        <f t="shared" si="11"/>
        <v>8364</v>
      </c>
      <c r="AZ12" s="625"/>
      <c r="BA12" s="550">
        <f>+SUMIF(WRM!$C$7:$C$127,$D12,WRM!$AZ$7:$AZ$127)</f>
        <v>186.55</v>
      </c>
      <c r="BB12" s="625"/>
      <c r="BC12" s="2151">
        <f t="shared" si="12"/>
        <v>1822.45</v>
      </c>
      <c r="BD12" s="2193"/>
      <c r="BE12" s="1156">
        <f t="shared" si="13"/>
        <v>4091.8</v>
      </c>
      <c r="BF12" s="620"/>
      <c r="BG12" s="620">
        <f t="shared" si="14"/>
        <v>8550.5499999999993</v>
      </c>
      <c r="BH12" s="26"/>
      <c r="BI12" s="26"/>
      <c r="BJ12" s="26"/>
    </row>
    <row r="13" spans="3:62" x14ac:dyDescent="0.35">
      <c r="C13" s="549" t="s">
        <v>16</v>
      </c>
      <c r="D13" s="1607" t="s">
        <v>1582</v>
      </c>
      <c r="E13" s="4367"/>
      <c r="F13" s="549"/>
      <c r="G13" s="550">
        <f>+SUMIF(WRM!$C$7:$C$127,$D13,WRM!$F$7:$F$127)</f>
        <v>0</v>
      </c>
      <c r="H13" s="550"/>
      <c r="I13" s="550">
        <f>+SUMIF(WRM!$C$7:$C$127,$D13,WRM!$H$7:$H$127)</f>
        <v>0</v>
      </c>
      <c r="J13" s="620"/>
      <c r="K13" s="620">
        <f t="shared" si="0"/>
        <v>0</v>
      </c>
      <c r="L13" s="550"/>
      <c r="M13" s="550">
        <f>+SUMIF(WRM!$C$7:$C$127,$D13,WRM!$L$7:$L$127)</f>
        <v>0</v>
      </c>
      <c r="N13" s="625"/>
      <c r="O13" s="625">
        <f t="shared" si="1"/>
        <v>0</v>
      </c>
      <c r="P13" s="550"/>
      <c r="Q13" s="550">
        <f>+SUMIF(WRM!$C$7:$C$127,$D13,WRM!P$7:$P$127)</f>
        <v>0</v>
      </c>
      <c r="R13" s="625"/>
      <c r="S13" s="625">
        <f t="shared" si="2"/>
        <v>0</v>
      </c>
      <c r="T13" s="550"/>
      <c r="U13" s="550">
        <f>+SUMIF(WRM!$C$7:$C$127,$D13,WRM!$T$7:T$127)</f>
        <v>0</v>
      </c>
      <c r="V13" s="625"/>
      <c r="W13" s="625">
        <f t="shared" si="3"/>
        <v>0</v>
      </c>
      <c r="X13" s="625"/>
      <c r="Y13" s="550">
        <f>+SUMIF(WRM!$C$7:$C$127,$D13,WRM!$X$7:X$127)</f>
        <v>0</v>
      </c>
      <c r="Z13" s="625"/>
      <c r="AA13" s="2151">
        <f t="shared" si="4"/>
        <v>0</v>
      </c>
      <c r="AB13" s="2193"/>
      <c r="AC13" s="1156">
        <f t="shared" si="5"/>
        <v>0</v>
      </c>
      <c r="AD13" s="625"/>
      <c r="AE13" s="550">
        <f>+SUMIF(WRM!$C$7:$C$127,$D13,WRM!$AD$7:$AD$127)</f>
        <v>0</v>
      </c>
      <c r="AF13" s="625"/>
      <c r="AG13" s="625">
        <f t="shared" si="6"/>
        <v>0</v>
      </c>
      <c r="AH13" s="625"/>
      <c r="AI13" s="550">
        <f>+SUMIF(WRM!$C$7:$C$127,$D13,WRM!$AH$7:$AH$127)</f>
        <v>0</v>
      </c>
      <c r="AJ13" s="620"/>
      <c r="AK13" s="620">
        <f t="shared" si="7"/>
        <v>0</v>
      </c>
      <c r="AL13" s="625"/>
      <c r="AM13" s="550">
        <f>+SUMIF(WRM!$C$7:$C$127,$D13,WRM!$AL$7:$AL$127)</f>
        <v>0</v>
      </c>
      <c r="AN13" s="625"/>
      <c r="AO13" s="2151">
        <f t="shared" si="8"/>
        <v>0</v>
      </c>
      <c r="AP13" s="620"/>
      <c r="AQ13" s="620">
        <f t="shared" si="9"/>
        <v>0</v>
      </c>
      <c r="AR13" s="625"/>
      <c r="AS13" s="550">
        <f>+SUMIF(WRM!$C$7:$C$127,$D13,WRM!$AR$7:$AR$127)</f>
        <v>0</v>
      </c>
      <c r="AT13" s="620"/>
      <c r="AU13" s="620">
        <f t="shared" si="10"/>
        <v>0</v>
      </c>
      <c r="AV13" s="625"/>
      <c r="AW13" s="550">
        <f>+SUMIF(WRM!$C$7:$C$127,$D13,WRM!$AV$7:$AV$127)</f>
        <v>0</v>
      </c>
      <c r="AX13" s="620"/>
      <c r="AY13" s="620">
        <f t="shared" si="11"/>
        <v>0</v>
      </c>
      <c r="AZ13" s="625"/>
      <c r="BA13" s="550">
        <f>+SUMIF(WRM!$C$7:$C$127,$D13,WRM!$AZ$7:$AZ$127)</f>
        <v>0</v>
      </c>
      <c r="BB13" s="625"/>
      <c r="BC13" s="2151">
        <f t="shared" si="12"/>
        <v>0</v>
      </c>
      <c r="BD13" s="2193"/>
      <c r="BE13" s="1156">
        <f t="shared" si="13"/>
        <v>0</v>
      </c>
      <c r="BF13" s="620"/>
      <c r="BG13" s="620">
        <f t="shared" si="14"/>
        <v>0</v>
      </c>
      <c r="BH13" s="26"/>
      <c r="BI13" s="26"/>
      <c r="BJ13" s="26"/>
    </row>
    <row r="14" spans="3:62" x14ac:dyDescent="0.35">
      <c r="C14" s="2696" t="s">
        <v>16</v>
      </c>
      <c r="D14" s="2697" t="s">
        <v>965</v>
      </c>
      <c r="E14" s="4367"/>
      <c r="F14" s="2696"/>
      <c r="G14" s="550">
        <f>+SUMIF(WRM!$C$7:$C$127,$D14,WRM!$F$7:$F$127)</f>
        <v>559.65</v>
      </c>
      <c r="H14" s="2698"/>
      <c r="I14" s="550">
        <f>+SUMIF(WRM!$C$7:$C$127,$D14,WRM!$H$7:$H$127)</f>
        <v>565.79999999999995</v>
      </c>
      <c r="J14" s="2699"/>
      <c r="K14" s="620">
        <f t="shared" si="0"/>
        <v>1125.4499999999998</v>
      </c>
      <c r="L14" s="2698"/>
      <c r="M14" s="550">
        <f>+SUMIF(WRM!$C$7:$C$127,$D14,WRM!$L$7:$L$127)</f>
        <v>502.24999999999994</v>
      </c>
      <c r="N14" s="2700"/>
      <c r="O14" s="625">
        <f t="shared" si="1"/>
        <v>1627.6999999999998</v>
      </c>
      <c r="P14" s="2698"/>
      <c r="Q14" s="550">
        <f>+SUMIF(WRM!$C$7:$C$127,$D14,WRM!P$7:$P$127)</f>
        <v>338.25</v>
      </c>
      <c r="R14" s="2700"/>
      <c r="S14" s="625">
        <f t="shared" si="2"/>
        <v>1965.9499999999998</v>
      </c>
      <c r="T14" s="2698"/>
      <c r="U14" s="550">
        <f>+SUMIF(WRM!$C$7:$C$127,$D14,WRM!$T$7:T$127)</f>
        <v>338.25</v>
      </c>
      <c r="V14" s="2700"/>
      <c r="W14" s="625">
        <f t="shared" si="3"/>
        <v>2304.1999999999998</v>
      </c>
      <c r="X14" s="2700"/>
      <c r="Y14" s="550">
        <f>+SUMIF(WRM!$C$7:$C$127,$D14,WRM!$X$7:X$127)</f>
        <v>319.8</v>
      </c>
      <c r="Z14" s="2700"/>
      <c r="AA14" s="2151">
        <f t="shared" si="4"/>
        <v>996.3</v>
      </c>
      <c r="AB14" s="2193"/>
      <c r="AC14" s="1156">
        <f t="shared" si="5"/>
        <v>2624</v>
      </c>
      <c r="AD14" s="2700"/>
      <c r="AE14" s="550">
        <f>+SUMIF(WRM!$C$7:$C$127,$D14,WRM!$AD$7:$AD$127)</f>
        <v>0</v>
      </c>
      <c r="AF14" s="2700"/>
      <c r="AG14" s="625">
        <f t="shared" si="6"/>
        <v>2624</v>
      </c>
      <c r="AH14" s="2700"/>
      <c r="AI14" s="550">
        <f>+SUMIF(WRM!$C$7:$C$127,$D14,WRM!$AH$7:$AH$127)</f>
        <v>0</v>
      </c>
      <c r="AJ14" s="2699"/>
      <c r="AK14" s="620">
        <f t="shared" si="7"/>
        <v>2624</v>
      </c>
      <c r="AL14" s="2700"/>
      <c r="AM14" s="550">
        <f>+SUMIF(WRM!$C$7:$C$127,$D14,WRM!$AL$7:$AL$127)</f>
        <v>709.30000000000007</v>
      </c>
      <c r="AN14" s="2700"/>
      <c r="AO14" s="2151">
        <f t="shared" si="8"/>
        <v>709.30000000000007</v>
      </c>
      <c r="AP14" s="2699"/>
      <c r="AQ14" s="620">
        <f t="shared" si="9"/>
        <v>3333.3</v>
      </c>
      <c r="AR14" s="2700"/>
      <c r="AS14" s="550">
        <f>+SUMIF(WRM!$C$7:$C$127,$D14,WRM!$AR$7:$AR$127)</f>
        <v>699.05</v>
      </c>
      <c r="AT14" s="2699"/>
      <c r="AU14" s="620">
        <f t="shared" si="10"/>
        <v>4032.3500000000004</v>
      </c>
      <c r="AV14" s="2700"/>
      <c r="AW14" s="550">
        <f>+SUMIF(WRM!$C$7:$C$127,$D14,WRM!$AV$7:$AV$127)</f>
        <v>0</v>
      </c>
      <c r="AX14" s="2699"/>
      <c r="AY14" s="620">
        <f t="shared" si="11"/>
        <v>4032.3500000000004</v>
      </c>
      <c r="AZ14" s="2700"/>
      <c r="BA14" s="550">
        <f>+SUMIF(WRM!$C$7:$C$127,$D14,WRM!$AZ$7:$AZ$127)</f>
        <v>120.95</v>
      </c>
      <c r="BB14" s="2700"/>
      <c r="BC14" s="2151">
        <f t="shared" si="12"/>
        <v>820</v>
      </c>
      <c r="BD14" s="2701"/>
      <c r="BE14" s="1156">
        <f t="shared" si="13"/>
        <v>1529.3000000000002</v>
      </c>
      <c r="BF14" s="2699"/>
      <c r="BG14" s="620">
        <f t="shared" si="14"/>
        <v>4153.3</v>
      </c>
      <c r="BH14" s="26"/>
      <c r="BI14" s="26"/>
      <c r="BJ14" s="26"/>
    </row>
    <row r="15" spans="3:62" x14ac:dyDescent="0.35">
      <c r="C15" s="549" t="s">
        <v>16</v>
      </c>
      <c r="D15" s="1607" t="s">
        <v>964</v>
      </c>
      <c r="E15" s="4367"/>
      <c r="F15" s="549"/>
      <c r="G15" s="550">
        <f>+SUMIF(WRM!$C$7:$C$127,$D15,WRM!$F$7:$F$127)</f>
        <v>596.54999999999995</v>
      </c>
      <c r="H15" s="550"/>
      <c r="I15" s="550">
        <f>+SUMIF(WRM!$C$7:$C$127,$D15,WRM!$H$7:$H$127)</f>
        <v>906.1</v>
      </c>
      <c r="J15" s="620"/>
      <c r="K15" s="620">
        <f t="shared" si="0"/>
        <v>1502.65</v>
      </c>
      <c r="L15" s="550"/>
      <c r="M15" s="550">
        <f>+SUMIF(WRM!$C$7:$C$127,$D15,WRM!$L$7:$L$127)</f>
        <v>1012.7</v>
      </c>
      <c r="N15" s="625"/>
      <c r="O15" s="625">
        <f t="shared" si="1"/>
        <v>2515.3500000000004</v>
      </c>
      <c r="P15" s="550"/>
      <c r="Q15" s="550">
        <f>+SUMIF(WRM!$C$7:$C$127,$D15,WRM!P$7:$P$127)</f>
        <v>1246.3999999999999</v>
      </c>
      <c r="R15" s="625"/>
      <c r="S15" s="625">
        <f t="shared" si="2"/>
        <v>3761.75</v>
      </c>
      <c r="T15" s="550"/>
      <c r="U15" s="550">
        <f>+SUMIF(WRM!$C$7:$C$127,$D15,WRM!$T$7:T$127)</f>
        <v>1609.25</v>
      </c>
      <c r="V15" s="625"/>
      <c r="W15" s="625">
        <f t="shared" si="3"/>
        <v>5371</v>
      </c>
      <c r="X15" s="625"/>
      <c r="Y15" s="550">
        <f>+SUMIF(WRM!$C$7:$C$127,$D15,WRM!$X$7:X$127)</f>
        <v>1783.5</v>
      </c>
      <c r="Z15" s="625"/>
      <c r="AA15" s="2151">
        <f t="shared" si="4"/>
        <v>4639.1499999999996</v>
      </c>
      <c r="AB15" s="2193"/>
      <c r="AC15" s="1156">
        <f t="shared" si="5"/>
        <v>7154.5</v>
      </c>
      <c r="AD15" s="625"/>
      <c r="AE15" s="550">
        <f>+SUMIF(WRM!$C$7:$C$127,$D15,WRM!$AD$7:$AD$127)</f>
        <v>813.85</v>
      </c>
      <c r="AF15" s="625"/>
      <c r="AG15" s="625">
        <f t="shared" si="6"/>
        <v>7968.35</v>
      </c>
      <c r="AH15" s="625"/>
      <c r="AI15" s="550">
        <f>+SUMIF(WRM!$C$7:$C$127,$D15,WRM!$AH$7:$AH$127)</f>
        <v>1603.1000000000001</v>
      </c>
      <c r="AJ15" s="620"/>
      <c r="AK15" s="620">
        <f t="shared" si="7"/>
        <v>9571.4500000000007</v>
      </c>
      <c r="AL15" s="625"/>
      <c r="AM15" s="550">
        <f>+SUMIF(WRM!$C$7:$C$127,$D15,WRM!$AL$7:$AL$127)</f>
        <v>1227.9500000000003</v>
      </c>
      <c r="AN15" s="625"/>
      <c r="AO15" s="2151">
        <f t="shared" si="8"/>
        <v>3644.9000000000005</v>
      </c>
      <c r="AP15" s="620"/>
      <c r="AQ15" s="620">
        <f t="shared" si="9"/>
        <v>10799.400000000001</v>
      </c>
      <c r="AR15" s="625"/>
      <c r="AS15" s="550">
        <f>+SUMIF(WRM!$C$7:$C$127,$D15,WRM!$AR$7:$AR$127)</f>
        <v>2457.9500000000003</v>
      </c>
      <c r="AT15" s="620"/>
      <c r="AU15" s="620">
        <f t="shared" si="10"/>
        <v>13257.350000000002</v>
      </c>
      <c r="AV15" s="625"/>
      <c r="AW15" s="550">
        <f>+SUMIF(WRM!$C$7:$C$127,$D15,WRM!$AV$7:$AV$127)</f>
        <v>1457.5500000000004</v>
      </c>
      <c r="AX15" s="620"/>
      <c r="AY15" s="620">
        <f t="shared" si="11"/>
        <v>14714.900000000003</v>
      </c>
      <c r="AZ15" s="625"/>
      <c r="BA15" s="550">
        <f>+SUMIF(WRM!$C$7:$C$127,$D15,WRM!$AZ$7:$AZ$127)</f>
        <v>1371.4499999999998</v>
      </c>
      <c r="BB15" s="625"/>
      <c r="BC15" s="2151">
        <f t="shared" si="12"/>
        <v>5286.9500000000007</v>
      </c>
      <c r="BD15" s="2193"/>
      <c r="BE15" s="1156">
        <f t="shared" si="13"/>
        <v>8931.8500000000022</v>
      </c>
      <c r="BF15" s="620"/>
      <c r="BG15" s="620">
        <f t="shared" si="14"/>
        <v>16086.350000000002</v>
      </c>
      <c r="BH15" s="26"/>
      <c r="BI15" s="26"/>
      <c r="BJ15" s="26"/>
    </row>
    <row r="16" spans="3:62" x14ac:dyDescent="0.35">
      <c r="C16" s="549" t="s">
        <v>16</v>
      </c>
      <c r="D16" s="1607" t="s">
        <v>1126</v>
      </c>
      <c r="E16" s="4367"/>
      <c r="F16" s="549"/>
      <c r="G16" s="550">
        <f>+SUMIF(WRM!$C$7:$C$127,$D16,WRM!$F$7:$F$127)</f>
        <v>252.14999999999998</v>
      </c>
      <c r="H16" s="550"/>
      <c r="I16" s="550">
        <f>+SUMIF(WRM!$C$7:$C$127,$D16,WRM!$H$7:$H$127)</f>
        <v>243.95000000000002</v>
      </c>
      <c r="J16" s="620"/>
      <c r="K16" s="620">
        <f t="shared" si="0"/>
        <v>496.1</v>
      </c>
      <c r="L16" s="550"/>
      <c r="M16" s="550">
        <f>+SUMIF(WRM!$C$7:$C$127,$D16,WRM!$L$7:$L$127)</f>
        <v>0</v>
      </c>
      <c r="N16" s="625"/>
      <c r="O16" s="625">
        <f t="shared" si="1"/>
        <v>496.1</v>
      </c>
      <c r="P16" s="550"/>
      <c r="Q16" s="550">
        <f>+SUMIF(WRM!$C$7:$C$127,$D16,WRM!P$7:$P$127)</f>
        <v>202.95</v>
      </c>
      <c r="R16" s="625"/>
      <c r="S16" s="625">
        <f t="shared" si="2"/>
        <v>699.05</v>
      </c>
      <c r="T16" s="550"/>
      <c r="U16" s="550">
        <f>+SUMIF(WRM!$C$7:$C$127,$D16,WRM!$T$7:T$127)</f>
        <v>399.74999999999994</v>
      </c>
      <c r="V16" s="625"/>
      <c r="W16" s="625">
        <f t="shared" si="3"/>
        <v>1098.8</v>
      </c>
      <c r="X16" s="625"/>
      <c r="Y16" s="550">
        <f>+SUMIF(WRM!$C$7:$C$127,$D16,WRM!$X$7:X$127)</f>
        <v>0</v>
      </c>
      <c r="Z16" s="625"/>
      <c r="AA16" s="2151">
        <f t="shared" si="4"/>
        <v>602.69999999999993</v>
      </c>
      <c r="AB16" s="2193"/>
      <c r="AC16" s="1156">
        <f t="shared" si="5"/>
        <v>1098.8</v>
      </c>
      <c r="AD16" s="625"/>
      <c r="AE16" s="550">
        <f>+SUMIF(WRM!$C$7:$C$127,$D16,WRM!$AD$7:$AD$127)</f>
        <v>0</v>
      </c>
      <c r="AF16" s="625"/>
      <c r="AG16" s="625">
        <f t="shared" si="6"/>
        <v>1098.8</v>
      </c>
      <c r="AH16" s="625"/>
      <c r="AI16" s="550">
        <f>+SUMIF(WRM!$C$7:$C$127,$D16,WRM!$AH$7:$AH$127)</f>
        <v>0</v>
      </c>
      <c r="AJ16" s="620"/>
      <c r="AK16" s="620">
        <f t="shared" si="7"/>
        <v>1098.8</v>
      </c>
      <c r="AL16" s="625"/>
      <c r="AM16" s="550">
        <f>+SUMIF(WRM!$C$7:$C$127,$D16,WRM!$AL$7:$AL$127)</f>
        <v>340.3</v>
      </c>
      <c r="AN16" s="625"/>
      <c r="AO16" s="2151">
        <f t="shared" si="8"/>
        <v>340.3</v>
      </c>
      <c r="AP16" s="620"/>
      <c r="AQ16" s="620">
        <f t="shared" si="9"/>
        <v>1439.1</v>
      </c>
      <c r="AR16" s="625"/>
      <c r="AS16" s="550">
        <f>+SUMIF(WRM!$C$7:$C$127,$D16,WRM!$AR$7:$AR$127)</f>
        <v>594.5</v>
      </c>
      <c r="AT16" s="620"/>
      <c r="AU16" s="620">
        <f t="shared" si="10"/>
        <v>2033.6</v>
      </c>
      <c r="AV16" s="625"/>
      <c r="AW16" s="550">
        <f>+SUMIF(WRM!$C$7:$C$127,$D16,WRM!$AV$7:$AV$127)</f>
        <v>291.10000000000002</v>
      </c>
      <c r="AX16" s="620"/>
      <c r="AY16" s="620">
        <f t="shared" si="11"/>
        <v>2324.6999999999998</v>
      </c>
      <c r="AZ16" s="625"/>
      <c r="BA16" s="550">
        <f>+SUMIF(WRM!$C$7:$C$127,$D16,WRM!$AZ$7:$AZ$127)</f>
        <v>0</v>
      </c>
      <c r="BB16" s="625"/>
      <c r="BC16" s="2151">
        <f t="shared" si="12"/>
        <v>885.6</v>
      </c>
      <c r="BD16" s="2193"/>
      <c r="BE16" s="1156">
        <f t="shared" si="13"/>
        <v>1225.9000000000001</v>
      </c>
      <c r="BF16" s="620"/>
      <c r="BG16" s="620">
        <f t="shared" si="14"/>
        <v>2324.6999999999998</v>
      </c>
      <c r="BH16" s="26"/>
      <c r="BI16" s="26"/>
      <c r="BJ16" s="26"/>
    </row>
    <row r="17" spans="3:62" x14ac:dyDescent="0.35">
      <c r="C17" s="549" t="s">
        <v>16</v>
      </c>
      <c r="D17" s="1607" t="s">
        <v>966</v>
      </c>
      <c r="E17" s="4367"/>
      <c r="F17" s="549"/>
      <c r="G17" s="550">
        <f>+SUMIF(WRM!$C$7:$C$127,$D17,WRM!$F$7:$F$127)</f>
        <v>1332.4999999999995</v>
      </c>
      <c r="H17" s="550"/>
      <c r="I17" s="550">
        <f>+SUMIF(WRM!$C$7:$C$127,$D17,WRM!$H$7:$H$127)</f>
        <v>2177.1</v>
      </c>
      <c r="J17" s="620"/>
      <c r="K17" s="620">
        <f t="shared" si="0"/>
        <v>3509.5999999999995</v>
      </c>
      <c r="L17" s="550"/>
      <c r="M17" s="550">
        <f>+SUMIF(WRM!$C$7:$C$127,$D17,WRM!$L$7:$L$127)</f>
        <v>1922.8999999999994</v>
      </c>
      <c r="N17" s="625"/>
      <c r="O17" s="625">
        <f t="shared" si="1"/>
        <v>5432.4999999999991</v>
      </c>
      <c r="P17" s="550"/>
      <c r="Q17" s="550">
        <f>+SUMIF(WRM!$C$7:$C$127,$D17,WRM!P$7:$P$127)</f>
        <v>1215.6499999999999</v>
      </c>
      <c r="R17" s="625"/>
      <c r="S17" s="625">
        <f t="shared" si="2"/>
        <v>6648.1499999999987</v>
      </c>
      <c r="T17" s="550"/>
      <c r="U17" s="550">
        <f>+SUMIF(WRM!$C$7:$C$127,$D17,WRM!$T$7:T$127)</f>
        <v>2285.7500000000005</v>
      </c>
      <c r="V17" s="625"/>
      <c r="W17" s="625">
        <f t="shared" si="3"/>
        <v>8933.9</v>
      </c>
      <c r="X17" s="625"/>
      <c r="Y17" s="550">
        <f>+SUMIF(WRM!$C$7:$C$127,$D17,WRM!$X$7:X$127)</f>
        <v>1029.0999999999999</v>
      </c>
      <c r="Z17" s="625"/>
      <c r="AA17" s="2151">
        <f t="shared" si="4"/>
        <v>4530.5</v>
      </c>
      <c r="AB17" s="2193"/>
      <c r="AC17" s="1156">
        <f t="shared" si="5"/>
        <v>9963</v>
      </c>
      <c r="AD17" s="625"/>
      <c r="AE17" s="550">
        <f>+SUMIF(WRM!$C$7:$C$127,$D17,WRM!$AD$7:$AD$127)</f>
        <v>861.00000000000023</v>
      </c>
      <c r="AF17" s="625"/>
      <c r="AG17" s="625">
        <f t="shared" si="6"/>
        <v>10824</v>
      </c>
      <c r="AH17" s="625"/>
      <c r="AI17" s="550">
        <f>+SUMIF(WRM!$C$7:$C$127,$D17,WRM!$AH$7:$AH$127)</f>
        <v>2410.8000000000002</v>
      </c>
      <c r="AJ17" s="620"/>
      <c r="AK17" s="620">
        <f t="shared" si="7"/>
        <v>13234.8</v>
      </c>
      <c r="AL17" s="625"/>
      <c r="AM17" s="550">
        <f>+SUMIF(WRM!$C$7:$C$127,$D17,WRM!$AL$7:$AL$127)</f>
        <v>711.34999999999991</v>
      </c>
      <c r="AN17" s="625"/>
      <c r="AO17" s="2151">
        <f t="shared" si="8"/>
        <v>3983.15</v>
      </c>
      <c r="AP17" s="620"/>
      <c r="AQ17" s="620">
        <f t="shared" si="9"/>
        <v>13946.15</v>
      </c>
      <c r="AR17" s="625"/>
      <c r="AS17" s="550">
        <f>+SUMIF(WRM!$C$7:$C$127,$D17,WRM!$AR$7:$AR$127)</f>
        <v>2103.3000000000002</v>
      </c>
      <c r="AT17" s="620"/>
      <c r="AU17" s="620">
        <f t="shared" si="10"/>
        <v>16049.45</v>
      </c>
      <c r="AV17" s="625"/>
      <c r="AW17" s="550">
        <f>+SUMIF(WRM!$C$7:$C$127,$D17,WRM!$AV$7:$AV$127)</f>
        <v>1033.1999999999998</v>
      </c>
      <c r="AX17" s="620"/>
      <c r="AY17" s="620">
        <f t="shared" si="11"/>
        <v>17082.650000000001</v>
      </c>
      <c r="AZ17" s="625"/>
      <c r="BA17" s="550">
        <f>+SUMIF(WRM!$C$7:$C$127,$D17,WRM!$AZ$7:$AZ$127)</f>
        <v>2339.0499999999997</v>
      </c>
      <c r="BB17" s="625"/>
      <c r="BC17" s="2151">
        <f t="shared" si="12"/>
        <v>5475.5499999999993</v>
      </c>
      <c r="BD17" s="2193"/>
      <c r="BE17" s="1156">
        <f t="shared" si="13"/>
        <v>9458.6999999999989</v>
      </c>
      <c r="BF17" s="620"/>
      <c r="BG17" s="620">
        <f t="shared" si="14"/>
        <v>19421.7</v>
      </c>
      <c r="BH17" s="26"/>
      <c r="BI17" s="26"/>
      <c r="BJ17" s="26"/>
    </row>
    <row r="18" spans="3:62" x14ac:dyDescent="0.35">
      <c r="C18" s="549" t="s">
        <v>16</v>
      </c>
      <c r="D18" s="1607" t="s">
        <v>1130</v>
      </c>
      <c r="E18" s="4367"/>
      <c r="F18" s="549"/>
      <c r="G18" s="550">
        <f>+SUMIF(WRM!$C$7:$C$127,$D18,WRM!$F$7:$F$127)</f>
        <v>18.45</v>
      </c>
      <c r="H18" s="550"/>
      <c r="I18" s="550">
        <f>+SUMIF(WRM!$C$7:$C$127,$D18,WRM!$H$7:$H$127)</f>
        <v>4.0999999999999996</v>
      </c>
      <c r="J18" s="620"/>
      <c r="K18" s="620">
        <f t="shared" si="0"/>
        <v>22.549999999999997</v>
      </c>
      <c r="L18" s="550"/>
      <c r="M18" s="550">
        <f>+SUMIF(WRM!$C$7:$C$127,$D18,WRM!$L$7:$L$127)</f>
        <v>98.4</v>
      </c>
      <c r="N18" s="625"/>
      <c r="O18" s="625">
        <f t="shared" si="1"/>
        <v>120.95</v>
      </c>
      <c r="P18" s="550"/>
      <c r="Q18" s="550">
        <f>+SUMIF(WRM!$C$7:$C$127,$D18,WRM!P$7:$P$127)</f>
        <v>6.1499999999999995</v>
      </c>
      <c r="R18" s="625"/>
      <c r="S18" s="625">
        <f t="shared" si="2"/>
        <v>127.10000000000001</v>
      </c>
      <c r="T18" s="550"/>
      <c r="U18" s="550">
        <f>+SUMIF(WRM!$C$7:$C$127,$D18,WRM!$T$7:T$127)</f>
        <v>6.15</v>
      </c>
      <c r="V18" s="625"/>
      <c r="W18" s="625">
        <f t="shared" si="3"/>
        <v>133.25</v>
      </c>
      <c r="X18" s="625"/>
      <c r="Y18" s="550">
        <f>+SUMIF(WRM!$C$7:$C$127,$D18,WRM!$X$7:X$127)</f>
        <v>0</v>
      </c>
      <c r="Z18" s="625"/>
      <c r="AA18" s="2151">
        <f t="shared" si="4"/>
        <v>12.3</v>
      </c>
      <c r="AB18" s="2193"/>
      <c r="AC18" s="1156">
        <f t="shared" si="5"/>
        <v>133.25</v>
      </c>
      <c r="AD18" s="625"/>
      <c r="AE18" s="550">
        <f>+SUMIF(WRM!$C$7:$C$127,$D18,WRM!$AD$7:$AD$127)</f>
        <v>94.3</v>
      </c>
      <c r="AF18" s="625"/>
      <c r="AG18" s="625">
        <f t="shared" si="6"/>
        <v>227.55</v>
      </c>
      <c r="AH18" s="625"/>
      <c r="AI18" s="550">
        <f>+SUMIF(WRM!$C$7:$C$127,$D18,WRM!$AH$7:$AH$127)</f>
        <v>2.0499999999999998</v>
      </c>
      <c r="AJ18" s="620"/>
      <c r="AK18" s="620">
        <f t="shared" si="7"/>
        <v>229.60000000000002</v>
      </c>
      <c r="AL18" s="625"/>
      <c r="AM18" s="550">
        <f>+SUMIF(WRM!$C$7:$C$127,$D18,WRM!$AL$7:$AL$127)</f>
        <v>92.25</v>
      </c>
      <c r="AN18" s="625"/>
      <c r="AO18" s="2151">
        <f t="shared" si="8"/>
        <v>188.6</v>
      </c>
      <c r="AP18" s="620"/>
      <c r="AQ18" s="620">
        <f t="shared" si="9"/>
        <v>321.85000000000002</v>
      </c>
      <c r="AR18" s="625"/>
      <c r="AS18" s="550">
        <f>+SUMIF(WRM!$C$7:$C$127,$D18,WRM!$AR$7:$AR$127)</f>
        <v>0</v>
      </c>
      <c r="AT18" s="620"/>
      <c r="AU18" s="620">
        <f t="shared" si="10"/>
        <v>321.85000000000002</v>
      </c>
      <c r="AV18" s="625"/>
      <c r="AW18" s="550">
        <f>+SUMIF(WRM!$C$7:$C$127,$D18,WRM!$AV$7:$AV$127)</f>
        <v>225.5</v>
      </c>
      <c r="AX18" s="620"/>
      <c r="AY18" s="620">
        <f t="shared" si="11"/>
        <v>547.35</v>
      </c>
      <c r="AZ18" s="625"/>
      <c r="BA18" s="550">
        <f>+SUMIF(WRM!$C$7:$C$127,$D18,WRM!$AZ$7:$AZ$127)</f>
        <v>53.3</v>
      </c>
      <c r="BB18" s="625"/>
      <c r="BC18" s="2151">
        <f t="shared" si="12"/>
        <v>278.8</v>
      </c>
      <c r="BD18" s="2193"/>
      <c r="BE18" s="1156">
        <f t="shared" si="13"/>
        <v>467.4</v>
      </c>
      <c r="BF18" s="620"/>
      <c r="BG18" s="620">
        <f t="shared" si="14"/>
        <v>600.65</v>
      </c>
      <c r="BH18" s="26"/>
      <c r="BI18" s="26"/>
      <c r="BJ18" s="26"/>
    </row>
    <row r="19" spans="3:62" x14ac:dyDescent="0.35">
      <c r="C19" s="549" t="s">
        <v>16</v>
      </c>
      <c r="D19" s="1607" t="s">
        <v>967</v>
      </c>
      <c r="E19" s="4367"/>
      <c r="F19" s="549"/>
      <c r="G19" s="550">
        <f>+SUMIF(WRM!$C$7:$C$127,$D19,WRM!$F$7:$F$127)</f>
        <v>108.65</v>
      </c>
      <c r="H19" s="550"/>
      <c r="I19" s="550">
        <f>+SUMIF(WRM!$C$7:$C$127,$D19,WRM!$H$7:$H$127)</f>
        <v>0</v>
      </c>
      <c r="J19" s="620"/>
      <c r="K19" s="620">
        <f t="shared" si="0"/>
        <v>108.65</v>
      </c>
      <c r="L19" s="550"/>
      <c r="M19" s="550">
        <f>+SUMIF(WRM!$C$7:$C$127,$D19,WRM!$L$7:$L$127)</f>
        <v>0</v>
      </c>
      <c r="N19" s="625"/>
      <c r="O19" s="625">
        <f t="shared" si="1"/>
        <v>108.65</v>
      </c>
      <c r="P19" s="550"/>
      <c r="Q19" s="550">
        <f>+SUMIF(WRM!$C$7:$C$127,$D19,WRM!P$7:$P$127)</f>
        <v>0</v>
      </c>
      <c r="R19" s="625"/>
      <c r="S19" s="625">
        <f t="shared" si="2"/>
        <v>108.65</v>
      </c>
      <c r="T19" s="550"/>
      <c r="U19" s="550">
        <f>+SUMIF(WRM!$C$7:$C$127,$D19,WRM!$T$7:T$127)</f>
        <v>0</v>
      </c>
      <c r="V19" s="625"/>
      <c r="W19" s="625">
        <f t="shared" si="3"/>
        <v>108.65</v>
      </c>
      <c r="X19" s="625"/>
      <c r="Y19" s="550">
        <f>+SUMIF(WRM!$C$7:$C$127,$D19,WRM!$X$7:X$127)</f>
        <v>0</v>
      </c>
      <c r="Z19" s="625"/>
      <c r="AA19" s="2151">
        <f t="shared" si="4"/>
        <v>0</v>
      </c>
      <c r="AB19" s="2193"/>
      <c r="AC19" s="1156">
        <f t="shared" si="5"/>
        <v>108.65</v>
      </c>
      <c r="AD19" s="625"/>
      <c r="AE19" s="550">
        <f>+SUMIF(WRM!$C$7:$C$127,$D19,WRM!$AD$7:$AD$127)</f>
        <v>0</v>
      </c>
      <c r="AF19" s="625"/>
      <c r="AG19" s="625">
        <f t="shared" si="6"/>
        <v>108.65</v>
      </c>
      <c r="AH19" s="625"/>
      <c r="AI19" s="550">
        <f>+SUMIF(WRM!$C$7:$C$127,$D19,WRM!$AH$7:$AH$127)</f>
        <v>0</v>
      </c>
      <c r="AJ19" s="620"/>
      <c r="AK19" s="620">
        <f t="shared" si="7"/>
        <v>108.65</v>
      </c>
      <c r="AL19" s="625"/>
      <c r="AM19" s="550">
        <f>+SUMIF(WRM!$C$7:$C$127,$D19,WRM!$AL$7:$AL$127)</f>
        <v>82</v>
      </c>
      <c r="AN19" s="625"/>
      <c r="AO19" s="2151">
        <f t="shared" si="8"/>
        <v>82</v>
      </c>
      <c r="AP19" s="620"/>
      <c r="AQ19" s="620">
        <f t="shared" si="9"/>
        <v>190.65</v>
      </c>
      <c r="AR19" s="625"/>
      <c r="AS19" s="550">
        <f>+SUMIF(WRM!$C$7:$C$127,$D19,WRM!$AR$7:$AR$127)</f>
        <v>0</v>
      </c>
      <c r="AT19" s="620"/>
      <c r="AU19" s="620">
        <f t="shared" si="10"/>
        <v>190.65</v>
      </c>
      <c r="AV19" s="625"/>
      <c r="AW19" s="550">
        <f>+SUMIF(WRM!$C$7:$C$127,$D19,WRM!$AV$7:$AV$127)</f>
        <v>375.15</v>
      </c>
      <c r="AX19" s="620"/>
      <c r="AY19" s="620">
        <f t="shared" si="11"/>
        <v>565.79999999999995</v>
      </c>
      <c r="AZ19" s="625"/>
      <c r="BA19" s="550">
        <f>+SUMIF(WRM!$C$7:$C$127,$D19,WRM!$AZ$7:$AZ$127)</f>
        <v>0</v>
      </c>
      <c r="BB19" s="625"/>
      <c r="BC19" s="2151">
        <f t="shared" si="12"/>
        <v>375.15</v>
      </c>
      <c r="BD19" s="2193"/>
      <c r="BE19" s="1156">
        <f t="shared" si="13"/>
        <v>457.15</v>
      </c>
      <c r="BF19" s="620"/>
      <c r="BG19" s="620">
        <f t="shared" si="14"/>
        <v>565.79999999999995</v>
      </c>
      <c r="BH19" s="26"/>
      <c r="BI19" s="26"/>
      <c r="BJ19" s="26"/>
    </row>
    <row r="20" spans="3:62" x14ac:dyDescent="0.35">
      <c r="C20" s="4369" t="s">
        <v>16</v>
      </c>
      <c r="D20" s="4370" t="s">
        <v>1844</v>
      </c>
      <c r="E20" s="4367"/>
      <c r="F20" s="4369"/>
      <c r="G20" s="550">
        <f>+SUMIF(WRM!$C$7:$C$127,$D20,WRM!$F$7:$F$127)</f>
        <v>0</v>
      </c>
      <c r="H20" s="550"/>
      <c r="I20" s="550">
        <f>+SUMIF(WRM!$C$7:$C$127,$D20,WRM!$H$7:$H$127)</f>
        <v>0</v>
      </c>
      <c r="J20" s="620"/>
      <c r="K20" s="620">
        <f t="shared" ref="K20:K21" si="15">+G20+I20</f>
        <v>0</v>
      </c>
      <c r="L20" s="550"/>
      <c r="M20" s="550">
        <f>+SUMIF(WRM!$C$7:$C$127,$D20,WRM!$L$7:$L$127)</f>
        <v>79.95</v>
      </c>
      <c r="N20" s="625"/>
      <c r="O20" s="625">
        <f t="shared" si="1"/>
        <v>79.95</v>
      </c>
      <c r="P20" s="550"/>
      <c r="Q20" s="550">
        <f>+SUMIF(WRM!$C$7:$C$127,$D20,WRM!P$7:$P$127)</f>
        <v>0</v>
      </c>
      <c r="R20" s="625"/>
      <c r="S20" s="625">
        <f t="shared" ref="S20:S21" si="16">O20+Q20</f>
        <v>79.95</v>
      </c>
      <c r="T20" s="550"/>
      <c r="U20" s="550">
        <f>+SUMIF(WRM!$C$7:$C$127,$D20,WRM!$T$7:T$127)</f>
        <v>0</v>
      </c>
      <c r="V20" s="625"/>
      <c r="W20" s="625">
        <f t="shared" ref="W20:W21" si="17">S20+U20</f>
        <v>79.95</v>
      </c>
      <c r="X20" s="625"/>
      <c r="Y20" s="550">
        <f>+SUMIF(WRM!$C$7:$C$127,$D20,WRM!$X$7:X$127)</f>
        <v>0</v>
      </c>
      <c r="Z20" s="625"/>
      <c r="AA20" s="2151">
        <f t="shared" si="4"/>
        <v>0</v>
      </c>
      <c r="AB20" s="2193"/>
      <c r="AC20" s="1156">
        <f t="shared" si="5"/>
        <v>79.95</v>
      </c>
      <c r="AD20" s="625"/>
      <c r="AE20" s="550">
        <f>+SUMIF(WRM!$C$7:$C$127,$D20,WRM!$AD$7:$AD$127)</f>
        <v>0</v>
      </c>
      <c r="AF20" s="625"/>
      <c r="AG20" s="625">
        <f t="shared" si="6"/>
        <v>79.95</v>
      </c>
      <c r="AH20" s="625"/>
      <c r="AI20" s="550">
        <f>+SUMIF(WRM!$C$7:$C$127,$D20,WRM!$AH$7:$AH$127)</f>
        <v>0</v>
      </c>
      <c r="AJ20" s="620"/>
      <c r="AK20" s="620">
        <f t="shared" si="7"/>
        <v>79.95</v>
      </c>
      <c r="AL20" s="625"/>
      <c r="AM20" s="550">
        <f>+SUMIF(WRM!$C$7:$C$127,$D20,WRM!$AL$7:$AL$127)</f>
        <v>0</v>
      </c>
      <c r="AN20" s="625"/>
      <c r="AO20" s="2151">
        <f t="shared" ref="AO20:AO21" si="18">AE20+AI20+AM20</f>
        <v>0</v>
      </c>
      <c r="AP20" s="620"/>
      <c r="AQ20" s="620">
        <f t="shared" si="9"/>
        <v>79.95</v>
      </c>
      <c r="AR20" s="625"/>
      <c r="AS20" s="550">
        <f>+SUMIF(WRM!$C$7:$C$127,$D20,WRM!$AR$7:$AR$127)</f>
        <v>0</v>
      </c>
      <c r="AT20" s="620"/>
      <c r="AU20" s="620">
        <f t="shared" ref="AU20:AU21" si="19">AQ20+AS20</f>
        <v>79.95</v>
      </c>
      <c r="AV20" s="625"/>
      <c r="AW20" s="550">
        <f>+SUMIF(WRM!$C$7:$C$127,$D20,WRM!$AV$7:$AV$127)</f>
        <v>0</v>
      </c>
      <c r="AX20" s="620"/>
      <c r="AY20" s="620">
        <f t="shared" si="11"/>
        <v>79.95</v>
      </c>
      <c r="AZ20" s="625"/>
      <c r="BA20" s="550">
        <f>+SUMIF(WRM!$C$7:$C$127,$D20,WRM!$AZ$7:$AZ$127)</f>
        <v>0</v>
      </c>
      <c r="BB20" s="625"/>
      <c r="BC20" s="2151">
        <f t="shared" si="12"/>
        <v>0</v>
      </c>
      <c r="BD20" s="2193"/>
      <c r="BE20" s="1156">
        <f t="shared" si="13"/>
        <v>0</v>
      </c>
      <c r="BF20" s="620"/>
      <c r="BG20" s="620">
        <f t="shared" si="14"/>
        <v>79.95</v>
      </c>
      <c r="BH20" s="26"/>
      <c r="BI20" s="26"/>
      <c r="BJ20" s="26"/>
    </row>
    <row r="21" spans="3:62" x14ac:dyDescent="0.35">
      <c r="C21" s="4369" t="s">
        <v>16</v>
      </c>
      <c r="D21" s="4370" t="s">
        <v>1845</v>
      </c>
      <c r="E21" s="4367"/>
      <c r="F21" s="4369"/>
      <c r="G21" s="550">
        <f>+SUMIF(WRM!$C$7:$C$127,$D21,WRM!$F$7:$F$127)</f>
        <v>498.15000000000003</v>
      </c>
      <c r="H21" s="550"/>
      <c r="I21" s="550">
        <f>+SUMIF(WRM!$C$7:$C$127,$D21,WRM!$H$7:$H$127)</f>
        <v>578.1</v>
      </c>
      <c r="J21" s="620"/>
      <c r="K21" s="620">
        <f t="shared" si="15"/>
        <v>1076.25</v>
      </c>
      <c r="L21" s="550"/>
      <c r="M21" s="550">
        <f>+SUMIF(WRM!$C$7:$C$127,$D21,WRM!$L$7:$L$127)</f>
        <v>434.6</v>
      </c>
      <c r="N21" s="625"/>
      <c r="O21" s="625">
        <f t="shared" si="1"/>
        <v>1510.85</v>
      </c>
      <c r="P21" s="550"/>
      <c r="Q21" s="550">
        <f>+SUMIF(WRM!$C$7:$C$127,$D21,WRM!P$7:$P$127)</f>
        <v>0</v>
      </c>
      <c r="R21" s="625"/>
      <c r="S21" s="625">
        <f t="shared" si="16"/>
        <v>1510.85</v>
      </c>
      <c r="T21" s="550"/>
      <c r="U21" s="550">
        <f>+SUMIF(WRM!$C$7:$C$127,$D21,WRM!$T$7:T$127)</f>
        <v>0</v>
      </c>
      <c r="V21" s="625"/>
      <c r="W21" s="625">
        <f t="shared" si="17"/>
        <v>1510.85</v>
      </c>
      <c r="X21" s="625"/>
      <c r="Y21" s="550">
        <f>+SUMIF(WRM!$C$7:$C$127,$D21,WRM!$X$7:X$127)</f>
        <v>0</v>
      </c>
      <c r="Z21" s="625"/>
      <c r="AA21" s="2151">
        <f t="shared" si="4"/>
        <v>0</v>
      </c>
      <c r="AB21" s="2193"/>
      <c r="AC21" s="1156">
        <f t="shared" si="5"/>
        <v>1510.85</v>
      </c>
      <c r="AD21" s="625"/>
      <c r="AE21" s="550">
        <f>+SUMIF(WRM!$C$7:$C$127,$D21,WRM!$AD$7:$AD$127)</f>
        <v>0</v>
      </c>
      <c r="AF21" s="625"/>
      <c r="AG21" s="625">
        <f t="shared" si="6"/>
        <v>1510.85</v>
      </c>
      <c r="AH21" s="625"/>
      <c r="AI21" s="550">
        <f>+SUMIF(WRM!$C$7:$C$127,$D21,WRM!$AH$7:$AH$127)</f>
        <v>0</v>
      </c>
      <c r="AJ21" s="620"/>
      <c r="AK21" s="620">
        <f t="shared" si="7"/>
        <v>1510.85</v>
      </c>
      <c r="AL21" s="625"/>
      <c r="AM21" s="550">
        <f>+SUMIF(WRM!$C$7:$C$127,$D21,WRM!$AL$7:$AL$127)</f>
        <v>0</v>
      </c>
      <c r="AN21" s="625"/>
      <c r="AO21" s="2151">
        <f t="shared" si="18"/>
        <v>0</v>
      </c>
      <c r="AP21" s="620"/>
      <c r="AQ21" s="620">
        <f t="shared" si="9"/>
        <v>1510.85</v>
      </c>
      <c r="AR21" s="625"/>
      <c r="AS21" s="550">
        <f>+SUMIF(WRM!$C$7:$C$127,$D21,WRM!$AR$7:$AR$127)</f>
        <v>0</v>
      </c>
      <c r="AT21" s="620"/>
      <c r="AU21" s="620">
        <f t="shared" si="19"/>
        <v>1510.85</v>
      </c>
      <c r="AV21" s="625"/>
      <c r="AW21" s="550">
        <f>+SUMIF(WRM!$C$7:$C$127,$D21,WRM!$AV$7:$AV$127)</f>
        <v>0</v>
      </c>
      <c r="AX21" s="620"/>
      <c r="AY21" s="620">
        <f t="shared" si="11"/>
        <v>1510.85</v>
      </c>
      <c r="AZ21" s="625"/>
      <c r="BA21" s="550">
        <f>+SUMIF(WRM!$C$7:$C$127,$D21,WRM!$AZ$7:$AZ$127)</f>
        <v>0</v>
      </c>
      <c r="BB21" s="625"/>
      <c r="BC21" s="2151">
        <f t="shared" si="12"/>
        <v>0</v>
      </c>
      <c r="BD21" s="2193"/>
      <c r="BE21" s="1156">
        <f t="shared" si="13"/>
        <v>0</v>
      </c>
      <c r="BF21" s="620"/>
      <c r="BG21" s="620">
        <f t="shared" si="14"/>
        <v>1510.85</v>
      </c>
      <c r="BH21" s="26"/>
      <c r="BI21" s="26"/>
      <c r="BJ21" s="26"/>
    </row>
    <row r="22" spans="3:62" x14ac:dyDescent="0.35">
      <c r="C22" s="4369" t="s">
        <v>16</v>
      </c>
      <c r="D22" s="4370" t="s">
        <v>1808</v>
      </c>
      <c r="E22" s="4367"/>
      <c r="F22" s="4369"/>
      <c r="G22" s="550">
        <f>+SUMIF(WRM!$C$7:$C$127,$D22,WRM!$F$7:$F$127)</f>
        <v>0</v>
      </c>
      <c r="H22" s="550"/>
      <c r="I22" s="550">
        <f>+SUMIF(WRM!$C$7:$C$127,$D22,WRM!$H$7:$H$127)</f>
        <v>0</v>
      </c>
      <c r="J22" s="620"/>
      <c r="K22" s="620">
        <f t="shared" ref="K22" si="20">+G22+I22</f>
        <v>0</v>
      </c>
      <c r="L22" s="550"/>
      <c r="M22" s="550">
        <f>+SUMIF(WRM!$C$7:$C$127,$D22,WRM!$L$7:$L$127)</f>
        <v>0</v>
      </c>
      <c r="N22" s="625"/>
      <c r="O22" s="625">
        <f t="shared" si="1"/>
        <v>0</v>
      </c>
      <c r="P22" s="550"/>
      <c r="Q22" s="550">
        <f>+SUMIF(WRM!$C$7:$C$127,$D22,WRM!P$7:$P$127)</f>
        <v>0</v>
      </c>
      <c r="R22" s="625"/>
      <c r="S22" s="625">
        <f t="shared" ref="S22" si="21">O22+Q22</f>
        <v>0</v>
      </c>
      <c r="T22" s="550"/>
      <c r="U22" s="550">
        <f>+SUMIF(WRM!$C$7:$C$127,$D22,WRM!$T$7:T$127)</f>
        <v>0</v>
      </c>
      <c r="V22" s="625"/>
      <c r="W22" s="625">
        <f t="shared" ref="W22" si="22">S22+U22</f>
        <v>0</v>
      </c>
      <c r="X22" s="625"/>
      <c r="Y22" s="550">
        <f>+SUMIF(WRM!$C$7:$C$127,$D22,WRM!$X$7:X$127)</f>
        <v>0</v>
      </c>
      <c r="Z22" s="625"/>
      <c r="AA22" s="2151">
        <f t="shared" si="4"/>
        <v>0</v>
      </c>
      <c r="AB22" s="2193"/>
      <c r="AC22" s="1156">
        <f t="shared" si="5"/>
        <v>0</v>
      </c>
      <c r="AD22" s="625"/>
      <c r="AE22" s="550">
        <f>+SUMIF(WRM!$C$7:$C$127,$D22,WRM!$AD$7:$AD$127)</f>
        <v>0</v>
      </c>
      <c r="AF22" s="625"/>
      <c r="AG22" s="625">
        <f t="shared" si="6"/>
        <v>0</v>
      </c>
      <c r="AH22" s="625"/>
      <c r="AI22" s="550">
        <f>+SUMIF(WRM!$C$7:$C$127,$D22,WRM!$AH$7:$AH$127)</f>
        <v>0</v>
      </c>
      <c r="AJ22" s="620"/>
      <c r="AK22" s="620">
        <f t="shared" si="7"/>
        <v>0</v>
      </c>
      <c r="AL22" s="625"/>
      <c r="AM22" s="550">
        <f>+SUMIF(WRM!$C$7:$C$127,$D22,WRM!$AL$7:$AL$127)</f>
        <v>0</v>
      </c>
      <c r="AN22" s="625"/>
      <c r="AO22" s="2151">
        <f t="shared" ref="AO22" si="23">AE22+AI22+AM22</f>
        <v>0</v>
      </c>
      <c r="AP22" s="620"/>
      <c r="AQ22" s="620">
        <f t="shared" si="9"/>
        <v>0</v>
      </c>
      <c r="AR22" s="625"/>
      <c r="AS22" s="550">
        <f>+SUMIF(WRM!$C$7:$C$127,$D22,WRM!$AR$7:$AR$127)</f>
        <v>0</v>
      </c>
      <c r="AT22" s="620"/>
      <c r="AU22" s="620">
        <f t="shared" ref="AU22" si="24">AQ22+AS22</f>
        <v>0</v>
      </c>
      <c r="AV22" s="625"/>
      <c r="AW22" s="550">
        <f>+SUMIF(WRM!$C$7:$C$127,$D22,WRM!$AV$7:$AV$127)</f>
        <v>0</v>
      </c>
      <c r="AX22" s="620"/>
      <c r="AY22" s="620">
        <f t="shared" si="11"/>
        <v>0</v>
      </c>
      <c r="AZ22" s="625"/>
      <c r="BA22" s="550">
        <f>+SUMIF(WRM!$C$7:$C$127,$D22,WRM!$AZ$7:$AZ$127)</f>
        <v>0</v>
      </c>
      <c r="BB22" s="625"/>
      <c r="BC22" s="2151">
        <f t="shared" si="12"/>
        <v>0</v>
      </c>
      <c r="BD22" s="2193"/>
      <c r="BE22" s="1156">
        <f t="shared" si="13"/>
        <v>0</v>
      </c>
      <c r="BF22" s="620"/>
      <c r="BG22" s="620">
        <f t="shared" si="14"/>
        <v>0</v>
      </c>
      <c r="BH22" s="26"/>
      <c r="BI22" s="26"/>
      <c r="BJ22" s="26"/>
    </row>
    <row r="23" spans="3:62" x14ac:dyDescent="0.35">
      <c r="C23" s="4369" t="s">
        <v>16</v>
      </c>
      <c r="D23" s="4370" t="s">
        <v>1565</v>
      </c>
      <c r="E23" s="4367"/>
      <c r="F23" s="4369"/>
      <c r="G23" s="550">
        <f>+SUMIF(WRM!$C$7:$C$127,$D23,WRM!$F$7:$F$127)</f>
        <v>627.29999999999995</v>
      </c>
      <c r="H23" s="550"/>
      <c r="I23" s="550">
        <f>+SUMIF(WRM!$C$7:$C$127,$D23,WRM!$H$7:$H$127)</f>
        <v>0</v>
      </c>
      <c r="J23" s="620"/>
      <c r="K23" s="620">
        <f t="shared" ref="K23" si="25">+G23+I23</f>
        <v>627.29999999999995</v>
      </c>
      <c r="L23" s="550"/>
      <c r="M23" s="550">
        <f>+SUMIF(WRM!$C$7:$C$127,$D23,WRM!$L$7:$L$127)</f>
        <v>0</v>
      </c>
      <c r="N23" s="625"/>
      <c r="O23" s="625">
        <f t="shared" si="1"/>
        <v>627.29999999999995</v>
      </c>
      <c r="P23" s="550"/>
      <c r="Q23" s="550">
        <f>+SUMIF(WRM!$C$7:$C$127,$D23,WRM!P$7:$P$127)</f>
        <v>0</v>
      </c>
      <c r="R23" s="625"/>
      <c r="S23" s="625">
        <f t="shared" ref="S23" si="26">O23+Q23</f>
        <v>627.29999999999995</v>
      </c>
      <c r="T23" s="550"/>
      <c r="U23" s="550">
        <f>+SUMIF(WRM!$C$7:$C$127,$D23,WRM!$T$7:T$127)</f>
        <v>0</v>
      </c>
      <c r="V23" s="625"/>
      <c r="W23" s="625">
        <f t="shared" ref="W23" si="27">S23+U23</f>
        <v>627.29999999999995</v>
      </c>
      <c r="X23" s="625"/>
      <c r="Y23" s="550">
        <f>+SUMIF(WRM!$C$7:$C$127,$D23,WRM!$X$7:X$127)</f>
        <v>0</v>
      </c>
      <c r="Z23" s="625"/>
      <c r="AA23" s="2151">
        <f t="shared" si="4"/>
        <v>0</v>
      </c>
      <c r="AB23" s="2193"/>
      <c r="AC23" s="1156">
        <f t="shared" si="5"/>
        <v>627.29999999999995</v>
      </c>
      <c r="AD23" s="625"/>
      <c r="AE23" s="550">
        <f>+SUMIF(WRM!$C$7:$C$127,$D23,WRM!$AD$7:$AD$127)</f>
        <v>0</v>
      </c>
      <c r="AF23" s="625"/>
      <c r="AG23" s="625">
        <f t="shared" si="6"/>
        <v>627.29999999999995</v>
      </c>
      <c r="AH23" s="625"/>
      <c r="AI23" s="550">
        <f>+SUMIF(WRM!$C$7:$C$127,$D23,WRM!$AH$7:$AH$127)</f>
        <v>149.65</v>
      </c>
      <c r="AJ23" s="620"/>
      <c r="AK23" s="620">
        <f t="shared" si="7"/>
        <v>776.94999999999993</v>
      </c>
      <c r="AL23" s="625"/>
      <c r="AM23" s="550">
        <f>+SUMIF(WRM!$C$7:$C$127,$D23,WRM!$AL$7:$AL$127)</f>
        <v>0</v>
      </c>
      <c r="AN23" s="625"/>
      <c r="AO23" s="2151">
        <f t="shared" ref="AO23" si="28">AE23+AI23+AM23</f>
        <v>149.65</v>
      </c>
      <c r="AP23" s="620"/>
      <c r="AQ23" s="620">
        <f t="shared" si="9"/>
        <v>776.94999999999993</v>
      </c>
      <c r="AR23" s="625"/>
      <c r="AS23" s="550">
        <f>+SUMIF(WRM!$C$7:$C$127,$D23,WRM!$AR$7:$AR$127)</f>
        <v>512.5</v>
      </c>
      <c r="AT23" s="620"/>
      <c r="AU23" s="620">
        <f t="shared" ref="AU23" si="29">AQ23+AS23</f>
        <v>1289.4499999999998</v>
      </c>
      <c r="AV23" s="625"/>
      <c r="AW23" s="550">
        <f>+SUMIF(WRM!$C$7:$C$127,$D23,WRM!$AV$7:$AV$127)</f>
        <v>629.35</v>
      </c>
      <c r="AX23" s="620"/>
      <c r="AY23" s="620">
        <f t="shared" si="11"/>
        <v>1918.7999999999997</v>
      </c>
      <c r="AZ23" s="625"/>
      <c r="BA23" s="550">
        <f>+SUMIF(WRM!$C$7:$C$127,$D23,WRM!$AZ$7:$AZ$127)</f>
        <v>0</v>
      </c>
      <c r="BB23" s="625"/>
      <c r="BC23" s="2151">
        <f t="shared" si="12"/>
        <v>1141.8499999999999</v>
      </c>
      <c r="BD23" s="2193"/>
      <c r="BE23" s="1156">
        <f t="shared" si="13"/>
        <v>1291.5</v>
      </c>
      <c r="BF23" s="620"/>
      <c r="BG23" s="620">
        <f t="shared" si="14"/>
        <v>1918.7999999999997</v>
      </c>
      <c r="BH23" s="26"/>
      <c r="BI23" s="26"/>
      <c r="BJ23" s="26"/>
    </row>
    <row r="24" spans="3:62" x14ac:dyDescent="0.35">
      <c r="C24" s="549" t="s">
        <v>16</v>
      </c>
      <c r="D24" s="1607" t="s">
        <v>1131</v>
      </c>
      <c r="E24" s="4367"/>
      <c r="F24" s="549"/>
      <c r="G24" s="550">
        <f>+SUMIF(WRM!$C$7:$C$127,$D24,WRM!$F$7:$F$127)</f>
        <v>6219.7</v>
      </c>
      <c r="H24" s="550"/>
      <c r="I24" s="550">
        <f>+SUMIF(WRM!$C$7:$C$127,$D24,WRM!$H$7:$H$127)</f>
        <v>3847.85</v>
      </c>
      <c r="J24" s="620"/>
      <c r="K24" s="620">
        <f t="shared" si="0"/>
        <v>10067.549999999999</v>
      </c>
      <c r="L24" s="550"/>
      <c r="M24" s="550">
        <f>+SUMIF(WRM!$C$7:$C$127,$D24,WRM!$L$7:$L$127)</f>
        <v>6943.3499999999995</v>
      </c>
      <c r="N24" s="625"/>
      <c r="O24" s="625">
        <f t="shared" si="1"/>
        <v>17010.899999999998</v>
      </c>
      <c r="P24" s="550"/>
      <c r="Q24" s="550">
        <f>+SUMIF(WRM!$C$7:$C$127,$D24,WRM!P$7:$P$127)</f>
        <v>6264.8</v>
      </c>
      <c r="R24" s="625"/>
      <c r="S24" s="625">
        <f t="shared" si="2"/>
        <v>23275.699999999997</v>
      </c>
      <c r="T24" s="550"/>
      <c r="U24" s="550">
        <f>+SUMIF(WRM!$C$7:$C$127,$D24,WRM!$T$7:T$127)</f>
        <v>4844.1500000000005</v>
      </c>
      <c r="V24" s="625"/>
      <c r="W24" s="625">
        <f t="shared" si="3"/>
        <v>28119.85</v>
      </c>
      <c r="X24" s="625"/>
      <c r="Y24" s="550">
        <f>+SUMIF(WRM!$C$7:$C$127,$D24,WRM!$X$7:X$127)</f>
        <v>6642</v>
      </c>
      <c r="Z24" s="625"/>
      <c r="AA24" s="2151">
        <f t="shared" si="4"/>
        <v>17750.95</v>
      </c>
      <c r="AB24" s="2193"/>
      <c r="AC24" s="1156">
        <f t="shared" si="5"/>
        <v>34761.85</v>
      </c>
      <c r="AD24" s="625"/>
      <c r="AE24" s="550">
        <f>+SUMIF(WRM!$C$7:$C$127,$D24,WRM!$AD$7:$AD$127)</f>
        <v>9739.5499999999993</v>
      </c>
      <c r="AF24" s="625"/>
      <c r="AG24" s="625">
        <f t="shared" si="6"/>
        <v>44501.399999999994</v>
      </c>
      <c r="AH24" s="625"/>
      <c r="AI24" s="550">
        <f>+SUMIF(WRM!$C$7:$C$127,$D24,WRM!$AH$7:$AH$127)</f>
        <v>5760.5</v>
      </c>
      <c r="AJ24" s="620"/>
      <c r="AK24" s="620">
        <f t="shared" si="7"/>
        <v>50261.899999999994</v>
      </c>
      <c r="AL24" s="625"/>
      <c r="AM24" s="550">
        <f>+SUMIF(WRM!$C$7:$C$127,$D24,WRM!$AL$7:$AL$127)</f>
        <v>8384.5</v>
      </c>
      <c r="AN24" s="625"/>
      <c r="AO24" s="2151">
        <f t="shared" si="8"/>
        <v>23884.55</v>
      </c>
      <c r="AP24" s="620"/>
      <c r="AQ24" s="620">
        <f t="shared" si="9"/>
        <v>58646.399999999994</v>
      </c>
      <c r="AR24" s="625"/>
      <c r="AS24" s="550">
        <f>+SUMIF(WRM!$C$7:$C$127,$D24,WRM!$AR$7:$AR$127)</f>
        <v>11320.100000000002</v>
      </c>
      <c r="AT24" s="620"/>
      <c r="AU24" s="620">
        <f t="shared" si="10"/>
        <v>69966.5</v>
      </c>
      <c r="AV24" s="625"/>
      <c r="AW24" s="550">
        <f>+SUMIF(WRM!$C$7:$C$127,$D24,WRM!$AV$7:$AV$127)</f>
        <v>8419.35</v>
      </c>
      <c r="AX24" s="620"/>
      <c r="AY24" s="620">
        <f t="shared" si="11"/>
        <v>78385.850000000006</v>
      </c>
      <c r="AZ24" s="625"/>
      <c r="BA24" s="550">
        <f>+SUMIF(WRM!$C$7:$C$127,$D24,WRM!$AZ$7:$AZ$127)</f>
        <v>9930.1999999999916</v>
      </c>
      <c r="BB24" s="625"/>
      <c r="BC24" s="2151">
        <f t="shared" si="12"/>
        <v>29669.649999999994</v>
      </c>
      <c r="BD24" s="2193"/>
      <c r="BE24" s="1156">
        <f t="shared" si="13"/>
        <v>53554.2</v>
      </c>
      <c r="BF24" s="620"/>
      <c r="BG24" s="620">
        <f t="shared" si="14"/>
        <v>88316.05</v>
      </c>
      <c r="BH24" s="26"/>
      <c r="BI24" s="26"/>
      <c r="BJ24" s="26"/>
    </row>
    <row r="25" spans="3:62" x14ac:dyDescent="0.35">
      <c r="C25" s="549" t="s">
        <v>16</v>
      </c>
      <c r="D25" s="1607" t="s">
        <v>869</v>
      </c>
      <c r="E25" s="4367"/>
      <c r="F25" s="549"/>
      <c r="G25" s="550">
        <f>+SUMIF(WRM!$C$7:$C$127,$D25,WRM!$F$7:$F$127)</f>
        <v>522.75</v>
      </c>
      <c r="H25" s="550"/>
      <c r="I25" s="550">
        <f>+SUMIF(WRM!$C$7:$C$127,$D25,WRM!$H$7:$H$127)</f>
        <v>485.84999999999997</v>
      </c>
      <c r="J25" s="620"/>
      <c r="K25" s="620">
        <f t="shared" si="0"/>
        <v>1008.5999999999999</v>
      </c>
      <c r="L25" s="550"/>
      <c r="M25" s="550">
        <f>+SUMIF(WRM!$C$7:$C$127,$D25,WRM!$L$7:$L$127)</f>
        <v>508.40000000000003</v>
      </c>
      <c r="N25" s="625"/>
      <c r="O25" s="625">
        <f t="shared" si="1"/>
        <v>1517</v>
      </c>
      <c r="P25" s="550"/>
      <c r="Q25" s="550">
        <f>+SUMIF(WRM!$C$7:$C$127,$D25,WRM!P$7:$P$127)</f>
        <v>0</v>
      </c>
      <c r="R25" s="625"/>
      <c r="S25" s="625">
        <f t="shared" ref="S25:S68" si="30">O25+Q25</f>
        <v>1517</v>
      </c>
      <c r="T25" s="550"/>
      <c r="U25" s="550">
        <f>+SUMIF(WRM!$C$7:$C$127,$D25,WRM!$T$7:T$127)</f>
        <v>0</v>
      </c>
      <c r="V25" s="625"/>
      <c r="W25" s="625">
        <f t="shared" si="3"/>
        <v>1517</v>
      </c>
      <c r="X25" s="625"/>
      <c r="Y25" s="550">
        <f>+SUMIF(WRM!$C$7:$C$127,$D25,WRM!$X$7:X$127)</f>
        <v>0</v>
      </c>
      <c r="Z25" s="625"/>
      <c r="AA25" s="2151">
        <f t="shared" si="4"/>
        <v>0</v>
      </c>
      <c r="AB25" s="2193"/>
      <c r="AC25" s="1156">
        <f t="shared" si="5"/>
        <v>1517</v>
      </c>
      <c r="AD25" s="625"/>
      <c r="AE25" s="550">
        <f>+SUMIF(WRM!$C$7:$C$127,$D25,WRM!$AD$7:$AD$127)</f>
        <v>0</v>
      </c>
      <c r="AF25" s="625"/>
      <c r="AG25" s="625">
        <f t="shared" si="6"/>
        <v>1517</v>
      </c>
      <c r="AH25" s="625"/>
      <c r="AI25" s="550">
        <f>+SUMIF(WRM!$C$7:$C$127,$D25,WRM!$AH$7:$AH$127)</f>
        <v>166.04999999999998</v>
      </c>
      <c r="AJ25" s="620"/>
      <c r="AK25" s="620">
        <f t="shared" si="7"/>
        <v>1683.05</v>
      </c>
      <c r="AL25" s="625"/>
      <c r="AM25" s="550">
        <f>+SUMIF(WRM!$C$7:$C$127,$D25,WRM!$AL$7:$AL$127)</f>
        <v>0</v>
      </c>
      <c r="AN25" s="625"/>
      <c r="AO25" s="2151">
        <f t="shared" si="8"/>
        <v>166.04999999999998</v>
      </c>
      <c r="AP25" s="620"/>
      <c r="AQ25" s="620">
        <f t="shared" si="9"/>
        <v>1683.05</v>
      </c>
      <c r="AR25" s="625"/>
      <c r="AS25" s="550">
        <f>+SUMIF(WRM!$C$7:$C$127,$D25,WRM!$AR$7:$AR$127)</f>
        <v>0</v>
      </c>
      <c r="AT25" s="620"/>
      <c r="AU25" s="620">
        <f t="shared" si="10"/>
        <v>1683.05</v>
      </c>
      <c r="AV25" s="625"/>
      <c r="AW25" s="550">
        <f>+SUMIF(WRM!$C$7:$C$127,$D25,WRM!$AV$7:$AV$127)</f>
        <v>379.25000000000006</v>
      </c>
      <c r="AX25" s="620"/>
      <c r="AY25" s="620">
        <f t="shared" si="11"/>
        <v>2062.3000000000002</v>
      </c>
      <c r="AZ25" s="625"/>
      <c r="BA25" s="550">
        <f>+SUMIF(WRM!$C$7:$C$127,$D25,WRM!$AZ$7:$AZ$127)</f>
        <v>373.1</v>
      </c>
      <c r="BB25" s="625"/>
      <c r="BC25" s="2151">
        <f t="shared" si="12"/>
        <v>752.35000000000014</v>
      </c>
      <c r="BD25" s="2193"/>
      <c r="BE25" s="1156">
        <f t="shared" si="13"/>
        <v>918.40000000000009</v>
      </c>
      <c r="BF25" s="620"/>
      <c r="BG25" s="620">
        <f t="shared" si="14"/>
        <v>2435.4</v>
      </c>
      <c r="BH25" s="26"/>
      <c r="BI25" s="26"/>
      <c r="BJ25" s="26"/>
    </row>
    <row r="26" spans="3:62" x14ac:dyDescent="0.35">
      <c r="C26" s="4369" t="s">
        <v>16</v>
      </c>
      <c r="D26" s="4370" t="s">
        <v>1842</v>
      </c>
      <c r="E26" s="4367"/>
      <c r="F26" s="4369"/>
      <c r="G26" s="550">
        <f>+SUMIF(WRM!$C$7:$C$127,$D26,WRM!$F$7:$F$127)</f>
        <v>116.85000000000001</v>
      </c>
      <c r="H26" s="550"/>
      <c r="I26" s="550">
        <f>+SUMIF(WRM!$C$7:$C$127,$D26,WRM!$H$7:$H$127)</f>
        <v>0</v>
      </c>
      <c r="J26" s="620"/>
      <c r="K26" s="620">
        <f t="shared" ref="K26" si="31">+G26+I26</f>
        <v>116.85000000000001</v>
      </c>
      <c r="L26" s="550"/>
      <c r="M26" s="550">
        <f>+SUMIF(WRM!$C$7:$C$127,$D26,WRM!$L$7:$L$127)</f>
        <v>0</v>
      </c>
      <c r="N26" s="625"/>
      <c r="O26" s="625">
        <f t="shared" si="1"/>
        <v>116.85000000000001</v>
      </c>
      <c r="P26" s="550"/>
      <c r="Q26" s="550">
        <f>+SUMIF(WRM!$C$7:$C$127,$D26,WRM!P$7:$P$127)</f>
        <v>0</v>
      </c>
      <c r="R26" s="625"/>
      <c r="S26" s="625">
        <f t="shared" ref="S26" si="32">O26+Q26</f>
        <v>116.85000000000001</v>
      </c>
      <c r="T26" s="550"/>
      <c r="U26" s="550">
        <f>+SUMIF(WRM!$C$7:$C$127,$D26,WRM!$T$7:T$127)</f>
        <v>0</v>
      </c>
      <c r="V26" s="625"/>
      <c r="W26" s="625">
        <f t="shared" ref="W26" si="33">S26+U26</f>
        <v>116.85000000000001</v>
      </c>
      <c r="X26" s="625"/>
      <c r="Y26" s="550">
        <f>+SUMIF(WRM!$C$7:$C$127,$D26,WRM!$X$7:X$127)</f>
        <v>0</v>
      </c>
      <c r="Z26" s="625"/>
      <c r="AA26" s="2151">
        <f t="shared" si="4"/>
        <v>0</v>
      </c>
      <c r="AB26" s="2193"/>
      <c r="AC26" s="1156">
        <f t="shared" si="5"/>
        <v>116.85000000000001</v>
      </c>
      <c r="AD26" s="625"/>
      <c r="AE26" s="550">
        <f>+SUMIF(WRM!$C$7:$C$127,$D26,WRM!$AD$7:$AD$127)</f>
        <v>0</v>
      </c>
      <c r="AF26" s="625"/>
      <c r="AG26" s="625">
        <f t="shared" ref="AG26" si="34">AC26+AE26</f>
        <v>116.85000000000001</v>
      </c>
      <c r="AH26" s="625"/>
      <c r="AI26" s="550">
        <f>+SUMIF(WRM!$C$7:$C$127,$D26,WRM!$AH$7:$AH$127)</f>
        <v>0</v>
      </c>
      <c r="AJ26" s="620"/>
      <c r="AK26" s="620">
        <f t="shared" ref="AK26" si="35">AG26+AI26</f>
        <v>116.85000000000001</v>
      </c>
      <c r="AL26" s="625"/>
      <c r="AM26" s="550">
        <f>+SUMIF(WRM!$C$7:$C$127,$D26,WRM!$AL$7:$AL$127)</f>
        <v>0</v>
      </c>
      <c r="AN26" s="625"/>
      <c r="AO26" s="2151">
        <f t="shared" ref="AO26" si="36">AE26+AI26+AM26</f>
        <v>0</v>
      </c>
      <c r="AP26" s="620"/>
      <c r="AQ26" s="620">
        <f t="shared" ref="AQ26" si="37">AK26+AM26</f>
        <v>116.85000000000001</v>
      </c>
      <c r="AR26" s="625"/>
      <c r="AS26" s="550">
        <f>+SUMIF(WRM!$C$7:$C$127,$D26,WRM!$AR$7:$AR$127)</f>
        <v>0</v>
      </c>
      <c r="AT26" s="620"/>
      <c r="AU26" s="620">
        <f t="shared" ref="AU26" si="38">AQ26+AS26</f>
        <v>116.85000000000001</v>
      </c>
      <c r="AV26" s="625"/>
      <c r="AW26" s="550">
        <f>+SUMIF(WRM!$C$7:$C$127,$D26,WRM!$AV$7:$AV$127)</f>
        <v>0</v>
      </c>
      <c r="AX26" s="620"/>
      <c r="AY26" s="620">
        <f t="shared" si="11"/>
        <v>116.85000000000001</v>
      </c>
      <c r="AZ26" s="625"/>
      <c r="BA26" s="550">
        <f>+SUMIF(WRM!$C$7:$C$127,$D26,WRM!$AZ$7:$AZ$127)</f>
        <v>0</v>
      </c>
      <c r="BB26" s="625"/>
      <c r="BC26" s="2151">
        <f t="shared" si="12"/>
        <v>0</v>
      </c>
      <c r="BD26" s="2193"/>
      <c r="BE26" s="1156">
        <f t="shared" si="13"/>
        <v>0</v>
      </c>
      <c r="BF26" s="620"/>
      <c r="BG26" s="620">
        <f t="shared" si="14"/>
        <v>116.85000000000001</v>
      </c>
      <c r="BH26" s="26"/>
      <c r="BI26" s="26"/>
      <c r="BJ26" s="26"/>
    </row>
    <row r="27" spans="3:62" x14ac:dyDescent="0.35">
      <c r="C27" s="549" t="s">
        <v>16</v>
      </c>
      <c r="D27" s="1607" t="s">
        <v>961</v>
      </c>
      <c r="E27" s="4367"/>
      <c r="F27" s="549"/>
      <c r="G27" s="550">
        <f>+SUMIF(WRM!$C$7:$C$127,$D27,WRM!$F$7:$F$127)</f>
        <v>4930.2300000000005</v>
      </c>
      <c r="H27" s="550"/>
      <c r="I27" s="550">
        <f>+SUMIF(WRM!$C$7:$C$127,$D27,WRM!$H$7:$H$127)</f>
        <v>5530.9</v>
      </c>
      <c r="J27" s="620"/>
      <c r="K27" s="620">
        <f t="shared" si="0"/>
        <v>10461.130000000001</v>
      </c>
      <c r="L27" s="550"/>
      <c r="M27" s="550">
        <f>+SUMIF(WRM!$C$7:$C$127,$D27,WRM!$L$7:$L$127)</f>
        <v>4950.75</v>
      </c>
      <c r="N27" s="625"/>
      <c r="O27" s="625">
        <f t="shared" si="1"/>
        <v>15411.880000000001</v>
      </c>
      <c r="P27" s="550"/>
      <c r="Q27" s="550">
        <f>+SUMIF(WRM!$C$7:$C$127,$D27,WRM!P$7:$P$127)</f>
        <v>9462.7999999999993</v>
      </c>
      <c r="R27" s="625"/>
      <c r="S27" s="625">
        <f t="shared" si="30"/>
        <v>24874.68</v>
      </c>
      <c r="T27" s="550"/>
      <c r="U27" s="550">
        <f>+SUMIF(WRM!$C$7:$C$127,$D27,WRM!$T$7:T$127)</f>
        <v>10547.25</v>
      </c>
      <c r="V27" s="625"/>
      <c r="W27" s="625">
        <f t="shared" si="3"/>
        <v>35421.93</v>
      </c>
      <c r="X27" s="625"/>
      <c r="Y27" s="550">
        <f>+SUMIF(WRM!$C$7:$C$127,$D27,WRM!$X$7:X$127)</f>
        <v>10947</v>
      </c>
      <c r="Z27" s="625"/>
      <c r="AA27" s="2151">
        <f t="shared" si="4"/>
        <v>30957.05</v>
      </c>
      <c r="AB27" s="2193"/>
      <c r="AC27" s="1156">
        <f t="shared" si="5"/>
        <v>46368.93</v>
      </c>
      <c r="AD27" s="625"/>
      <c r="AE27" s="550">
        <f>+SUMIF(WRM!$C$7:$C$127,$D27,WRM!$AD$7:$AD$127)</f>
        <v>7306.2000000000007</v>
      </c>
      <c r="AF27" s="625"/>
      <c r="AG27" s="625">
        <f t="shared" si="6"/>
        <v>53675.130000000005</v>
      </c>
      <c r="AH27" s="625"/>
      <c r="AI27" s="550">
        <f>+SUMIF(WRM!$C$7:$C$127,$D27,WRM!$AH$7:$AH$127)</f>
        <v>7740.8</v>
      </c>
      <c r="AJ27" s="620"/>
      <c r="AK27" s="620">
        <f t="shared" si="7"/>
        <v>61415.930000000008</v>
      </c>
      <c r="AL27" s="625"/>
      <c r="AM27" s="550">
        <f>+SUMIF(WRM!$C$7:$C$127,$D27,WRM!$AL$7:$AL$127)</f>
        <v>8146.7</v>
      </c>
      <c r="AN27" s="625"/>
      <c r="AO27" s="2151">
        <f t="shared" si="8"/>
        <v>23193.7</v>
      </c>
      <c r="AP27" s="620"/>
      <c r="AQ27" s="620">
        <f t="shared" si="9"/>
        <v>69562.63</v>
      </c>
      <c r="AR27" s="625"/>
      <c r="AS27" s="550">
        <f>+SUMIF(WRM!$C$7:$C$127,$D27,WRM!$AR$7:$AR$127)</f>
        <v>7150.4000000000096</v>
      </c>
      <c r="AT27" s="620"/>
      <c r="AU27" s="620">
        <f t="shared" si="10"/>
        <v>76713.030000000013</v>
      </c>
      <c r="AV27" s="625"/>
      <c r="AW27" s="550">
        <f>+SUMIF(WRM!$C$7:$C$127,$D27,WRM!$AV$7:$AV$127)</f>
        <v>8312.7500000000036</v>
      </c>
      <c r="AX27" s="620"/>
      <c r="AY27" s="620">
        <f t="shared" si="11"/>
        <v>85025.780000000013</v>
      </c>
      <c r="AZ27" s="625"/>
      <c r="BA27" s="550">
        <f>+SUMIF(WRM!$C$7:$C$127,$D27,WRM!$AZ$7:$AZ$127)</f>
        <v>0</v>
      </c>
      <c r="BB27" s="625"/>
      <c r="BC27" s="2151">
        <f t="shared" si="12"/>
        <v>15463.150000000012</v>
      </c>
      <c r="BD27" s="2193"/>
      <c r="BE27" s="1156">
        <f t="shared" si="13"/>
        <v>38656.850000000013</v>
      </c>
      <c r="BF27" s="620"/>
      <c r="BG27" s="620">
        <f t="shared" si="14"/>
        <v>85025.780000000013</v>
      </c>
      <c r="BH27" s="26"/>
      <c r="BI27" s="26"/>
      <c r="BJ27" s="26"/>
    </row>
    <row r="28" spans="3:62" x14ac:dyDescent="0.35">
      <c r="C28" s="5004" t="s">
        <v>16</v>
      </c>
      <c r="D28" s="5005" t="s">
        <v>2115</v>
      </c>
      <c r="E28" s="4367"/>
      <c r="F28" s="5004"/>
      <c r="G28" s="550">
        <f>+SUMIF(WRM!$C$7:$C$127,$D28,WRM!$F$7:$F$127)</f>
        <v>0</v>
      </c>
      <c r="H28" s="550"/>
      <c r="I28" s="550">
        <f>+SUMIF(WRM!$C$7:$C$127,$D28,WRM!$H$7:$H$127)</f>
        <v>0</v>
      </c>
      <c r="J28" s="620"/>
      <c r="K28" s="620">
        <f t="shared" ref="K28" si="39">+G28+I28</f>
        <v>0</v>
      </c>
      <c r="L28" s="550"/>
      <c r="M28" s="550">
        <f>+SUMIF(WRM!$C$7:$C$127,$D28,WRM!$L$7:$L$127)</f>
        <v>0</v>
      </c>
      <c r="N28" s="625"/>
      <c r="O28" s="625">
        <f t="shared" ref="O28" si="40">+G28+I28+M28</f>
        <v>0</v>
      </c>
      <c r="P28" s="550"/>
      <c r="Q28" s="550">
        <f>+SUMIF(WRM!$C$7:$C$127,$D28,WRM!P$7:$P$127)</f>
        <v>0</v>
      </c>
      <c r="R28" s="625"/>
      <c r="S28" s="625">
        <f t="shared" ref="S28" si="41">O28+Q28</f>
        <v>0</v>
      </c>
      <c r="T28" s="550"/>
      <c r="U28" s="550">
        <f>+SUMIF(WRM!$C$7:$C$127,$D28,WRM!$T$7:T$127)</f>
        <v>0</v>
      </c>
      <c r="V28" s="625"/>
      <c r="W28" s="625">
        <f t="shared" ref="W28" si="42">S28+U28</f>
        <v>0</v>
      </c>
      <c r="X28" s="625"/>
      <c r="Y28" s="550">
        <f>+SUMIF(WRM!$C$7:$C$127,$D28,WRM!$X$7:X$127)</f>
        <v>94.3</v>
      </c>
      <c r="Z28" s="625"/>
      <c r="AA28" s="2151">
        <f t="shared" si="4"/>
        <v>94.3</v>
      </c>
      <c r="AB28" s="2193"/>
      <c r="AC28" s="1156">
        <f t="shared" si="5"/>
        <v>94.3</v>
      </c>
      <c r="AD28" s="625"/>
      <c r="AE28" s="550">
        <f>+SUMIF(WRM!$C$7:$C$127,$D28,WRM!$AD$7:$AD$127)</f>
        <v>0</v>
      </c>
      <c r="AF28" s="625"/>
      <c r="AG28" s="625">
        <f t="shared" ref="AG28" si="43">AC28+AE28</f>
        <v>94.3</v>
      </c>
      <c r="AH28" s="625"/>
      <c r="AI28" s="550">
        <f>+SUMIF(WRM!$C$7:$C$127,$D28,WRM!$AH$7:$AH$127)</f>
        <v>0</v>
      </c>
      <c r="AJ28" s="620"/>
      <c r="AK28" s="620">
        <f t="shared" ref="AK28" si="44">AG28+AI28</f>
        <v>94.3</v>
      </c>
      <c r="AL28" s="625"/>
      <c r="AM28" s="550">
        <f>+SUMIF(WRM!$C$7:$C$127,$D28,WRM!$AL$7:$AL$127)</f>
        <v>0</v>
      </c>
      <c r="AN28" s="625"/>
      <c r="AO28" s="2151">
        <f t="shared" ref="AO28" si="45">AE28+AI28+AM28</f>
        <v>0</v>
      </c>
      <c r="AP28" s="620"/>
      <c r="AQ28" s="620">
        <f t="shared" ref="AQ28" si="46">AK28+AM28</f>
        <v>94.3</v>
      </c>
      <c r="AR28" s="625"/>
      <c r="AS28" s="550">
        <f>+SUMIF(WRM!$C$7:$C$127,$D28,WRM!$AR$7:$AR$127)</f>
        <v>0</v>
      </c>
      <c r="AT28" s="620"/>
      <c r="AU28" s="620">
        <f t="shared" ref="AU28" si="47">AQ28+AS28</f>
        <v>94.3</v>
      </c>
      <c r="AV28" s="625"/>
      <c r="AW28" s="550">
        <f>+SUMIF(WRM!$C$7:$C$127,$D28,WRM!$AV$7:$AV$127)</f>
        <v>0</v>
      </c>
      <c r="AX28" s="620"/>
      <c r="AY28" s="620">
        <f t="shared" ref="AY28" si="48">AU28+AW28</f>
        <v>94.3</v>
      </c>
      <c r="AZ28" s="625"/>
      <c r="BA28" s="550">
        <f>+SUMIF(WRM!$C$7:$C$127,$D28,WRM!$AZ$7:$AZ$127)</f>
        <v>0</v>
      </c>
      <c r="BB28" s="625"/>
      <c r="BC28" s="2151">
        <f t="shared" ref="BC28" si="49">AS28+AW28+BA28</f>
        <v>0</v>
      </c>
      <c r="BD28" s="2193"/>
      <c r="BE28" s="1156">
        <f t="shared" ref="BE28" si="50">AO28+BC28</f>
        <v>0</v>
      </c>
      <c r="BF28" s="620"/>
      <c r="BG28" s="620">
        <f t="shared" ref="BG28" si="51">AY28+BA28</f>
        <v>94.3</v>
      </c>
      <c r="BH28" s="26"/>
      <c r="BI28" s="26"/>
      <c r="BJ28" s="26"/>
    </row>
    <row r="29" spans="3:62" x14ac:dyDescent="0.35">
      <c r="C29" s="549" t="s">
        <v>16</v>
      </c>
      <c r="D29" s="1607" t="s">
        <v>963</v>
      </c>
      <c r="E29" s="4367"/>
      <c r="F29" s="549"/>
      <c r="G29" s="550">
        <f>+SUMIF(WRM!$C$7:$C$127,$D29,WRM!$F$7:$F$127)</f>
        <v>2039.65</v>
      </c>
      <c r="H29" s="550"/>
      <c r="I29" s="550">
        <f>+SUMIF(WRM!$C$7:$C$127,$D29,WRM!$H$7:$H$127)</f>
        <v>2564.5499999999997</v>
      </c>
      <c r="J29" s="620"/>
      <c r="K29" s="620">
        <f t="shared" si="0"/>
        <v>4604.2</v>
      </c>
      <c r="L29" s="550"/>
      <c r="M29" s="550">
        <f>+SUMIF(WRM!$C$7:$C$127,$D29,WRM!$L$7:$L$127)</f>
        <v>1920.8500000000001</v>
      </c>
      <c r="N29" s="625"/>
      <c r="O29" s="625">
        <f t="shared" si="1"/>
        <v>6525.05</v>
      </c>
      <c r="P29" s="550"/>
      <c r="Q29" s="550">
        <f>+SUMIF(WRM!$C$7:$C$127,$D29,WRM!P$7:$P$127)</f>
        <v>2345.1999999999985</v>
      </c>
      <c r="R29" s="625"/>
      <c r="S29" s="625">
        <f t="shared" si="30"/>
        <v>8870.2499999999982</v>
      </c>
      <c r="T29" s="550"/>
      <c r="U29" s="550">
        <f>+SUMIF(WRM!$C$7:$C$127,$D29,WRM!$T$7:T$127)</f>
        <v>1430.9</v>
      </c>
      <c r="V29" s="625"/>
      <c r="W29" s="625">
        <f t="shared" si="3"/>
        <v>10301.149999999998</v>
      </c>
      <c r="X29" s="625"/>
      <c r="Y29" s="550">
        <f>+SUMIF(WRM!$C$7:$C$127,$D29,WRM!$X$7:X$127)</f>
        <v>1492.4</v>
      </c>
      <c r="Z29" s="625"/>
      <c r="AA29" s="2151">
        <f t="shared" si="4"/>
        <v>5268.4999999999982</v>
      </c>
      <c r="AB29" s="2193"/>
      <c r="AC29" s="1156">
        <f t="shared" si="5"/>
        <v>11793.55</v>
      </c>
      <c r="AD29" s="625"/>
      <c r="AE29" s="550">
        <f>+SUMIF(WRM!$C$7:$C$127,$D29,WRM!$AD$7:$AD$127)</f>
        <v>535.04999999999995</v>
      </c>
      <c r="AF29" s="625"/>
      <c r="AG29" s="625">
        <f t="shared" si="6"/>
        <v>12328.599999999999</v>
      </c>
      <c r="AH29" s="625"/>
      <c r="AI29" s="550">
        <f>+SUMIF(WRM!$C$7:$C$127,$D29,WRM!$AH$7:$AH$127)</f>
        <v>2060.25</v>
      </c>
      <c r="AJ29" s="620"/>
      <c r="AK29" s="620">
        <f t="shared" si="7"/>
        <v>14388.849999999999</v>
      </c>
      <c r="AL29" s="625"/>
      <c r="AM29" s="550">
        <f>+SUMIF(WRM!$C$7:$C$127,$D29,WRM!$AL$7:$AL$127)</f>
        <v>4034.4</v>
      </c>
      <c r="AN29" s="625"/>
      <c r="AO29" s="2151">
        <f t="shared" si="8"/>
        <v>6629.7000000000007</v>
      </c>
      <c r="AP29" s="620"/>
      <c r="AQ29" s="620">
        <f t="shared" si="9"/>
        <v>18423.25</v>
      </c>
      <c r="AR29" s="625"/>
      <c r="AS29" s="550">
        <f>+SUMIF(WRM!$C$7:$C$127,$D29,WRM!$AR$7:$AR$127)</f>
        <v>994.25</v>
      </c>
      <c r="AT29" s="620"/>
      <c r="AU29" s="620">
        <f t="shared" si="10"/>
        <v>19417.5</v>
      </c>
      <c r="AV29" s="625"/>
      <c r="AW29" s="550">
        <f>+SUMIF(WRM!$C$7:$C$127,$D29,WRM!$AV$7:$AV$127)</f>
        <v>1908.55</v>
      </c>
      <c r="AX29" s="620"/>
      <c r="AY29" s="620">
        <f t="shared" si="11"/>
        <v>21326.05</v>
      </c>
      <c r="AZ29" s="625"/>
      <c r="BA29" s="550">
        <f>+SUMIF(WRM!$C$7:$C$127,$D29,WRM!$AZ$7:$AZ$127)</f>
        <v>1076.2499999999998</v>
      </c>
      <c r="BB29" s="625"/>
      <c r="BC29" s="2151">
        <f t="shared" si="12"/>
        <v>3979.05</v>
      </c>
      <c r="BD29" s="2193"/>
      <c r="BE29" s="1156">
        <f t="shared" si="13"/>
        <v>10608.75</v>
      </c>
      <c r="BF29" s="620"/>
      <c r="BG29" s="620">
        <f t="shared" si="14"/>
        <v>22402.3</v>
      </c>
      <c r="BH29" s="26"/>
      <c r="BI29" s="26"/>
      <c r="BJ29" s="26"/>
    </row>
    <row r="30" spans="3:62" x14ac:dyDescent="0.35">
      <c r="C30" s="549" t="s">
        <v>16</v>
      </c>
      <c r="D30" s="1607" t="s">
        <v>1112</v>
      </c>
      <c r="E30" s="4367"/>
      <c r="F30" s="549"/>
      <c r="G30" s="550">
        <f>+SUMIF(WRM!$C$7:$C$127,$D30,WRM!$F$7:$F$127)</f>
        <v>1906.5</v>
      </c>
      <c r="H30" s="550"/>
      <c r="I30" s="550">
        <f>+SUMIF(WRM!$C$7:$C$127,$D30,WRM!$H$7:$H$127)</f>
        <v>2402.5999999999995</v>
      </c>
      <c r="J30" s="620"/>
      <c r="K30" s="620">
        <f t="shared" si="0"/>
        <v>4309.0999999999995</v>
      </c>
      <c r="L30" s="550"/>
      <c r="M30" s="550">
        <f>+SUMIF(WRM!$C$7:$C$127,$D30,WRM!$L$7:$L$127)</f>
        <v>0</v>
      </c>
      <c r="N30" s="625"/>
      <c r="O30" s="625">
        <f t="shared" si="1"/>
        <v>4309.0999999999995</v>
      </c>
      <c r="P30" s="550"/>
      <c r="Q30" s="550">
        <f>+SUMIF(WRM!$C$7:$C$127,$D30,WRM!P$7:$P$127)</f>
        <v>0</v>
      </c>
      <c r="R30" s="625"/>
      <c r="S30" s="625">
        <f t="shared" si="30"/>
        <v>4309.0999999999995</v>
      </c>
      <c r="T30" s="550"/>
      <c r="U30" s="550">
        <f>+SUMIF(WRM!$C$7:$C$127,$D30,WRM!$T$7:T$127)</f>
        <v>940.95000000000016</v>
      </c>
      <c r="V30" s="625"/>
      <c r="W30" s="625">
        <f t="shared" si="3"/>
        <v>5250.0499999999993</v>
      </c>
      <c r="X30" s="625"/>
      <c r="Y30" s="550">
        <f>+SUMIF(WRM!$C$7:$C$127,$D30,WRM!$X$7:X$127)</f>
        <v>1281.25</v>
      </c>
      <c r="Z30" s="625"/>
      <c r="AA30" s="2151">
        <f t="shared" si="4"/>
        <v>2222.2000000000003</v>
      </c>
      <c r="AB30" s="2193"/>
      <c r="AC30" s="1156">
        <f t="shared" si="5"/>
        <v>6531.2999999999993</v>
      </c>
      <c r="AD30" s="625"/>
      <c r="AE30" s="550">
        <f>+SUMIF(WRM!$C$7:$C$127,$D30,WRM!$AD$7:$AD$127)</f>
        <v>219.35</v>
      </c>
      <c r="AF30" s="625"/>
      <c r="AG30" s="625">
        <f t="shared" si="6"/>
        <v>6750.65</v>
      </c>
      <c r="AH30" s="625"/>
      <c r="AI30" s="550">
        <f>+SUMIF(WRM!$C$7:$C$127,$D30,WRM!$AH$7:$AH$127)</f>
        <v>1051.6500000000001</v>
      </c>
      <c r="AJ30" s="620"/>
      <c r="AK30" s="620">
        <f t="shared" si="7"/>
        <v>7802.2999999999993</v>
      </c>
      <c r="AL30" s="625"/>
      <c r="AM30" s="550">
        <f>+SUMIF(WRM!$C$7:$C$127,$D30,WRM!$AL$7:$AL$127)</f>
        <v>1389.9</v>
      </c>
      <c r="AN30" s="625"/>
      <c r="AO30" s="2151">
        <f t="shared" si="8"/>
        <v>2660.9</v>
      </c>
      <c r="AP30" s="620"/>
      <c r="AQ30" s="620">
        <f t="shared" si="9"/>
        <v>9192.1999999999989</v>
      </c>
      <c r="AR30" s="625"/>
      <c r="AS30" s="550">
        <f>+SUMIF(WRM!$C$7:$C$127,$D30,WRM!$AR$7:$AR$127)</f>
        <v>1799.9</v>
      </c>
      <c r="AT30" s="620"/>
      <c r="AU30" s="620">
        <f t="shared" si="10"/>
        <v>10992.099999999999</v>
      </c>
      <c r="AV30" s="625"/>
      <c r="AW30" s="550">
        <f>+SUMIF(WRM!$C$7:$C$127,$D30,WRM!$AV$7:$AV$127)</f>
        <v>1605.15</v>
      </c>
      <c r="AX30" s="620"/>
      <c r="AY30" s="620">
        <f t="shared" si="11"/>
        <v>12597.249999999998</v>
      </c>
      <c r="AZ30" s="625"/>
      <c r="BA30" s="550">
        <f>+SUMIF(WRM!$C$7:$C$127,$D30,WRM!$AZ$7:$AZ$127)</f>
        <v>2865.9</v>
      </c>
      <c r="BB30" s="625"/>
      <c r="BC30" s="2151">
        <f t="shared" si="12"/>
        <v>6270.9500000000007</v>
      </c>
      <c r="BD30" s="2193"/>
      <c r="BE30" s="1156">
        <f t="shared" si="13"/>
        <v>8931.85</v>
      </c>
      <c r="BF30" s="620"/>
      <c r="BG30" s="620">
        <f t="shared" si="14"/>
        <v>15463.149999999998</v>
      </c>
      <c r="BH30" s="26"/>
      <c r="BI30" s="26"/>
      <c r="BJ30" s="26"/>
    </row>
    <row r="31" spans="3:62" x14ac:dyDescent="0.35">
      <c r="C31" s="549" t="s">
        <v>16</v>
      </c>
      <c r="D31" s="1607" t="s">
        <v>1028</v>
      </c>
      <c r="E31" s="4367"/>
      <c r="F31" s="549"/>
      <c r="G31" s="550">
        <f>+SUMIF(WRM!$C$7:$C$127,$D31,WRM!$F$7:$F$127)</f>
        <v>3593.6499999999996</v>
      </c>
      <c r="H31" s="550"/>
      <c r="I31" s="550">
        <f>+SUMIF(WRM!$C$7:$C$127,$D31,WRM!$H$7:$H$127)</f>
        <v>2585.0500000000002</v>
      </c>
      <c r="J31" s="620"/>
      <c r="K31" s="620">
        <f t="shared" si="0"/>
        <v>6178.7</v>
      </c>
      <c r="L31" s="550"/>
      <c r="M31" s="550">
        <f>+SUMIF(WRM!$C$7:$C$127,$D31,WRM!$L$7:$L$127)</f>
        <v>1785.55</v>
      </c>
      <c r="N31" s="625"/>
      <c r="O31" s="625">
        <f t="shared" si="1"/>
        <v>7964.25</v>
      </c>
      <c r="P31" s="550"/>
      <c r="Q31" s="550">
        <f>+SUMIF(WRM!$C$7:$C$127,$D31,WRM!P$7:$P$127)</f>
        <v>820</v>
      </c>
      <c r="R31" s="625"/>
      <c r="S31" s="625">
        <f t="shared" si="30"/>
        <v>8784.25</v>
      </c>
      <c r="T31" s="550"/>
      <c r="U31" s="550">
        <f>+SUMIF(WRM!$C$7:$C$127,$D31,WRM!$T$7:T$127)</f>
        <v>578.1</v>
      </c>
      <c r="V31" s="625"/>
      <c r="W31" s="625">
        <f t="shared" si="3"/>
        <v>9362.35</v>
      </c>
      <c r="X31" s="625"/>
      <c r="Y31" s="550">
        <f>+SUMIF(WRM!$C$7:$C$127,$D31,WRM!$X$7:X$127)</f>
        <v>0</v>
      </c>
      <c r="Z31" s="625"/>
      <c r="AA31" s="2151">
        <f t="shared" si="4"/>
        <v>1398.1</v>
      </c>
      <c r="AB31" s="2193"/>
      <c r="AC31" s="1156">
        <f t="shared" si="5"/>
        <v>9362.35</v>
      </c>
      <c r="AD31" s="625"/>
      <c r="AE31" s="550">
        <f>+SUMIF(WRM!$C$7:$C$127,$D31,WRM!$AD$7:$AD$127)</f>
        <v>1053.6999999999998</v>
      </c>
      <c r="AF31" s="625"/>
      <c r="AG31" s="625">
        <f t="shared" si="6"/>
        <v>10416.049999999999</v>
      </c>
      <c r="AH31" s="625"/>
      <c r="AI31" s="550">
        <f>+SUMIF(WRM!$C$7:$C$127,$D31,WRM!$AH$7:$AH$127)</f>
        <v>172.2</v>
      </c>
      <c r="AJ31" s="620"/>
      <c r="AK31" s="620">
        <f t="shared" si="7"/>
        <v>10588.25</v>
      </c>
      <c r="AL31" s="625"/>
      <c r="AM31" s="550">
        <f>+SUMIF(WRM!$C$7:$C$127,$D31,WRM!$AL$7:$AL$127)</f>
        <v>2509.2000000000007</v>
      </c>
      <c r="AN31" s="625"/>
      <c r="AO31" s="2151">
        <f t="shared" si="8"/>
        <v>3735.1000000000004</v>
      </c>
      <c r="AP31" s="620"/>
      <c r="AQ31" s="620">
        <f t="shared" si="9"/>
        <v>13097.45</v>
      </c>
      <c r="AR31" s="625"/>
      <c r="AS31" s="550">
        <f>+SUMIF(WRM!$C$7:$C$127,$D31,WRM!$AR$7:$AR$127)</f>
        <v>774.9</v>
      </c>
      <c r="AT31" s="620"/>
      <c r="AU31" s="620">
        <f t="shared" si="10"/>
        <v>13872.35</v>
      </c>
      <c r="AV31" s="625"/>
      <c r="AW31" s="550">
        <f>+SUMIF(WRM!$C$7:$C$127,$D31,WRM!$AV$7:$AV$127)</f>
        <v>0</v>
      </c>
      <c r="AX31" s="620"/>
      <c r="AY31" s="620">
        <f t="shared" si="11"/>
        <v>13872.35</v>
      </c>
      <c r="AZ31" s="625"/>
      <c r="BA31" s="550">
        <f>+SUMIF(WRM!$C$7:$C$127,$D31,WRM!$AZ$7:$AZ$127)</f>
        <v>3372.25</v>
      </c>
      <c r="BB31" s="625"/>
      <c r="BC31" s="2151">
        <f t="shared" si="12"/>
        <v>4147.1499999999996</v>
      </c>
      <c r="BD31" s="2193"/>
      <c r="BE31" s="1156">
        <f t="shared" si="13"/>
        <v>7882.25</v>
      </c>
      <c r="BF31" s="620"/>
      <c r="BG31" s="620">
        <f t="shared" si="14"/>
        <v>17244.599999999999</v>
      </c>
      <c r="BH31" s="26"/>
      <c r="BI31" s="26"/>
      <c r="BJ31" s="26"/>
    </row>
    <row r="32" spans="3:62" x14ac:dyDescent="0.35">
      <c r="C32" s="549" t="s">
        <v>16</v>
      </c>
      <c r="D32" s="1607" t="s">
        <v>1029</v>
      </c>
      <c r="E32" s="4367"/>
      <c r="F32" s="549"/>
      <c r="G32" s="550">
        <f>+SUMIF(WRM!$C$7:$C$127,$D32,WRM!$F$7:$F$127)</f>
        <v>4366.5</v>
      </c>
      <c r="H32" s="550"/>
      <c r="I32" s="550">
        <f>+SUMIF(WRM!$C$7:$C$127,$D32,WRM!$H$7:$H$127)</f>
        <v>2457.9500000000003</v>
      </c>
      <c r="J32" s="620"/>
      <c r="K32" s="620">
        <f t="shared" si="0"/>
        <v>6824.4500000000007</v>
      </c>
      <c r="L32" s="550"/>
      <c r="M32" s="550">
        <f>+SUMIF(WRM!$C$7:$C$127,$D32,WRM!$L$7:$L$127)</f>
        <v>1814.25</v>
      </c>
      <c r="N32" s="625"/>
      <c r="O32" s="625">
        <f t="shared" si="1"/>
        <v>8638.7000000000007</v>
      </c>
      <c r="P32" s="550"/>
      <c r="Q32" s="550">
        <f>+SUMIF(WRM!$C$7:$C$127,$D32,WRM!P$7:$P$127)</f>
        <v>1137.75</v>
      </c>
      <c r="R32" s="625"/>
      <c r="S32" s="625">
        <f t="shared" si="30"/>
        <v>9776.4500000000007</v>
      </c>
      <c r="T32" s="550"/>
      <c r="U32" s="550">
        <f>+SUMIF(WRM!$C$7:$C$127,$D32,WRM!$T$7:T$127)</f>
        <v>2359.5500000000002</v>
      </c>
      <c r="V32" s="625"/>
      <c r="W32" s="625">
        <f t="shared" si="3"/>
        <v>12136</v>
      </c>
      <c r="X32" s="625"/>
      <c r="Y32" s="550">
        <f>+SUMIF(WRM!$C$7:$C$127,$D32,WRM!$X$7:X$127)</f>
        <v>2312.3999999999996</v>
      </c>
      <c r="Z32" s="625"/>
      <c r="AA32" s="2151">
        <f t="shared" si="4"/>
        <v>5809.7</v>
      </c>
      <c r="AB32" s="2193"/>
      <c r="AC32" s="1156">
        <f t="shared" si="5"/>
        <v>14448.400000000001</v>
      </c>
      <c r="AD32" s="625"/>
      <c r="AE32" s="550">
        <f>+SUMIF(WRM!$C$7:$C$127,$D32,WRM!$AD$7:$AD$127)</f>
        <v>1941.3499999999997</v>
      </c>
      <c r="AF32" s="625"/>
      <c r="AG32" s="625">
        <f t="shared" si="6"/>
        <v>16389.75</v>
      </c>
      <c r="AH32" s="625"/>
      <c r="AI32" s="550">
        <f>+SUMIF(WRM!$C$7:$C$127,$D32,WRM!$AH$7:$AH$127)</f>
        <v>672.39999999999986</v>
      </c>
      <c r="AJ32" s="620"/>
      <c r="AK32" s="620">
        <f t="shared" si="7"/>
        <v>17062.150000000001</v>
      </c>
      <c r="AL32" s="625"/>
      <c r="AM32" s="550">
        <f>+SUMIF(WRM!$C$7:$C$127,$D32,WRM!$AL$7:$AL$127)</f>
        <v>4637.1000000000004</v>
      </c>
      <c r="AN32" s="625"/>
      <c r="AO32" s="2151">
        <f t="shared" si="8"/>
        <v>7250.85</v>
      </c>
      <c r="AP32" s="620"/>
      <c r="AQ32" s="620">
        <f t="shared" si="9"/>
        <v>21699.25</v>
      </c>
      <c r="AR32" s="625"/>
      <c r="AS32" s="550">
        <f>+SUMIF(WRM!$C$7:$C$127,$D32,WRM!$AR$7:$AR$127)</f>
        <v>3862.2</v>
      </c>
      <c r="AT32" s="620"/>
      <c r="AU32" s="620">
        <f t="shared" si="10"/>
        <v>25561.45</v>
      </c>
      <c r="AV32" s="625"/>
      <c r="AW32" s="550">
        <f>+SUMIF(WRM!$C$7:$C$127,$D32,WRM!$AV$7:$AV$127)</f>
        <v>0</v>
      </c>
      <c r="AX32" s="620"/>
      <c r="AY32" s="620">
        <f t="shared" si="11"/>
        <v>25561.45</v>
      </c>
      <c r="AZ32" s="625"/>
      <c r="BA32" s="550">
        <f>+SUMIF(WRM!$C$7:$C$127,$D32,WRM!$AZ$7:$AZ$127)</f>
        <v>9263.9499999999989</v>
      </c>
      <c r="BB32" s="625"/>
      <c r="BC32" s="2151">
        <f t="shared" si="12"/>
        <v>13126.149999999998</v>
      </c>
      <c r="BD32" s="2193"/>
      <c r="BE32" s="1156">
        <f t="shared" si="13"/>
        <v>20377</v>
      </c>
      <c r="BF32" s="620"/>
      <c r="BG32" s="620">
        <f t="shared" si="14"/>
        <v>34825.4</v>
      </c>
      <c r="BH32" s="26"/>
      <c r="BI32" s="26"/>
      <c r="BJ32" s="26"/>
    </row>
    <row r="33" spans="3:62" x14ac:dyDescent="0.35">
      <c r="C33" s="549" t="s">
        <v>16</v>
      </c>
      <c r="D33" s="1607" t="s">
        <v>1566</v>
      </c>
      <c r="E33" s="4367"/>
      <c r="F33" s="549"/>
      <c r="G33" s="550">
        <f>+SUMIF(WRM!$C$7:$C$127,$D33,WRM!$F$7:$F$127)</f>
        <v>0</v>
      </c>
      <c r="H33" s="550"/>
      <c r="I33" s="550">
        <f>+SUMIF(WRM!$C$7:$C$127,$D33,WRM!$H$7:$H$127)</f>
        <v>0</v>
      </c>
      <c r="J33" s="620"/>
      <c r="K33" s="620">
        <f t="shared" si="0"/>
        <v>0</v>
      </c>
      <c r="L33" s="550"/>
      <c r="M33" s="550">
        <f>+SUMIF(WRM!$C$7:$C$127,$D33,WRM!$L$7:$L$127)</f>
        <v>0</v>
      </c>
      <c r="N33" s="625"/>
      <c r="O33" s="625">
        <f t="shared" si="1"/>
        <v>0</v>
      </c>
      <c r="P33" s="550"/>
      <c r="Q33" s="550">
        <f>+SUMIF(WRM!$C$7:$C$127,$D33,WRM!P$7:$P$127)</f>
        <v>0</v>
      </c>
      <c r="R33" s="625"/>
      <c r="S33" s="625">
        <f t="shared" si="30"/>
        <v>0</v>
      </c>
      <c r="T33" s="550"/>
      <c r="U33" s="550">
        <f>+SUMIF(WRM!$C$7:$C$127,$D33,WRM!$T$7:T$127)</f>
        <v>0</v>
      </c>
      <c r="V33" s="625"/>
      <c r="W33" s="625">
        <f t="shared" si="3"/>
        <v>0</v>
      </c>
      <c r="X33" s="625"/>
      <c r="Y33" s="550">
        <f>+SUMIF(WRM!$C$7:$C$127,$D33,WRM!$X$7:X$127)</f>
        <v>0</v>
      </c>
      <c r="Z33" s="625"/>
      <c r="AA33" s="2151">
        <f t="shared" si="4"/>
        <v>0</v>
      </c>
      <c r="AB33" s="2193"/>
      <c r="AC33" s="1156">
        <f t="shared" si="5"/>
        <v>0</v>
      </c>
      <c r="AD33" s="625"/>
      <c r="AE33" s="550">
        <f>+SUMIF(WRM!$C$7:$C$127,$D33,WRM!$AD$7:$AD$127)</f>
        <v>0</v>
      </c>
      <c r="AF33" s="625"/>
      <c r="AG33" s="625">
        <f t="shared" si="6"/>
        <v>0</v>
      </c>
      <c r="AH33" s="625"/>
      <c r="AI33" s="550">
        <f>+SUMIF(WRM!$C$7:$C$127,$D33,WRM!$AH$7:$AH$127)</f>
        <v>0</v>
      </c>
      <c r="AJ33" s="620"/>
      <c r="AK33" s="620">
        <f t="shared" si="7"/>
        <v>0</v>
      </c>
      <c r="AL33" s="625"/>
      <c r="AM33" s="550">
        <f>+SUMIF(WRM!$C$7:$C$127,$D33,WRM!$AL$7:$AL$127)</f>
        <v>0</v>
      </c>
      <c r="AN33" s="625"/>
      <c r="AO33" s="2151">
        <f t="shared" si="8"/>
        <v>0</v>
      </c>
      <c r="AP33" s="620"/>
      <c r="AQ33" s="620">
        <f t="shared" si="9"/>
        <v>0</v>
      </c>
      <c r="AR33" s="625"/>
      <c r="AS33" s="550">
        <f>+SUMIF(WRM!$C$7:$C$127,$D33,WRM!$AR$7:$AR$127)</f>
        <v>0</v>
      </c>
      <c r="AT33" s="620"/>
      <c r="AU33" s="620">
        <f t="shared" si="10"/>
        <v>0</v>
      </c>
      <c r="AV33" s="630"/>
      <c r="AW33" s="550">
        <f>+SUMIF(WRM!$C$7:$C$127,$D33,WRM!$AV$7:$AV$127)</f>
        <v>0</v>
      </c>
      <c r="AX33" s="620"/>
      <c r="AY33" s="620">
        <f t="shared" si="11"/>
        <v>0</v>
      </c>
      <c r="AZ33" s="630"/>
      <c r="BA33" s="550">
        <f>+SUMIF(WRM!$C$7:$C$127,$D33,WRM!$AZ$7:$AZ$127)</f>
        <v>0</v>
      </c>
      <c r="BB33" s="630"/>
      <c r="BC33" s="2151">
        <f t="shared" si="12"/>
        <v>0</v>
      </c>
      <c r="BD33" s="2193"/>
      <c r="BE33" s="1156">
        <f t="shared" si="13"/>
        <v>0</v>
      </c>
      <c r="BF33" s="630"/>
      <c r="BG33" s="620">
        <f t="shared" si="14"/>
        <v>0</v>
      </c>
      <c r="BH33" s="26"/>
      <c r="BI33" s="26"/>
      <c r="BJ33" s="26"/>
    </row>
    <row r="34" spans="3:62" x14ac:dyDescent="0.35">
      <c r="C34" s="549" t="s">
        <v>16</v>
      </c>
      <c r="D34" s="1607" t="s">
        <v>1382</v>
      </c>
      <c r="E34" s="4367"/>
      <c r="F34" s="549"/>
      <c r="G34" s="550">
        <f>+SUMIF(WRM!$C$7:$C$127,$D34,WRM!$F$7:$F$127)</f>
        <v>0</v>
      </c>
      <c r="H34" s="550"/>
      <c r="I34" s="550">
        <f>+SUMIF(WRM!$C$7:$C$127,$D34,WRM!$H$7:$H$127)</f>
        <v>0</v>
      </c>
      <c r="J34" s="620"/>
      <c r="K34" s="620">
        <f t="shared" si="0"/>
        <v>0</v>
      </c>
      <c r="L34" s="550"/>
      <c r="M34" s="550">
        <f>+SUMIF(WRM!$C$7:$C$127,$D34,WRM!$L$7:$L$127)</f>
        <v>0</v>
      </c>
      <c r="N34" s="625"/>
      <c r="O34" s="625">
        <f t="shared" si="1"/>
        <v>0</v>
      </c>
      <c r="P34" s="550"/>
      <c r="Q34" s="550">
        <f>+SUMIF(WRM!$C$7:$C$127,$D34,WRM!P$7:$P$127)</f>
        <v>0</v>
      </c>
      <c r="R34" s="625"/>
      <c r="S34" s="625">
        <f t="shared" si="30"/>
        <v>0</v>
      </c>
      <c r="T34" s="550"/>
      <c r="U34" s="550">
        <f>+SUMIF(WRM!$C$7:$C$127,$D34,WRM!$T$7:T$127)</f>
        <v>0</v>
      </c>
      <c r="V34" s="625"/>
      <c r="W34" s="625">
        <f t="shared" si="3"/>
        <v>0</v>
      </c>
      <c r="X34" s="625"/>
      <c r="Y34" s="550">
        <f>+SUMIF(WRM!$C$7:$C$127,$D34,WRM!$X$7:X$127)</f>
        <v>0</v>
      </c>
      <c r="Z34" s="625"/>
      <c r="AA34" s="2151">
        <f t="shared" si="4"/>
        <v>0</v>
      </c>
      <c r="AB34" s="2193"/>
      <c r="AC34" s="1156">
        <f t="shared" si="5"/>
        <v>0</v>
      </c>
      <c r="AD34" s="625"/>
      <c r="AE34" s="550">
        <f>+SUMIF(WRM!$C$7:$C$127,$D34,WRM!$AD$7:$AD$127)</f>
        <v>0</v>
      </c>
      <c r="AF34" s="625"/>
      <c r="AG34" s="625">
        <f t="shared" si="6"/>
        <v>0</v>
      </c>
      <c r="AH34" s="625"/>
      <c r="AI34" s="550">
        <f>+SUMIF(WRM!$C$7:$C$127,$D34,WRM!$AH$7:$AH$127)</f>
        <v>0</v>
      </c>
      <c r="AJ34" s="620"/>
      <c r="AK34" s="620">
        <f t="shared" si="7"/>
        <v>0</v>
      </c>
      <c r="AL34" s="625"/>
      <c r="AM34" s="550">
        <f>+SUMIF(WRM!$C$7:$C$127,$D34,WRM!$AL$7:$AL$127)</f>
        <v>0</v>
      </c>
      <c r="AN34" s="625"/>
      <c r="AO34" s="2151">
        <f t="shared" si="8"/>
        <v>0</v>
      </c>
      <c r="AP34" s="620"/>
      <c r="AQ34" s="620">
        <f t="shared" si="9"/>
        <v>0</v>
      </c>
      <c r="AR34" s="625"/>
      <c r="AS34" s="550">
        <f>+SUMIF(WRM!$C$7:$C$127,$D34,WRM!$AR$7:$AR$127)</f>
        <v>0</v>
      </c>
      <c r="AT34" s="620"/>
      <c r="AU34" s="620">
        <f t="shared" si="10"/>
        <v>0</v>
      </c>
      <c r="AV34" s="625"/>
      <c r="AW34" s="550">
        <f>+SUMIF(WRM!$C$7:$C$127,$D34,WRM!$AV$7:$AV$127)</f>
        <v>0</v>
      </c>
      <c r="AX34" s="620"/>
      <c r="AY34" s="620">
        <f t="shared" si="11"/>
        <v>0</v>
      </c>
      <c r="AZ34" s="625"/>
      <c r="BA34" s="550">
        <f>+SUMIF(WRM!$C$7:$C$127,$D34,WRM!$AZ$7:$AZ$127)</f>
        <v>0</v>
      </c>
      <c r="BB34" s="625"/>
      <c r="BC34" s="2151">
        <f t="shared" si="12"/>
        <v>0</v>
      </c>
      <c r="BD34" s="2193"/>
      <c r="BE34" s="1156">
        <f t="shared" si="13"/>
        <v>0</v>
      </c>
      <c r="BF34" s="625"/>
      <c r="BG34" s="620">
        <f t="shared" si="14"/>
        <v>0</v>
      </c>
      <c r="BH34" s="26"/>
      <c r="BI34" s="26"/>
      <c r="BJ34" s="26"/>
    </row>
    <row r="35" spans="3:62" x14ac:dyDescent="0.35">
      <c r="C35" s="549" t="s">
        <v>16</v>
      </c>
      <c r="D35" s="1607" t="s">
        <v>1432</v>
      </c>
      <c r="E35" s="4367"/>
      <c r="F35" s="549"/>
      <c r="G35" s="550">
        <f>+SUMIF(WRM!$C$7:$C$127,$D35,WRM!$F$7:$F$127)</f>
        <v>229.6</v>
      </c>
      <c r="H35" s="550"/>
      <c r="I35" s="550">
        <f>+SUMIF(WRM!$C$7:$C$127,$D35,WRM!$H$7:$H$127)</f>
        <v>0</v>
      </c>
      <c r="J35" s="620"/>
      <c r="K35" s="620">
        <f t="shared" si="0"/>
        <v>229.6</v>
      </c>
      <c r="L35" s="550"/>
      <c r="M35" s="550">
        <f>+SUMIF(WRM!$C$7:$C$127,$D35,WRM!$L$7:$L$127)</f>
        <v>0</v>
      </c>
      <c r="N35" s="625"/>
      <c r="O35" s="625">
        <f t="shared" si="1"/>
        <v>229.6</v>
      </c>
      <c r="P35" s="550"/>
      <c r="Q35" s="550">
        <f>+SUMIF(WRM!$C$7:$C$127,$D35,WRM!P$7:$P$127)</f>
        <v>0</v>
      </c>
      <c r="R35" s="625"/>
      <c r="S35" s="625">
        <f t="shared" si="30"/>
        <v>229.6</v>
      </c>
      <c r="T35" s="550"/>
      <c r="U35" s="550">
        <f>+SUMIF(WRM!$C$7:$C$127,$D35,WRM!$T$7:T$127)</f>
        <v>0</v>
      </c>
      <c r="V35" s="625"/>
      <c r="W35" s="625">
        <f t="shared" si="3"/>
        <v>229.6</v>
      </c>
      <c r="X35" s="625"/>
      <c r="Y35" s="550">
        <f>+SUMIF(WRM!$C$7:$C$127,$D35,WRM!$X$7:X$127)</f>
        <v>0</v>
      </c>
      <c r="Z35" s="625"/>
      <c r="AA35" s="2151">
        <f t="shared" si="4"/>
        <v>0</v>
      </c>
      <c r="AB35" s="2193"/>
      <c r="AC35" s="1156">
        <f t="shared" si="5"/>
        <v>229.6</v>
      </c>
      <c r="AD35" s="625"/>
      <c r="AE35" s="550">
        <f>+SUMIF(WRM!$C$7:$C$127,$D35,WRM!$AD$7:$AD$127)</f>
        <v>0</v>
      </c>
      <c r="AF35" s="625"/>
      <c r="AG35" s="625">
        <f t="shared" si="6"/>
        <v>229.6</v>
      </c>
      <c r="AH35" s="625"/>
      <c r="AI35" s="550">
        <f>+SUMIF(WRM!$C$7:$C$127,$D35,WRM!$AH$7:$AH$127)</f>
        <v>0</v>
      </c>
      <c r="AJ35" s="620"/>
      <c r="AK35" s="620">
        <f t="shared" si="7"/>
        <v>229.6</v>
      </c>
      <c r="AL35" s="625"/>
      <c r="AM35" s="550">
        <f>+SUMIF(WRM!$C$7:$C$127,$D35,WRM!$AL$7:$AL$127)</f>
        <v>0</v>
      </c>
      <c r="AN35" s="625"/>
      <c r="AO35" s="2151">
        <f t="shared" si="8"/>
        <v>0</v>
      </c>
      <c r="AP35" s="620"/>
      <c r="AQ35" s="620">
        <f t="shared" si="9"/>
        <v>229.6</v>
      </c>
      <c r="AR35" s="625"/>
      <c r="AS35" s="550">
        <f>+SUMIF(WRM!$C$7:$C$127,$D35,WRM!$AR$7:$AR$127)</f>
        <v>0</v>
      </c>
      <c r="AT35" s="620"/>
      <c r="AU35" s="620">
        <f t="shared" si="10"/>
        <v>229.6</v>
      </c>
      <c r="AV35" s="625"/>
      <c r="AW35" s="550">
        <f>+SUMIF(WRM!$C$7:$C$127,$D35,WRM!$AV$7:$AV$127)</f>
        <v>0</v>
      </c>
      <c r="AX35" s="620"/>
      <c r="AY35" s="620">
        <f t="shared" si="11"/>
        <v>229.6</v>
      </c>
      <c r="AZ35" s="625"/>
      <c r="BA35" s="550">
        <f>+SUMIF(WRM!$C$7:$C$127,$D35,WRM!$AZ$7:$AZ$127)</f>
        <v>0</v>
      </c>
      <c r="BB35" s="625"/>
      <c r="BC35" s="2151">
        <f t="shared" si="12"/>
        <v>0</v>
      </c>
      <c r="BD35" s="2193"/>
      <c r="BE35" s="1156">
        <f t="shared" si="13"/>
        <v>0</v>
      </c>
      <c r="BF35" s="625"/>
      <c r="BG35" s="620">
        <f t="shared" si="14"/>
        <v>229.6</v>
      </c>
      <c r="BH35" s="26"/>
      <c r="BI35" s="26"/>
      <c r="BJ35" s="26"/>
    </row>
    <row r="36" spans="3:62" x14ac:dyDescent="0.35">
      <c r="C36" s="549" t="s">
        <v>16</v>
      </c>
      <c r="D36" s="1607" t="s">
        <v>1488</v>
      </c>
      <c r="E36" s="4367"/>
      <c r="F36" s="549"/>
      <c r="G36" s="550">
        <f>+SUMIF(WRM!$C$7:$C$127,$D36,WRM!$F$7:$F$127)</f>
        <v>0</v>
      </c>
      <c r="H36" s="550"/>
      <c r="I36" s="550">
        <f>+SUMIF(WRM!$C$7:$C$127,$D36,WRM!$H$7:$H$127)</f>
        <v>0</v>
      </c>
      <c r="J36" s="620"/>
      <c r="K36" s="620">
        <f t="shared" si="0"/>
        <v>0</v>
      </c>
      <c r="L36" s="550"/>
      <c r="M36" s="550">
        <f>+SUMIF(WRM!$C$7:$C$127,$D36,WRM!$L$7:$L$127)</f>
        <v>0</v>
      </c>
      <c r="N36" s="625"/>
      <c r="O36" s="625">
        <f t="shared" si="1"/>
        <v>0</v>
      </c>
      <c r="P36" s="550"/>
      <c r="Q36" s="550">
        <f>+SUMIF(WRM!$C$7:$C$127,$D36,WRM!P$7:$P$127)</f>
        <v>0</v>
      </c>
      <c r="R36" s="625"/>
      <c r="S36" s="625">
        <f t="shared" si="30"/>
        <v>0</v>
      </c>
      <c r="T36" s="550"/>
      <c r="U36" s="550">
        <f>+SUMIF(WRM!$C$7:$C$127,$D36,WRM!$T$7:T$127)</f>
        <v>0</v>
      </c>
      <c r="V36" s="625"/>
      <c r="W36" s="625">
        <f t="shared" si="3"/>
        <v>0</v>
      </c>
      <c r="X36" s="625"/>
      <c r="Y36" s="550">
        <f>+SUMIF(WRM!$C$7:$C$127,$D36,WRM!$X$7:X$127)</f>
        <v>0</v>
      </c>
      <c r="Z36" s="625"/>
      <c r="AA36" s="2151">
        <f t="shared" si="4"/>
        <v>0</v>
      </c>
      <c r="AB36" s="2193"/>
      <c r="AC36" s="1156">
        <f t="shared" si="5"/>
        <v>0</v>
      </c>
      <c r="AD36" s="625"/>
      <c r="AE36" s="550">
        <f>+SUMIF(WRM!$C$7:$C$127,$D36,WRM!$AD$7:$AD$127)</f>
        <v>0</v>
      </c>
      <c r="AF36" s="625"/>
      <c r="AG36" s="625">
        <f t="shared" si="6"/>
        <v>0</v>
      </c>
      <c r="AH36" s="625"/>
      <c r="AI36" s="550">
        <f>+SUMIF(WRM!$C$7:$C$127,$D36,WRM!$AH$7:$AH$127)</f>
        <v>0</v>
      </c>
      <c r="AJ36" s="620"/>
      <c r="AK36" s="620">
        <f t="shared" si="7"/>
        <v>0</v>
      </c>
      <c r="AL36" s="625"/>
      <c r="AM36" s="550">
        <f>+SUMIF(WRM!$C$7:$C$127,$D36,WRM!$AL$7:$AL$127)</f>
        <v>0</v>
      </c>
      <c r="AN36" s="625"/>
      <c r="AO36" s="2151">
        <f t="shared" si="8"/>
        <v>0</v>
      </c>
      <c r="AP36" s="620"/>
      <c r="AQ36" s="620">
        <f t="shared" si="9"/>
        <v>0</v>
      </c>
      <c r="AR36" s="625"/>
      <c r="AS36" s="550">
        <f>+SUMIF(WRM!$C$7:$C$127,$D36,WRM!$AR$7:$AR$127)</f>
        <v>0</v>
      </c>
      <c r="AT36" s="620"/>
      <c r="AU36" s="620">
        <f t="shared" si="10"/>
        <v>0</v>
      </c>
      <c r="AV36" s="625"/>
      <c r="AW36" s="550">
        <f>+SUMIF(WRM!$C$7:$C$127,$D36,WRM!$AV$7:$AV$127)</f>
        <v>0</v>
      </c>
      <c r="AX36" s="620"/>
      <c r="AY36" s="620">
        <f t="shared" si="11"/>
        <v>0</v>
      </c>
      <c r="AZ36" s="625"/>
      <c r="BA36" s="550">
        <f>+SUMIF(WRM!$C$7:$C$127,$D36,WRM!$AZ$7:$AZ$127)</f>
        <v>0</v>
      </c>
      <c r="BB36" s="625"/>
      <c r="BC36" s="2151">
        <f t="shared" si="12"/>
        <v>0</v>
      </c>
      <c r="BD36" s="2193"/>
      <c r="BE36" s="1156">
        <f t="shared" si="13"/>
        <v>0</v>
      </c>
      <c r="BF36" s="625"/>
      <c r="BG36" s="620">
        <f t="shared" si="14"/>
        <v>0</v>
      </c>
      <c r="BH36" s="26"/>
      <c r="BI36" s="26"/>
      <c r="BJ36" s="26"/>
    </row>
    <row r="37" spans="3:62" x14ac:dyDescent="0.35">
      <c r="C37" s="549" t="s">
        <v>16</v>
      </c>
      <c r="D37" s="1607" t="s">
        <v>1434</v>
      </c>
      <c r="E37" s="4367"/>
      <c r="F37" s="549"/>
      <c r="G37" s="550">
        <f>+SUMIF(WRM!$C$7:$C$127,$D37,WRM!$F$7:$F$127)</f>
        <v>412.05</v>
      </c>
      <c r="H37" s="550"/>
      <c r="I37" s="550">
        <f>+SUMIF(WRM!$C$7:$C$127,$D37,WRM!$H$7:$H$127)</f>
        <v>200.89999999999998</v>
      </c>
      <c r="J37" s="620"/>
      <c r="K37" s="620">
        <f t="shared" si="0"/>
        <v>612.95000000000005</v>
      </c>
      <c r="L37" s="550"/>
      <c r="M37" s="550">
        <f>+SUMIF(WRM!$C$7:$C$127,$D37,WRM!$L$7:$L$127)</f>
        <v>0</v>
      </c>
      <c r="N37" s="625"/>
      <c r="O37" s="625">
        <f t="shared" si="1"/>
        <v>612.95000000000005</v>
      </c>
      <c r="P37" s="550"/>
      <c r="Q37" s="550">
        <f>+SUMIF(WRM!$C$7:$C$127,$D37,WRM!P$7:$P$127)</f>
        <v>0</v>
      </c>
      <c r="R37" s="625"/>
      <c r="S37" s="625">
        <f t="shared" si="30"/>
        <v>612.95000000000005</v>
      </c>
      <c r="T37" s="550"/>
      <c r="U37" s="550">
        <f>+SUMIF(WRM!$C$7:$C$127,$D37,WRM!$T$7:T$127)</f>
        <v>0</v>
      </c>
      <c r="V37" s="625"/>
      <c r="W37" s="625">
        <f t="shared" si="3"/>
        <v>612.95000000000005</v>
      </c>
      <c r="X37" s="625"/>
      <c r="Y37" s="550">
        <f>+SUMIF(WRM!$C$7:$C$127,$D37,WRM!$X$7:X$127)</f>
        <v>0</v>
      </c>
      <c r="Z37" s="625"/>
      <c r="AA37" s="2151">
        <f t="shared" si="4"/>
        <v>0</v>
      </c>
      <c r="AB37" s="2193"/>
      <c r="AC37" s="1156">
        <f t="shared" si="5"/>
        <v>612.95000000000005</v>
      </c>
      <c r="AD37" s="625"/>
      <c r="AE37" s="550">
        <f>+SUMIF(WRM!$C$7:$C$127,$D37,WRM!$AD$7:$AD$127)</f>
        <v>0</v>
      </c>
      <c r="AF37" s="625"/>
      <c r="AG37" s="625">
        <f t="shared" si="6"/>
        <v>612.95000000000005</v>
      </c>
      <c r="AH37" s="625"/>
      <c r="AI37" s="550">
        <f>+SUMIF(WRM!$C$7:$C$127,$D37,WRM!$AH$7:$AH$127)</f>
        <v>0</v>
      </c>
      <c r="AJ37" s="620"/>
      <c r="AK37" s="620">
        <f t="shared" si="7"/>
        <v>612.95000000000005</v>
      </c>
      <c r="AL37" s="625"/>
      <c r="AM37" s="550">
        <f>+SUMIF(WRM!$C$7:$C$127,$D37,WRM!$AL$7:$AL$127)</f>
        <v>20.5</v>
      </c>
      <c r="AN37" s="625"/>
      <c r="AO37" s="2151">
        <f t="shared" si="8"/>
        <v>20.5</v>
      </c>
      <c r="AP37" s="620"/>
      <c r="AQ37" s="620">
        <f t="shared" si="9"/>
        <v>633.45000000000005</v>
      </c>
      <c r="AR37" s="625"/>
      <c r="AS37" s="550">
        <f>+SUMIF(WRM!$C$7:$C$127,$D37,WRM!$AR$7:$AR$127)</f>
        <v>182.45</v>
      </c>
      <c r="AT37" s="620"/>
      <c r="AU37" s="620">
        <f t="shared" si="10"/>
        <v>815.90000000000009</v>
      </c>
      <c r="AV37" s="625"/>
      <c r="AW37" s="550">
        <f>+SUMIF(WRM!$C$7:$C$127,$D37,WRM!$AV$7:$AV$127)</f>
        <v>20.5</v>
      </c>
      <c r="AX37" s="620"/>
      <c r="AY37" s="620">
        <f t="shared" si="11"/>
        <v>836.40000000000009</v>
      </c>
      <c r="AZ37" s="625"/>
      <c r="BA37" s="550">
        <f>+SUMIF(WRM!$C$7:$C$127,$D37,WRM!$AZ$7:$AZ$127)</f>
        <v>137.35000000000002</v>
      </c>
      <c r="BB37" s="625"/>
      <c r="BC37" s="2151">
        <f t="shared" si="12"/>
        <v>340.3</v>
      </c>
      <c r="BD37" s="2193"/>
      <c r="BE37" s="1156">
        <f t="shared" si="13"/>
        <v>360.8</v>
      </c>
      <c r="BF37" s="625"/>
      <c r="BG37" s="620">
        <f t="shared" si="14"/>
        <v>973.75000000000011</v>
      </c>
      <c r="BH37" s="26"/>
      <c r="BI37" s="26"/>
      <c r="BJ37" s="26"/>
    </row>
    <row r="38" spans="3:62" x14ac:dyDescent="0.35">
      <c r="C38" s="6569" t="s">
        <v>958</v>
      </c>
      <c r="D38" s="6569"/>
      <c r="E38" s="4367"/>
      <c r="F38" s="629"/>
      <c r="G38" s="630">
        <f>SUM(G4:G37)</f>
        <v>35399.379999999997</v>
      </c>
      <c r="H38" s="630"/>
      <c r="I38" s="630">
        <f>SUM(I4:I37)</f>
        <v>36334.199999999997</v>
      </c>
      <c r="J38" s="630"/>
      <c r="K38" s="631">
        <f>SUM(K4:K37)</f>
        <v>71733.58</v>
      </c>
      <c r="L38" s="630"/>
      <c r="M38" s="630">
        <f>SUM(M4:M37)</f>
        <v>37452.9</v>
      </c>
      <c r="N38" s="630"/>
      <c r="O38" s="630">
        <f>SUM(O4:O37)</f>
        <v>109186.48</v>
      </c>
      <c r="P38" s="630"/>
      <c r="Q38" s="630">
        <f>SUM(Q4:Q37)</f>
        <v>44200.05</v>
      </c>
      <c r="R38" s="630"/>
      <c r="S38" s="630">
        <f>SUM(S4:S37)</f>
        <v>153386.53000000003</v>
      </c>
      <c r="T38" s="630"/>
      <c r="U38" s="630">
        <f>SUM(U4:U37)</f>
        <v>33658.950000000004</v>
      </c>
      <c r="V38" s="630"/>
      <c r="W38" s="630">
        <f>SUM(W4:W37)</f>
        <v>187045.48</v>
      </c>
      <c r="X38" s="630"/>
      <c r="Y38" s="630">
        <f>SUM(Y4:Y37)</f>
        <v>37412.5</v>
      </c>
      <c r="Z38" s="630"/>
      <c r="AA38" s="2152">
        <f>SUM(AA4:AA37)</f>
        <v>115271.50000000001</v>
      </c>
      <c r="AB38" s="2193"/>
      <c r="AC38" s="2152">
        <f t="shared" ref="AC38:AC77" si="52">O38+AA38</f>
        <v>224457.98</v>
      </c>
      <c r="AD38" s="630"/>
      <c r="AE38" s="630">
        <f>SUM(AE4:AE37)</f>
        <v>28117.8</v>
      </c>
      <c r="AF38" s="630"/>
      <c r="AG38" s="630">
        <f>SUM(AG4:AG37)</f>
        <v>252575.78000000003</v>
      </c>
      <c r="AH38" s="630"/>
      <c r="AI38" s="630">
        <f>SUM(AI4:AI37)</f>
        <v>33991.050000000003</v>
      </c>
      <c r="AJ38" s="630"/>
      <c r="AK38" s="630">
        <f>SUM(AK4:AK37)</f>
        <v>286566.83</v>
      </c>
      <c r="AL38" s="630"/>
      <c r="AM38" s="630">
        <f>SUM(AM4:AM37)</f>
        <v>39526.050000000003</v>
      </c>
      <c r="AN38" s="630"/>
      <c r="AO38" s="2152">
        <f>SUM(AO4:AO37)</f>
        <v>101634.90000000001</v>
      </c>
      <c r="AP38" s="630"/>
      <c r="AQ38" s="630">
        <f>SUM(AQ4:AQ37)</f>
        <v>326092.88</v>
      </c>
      <c r="AR38" s="630"/>
      <c r="AS38" s="630">
        <f>SUM(AS4:AS37)</f>
        <v>39585.500000000007</v>
      </c>
      <c r="AT38" s="630"/>
      <c r="AU38" s="630">
        <f>SUM(AU4:AU37)</f>
        <v>365678.38</v>
      </c>
      <c r="AV38" s="625"/>
      <c r="AW38" s="630">
        <f>SUM(AW4:AW37)</f>
        <v>36941.000000000022</v>
      </c>
      <c r="AX38" s="630"/>
      <c r="AY38" s="630">
        <f>SUM(AY4:AY37)</f>
        <v>402619.38</v>
      </c>
      <c r="AZ38" s="625"/>
      <c r="BA38" s="630">
        <f>SUM(BA4:BA37)</f>
        <v>46047.099999999991</v>
      </c>
      <c r="BB38" s="625"/>
      <c r="BC38" s="2152">
        <f>SUM(BC4:BC37)</f>
        <v>122573.6</v>
      </c>
      <c r="BD38" s="2193"/>
      <c r="BE38" s="2152">
        <f>AO38+BC38</f>
        <v>224208.5</v>
      </c>
      <c r="BF38" s="625"/>
      <c r="BG38" s="630">
        <f>SUM(BG4:BG37)</f>
        <v>448666.48000000004</v>
      </c>
      <c r="BH38" s="1520"/>
      <c r="BI38" s="26"/>
      <c r="BJ38" s="26"/>
    </row>
    <row r="39" spans="3:62" x14ac:dyDescent="0.35">
      <c r="C39" s="549" t="s">
        <v>91</v>
      </c>
      <c r="D39" s="549" t="s">
        <v>1033</v>
      </c>
      <c r="E39" s="4367"/>
      <c r="F39" s="549"/>
      <c r="G39" s="550">
        <f>+SUMIF(BM!$C$7:$C$42,$D39,BM!$F$7:$F$42)</f>
        <v>8938.2249999999985</v>
      </c>
      <c r="H39" s="550"/>
      <c r="I39" s="550">
        <f>+SUMIF(BM!$C$7:$C$42,$D39,BM!$H$7:$H$42)</f>
        <v>19895.290000000015</v>
      </c>
      <c r="J39" s="620"/>
      <c r="K39" s="620">
        <f t="shared" ref="K39:K77" si="53">+G39+I39</f>
        <v>28833.515000000014</v>
      </c>
      <c r="L39" s="550"/>
      <c r="M39" s="550">
        <f>+SUMIF(BM!$C$7:$C$42,$D39,BM!$L$7:$L$42)</f>
        <v>13893.16</v>
      </c>
      <c r="N39" s="625"/>
      <c r="O39" s="625">
        <f t="shared" ref="O39:O77" si="54">+G39+I39+M39</f>
        <v>42726.675000000017</v>
      </c>
      <c r="P39" s="550"/>
      <c r="Q39" s="550">
        <f>+SUMIF(BM!$C$7:$C$42,$D39,BM!$P$7:$P$42)</f>
        <v>22964.860000000015</v>
      </c>
      <c r="R39" s="625"/>
      <c r="S39" s="625">
        <f t="shared" si="30"/>
        <v>65691.535000000033</v>
      </c>
      <c r="T39" s="550"/>
      <c r="U39" s="550">
        <f>+SUMIF(BM!$C$7:$C$42,$D39,BM!$T$7:$T$42)</f>
        <v>5623.75</v>
      </c>
      <c r="V39" s="625"/>
      <c r="W39" s="625">
        <f t="shared" ref="W39:W44" si="55">S39+U39</f>
        <v>71315.285000000033</v>
      </c>
      <c r="X39" s="625"/>
      <c r="Y39" s="550">
        <f>+SUMIF(BM!$C$7:$C$42,$D39,BM!$X$7:$X$42)</f>
        <v>7496.6249999999991</v>
      </c>
      <c r="Z39" s="625"/>
      <c r="AA39" s="2151">
        <f>Q39+U39+Y39</f>
        <v>36085.235000000015</v>
      </c>
      <c r="AB39" s="2193"/>
      <c r="AC39" s="1156">
        <f t="shared" si="52"/>
        <v>78811.910000000033</v>
      </c>
      <c r="AD39" s="625"/>
      <c r="AE39" s="550">
        <f>+SUMIF(BM!$C$7:$C$42,$D39,BM!$AD$7:$AD$42)</f>
        <v>1136.0549999999998</v>
      </c>
      <c r="AF39" s="625"/>
      <c r="AG39" s="625">
        <f t="shared" ref="AG39:AG44" si="56">AC39+AE39</f>
        <v>79947.965000000026</v>
      </c>
      <c r="AH39" s="625"/>
      <c r="AI39" s="550">
        <f>+SUMIF(BM!$C$7:$C$42,$D39,BM!$AH$7:$AH$42)</f>
        <v>0</v>
      </c>
      <c r="AJ39" s="625"/>
      <c r="AK39" s="620">
        <f t="shared" ref="AK39:AK44" si="57">AG39+AI39</f>
        <v>79947.965000000026</v>
      </c>
      <c r="AL39" s="625"/>
      <c r="AM39" s="550">
        <f>+SUMIF(BM!$C$7:$C$42,$D39,BM!$AL$7:$AL$42)</f>
        <v>2696.335</v>
      </c>
      <c r="AN39" s="625"/>
      <c r="AO39" s="2151">
        <f>AE39+AI39+AM39</f>
        <v>3832.39</v>
      </c>
      <c r="AP39" s="625"/>
      <c r="AQ39" s="620">
        <f t="shared" ref="AQ39:AQ44" si="58">AK39+AM39</f>
        <v>82644.300000000032</v>
      </c>
      <c r="AR39" s="625"/>
      <c r="AS39" s="550">
        <f>+SUMIF(BM!$C$7:$C$42,$D39,BM!$AR$7:$AR$42)</f>
        <v>6561.7749999999996</v>
      </c>
      <c r="AT39" s="625"/>
      <c r="AU39" s="620">
        <f t="shared" ref="AU39:AU44" si="59">AQ39+AS39</f>
        <v>89206.075000000026</v>
      </c>
      <c r="AV39" s="625"/>
      <c r="AW39" s="550">
        <f>+SUMIF(BM!$C$7:$C$42,$D39,BM!$AV$7:$AV$42)</f>
        <v>8664.6650000000009</v>
      </c>
      <c r="AX39" s="625"/>
      <c r="AY39" s="620">
        <f t="shared" ref="AY39:AY44" si="60">AU39+AW39</f>
        <v>97870.74000000002</v>
      </c>
      <c r="AZ39" s="625"/>
      <c r="BA39" s="550">
        <f>+SUMIF(BM!$C$7:$C$42,$D39,BM!$AZ$7:$AZ$42)</f>
        <v>9169.8310753426213</v>
      </c>
      <c r="BB39" s="625"/>
      <c r="BC39" s="2151">
        <f>AS39+AW39+BA39</f>
        <v>24396.271075342622</v>
      </c>
      <c r="BD39" s="2193"/>
      <c r="BE39" s="1156">
        <f t="shared" si="13"/>
        <v>28228.661075342621</v>
      </c>
      <c r="BF39" s="625"/>
      <c r="BG39" s="620">
        <f t="shared" si="14"/>
        <v>107040.57107534264</v>
      </c>
      <c r="BH39" s="26"/>
      <c r="BI39" s="26"/>
      <c r="BJ39" s="26"/>
    </row>
    <row r="40" spans="3:62" x14ac:dyDescent="0.35">
      <c r="C40" s="549" t="s">
        <v>91</v>
      </c>
      <c r="D40" s="549" t="s">
        <v>1034</v>
      </c>
      <c r="E40" s="4367"/>
      <c r="F40" s="549"/>
      <c r="G40" s="550">
        <f>+SUMIF(BM!$C$7:$C$42,$D40,BM!$F$7:$F$42)</f>
        <v>23478.605000000014</v>
      </c>
      <c r="H40" s="550"/>
      <c r="I40" s="550">
        <f>+SUMIF(BM!$C$7:$C$42,$D40,BM!$H$7:$H$42)</f>
        <v>26257.105000000018</v>
      </c>
      <c r="J40" s="620"/>
      <c r="K40" s="620">
        <f t="shared" si="53"/>
        <v>49735.710000000036</v>
      </c>
      <c r="L40" s="550"/>
      <c r="M40" s="550">
        <f>+SUMIF(BM!$C$7:$C$42,$D40,BM!$L$7:$L$42)</f>
        <v>24809.215000000015</v>
      </c>
      <c r="N40" s="625"/>
      <c r="O40" s="625">
        <f t="shared" si="54"/>
        <v>74544.925000000047</v>
      </c>
      <c r="P40" s="550"/>
      <c r="Q40" s="550">
        <f>+SUMIF(BM!$C$7:$C$42,$D40,BM!$P$7:$P$42)</f>
        <v>46228.605000000076</v>
      </c>
      <c r="R40" s="625"/>
      <c r="S40" s="625">
        <f t="shared" si="30"/>
        <v>120773.53000000012</v>
      </c>
      <c r="T40" s="550"/>
      <c r="U40" s="550">
        <f>+SUMIF(BM!$C$7:$C$42,$D40,BM!$T$7:$T$42)</f>
        <v>36993.745000000017</v>
      </c>
      <c r="V40" s="625"/>
      <c r="W40" s="625">
        <f t="shared" si="55"/>
        <v>157767.27500000014</v>
      </c>
      <c r="X40" s="625"/>
      <c r="Y40" s="550">
        <f>+SUMIF(BM!$C$7:$C$42,$D40,BM!$X$7:$X$42)</f>
        <v>36854.330000000053</v>
      </c>
      <c r="Z40" s="625"/>
      <c r="AA40" s="2151">
        <f t="shared" ref="AA40:AA44" si="61">Q40+U40+Y40</f>
        <v>120076.68000000014</v>
      </c>
      <c r="AB40" s="2193"/>
      <c r="AC40" s="1156">
        <f t="shared" si="52"/>
        <v>194621.60500000019</v>
      </c>
      <c r="AD40" s="625"/>
      <c r="AE40" s="550">
        <f>+SUMIF(BM!$C$7:$C$42,$D40,BM!$AD$7:$AD$42)</f>
        <v>39236.38000000007</v>
      </c>
      <c r="AF40" s="625"/>
      <c r="AG40" s="625">
        <f t="shared" si="56"/>
        <v>233857.98500000025</v>
      </c>
      <c r="AH40" s="625"/>
      <c r="AI40" s="550">
        <f>+SUMIF(BM!$C$7:$C$42,$D40,BM!$AH$7:$AH$42)</f>
        <v>40296.170000000035</v>
      </c>
      <c r="AJ40" s="625"/>
      <c r="AK40" s="620">
        <f t="shared" si="57"/>
        <v>274154.15500000026</v>
      </c>
      <c r="AL40" s="625"/>
      <c r="AM40" s="550">
        <f>+SUMIF(BM!$C$7:$C$42,$D40,BM!$AL$7:$AL$42)</f>
        <v>42591.195000000109</v>
      </c>
      <c r="AN40" s="625"/>
      <c r="AO40" s="2151">
        <f t="shared" ref="AO40:AO44" si="62">AE40+AI40+AM40</f>
        <v>122123.74500000021</v>
      </c>
      <c r="AP40" s="625"/>
      <c r="AQ40" s="620">
        <f t="shared" si="58"/>
        <v>316745.35000000038</v>
      </c>
      <c r="AR40" s="625"/>
      <c r="AS40" s="550">
        <f>+SUMIF(BM!$C$7:$C$42,$D40,BM!$AR$7:$AR$42)</f>
        <v>48889.360000000073</v>
      </c>
      <c r="AT40" s="625"/>
      <c r="AU40" s="620">
        <f t="shared" si="59"/>
        <v>365634.71000000043</v>
      </c>
      <c r="AV40" s="630"/>
      <c r="AW40" s="550">
        <f>+SUMIF(BM!$C$7:$C$42,$D40,BM!$AV$7:$AV$42)</f>
        <v>23043.060000000005</v>
      </c>
      <c r="AX40" s="625"/>
      <c r="AY40" s="620">
        <f t="shared" si="60"/>
        <v>388677.77000000043</v>
      </c>
      <c r="AZ40" s="630"/>
      <c r="BA40" s="550">
        <f>+SUMIF(BM!$C$7:$C$42,$D40,BM!$AZ$7:$AZ$42)</f>
        <v>47438.358295731814</v>
      </c>
      <c r="BB40" s="630"/>
      <c r="BC40" s="2151">
        <f t="shared" ref="BC40:BC44" si="63">AS40+AW40+BA40</f>
        <v>119370.77829573189</v>
      </c>
      <c r="BD40" s="2193"/>
      <c r="BE40" s="1156">
        <f t="shared" si="13"/>
        <v>241494.5232957321</v>
      </c>
      <c r="BF40" s="630"/>
      <c r="BG40" s="620">
        <f t="shared" si="14"/>
        <v>436116.12829573225</v>
      </c>
      <c r="BH40" s="26"/>
      <c r="BI40" s="26"/>
      <c r="BJ40" s="26"/>
    </row>
    <row r="41" spans="3:62" x14ac:dyDescent="0.35">
      <c r="C41" s="549" t="s">
        <v>91</v>
      </c>
      <c r="D41" s="549" t="s">
        <v>1137</v>
      </c>
      <c r="E41" s="4367"/>
      <c r="F41" s="549"/>
      <c r="G41" s="550">
        <f>+SUMIF(BM!$C$7:$C$42,$D41,BM!$F$7:$F$42)</f>
        <v>31546.220000000012</v>
      </c>
      <c r="H41" s="550"/>
      <c r="I41" s="550">
        <f>+SUMIF(BM!$C$7:$C$42,$D41,BM!$H$7:$H$42)</f>
        <v>29282.950000000026</v>
      </c>
      <c r="J41" s="620"/>
      <c r="K41" s="620">
        <f t="shared" si="53"/>
        <v>60829.170000000042</v>
      </c>
      <c r="L41" s="550"/>
      <c r="M41" s="550">
        <f>+SUMIF(BM!$C$7:$C$42,$D41,BM!$L$7:$L$42)</f>
        <v>32011.095000000038</v>
      </c>
      <c r="N41" s="625"/>
      <c r="O41" s="625">
        <f t="shared" si="54"/>
        <v>92840.265000000072</v>
      </c>
      <c r="P41" s="550"/>
      <c r="Q41" s="550">
        <f>+SUMIF(BM!$C$7:$C$42,$D41,BM!$P$7:$P$42)</f>
        <v>18863.025000000012</v>
      </c>
      <c r="R41" s="625"/>
      <c r="S41" s="625">
        <f t="shared" si="30"/>
        <v>111703.29000000008</v>
      </c>
      <c r="T41" s="550"/>
      <c r="U41" s="550">
        <f>+SUMIF(BM!$C$7:$C$42,$D41,BM!$T$7:$T$42)</f>
        <v>28986.125000000029</v>
      </c>
      <c r="V41" s="625"/>
      <c r="W41" s="625">
        <f t="shared" si="55"/>
        <v>140689.4150000001</v>
      </c>
      <c r="X41" s="625"/>
      <c r="Y41" s="550">
        <f>+SUMIF(BM!$C$7:$C$42,$D41,BM!$X$7:$X$42)</f>
        <v>29188.925000000021</v>
      </c>
      <c r="Z41" s="625"/>
      <c r="AA41" s="2151">
        <f t="shared" si="61"/>
        <v>77038.075000000055</v>
      </c>
      <c r="AB41" s="2193"/>
      <c r="AC41" s="1156">
        <f t="shared" si="52"/>
        <v>169878.34000000014</v>
      </c>
      <c r="AD41" s="625"/>
      <c r="AE41" s="550">
        <f>+SUMIF(BM!$C$7:$C$42,$D41,BM!$AD$7:$AD$42)</f>
        <v>10577.840000000002</v>
      </c>
      <c r="AF41" s="625"/>
      <c r="AG41" s="625">
        <f t="shared" si="56"/>
        <v>180456.18000000014</v>
      </c>
      <c r="AH41" s="625"/>
      <c r="AI41" s="550">
        <f>+SUMIF(BM!$C$7:$C$42,$D41,BM!$AH$7:$AH$42)</f>
        <v>25310.055000000022</v>
      </c>
      <c r="AJ41" s="625"/>
      <c r="AK41" s="620">
        <f t="shared" si="57"/>
        <v>205766.23500000016</v>
      </c>
      <c r="AL41" s="625"/>
      <c r="AM41" s="550">
        <f>+SUMIF(BM!$C$7:$C$42,$D41,BM!$AL$7:$AL$42)</f>
        <v>31272.44500000004</v>
      </c>
      <c r="AN41" s="625"/>
      <c r="AO41" s="2151">
        <f t="shared" si="62"/>
        <v>67160.340000000069</v>
      </c>
      <c r="AP41" s="625"/>
      <c r="AQ41" s="620">
        <f t="shared" si="58"/>
        <v>237038.6800000002</v>
      </c>
      <c r="AR41" s="625"/>
      <c r="AS41" s="550">
        <f>+SUMIF(BM!$C$7:$C$42,$D41,BM!$AR$7:$AR$42)</f>
        <v>28699.930000000048</v>
      </c>
      <c r="AT41" s="625"/>
      <c r="AU41" s="620">
        <f t="shared" si="59"/>
        <v>265738.61000000022</v>
      </c>
      <c r="AV41" s="625"/>
      <c r="AW41" s="550">
        <f>+SUMIF(BM!$C$7:$C$42,$D41,BM!$AV$7:$AV$42)</f>
        <v>42350.595000000088</v>
      </c>
      <c r="AX41" s="625"/>
      <c r="AY41" s="620">
        <f t="shared" si="60"/>
        <v>308089.20500000031</v>
      </c>
      <c r="AZ41" s="625"/>
      <c r="BA41" s="550">
        <f>+SUMIF(BM!$C$7:$C$42,$D41,BM!$AZ$7:$AZ$42)</f>
        <v>24591.810628925559</v>
      </c>
      <c r="BB41" s="625"/>
      <c r="BC41" s="2151">
        <f t="shared" si="63"/>
        <v>95642.335628925706</v>
      </c>
      <c r="BD41" s="2193"/>
      <c r="BE41" s="1156">
        <f t="shared" si="13"/>
        <v>162802.67562892579</v>
      </c>
      <c r="BF41" s="625"/>
      <c r="BG41" s="620">
        <f t="shared" si="14"/>
        <v>332681.01562892587</v>
      </c>
      <c r="BH41" s="26"/>
      <c r="BI41" s="26"/>
      <c r="BJ41" s="26"/>
    </row>
    <row r="42" spans="3:62" x14ac:dyDescent="0.35">
      <c r="C42" s="549" t="s">
        <v>91</v>
      </c>
      <c r="D42" s="549" t="s">
        <v>1115</v>
      </c>
      <c r="E42" s="4367"/>
      <c r="F42" s="549"/>
      <c r="G42" s="550">
        <f>+SUMIF(BM!$C$7:$C$42,$D42,BM!$F$7:$F$42)</f>
        <v>0</v>
      </c>
      <c r="H42" s="550"/>
      <c r="I42" s="550">
        <f>+SUMIF(BM!$C$7:$C$42,$D42,BM!$H$7:$H$42)</f>
        <v>137.01500000000001</v>
      </c>
      <c r="J42" s="620"/>
      <c r="K42" s="620">
        <f t="shared" si="53"/>
        <v>137.01500000000001</v>
      </c>
      <c r="L42" s="550"/>
      <c r="M42" s="550">
        <f>+SUMIF(BM!$C$7:$C$42,$D42,BM!$L$7:$L$42)</f>
        <v>1015.7500000000002</v>
      </c>
      <c r="N42" s="625"/>
      <c r="O42" s="625">
        <f t="shared" si="54"/>
        <v>1152.7650000000003</v>
      </c>
      <c r="P42" s="550"/>
      <c r="Q42" s="550">
        <f>+SUMIF(BM!$C$7:$C$42,$D42,BM!$P$7:$P$42)</f>
        <v>0</v>
      </c>
      <c r="R42" s="625"/>
      <c r="S42" s="625">
        <f t="shared" si="30"/>
        <v>1152.7650000000003</v>
      </c>
      <c r="T42" s="550"/>
      <c r="U42" s="550">
        <f>+SUMIF(BM!$C$7:$C$42,$D42,BM!$T$7:$T$42)</f>
        <v>0</v>
      </c>
      <c r="V42" s="625"/>
      <c r="W42" s="625">
        <f t="shared" si="55"/>
        <v>1152.7650000000003</v>
      </c>
      <c r="X42" s="625"/>
      <c r="Y42" s="550">
        <f>+SUMIF(BM!$C$7:$C$42,$D42,BM!$X$7:$X$42)</f>
        <v>0</v>
      </c>
      <c r="Z42" s="625"/>
      <c r="AA42" s="2151">
        <f t="shared" si="61"/>
        <v>0</v>
      </c>
      <c r="AB42" s="2193"/>
      <c r="AC42" s="1156">
        <f t="shared" si="52"/>
        <v>1152.7650000000003</v>
      </c>
      <c r="AD42" s="625"/>
      <c r="AE42" s="550">
        <f>+SUMIF(BM!$C$7:$C$42,$D42,BM!$AD$7:$AD$42)</f>
        <v>0</v>
      </c>
      <c r="AF42" s="625"/>
      <c r="AG42" s="625">
        <f t="shared" si="56"/>
        <v>1152.7650000000003</v>
      </c>
      <c r="AH42" s="625"/>
      <c r="AI42" s="550">
        <f>+SUMIF(BM!$C$7:$C$42,$D42,BM!$AH$7:$AH$42)</f>
        <v>0</v>
      </c>
      <c r="AJ42" s="625"/>
      <c r="AK42" s="620">
        <f t="shared" si="57"/>
        <v>1152.7650000000003</v>
      </c>
      <c r="AL42" s="625"/>
      <c r="AM42" s="550">
        <f>+SUMIF(BM!$C$7:$C$42,$D42,BM!$AL$7:$AL$42)</f>
        <v>0</v>
      </c>
      <c r="AN42" s="625"/>
      <c r="AO42" s="2151">
        <f t="shared" si="62"/>
        <v>0</v>
      </c>
      <c r="AP42" s="625"/>
      <c r="AQ42" s="620">
        <f t="shared" si="58"/>
        <v>1152.7650000000003</v>
      </c>
      <c r="AR42" s="625"/>
      <c r="AS42" s="550">
        <f>+SUMIF(BM!$C$7:$C$42,$D42,BM!$AR$7:$AR$42)</f>
        <v>0</v>
      </c>
      <c r="AT42" s="625"/>
      <c r="AU42" s="620">
        <f t="shared" si="59"/>
        <v>1152.7650000000003</v>
      </c>
      <c r="AV42" s="625"/>
      <c r="AW42" s="550">
        <f>+SUMIF(BM!$C$7:$C$42,$D42,BM!$AV$7:$AV$42)</f>
        <v>0</v>
      </c>
      <c r="AX42" s="625"/>
      <c r="AY42" s="620">
        <f t="shared" si="60"/>
        <v>1152.7650000000003</v>
      </c>
      <c r="AZ42" s="625"/>
      <c r="BA42" s="550">
        <f>+SUMIF(BM!$C$7:$C$42,$D42,BM!$AZ$7:$AZ$42)</f>
        <v>0</v>
      </c>
      <c r="BB42" s="625"/>
      <c r="BC42" s="2151">
        <f t="shared" si="63"/>
        <v>0</v>
      </c>
      <c r="BD42" s="2193"/>
      <c r="BE42" s="1156">
        <f t="shared" si="13"/>
        <v>0</v>
      </c>
      <c r="BF42" s="625"/>
      <c r="BG42" s="620">
        <f t="shared" si="14"/>
        <v>1152.7650000000003</v>
      </c>
      <c r="BH42" s="26"/>
      <c r="BI42" s="26"/>
      <c r="BJ42" s="26"/>
    </row>
    <row r="43" spans="3:62" x14ac:dyDescent="0.35">
      <c r="C43" s="549" t="s">
        <v>91</v>
      </c>
      <c r="D43" s="549" t="s">
        <v>1035</v>
      </c>
      <c r="E43" s="4367"/>
      <c r="F43" s="549"/>
      <c r="G43" s="550">
        <f>+SUMIF(BM!$C$7:$C$42,$D43,BM!$F$7:$F$42)</f>
        <v>2932.4049999999997</v>
      </c>
      <c r="H43" s="550"/>
      <c r="I43" s="550">
        <f>+SUMIF(BM!$C$7:$C$42,$D43,BM!$H$7:$H$42)</f>
        <v>603.27499999999998</v>
      </c>
      <c r="J43" s="620"/>
      <c r="K43" s="620">
        <f t="shared" si="53"/>
        <v>3535.68</v>
      </c>
      <c r="L43" s="550"/>
      <c r="M43" s="550">
        <f>+SUMIF(BM!$C$7:$C$42,$D43,BM!$L$7:$L$42)</f>
        <v>1914.7949999999998</v>
      </c>
      <c r="N43" s="625"/>
      <c r="O43" s="625">
        <f t="shared" si="54"/>
        <v>5450.4749999999995</v>
      </c>
      <c r="P43" s="550"/>
      <c r="Q43" s="550">
        <f>+SUMIF(BM!$C$7:$C$42,$D43,BM!$P$7:$P$42)</f>
        <v>0</v>
      </c>
      <c r="R43" s="625"/>
      <c r="S43" s="625">
        <f t="shared" si="30"/>
        <v>5450.4749999999995</v>
      </c>
      <c r="T43" s="550"/>
      <c r="U43" s="550">
        <f>+SUMIF(BM!$C$7:$C$42,$D43,BM!$T$7:$T$42)</f>
        <v>4250.0749999999998</v>
      </c>
      <c r="V43" s="625"/>
      <c r="W43" s="625">
        <f t="shared" si="55"/>
        <v>9700.5499999999993</v>
      </c>
      <c r="X43" s="625"/>
      <c r="Y43" s="550">
        <f>+SUMIF(BM!$C$7:$C$42,$D43,BM!$X$7:$X$42)</f>
        <v>2779.1549999999997</v>
      </c>
      <c r="Z43" s="625"/>
      <c r="AA43" s="2151">
        <f t="shared" si="61"/>
        <v>7029.23</v>
      </c>
      <c r="AB43" s="2193"/>
      <c r="AC43" s="1156">
        <f t="shared" si="52"/>
        <v>12479.704999999998</v>
      </c>
      <c r="AD43" s="625"/>
      <c r="AE43" s="550">
        <f>+SUMIF(BM!$C$7:$C$42,$D43,BM!$AD$7:$AD$42)</f>
        <v>0</v>
      </c>
      <c r="AF43" s="625"/>
      <c r="AG43" s="625">
        <f t="shared" si="56"/>
        <v>12479.704999999998</v>
      </c>
      <c r="AH43" s="625"/>
      <c r="AI43" s="550">
        <f>+SUMIF(BM!$C$7:$C$42,$D43,BM!$AH$7:$AH$42)</f>
        <v>4114.5399999999991</v>
      </c>
      <c r="AJ43" s="625"/>
      <c r="AK43" s="620">
        <f t="shared" si="57"/>
        <v>16594.244999999995</v>
      </c>
      <c r="AL43" s="625"/>
      <c r="AM43" s="550">
        <f>+SUMIF(BM!$C$7:$C$42,$D43,BM!$AL$7:$AL$42)</f>
        <v>5056.7899999999991</v>
      </c>
      <c r="AN43" s="625"/>
      <c r="AO43" s="2151">
        <f t="shared" si="62"/>
        <v>9171.3299999999981</v>
      </c>
      <c r="AP43" s="625"/>
      <c r="AQ43" s="620">
        <f t="shared" si="58"/>
        <v>21651.034999999996</v>
      </c>
      <c r="AR43" s="625"/>
      <c r="AS43" s="550">
        <f>+SUMIF(BM!$C$7:$C$42,$D43,BM!$AR$7:$AR$42)</f>
        <v>1653.5350000000001</v>
      </c>
      <c r="AT43" s="625"/>
      <c r="AU43" s="620">
        <f t="shared" si="59"/>
        <v>23304.569999999996</v>
      </c>
      <c r="AV43" s="625"/>
      <c r="AW43" s="550">
        <f>+SUMIF(BM!$C$7:$C$42,$D43,BM!$AV$7:$AV$42)</f>
        <v>0</v>
      </c>
      <c r="AX43" s="625"/>
      <c r="AY43" s="620">
        <f t="shared" si="60"/>
        <v>23304.569999999996</v>
      </c>
      <c r="AZ43" s="625"/>
      <c r="BA43" s="550">
        <f>+SUMIF(BM!$C$7:$C$42,$D43,BM!$AZ$7:$AZ$42)</f>
        <v>0</v>
      </c>
      <c r="BB43" s="625"/>
      <c r="BC43" s="2151">
        <f t="shared" si="63"/>
        <v>1653.5350000000001</v>
      </c>
      <c r="BD43" s="2193"/>
      <c r="BE43" s="1156">
        <f t="shared" si="13"/>
        <v>10824.864999999998</v>
      </c>
      <c r="BF43" s="625"/>
      <c r="BG43" s="620">
        <f t="shared" si="14"/>
        <v>23304.569999999996</v>
      </c>
      <c r="BH43" s="26"/>
      <c r="BI43" s="26"/>
      <c r="BJ43" s="26"/>
    </row>
    <row r="44" spans="3:62" x14ac:dyDescent="0.35">
      <c r="C44" s="549" t="s">
        <v>91</v>
      </c>
      <c r="D44" s="549" t="s">
        <v>1003</v>
      </c>
      <c r="E44" s="4367"/>
      <c r="F44" s="549"/>
      <c r="G44" s="550">
        <f>+SUMIF(BM!$C$7:$C$42,$D44,BM!$F$7:$F$42)</f>
        <v>0</v>
      </c>
      <c r="H44" s="550"/>
      <c r="I44" s="550">
        <f>+SUMIF(BM!$C$7:$C$42,$D44,BM!$H$7:$H$42)</f>
        <v>0</v>
      </c>
      <c r="J44" s="620"/>
      <c r="K44" s="620">
        <f t="shared" si="53"/>
        <v>0</v>
      </c>
      <c r="L44" s="550"/>
      <c r="M44" s="550">
        <f>+SUMIF(BM!$C$7:$C$42,$D44,BM!$L$7:$L$42)</f>
        <v>0</v>
      </c>
      <c r="N44" s="625"/>
      <c r="O44" s="625">
        <f t="shared" si="54"/>
        <v>0</v>
      </c>
      <c r="P44" s="550"/>
      <c r="Q44" s="550">
        <f>+SUMIF(BM!$C$7:$C$42,$D44,BM!$P$7:$P$42)</f>
        <v>0</v>
      </c>
      <c r="R44" s="625"/>
      <c r="S44" s="625">
        <f t="shared" si="30"/>
        <v>0</v>
      </c>
      <c r="T44" s="550"/>
      <c r="U44" s="550">
        <f>+SUMIF(BM!$C$7:$C$42,$D44,BM!$T$7:$T$42)</f>
        <v>0</v>
      </c>
      <c r="V44" s="625"/>
      <c r="W44" s="625">
        <f t="shared" si="55"/>
        <v>0</v>
      </c>
      <c r="X44" s="625"/>
      <c r="Y44" s="550">
        <f>+SUMIF(BM!$C$7:$C$42,$D44,BM!$X$7:$X$42)</f>
        <v>0</v>
      </c>
      <c r="Z44" s="625"/>
      <c r="AA44" s="2151">
        <f t="shared" si="61"/>
        <v>0</v>
      </c>
      <c r="AB44" s="2193"/>
      <c r="AC44" s="1156">
        <f t="shared" si="52"/>
        <v>0</v>
      </c>
      <c r="AD44" s="625"/>
      <c r="AE44" s="550">
        <f>+SUMIF(BM!$C$7:$C$42,$D44,BM!$AD$7:$AD$42)</f>
        <v>0</v>
      </c>
      <c r="AF44" s="625"/>
      <c r="AG44" s="625">
        <f t="shared" si="56"/>
        <v>0</v>
      </c>
      <c r="AH44" s="625"/>
      <c r="AI44" s="550">
        <f>+SUMIF(BM!$C$7:$C$42,$D44,BM!$AH$7:$AH$42)</f>
        <v>0</v>
      </c>
      <c r="AJ44" s="625"/>
      <c r="AK44" s="620">
        <f t="shared" si="57"/>
        <v>0</v>
      </c>
      <c r="AL44" s="625"/>
      <c r="AM44" s="550">
        <f>+SUMIF(BM!$C$7:$C$42,$D44,BM!$AL$7:$AL$42)</f>
        <v>0</v>
      </c>
      <c r="AN44" s="625"/>
      <c r="AO44" s="2151">
        <f t="shared" si="62"/>
        <v>0</v>
      </c>
      <c r="AP44" s="625"/>
      <c r="AQ44" s="620">
        <f t="shared" si="58"/>
        <v>0</v>
      </c>
      <c r="AR44" s="625"/>
      <c r="AS44" s="550">
        <f>+SUMIF(BM!$C$7:$C$42,$D44,BM!$AR$7:$AR$42)</f>
        <v>0</v>
      </c>
      <c r="AT44" s="625"/>
      <c r="AU44" s="620">
        <f t="shared" si="59"/>
        <v>0</v>
      </c>
      <c r="AV44" s="630"/>
      <c r="AW44" s="550">
        <f>+SUMIF(BM!$C$7:$C$42,$D44,BM!$AV$7:$AV$42)</f>
        <v>0</v>
      </c>
      <c r="AX44" s="625"/>
      <c r="AY44" s="620">
        <f t="shared" si="60"/>
        <v>0</v>
      </c>
      <c r="AZ44" s="630"/>
      <c r="BA44" s="550">
        <f>+SUMIF(BM!$C$7:$C$42,$D44,BM!$AZ$7:$AZ$42)</f>
        <v>0</v>
      </c>
      <c r="BB44" s="630"/>
      <c r="BC44" s="2151">
        <f t="shared" si="63"/>
        <v>0</v>
      </c>
      <c r="BD44" s="2193"/>
      <c r="BE44" s="1156">
        <f t="shared" si="13"/>
        <v>0</v>
      </c>
      <c r="BF44" s="630"/>
      <c r="BG44" s="620">
        <f t="shared" si="14"/>
        <v>0</v>
      </c>
      <c r="BH44" s="26"/>
      <c r="BI44" s="26"/>
      <c r="BJ44" s="26"/>
    </row>
    <row r="45" spans="3:62" x14ac:dyDescent="0.35">
      <c r="C45" s="6569" t="s">
        <v>959</v>
      </c>
      <c r="D45" s="6569"/>
      <c r="E45" s="4367"/>
      <c r="F45" s="629"/>
      <c r="G45" s="630">
        <f>SUM(G39:G44)</f>
        <v>66895.455000000031</v>
      </c>
      <c r="H45" s="630"/>
      <c r="I45" s="630">
        <f>SUM(I39:I44)</f>
        <v>76175.635000000053</v>
      </c>
      <c r="J45" s="630"/>
      <c r="K45" s="631">
        <f>SUM(K39:K44)</f>
        <v>143071.09000000008</v>
      </c>
      <c r="L45" s="630"/>
      <c r="M45" s="630">
        <f>SUM(M39:M44)</f>
        <v>73644.015000000058</v>
      </c>
      <c r="N45" s="630"/>
      <c r="O45" s="630">
        <f>SUM(O39:O44)</f>
        <v>216715.10500000016</v>
      </c>
      <c r="P45" s="630"/>
      <c r="Q45" s="630">
        <f>SUM(Q39:Q44)</f>
        <v>88056.490000000093</v>
      </c>
      <c r="R45" s="630"/>
      <c r="S45" s="630">
        <f>SUM(S39:S44)</f>
        <v>304771.5950000002</v>
      </c>
      <c r="T45" s="630"/>
      <c r="U45" s="630">
        <f>SUM(U39:U44)</f>
        <v>75853.695000000051</v>
      </c>
      <c r="V45" s="630"/>
      <c r="W45" s="630">
        <f>SUM(W39:W44)</f>
        <v>380625.29000000027</v>
      </c>
      <c r="X45" s="630"/>
      <c r="Y45" s="630">
        <f>SUM(Y39:Y44)</f>
        <v>76319.035000000076</v>
      </c>
      <c r="Z45" s="630"/>
      <c r="AA45" s="2152">
        <f>SUM(AA39:AA44)</f>
        <v>240229.22000000023</v>
      </c>
      <c r="AB45" s="2193"/>
      <c r="AC45" s="2152">
        <f t="shared" si="52"/>
        <v>456944.32500000042</v>
      </c>
      <c r="AD45" s="630"/>
      <c r="AE45" s="630">
        <f>SUM(AE39:AE44)</f>
        <v>50950.275000000074</v>
      </c>
      <c r="AF45" s="630"/>
      <c r="AG45" s="630">
        <f>SUM(AG39:AG44)</f>
        <v>507894.6000000005</v>
      </c>
      <c r="AH45" s="630"/>
      <c r="AI45" s="630">
        <f>SUM(AI39:AI44)</f>
        <v>69720.765000000058</v>
      </c>
      <c r="AJ45" s="630"/>
      <c r="AK45" s="630">
        <f>SUM(AK39:AK44)</f>
        <v>577615.36500000046</v>
      </c>
      <c r="AL45" s="630"/>
      <c r="AM45" s="630">
        <f>SUM(AM39:AM44)</f>
        <v>81616.765000000145</v>
      </c>
      <c r="AN45" s="630"/>
      <c r="AO45" s="2152">
        <f>SUM(AO39:AO44)</f>
        <v>202287.80500000025</v>
      </c>
      <c r="AP45" s="630"/>
      <c r="AQ45" s="630">
        <f>SUM(AQ39:AQ44)</f>
        <v>659232.1300000007</v>
      </c>
      <c r="AR45" s="630"/>
      <c r="AS45" s="630">
        <f>SUM(AS39:AS44)</f>
        <v>85804.600000000122</v>
      </c>
      <c r="AT45" s="630"/>
      <c r="AU45" s="630">
        <f>SUM(AU39:AU44)</f>
        <v>745036.73000000068</v>
      </c>
      <c r="AV45" s="625"/>
      <c r="AW45" s="630">
        <f>SUM(AW39:AW44)</f>
        <v>74058.320000000094</v>
      </c>
      <c r="AX45" s="630"/>
      <c r="AY45" s="630">
        <f>SUM(AY39:AY44)</f>
        <v>819095.05000000075</v>
      </c>
      <c r="AZ45" s="625"/>
      <c r="BA45" s="630">
        <f>SUM(BA39:BA44)</f>
        <v>81200</v>
      </c>
      <c r="BB45" s="625"/>
      <c r="BC45" s="2152">
        <f>SUM(BC39:BC44)</f>
        <v>241062.92000000022</v>
      </c>
      <c r="BD45" s="2193"/>
      <c r="BE45" s="2152">
        <f>AO45+BC45</f>
        <v>443350.72500000044</v>
      </c>
      <c r="BF45" s="625"/>
      <c r="BG45" s="630">
        <f>SUM(BG39:BG44)</f>
        <v>900295.05000000075</v>
      </c>
      <c r="BH45" s="26"/>
      <c r="BI45" s="26"/>
      <c r="BJ45" s="26"/>
    </row>
    <row r="46" spans="3:62" x14ac:dyDescent="0.35">
      <c r="C46" s="549" t="s">
        <v>109</v>
      </c>
      <c r="D46" s="549" t="s">
        <v>938</v>
      </c>
      <c r="E46" s="4367"/>
      <c r="F46" s="549"/>
      <c r="G46" s="550">
        <f>SUMIF(USM!$C$8:$C$102,$D46,USM!$G$8:$G$102)</f>
        <v>13213.612999999999</v>
      </c>
      <c r="H46" s="550"/>
      <c r="I46" s="550">
        <f>SUMIF(USM!$C$8:$C$102,$D46,USM!$I$8:$I$102)</f>
        <v>12437.809000000001</v>
      </c>
      <c r="J46" s="620"/>
      <c r="K46" s="620">
        <f t="shared" si="53"/>
        <v>25651.421999999999</v>
      </c>
      <c r="L46" s="550"/>
      <c r="M46" s="550">
        <f>SUMIF(USM!$C$8:$C$102,$D46,USM!$M$8:$M$102)</f>
        <v>15766.755000000001</v>
      </c>
      <c r="N46" s="625"/>
      <c r="O46" s="625">
        <f t="shared" si="54"/>
        <v>41418.176999999996</v>
      </c>
      <c r="P46" s="550"/>
      <c r="Q46" s="550">
        <f>SUMIF(USM!$C$8:$C$102,$D46,USM!$Q$8:$Q$102)</f>
        <v>11945.610999999999</v>
      </c>
      <c r="R46" s="625"/>
      <c r="S46" s="625">
        <f t="shared" si="30"/>
        <v>53363.787999999993</v>
      </c>
      <c r="T46" s="550"/>
      <c r="U46" s="550">
        <f>SUMIF(USM!$C$8:$C$102,$D46,USM!$U$8:$U$102)</f>
        <v>5801.0050000000001</v>
      </c>
      <c r="V46" s="625"/>
      <c r="W46" s="625">
        <f t="shared" ref="W46:W50" si="64">S46+U46</f>
        <v>59164.792999999991</v>
      </c>
      <c r="X46" s="625"/>
      <c r="Y46" s="550">
        <f>SUMIF(USM!$C$8:$C$102,$D46,USM!$Y$8:$Y$102)</f>
        <v>11476.604000000001</v>
      </c>
      <c r="Z46" s="625"/>
      <c r="AA46" s="2151">
        <f>Q46+U46+Y46</f>
        <v>29223.22</v>
      </c>
      <c r="AB46" s="2193"/>
      <c r="AC46" s="1156">
        <f t="shared" si="52"/>
        <v>70641.396999999997</v>
      </c>
      <c r="AD46" s="625"/>
      <c r="AE46" s="550">
        <f>SUMIF(USM!$C$8:$C$102,$D46,USM!$AE$8:$AE$102)</f>
        <v>5961.8090000000002</v>
      </c>
      <c r="AF46" s="625"/>
      <c r="AG46" s="625">
        <f t="shared" ref="AG46:AG50" si="65">AC46+AE46</f>
        <v>76603.205999999991</v>
      </c>
      <c r="AH46" s="625"/>
      <c r="AI46" s="550">
        <f>SUMIF(USM!$C$8:$C$102,$D46,USM!$AI$8:$AI$102)</f>
        <v>6030.4699999999993</v>
      </c>
      <c r="AJ46" s="625"/>
      <c r="AK46" s="620">
        <f t="shared" ref="AK46:AK50" si="66">AG46+AI46</f>
        <v>82633.675999999992</v>
      </c>
      <c r="AL46" s="625"/>
      <c r="AM46" s="550">
        <f>SUMIF(USM!$C$8:$C$102,$D46,USM!$AM$8:$AM$102)</f>
        <v>9293.3559999999979</v>
      </c>
      <c r="AN46" s="625"/>
      <c r="AO46" s="2151">
        <f>AE46+AI46+AM46</f>
        <v>21285.634999999995</v>
      </c>
      <c r="AP46" s="625"/>
      <c r="AQ46" s="620">
        <f t="shared" ref="AQ46:AQ50" si="67">AK46+AM46</f>
        <v>91927.031999999992</v>
      </c>
      <c r="AR46" s="625"/>
      <c r="AS46" s="550">
        <f>SUMIF(USM!$C$8:$C$102,$D46,USM!$AS$8:$AS$102)</f>
        <v>13085.248000000001</v>
      </c>
      <c r="AT46" s="625"/>
      <c r="AU46" s="620">
        <f t="shared" ref="AU46:AU50" si="68">AQ46+AS46</f>
        <v>105012.28</v>
      </c>
      <c r="AV46" s="625"/>
      <c r="AW46" s="550">
        <f>SUMIF(USM!$C$8:$C$102,$D46,USM!$AW$8:$AW$102)</f>
        <v>6516.0370000000003</v>
      </c>
      <c r="AX46" s="625"/>
      <c r="AY46" s="620">
        <f t="shared" ref="AY46:AY50" si="69">AU46+AW46</f>
        <v>111528.317</v>
      </c>
      <c r="AZ46" s="625"/>
      <c r="BA46" s="550">
        <f>SUMIF(USM!$C$8:$C$102,$D46,USM!$BA$8:$BA$102)</f>
        <v>10155.597999999998</v>
      </c>
      <c r="BB46" s="625"/>
      <c r="BC46" s="2151">
        <f>AS46+AW46+BA46</f>
        <v>29756.883000000002</v>
      </c>
      <c r="BD46" s="2193"/>
      <c r="BE46" s="1156">
        <f t="shared" si="13"/>
        <v>51042.517999999996</v>
      </c>
      <c r="BF46" s="625"/>
      <c r="BG46" s="620">
        <f t="shared" si="14"/>
        <v>121683.91499999999</v>
      </c>
      <c r="BH46" s="26"/>
      <c r="BI46" s="26"/>
      <c r="BJ46" s="26"/>
    </row>
    <row r="47" spans="3:62" x14ac:dyDescent="0.35">
      <c r="C47" s="4369" t="s">
        <v>109</v>
      </c>
      <c r="D47" s="4369" t="s">
        <v>1336</v>
      </c>
      <c r="E47" s="4367"/>
      <c r="F47" s="4369"/>
      <c r="G47" s="550">
        <f>SUMIF(USM!$C$8:$C$102,$D47,USM!$G$8:$G$102)</f>
        <v>2807.8309999999992</v>
      </c>
      <c r="H47" s="550"/>
      <c r="I47" s="550">
        <f>SUMIF(USM!$C$8:$C$102,$D47,USM!$I$8:$I$102)</f>
        <v>3069.2429999999995</v>
      </c>
      <c r="J47" s="620"/>
      <c r="K47" s="620">
        <f t="shared" ref="K47" si="70">+G47+I47</f>
        <v>5877.0739999999987</v>
      </c>
      <c r="L47" s="550"/>
      <c r="M47" s="550">
        <f>SUMIF(USM!$C$8:$C$102,$D47,USM!$M$8:$M$102)</f>
        <v>2518.1869999999999</v>
      </c>
      <c r="N47" s="625"/>
      <c r="O47" s="625">
        <f t="shared" ref="O47" si="71">+G47+I47+M47</f>
        <v>8395.2609999999986</v>
      </c>
      <c r="P47" s="550"/>
      <c r="Q47" s="550">
        <f>SUMIF(USM!$C$8:$C$102,$D47,USM!$Q$8:$Q$102)</f>
        <v>2855.9759999999992</v>
      </c>
      <c r="R47" s="625"/>
      <c r="S47" s="625">
        <f t="shared" ref="S47" si="72">O47+Q47</f>
        <v>11251.236999999997</v>
      </c>
      <c r="T47" s="550"/>
      <c r="U47" s="550">
        <f>SUMIF(USM!$C$8:$C$102,$D47,USM!$U$8:$U$102)</f>
        <v>1438.2529999999997</v>
      </c>
      <c r="V47" s="625"/>
      <c r="W47" s="625">
        <f t="shared" ref="W47" si="73">S47+U47</f>
        <v>12689.489999999998</v>
      </c>
      <c r="X47" s="625"/>
      <c r="Y47" s="550">
        <f>SUMIF(USM!$C$8:$C$102,$D47,USM!$Y$8:$Y$102)</f>
        <v>57.984000000000009</v>
      </c>
      <c r="Z47" s="625"/>
      <c r="AA47" s="2151">
        <f>Q47+U47+Y47</f>
        <v>4352.2129999999997</v>
      </c>
      <c r="AB47" s="2193"/>
      <c r="AC47" s="1156">
        <f t="shared" ref="AC47" si="74">O47+AA47</f>
        <v>12747.473999999998</v>
      </c>
      <c r="AD47" s="625"/>
      <c r="AE47" s="550">
        <f>SUMIF(USM!$C$8:$C$102,$D47,USM!$AE$8:$AE$102)</f>
        <v>215.73599999999999</v>
      </c>
      <c r="AF47" s="625"/>
      <c r="AG47" s="625">
        <f t="shared" ref="AG47" si="75">AC47+AE47</f>
        <v>12963.21</v>
      </c>
      <c r="AH47" s="625"/>
      <c r="AI47" s="550">
        <f>SUMIF(USM!$C$8:$C$102,$D47,USM!$AI$8:$AI$102)</f>
        <v>2549.181</v>
      </c>
      <c r="AJ47" s="625"/>
      <c r="AK47" s="620">
        <f t="shared" ref="AK47" si="76">AG47+AI47</f>
        <v>15512.391</v>
      </c>
      <c r="AL47" s="625"/>
      <c r="AM47" s="550">
        <f>SUMIF(USM!$C$8:$C$102,$D47,USM!$AM$8:$AM$102)</f>
        <v>0</v>
      </c>
      <c r="AN47" s="625"/>
      <c r="AO47" s="2151">
        <f>AE47+AI47+AM47</f>
        <v>2764.9169999999999</v>
      </c>
      <c r="AP47" s="625"/>
      <c r="AQ47" s="620">
        <f t="shared" ref="AQ47" si="77">AK47+AM47</f>
        <v>15512.391</v>
      </c>
      <c r="AR47" s="625"/>
      <c r="AS47" s="550">
        <f>SUMIF(USM!$C$8:$C$102,$D47,USM!$AS$8:$AS$102)</f>
        <v>3795.9500000000007</v>
      </c>
      <c r="AT47" s="625"/>
      <c r="AU47" s="620">
        <f t="shared" ref="AU47" si="78">AQ47+AS47</f>
        <v>19308.341</v>
      </c>
      <c r="AV47" s="2700"/>
      <c r="AW47" s="550">
        <f>SUMIF(USM!$C$8:$C$102,$D47,USM!$AW$8:$AW$102)</f>
        <v>0</v>
      </c>
      <c r="AX47" s="625"/>
      <c r="AY47" s="620">
        <f t="shared" si="69"/>
        <v>19308.341</v>
      </c>
      <c r="AZ47" s="2700"/>
      <c r="BA47" s="550">
        <f>SUMIF(USM!$C$8:$C$102,$D47,USM!$BA$8:$BA$102)</f>
        <v>1738.6020000000001</v>
      </c>
      <c r="BB47" s="2700"/>
      <c r="BC47" s="2151">
        <f>AS47+AW47+BA47</f>
        <v>5534.5520000000006</v>
      </c>
      <c r="BD47" s="2701"/>
      <c r="BE47" s="1156">
        <f t="shared" si="13"/>
        <v>8299.469000000001</v>
      </c>
      <c r="BF47" s="2700"/>
      <c r="BG47" s="620">
        <f t="shared" si="14"/>
        <v>21046.942999999999</v>
      </c>
      <c r="BH47" s="26"/>
      <c r="BI47" s="26"/>
      <c r="BJ47" s="26"/>
    </row>
    <row r="48" spans="3:62" x14ac:dyDescent="0.35">
      <c r="C48" s="549" t="s">
        <v>109</v>
      </c>
      <c r="D48" s="549" t="s">
        <v>1584</v>
      </c>
      <c r="E48" s="4367"/>
      <c r="F48" s="549"/>
      <c r="G48" s="550">
        <f>SUMIF(USM!$C$8:$C$102,$D48,USM!$G$8:$G$102)</f>
        <v>0</v>
      </c>
      <c r="H48" s="550"/>
      <c r="I48" s="550">
        <f>SUMIF(USM!$C$8:$C$102,$D48,USM!$I$8:$I$102)</f>
        <v>0</v>
      </c>
      <c r="J48" s="620"/>
      <c r="K48" s="620">
        <f t="shared" si="53"/>
        <v>0</v>
      </c>
      <c r="L48" s="550"/>
      <c r="M48" s="550">
        <f>SUMIF(USM!$C$8:$C$102,$D48,USM!$M$8:$M$102)</f>
        <v>0</v>
      </c>
      <c r="N48" s="625"/>
      <c r="O48" s="625">
        <f t="shared" si="54"/>
        <v>0</v>
      </c>
      <c r="P48" s="550"/>
      <c r="Q48" s="550">
        <f>SUMIF(USM!$C$8:$C$102,$D48,USM!$Q$8:$Q$102)</f>
        <v>300.69599999999997</v>
      </c>
      <c r="R48" s="625"/>
      <c r="S48" s="625">
        <f t="shared" si="30"/>
        <v>300.69599999999997</v>
      </c>
      <c r="T48" s="550"/>
      <c r="U48" s="550">
        <f>SUMIF(USM!$C$8:$C$102,$D48,USM!$U$8:$U$102)</f>
        <v>792.84600000000012</v>
      </c>
      <c r="V48" s="625"/>
      <c r="W48" s="625">
        <f t="shared" si="64"/>
        <v>1093.5420000000001</v>
      </c>
      <c r="X48" s="625"/>
      <c r="Y48" s="550">
        <f>SUMIF(USM!$C$8:$C$102,$D48,USM!$Y$8:$Y$102)</f>
        <v>0</v>
      </c>
      <c r="Z48" s="625"/>
      <c r="AA48" s="2151">
        <f>Q48+U48+Y48</f>
        <v>1093.5420000000001</v>
      </c>
      <c r="AB48" s="2193"/>
      <c r="AC48" s="1156">
        <f t="shared" si="52"/>
        <v>1093.5420000000001</v>
      </c>
      <c r="AD48" s="625"/>
      <c r="AE48" s="550">
        <f>SUMIF(USM!$C$8:$C$102,$D48,USM!$AE$8:$AE$102)</f>
        <v>0</v>
      </c>
      <c r="AF48" s="625"/>
      <c r="AG48" s="625">
        <f t="shared" si="65"/>
        <v>1093.5420000000001</v>
      </c>
      <c r="AH48" s="625"/>
      <c r="AI48" s="550">
        <f>SUMIF(USM!$C$8:$C$102,$D48,USM!$AI$8:$AI$102)</f>
        <v>330.005</v>
      </c>
      <c r="AJ48" s="625"/>
      <c r="AK48" s="620">
        <f t="shared" si="66"/>
        <v>1423.547</v>
      </c>
      <c r="AL48" s="625"/>
      <c r="AM48" s="550">
        <f>SUMIF(USM!$C$8:$C$102,$D48,USM!$AM$8:$AM$102)</f>
        <v>804.02599999999995</v>
      </c>
      <c r="AN48" s="625"/>
      <c r="AO48" s="2151">
        <f t="shared" ref="AO48:AO50" si="79">AE48+AI48+AM48</f>
        <v>1134.0309999999999</v>
      </c>
      <c r="AP48" s="625"/>
      <c r="AQ48" s="620">
        <f t="shared" si="67"/>
        <v>2227.5729999999999</v>
      </c>
      <c r="AR48" s="625"/>
      <c r="AS48" s="550">
        <f>SUMIF(USM!$C$8:$C$102,$D48,USM!$AS$8:$AS$102)</f>
        <v>659.03700000000003</v>
      </c>
      <c r="AT48" s="625"/>
      <c r="AU48" s="620">
        <f t="shared" si="68"/>
        <v>2886.6099999999997</v>
      </c>
      <c r="AV48" s="625"/>
      <c r="AW48" s="550">
        <f>SUMIF(USM!$C$8:$C$102,$D48,USM!$AW$8:$AW$102)</f>
        <v>0</v>
      </c>
      <c r="AX48" s="625"/>
      <c r="AY48" s="620">
        <f t="shared" si="69"/>
        <v>2886.6099999999997</v>
      </c>
      <c r="AZ48" s="625"/>
      <c r="BA48" s="550">
        <f>SUMIF(USM!$C$8:$C$102,$D48,USM!$BA$8:$BA$102)</f>
        <v>0</v>
      </c>
      <c r="BB48" s="625"/>
      <c r="BC48" s="2151">
        <f t="shared" ref="BC48:BC50" si="80">AS48+AW48+BA48</f>
        <v>659.03700000000003</v>
      </c>
      <c r="BD48" s="2193"/>
      <c r="BE48" s="1156">
        <f t="shared" si="13"/>
        <v>1793.068</v>
      </c>
      <c r="BF48" s="625"/>
      <c r="BG48" s="620">
        <f t="shared" si="14"/>
        <v>2886.6099999999997</v>
      </c>
      <c r="BH48" s="26"/>
      <c r="BI48" s="26"/>
      <c r="BJ48" s="26"/>
    </row>
    <row r="49" spans="3:62" x14ac:dyDescent="0.35">
      <c r="C49" s="4857" t="s">
        <v>109</v>
      </c>
      <c r="D49" s="4857" t="s">
        <v>2048</v>
      </c>
      <c r="E49" s="4367"/>
      <c r="F49" s="4857"/>
      <c r="G49" s="550">
        <f>SUMIF(USM!$C$8:$C$102,$D49,USM!$G$8:$G$102)</f>
        <v>0</v>
      </c>
      <c r="H49" s="550"/>
      <c r="I49" s="550">
        <f>SUMIF(USM!$C$8:$C$102,$D49,USM!$I$8:$I$102)</f>
        <v>0</v>
      </c>
      <c r="J49" s="620"/>
      <c r="K49" s="620">
        <f t="shared" ref="K49" si="81">+G49+I49</f>
        <v>0</v>
      </c>
      <c r="L49" s="550"/>
      <c r="M49" s="550">
        <f>SUMIF(USM!$C$8:$C$102,$D49,USM!$M$8:$M$102)</f>
        <v>229.86200000000002</v>
      </c>
      <c r="N49" s="625"/>
      <c r="O49" s="625">
        <f t="shared" ref="O49" si="82">+G49+I49+M49</f>
        <v>229.86200000000002</v>
      </c>
      <c r="P49" s="550"/>
      <c r="Q49" s="550">
        <f>SUMIF(USM!$C$8:$C$102,$D49,USM!$Q$8:$Q$102)</f>
        <v>0</v>
      </c>
      <c r="R49" s="625"/>
      <c r="S49" s="625">
        <f t="shared" ref="S49" si="83">O49+Q49</f>
        <v>229.86200000000002</v>
      </c>
      <c r="T49" s="550"/>
      <c r="U49" s="550">
        <f>SUMIF(USM!$C$8:$C$102,$D49,USM!$U$8:$U$102)</f>
        <v>0</v>
      </c>
      <c r="V49" s="625"/>
      <c r="W49" s="625">
        <f t="shared" ref="W49" si="84">S49+U49</f>
        <v>229.86200000000002</v>
      </c>
      <c r="X49" s="625"/>
      <c r="Y49" s="550">
        <f>SUMIF(USM!$C$8:$C$102,$D49,USM!$Y$8:$Y$102)</f>
        <v>0</v>
      </c>
      <c r="Z49" s="625"/>
      <c r="AA49" s="2151">
        <f>Q49+U49+Y49</f>
        <v>0</v>
      </c>
      <c r="AB49" s="2193"/>
      <c r="AC49" s="1156">
        <f t="shared" ref="AC49" si="85">O49+AA49</f>
        <v>229.86200000000002</v>
      </c>
      <c r="AD49" s="625"/>
      <c r="AE49" s="550">
        <f>SUMIF(USM!$C$8:$C$102,$D49,USM!$AE$8:$AE$102)</f>
        <v>0</v>
      </c>
      <c r="AF49" s="625"/>
      <c r="AG49" s="625">
        <f t="shared" ref="AG49" si="86">AC49+AE49</f>
        <v>229.86200000000002</v>
      </c>
      <c r="AH49" s="625"/>
      <c r="AI49" s="550">
        <f>SUMIF(USM!$C$8:$C$102,$D49,USM!$AI$8:$AI$102)</f>
        <v>0</v>
      </c>
      <c r="AJ49" s="625"/>
      <c r="AK49" s="620">
        <f t="shared" ref="AK49" si="87">AG49+AI49</f>
        <v>229.86200000000002</v>
      </c>
      <c r="AL49" s="625"/>
      <c r="AM49" s="550">
        <f>SUMIF(USM!$C$8:$C$102,$D49,USM!$AM$8:$AM$102)</f>
        <v>0</v>
      </c>
      <c r="AN49" s="625"/>
      <c r="AO49" s="2151">
        <f t="shared" ref="AO49" si="88">AE49+AI49+AM49</f>
        <v>0</v>
      </c>
      <c r="AP49" s="625"/>
      <c r="AQ49" s="620">
        <f t="shared" ref="AQ49" si="89">AK49+AM49</f>
        <v>229.86200000000002</v>
      </c>
      <c r="AR49" s="625"/>
      <c r="AS49" s="550">
        <f>SUMIF(USM!$C$8:$C$102,$D49,USM!$AS$8:$AS$102)</f>
        <v>0</v>
      </c>
      <c r="AT49" s="625"/>
      <c r="AU49" s="620">
        <f t="shared" ref="AU49" si="90">AQ49+AS49</f>
        <v>229.86200000000002</v>
      </c>
      <c r="AV49" s="625"/>
      <c r="AW49" s="550">
        <f>SUMIF(USM!$C$8:$C$102,$D49,USM!$AW$8:$AW$102)</f>
        <v>0</v>
      </c>
      <c r="AX49" s="625"/>
      <c r="AY49" s="620">
        <f t="shared" ref="AY49" si="91">AU49+AW49</f>
        <v>229.86200000000002</v>
      </c>
      <c r="AZ49" s="625"/>
      <c r="BA49" s="550">
        <f>SUMIF(USM!$C$8:$C$102,$D49,USM!$BA$8:$BA$102)</f>
        <v>0</v>
      </c>
      <c r="BB49" s="625"/>
      <c r="BC49" s="2151">
        <f t="shared" ref="BC49" si="92">AS49+AW49+BA49</f>
        <v>0</v>
      </c>
      <c r="BD49" s="2193"/>
      <c r="BE49" s="1156">
        <f t="shared" ref="BE49" si="93">AO49+BC49</f>
        <v>0</v>
      </c>
      <c r="BF49" s="625"/>
      <c r="BG49" s="620">
        <f t="shared" ref="BG49" si="94">AY49+BA49</f>
        <v>229.86200000000002</v>
      </c>
      <c r="BH49" s="26"/>
      <c r="BI49" s="26"/>
      <c r="BJ49" s="26"/>
    </row>
    <row r="50" spans="3:62" x14ac:dyDescent="0.35">
      <c r="C50" s="549" t="s">
        <v>109</v>
      </c>
      <c r="D50" s="549" t="s">
        <v>1569</v>
      </c>
      <c r="E50" s="4367"/>
      <c r="F50" s="549"/>
      <c r="G50" s="550">
        <f>SUMIF(USM!$C$8:$C$102,$D50,USM!$G$8:$G$102)</f>
        <v>0</v>
      </c>
      <c r="H50" s="550"/>
      <c r="I50" s="550">
        <f>SUMIF(USM!$C$8:$C$102,$D50,USM!$I$8:$I$102)</f>
        <v>332.20299999999997</v>
      </c>
      <c r="J50" s="620"/>
      <c r="K50" s="620">
        <f t="shared" si="53"/>
        <v>332.20299999999997</v>
      </c>
      <c r="L50" s="550"/>
      <c r="M50" s="550">
        <f>SUMIF(USM!$C$8:$C$102,$D50,USM!$M$8:$M$102)</f>
        <v>700.48399999999992</v>
      </c>
      <c r="N50" s="625"/>
      <c r="O50" s="625">
        <f t="shared" si="54"/>
        <v>1032.6869999999999</v>
      </c>
      <c r="P50" s="550"/>
      <c r="Q50" s="550">
        <f>SUMIF(USM!$C$8:$C$102,$D50,USM!$Q$8:$Q$102)</f>
        <v>934.69800000000009</v>
      </c>
      <c r="R50" s="625"/>
      <c r="S50" s="625">
        <f t="shared" si="30"/>
        <v>1967.385</v>
      </c>
      <c r="T50" s="550"/>
      <c r="U50" s="550">
        <f>SUMIF(USM!$C$8:$C$102,$D50,USM!$U$8:$U$102)</f>
        <v>84.19</v>
      </c>
      <c r="V50" s="625"/>
      <c r="W50" s="625">
        <f t="shared" si="64"/>
        <v>2051.5749999999998</v>
      </c>
      <c r="X50" s="625"/>
      <c r="Y50" s="550">
        <f>SUMIF(USM!$C$8:$C$102,$D50,USM!$Y$8:$Y$102)</f>
        <v>471.18099999999998</v>
      </c>
      <c r="Z50" s="625"/>
      <c r="AA50" s="2151">
        <f>Q50+U50+Y50</f>
        <v>1490.0690000000002</v>
      </c>
      <c r="AB50" s="2193"/>
      <c r="AC50" s="1156">
        <f t="shared" si="52"/>
        <v>2522.7560000000003</v>
      </c>
      <c r="AD50" s="625"/>
      <c r="AE50" s="550">
        <f>SUMIF(USM!$C$8:$C$102,$D50,USM!$AE$8:$AE$102)</f>
        <v>0</v>
      </c>
      <c r="AF50" s="625"/>
      <c r="AG50" s="625">
        <f t="shared" si="65"/>
        <v>2522.7560000000003</v>
      </c>
      <c r="AH50" s="625"/>
      <c r="AI50" s="550">
        <f>SUMIF(USM!$C$8:$C$102,$D50,USM!$AI$8:$AI$102)</f>
        <v>368.22899999999998</v>
      </c>
      <c r="AJ50" s="625"/>
      <c r="AK50" s="620">
        <f t="shared" si="66"/>
        <v>2890.9850000000001</v>
      </c>
      <c r="AL50" s="625"/>
      <c r="AM50" s="550">
        <f>SUMIF(USM!$C$8:$C$102,$D50,USM!$AM$8:$AM$102)</f>
        <v>34.414000000000001</v>
      </c>
      <c r="AN50" s="625"/>
      <c r="AO50" s="2151">
        <f t="shared" si="79"/>
        <v>402.64299999999997</v>
      </c>
      <c r="AP50" s="625"/>
      <c r="AQ50" s="620">
        <f t="shared" si="67"/>
        <v>2925.3990000000003</v>
      </c>
      <c r="AR50" s="625"/>
      <c r="AS50" s="550">
        <f>SUMIF(USM!$C$8:$C$102,$D50,USM!$AS$8:$AS$102)</f>
        <v>0</v>
      </c>
      <c r="AT50" s="625"/>
      <c r="AU50" s="620">
        <f t="shared" si="68"/>
        <v>2925.3990000000003</v>
      </c>
      <c r="AV50" s="625"/>
      <c r="AW50" s="550">
        <f>SUMIF(USM!$C$8:$C$102,$D50,USM!$AW$8:$AW$102)</f>
        <v>112.935</v>
      </c>
      <c r="AX50" s="625"/>
      <c r="AY50" s="620">
        <f t="shared" si="69"/>
        <v>3038.3340000000003</v>
      </c>
      <c r="AZ50" s="625"/>
      <c r="BA50" s="550">
        <f>SUMIF(USM!$C$8:$C$102,$D50,USM!$BA$8:$BA$102)</f>
        <v>360.86999999999995</v>
      </c>
      <c r="BB50" s="625"/>
      <c r="BC50" s="2151">
        <f t="shared" si="80"/>
        <v>473.80499999999995</v>
      </c>
      <c r="BD50" s="2193"/>
      <c r="BE50" s="1156">
        <f t="shared" si="13"/>
        <v>876.44799999999987</v>
      </c>
      <c r="BF50" s="625"/>
      <c r="BG50" s="620">
        <f t="shared" si="14"/>
        <v>3399.2040000000002</v>
      </c>
      <c r="BH50" s="26"/>
      <c r="BI50" s="26"/>
      <c r="BJ50" s="26"/>
    </row>
    <row r="51" spans="3:62" x14ac:dyDescent="0.35">
      <c r="C51" s="6569" t="s">
        <v>960</v>
      </c>
      <c r="D51" s="6569"/>
      <c r="E51" s="4367"/>
      <c r="F51" s="629"/>
      <c r="G51" s="630">
        <f>SUM(G46:G50)</f>
        <v>16021.444</v>
      </c>
      <c r="H51" s="630"/>
      <c r="I51" s="630">
        <f>SUM(I46:I50)</f>
        <v>15839.254999999999</v>
      </c>
      <c r="J51" s="630"/>
      <c r="K51" s="631">
        <f>SUM(K46:K50)</f>
        <v>31860.699000000001</v>
      </c>
      <c r="L51" s="630"/>
      <c r="M51" s="630">
        <f>SUM(M46:M50)</f>
        <v>19215.288000000004</v>
      </c>
      <c r="N51" s="630"/>
      <c r="O51" s="630">
        <f>SUM(O46:O50)</f>
        <v>51075.986999999994</v>
      </c>
      <c r="P51" s="630"/>
      <c r="Q51" s="630">
        <f>SUM(Q46:Q50)</f>
        <v>16036.980999999998</v>
      </c>
      <c r="R51" s="630"/>
      <c r="S51" s="630">
        <f>SUM(S46:S46)</f>
        <v>53363.787999999993</v>
      </c>
      <c r="T51" s="630"/>
      <c r="U51" s="630">
        <f>SUM(U46:U50)</f>
        <v>8116.2939999999999</v>
      </c>
      <c r="V51" s="630"/>
      <c r="W51" s="630">
        <f>SUM(W46:W46)</f>
        <v>59164.792999999991</v>
      </c>
      <c r="X51" s="630"/>
      <c r="Y51" s="630">
        <f>SUM(Y46:Y50)</f>
        <v>12005.769000000002</v>
      </c>
      <c r="Z51" s="630"/>
      <c r="AA51" s="2152">
        <f>SUM(AA46:AA50)</f>
        <v>36159.044000000009</v>
      </c>
      <c r="AB51" s="2193"/>
      <c r="AC51" s="2152">
        <f>SUM(AC46:AC50)</f>
        <v>87235.030999999988</v>
      </c>
      <c r="AD51" s="630"/>
      <c r="AE51" s="630">
        <f>SUM(AE46:AE50)</f>
        <v>6177.5450000000001</v>
      </c>
      <c r="AF51" s="630"/>
      <c r="AG51" s="630">
        <f>SUM(AG46:AG46)</f>
        <v>76603.205999999991</v>
      </c>
      <c r="AH51" s="630"/>
      <c r="AI51" s="630">
        <f>SUM(AI46:AI50)</f>
        <v>9277.8849999999984</v>
      </c>
      <c r="AJ51" s="630"/>
      <c r="AK51" s="630">
        <f>SUM(AK46:AK46)</f>
        <v>82633.675999999992</v>
      </c>
      <c r="AL51" s="630"/>
      <c r="AM51" s="630">
        <f>SUM(AM46:AM50)</f>
        <v>10131.795999999998</v>
      </c>
      <c r="AN51" s="630"/>
      <c r="AO51" s="2152">
        <f>SUM(AO46:AO50)</f>
        <v>25587.225999999995</v>
      </c>
      <c r="AP51" s="630"/>
      <c r="AQ51" s="630">
        <f>SUM(AQ46:AQ46)</f>
        <v>91927.031999999992</v>
      </c>
      <c r="AR51" s="630"/>
      <c r="AS51" s="630">
        <f>SUM(AS46:AS50)</f>
        <v>17540.235000000004</v>
      </c>
      <c r="AT51" s="630"/>
      <c r="AU51" s="630">
        <f>SUM(AU46:AU50)</f>
        <v>130362.492</v>
      </c>
      <c r="AV51" s="625"/>
      <c r="AW51" s="630">
        <f>SUM(AW46:AW50)</f>
        <v>6628.9720000000007</v>
      </c>
      <c r="AX51" s="630"/>
      <c r="AY51" s="630">
        <f>SUM(AY46:AY50)</f>
        <v>136991.46399999998</v>
      </c>
      <c r="AZ51" s="625"/>
      <c r="BA51" s="630">
        <f>SUM(BA46:BA50)</f>
        <v>12255.07</v>
      </c>
      <c r="BB51" s="625"/>
      <c r="BC51" s="2152">
        <f>SUM(BC46:BC50)</f>
        <v>36424.277000000002</v>
      </c>
      <c r="BD51" s="2193"/>
      <c r="BE51" s="2152">
        <f>SUM(BE46:BE50)</f>
        <v>62011.50299999999</v>
      </c>
      <c r="BF51" s="625"/>
      <c r="BG51" s="630">
        <f>SUM(BG46:BG50)</f>
        <v>149246.53399999999</v>
      </c>
      <c r="BH51" s="1202"/>
      <c r="BI51" s="26"/>
      <c r="BJ51" s="26"/>
    </row>
    <row r="52" spans="3:62" x14ac:dyDescent="0.35">
      <c r="C52" s="549" t="s">
        <v>969</v>
      </c>
      <c r="D52" s="549" t="s">
        <v>936</v>
      </c>
      <c r="E52" s="4367"/>
      <c r="F52" s="549"/>
      <c r="G52" s="576">
        <f>SUMIF('Value added steel '!$D$55:$D$78,'Special steel '!$D52,'Value added steel '!$G$55:$G$78)</f>
        <v>0</v>
      </c>
      <c r="H52" s="576"/>
      <c r="I52" s="576">
        <f>SUMIF('Value added steel '!$D$55:$D$78,'Special steel '!$D52,'Value added steel '!$I$55:$I$78)</f>
        <v>0</v>
      </c>
      <c r="J52" s="620"/>
      <c r="K52" s="620">
        <f t="shared" si="53"/>
        <v>0</v>
      </c>
      <c r="L52" s="576"/>
      <c r="M52" s="576">
        <f>SUMIF('Value added steel '!$D$55:$D$78,'Special steel '!$D52,'Value added steel '!$M$55:$M$78)</f>
        <v>0</v>
      </c>
      <c r="N52" s="625"/>
      <c r="O52" s="625">
        <f t="shared" si="54"/>
        <v>0</v>
      </c>
      <c r="P52" s="576"/>
      <c r="Q52" s="576">
        <f>SUMIF('Value added steel '!$D$55:$D$78,'Special steel '!$D52,'Value added steel '!$Q$55:$Q$78)</f>
        <v>0</v>
      </c>
      <c r="R52" s="625"/>
      <c r="S52" s="625">
        <f t="shared" si="30"/>
        <v>0</v>
      </c>
      <c r="T52" s="576"/>
      <c r="U52" s="576">
        <f>SUMIF('Value added steel '!$D$55:$D$78,'Special steel '!$D52,'Value added steel '!$U$55:$U$78)</f>
        <v>0</v>
      </c>
      <c r="V52" s="625"/>
      <c r="W52" s="625">
        <f t="shared" ref="W52:W68" si="95">S52+U52</f>
        <v>0</v>
      </c>
      <c r="X52" s="625"/>
      <c r="Y52" s="576">
        <f>SUMIF('Value added steel '!$D$55:$D$78,'Special steel '!$D52,'Value added steel '!$Y$55:$Y$78)</f>
        <v>0</v>
      </c>
      <c r="Z52" s="625"/>
      <c r="AA52" s="2151">
        <f>Q52+U52+Y52</f>
        <v>0</v>
      </c>
      <c r="AB52" s="2193"/>
      <c r="AC52" s="1156">
        <f t="shared" si="52"/>
        <v>0</v>
      </c>
      <c r="AD52" s="625"/>
      <c r="AE52" s="576">
        <f>SUMIF('Value added steel '!$D$55:$D$78,'Special steel '!$D52,'Value added steel '!$AE$55:$AE$78)</f>
        <v>0</v>
      </c>
      <c r="AF52" s="625"/>
      <c r="AG52" s="625">
        <f t="shared" ref="AG52:AG68" si="96">AC52+AE52</f>
        <v>0</v>
      </c>
      <c r="AH52" s="625"/>
      <c r="AI52" s="576">
        <f>SUMIF('Value added steel '!$D$55:$D$78,'Special steel '!$D52,'Value added steel '!$AI$55:$AI$78)</f>
        <v>0</v>
      </c>
      <c r="AJ52" s="625"/>
      <c r="AK52" s="620">
        <f t="shared" ref="AK52:AK68" si="97">AG52+AI52</f>
        <v>0</v>
      </c>
      <c r="AL52" s="625"/>
      <c r="AM52" s="576">
        <f>SUMIF('Value added steel '!$D$55:$D$78,'Special steel '!$D52,'Value added steel '!$AM$55:$AM$78)</f>
        <v>0</v>
      </c>
      <c r="AN52" s="625"/>
      <c r="AO52" s="2151">
        <f>AE52+AI52+AM52</f>
        <v>0</v>
      </c>
      <c r="AP52" s="625"/>
      <c r="AQ52" s="620">
        <f t="shared" ref="AQ52:AQ68" si="98">AK52+AM52</f>
        <v>0</v>
      </c>
      <c r="AR52" s="625"/>
      <c r="AS52" s="576">
        <f>SUMIF('Value added steel '!$D$55:$D$78,'Special steel '!$D52,'Value added steel '!$AS$55:$AS$78)</f>
        <v>0</v>
      </c>
      <c r="AT52" s="625"/>
      <c r="AU52" s="620">
        <f t="shared" ref="AU52:AU68" si="99">AQ52+AS52</f>
        <v>0</v>
      </c>
      <c r="AV52" s="625"/>
      <c r="AW52" s="576">
        <f>SUMIF('Value added steel '!$D$55:$D$78,'Special steel '!$D52,'Value added steel '!$AW$55:$AW$78)</f>
        <v>0</v>
      </c>
      <c r="AX52" s="625"/>
      <c r="AY52" s="620">
        <f t="shared" ref="AY52:AY68" si="100">AU52+AW52</f>
        <v>0</v>
      </c>
      <c r="AZ52" s="625"/>
      <c r="BA52" s="576">
        <f>SUMIF('Value added steel '!$D$55:$D$78,'Special steel '!$D52,'Value added steel '!$BA$55:$BA$78)</f>
        <v>0</v>
      </c>
      <c r="BB52" s="625"/>
      <c r="BC52" s="2151">
        <f>AS52+AW52+BA52</f>
        <v>0</v>
      </c>
      <c r="BD52" s="2193"/>
      <c r="BE52" s="1156">
        <f t="shared" si="13"/>
        <v>0</v>
      </c>
      <c r="BF52" s="625"/>
      <c r="BG52" s="620">
        <f t="shared" si="14"/>
        <v>0</v>
      </c>
      <c r="BH52" s="26"/>
      <c r="BI52" s="26"/>
      <c r="BJ52" s="26"/>
    </row>
    <row r="53" spans="3:62" x14ac:dyDescent="0.35">
      <c r="C53" s="549" t="s">
        <v>969</v>
      </c>
      <c r="D53" s="549" t="s">
        <v>1264</v>
      </c>
      <c r="E53" s="4367"/>
      <c r="F53" s="549"/>
      <c r="G53" s="576">
        <f>SUMIF('Value added steel '!$D$55:$D$78,'Special steel '!$D53,'Value added steel '!$G$55:$G$78)</f>
        <v>0</v>
      </c>
      <c r="H53" s="576"/>
      <c r="I53" s="576">
        <f>SUMIF('Value added steel '!$D$55:$D$78,'Special steel '!$D53,'Value added steel '!$I$55:$I$78)</f>
        <v>0</v>
      </c>
      <c r="J53" s="620"/>
      <c r="K53" s="620">
        <f t="shared" si="53"/>
        <v>0</v>
      </c>
      <c r="L53" s="576"/>
      <c r="M53" s="576">
        <f>SUMIF('Value added steel '!$D$55:$D$78,'Special steel '!$D53,'Value added steel '!$M$55:$M$78)</f>
        <v>0</v>
      </c>
      <c r="N53" s="625"/>
      <c r="O53" s="625">
        <f t="shared" si="54"/>
        <v>0</v>
      </c>
      <c r="P53" s="576"/>
      <c r="Q53" s="576">
        <f>SUMIF('Value added steel '!$D$55:$D$78,'Special steel '!$D53,'Value added steel '!$Q$55:$Q$78)</f>
        <v>0</v>
      </c>
      <c r="R53" s="625"/>
      <c r="S53" s="625">
        <f t="shared" si="30"/>
        <v>0</v>
      </c>
      <c r="T53" s="576"/>
      <c r="U53" s="576">
        <f>SUMIF('Value added steel '!$D$55:$D$78,'Special steel '!$D53,'Value added steel '!$U$55:$U$78)</f>
        <v>0</v>
      </c>
      <c r="V53" s="625"/>
      <c r="W53" s="625">
        <f t="shared" si="95"/>
        <v>0</v>
      </c>
      <c r="X53" s="625"/>
      <c r="Y53" s="576">
        <f>SUMIF('Value added steel '!$D$55:$D$78,'Special steel '!$D53,'Value added steel '!$Y$55:$Y$78)</f>
        <v>0</v>
      </c>
      <c r="Z53" s="625"/>
      <c r="AA53" s="2151">
        <f t="shared" ref="AA53:AA67" si="101">Q53+U53+Y53</f>
        <v>0</v>
      </c>
      <c r="AB53" s="2193"/>
      <c r="AC53" s="1156">
        <f t="shared" ref="AC53:AC67" si="102">O53+AA53</f>
        <v>0</v>
      </c>
      <c r="AD53" s="625"/>
      <c r="AE53" s="576">
        <f>SUMIF('Value added steel '!$D$55:$D$78,'Special steel '!$D53,'Value added steel '!$AE$55:$AE$78)</f>
        <v>0</v>
      </c>
      <c r="AF53" s="625"/>
      <c r="AG53" s="625">
        <f t="shared" si="96"/>
        <v>0</v>
      </c>
      <c r="AH53" s="625"/>
      <c r="AI53" s="576">
        <f>SUMIF('Value added steel '!$D$55:$D$78,'Special steel '!$D53,'Value added steel '!$AI$55:$AI$78)</f>
        <v>0</v>
      </c>
      <c r="AJ53" s="625"/>
      <c r="AK53" s="620">
        <f t="shared" si="97"/>
        <v>0</v>
      </c>
      <c r="AL53" s="625"/>
      <c r="AM53" s="576">
        <f>SUMIF('Value added steel '!$D$55:$D$78,'Special steel '!$D53,'Value added steel '!$AM$55:$AM$78)</f>
        <v>0</v>
      </c>
      <c r="AN53" s="625"/>
      <c r="AO53" s="2151">
        <f t="shared" ref="AO53:AO68" si="103">AE53+AI53+AM53</f>
        <v>0</v>
      </c>
      <c r="AP53" s="625"/>
      <c r="AQ53" s="620">
        <f t="shared" si="98"/>
        <v>0</v>
      </c>
      <c r="AR53" s="625"/>
      <c r="AS53" s="576">
        <f>SUMIF('Value added steel '!$D$55:$D$78,'Special steel '!$D53,'Value added steel '!$AS$55:$AS$78)</f>
        <v>0</v>
      </c>
      <c r="AT53" s="625"/>
      <c r="AU53" s="620">
        <f t="shared" si="99"/>
        <v>0</v>
      </c>
      <c r="AV53" s="625"/>
      <c r="AW53" s="576">
        <f>SUMIF('Value added steel '!$D$55:$D$78,'Special steel '!$D53,'Value added steel '!$AW$55:$AW$78)</f>
        <v>0</v>
      </c>
      <c r="AX53" s="625"/>
      <c r="AY53" s="620">
        <f t="shared" si="100"/>
        <v>0</v>
      </c>
      <c r="AZ53" s="625"/>
      <c r="BA53" s="576">
        <f>SUMIF('Value added steel '!$D$55:$D$78,'Special steel '!$D53,'Value added steel '!$BA$55:$BA$78)</f>
        <v>0</v>
      </c>
      <c r="BB53" s="625"/>
      <c r="BC53" s="2151">
        <f t="shared" ref="BC53:BC68" si="104">AS53+AW53+BA53</f>
        <v>0</v>
      </c>
      <c r="BD53" s="2193"/>
      <c r="BE53" s="1156">
        <f t="shared" si="13"/>
        <v>0</v>
      </c>
      <c r="BF53" s="625"/>
      <c r="BG53" s="620">
        <f t="shared" si="14"/>
        <v>0</v>
      </c>
      <c r="BH53" s="26"/>
      <c r="BI53" s="26"/>
    </row>
    <row r="54" spans="3:62" x14ac:dyDescent="0.35">
      <c r="C54" s="2696" t="s">
        <v>969</v>
      </c>
      <c r="D54" s="2696" t="s">
        <v>1820</v>
      </c>
      <c r="E54" s="4367"/>
      <c r="F54" s="2696"/>
      <c r="G54" s="576">
        <f>SUMIF('Value added steel '!$D$55:$D$78,'Special steel '!$D54,'Value added steel '!$G$55:$G$78)</f>
        <v>0</v>
      </c>
      <c r="H54" s="576"/>
      <c r="I54" s="576">
        <f>SUMIF('Value added steel '!$D$55:$D$78,'Special steel '!$D54,'Value added steel '!$I$55:$I$78)</f>
        <v>0</v>
      </c>
      <c r="J54" s="620"/>
      <c r="K54" s="620">
        <f t="shared" ref="K54" si="105">+G54+I54</f>
        <v>0</v>
      </c>
      <c r="L54" s="576"/>
      <c r="M54" s="576">
        <f>SUMIF('Value added steel '!$D$55:$D$78,'Special steel '!$D54,'Value added steel '!$M$55:$M$78)</f>
        <v>0</v>
      </c>
      <c r="N54" s="625"/>
      <c r="O54" s="625">
        <f t="shared" si="54"/>
        <v>0</v>
      </c>
      <c r="P54" s="2581"/>
      <c r="Q54" s="576">
        <f>SUMIF('Value added steel '!$D$55:$D$78,'Special steel '!$D54,'Value added steel '!$Q$55:$Q$78)</f>
        <v>0</v>
      </c>
      <c r="R54" s="2700"/>
      <c r="S54" s="625">
        <f t="shared" si="30"/>
        <v>0</v>
      </c>
      <c r="T54" s="2581"/>
      <c r="U54" s="576">
        <f>SUMIF('Value added steel '!$D$55:$D$78,'Special steel '!$D54,'Value added steel '!$U$55:$U$78)</f>
        <v>0</v>
      </c>
      <c r="V54" s="2700"/>
      <c r="W54" s="625">
        <f t="shared" si="95"/>
        <v>0</v>
      </c>
      <c r="X54" s="2700"/>
      <c r="Y54" s="576">
        <f>SUMIF('Value added steel '!$D$55:$D$78,'Special steel '!$D54,'Value added steel '!$Y$55:$Y$78)</f>
        <v>0</v>
      </c>
      <c r="Z54" s="2700"/>
      <c r="AA54" s="2151">
        <f t="shared" si="101"/>
        <v>0</v>
      </c>
      <c r="AB54" s="2193"/>
      <c r="AC54" s="1156">
        <f t="shared" si="102"/>
        <v>0</v>
      </c>
      <c r="AD54" s="2700"/>
      <c r="AE54" s="576">
        <f>SUMIF('Value added steel '!$D$55:$D$78,'Special steel '!$D54,'Value added steel '!$AE$55:$AE$78)</f>
        <v>0</v>
      </c>
      <c r="AF54" s="2700"/>
      <c r="AG54" s="2700"/>
      <c r="AH54" s="2700"/>
      <c r="AI54" s="576">
        <f>SUMIF('Value added steel '!$D$55:$D$78,'Special steel '!$D54,'Value added steel '!$AI$55:$AI$78)</f>
        <v>0</v>
      </c>
      <c r="AJ54" s="2700"/>
      <c r="AK54" s="620">
        <f t="shared" si="97"/>
        <v>0</v>
      </c>
      <c r="AL54" s="2700"/>
      <c r="AM54" s="576">
        <f>SUMIF('Value added steel '!$D$55:$D$78,'Special steel '!$D54,'Value added steel '!$AM$55:$AM$78)</f>
        <v>0</v>
      </c>
      <c r="AN54" s="2700"/>
      <c r="AO54" s="2151">
        <f t="shared" si="103"/>
        <v>0</v>
      </c>
      <c r="AP54" s="2700"/>
      <c r="AQ54" s="620">
        <f t="shared" si="98"/>
        <v>0</v>
      </c>
      <c r="AR54" s="2700"/>
      <c r="AS54" s="576">
        <f>SUMIF('Value added steel '!$D$55:$D$78,'Special steel '!$D54,'Value added steel '!$AS$55:$AS$78)</f>
        <v>0</v>
      </c>
      <c r="AT54" s="2700"/>
      <c r="AU54" s="620">
        <f t="shared" si="99"/>
        <v>0</v>
      </c>
      <c r="AV54" s="625"/>
      <c r="AW54" s="576">
        <f>SUMIF('Value added steel '!$D$55:$D$78,'Special steel '!$D54,'Value added steel '!$AW$55:$AW$78)</f>
        <v>0</v>
      </c>
      <c r="AX54" s="2700"/>
      <c r="AY54" s="620">
        <f t="shared" si="100"/>
        <v>0</v>
      </c>
      <c r="AZ54" s="625"/>
      <c r="BA54" s="576">
        <f>SUMIF('Value added steel '!$D$55:$D$78,'Special steel '!$D54,'Value added steel '!$BA$55:$BA$78)</f>
        <v>0</v>
      </c>
      <c r="BB54" s="625"/>
      <c r="BC54" s="2151">
        <f t="shared" si="104"/>
        <v>0</v>
      </c>
      <c r="BD54" s="2193"/>
      <c r="BE54" s="1156">
        <f t="shared" si="13"/>
        <v>0</v>
      </c>
      <c r="BF54" s="625"/>
      <c r="BG54" s="620">
        <f t="shared" si="14"/>
        <v>0</v>
      </c>
      <c r="BH54" s="26"/>
      <c r="BI54" s="26"/>
    </row>
    <row r="55" spans="3:62" x14ac:dyDescent="0.35">
      <c r="C55" s="549" t="s">
        <v>969</v>
      </c>
      <c r="D55" s="549" t="s">
        <v>1098</v>
      </c>
      <c r="E55" s="4367"/>
      <c r="F55" s="549"/>
      <c r="G55" s="576">
        <f>SUMIF('Value added steel '!$D$55:$D$78,'Special steel '!$D55,'Value added steel '!$G$55:$G$78)</f>
        <v>685</v>
      </c>
      <c r="H55" s="576"/>
      <c r="I55" s="576">
        <f>SUMIF('Value added steel '!$D$55:$D$78,'Special steel '!$D55,'Value added steel '!$I$55:$I$78)</f>
        <v>480</v>
      </c>
      <c r="J55" s="620"/>
      <c r="K55" s="620">
        <f t="shared" si="53"/>
        <v>1165</v>
      </c>
      <c r="L55" s="576"/>
      <c r="M55" s="576">
        <f>SUMIF('Value added steel '!$D$55:$D$78,'Special steel '!$D55,'Value added steel '!$M$55:$M$78)</f>
        <v>613</v>
      </c>
      <c r="N55" s="625"/>
      <c r="O55" s="625">
        <f t="shared" si="54"/>
        <v>1778</v>
      </c>
      <c r="P55" s="576"/>
      <c r="Q55" s="576">
        <f>SUMIF('Value added steel '!$D$55:$D$78,'Special steel '!$D55,'Value added steel '!$Q$55:$Q$78)</f>
        <v>0</v>
      </c>
      <c r="R55" s="625"/>
      <c r="S55" s="625">
        <f t="shared" si="30"/>
        <v>1778</v>
      </c>
      <c r="T55" s="576"/>
      <c r="U55" s="576">
        <f>SUMIF('Value added steel '!$D$55:$D$78,'Special steel '!$D55,'Value added steel '!$U$55:$U$78)</f>
        <v>0</v>
      </c>
      <c r="V55" s="625"/>
      <c r="W55" s="625">
        <f t="shared" si="95"/>
        <v>1778</v>
      </c>
      <c r="X55" s="625"/>
      <c r="Y55" s="576">
        <f>SUMIF('Value added steel '!$D$55:$D$78,'Special steel '!$D55,'Value added steel '!$Y$55:$Y$78)</f>
        <v>0</v>
      </c>
      <c r="Z55" s="625"/>
      <c r="AA55" s="2151">
        <f t="shared" si="101"/>
        <v>0</v>
      </c>
      <c r="AB55" s="2193"/>
      <c r="AC55" s="1156">
        <f t="shared" si="102"/>
        <v>1778</v>
      </c>
      <c r="AD55" s="625"/>
      <c r="AE55" s="576">
        <f>SUMIF('Value added steel '!$D$55:$D$78,'Special steel '!$D55,'Value added steel '!$AE$55:$AE$78)</f>
        <v>292</v>
      </c>
      <c r="AF55" s="625"/>
      <c r="AG55" s="625">
        <f t="shared" si="96"/>
        <v>2070</v>
      </c>
      <c r="AH55" s="625"/>
      <c r="AI55" s="576">
        <f>SUMIF('Value added steel '!$D$55:$D$78,'Special steel '!$D55,'Value added steel '!$AI$55:$AI$78)</f>
        <v>0</v>
      </c>
      <c r="AJ55" s="625"/>
      <c r="AK55" s="620">
        <f t="shared" si="97"/>
        <v>2070</v>
      </c>
      <c r="AL55" s="625"/>
      <c r="AM55" s="576">
        <f>SUMIF('Value added steel '!$D$55:$D$78,'Special steel '!$D55,'Value added steel '!$AM$55:$AM$78)</f>
        <v>153</v>
      </c>
      <c r="AN55" s="625"/>
      <c r="AO55" s="2151">
        <f t="shared" si="103"/>
        <v>445</v>
      </c>
      <c r="AP55" s="625"/>
      <c r="AQ55" s="620">
        <f t="shared" si="98"/>
        <v>2223</v>
      </c>
      <c r="AR55" s="625"/>
      <c r="AS55" s="576">
        <f>SUMIF('Value added steel '!$D$55:$D$78,'Special steel '!$D55,'Value added steel '!$AS$55:$AS$78)</f>
        <v>2353</v>
      </c>
      <c r="AT55" s="625"/>
      <c r="AU55" s="620">
        <f t="shared" si="99"/>
        <v>4576</v>
      </c>
      <c r="AV55" s="625"/>
      <c r="AW55" s="576">
        <f>SUMIF('Value added steel '!$D$55:$D$78,'Special steel '!$D55,'Value added steel '!$AW$55:$AW$78)</f>
        <v>0</v>
      </c>
      <c r="AX55" s="625"/>
      <c r="AY55" s="620">
        <f t="shared" si="100"/>
        <v>4576</v>
      </c>
      <c r="AZ55" s="625"/>
      <c r="BA55" s="576">
        <f>SUMIF('Value added steel '!$D$55:$D$78,'Special steel '!$D55,'Value added steel '!$BA$55:$BA$78)</f>
        <v>89.292000000000002</v>
      </c>
      <c r="BB55" s="625"/>
      <c r="BC55" s="2151">
        <f t="shared" si="104"/>
        <v>2442.2919999999999</v>
      </c>
      <c r="BD55" s="2193"/>
      <c r="BE55" s="1156">
        <f t="shared" si="13"/>
        <v>2887.2919999999999</v>
      </c>
      <c r="BF55" s="625"/>
      <c r="BG55" s="620">
        <f t="shared" si="14"/>
        <v>4665.2920000000004</v>
      </c>
      <c r="BH55" s="26"/>
      <c r="BI55" s="26"/>
    </row>
    <row r="56" spans="3:62" x14ac:dyDescent="0.35">
      <c r="C56" s="549" t="s">
        <v>969</v>
      </c>
      <c r="D56" s="549" t="s">
        <v>1093</v>
      </c>
      <c r="E56" s="4367"/>
      <c r="F56" s="549"/>
      <c r="G56" s="576">
        <f>SUMIF('Value added steel '!$D$55:$D$78,'Special steel '!$D56,'Value added steel '!$G$55:$G$78)</f>
        <v>0</v>
      </c>
      <c r="H56" s="576"/>
      <c r="I56" s="576">
        <f>SUMIF('Value added steel '!$D$55:$D$78,'Special steel '!$D56,'Value added steel '!$I$55:$I$78)</f>
        <v>0</v>
      </c>
      <c r="J56" s="620"/>
      <c r="K56" s="620">
        <f t="shared" si="53"/>
        <v>0</v>
      </c>
      <c r="L56" s="576"/>
      <c r="M56" s="576">
        <f>SUMIF('Value added steel '!$D$55:$D$78,'Special steel '!$D56,'Value added steel '!$M$55:$M$78)</f>
        <v>0</v>
      </c>
      <c r="N56" s="625"/>
      <c r="O56" s="625">
        <f t="shared" si="54"/>
        <v>0</v>
      </c>
      <c r="P56" s="576"/>
      <c r="Q56" s="576">
        <f>SUMIF('Value added steel '!$D$55:$D$78,'Special steel '!$D56,'Value added steel '!$Q$55:$Q$78)</f>
        <v>0</v>
      </c>
      <c r="R56" s="625"/>
      <c r="S56" s="625">
        <f t="shared" si="30"/>
        <v>0</v>
      </c>
      <c r="T56" s="576"/>
      <c r="U56" s="576">
        <f>SUMIF('Value added steel '!$D$55:$D$78,'Special steel '!$D56,'Value added steel '!$U$55:$U$78)</f>
        <v>0</v>
      </c>
      <c r="V56" s="625"/>
      <c r="W56" s="625">
        <f t="shared" si="95"/>
        <v>0</v>
      </c>
      <c r="X56" s="625"/>
      <c r="Y56" s="576">
        <f>SUMIF('Value added steel '!$D$55:$D$78,'Special steel '!$D56,'Value added steel '!$Y$55:$Y$78)</f>
        <v>0</v>
      </c>
      <c r="Z56" s="625"/>
      <c r="AA56" s="2151">
        <f t="shared" si="101"/>
        <v>0</v>
      </c>
      <c r="AB56" s="2193"/>
      <c r="AC56" s="1156">
        <f t="shared" si="102"/>
        <v>0</v>
      </c>
      <c r="AD56" s="625"/>
      <c r="AE56" s="576">
        <f>SUMIF('Value added steel '!$D$55:$D$78,'Special steel '!$D56,'Value added steel '!$AE$55:$AE$78)</f>
        <v>0</v>
      </c>
      <c r="AF56" s="625"/>
      <c r="AG56" s="625">
        <f t="shared" si="96"/>
        <v>0</v>
      </c>
      <c r="AH56" s="625"/>
      <c r="AI56" s="576">
        <f>SUMIF('Value added steel '!$D$55:$D$78,'Special steel '!$D56,'Value added steel '!$AI$55:$AI$78)</f>
        <v>0</v>
      </c>
      <c r="AJ56" s="625"/>
      <c r="AK56" s="620">
        <f t="shared" si="97"/>
        <v>0</v>
      </c>
      <c r="AL56" s="625"/>
      <c r="AM56" s="576">
        <f>SUMIF('Value added steel '!$D$55:$D$78,'Special steel '!$D56,'Value added steel '!$AM$55:$AM$78)</f>
        <v>0</v>
      </c>
      <c r="AN56" s="625"/>
      <c r="AO56" s="2151">
        <f t="shared" si="103"/>
        <v>0</v>
      </c>
      <c r="AP56" s="625"/>
      <c r="AQ56" s="620">
        <f t="shared" si="98"/>
        <v>0</v>
      </c>
      <c r="AR56" s="625"/>
      <c r="AS56" s="576">
        <f>SUMIF('Value added steel '!$D$55:$D$78,'Special steel '!$D56,'Value added steel '!$AS$55:$AS$78)</f>
        <v>0</v>
      </c>
      <c r="AT56" s="625"/>
      <c r="AU56" s="620">
        <f t="shared" si="99"/>
        <v>0</v>
      </c>
      <c r="AV56" s="625"/>
      <c r="AW56" s="576">
        <f>SUMIF('Value added steel '!$D$55:$D$78,'Special steel '!$D56,'Value added steel '!$AW$55:$AW$78)</f>
        <v>0</v>
      </c>
      <c r="AX56" s="625"/>
      <c r="AY56" s="620">
        <f t="shared" si="100"/>
        <v>0</v>
      </c>
      <c r="AZ56" s="625"/>
      <c r="BA56" s="576">
        <f>SUMIF('Value added steel '!$D$55:$D$78,'Special steel '!$D56,'Value added steel '!$BA$55:$BA$78)</f>
        <v>0</v>
      </c>
      <c r="BB56" s="625"/>
      <c r="BC56" s="2151">
        <f t="shared" si="104"/>
        <v>0</v>
      </c>
      <c r="BD56" s="2193"/>
      <c r="BE56" s="1156">
        <f t="shared" si="13"/>
        <v>0</v>
      </c>
      <c r="BF56" s="625"/>
      <c r="BG56" s="620">
        <f t="shared" si="14"/>
        <v>0</v>
      </c>
      <c r="BH56" s="26"/>
      <c r="BI56" s="26"/>
    </row>
    <row r="57" spans="3:62" x14ac:dyDescent="0.35">
      <c r="C57" s="549" t="s">
        <v>969</v>
      </c>
      <c r="D57" s="549" t="s">
        <v>1066</v>
      </c>
      <c r="E57" s="4367"/>
      <c r="F57" s="549"/>
      <c r="G57" s="576">
        <f>SUMIF('Value added steel '!$D$55:$D$78,'Special steel '!$D57,'Value added steel '!$G$55:$G$78)</f>
        <v>0</v>
      </c>
      <c r="H57" s="576"/>
      <c r="I57" s="576">
        <f>SUMIF('Value added steel '!$D$55:$D$78,'Special steel '!$D57,'Value added steel '!$I$55:$I$78)</f>
        <v>0</v>
      </c>
      <c r="J57" s="620"/>
      <c r="K57" s="620">
        <f t="shared" si="53"/>
        <v>0</v>
      </c>
      <c r="L57" s="576"/>
      <c r="M57" s="576">
        <f>SUMIF('Value added steel '!$D$55:$D$78,'Special steel '!$D57,'Value added steel '!$M$55:$M$78)</f>
        <v>3911</v>
      </c>
      <c r="N57" s="625"/>
      <c r="O57" s="625">
        <f t="shared" si="54"/>
        <v>3911</v>
      </c>
      <c r="P57" s="576"/>
      <c r="Q57" s="576">
        <f>SUMIF('Value added steel '!$D$55:$D$78,'Special steel '!$D57,'Value added steel '!$Q$55:$Q$78)</f>
        <v>0</v>
      </c>
      <c r="R57" s="625"/>
      <c r="S57" s="625">
        <f t="shared" si="30"/>
        <v>3911</v>
      </c>
      <c r="T57" s="576"/>
      <c r="U57" s="576">
        <f>SUMIF('Value added steel '!$D$55:$D$78,'Special steel '!$D57,'Value added steel '!$U$55:$U$78)</f>
        <v>0</v>
      </c>
      <c r="V57" s="625"/>
      <c r="W57" s="625">
        <f t="shared" si="95"/>
        <v>3911</v>
      </c>
      <c r="X57" s="625"/>
      <c r="Y57" s="576">
        <f>SUMIF('Value added steel '!$D$55:$D$78,'Special steel '!$D57,'Value added steel '!$Y$55:$Y$78)</f>
        <v>1778</v>
      </c>
      <c r="Z57" s="625"/>
      <c r="AA57" s="2151">
        <f t="shared" si="101"/>
        <v>1778</v>
      </c>
      <c r="AB57" s="2193"/>
      <c r="AC57" s="1156">
        <f t="shared" si="102"/>
        <v>5689</v>
      </c>
      <c r="AD57" s="625"/>
      <c r="AE57" s="576">
        <f>SUMIF('Value added steel '!$D$55:$D$78,'Special steel '!$D57,'Value added steel '!$AE$55:$AE$78)</f>
        <v>6209</v>
      </c>
      <c r="AF57" s="625"/>
      <c r="AG57" s="625">
        <f t="shared" si="96"/>
        <v>11898</v>
      </c>
      <c r="AH57" s="625"/>
      <c r="AI57" s="576">
        <f>SUMIF('Value added steel '!$D$55:$D$78,'Special steel '!$D57,'Value added steel '!$AI$55:$AI$78)</f>
        <v>3737.4479999999999</v>
      </c>
      <c r="AJ57" s="625"/>
      <c r="AK57" s="620">
        <f t="shared" si="97"/>
        <v>15635.448</v>
      </c>
      <c r="AL57" s="625"/>
      <c r="AM57" s="576">
        <f>SUMIF('Value added steel '!$D$55:$D$78,'Special steel '!$D57,'Value added steel '!$AM$55:$AM$78)</f>
        <v>3995</v>
      </c>
      <c r="AN57" s="625"/>
      <c r="AO57" s="2151">
        <f t="shared" si="103"/>
        <v>13941.448</v>
      </c>
      <c r="AP57" s="625"/>
      <c r="AQ57" s="620">
        <f t="shared" si="98"/>
        <v>19630.448</v>
      </c>
      <c r="AR57" s="625"/>
      <c r="AS57" s="576">
        <f>SUMIF('Value added steel '!$D$55:$D$78,'Special steel '!$D57,'Value added steel '!$AS$55:$AS$78)</f>
        <v>3115</v>
      </c>
      <c r="AT57" s="625"/>
      <c r="AU57" s="620">
        <f t="shared" si="99"/>
        <v>22745.448</v>
      </c>
      <c r="AV57" s="625"/>
      <c r="AW57" s="576">
        <f>SUMIF('Value added steel '!$D$55:$D$78,'Special steel '!$D57,'Value added steel '!$AW$55:$AW$78)</f>
        <v>1894.2660000000001</v>
      </c>
      <c r="AX57" s="625"/>
      <c r="AY57" s="620">
        <f t="shared" si="100"/>
        <v>24639.714</v>
      </c>
      <c r="AZ57" s="625"/>
      <c r="BA57" s="576">
        <f>SUMIF('Value added steel '!$D$55:$D$78,'Special steel '!$D57,'Value added steel '!$BA$55:$BA$78)</f>
        <v>4694.2079999999996</v>
      </c>
      <c r="BB57" s="625"/>
      <c r="BC57" s="2151">
        <f t="shared" si="104"/>
        <v>9703.4739999999983</v>
      </c>
      <c r="BD57" s="2193"/>
      <c r="BE57" s="1156">
        <f t="shared" si="13"/>
        <v>23644.921999999999</v>
      </c>
      <c r="BF57" s="625"/>
      <c r="BG57" s="620">
        <f t="shared" si="14"/>
        <v>29333.921999999999</v>
      </c>
      <c r="BH57" s="26"/>
      <c r="BI57" s="26"/>
    </row>
    <row r="58" spans="3:62" x14ac:dyDescent="0.35">
      <c r="C58" s="549" t="s">
        <v>969</v>
      </c>
      <c r="D58" s="549" t="s">
        <v>1603</v>
      </c>
      <c r="E58" s="4367"/>
      <c r="F58" s="549"/>
      <c r="G58" s="576">
        <f>SUMIF('Value added steel '!$D$55:$D$78,'Special steel '!$D58,'Value added steel '!$G$55:$G$78)</f>
        <v>0</v>
      </c>
      <c r="H58" s="576"/>
      <c r="I58" s="576">
        <f>SUMIF('Value added steel '!$D$55:$D$78,'Special steel '!$D58,'Value added steel '!$I$55:$I$78)</f>
        <v>0</v>
      </c>
      <c r="J58" s="620"/>
      <c r="K58" s="620">
        <f t="shared" si="53"/>
        <v>0</v>
      </c>
      <c r="L58" s="576"/>
      <c r="M58" s="576">
        <f>SUMIF('Value added steel '!$D$55:$D$78,'Special steel '!$D58,'Value added steel '!$M$55:$M$78)</f>
        <v>0</v>
      </c>
      <c r="N58" s="625"/>
      <c r="O58" s="625">
        <f t="shared" si="54"/>
        <v>0</v>
      </c>
      <c r="P58" s="576"/>
      <c r="Q58" s="576">
        <f>SUMIF('Value added steel '!$D$55:$D$78,'Special steel '!$D58,'Value added steel '!$Q$55:$Q$78)</f>
        <v>0</v>
      </c>
      <c r="R58" s="625"/>
      <c r="S58" s="625">
        <f t="shared" si="30"/>
        <v>0</v>
      </c>
      <c r="T58" s="576"/>
      <c r="U58" s="576">
        <f>SUMIF('Value added steel '!$D$55:$D$78,'Special steel '!$D58,'Value added steel '!$U$55:$U$78)</f>
        <v>0</v>
      </c>
      <c r="V58" s="625"/>
      <c r="W58" s="625">
        <f t="shared" si="95"/>
        <v>0</v>
      </c>
      <c r="X58" s="625"/>
      <c r="Y58" s="576">
        <f>SUMIF('Value added steel '!$D$55:$D$78,'Special steel '!$D58,'Value added steel '!$Y$55:$Y$78)</f>
        <v>0</v>
      </c>
      <c r="Z58" s="625"/>
      <c r="AA58" s="2151">
        <f t="shared" si="101"/>
        <v>0</v>
      </c>
      <c r="AB58" s="2193"/>
      <c r="AC58" s="1156">
        <f t="shared" si="102"/>
        <v>0</v>
      </c>
      <c r="AD58" s="625"/>
      <c r="AE58" s="576">
        <f>SUMIF('Value added steel '!$D$55:$D$78,'Special steel '!$D58,'Value added steel '!$AE$55:$AE$78)</f>
        <v>0</v>
      </c>
      <c r="AF58" s="625"/>
      <c r="AG58" s="625">
        <f t="shared" si="96"/>
        <v>0</v>
      </c>
      <c r="AH58" s="625"/>
      <c r="AI58" s="576">
        <f>SUMIF('Value added steel '!$D$55:$D$78,'Special steel '!$D58,'Value added steel '!$AI$55:$AI$78)</f>
        <v>0</v>
      </c>
      <c r="AJ58" s="625"/>
      <c r="AK58" s="620">
        <f t="shared" si="97"/>
        <v>0</v>
      </c>
      <c r="AL58" s="625"/>
      <c r="AM58" s="576">
        <f>SUMIF('Value added steel '!$D$55:$D$78,'Special steel '!$D58,'Value added steel '!$AM$55:$AM$78)</f>
        <v>0</v>
      </c>
      <c r="AN58" s="625"/>
      <c r="AO58" s="2151">
        <f t="shared" si="103"/>
        <v>0</v>
      </c>
      <c r="AP58" s="625"/>
      <c r="AQ58" s="620">
        <f t="shared" si="98"/>
        <v>0</v>
      </c>
      <c r="AR58" s="625"/>
      <c r="AS58" s="576">
        <f>SUMIF('Value added steel '!$D$55:$D$78,'Special steel '!$D58,'Value added steel '!$AS$55:$AS$78)</f>
        <v>0</v>
      </c>
      <c r="AT58" s="625"/>
      <c r="AU58" s="620">
        <f t="shared" si="99"/>
        <v>0</v>
      </c>
      <c r="AV58" s="625"/>
      <c r="AW58" s="576">
        <f>SUMIF('Value added steel '!$D$55:$D$78,'Special steel '!$D58,'Value added steel '!$AW$55:$AW$78)</f>
        <v>0</v>
      </c>
      <c r="AX58" s="625"/>
      <c r="AY58" s="620">
        <f t="shared" si="100"/>
        <v>0</v>
      </c>
      <c r="AZ58" s="625"/>
      <c r="BA58" s="576">
        <f>SUMIF('Value added steel '!$D$55:$D$78,'Special steel '!$D58,'Value added steel '!$BA$55:$BA$78)</f>
        <v>0</v>
      </c>
      <c r="BB58" s="625"/>
      <c r="BC58" s="2151">
        <f t="shared" si="104"/>
        <v>0</v>
      </c>
      <c r="BD58" s="2193"/>
      <c r="BE58" s="1156">
        <f t="shared" si="13"/>
        <v>0</v>
      </c>
      <c r="BF58" s="625"/>
      <c r="BG58" s="620">
        <f t="shared" si="14"/>
        <v>0</v>
      </c>
      <c r="BH58" s="26"/>
      <c r="BI58" s="26"/>
    </row>
    <row r="59" spans="3:62" x14ac:dyDescent="0.35">
      <c r="C59" s="549" t="s">
        <v>969</v>
      </c>
      <c r="D59" s="549" t="s">
        <v>1604</v>
      </c>
      <c r="E59" s="4367"/>
      <c r="F59" s="549"/>
      <c r="G59" s="576">
        <f>SUMIF('Value added steel '!$D$55:$D$78,'Special steel '!$D59,'Value added steel '!$G$55:$G$78)</f>
        <v>0</v>
      </c>
      <c r="H59" s="576"/>
      <c r="I59" s="576">
        <f>SUMIF('Value added steel '!$D$55:$D$78,'Special steel '!$D59,'Value added steel '!$I$55:$I$78)</f>
        <v>0</v>
      </c>
      <c r="J59" s="620"/>
      <c r="K59" s="620">
        <f t="shared" si="53"/>
        <v>0</v>
      </c>
      <c r="L59" s="576"/>
      <c r="M59" s="576">
        <f>SUMIF('Value added steel '!$D$55:$D$78,'Special steel '!$D59,'Value added steel '!$M$55:$M$78)</f>
        <v>0</v>
      </c>
      <c r="N59" s="625"/>
      <c r="O59" s="625">
        <f t="shared" si="54"/>
        <v>0</v>
      </c>
      <c r="P59" s="576"/>
      <c r="Q59" s="576">
        <f>SUMIF('Value added steel '!$D$55:$D$78,'Special steel '!$D59,'Value added steel '!$Q$55:$Q$78)</f>
        <v>0</v>
      </c>
      <c r="R59" s="625"/>
      <c r="S59" s="625">
        <f t="shared" si="30"/>
        <v>0</v>
      </c>
      <c r="T59" s="576"/>
      <c r="U59" s="576">
        <f>SUMIF('Value added steel '!$D$55:$D$78,'Special steel '!$D59,'Value added steel '!$U$55:$U$78)</f>
        <v>0</v>
      </c>
      <c r="V59" s="625"/>
      <c r="W59" s="625">
        <f t="shared" si="95"/>
        <v>0</v>
      </c>
      <c r="X59" s="625"/>
      <c r="Y59" s="576">
        <f>SUMIF('Value added steel '!$D$55:$D$78,'Special steel '!$D59,'Value added steel '!$Y$55:$Y$78)</f>
        <v>0</v>
      </c>
      <c r="Z59" s="625"/>
      <c r="AA59" s="2151">
        <f t="shared" si="101"/>
        <v>0</v>
      </c>
      <c r="AB59" s="2193"/>
      <c r="AC59" s="1156">
        <f t="shared" si="102"/>
        <v>0</v>
      </c>
      <c r="AD59" s="625"/>
      <c r="AE59" s="576">
        <f>SUMIF('Value added steel '!$D$55:$D$78,'Special steel '!$D59,'Value added steel '!$AE$55:$AE$78)</f>
        <v>0</v>
      </c>
      <c r="AF59" s="625"/>
      <c r="AG59" s="625">
        <f t="shared" si="96"/>
        <v>0</v>
      </c>
      <c r="AH59" s="625"/>
      <c r="AI59" s="576">
        <f>SUMIF('Value added steel '!$D$55:$D$78,'Special steel '!$D59,'Value added steel '!$AI$55:$AI$78)</f>
        <v>0</v>
      </c>
      <c r="AJ59" s="625"/>
      <c r="AK59" s="620">
        <f t="shared" si="97"/>
        <v>0</v>
      </c>
      <c r="AL59" s="625"/>
      <c r="AM59" s="576">
        <f>SUMIF('Value added steel '!$D$55:$D$78,'Special steel '!$D59,'Value added steel '!$AM$55:$AM$78)</f>
        <v>0</v>
      </c>
      <c r="AN59" s="625"/>
      <c r="AO59" s="2151">
        <f t="shared" si="103"/>
        <v>0</v>
      </c>
      <c r="AP59" s="625"/>
      <c r="AQ59" s="620">
        <f t="shared" si="98"/>
        <v>0</v>
      </c>
      <c r="AR59" s="625"/>
      <c r="AS59" s="576">
        <f>SUMIF('Value added steel '!$D$55:$D$78,'Special steel '!$D59,'Value added steel '!$AS$55:$AS$78)</f>
        <v>0</v>
      </c>
      <c r="AT59" s="625"/>
      <c r="AU59" s="620">
        <f t="shared" si="99"/>
        <v>0</v>
      </c>
      <c r="AV59" s="625"/>
      <c r="AW59" s="576">
        <f>SUMIF('Value added steel '!$D$55:$D$78,'Special steel '!$D59,'Value added steel '!$AW$55:$AW$78)</f>
        <v>0</v>
      </c>
      <c r="AX59" s="625"/>
      <c r="AY59" s="620">
        <f t="shared" si="100"/>
        <v>0</v>
      </c>
      <c r="AZ59" s="625"/>
      <c r="BA59" s="576">
        <f>SUMIF('Value added steel '!$D$55:$D$78,'Special steel '!$D59,'Value added steel '!$BA$55:$BA$78)</f>
        <v>0</v>
      </c>
      <c r="BB59" s="625"/>
      <c r="BC59" s="2151">
        <f t="shared" si="104"/>
        <v>0</v>
      </c>
      <c r="BD59" s="2193"/>
      <c r="BE59" s="1156">
        <f t="shared" si="13"/>
        <v>0</v>
      </c>
      <c r="BF59" s="625"/>
      <c r="BG59" s="620">
        <f t="shared" si="14"/>
        <v>0</v>
      </c>
      <c r="BH59" s="26"/>
      <c r="BI59" s="26"/>
    </row>
    <row r="60" spans="3:62" x14ac:dyDescent="0.35">
      <c r="C60" s="549" t="s">
        <v>969</v>
      </c>
      <c r="D60" s="549" t="s">
        <v>1496</v>
      </c>
      <c r="E60" s="4367"/>
      <c r="F60" s="549"/>
      <c r="G60" s="576">
        <f>SUMIF('Value added steel '!$D$55:$D$78,'Special steel '!$D60,'Value added steel '!$G$55:$G$78)</f>
        <v>0</v>
      </c>
      <c r="H60" s="576"/>
      <c r="I60" s="576">
        <f>SUMIF('Value added steel '!$D$55:$D$78,'Special steel '!$D60,'Value added steel '!$I$55:$I$78)</f>
        <v>0</v>
      </c>
      <c r="J60" s="620"/>
      <c r="K60" s="620">
        <f t="shared" si="53"/>
        <v>0</v>
      </c>
      <c r="L60" s="576"/>
      <c r="M60" s="576">
        <f>SUMIF('Value added steel '!$D$55:$D$78,'Special steel '!$D60,'Value added steel '!$M$55:$M$78)</f>
        <v>0</v>
      </c>
      <c r="N60" s="625"/>
      <c r="O60" s="625">
        <f t="shared" si="54"/>
        <v>0</v>
      </c>
      <c r="P60" s="576"/>
      <c r="Q60" s="576">
        <f>SUMIF('Value added steel '!$D$55:$D$78,'Special steel '!$D60,'Value added steel '!$Q$55:$Q$78)</f>
        <v>0</v>
      </c>
      <c r="R60" s="625"/>
      <c r="S60" s="625">
        <f t="shared" si="30"/>
        <v>0</v>
      </c>
      <c r="T60" s="576"/>
      <c r="U60" s="576">
        <f>SUMIF('Value added steel '!$D$55:$D$78,'Special steel '!$D60,'Value added steel '!$U$55:$U$78)</f>
        <v>0</v>
      </c>
      <c r="V60" s="625"/>
      <c r="W60" s="625">
        <f t="shared" si="95"/>
        <v>0</v>
      </c>
      <c r="X60" s="625"/>
      <c r="Y60" s="576">
        <f>SUMIF('Value added steel '!$D$55:$D$78,'Special steel '!$D60,'Value added steel '!$Y$55:$Y$78)</f>
        <v>0</v>
      </c>
      <c r="Z60" s="625"/>
      <c r="AA60" s="2151">
        <f t="shared" si="101"/>
        <v>0</v>
      </c>
      <c r="AB60" s="2193"/>
      <c r="AC60" s="1156">
        <f t="shared" si="102"/>
        <v>0</v>
      </c>
      <c r="AD60" s="625"/>
      <c r="AE60" s="576">
        <f>SUMIF('Value added steel '!$D$55:$D$78,'Special steel '!$D60,'Value added steel '!$AE$55:$AE$78)</f>
        <v>0</v>
      </c>
      <c r="AF60" s="625"/>
      <c r="AG60" s="625">
        <f t="shared" si="96"/>
        <v>0</v>
      </c>
      <c r="AH60" s="625"/>
      <c r="AI60" s="576">
        <f>SUMIF('Value added steel '!$D$55:$D$78,'Special steel '!$D60,'Value added steel '!$AI$55:$AI$78)</f>
        <v>0</v>
      </c>
      <c r="AJ60" s="625"/>
      <c r="AK60" s="620">
        <f t="shared" si="97"/>
        <v>0</v>
      </c>
      <c r="AL60" s="625"/>
      <c r="AM60" s="576">
        <f>SUMIF('Value added steel '!$D$55:$D$78,'Special steel '!$D60,'Value added steel '!$AM$55:$AM$78)</f>
        <v>0</v>
      </c>
      <c r="AN60" s="625"/>
      <c r="AO60" s="2151">
        <f t="shared" si="103"/>
        <v>0</v>
      </c>
      <c r="AP60" s="625"/>
      <c r="AQ60" s="620">
        <f t="shared" si="98"/>
        <v>0</v>
      </c>
      <c r="AR60" s="625"/>
      <c r="AS60" s="576">
        <f>SUMIF('Value added steel '!$D$55:$D$78,'Special steel '!$D60,'Value added steel '!$AS$55:$AS$78)</f>
        <v>0</v>
      </c>
      <c r="AT60" s="625"/>
      <c r="AU60" s="620">
        <f t="shared" si="99"/>
        <v>0</v>
      </c>
      <c r="AV60" s="625"/>
      <c r="AW60" s="576">
        <f>SUMIF('Value added steel '!$D$55:$D$78,'Special steel '!$D60,'Value added steel '!$AW$55:$AW$78)</f>
        <v>0</v>
      </c>
      <c r="AX60" s="625"/>
      <c r="AY60" s="620">
        <f t="shared" si="100"/>
        <v>0</v>
      </c>
      <c r="AZ60" s="625"/>
      <c r="BA60" s="576">
        <f>SUMIF('Value added steel '!$D$55:$D$78,'Special steel '!$D60,'Value added steel '!$BA$55:$BA$78)</f>
        <v>0</v>
      </c>
      <c r="BB60" s="625"/>
      <c r="BC60" s="2151">
        <f t="shared" si="104"/>
        <v>0</v>
      </c>
      <c r="BD60" s="2193"/>
      <c r="BE60" s="1156">
        <f t="shared" si="13"/>
        <v>0</v>
      </c>
      <c r="BF60" s="625"/>
      <c r="BG60" s="620">
        <f t="shared" si="14"/>
        <v>0</v>
      </c>
      <c r="BH60" s="26"/>
      <c r="BI60" s="26"/>
    </row>
    <row r="61" spans="3:62" x14ac:dyDescent="0.35">
      <c r="C61" s="549" t="s">
        <v>969</v>
      </c>
      <c r="D61" s="549" t="s">
        <v>1067</v>
      </c>
      <c r="E61" s="4367"/>
      <c r="F61" s="549"/>
      <c r="G61" s="576">
        <f>SUMIF('Value added steel '!$D$55:$D$78,'Special steel '!$D61,'Value added steel '!$G$55:$G$78)</f>
        <v>0</v>
      </c>
      <c r="H61" s="576"/>
      <c r="I61" s="576">
        <f>SUMIF('Value added steel '!$D$55:$D$78,'Special steel '!$D61,'Value added steel '!$I$55:$I$78)</f>
        <v>0</v>
      </c>
      <c r="J61" s="620"/>
      <c r="K61" s="620">
        <f t="shared" si="53"/>
        <v>0</v>
      </c>
      <c r="L61" s="576"/>
      <c r="M61" s="576">
        <f>SUMIF('Value added steel '!$D$55:$D$78,'Special steel '!$D61,'Value added steel '!$M$55:$M$78)</f>
        <v>0</v>
      </c>
      <c r="N61" s="625"/>
      <c r="O61" s="625">
        <f t="shared" si="54"/>
        <v>0</v>
      </c>
      <c r="P61" s="576"/>
      <c r="Q61" s="576">
        <f>SUMIF('Value added steel '!$D$55:$D$78,'Special steel '!$D61,'Value added steel '!$Q$55:$Q$78)</f>
        <v>0</v>
      </c>
      <c r="R61" s="625"/>
      <c r="S61" s="625">
        <f t="shared" si="30"/>
        <v>0</v>
      </c>
      <c r="T61" s="576"/>
      <c r="U61" s="576">
        <f>SUMIF('Value added steel '!$D$55:$D$78,'Special steel '!$D61,'Value added steel '!$U$55:$U$78)</f>
        <v>0</v>
      </c>
      <c r="V61" s="625"/>
      <c r="W61" s="625">
        <f t="shared" si="95"/>
        <v>0</v>
      </c>
      <c r="X61" s="625"/>
      <c r="Y61" s="576">
        <f>SUMIF('Value added steel '!$D$55:$D$78,'Special steel '!$D61,'Value added steel '!$Y$55:$Y$78)</f>
        <v>0</v>
      </c>
      <c r="Z61" s="625"/>
      <c r="AA61" s="2151">
        <f t="shared" si="101"/>
        <v>0</v>
      </c>
      <c r="AB61" s="2193"/>
      <c r="AC61" s="1156">
        <f t="shared" si="102"/>
        <v>0</v>
      </c>
      <c r="AD61" s="625"/>
      <c r="AE61" s="576">
        <f>SUMIF('Value added steel '!$D$55:$D$78,'Special steel '!$D61,'Value added steel '!$AE$55:$AE$78)</f>
        <v>0</v>
      </c>
      <c r="AF61" s="625"/>
      <c r="AG61" s="625">
        <f t="shared" si="96"/>
        <v>0</v>
      </c>
      <c r="AH61" s="625"/>
      <c r="AI61" s="576">
        <f>SUMIF('Value added steel '!$D$55:$D$78,'Special steel '!$D61,'Value added steel '!$AI$55:$AI$78)</f>
        <v>0</v>
      </c>
      <c r="AJ61" s="625"/>
      <c r="AK61" s="620">
        <f t="shared" si="97"/>
        <v>0</v>
      </c>
      <c r="AL61" s="625"/>
      <c r="AM61" s="576">
        <f>SUMIF('Value added steel '!$D$55:$D$78,'Special steel '!$D61,'Value added steel '!$AM$55:$AM$78)</f>
        <v>0</v>
      </c>
      <c r="AN61" s="625"/>
      <c r="AO61" s="2151">
        <f t="shared" si="103"/>
        <v>0</v>
      </c>
      <c r="AP61" s="625"/>
      <c r="AQ61" s="620">
        <f t="shared" si="98"/>
        <v>0</v>
      </c>
      <c r="AR61" s="625"/>
      <c r="AS61" s="576">
        <f>SUMIF('Value added steel '!$D$55:$D$78,'Special steel '!$D61,'Value added steel '!$AS$55:$AS$78)</f>
        <v>0</v>
      </c>
      <c r="AT61" s="625"/>
      <c r="AU61" s="620">
        <f t="shared" si="99"/>
        <v>0</v>
      </c>
      <c r="AV61" s="625"/>
      <c r="AW61" s="576">
        <f>SUMIF('Value added steel '!$D$55:$D$78,'Special steel '!$D61,'Value added steel '!$AW$55:$AW$78)</f>
        <v>0</v>
      </c>
      <c r="AX61" s="625"/>
      <c r="AY61" s="620">
        <f t="shared" si="100"/>
        <v>0</v>
      </c>
      <c r="AZ61" s="625"/>
      <c r="BA61" s="576">
        <f>SUMIF('Value added steel '!$D$55:$D$78,'Special steel '!$D61,'Value added steel '!$BA$55:$BA$78)</f>
        <v>0</v>
      </c>
      <c r="BB61" s="627"/>
      <c r="BC61" s="2151">
        <f t="shared" si="104"/>
        <v>0</v>
      </c>
      <c r="BD61" s="2193"/>
      <c r="BE61" s="1156">
        <f t="shared" si="13"/>
        <v>0</v>
      </c>
      <c r="BF61" s="627"/>
      <c r="BG61" s="620">
        <f t="shared" si="14"/>
        <v>0</v>
      </c>
      <c r="BH61" s="26"/>
      <c r="BI61" s="26"/>
    </row>
    <row r="62" spans="3:62" x14ac:dyDescent="0.35">
      <c r="C62" s="549" t="s">
        <v>969</v>
      </c>
      <c r="D62" s="549" t="s">
        <v>1343</v>
      </c>
      <c r="E62" s="4367"/>
      <c r="F62" s="549"/>
      <c r="G62" s="576">
        <f>SUMIF('Value added steel '!$D$55:$D$78,'Special steel '!$D62,'Value added steel '!$G$55:$G$78)</f>
        <v>0</v>
      </c>
      <c r="H62" s="576"/>
      <c r="I62" s="576">
        <f>SUMIF('Value added steel '!$D$55:$D$78,'Special steel '!$D62,'Value added steel '!$I$55:$I$78)</f>
        <v>0</v>
      </c>
      <c r="J62" s="620"/>
      <c r="K62" s="620">
        <f t="shared" si="53"/>
        <v>0</v>
      </c>
      <c r="L62" s="576"/>
      <c r="M62" s="576">
        <f>SUMIF('Value added steel '!$D$55:$D$78,'Special steel '!$D62,'Value added steel '!$M$55:$M$78)</f>
        <v>0</v>
      </c>
      <c r="N62" s="625"/>
      <c r="O62" s="625">
        <f t="shared" si="54"/>
        <v>0</v>
      </c>
      <c r="P62" s="576"/>
      <c r="Q62" s="576">
        <f>SUMIF('Value added steel '!$D$55:$D$78,'Special steel '!$D62,'Value added steel '!$Q$55:$Q$78)</f>
        <v>0</v>
      </c>
      <c r="R62" s="625"/>
      <c r="S62" s="625">
        <f t="shared" si="30"/>
        <v>0</v>
      </c>
      <c r="T62" s="576"/>
      <c r="U62" s="576">
        <f>SUMIF('Value added steel '!$D$55:$D$78,'Special steel '!$D62,'Value added steel '!$U$55:$U$78)</f>
        <v>0</v>
      </c>
      <c r="V62" s="625"/>
      <c r="W62" s="625">
        <f t="shared" si="95"/>
        <v>0</v>
      </c>
      <c r="X62" s="625"/>
      <c r="Y62" s="576">
        <f>SUMIF('Value added steel '!$D$55:$D$78,'Special steel '!$D62,'Value added steel '!$Y$55:$Y$78)</f>
        <v>0</v>
      </c>
      <c r="Z62" s="625"/>
      <c r="AA62" s="2151">
        <f t="shared" si="101"/>
        <v>0</v>
      </c>
      <c r="AB62" s="2193"/>
      <c r="AC62" s="1156">
        <f t="shared" si="102"/>
        <v>0</v>
      </c>
      <c r="AD62" s="625"/>
      <c r="AE62" s="576">
        <f>SUMIF('Value added steel '!$D$55:$D$78,'Special steel '!$D62,'Value added steel '!$AE$55:$AE$78)</f>
        <v>0</v>
      </c>
      <c r="AF62" s="625"/>
      <c r="AG62" s="625">
        <f t="shared" si="96"/>
        <v>0</v>
      </c>
      <c r="AH62" s="625"/>
      <c r="AI62" s="576">
        <f>SUMIF('Value added steel '!$D$55:$D$78,'Special steel '!$D62,'Value added steel '!$AI$55:$AI$78)</f>
        <v>0</v>
      </c>
      <c r="AJ62" s="625"/>
      <c r="AK62" s="620">
        <f t="shared" si="97"/>
        <v>0</v>
      </c>
      <c r="AL62" s="625"/>
      <c r="AM62" s="576">
        <f>SUMIF('Value added steel '!$D$55:$D$78,'Special steel '!$D62,'Value added steel '!$AM$55:$AM$78)</f>
        <v>0</v>
      </c>
      <c r="AN62" s="625"/>
      <c r="AO62" s="2151">
        <f t="shared" si="103"/>
        <v>0</v>
      </c>
      <c r="AP62" s="625"/>
      <c r="AQ62" s="620">
        <f t="shared" si="98"/>
        <v>0</v>
      </c>
      <c r="AR62" s="625"/>
      <c r="AS62" s="576">
        <f>SUMIF('Value added steel '!$D$55:$D$78,'Special steel '!$D62,'Value added steel '!$AS$55:$AS$78)</f>
        <v>0</v>
      </c>
      <c r="AT62" s="625"/>
      <c r="AU62" s="620">
        <f t="shared" si="99"/>
        <v>0</v>
      </c>
      <c r="AV62" s="630"/>
      <c r="AW62" s="576">
        <f>SUMIF('Value added steel '!$D$55:$D$78,'Special steel '!$D62,'Value added steel '!$AW$55:$AW$78)</f>
        <v>0</v>
      </c>
      <c r="AX62" s="625"/>
      <c r="AY62" s="620">
        <f t="shared" si="100"/>
        <v>0</v>
      </c>
      <c r="AZ62" s="630"/>
      <c r="BA62" s="576">
        <f>SUMIF('Value added steel '!$D$55:$D$78,'Special steel '!$D62,'Value added steel '!$BA$55:$BA$78)</f>
        <v>0</v>
      </c>
      <c r="BB62" s="630"/>
      <c r="BC62" s="2151">
        <f t="shared" si="104"/>
        <v>0</v>
      </c>
      <c r="BD62" s="2193"/>
      <c r="BE62" s="1156">
        <f t="shared" si="13"/>
        <v>0</v>
      </c>
      <c r="BF62" s="630"/>
      <c r="BG62" s="620">
        <f t="shared" si="14"/>
        <v>0</v>
      </c>
      <c r="BH62" s="26"/>
      <c r="BI62" s="26"/>
    </row>
    <row r="63" spans="3:62" x14ac:dyDescent="0.35">
      <c r="C63" s="549" t="s">
        <v>969</v>
      </c>
      <c r="D63" s="549" t="s">
        <v>1526</v>
      </c>
      <c r="E63" s="4367"/>
      <c r="F63" s="549"/>
      <c r="G63" s="576">
        <f>SUMIF('Value added steel '!$D$55:$D$78,'Special steel '!$D63,'Value added steel '!$G$55:$G$78)</f>
        <v>723</v>
      </c>
      <c r="H63" s="576"/>
      <c r="I63" s="576">
        <f>SUMIF('Value added steel '!$D$55:$D$78,'Special steel '!$D63,'Value added steel '!$I$55:$I$78)</f>
        <v>590</v>
      </c>
      <c r="J63" s="620"/>
      <c r="K63" s="620">
        <f t="shared" si="53"/>
        <v>1313</v>
      </c>
      <c r="L63" s="576"/>
      <c r="M63" s="576">
        <f>SUMIF('Value added steel '!$D$55:$D$78,'Special steel '!$D63,'Value added steel '!$M$55:$M$78)</f>
        <v>619</v>
      </c>
      <c r="N63" s="625"/>
      <c r="O63" s="625">
        <f t="shared" si="54"/>
        <v>1932</v>
      </c>
      <c r="P63" s="576"/>
      <c r="Q63" s="576">
        <f>SUMIF('Value added steel '!$D$55:$D$78,'Special steel '!$D63,'Value added steel '!$Q$55:$Q$78)</f>
        <v>583</v>
      </c>
      <c r="R63" s="625"/>
      <c r="S63" s="625">
        <f t="shared" si="30"/>
        <v>2515</v>
      </c>
      <c r="T63" s="576"/>
      <c r="U63" s="576">
        <f>SUMIF('Value added steel '!$D$55:$D$78,'Special steel '!$D63,'Value added steel '!$U$55:$U$78)</f>
        <v>112.042</v>
      </c>
      <c r="V63" s="625"/>
      <c r="W63" s="625"/>
      <c r="X63" s="625"/>
      <c r="Y63" s="576">
        <f>SUMIF('Value added steel '!$D$55:$D$78,'Special steel '!$D63,'Value added steel '!$Y$55:$Y$78)</f>
        <v>674</v>
      </c>
      <c r="Z63" s="625"/>
      <c r="AA63" s="2151">
        <f t="shared" si="101"/>
        <v>1369.0419999999999</v>
      </c>
      <c r="AB63" s="2193"/>
      <c r="AC63" s="1156">
        <f t="shared" si="102"/>
        <v>3301.0419999999999</v>
      </c>
      <c r="AD63" s="625"/>
      <c r="AE63" s="576">
        <f>SUMIF('Value added steel '!$D$55:$D$78,'Special steel '!$D63,'Value added steel '!$AE$55:$AE$78)</f>
        <v>543</v>
      </c>
      <c r="AF63" s="625"/>
      <c r="AG63" s="625">
        <f t="shared" si="96"/>
        <v>3844.0419999999999</v>
      </c>
      <c r="AH63" s="625"/>
      <c r="AI63" s="576">
        <f>SUMIF('Value added steel '!$D$55:$D$78,'Special steel '!$D63,'Value added steel '!$AI$55:$AI$78)</f>
        <v>722.36599999999999</v>
      </c>
      <c r="AJ63" s="625"/>
      <c r="AK63" s="620">
        <f t="shared" si="97"/>
        <v>4566.4079999999994</v>
      </c>
      <c r="AL63" s="625"/>
      <c r="AM63" s="576">
        <f>SUMIF('Value added steel '!$D$55:$D$78,'Special steel '!$D63,'Value added steel '!$AM$55:$AM$78)</f>
        <v>412</v>
      </c>
      <c r="AN63" s="625"/>
      <c r="AO63" s="2151">
        <f t="shared" si="103"/>
        <v>1677.366</v>
      </c>
      <c r="AP63" s="625"/>
      <c r="AQ63" s="620">
        <f t="shared" si="98"/>
        <v>4978.4079999999994</v>
      </c>
      <c r="AR63" s="625"/>
      <c r="AS63" s="576">
        <f>SUMIF('Value added steel '!$D$55:$D$78,'Special steel '!$D63,'Value added steel '!$AS$55:$AS$78)</f>
        <v>0</v>
      </c>
      <c r="AT63" s="625"/>
      <c r="AU63" s="620">
        <f t="shared" si="99"/>
        <v>4978.4079999999994</v>
      </c>
      <c r="AV63" s="625"/>
      <c r="AW63" s="576">
        <f>SUMIF('Value added steel '!$D$55:$D$78,'Special steel '!$D63,'Value added steel '!$AW$55:$AW$78)</f>
        <v>0</v>
      </c>
      <c r="AX63" s="625"/>
      <c r="AY63" s="620">
        <f t="shared" si="100"/>
        <v>4978.4079999999994</v>
      </c>
      <c r="AZ63" s="625"/>
      <c r="BA63" s="576">
        <f>SUMIF('Value added steel '!$D$55:$D$78,'Special steel '!$D63,'Value added steel '!$BA$55:$BA$78)</f>
        <v>0</v>
      </c>
      <c r="BB63" s="627"/>
      <c r="BC63" s="2151">
        <f t="shared" si="104"/>
        <v>0</v>
      </c>
      <c r="BD63" s="2193"/>
      <c r="BE63" s="1156">
        <f t="shared" si="13"/>
        <v>1677.366</v>
      </c>
      <c r="BF63" s="627"/>
      <c r="BG63" s="620">
        <f t="shared" si="14"/>
        <v>4978.4079999999994</v>
      </c>
      <c r="BH63" s="26"/>
      <c r="BI63" s="26"/>
    </row>
    <row r="64" spans="3:62" x14ac:dyDescent="0.35">
      <c r="C64" s="4384" t="s">
        <v>969</v>
      </c>
      <c r="D64" s="4384" t="s">
        <v>1892</v>
      </c>
      <c r="E64" s="4367"/>
      <c r="F64" s="4384"/>
      <c r="G64" s="576">
        <f>SUMIF('Value added steel '!$D$55:$D$78,'Special steel '!$D64,'Value added steel '!$G$55:$G$78)</f>
        <v>0</v>
      </c>
      <c r="H64" s="576"/>
      <c r="I64" s="576">
        <f>SUMIF('Value added steel '!$D$55:$D$78,'Special steel '!$D64,'Value added steel '!$I$55:$I$78)</f>
        <v>0</v>
      </c>
      <c r="J64" s="620"/>
      <c r="K64" s="620">
        <f t="shared" ref="K64" si="106">+G64+I64</f>
        <v>0</v>
      </c>
      <c r="L64" s="576"/>
      <c r="M64" s="576">
        <f>SUMIF('Value added steel '!$D$55:$D$78,'Special steel '!$D64,'Value added steel '!$M$55:$M$78)</f>
        <v>0</v>
      </c>
      <c r="N64" s="625"/>
      <c r="O64" s="625">
        <f t="shared" si="54"/>
        <v>0</v>
      </c>
      <c r="P64" s="576"/>
      <c r="Q64" s="576">
        <f>SUMIF('Value added steel '!$D$55:$D$78,'Special steel '!$D64,'Value added steel '!$Q$55:$Q$78)</f>
        <v>0</v>
      </c>
      <c r="R64" s="625"/>
      <c r="S64" s="625">
        <f t="shared" ref="S64" si="107">O64+Q64</f>
        <v>0</v>
      </c>
      <c r="T64" s="576"/>
      <c r="U64" s="576">
        <f>SUMIF('Value added steel '!$D$55:$D$78,'Special steel '!$D64,'Value added steel '!$U$55:$U$78)</f>
        <v>0</v>
      </c>
      <c r="V64" s="625"/>
      <c r="W64" s="625"/>
      <c r="X64" s="625"/>
      <c r="Y64" s="576">
        <f>SUMIF('Value added steel '!$D$55:$D$78,'Special steel '!$D64,'Value added steel '!$Y$55:$Y$78)</f>
        <v>0</v>
      </c>
      <c r="Z64" s="625"/>
      <c r="AA64" s="2151">
        <f t="shared" si="101"/>
        <v>0</v>
      </c>
      <c r="AB64" s="2193"/>
      <c r="AC64" s="1156">
        <f t="shared" si="102"/>
        <v>0</v>
      </c>
      <c r="AD64" s="625"/>
      <c r="AE64" s="576">
        <f>SUMIF('Value added steel '!$D$55:$D$78,'Special steel '!$D64,'Value added steel '!$AE$55:$AE$78)</f>
        <v>0</v>
      </c>
      <c r="AF64" s="625"/>
      <c r="AG64" s="625">
        <f t="shared" ref="AG64" si="108">AC64+AE64</f>
        <v>0</v>
      </c>
      <c r="AH64" s="625"/>
      <c r="AI64" s="576">
        <f>SUMIF('Value added steel '!$D$55:$D$78,'Special steel '!$D64,'Value added steel '!$AI$55:$AI$78)</f>
        <v>0</v>
      </c>
      <c r="AJ64" s="625"/>
      <c r="AK64" s="620">
        <f t="shared" ref="AK64" si="109">AG64+AI64</f>
        <v>0</v>
      </c>
      <c r="AL64" s="625"/>
      <c r="AM64" s="576">
        <f>SUMIF('Value added steel '!$D$55:$D$78,'Special steel '!$D64,'Value added steel '!$AM$55:$AM$78)</f>
        <v>0</v>
      </c>
      <c r="AN64" s="625"/>
      <c r="AO64" s="2151">
        <f t="shared" ref="AO64" si="110">AE64+AI64+AM64</f>
        <v>0</v>
      </c>
      <c r="AP64" s="625"/>
      <c r="AQ64" s="620">
        <f t="shared" ref="AQ64" si="111">AK64+AM64</f>
        <v>0</v>
      </c>
      <c r="AR64" s="625"/>
      <c r="AS64" s="576">
        <f>SUMIF('Value added steel '!$D$55:$D$78,'Special steel '!$D64,'Value added steel '!$AS$55:$AS$78)</f>
        <v>0</v>
      </c>
      <c r="AT64" s="625"/>
      <c r="AU64" s="620">
        <f t="shared" ref="AU64" si="112">AQ64+AS64</f>
        <v>0</v>
      </c>
      <c r="AV64" s="625"/>
      <c r="AW64" s="576">
        <f>SUMIF('Value added steel '!$D$55:$D$78,'Special steel '!$D64,'Value added steel '!$AW$55:$AW$78)</f>
        <v>0</v>
      </c>
      <c r="AX64" s="625"/>
      <c r="AY64" s="620">
        <f t="shared" si="100"/>
        <v>0</v>
      </c>
      <c r="AZ64" s="625"/>
      <c r="BA64" s="576">
        <f>SUMIF('Value added steel '!$D$55:$D$78,'Special steel '!$D64,'Value added steel '!$BA$55:$BA$78)</f>
        <v>0</v>
      </c>
      <c r="BB64" s="627"/>
      <c r="BC64" s="2151">
        <f t="shared" si="104"/>
        <v>0</v>
      </c>
      <c r="BD64" s="2193"/>
      <c r="BE64" s="1156">
        <f t="shared" si="13"/>
        <v>0</v>
      </c>
      <c r="BF64" s="627"/>
      <c r="BG64" s="620">
        <f t="shared" si="14"/>
        <v>0</v>
      </c>
      <c r="BH64" s="26"/>
      <c r="BI64" s="26"/>
    </row>
    <row r="65" spans="3:61" x14ac:dyDescent="0.35">
      <c r="C65" s="549" t="s">
        <v>969</v>
      </c>
      <c r="D65" s="549" t="s">
        <v>1265</v>
      </c>
      <c r="E65" s="4367"/>
      <c r="F65" s="549"/>
      <c r="G65" s="576">
        <f>SUMIF('Value added steel '!$D$55:$D$78,'Special steel '!$D65,'Value added steel '!$G$55:$G$78)</f>
        <v>0</v>
      </c>
      <c r="H65" s="576"/>
      <c r="I65" s="576">
        <f>SUMIF('Value added steel '!$D$55:$D$78,'Special steel '!$D65,'Value added steel '!$I$55:$I$78)</f>
        <v>0</v>
      </c>
      <c r="J65" s="620"/>
      <c r="K65" s="620">
        <f t="shared" si="53"/>
        <v>0</v>
      </c>
      <c r="L65" s="576"/>
      <c r="M65" s="576">
        <f>SUMIF('Value added steel '!$D$55:$D$78,'Special steel '!$D65,'Value added steel '!$M$55:$M$78)</f>
        <v>0</v>
      </c>
      <c r="N65" s="625"/>
      <c r="O65" s="625">
        <f t="shared" si="54"/>
        <v>0</v>
      </c>
      <c r="P65" s="576"/>
      <c r="Q65" s="576">
        <f>SUMIF('Value added steel '!$D$55:$D$78,'Special steel '!$D65,'Value added steel '!$Q$55:$Q$78)</f>
        <v>0</v>
      </c>
      <c r="R65" s="625"/>
      <c r="S65" s="625">
        <f t="shared" si="30"/>
        <v>0</v>
      </c>
      <c r="T65" s="576"/>
      <c r="U65" s="576">
        <f>SUMIF('Value added steel '!$D$55:$D$78,'Special steel '!$D65,'Value added steel '!$U$55:$U$78)</f>
        <v>0</v>
      </c>
      <c r="V65" s="625"/>
      <c r="W65" s="625">
        <f t="shared" si="95"/>
        <v>0</v>
      </c>
      <c r="X65" s="625"/>
      <c r="Y65" s="576">
        <f>SUMIF('Value added steel '!$D$55:$D$78,'Special steel '!$D65,'Value added steel '!$Y$55:$Y$78)</f>
        <v>0</v>
      </c>
      <c r="Z65" s="625"/>
      <c r="AA65" s="2151">
        <f t="shared" si="101"/>
        <v>0</v>
      </c>
      <c r="AB65" s="2193"/>
      <c r="AC65" s="1156">
        <f t="shared" si="102"/>
        <v>0</v>
      </c>
      <c r="AD65" s="625"/>
      <c r="AE65" s="576">
        <f>SUMIF('Value added steel '!$D$55:$D$78,'Special steel '!$D65,'Value added steel '!$AE$55:$AE$78)</f>
        <v>0</v>
      </c>
      <c r="AF65" s="625"/>
      <c r="AG65" s="625">
        <f t="shared" si="96"/>
        <v>0</v>
      </c>
      <c r="AH65" s="625"/>
      <c r="AI65" s="576">
        <f>SUMIF('Value added steel '!$D$55:$D$78,'Special steel '!$D65,'Value added steel '!$AI$55:$AI$78)</f>
        <v>0</v>
      </c>
      <c r="AJ65" s="625"/>
      <c r="AK65" s="620">
        <f t="shared" si="97"/>
        <v>0</v>
      </c>
      <c r="AL65" s="625"/>
      <c r="AM65" s="576">
        <f>SUMIF('Value added steel '!$D$55:$D$78,'Special steel '!$D65,'Value added steel '!$AM$55:$AM$78)</f>
        <v>0</v>
      </c>
      <c r="AN65" s="625"/>
      <c r="AO65" s="2151">
        <f t="shared" si="103"/>
        <v>0</v>
      </c>
      <c r="AP65" s="625"/>
      <c r="AQ65" s="620">
        <f t="shared" si="98"/>
        <v>0</v>
      </c>
      <c r="AR65" s="625"/>
      <c r="AS65" s="576">
        <f>SUMIF('Value added steel '!$D$55:$D$78,'Special steel '!$D65,'Value added steel '!$AS$55:$AS$78)</f>
        <v>0</v>
      </c>
      <c r="AT65" s="625"/>
      <c r="AU65" s="620">
        <f t="shared" si="99"/>
        <v>0</v>
      </c>
      <c r="AV65" s="625"/>
      <c r="AW65" s="576">
        <f>SUMIF('Value added steel '!$D$55:$D$78,'Special steel '!$D65,'Value added steel '!$AW$55:$AW$78)</f>
        <v>0</v>
      </c>
      <c r="AX65" s="625"/>
      <c r="AY65" s="620">
        <f t="shared" si="100"/>
        <v>0</v>
      </c>
      <c r="AZ65" s="625"/>
      <c r="BA65" s="576">
        <f>SUMIF('Value added steel '!$D$55:$D$78,'Special steel '!$D65,'Value added steel '!$BA$55:$BA$78)</f>
        <v>0</v>
      </c>
      <c r="BB65" s="627"/>
      <c r="BC65" s="2151">
        <f t="shared" si="104"/>
        <v>0</v>
      </c>
      <c r="BD65" s="2193"/>
      <c r="BE65" s="1156">
        <f t="shared" si="13"/>
        <v>0</v>
      </c>
      <c r="BF65" s="627"/>
      <c r="BG65" s="620">
        <f t="shared" si="14"/>
        <v>0</v>
      </c>
      <c r="BH65" s="26"/>
      <c r="BI65" s="26"/>
    </row>
    <row r="66" spans="3:61" x14ac:dyDescent="0.35">
      <c r="C66" s="549" t="s">
        <v>969</v>
      </c>
      <c r="D66" s="549" t="s">
        <v>1254</v>
      </c>
      <c r="E66" s="4367"/>
      <c r="F66" s="549"/>
      <c r="G66" s="576">
        <f>SUMIF('Value added steel '!$D$55:$D$78,'Special steel '!$D66,'Value added steel '!$G$55:$G$78)</f>
        <v>442</v>
      </c>
      <c r="H66" s="576"/>
      <c r="I66" s="576">
        <f>SUMIF('Value added steel '!$D$55:$D$78,'Special steel '!$D66,'Value added steel '!$I$55:$I$78)</f>
        <v>104</v>
      </c>
      <c r="J66" s="620"/>
      <c r="K66" s="620">
        <f t="shared" si="53"/>
        <v>546</v>
      </c>
      <c r="L66" s="576"/>
      <c r="M66" s="576">
        <f>SUMIF('Value added steel '!$D$55:$D$78,'Special steel '!$D66,'Value added steel '!$M$55:$M$78)</f>
        <v>235</v>
      </c>
      <c r="N66" s="625"/>
      <c r="O66" s="625">
        <f t="shared" si="54"/>
        <v>781</v>
      </c>
      <c r="P66" s="576"/>
      <c r="Q66" s="576">
        <f>SUMIF('Value added steel '!$D$55:$D$78,'Special steel '!$D66,'Value added steel '!$Q$55:$Q$78)</f>
        <v>116</v>
      </c>
      <c r="R66" s="625"/>
      <c r="S66" s="625">
        <f t="shared" si="30"/>
        <v>897</v>
      </c>
      <c r="T66" s="576"/>
      <c r="U66" s="576">
        <f>SUMIF('Value added steel '!$D$55:$D$78,'Special steel '!$D66,'Value added steel '!$U$55:$U$78)</f>
        <v>0</v>
      </c>
      <c r="V66" s="625"/>
      <c r="W66" s="625">
        <f t="shared" si="95"/>
        <v>897</v>
      </c>
      <c r="X66" s="625"/>
      <c r="Y66" s="576">
        <f>SUMIF('Value added steel '!$D$55:$D$78,'Special steel '!$D66,'Value added steel '!$Y$55:$Y$78)</f>
        <v>0</v>
      </c>
      <c r="Z66" s="625"/>
      <c r="AA66" s="2151">
        <f t="shared" si="101"/>
        <v>116</v>
      </c>
      <c r="AB66" s="2193"/>
      <c r="AC66" s="1156">
        <f t="shared" si="102"/>
        <v>897</v>
      </c>
      <c r="AD66" s="625"/>
      <c r="AE66" s="576">
        <f>SUMIF('Value added steel '!$D$55:$D$78,'Special steel '!$D66,'Value added steel '!$AE$55:$AE$78)</f>
        <v>0</v>
      </c>
      <c r="AF66" s="625"/>
      <c r="AG66" s="625">
        <f t="shared" si="96"/>
        <v>897</v>
      </c>
      <c r="AH66" s="625"/>
      <c r="AI66" s="576">
        <f>SUMIF('Value added steel '!$D$55:$D$78,'Special steel '!$D66,'Value added steel '!$AI$55:$AI$78)</f>
        <v>0</v>
      </c>
      <c r="AJ66" s="625"/>
      <c r="AK66" s="620">
        <f t="shared" si="97"/>
        <v>897</v>
      </c>
      <c r="AL66" s="625"/>
      <c r="AM66" s="576">
        <f>SUMIF('Value added steel '!$D$55:$D$78,'Special steel '!$D66,'Value added steel '!$AM$55:$AM$78)</f>
        <v>0</v>
      </c>
      <c r="AN66" s="625"/>
      <c r="AO66" s="2151">
        <f t="shared" si="103"/>
        <v>0</v>
      </c>
      <c r="AP66" s="625"/>
      <c r="AQ66" s="620">
        <f t="shared" si="98"/>
        <v>897</v>
      </c>
      <c r="AR66" s="625"/>
      <c r="AS66" s="576">
        <f>SUMIF('Value added steel '!$D$55:$D$78,'Special steel '!$D66,'Value added steel '!$AS$55:$AS$78)</f>
        <v>0</v>
      </c>
      <c r="AT66" s="625"/>
      <c r="AU66" s="620">
        <f t="shared" si="99"/>
        <v>897</v>
      </c>
      <c r="AV66" s="625"/>
      <c r="AW66" s="576">
        <f>SUMIF('Value added steel '!$D$55:$D$78,'Special steel '!$D66,'Value added steel '!$AW$55:$AW$78)</f>
        <v>0</v>
      </c>
      <c r="AX66" s="625"/>
      <c r="AY66" s="620">
        <f t="shared" si="100"/>
        <v>897</v>
      </c>
      <c r="AZ66" s="625"/>
      <c r="BA66" s="576">
        <f>SUMIF('Value added steel '!$D$55:$D$78,'Special steel '!$D66,'Value added steel '!$BA$55:$BA$78)</f>
        <v>0</v>
      </c>
      <c r="BB66" s="627"/>
      <c r="BC66" s="2151">
        <f t="shared" si="104"/>
        <v>0</v>
      </c>
      <c r="BD66" s="2193"/>
      <c r="BE66" s="1156">
        <f t="shared" si="13"/>
        <v>0</v>
      </c>
      <c r="BF66" s="627"/>
      <c r="BG66" s="620">
        <f t="shared" si="14"/>
        <v>897</v>
      </c>
      <c r="BH66" s="26"/>
      <c r="BI66" s="26"/>
    </row>
    <row r="67" spans="3:61" x14ac:dyDescent="0.35">
      <c r="C67" s="549" t="s">
        <v>969</v>
      </c>
      <c r="D67" s="549" t="s">
        <v>1123</v>
      </c>
      <c r="E67" s="4367"/>
      <c r="F67" s="549"/>
      <c r="G67" s="576">
        <f>SUMIF('Value added steel '!$D$55:$D$78,'Special steel '!$D67,'Value added steel '!$G$55:$G$78)</f>
        <v>0</v>
      </c>
      <c r="H67" s="576"/>
      <c r="I67" s="576">
        <f>SUMIF('Value added steel '!$D$55:$D$78,'Special steel '!$D67,'Value added steel '!$I$55:$I$78)</f>
        <v>268.39999999999998</v>
      </c>
      <c r="J67" s="620"/>
      <c r="K67" s="620">
        <f t="shared" si="53"/>
        <v>268.39999999999998</v>
      </c>
      <c r="L67" s="576"/>
      <c r="M67" s="576">
        <f>SUMIF('Value added steel '!$D$55:$D$78,'Special steel '!$D67,'Value added steel '!$M$55:$M$78)</f>
        <v>0</v>
      </c>
      <c r="N67" s="625"/>
      <c r="O67" s="625">
        <f t="shared" si="54"/>
        <v>268.39999999999998</v>
      </c>
      <c r="P67" s="576"/>
      <c r="Q67" s="576">
        <f>SUMIF('Value added steel '!$D$55:$D$78,'Special steel '!$D67,'Value added steel '!$Q$55:$Q$78)</f>
        <v>0</v>
      </c>
      <c r="R67" s="625"/>
      <c r="S67" s="625">
        <f t="shared" si="30"/>
        <v>268.39999999999998</v>
      </c>
      <c r="T67" s="576"/>
      <c r="U67" s="576">
        <f>SUMIF('Value added steel '!$D$55:$D$78,'Special steel '!$D67,'Value added steel '!$U$55:$U$78)</f>
        <v>353.03800000000001</v>
      </c>
      <c r="V67" s="625"/>
      <c r="W67" s="625">
        <f t="shared" si="95"/>
        <v>621.43799999999999</v>
      </c>
      <c r="X67" s="625"/>
      <c r="Y67" s="576">
        <f>SUMIF('Value added steel '!$D$55:$D$78,'Special steel '!$D67,'Value added steel '!$Y$55:$Y$78)</f>
        <v>114</v>
      </c>
      <c r="Z67" s="625"/>
      <c r="AA67" s="2151">
        <f t="shared" si="101"/>
        <v>467.03800000000001</v>
      </c>
      <c r="AB67" s="2193"/>
      <c r="AC67" s="1156">
        <f t="shared" si="102"/>
        <v>735.43799999999999</v>
      </c>
      <c r="AD67" s="625"/>
      <c r="AE67" s="576">
        <f>SUMIF('Value added steel '!$D$55:$D$78,'Special steel '!$D67,'Value added steel '!$AE$55:$AE$78)</f>
        <v>114</v>
      </c>
      <c r="AF67" s="625"/>
      <c r="AG67" s="625">
        <f t="shared" si="96"/>
        <v>849.43799999999999</v>
      </c>
      <c r="AH67" s="625"/>
      <c r="AI67" s="576">
        <f>SUMIF('Value added steel '!$D$55:$D$78,'Special steel '!$D67,'Value added steel '!$AI$55:$AI$78)</f>
        <v>114.804</v>
      </c>
      <c r="AJ67" s="625"/>
      <c r="AK67" s="620">
        <f t="shared" si="97"/>
        <v>964.24199999999996</v>
      </c>
      <c r="AL67" s="625"/>
      <c r="AM67" s="576">
        <f>SUMIF('Value added steel '!$D$55:$D$78,'Special steel '!$D67,'Value added steel '!$AM$55:$AM$78)</f>
        <v>249</v>
      </c>
      <c r="AN67" s="625"/>
      <c r="AO67" s="2151">
        <f t="shared" si="103"/>
        <v>477.80399999999997</v>
      </c>
      <c r="AP67" s="625"/>
      <c r="AQ67" s="620">
        <f t="shared" si="98"/>
        <v>1213.242</v>
      </c>
      <c r="AR67" s="625"/>
      <c r="AS67" s="576">
        <f>SUMIF('Value added steel '!$D$55:$D$78,'Special steel '!$D67,'Value added steel '!$AS$55:$AS$78)</f>
        <v>203</v>
      </c>
      <c r="AT67" s="625"/>
      <c r="AU67" s="620">
        <f t="shared" si="99"/>
        <v>1416.242</v>
      </c>
      <c r="AV67" s="625"/>
      <c r="AW67" s="576">
        <f>SUMIF('Value added steel '!$D$55:$D$78,'Special steel '!$D67,'Value added steel '!$AW$55:$AW$78)</f>
        <v>0</v>
      </c>
      <c r="AX67" s="625"/>
      <c r="AY67" s="620">
        <f t="shared" si="100"/>
        <v>1416.242</v>
      </c>
      <c r="AZ67" s="625"/>
      <c r="BA67" s="576">
        <f>SUMIF('Value added steel '!$D$55:$D$78,'Special steel '!$D67,'Value added steel '!$BA$55:$BA$78)</f>
        <v>150.946</v>
      </c>
      <c r="BB67" s="627"/>
      <c r="BC67" s="2151">
        <f t="shared" si="104"/>
        <v>353.94600000000003</v>
      </c>
      <c r="BD67" s="2193"/>
      <c r="BE67" s="1156">
        <f t="shared" si="13"/>
        <v>831.75</v>
      </c>
      <c r="BF67" s="627"/>
      <c r="BG67" s="620">
        <f t="shared" si="14"/>
        <v>1567.1879999999999</v>
      </c>
      <c r="BH67" s="26"/>
      <c r="BI67" s="26"/>
    </row>
    <row r="68" spans="3:61" x14ac:dyDescent="0.35">
      <c r="C68" s="549" t="s">
        <v>969</v>
      </c>
      <c r="D68" s="549" t="s">
        <v>981</v>
      </c>
      <c r="E68" s="4367"/>
      <c r="F68" s="549"/>
      <c r="G68" s="576">
        <f>SUMIF('Value added steel '!$D$55:$D$78,'Special steel '!$D68,'Value added steel '!$G$55:$G$78)</f>
        <v>13156</v>
      </c>
      <c r="H68" s="575"/>
      <c r="I68" s="576">
        <f>SUMIF('Value added steel '!$D$55:$D$78,'Special steel '!$D68,'Value added steel '!$I$55:$I$78)</f>
        <v>13247</v>
      </c>
      <c r="J68" s="622"/>
      <c r="K68" s="620">
        <f t="shared" si="53"/>
        <v>26403</v>
      </c>
      <c r="L68" s="575"/>
      <c r="M68" s="576">
        <f>SUMIF('Value added steel '!$D$55:$D$78,'Special steel '!$D68,'Value added steel '!$M$55:$M$78)</f>
        <v>15189</v>
      </c>
      <c r="N68" s="627"/>
      <c r="O68" s="625">
        <f t="shared" si="54"/>
        <v>41592</v>
      </c>
      <c r="P68" s="575"/>
      <c r="Q68" s="576">
        <f>SUMIF('Value added steel '!$D$55:$D$78,'Special steel '!$D68,'Value added steel '!$Q$55:$Q$78)</f>
        <v>17017</v>
      </c>
      <c r="R68" s="627"/>
      <c r="S68" s="625">
        <f t="shared" si="30"/>
        <v>58609</v>
      </c>
      <c r="T68" s="575"/>
      <c r="U68" s="576">
        <f>SUMIF('Value added steel '!$D$55:$D$78,'Special steel '!$D68,'Value added steel '!$U$55:$U$78)</f>
        <v>14747.263999999999</v>
      </c>
      <c r="V68" s="627"/>
      <c r="W68" s="625">
        <f t="shared" si="95"/>
        <v>73356.263999999996</v>
      </c>
      <c r="X68" s="625"/>
      <c r="Y68" s="576">
        <f>SUMIF('Value added steel '!$D$55:$D$78,'Special steel '!$D68,'Value added steel '!$Y$55:$Y$78)</f>
        <v>10684</v>
      </c>
      <c r="Z68" s="627"/>
      <c r="AA68" s="2151">
        <f t="shared" ref="AA68" si="113">Q68+U68+Y68</f>
        <v>42448.263999999996</v>
      </c>
      <c r="AB68" s="2193"/>
      <c r="AC68" s="1156">
        <f t="shared" si="52"/>
        <v>84040.263999999996</v>
      </c>
      <c r="AD68" s="625"/>
      <c r="AE68" s="576">
        <f>SUMIF('Value added steel '!$D$55:$D$78,'Special steel '!$D68,'Value added steel '!$AE$55:$AE$78)</f>
        <v>14218</v>
      </c>
      <c r="AF68" s="627"/>
      <c r="AG68" s="625">
        <f t="shared" si="96"/>
        <v>98258.263999999996</v>
      </c>
      <c r="AH68" s="625"/>
      <c r="AI68" s="576">
        <f>SUMIF('Value added steel '!$D$55:$D$78,'Special steel '!$D68,'Value added steel '!$AI$55:$AI$78)</f>
        <v>14613.73</v>
      </c>
      <c r="AJ68" s="627"/>
      <c r="AK68" s="620">
        <f t="shared" si="97"/>
        <v>112871.99399999999</v>
      </c>
      <c r="AL68" s="625"/>
      <c r="AM68" s="576">
        <f>SUMIF('Value added steel '!$D$55:$D$78,'Special steel '!$D68,'Value added steel '!$AM$55:$AM$78)</f>
        <v>19136</v>
      </c>
      <c r="AN68" s="627"/>
      <c r="AO68" s="2151">
        <f t="shared" si="103"/>
        <v>47967.729999999996</v>
      </c>
      <c r="AP68" s="627"/>
      <c r="AQ68" s="620">
        <f t="shared" si="98"/>
        <v>132007.99400000001</v>
      </c>
      <c r="AR68" s="625"/>
      <c r="AS68" s="576">
        <f>SUMIF('Value added steel '!$D$55:$D$78,'Special steel '!$D68,'Value added steel '!$AS$55:$AS$78)</f>
        <v>5141</v>
      </c>
      <c r="AT68" s="627"/>
      <c r="AU68" s="620">
        <f t="shared" si="99"/>
        <v>137148.99400000001</v>
      </c>
      <c r="AV68" s="625"/>
      <c r="AW68" s="576">
        <f>SUMIF('Value added steel '!$D$55:$D$78,'Special steel '!$D68,'Value added steel '!$AW$55:$AW$78)</f>
        <v>0</v>
      </c>
      <c r="AX68" s="627"/>
      <c r="AY68" s="620">
        <f t="shared" si="100"/>
        <v>137148.99400000001</v>
      </c>
      <c r="AZ68" s="625"/>
      <c r="BA68" s="576">
        <f>SUMIF('Value added steel '!$D$55:$D$78,'Special steel '!$D68,'Value added steel '!$BA$55:$BA$78)</f>
        <v>10972.29</v>
      </c>
      <c r="BB68" s="627"/>
      <c r="BC68" s="2151">
        <f t="shared" si="104"/>
        <v>16113.29</v>
      </c>
      <c r="BD68" s="2193"/>
      <c r="BE68" s="1156">
        <f t="shared" si="13"/>
        <v>64081.02</v>
      </c>
      <c r="BF68" s="627"/>
      <c r="BG68" s="620">
        <f t="shared" si="14"/>
        <v>148121.28400000001</v>
      </c>
      <c r="BH68" s="26"/>
      <c r="BI68" s="26"/>
    </row>
    <row r="69" spans="3:61" x14ac:dyDescent="0.35">
      <c r="C69" s="6569" t="s">
        <v>1031</v>
      </c>
      <c r="D69" s="6569"/>
      <c r="E69" s="4367"/>
      <c r="F69" s="629"/>
      <c r="G69" s="630">
        <f>SUM(G52:G68)</f>
        <v>15006</v>
      </c>
      <c r="H69" s="630"/>
      <c r="I69" s="630">
        <f>SUM(I52:I68)</f>
        <v>14689.4</v>
      </c>
      <c r="J69" s="630"/>
      <c r="K69" s="631">
        <f>SUM(K52:K68)</f>
        <v>29695.4</v>
      </c>
      <c r="L69" s="630"/>
      <c r="M69" s="630">
        <f>SUM(M52:M68)</f>
        <v>20567</v>
      </c>
      <c r="N69" s="630"/>
      <c r="O69" s="630">
        <f>SUM(O52:O68)</f>
        <v>50262.400000000001</v>
      </c>
      <c r="P69" s="630"/>
      <c r="Q69" s="630">
        <f>SUM(Q52:Q68)</f>
        <v>17716</v>
      </c>
      <c r="R69" s="630"/>
      <c r="S69" s="630">
        <f>SUM(S52:S68)</f>
        <v>67978.399999999994</v>
      </c>
      <c r="T69" s="630"/>
      <c r="U69" s="630">
        <f>SUM(U52:U68)</f>
        <v>15212.343999999999</v>
      </c>
      <c r="V69" s="630"/>
      <c r="W69" s="630">
        <f>SUM(W52:W68)</f>
        <v>80563.70199999999</v>
      </c>
      <c r="X69" s="630"/>
      <c r="Y69" s="630">
        <f>SUM(Y52:Y68)</f>
        <v>13250</v>
      </c>
      <c r="Z69" s="630"/>
      <c r="AA69" s="2152">
        <f>SUM(AA52:AA68)</f>
        <v>46178.343999999997</v>
      </c>
      <c r="AB69" s="2193"/>
      <c r="AC69" s="2152">
        <f t="shared" si="52"/>
        <v>96440.744000000006</v>
      </c>
      <c r="AD69" s="630"/>
      <c r="AE69" s="630">
        <f>SUM(AE52:AE68)</f>
        <v>21376</v>
      </c>
      <c r="AF69" s="630"/>
      <c r="AG69" s="630">
        <f>SUM(AG52:AG68)</f>
        <v>117816.74399999999</v>
      </c>
      <c r="AH69" s="630"/>
      <c r="AI69" s="630">
        <f>SUM(AI52:AI68)</f>
        <v>19188.347999999998</v>
      </c>
      <c r="AJ69" s="630"/>
      <c r="AK69" s="630">
        <f>SUM(AK52:AK68)</f>
        <v>137005.092</v>
      </c>
      <c r="AL69" s="630"/>
      <c r="AM69" s="630">
        <f>SUM(AM52:AM68)</f>
        <v>23945</v>
      </c>
      <c r="AN69" s="630"/>
      <c r="AO69" s="2152">
        <f>SUM(AO52:AO68)</f>
        <v>64509.347999999998</v>
      </c>
      <c r="AP69" s="630"/>
      <c r="AQ69" s="630">
        <f>SUM(AQ52:AQ68)</f>
        <v>160950.092</v>
      </c>
      <c r="AR69" s="630"/>
      <c r="AS69" s="630">
        <f>SUM(AS52:AS68)</f>
        <v>10812</v>
      </c>
      <c r="AT69" s="630"/>
      <c r="AU69" s="630">
        <f>SUM(AU52:AU68)</f>
        <v>171762.092</v>
      </c>
      <c r="AV69" s="625"/>
      <c r="AW69" s="630">
        <f>SUM(AW52:AW68)</f>
        <v>1894.2660000000001</v>
      </c>
      <c r="AX69" s="630"/>
      <c r="AY69" s="630">
        <f>SUM(AY52:AY68)</f>
        <v>173656.35800000001</v>
      </c>
      <c r="AZ69" s="625"/>
      <c r="BA69" s="630">
        <f>SUM(BA52:BA68)</f>
        <v>15906.736000000001</v>
      </c>
      <c r="BB69" s="627"/>
      <c r="BC69" s="2152">
        <f>SUM(BC52:BC68)</f>
        <v>28613.002</v>
      </c>
      <c r="BD69" s="2193"/>
      <c r="BE69" s="2152">
        <f>AO69+BC69</f>
        <v>93122.35</v>
      </c>
      <c r="BF69" s="627"/>
      <c r="BG69" s="630">
        <f>SUM(BG52:BG68)</f>
        <v>189563.09400000001</v>
      </c>
      <c r="BH69" s="26"/>
      <c r="BI69" s="26"/>
    </row>
    <row r="70" spans="3:61" x14ac:dyDescent="0.35">
      <c r="C70" s="549" t="s">
        <v>970</v>
      </c>
      <c r="D70" s="549" t="s">
        <v>1576</v>
      </c>
      <c r="E70" s="4367"/>
      <c r="F70" s="549"/>
      <c r="G70" s="550">
        <f>SUMIF('Value added steel '!$D$80:$D$92,$D70,'Value added steel '!$G$80:$G$92)</f>
        <v>0</v>
      </c>
      <c r="H70" s="1076"/>
      <c r="I70" s="550">
        <f>SUMIF('Value added steel '!$D$80:$D$92,$D70,'Value added steel '!$I$80:$I$92)</f>
        <v>0</v>
      </c>
      <c r="J70" s="622"/>
      <c r="K70" s="620">
        <f t="shared" si="53"/>
        <v>0</v>
      </c>
      <c r="L70" s="1076"/>
      <c r="M70" s="550">
        <f>SUMIF('Value added steel '!$D$80:$D$92,$D70,'Value added steel '!$M$80:$M$92)</f>
        <v>0</v>
      </c>
      <c r="N70" s="627"/>
      <c r="O70" s="625">
        <f t="shared" si="54"/>
        <v>0</v>
      </c>
      <c r="P70" s="1076"/>
      <c r="Q70" s="550">
        <f>SUMIF('Value added steel '!$D$80:$D$92,$D70,'Value added steel '!$Q$80:$Q$92)</f>
        <v>0</v>
      </c>
      <c r="R70" s="627"/>
      <c r="S70" s="625">
        <f t="shared" ref="S70:S74" si="114">O70+Q70</f>
        <v>0</v>
      </c>
      <c r="T70" s="1076"/>
      <c r="U70" s="550">
        <f>SUMIF('Value added steel '!$D$80:$D$92,$D70,'Value added steel '!$U$80:$U$92)</f>
        <v>0</v>
      </c>
      <c r="V70" s="627"/>
      <c r="W70" s="625"/>
      <c r="X70" s="625"/>
      <c r="Y70" s="550">
        <f>SUMIF('Value added steel '!$D$80:$D$92,$D70,'Value added steel '!$Y$80:$Y$92)</f>
        <v>0</v>
      </c>
      <c r="Z70" s="627"/>
      <c r="AA70" s="2151">
        <f t="shared" ref="AA70:AA75" si="115">Q70+U70+Y70</f>
        <v>0</v>
      </c>
      <c r="AB70" s="2193"/>
      <c r="AC70" s="1156">
        <f t="shared" si="52"/>
        <v>0</v>
      </c>
      <c r="AD70" s="625"/>
      <c r="AE70" s="550">
        <f>SUMIF('Value added steel '!$D$80:$D$92,$D70,'Value added steel '!$AE$80:$AE$92)</f>
        <v>0</v>
      </c>
      <c r="AF70" s="627"/>
      <c r="AG70" s="625">
        <f t="shared" ref="AG70:AG75" si="116">+Y70+AA70+AE70</f>
        <v>0</v>
      </c>
      <c r="AH70" s="625"/>
      <c r="AI70" s="550">
        <f>SUMIF('Value added steel '!$D$80:$D$92,$D70,'Value added steel '!$AI$80:$AI$92)</f>
        <v>0</v>
      </c>
      <c r="AJ70" s="627"/>
      <c r="AK70" s="620">
        <f t="shared" ref="AK70:AK75" si="117">+AC70+AE70+AI70</f>
        <v>0</v>
      </c>
      <c r="AL70" s="625"/>
      <c r="AM70" s="550">
        <f>SUMIF('Value added steel '!$D$80:$D$92,$D70,'Value added steel '!$AM$80:$AM$92)</f>
        <v>0</v>
      </c>
      <c r="AN70" s="627"/>
      <c r="AO70" s="2151">
        <f t="shared" ref="AO70:AO75" si="118">AE70+AI70+AM70</f>
        <v>0</v>
      </c>
      <c r="AP70" s="627"/>
      <c r="AQ70" s="620">
        <f t="shared" ref="AQ70:AQ75" si="119">+AG70+AI70+AM70</f>
        <v>0</v>
      </c>
      <c r="AR70" s="625"/>
      <c r="AS70" s="550">
        <f>SUMIF('Value added steel '!$D$80:$D$92,$D70,'Value added steel '!$AS$80:$AS$92)</f>
        <v>1882</v>
      </c>
      <c r="AT70" s="627"/>
      <c r="AU70" s="620">
        <f t="shared" ref="AU70:AU77" si="120">AQ70+AS70</f>
        <v>1882</v>
      </c>
      <c r="AV70" s="630"/>
      <c r="AW70" s="550">
        <f>SUMIF('Value added steel '!$D$80:$D$92,$D70,'Value added steel '!$AW$80:$AW$92)</f>
        <v>1221.2460000000001</v>
      </c>
      <c r="AX70" s="627"/>
      <c r="AY70" s="620">
        <f t="shared" ref="AY70:AY75" si="121">AU70+AW70</f>
        <v>3103.2460000000001</v>
      </c>
      <c r="AZ70" s="630"/>
      <c r="BA70" s="550">
        <f>SUMIF('Value added steel '!$D$80:$D$92,$D70,'Value added steel '!$BA$80:$BA$92)</f>
        <v>0</v>
      </c>
      <c r="BB70" s="632"/>
      <c r="BC70" s="2151">
        <f t="shared" ref="BC70:BC75" si="122">AS70+AW70+BA70</f>
        <v>3103.2460000000001</v>
      </c>
      <c r="BD70" s="2193"/>
      <c r="BE70" s="1156">
        <f>AO70+BC70</f>
        <v>3103.2460000000001</v>
      </c>
      <c r="BF70" s="632"/>
      <c r="BG70" s="620">
        <f t="shared" si="14"/>
        <v>3103.2460000000001</v>
      </c>
      <c r="BH70" s="26"/>
      <c r="BI70" s="26"/>
    </row>
    <row r="71" spans="3:61" x14ac:dyDescent="0.35">
      <c r="C71" s="549" t="s">
        <v>970</v>
      </c>
      <c r="D71" s="5378" t="s">
        <v>2280</v>
      </c>
      <c r="E71" s="4367"/>
      <c r="F71" s="5378"/>
      <c r="G71" s="5379"/>
      <c r="H71" s="5380"/>
      <c r="I71" s="5379"/>
      <c r="J71" s="5381"/>
      <c r="K71" s="5382"/>
      <c r="L71" s="5380"/>
      <c r="M71" s="5379"/>
      <c r="N71" s="5383"/>
      <c r="O71" s="5384"/>
      <c r="P71" s="5380"/>
      <c r="Q71" s="5379"/>
      <c r="R71" s="5383"/>
      <c r="S71" s="5384"/>
      <c r="T71" s="5380"/>
      <c r="U71" s="5379"/>
      <c r="V71" s="5383"/>
      <c r="W71" s="5384"/>
      <c r="X71" s="5384"/>
      <c r="Y71" s="5379"/>
      <c r="Z71" s="5383"/>
      <c r="AA71" s="5385"/>
      <c r="AB71" s="5386"/>
      <c r="AC71" s="5387"/>
      <c r="AD71" s="5384"/>
      <c r="AE71" s="5379"/>
      <c r="AF71" s="5383"/>
      <c r="AG71" s="5384"/>
      <c r="AH71" s="5384"/>
      <c r="AI71" s="5379"/>
      <c r="AJ71" s="5383"/>
      <c r="AK71" s="5382"/>
      <c r="AL71" s="5384"/>
      <c r="AM71" s="5379"/>
      <c r="AN71" s="5383"/>
      <c r="AO71" s="5385"/>
      <c r="AP71" s="5383"/>
      <c r="AQ71" s="5382"/>
      <c r="AR71" s="5384"/>
      <c r="AS71" s="550">
        <f>SUMIF('Value added steel '!$D$80:$D$92,$D71,'Value added steel '!$AS$80:$AS$92)</f>
        <v>1655</v>
      </c>
      <c r="AT71" s="5383"/>
      <c r="AU71" s="620">
        <f t="shared" si="120"/>
        <v>1655</v>
      </c>
      <c r="AV71" s="5388"/>
      <c r="AW71" s="550">
        <f>SUMIF('Value added steel '!$D$80:$D$92,$D71,'Value added steel '!$AW$80:$AW$92)</f>
        <v>0</v>
      </c>
      <c r="AX71" s="5383"/>
      <c r="AY71" s="620">
        <f t="shared" si="121"/>
        <v>1655</v>
      </c>
      <c r="AZ71" s="5388"/>
      <c r="BA71" s="550">
        <f>SUMIF('Value added steel '!$D$80:$D$92,$D71,'Value added steel '!$BA$80:$BA$92)</f>
        <v>2258.1779999999999</v>
      </c>
      <c r="BB71" s="5389"/>
      <c r="BC71" s="2151">
        <f t="shared" si="122"/>
        <v>3913.1779999999999</v>
      </c>
      <c r="BD71" s="5386"/>
      <c r="BE71" s="1156">
        <f>AO71+BC71</f>
        <v>3913.1779999999999</v>
      </c>
      <c r="BF71" s="5389"/>
      <c r="BG71" s="620">
        <f t="shared" si="14"/>
        <v>3913.1779999999999</v>
      </c>
      <c r="BH71" s="26"/>
      <c r="BI71" s="26"/>
    </row>
    <row r="72" spans="3:61" x14ac:dyDescent="0.35">
      <c r="C72" s="549" t="s">
        <v>970</v>
      </c>
      <c r="D72" s="549" t="s">
        <v>675</v>
      </c>
      <c r="E72" s="4367"/>
      <c r="F72" s="549"/>
      <c r="G72" s="550">
        <f>SUMIF('Value added steel '!$D$80:$D$92,$D72,'Value added steel '!$G$80:$G$92)</f>
        <v>0</v>
      </c>
      <c r="H72" s="1076"/>
      <c r="I72" s="550">
        <f>SUMIF('Value added steel '!$D$80:$D$92,$D72,'Value added steel '!$I$80:$I$92)</f>
        <v>2204</v>
      </c>
      <c r="J72" s="622"/>
      <c r="K72" s="620">
        <f t="shared" si="53"/>
        <v>2204</v>
      </c>
      <c r="L72" s="1076"/>
      <c r="M72" s="550">
        <f>SUMIF('Value added steel '!$D$80:$D$92,$D72,'Value added steel '!$M$80:$M$92)</f>
        <v>0</v>
      </c>
      <c r="N72" s="627"/>
      <c r="O72" s="625">
        <f t="shared" si="54"/>
        <v>2204</v>
      </c>
      <c r="P72" s="1076"/>
      <c r="Q72" s="550">
        <f>SUMIF('Value added steel '!$D$80:$D$92,$D72,'Value added steel '!$Q$80:$Q$92)</f>
        <v>0</v>
      </c>
      <c r="R72" s="627"/>
      <c r="S72" s="625">
        <f t="shared" si="114"/>
        <v>2204</v>
      </c>
      <c r="T72" s="1076"/>
      <c r="U72" s="550">
        <f>SUMIF('Value added steel '!$D$80:$D$92,$D72,'Value added steel '!$U$80:$U$92)</f>
        <v>5899.3739999999998</v>
      </c>
      <c r="V72" s="627"/>
      <c r="W72" s="625">
        <f t="shared" ref="W72:W74" si="123">S72+U72</f>
        <v>8103.3739999999998</v>
      </c>
      <c r="X72" s="625"/>
      <c r="Y72" s="550">
        <f>SUMIF('Value added steel '!$D$80:$D$92,$D72,'Value added steel '!$Y$80:$Y$92)</f>
        <v>0</v>
      </c>
      <c r="Z72" s="627"/>
      <c r="AA72" s="2151">
        <f t="shared" si="115"/>
        <v>5899.3739999999998</v>
      </c>
      <c r="AB72" s="2193"/>
      <c r="AC72" s="1156">
        <f t="shared" si="52"/>
        <v>8103.3739999999998</v>
      </c>
      <c r="AD72" s="625"/>
      <c r="AE72" s="550">
        <f>SUMIF('Value added steel '!$D$80:$D$92,$D72,'Value added steel '!$AE$80:$AE$92)</f>
        <v>9050</v>
      </c>
      <c r="AF72" s="627"/>
      <c r="AG72" s="625">
        <f t="shared" si="116"/>
        <v>14949.374</v>
      </c>
      <c r="AH72" s="625"/>
      <c r="AI72" s="550">
        <f>SUMIF('Value added steel '!$D$80:$D$92,$D72,'Value added steel '!$AI$80:$AI$92)</f>
        <v>0</v>
      </c>
      <c r="AJ72" s="627"/>
      <c r="AK72" s="620">
        <f t="shared" si="117"/>
        <v>17153.374</v>
      </c>
      <c r="AL72" s="625"/>
      <c r="AM72" s="550">
        <f>SUMIF('Value added steel '!$D$80:$D$92,$D72,'Value added steel '!$AM$80:$AM$92)</f>
        <v>0</v>
      </c>
      <c r="AN72" s="627"/>
      <c r="AO72" s="2151">
        <f t="shared" si="118"/>
        <v>9050</v>
      </c>
      <c r="AP72" s="627"/>
      <c r="AQ72" s="620">
        <f t="shared" si="119"/>
        <v>14949.374</v>
      </c>
      <c r="AR72" s="625"/>
      <c r="AS72" s="550">
        <f>SUMIF('Value added steel '!$D$80:$D$92,$D72,'Value added steel '!$AS$80:$AS$92)</f>
        <v>0</v>
      </c>
      <c r="AT72" s="627"/>
      <c r="AU72" s="620">
        <f t="shared" si="120"/>
        <v>14949.374</v>
      </c>
      <c r="AV72" s="626"/>
      <c r="AW72" s="550">
        <f>SUMIF('Value added steel '!$D$80:$D$92,$D72,'Value added steel '!$AW$80:$AW$92)</f>
        <v>0</v>
      </c>
      <c r="AX72" s="627"/>
      <c r="AY72" s="620">
        <f t="shared" si="121"/>
        <v>14949.374</v>
      </c>
      <c r="AZ72" s="626"/>
      <c r="BA72" s="550">
        <f>SUMIF('Value added steel '!$D$80:$D$92,$D72,'Value added steel '!$BA$80:$BA$92)</f>
        <v>0</v>
      </c>
      <c r="BB72" s="626"/>
      <c r="BC72" s="2151">
        <f t="shared" si="122"/>
        <v>0</v>
      </c>
      <c r="BD72" s="2193"/>
      <c r="BE72" s="1156">
        <f t="shared" ref="BE72:BE75" si="124">AO72+BC72</f>
        <v>9050</v>
      </c>
      <c r="BF72" s="626"/>
      <c r="BG72" s="620">
        <f t="shared" ref="BG72:BG75" si="125">AY72+BA72</f>
        <v>14949.374</v>
      </c>
      <c r="BH72" s="26"/>
      <c r="BI72" s="26"/>
    </row>
    <row r="73" spans="3:61" x14ac:dyDescent="0.35">
      <c r="C73" s="549" t="s">
        <v>970</v>
      </c>
      <c r="D73" s="549" t="s">
        <v>1111</v>
      </c>
      <c r="E73" s="4367"/>
      <c r="F73" s="549"/>
      <c r="G73" s="550">
        <f>SUMIF('Value added steel '!$D$80:$D$92,$D73,'Value added steel '!$G$80:$G$92)</f>
        <v>0</v>
      </c>
      <c r="H73" s="1076"/>
      <c r="I73" s="550">
        <f>SUMIF('Value added steel '!$D$80:$D$92,$D73,'Value added steel '!$I$80:$I$92)</f>
        <v>0</v>
      </c>
      <c r="J73" s="622"/>
      <c r="K73" s="620">
        <f t="shared" si="53"/>
        <v>0</v>
      </c>
      <c r="L73" s="1076"/>
      <c r="M73" s="550">
        <f>SUMIF('Value added steel '!$D$80:$D$92,$D73,'Value added steel '!$M$80:$M$92)</f>
        <v>0</v>
      </c>
      <c r="N73" s="627"/>
      <c r="O73" s="625">
        <f t="shared" si="54"/>
        <v>0</v>
      </c>
      <c r="P73" s="1076"/>
      <c r="Q73" s="550">
        <f>SUMIF('Value added steel '!$D$80:$D$92,$D73,'Value added steel '!$Q$80:$Q$92)</f>
        <v>0</v>
      </c>
      <c r="R73" s="627"/>
      <c r="S73" s="625">
        <f t="shared" si="114"/>
        <v>0</v>
      </c>
      <c r="T73" s="1076"/>
      <c r="U73" s="550">
        <f>SUMIF('Value added steel '!$D$80:$D$92,$D73,'Value added steel '!$U$80:$U$92)</f>
        <v>0</v>
      </c>
      <c r="V73" s="627"/>
      <c r="W73" s="625">
        <f t="shared" si="123"/>
        <v>0</v>
      </c>
      <c r="X73" s="625"/>
      <c r="Y73" s="550">
        <f>SUMIF('Value added steel '!$D$80:$D$92,$D73,'Value added steel '!$Y$80:$Y$92)</f>
        <v>0</v>
      </c>
      <c r="Z73" s="627"/>
      <c r="AA73" s="2151">
        <f t="shared" si="115"/>
        <v>0</v>
      </c>
      <c r="AB73" s="2193"/>
      <c r="AC73" s="1156">
        <f t="shared" si="52"/>
        <v>0</v>
      </c>
      <c r="AD73" s="625"/>
      <c r="AE73" s="550">
        <f>SUMIF('Value added steel '!$D$80:$D$92,$D73,'Value added steel '!$AE$80:$AE$92)</f>
        <v>0</v>
      </c>
      <c r="AF73" s="627"/>
      <c r="AG73" s="625">
        <f t="shared" si="116"/>
        <v>0</v>
      </c>
      <c r="AH73" s="625"/>
      <c r="AI73" s="550">
        <f>SUMIF('Value added steel '!$D$80:$D$92,$D73,'Value added steel '!$AI$80:$AI$92)</f>
        <v>0</v>
      </c>
      <c r="AJ73" s="627"/>
      <c r="AK73" s="620">
        <f t="shared" si="117"/>
        <v>0</v>
      </c>
      <c r="AL73" s="625"/>
      <c r="AM73" s="550">
        <f>SUMIF('Value added steel '!$D$80:$D$92,$D73,'Value added steel '!$AM$80:$AM$92)</f>
        <v>0</v>
      </c>
      <c r="AN73" s="627"/>
      <c r="AO73" s="2151">
        <f t="shared" si="118"/>
        <v>0</v>
      </c>
      <c r="AP73" s="627"/>
      <c r="AQ73" s="620">
        <f t="shared" si="119"/>
        <v>0</v>
      </c>
      <c r="AR73" s="625"/>
      <c r="AS73" s="550">
        <f>SUMIF('Value added steel '!$D$80:$D$92,$D73,'Value added steel '!$AS$80:$AS$92)</f>
        <v>0</v>
      </c>
      <c r="AT73" s="627"/>
      <c r="AU73" s="620">
        <f t="shared" si="120"/>
        <v>0</v>
      </c>
      <c r="AV73" s="694"/>
      <c r="AW73" s="550">
        <f>SUMIF('Value added steel '!$D$80:$D$92,$D73,'Value added steel '!$AW$80:$AW$92)</f>
        <v>0</v>
      </c>
      <c r="AX73" s="627"/>
      <c r="AY73" s="620">
        <f t="shared" si="121"/>
        <v>0</v>
      </c>
      <c r="AZ73" s="694"/>
      <c r="BA73" s="550">
        <f>SUMIF('Value added steel '!$D$80:$D$92,$D73,'Value added steel '!$BA$80:$BA$92)</f>
        <v>0</v>
      </c>
      <c r="BB73" s="694"/>
      <c r="BC73" s="2151">
        <f t="shared" si="122"/>
        <v>0</v>
      </c>
      <c r="BD73" s="2193"/>
      <c r="BE73" s="1156">
        <f t="shared" si="124"/>
        <v>0</v>
      </c>
      <c r="BF73" s="694"/>
      <c r="BG73" s="620">
        <f t="shared" si="125"/>
        <v>0</v>
      </c>
      <c r="BH73" s="26"/>
      <c r="BI73" s="1202"/>
    </row>
    <row r="74" spans="3:61" s="146" customFormat="1" x14ac:dyDescent="0.35">
      <c r="C74" s="549" t="s">
        <v>970</v>
      </c>
      <c r="D74" s="549" t="s">
        <v>674</v>
      </c>
      <c r="E74" s="4367"/>
      <c r="F74" s="549"/>
      <c r="G74" s="550">
        <f>SUMIF('Value added steel '!$D$80:$D$92,$D74,'Value added steel '!$G$80:$G$92)</f>
        <v>0</v>
      </c>
      <c r="H74" s="1076"/>
      <c r="I74" s="550">
        <f>SUMIF('Value added steel '!$D$80:$D$92,$D74,'Value added steel '!$I$80:$I$92)</f>
        <v>0</v>
      </c>
      <c r="J74" s="622"/>
      <c r="K74" s="620">
        <f t="shared" si="53"/>
        <v>0</v>
      </c>
      <c r="L74" s="1076"/>
      <c r="M74" s="550">
        <f>SUMIF('Value added steel '!$D$80:$D$92,$D74,'Value added steel '!$M$80:$M$92)</f>
        <v>0</v>
      </c>
      <c r="N74" s="627"/>
      <c r="O74" s="625">
        <f t="shared" si="54"/>
        <v>0</v>
      </c>
      <c r="P74" s="1076"/>
      <c r="Q74" s="550">
        <f>SUMIF('Value added steel '!$D$80:$D$92,$D74,'Value added steel '!$Q$80:$Q$92)</f>
        <v>0</v>
      </c>
      <c r="R74" s="627"/>
      <c r="S74" s="625">
        <f t="shared" si="114"/>
        <v>0</v>
      </c>
      <c r="T74" s="1076"/>
      <c r="U74" s="550">
        <f>SUMIF('Value added steel '!$D$80:$D$92,$D74,'Value added steel '!$U$80:$U$92)</f>
        <v>0</v>
      </c>
      <c r="V74" s="627"/>
      <c r="W74" s="625">
        <f t="shared" si="123"/>
        <v>0</v>
      </c>
      <c r="X74" s="625"/>
      <c r="Y74" s="550">
        <f>SUMIF('Value added steel '!$D$80:$D$92,$D74,'Value added steel '!$Y$80:$Y$92)</f>
        <v>0</v>
      </c>
      <c r="Z74" s="627"/>
      <c r="AA74" s="2151">
        <f t="shared" si="115"/>
        <v>0</v>
      </c>
      <c r="AB74" s="2193"/>
      <c r="AC74" s="1156">
        <f t="shared" si="52"/>
        <v>0</v>
      </c>
      <c r="AD74" s="625"/>
      <c r="AE74" s="550">
        <f>SUMIF('Value added steel '!$D$80:$D$92,$D74,'Value added steel '!$AE$80:$AE$92)</f>
        <v>0</v>
      </c>
      <c r="AF74" s="627"/>
      <c r="AG74" s="625">
        <f t="shared" si="116"/>
        <v>0</v>
      </c>
      <c r="AH74" s="625"/>
      <c r="AI74" s="550">
        <f>SUMIF('Value added steel '!$D$80:$D$92,$D74,'Value added steel '!$AI$80:$AI$92)</f>
        <v>0</v>
      </c>
      <c r="AJ74" s="627"/>
      <c r="AK74" s="620">
        <f t="shared" si="117"/>
        <v>0</v>
      </c>
      <c r="AL74" s="625"/>
      <c r="AM74" s="550">
        <f>SUMIF('Value added steel '!$D$80:$D$92,$D74,'Value added steel '!$AM$80:$AM$92)</f>
        <v>0</v>
      </c>
      <c r="AN74" s="627"/>
      <c r="AO74" s="2151">
        <f t="shared" si="118"/>
        <v>0</v>
      </c>
      <c r="AP74" s="627"/>
      <c r="AQ74" s="620">
        <f t="shared" si="119"/>
        <v>0</v>
      </c>
      <c r="AR74" s="625"/>
      <c r="AS74" s="550">
        <f>SUMIF('Value added steel '!$D$80:$D$92,$D74,'Value added steel '!$AS$80:$AS$92)</f>
        <v>0</v>
      </c>
      <c r="AT74" s="627"/>
      <c r="AU74" s="620">
        <f t="shared" si="120"/>
        <v>0</v>
      </c>
      <c r="AW74" s="550">
        <f>SUMIF('Value added steel '!$D$80:$D$92,$D74,'Value added steel '!$AW$80:$AW$92)</f>
        <v>0</v>
      </c>
      <c r="AX74" s="627"/>
      <c r="AY74" s="620">
        <f t="shared" si="121"/>
        <v>0</v>
      </c>
      <c r="BA74" s="550">
        <f>SUMIF('Value added steel '!$D$80:$D$92,$D74,'Value added steel '!$BA$80:$BA$92)</f>
        <v>0</v>
      </c>
      <c r="BC74" s="2151">
        <f t="shared" si="122"/>
        <v>0</v>
      </c>
      <c r="BE74" s="1156">
        <f t="shared" si="124"/>
        <v>0</v>
      </c>
      <c r="BG74" s="620">
        <f t="shared" si="125"/>
        <v>0</v>
      </c>
      <c r="BH74" s="26"/>
      <c r="BI74" s="26"/>
    </row>
    <row r="75" spans="3:61" x14ac:dyDescent="0.35">
      <c r="C75" s="549" t="s">
        <v>970</v>
      </c>
      <c r="D75" s="549" t="s">
        <v>1069</v>
      </c>
      <c r="E75" s="4367"/>
      <c r="F75" s="549"/>
      <c r="G75" s="550">
        <f>SUMIF('Value added steel '!$D$80:$D$92,$D75,'Value added steel '!$G$80:$G$92)</f>
        <v>0</v>
      </c>
      <c r="H75" s="1076"/>
      <c r="I75" s="550">
        <f>SUMIF('Value added steel '!$D$80:$D$92,$D75,'Value added steel '!$I$80:$I$92)</f>
        <v>0</v>
      </c>
      <c r="J75" s="622"/>
      <c r="K75" s="620">
        <f t="shared" si="53"/>
        <v>0</v>
      </c>
      <c r="L75" s="1076"/>
      <c r="M75" s="550">
        <f>SUMIF('Value added steel '!$D$80:$D$92,$D75,'Value added steel '!$M$80:$M$92)</f>
        <v>0</v>
      </c>
      <c r="N75" s="627"/>
      <c r="O75" s="625">
        <f t="shared" si="54"/>
        <v>0</v>
      </c>
      <c r="P75" s="1076"/>
      <c r="Q75" s="550">
        <f>SUMIF('Value added steel '!$D$80:$D$92,$D75,'Value added steel '!$Q$80:$Q$92)</f>
        <v>0</v>
      </c>
      <c r="R75" s="627"/>
      <c r="S75" s="625">
        <f t="shared" ref="S75" si="126">+K75+M75+Q75</f>
        <v>0</v>
      </c>
      <c r="T75" s="1076"/>
      <c r="U75" s="550">
        <f>SUMIF('Value added steel '!$D$80:$D$92,$D75,'Value added steel '!$U$80:$U$92)</f>
        <v>0</v>
      </c>
      <c r="V75" s="627"/>
      <c r="W75" s="625">
        <f t="shared" ref="W75" si="127">+O75+Q75+U75</f>
        <v>0</v>
      </c>
      <c r="X75" s="625"/>
      <c r="Y75" s="550">
        <f>SUMIF('Value added steel '!$D$80:$D$92,$D75,'Value added steel '!$Y$80:$Y$92)</f>
        <v>0</v>
      </c>
      <c r="Z75" s="627"/>
      <c r="AA75" s="2151">
        <f t="shared" si="115"/>
        <v>0</v>
      </c>
      <c r="AB75" s="2193"/>
      <c r="AC75" s="1156">
        <f t="shared" si="52"/>
        <v>0</v>
      </c>
      <c r="AD75" s="625"/>
      <c r="AE75" s="550">
        <f>SUMIF('Value added steel '!$D$80:$D$92,$D75,'Value added steel '!$AE$80:$AE$92)</f>
        <v>0</v>
      </c>
      <c r="AF75" s="627"/>
      <c r="AG75" s="625">
        <f t="shared" si="116"/>
        <v>0</v>
      </c>
      <c r="AH75" s="625"/>
      <c r="AI75" s="550">
        <f>SUMIF('Value added steel '!$D$80:$D$92,$D75,'Value added steel '!$AI$80:$AI$92)</f>
        <v>0</v>
      </c>
      <c r="AJ75" s="627"/>
      <c r="AK75" s="620">
        <f t="shared" si="117"/>
        <v>0</v>
      </c>
      <c r="AL75" s="625"/>
      <c r="AM75" s="550">
        <f>SUMIF('Value added steel '!$D$80:$D$92,$D75,'Value added steel '!$AM$80:$AM$92)</f>
        <v>0</v>
      </c>
      <c r="AN75" s="627"/>
      <c r="AO75" s="2151">
        <f t="shared" si="118"/>
        <v>0</v>
      </c>
      <c r="AP75" s="627"/>
      <c r="AQ75" s="620">
        <f t="shared" si="119"/>
        <v>0</v>
      </c>
      <c r="AR75" s="625"/>
      <c r="AS75" s="550">
        <f>SUMIF('Value added steel '!$D$80:$D$92,$D75,'Value added steel '!$AS$80:$AS$92)</f>
        <v>0</v>
      </c>
      <c r="AT75" s="627"/>
      <c r="AU75" s="620">
        <f t="shared" si="120"/>
        <v>0</v>
      </c>
      <c r="AW75" s="550">
        <f>SUMIF('Value added steel '!$D$80:$D$92,$D75,'Value added steel '!$AW$80:$AW$92)</f>
        <v>0</v>
      </c>
      <c r="AX75" s="627"/>
      <c r="AY75" s="620">
        <f t="shared" si="121"/>
        <v>0</v>
      </c>
      <c r="BA75" s="550">
        <f>SUMIF('Value added steel '!$D$80:$D$92,$D75,'Value added steel '!$BA$80:$BA$92)</f>
        <v>0</v>
      </c>
      <c r="BC75" s="2151">
        <f t="shared" si="122"/>
        <v>0</v>
      </c>
      <c r="BE75" s="1156">
        <f t="shared" si="124"/>
        <v>0</v>
      </c>
      <c r="BG75" s="620">
        <f t="shared" si="125"/>
        <v>0</v>
      </c>
      <c r="BH75" s="26"/>
    </row>
    <row r="76" spans="3:61" x14ac:dyDescent="0.35">
      <c r="C76" s="6569" t="s">
        <v>1032</v>
      </c>
      <c r="D76" s="6569"/>
      <c r="E76" s="4367"/>
      <c r="F76" s="629"/>
      <c r="G76" s="630">
        <f>SUM(G70:G75)</f>
        <v>0</v>
      </c>
      <c r="H76" s="632"/>
      <c r="I76" s="630">
        <f>SUM(I70:I75)</f>
        <v>2204</v>
      </c>
      <c r="J76" s="632"/>
      <c r="K76" s="631">
        <f>SUM(K70:K75)</f>
        <v>2204</v>
      </c>
      <c r="L76" s="632"/>
      <c r="M76" s="630">
        <f>SUM(M70:M75)</f>
        <v>0</v>
      </c>
      <c r="N76" s="632"/>
      <c r="O76" s="630">
        <f>SUM(O70:O75)</f>
        <v>2204</v>
      </c>
      <c r="P76" s="632"/>
      <c r="Q76" s="630">
        <f>SUM(Q70:Q75)</f>
        <v>0</v>
      </c>
      <c r="R76" s="632"/>
      <c r="S76" s="630">
        <f>SUM(S70:S75)</f>
        <v>2204</v>
      </c>
      <c r="T76" s="632"/>
      <c r="U76" s="630">
        <f>SUM(U70:U75)</f>
        <v>5899.3739999999998</v>
      </c>
      <c r="V76" s="632"/>
      <c r="W76" s="630">
        <f>SUM(W70:W75)</f>
        <v>8103.3739999999998</v>
      </c>
      <c r="X76" s="630"/>
      <c r="Y76" s="630">
        <f>SUM(Y70:Y75)</f>
        <v>0</v>
      </c>
      <c r="Z76" s="632"/>
      <c r="AA76" s="2152">
        <f>SUM(AA70:AA75)</f>
        <v>5899.3739999999998</v>
      </c>
      <c r="AB76" s="2193"/>
      <c r="AC76" s="2152">
        <f t="shared" si="52"/>
        <v>8103.3739999999998</v>
      </c>
      <c r="AD76" s="630"/>
      <c r="AE76" s="630">
        <f>SUM(AE70:AE75)</f>
        <v>9050</v>
      </c>
      <c r="AF76" s="632"/>
      <c r="AG76" s="630">
        <f>SUM(AG70:AG75)</f>
        <v>14949.374</v>
      </c>
      <c r="AH76" s="630"/>
      <c r="AI76" s="630">
        <f>SUM(AI70:AI75)</f>
        <v>0</v>
      </c>
      <c r="AJ76" s="632"/>
      <c r="AK76" s="630">
        <f>SUM(AK70:AK75)</f>
        <v>17153.374</v>
      </c>
      <c r="AL76" s="630"/>
      <c r="AM76" s="630">
        <f>SUM(AM70:AM75)</f>
        <v>0</v>
      </c>
      <c r="AN76" s="632"/>
      <c r="AO76" s="2152">
        <f>SUM(AO70:AO75)</f>
        <v>9050</v>
      </c>
      <c r="AP76" s="632"/>
      <c r="AQ76" s="630">
        <f>SUM(AQ70:AQ75)</f>
        <v>14949.374</v>
      </c>
      <c r="AR76" s="630"/>
      <c r="AS76" s="630">
        <f>SUM(AS70:AS75)</f>
        <v>3537</v>
      </c>
      <c r="AT76" s="632"/>
      <c r="AU76" s="630">
        <f>SUM(AU70:AU75)</f>
        <v>18486.374</v>
      </c>
      <c r="AW76" s="630">
        <f>SUM(AW70:AW75)</f>
        <v>1221.2460000000001</v>
      </c>
      <c r="AX76" s="632"/>
      <c r="AY76" s="630">
        <f>SUM(AY70:AY75)</f>
        <v>19707.62</v>
      </c>
      <c r="BA76" s="630">
        <f>SUM(BA70:BA75)</f>
        <v>2258.1779999999999</v>
      </c>
      <c r="BC76" s="2152">
        <f>SUM(BC70:BC75)</f>
        <v>7016.424</v>
      </c>
      <c r="BE76" s="2152">
        <f>AO76+BC76</f>
        <v>16066.423999999999</v>
      </c>
      <c r="BG76" s="630">
        <f>SUM(BG70:BG75)</f>
        <v>21965.797999999999</v>
      </c>
    </row>
    <row r="77" spans="3:61" x14ac:dyDescent="0.35">
      <c r="C77" s="6570" t="s">
        <v>971</v>
      </c>
      <c r="D77" s="6570"/>
      <c r="E77" s="4368"/>
      <c r="F77" s="551"/>
      <c r="G77" s="552">
        <f>+G76+G69+G51+G45+G38</f>
        <v>133322.27900000004</v>
      </c>
      <c r="H77" s="552"/>
      <c r="I77" s="552">
        <f>+I76+I69+I51+I45+I38</f>
        <v>145242.49000000005</v>
      </c>
      <c r="J77" s="621"/>
      <c r="K77" s="620">
        <f t="shared" si="53"/>
        <v>278564.76900000009</v>
      </c>
      <c r="L77" s="552"/>
      <c r="M77" s="552">
        <f>+M76+M69+M51+M45+M38</f>
        <v>150879.20300000007</v>
      </c>
      <c r="N77" s="626"/>
      <c r="O77" s="626">
        <f t="shared" si="54"/>
        <v>429443.97200000018</v>
      </c>
      <c r="P77" s="552"/>
      <c r="Q77" s="552">
        <f>+Q76+Q69+Q51+Q45+Q38</f>
        <v>166009.5210000001</v>
      </c>
      <c r="R77" s="626"/>
      <c r="S77" s="626">
        <f t="shared" ref="S77" si="128">O77+Q77</f>
        <v>595453.49300000025</v>
      </c>
      <c r="T77" s="552"/>
      <c r="U77" s="552">
        <f>+U76+U69+U51+U45+U38</f>
        <v>138740.65700000006</v>
      </c>
      <c r="V77" s="626"/>
      <c r="W77" s="626">
        <f t="shared" ref="W77" si="129">S77+U77</f>
        <v>734194.15000000037</v>
      </c>
      <c r="X77" s="626"/>
      <c r="Y77" s="552">
        <f>+Y76+Y69+Y51+Y45+Y38</f>
        <v>138987.30400000006</v>
      </c>
      <c r="Z77" s="626"/>
      <c r="AA77" s="2153">
        <f>Q77+U77+Y77</f>
        <v>443737.48200000025</v>
      </c>
      <c r="AB77" s="2193"/>
      <c r="AC77" s="2376">
        <f t="shared" si="52"/>
        <v>873181.45400000038</v>
      </c>
      <c r="AD77" s="626"/>
      <c r="AE77" s="552">
        <f>+AE76+AE69+AE51+AE45+AE38</f>
        <v>115671.62000000007</v>
      </c>
      <c r="AF77" s="626"/>
      <c r="AG77" s="626">
        <f t="shared" ref="AG77" si="130">AC77+AE77</f>
        <v>988853.07400000049</v>
      </c>
      <c r="AH77" s="626"/>
      <c r="AI77" s="552">
        <f>+AI76+AI69+AI51+AI45+AI38</f>
        <v>132178.04800000007</v>
      </c>
      <c r="AJ77" s="626"/>
      <c r="AK77" s="621">
        <f t="shared" ref="AK77" si="131">AG77+AI77</f>
        <v>1121031.1220000004</v>
      </c>
      <c r="AL77" s="626"/>
      <c r="AM77" s="552">
        <f>+AM76+AM69+AM51+AM45+AM38</f>
        <v>155219.61100000015</v>
      </c>
      <c r="AN77" s="626"/>
      <c r="AO77" s="2153">
        <f>AE77+AI77+AM77</f>
        <v>403069.27900000027</v>
      </c>
      <c r="AP77" s="626"/>
      <c r="AQ77" s="621">
        <f t="shared" ref="AQ77" si="132">AK77+AM77</f>
        <v>1276250.7330000005</v>
      </c>
      <c r="AR77" s="626"/>
      <c r="AS77" s="552">
        <f>+AS76+AS69+AS51+AS45+AS38</f>
        <v>157279.33500000014</v>
      </c>
      <c r="AT77" s="626"/>
      <c r="AU77" s="621">
        <f t="shared" si="120"/>
        <v>1433530.0680000007</v>
      </c>
      <c r="AW77" s="552">
        <f>+AW76+AW69+AW51+AW45+AW38</f>
        <v>120743.80400000012</v>
      </c>
      <c r="AX77" s="626"/>
      <c r="AY77" s="621">
        <f t="shared" ref="AY77" si="133">AU77+AW77</f>
        <v>1554273.8720000009</v>
      </c>
      <c r="BA77" s="552">
        <f>+BA76+BA69+BA51+BA45+BA38</f>
        <v>157667.08399999997</v>
      </c>
      <c r="BC77" s="2153">
        <f>AS77+AW77+BA77</f>
        <v>435690.22300000023</v>
      </c>
      <c r="BE77" s="2376">
        <f>AO77+BC77</f>
        <v>838759.50200000056</v>
      </c>
      <c r="BG77" s="620">
        <f t="shared" ref="BG77" si="134">AY77+BA77</f>
        <v>1711940.9560000009</v>
      </c>
    </row>
    <row r="78" spans="3:61" x14ac:dyDescent="0.35">
      <c r="C78" s="6566" t="s">
        <v>972</v>
      </c>
      <c r="D78" s="6566"/>
      <c r="E78" s="549" t="s">
        <v>973</v>
      </c>
      <c r="F78" s="549"/>
      <c r="G78" s="1105">
        <f>+G77/G80</f>
        <v>0.6706421218126245</v>
      </c>
      <c r="H78" s="633"/>
      <c r="I78" s="1105">
        <f>+I77/I80</f>
        <v>0.63618418432320911</v>
      </c>
      <c r="J78" s="1423"/>
      <c r="K78" s="1423">
        <f>+K77/K80</f>
        <v>0.6522229547507773</v>
      </c>
      <c r="L78" s="633"/>
      <c r="M78" s="1105">
        <f>+M77/M80</f>
        <v>0.66205869537643569</v>
      </c>
      <c r="N78" s="694"/>
      <c r="O78" s="694">
        <f>+O77/O80</f>
        <v>0.65564513029892857</v>
      </c>
      <c r="P78" s="633"/>
      <c r="Q78" s="1105">
        <f>+Q77/Q80</f>
        <v>0.68256627172892437</v>
      </c>
      <c r="R78" s="694"/>
      <c r="S78" s="694">
        <f>+S77/S80</f>
        <v>0.66293474503437688</v>
      </c>
      <c r="T78" s="633"/>
      <c r="U78" s="1105">
        <f>+U77/U80</f>
        <v>0.63344514343551783</v>
      </c>
      <c r="V78" s="694"/>
      <c r="W78" s="694">
        <f>+W77/W80</f>
        <v>0.65715352415142414</v>
      </c>
      <c r="X78" s="694"/>
      <c r="Y78" s="1105">
        <f>+Y77/Y80</f>
        <v>0.62378761357096457</v>
      </c>
      <c r="Z78" s="694"/>
      <c r="AA78" s="2154">
        <f>+AA77/AA80</f>
        <v>0.64774352356953602</v>
      </c>
      <c r="AB78" s="2193"/>
      <c r="AC78" s="2375">
        <f>AC77/AC80</f>
        <v>0.6516057120268447</v>
      </c>
      <c r="AD78" s="694"/>
      <c r="AE78" s="633">
        <f>+AE77/AE80</f>
        <v>0.65554259651827029</v>
      </c>
      <c r="AF78" s="694"/>
      <c r="AG78" s="694">
        <f>+AG77/AG80</f>
        <v>0.65206378734081039</v>
      </c>
      <c r="AH78" s="694"/>
      <c r="AI78" s="633">
        <f>+AI77/AI80</f>
        <v>0.6162863347201597</v>
      </c>
      <c r="AJ78" s="694"/>
      <c r="AK78" s="1423">
        <f>+AK77/AK80</f>
        <v>0.64763080461022271</v>
      </c>
      <c r="AL78" s="694"/>
      <c r="AM78" s="633">
        <f>+AM77/AM80</f>
        <v>0.67002535306835342</v>
      </c>
      <c r="AN78" s="694"/>
      <c r="AO78" s="2154">
        <f>+AO77/AO80</f>
        <v>0.64740820958445477</v>
      </c>
      <c r="AP78" s="694"/>
      <c r="AQ78" s="1423">
        <f>+AQ77/AQ80</f>
        <v>0.65027417589229153</v>
      </c>
      <c r="AR78" s="694"/>
      <c r="AS78" s="633">
        <f>+AS77/AS80</f>
        <v>0.70038227906354733</v>
      </c>
      <c r="AT78" s="694"/>
      <c r="AU78" s="1423">
        <f>+AU77/AU80</f>
        <v>0.65541883483352747</v>
      </c>
      <c r="AW78" s="633">
        <f>+AW77/AW80</f>
        <v>0.65550233441924144</v>
      </c>
      <c r="AX78" s="694"/>
      <c r="AY78" s="1423">
        <f>+AY77/AY80</f>
        <v>0.655425320738793</v>
      </c>
      <c r="BA78" s="633">
        <f>+BA77/BA80</f>
        <v>0.67571734366900982</v>
      </c>
      <c r="BC78" s="2154">
        <f>+BC77/BC80</f>
        <v>0.67854433341164322</v>
      </c>
      <c r="BE78" s="2375">
        <f>BE77/BE80</f>
        <v>0.66321639169715574</v>
      </c>
      <c r="BG78" s="1423">
        <f>+BG77/BG80</f>
        <v>0.65724308918361141</v>
      </c>
    </row>
    <row r="79" spans="3:61" x14ac:dyDescent="0.35"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  <c r="AC79" s="2163"/>
      <c r="AD79" s="146"/>
      <c r="AE79" s="146"/>
      <c r="AF79" s="146"/>
      <c r="AG79" s="146"/>
      <c r="AH79" s="146"/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  <c r="AT79" s="146"/>
      <c r="AU79" s="146"/>
      <c r="AW79" s="146"/>
      <c r="AX79" s="146"/>
      <c r="AY79" s="146"/>
      <c r="BA79" s="146"/>
      <c r="BC79" s="146"/>
      <c r="BE79" s="2163"/>
      <c r="BG79" s="146"/>
    </row>
    <row r="80" spans="3:61" x14ac:dyDescent="0.35">
      <c r="C80" s="6567" t="s">
        <v>1030</v>
      </c>
      <c r="D80" s="6568"/>
      <c r="E80" s="551" t="s">
        <v>66</v>
      </c>
      <c r="F80" s="619">
        <f>+'Maj Production Summ'!E37</f>
        <v>228999.81536860339</v>
      </c>
      <c r="G80" s="619">
        <f>+'Maj Production Summ'!F37</f>
        <v>198797.95</v>
      </c>
      <c r="H80" s="619"/>
      <c r="I80" s="619">
        <f>+'Maj Production Summ'!H37</f>
        <v>228302.57900000006</v>
      </c>
      <c r="J80" s="624"/>
      <c r="K80" s="624">
        <f>+'Maj Production Summ'!J37</f>
        <v>427100.5290000001</v>
      </c>
      <c r="L80" s="619">
        <f>+'Maj Production Summ'!K37</f>
        <v>229000.11088311521</v>
      </c>
      <c r="M80" s="619">
        <f>+'Maj Production Summ'!L37</f>
        <v>227893.99800000005</v>
      </c>
      <c r="N80" s="628"/>
      <c r="O80" s="628">
        <f>+G80+I80+M80</f>
        <v>654994.52700000012</v>
      </c>
      <c r="P80" s="619">
        <f>+'Maj Production Summ'!O37</f>
        <v>231500.1413553209</v>
      </c>
      <c r="Q80" s="619">
        <f>+'Maj Production Summ'!P37</f>
        <v>243213.77700000012</v>
      </c>
      <c r="R80" s="628"/>
      <c r="S80" s="628">
        <f t="shared" ref="S80" si="135">O80+Q80</f>
        <v>898208.30400000024</v>
      </c>
      <c r="T80" s="619">
        <f>+'Maj Production Summ'!S37</f>
        <v>231500.1413553209</v>
      </c>
      <c r="U80" s="619">
        <f>+'Maj Production Summ'!T37</f>
        <v>219025.52800000005</v>
      </c>
      <c r="V80" s="628"/>
      <c r="W80" s="628">
        <f t="shared" ref="W80" si="136">S80+U80</f>
        <v>1117233.8320000004</v>
      </c>
      <c r="X80" s="628"/>
      <c r="Y80" s="619">
        <f>+'Maj Production Summ'!X37</f>
        <v>222811.90100000007</v>
      </c>
      <c r="Z80" s="628"/>
      <c r="AA80" s="2155">
        <f>Q80+U80+Y80</f>
        <v>685051.20600000024</v>
      </c>
      <c r="AB80" s="2156"/>
      <c r="AC80" s="1156">
        <f>O80+AA80</f>
        <v>1340045.7330000005</v>
      </c>
      <c r="AD80" s="628"/>
      <c r="AE80" s="619">
        <f>+'Maj Production Summ'!AD37</f>
        <v>176451.7220000001</v>
      </c>
      <c r="AF80" s="628"/>
      <c r="AG80" s="628">
        <f t="shared" ref="AG80" si="137">AC80+AE80</f>
        <v>1516497.4550000005</v>
      </c>
      <c r="AH80" s="628"/>
      <c r="AI80" s="619">
        <f>+'Maj Production Summ'!AH37</f>
        <v>214475.0590000001</v>
      </c>
      <c r="AJ80" s="628"/>
      <c r="AK80" s="624">
        <f t="shared" ref="AK80" si="138">AG80+AI80</f>
        <v>1730972.5140000007</v>
      </c>
      <c r="AL80" s="628"/>
      <c r="AM80" s="619">
        <f>+'Maj Production Summ'!AL37</f>
        <v>231662.29500000016</v>
      </c>
      <c r="AN80" s="628"/>
      <c r="AO80" s="2155">
        <f>AE80+AI80+AM80</f>
        <v>622589.07600000035</v>
      </c>
      <c r="AP80" s="628"/>
      <c r="AQ80" s="624">
        <f t="shared" ref="AQ80" si="139">AK80+AM80</f>
        <v>1962634.8090000008</v>
      </c>
      <c r="AR80" s="628"/>
      <c r="AS80" s="619">
        <f>+'Maj Production Summ'!AR37</f>
        <v>224562.12800000014</v>
      </c>
      <c r="AT80" s="628"/>
      <c r="AU80" s="624">
        <f t="shared" ref="AU80" si="140">AQ80+AS80</f>
        <v>2187196.9370000008</v>
      </c>
      <c r="AW80" s="619">
        <f>+'Maj Production Summ'!AV37</f>
        <v>184200.41800000009</v>
      </c>
      <c r="AX80" s="628"/>
      <c r="AY80" s="624">
        <f t="shared" ref="AY80" si="141">AU80+AW80</f>
        <v>2371397.3550000009</v>
      </c>
      <c r="BA80" s="619">
        <f>+'Maj Production Summ'!AZ37</f>
        <v>233332.89499999999</v>
      </c>
      <c r="BC80" s="2155">
        <f>AS80+AW80+BA80</f>
        <v>642095.44100000022</v>
      </c>
      <c r="BE80" s="1156">
        <f>AO80+BC80</f>
        <v>1264684.5170000005</v>
      </c>
      <c r="BG80" s="620">
        <f t="shared" ref="BG80" si="142">AY80+BA80</f>
        <v>2604730.2500000009</v>
      </c>
    </row>
    <row r="81" spans="7:57" x14ac:dyDescent="0.35">
      <c r="BE81" s="537"/>
    </row>
    <row r="83" spans="7:57" x14ac:dyDescent="0.35">
      <c r="G83" s="26"/>
      <c r="H83" s="26"/>
      <c r="I83" s="26"/>
      <c r="J83" s="26"/>
      <c r="K83" s="26"/>
      <c r="L83" s="26"/>
      <c r="M83" s="26"/>
      <c r="O83" s="26"/>
    </row>
    <row r="84" spans="7:57" x14ac:dyDescent="0.35">
      <c r="G84" s="26"/>
      <c r="I84" s="26"/>
      <c r="K84" s="26"/>
      <c r="M84" s="26"/>
      <c r="O84" s="26"/>
    </row>
    <row r="85" spans="7:57" x14ac:dyDescent="0.35">
      <c r="G85" s="26"/>
      <c r="I85" s="26"/>
      <c r="K85" s="26"/>
      <c r="M85" s="26"/>
      <c r="O85" s="26"/>
    </row>
    <row r="86" spans="7:57" x14ac:dyDescent="0.35">
      <c r="G86" s="26"/>
      <c r="I86" s="26"/>
      <c r="M86" s="26"/>
    </row>
    <row r="87" spans="7:57" x14ac:dyDescent="0.35">
      <c r="G87" s="26"/>
      <c r="I87" s="26"/>
      <c r="K87" s="26"/>
      <c r="M87" s="26"/>
    </row>
  </sheetData>
  <mergeCells count="36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P3:AQ3"/>
    <mergeCell ref="AN3:AO3"/>
    <mergeCell ref="C78:D78"/>
    <mergeCell ref="C80:D80"/>
    <mergeCell ref="C38:D38"/>
    <mergeCell ref="C45:D45"/>
    <mergeCell ref="C51:D51"/>
    <mergeCell ref="C69:D69"/>
    <mergeCell ref="C76:D76"/>
    <mergeCell ref="C77:D77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AH3:AI3"/>
    <mergeCell ref="AJ3:AK3"/>
    <mergeCell ref="AD3:AE3"/>
    <mergeCell ref="AF3:AG3"/>
    <mergeCell ref="Z3:AA3"/>
    <mergeCell ref="AB3:AC3"/>
  </mergeCells>
  <printOptions horizontalCentered="1" verticalCentered="1"/>
  <pageMargins left="0" right="0" top="0" bottom="0" header="0" footer="0"/>
  <pageSetup scale="55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8" tint="0.59999389629810485"/>
  </sheetPr>
  <dimension ref="D2:U41"/>
  <sheetViews>
    <sheetView zoomScaleNormal="100" workbookViewId="0">
      <selection activeCell="V19" sqref="V19"/>
    </sheetView>
  </sheetViews>
  <sheetFormatPr defaultRowHeight="14.4" x14ac:dyDescent="0.3"/>
  <cols>
    <col min="4" max="4" width="21.6640625" customWidth="1"/>
    <col min="5" max="5" width="14.5546875" customWidth="1"/>
    <col min="6" max="8" width="8.33203125" bestFit="1" customWidth="1"/>
    <col min="9" max="9" width="13.44140625" bestFit="1" customWidth="1"/>
    <col min="10" max="12" width="8.33203125" bestFit="1" customWidth="1"/>
    <col min="13" max="13" width="13.44140625" bestFit="1" customWidth="1"/>
    <col min="17" max="17" width="13.44140625" bestFit="1" customWidth="1"/>
    <col min="21" max="21" width="13.44140625" bestFit="1" customWidth="1"/>
  </cols>
  <sheetData>
    <row r="2" spans="4:21" ht="23.4" x14ac:dyDescent="0.4">
      <c r="D2" s="6575" t="s">
        <v>2081</v>
      </c>
      <c r="E2" s="6576"/>
      <c r="F2" s="6571" t="s">
        <v>1962</v>
      </c>
      <c r="G2" s="6571"/>
      <c r="H2" s="6571"/>
      <c r="I2" s="6571"/>
      <c r="J2" s="6571" t="s">
        <v>2013</v>
      </c>
      <c r="K2" s="6571"/>
      <c r="L2" s="6571"/>
      <c r="M2" s="6571"/>
      <c r="N2" s="6571" t="s">
        <v>2043</v>
      </c>
      <c r="O2" s="6571"/>
      <c r="P2" s="6571"/>
      <c r="Q2" s="6571"/>
      <c r="R2" s="6571" t="s">
        <v>2065</v>
      </c>
      <c r="S2" s="6571"/>
      <c r="T2" s="6571"/>
      <c r="U2" s="6571"/>
    </row>
    <row r="3" spans="4:21" ht="23.4" x14ac:dyDescent="0.45">
      <c r="D3" s="6574" t="s">
        <v>1702</v>
      </c>
      <c r="E3" s="6574"/>
      <c r="F3" s="2709" t="s">
        <v>1698</v>
      </c>
      <c r="G3" s="2709" t="s">
        <v>1699</v>
      </c>
      <c r="H3" s="2709" t="s">
        <v>1700</v>
      </c>
      <c r="I3" s="2709" t="s">
        <v>1701</v>
      </c>
      <c r="J3" s="2709" t="s">
        <v>1698</v>
      </c>
      <c r="K3" s="2709" t="s">
        <v>1699</v>
      </c>
      <c r="L3" s="2709" t="s">
        <v>1700</v>
      </c>
      <c r="M3" s="2709" t="s">
        <v>1701</v>
      </c>
      <c r="N3" s="2709" t="s">
        <v>1698</v>
      </c>
      <c r="O3" s="2709" t="s">
        <v>1699</v>
      </c>
      <c r="P3" s="2709" t="s">
        <v>1700</v>
      </c>
      <c r="Q3" s="2709" t="s">
        <v>1701</v>
      </c>
      <c r="R3" s="2709" t="s">
        <v>1698</v>
      </c>
      <c r="S3" s="2709" t="s">
        <v>1699</v>
      </c>
      <c r="T3" s="2709" t="s">
        <v>1700</v>
      </c>
      <c r="U3" s="2709" t="s">
        <v>1701</v>
      </c>
    </row>
    <row r="4" spans="4:21" ht="23.4" x14ac:dyDescent="0.45">
      <c r="D4" s="6572" t="s">
        <v>430</v>
      </c>
      <c r="E4" s="6572" t="s">
        <v>430</v>
      </c>
      <c r="F4" s="2708">
        <v>37.32</v>
      </c>
      <c r="G4" s="2708">
        <v>28.86</v>
      </c>
      <c r="H4" s="2708">
        <v>34.417910643889648</v>
      </c>
      <c r="I4" s="2708">
        <v>1.0812145813631775</v>
      </c>
      <c r="J4" s="2708">
        <v>36.71</v>
      </c>
      <c r="K4" s="2708">
        <v>31.31</v>
      </c>
      <c r="L4" s="2708">
        <v>33.910976717112909</v>
      </c>
      <c r="M4" s="2708">
        <v>0.90939350773184346</v>
      </c>
      <c r="N4" s="2708">
        <v>36.6</v>
      </c>
      <c r="O4" s="2708">
        <v>31.47</v>
      </c>
      <c r="P4" s="2708">
        <v>33.800293785310735</v>
      </c>
      <c r="Q4" s="2708">
        <v>0.7730389900311585</v>
      </c>
      <c r="R4" s="2708">
        <v>39.049999999999997</v>
      </c>
      <c r="S4" s="2708">
        <v>33.020000000000003</v>
      </c>
      <c r="T4" s="2708">
        <v>35.927606837606845</v>
      </c>
      <c r="U4" s="2708">
        <v>0.97838874381713026</v>
      </c>
    </row>
    <row r="5" spans="4:21" ht="23.4" x14ac:dyDescent="0.45">
      <c r="D5" s="6572" t="s">
        <v>431</v>
      </c>
      <c r="E5" s="6572" t="s">
        <v>431</v>
      </c>
      <c r="F5" s="2708">
        <v>21.87</v>
      </c>
      <c r="G5" s="2708">
        <v>14</v>
      </c>
      <c r="H5" s="2708">
        <v>18.332851511169526</v>
      </c>
      <c r="I5" s="2708">
        <v>1.1521923680193578</v>
      </c>
      <c r="J5" s="2708">
        <v>23.37</v>
      </c>
      <c r="K5" s="2708">
        <v>15.6</v>
      </c>
      <c r="L5" s="2708">
        <v>19.471373690337597</v>
      </c>
      <c r="M5" s="2708">
        <v>1.1485112381494058</v>
      </c>
      <c r="N5" s="2708">
        <v>21.74</v>
      </c>
      <c r="O5" s="2708">
        <v>15.16</v>
      </c>
      <c r="P5" s="2708">
        <v>18.639367231638438</v>
      </c>
      <c r="Q5" s="2708">
        <v>1.0138045172276877</v>
      </c>
      <c r="R5" s="2708">
        <v>19.21</v>
      </c>
      <c r="S5" s="2708">
        <v>12.79</v>
      </c>
      <c r="T5" s="2708">
        <v>15.460705128205131</v>
      </c>
      <c r="U5" s="2708">
        <v>0.97495182089402888</v>
      </c>
    </row>
    <row r="6" spans="4:21" ht="23.4" x14ac:dyDescent="0.45">
      <c r="D6" s="6572" t="s">
        <v>432</v>
      </c>
      <c r="E6" s="6572" t="s">
        <v>432</v>
      </c>
      <c r="F6" s="2708">
        <v>38.880000000000003</v>
      </c>
      <c r="G6" s="2708">
        <v>32.159999999999997</v>
      </c>
      <c r="H6" s="2708">
        <v>35.191879106438897</v>
      </c>
      <c r="I6" s="2708">
        <v>1.3447434762602366</v>
      </c>
      <c r="J6" s="2708">
        <v>38.29</v>
      </c>
      <c r="K6" s="2708">
        <v>31.56</v>
      </c>
      <c r="L6" s="2708">
        <v>34.512374854481969</v>
      </c>
      <c r="M6" s="2708">
        <v>1.1300501026997529</v>
      </c>
      <c r="N6" s="2708">
        <v>38.799999999999997</v>
      </c>
      <c r="O6" s="2708">
        <v>32.76</v>
      </c>
      <c r="P6" s="2708">
        <v>35.191344632768349</v>
      </c>
      <c r="Q6" s="2708">
        <v>1.0352682887717712</v>
      </c>
      <c r="R6" s="2708">
        <v>42.27</v>
      </c>
      <c r="S6" s="2708">
        <v>33.49</v>
      </c>
      <c r="T6" s="2708">
        <v>36.896420940170898</v>
      </c>
      <c r="U6" s="2708">
        <v>1.3744504045612083</v>
      </c>
    </row>
    <row r="7" spans="4:21" ht="23.4" x14ac:dyDescent="0.45">
      <c r="D7" s="6572" t="s">
        <v>433</v>
      </c>
      <c r="E7" s="6572" t="s">
        <v>433</v>
      </c>
      <c r="F7" s="2708">
        <v>10.41</v>
      </c>
      <c r="G7" s="2708">
        <v>7.53</v>
      </c>
      <c r="H7" s="2708">
        <v>8.9833377135348211</v>
      </c>
      <c r="I7" s="2708">
        <v>0.4973465410075093</v>
      </c>
      <c r="J7" s="2708">
        <v>10.71</v>
      </c>
      <c r="K7" s="2708">
        <v>7.63</v>
      </c>
      <c r="L7" s="2708">
        <v>9.058428405122223</v>
      </c>
      <c r="M7" s="2708">
        <v>0.58941476480751165</v>
      </c>
      <c r="N7" s="2708">
        <v>10.87</v>
      </c>
      <c r="O7" s="2708">
        <v>7.2</v>
      </c>
      <c r="P7" s="2708">
        <v>9.2041807909604518</v>
      </c>
      <c r="Q7" s="2708">
        <v>0.63131580887506111</v>
      </c>
      <c r="R7" s="2708">
        <v>10.99</v>
      </c>
      <c r="S7" s="2708">
        <v>7.6</v>
      </c>
      <c r="T7" s="2708">
        <v>9.23356837606838</v>
      </c>
      <c r="U7" s="2708">
        <v>0.64668060835582242</v>
      </c>
    </row>
    <row r="8" spans="4:21" ht="23.4" x14ac:dyDescent="0.45">
      <c r="D8" s="6572" t="s">
        <v>429</v>
      </c>
      <c r="E8" s="6572" t="s">
        <v>429</v>
      </c>
      <c r="F8" s="2708">
        <v>2.2999999999999998</v>
      </c>
      <c r="G8" s="2708">
        <v>0.08</v>
      </c>
      <c r="H8" s="2708">
        <v>0.55325886990801609</v>
      </c>
      <c r="I8" s="2708">
        <v>0.2392766456663768</v>
      </c>
      <c r="J8" s="2708">
        <v>1.69</v>
      </c>
      <c r="K8" s="2708">
        <v>0.15</v>
      </c>
      <c r="L8" s="2708">
        <v>0.56037252619324784</v>
      </c>
      <c r="M8" s="2708">
        <v>0.2520972191747442</v>
      </c>
      <c r="N8" s="2708">
        <v>1.91</v>
      </c>
      <c r="O8" s="2708">
        <v>0.14000000000000001</v>
      </c>
      <c r="P8" s="2708">
        <v>0.61033898305084744</v>
      </c>
      <c r="Q8" s="2708">
        <v>0.25694581516115139</v>
      </c>
      <c r="R8" s="2708">
        <v>2.04</v>
      </c>
      <c r="S8" s="2708">
        <v>0.1</v>
      </c>
      <c r="T8" s="2708">
        <v>0.33230769230769208</v>
      </c>
      <c r="U8" s="2708">
        <v>0.17411538182123545</v>
      </c>
    </row>
    <row r="9" spans="4:21" ht="23.4" x14ac:dyDescent="0.45">
      <c r="D9" s="6572" t="s">
        <v>1693</v>
      </c>
      <c r="E9" s="6572" t="s">
        <v>1693</v>
      </c>
      <c r="F9" s="2708">
        <v>1.1299999999999999</v>
      </c>
      <c r="G9" s="2708">
        <v>0.24</v>
      </c>
      <c r="H9" s="2708">
        <v>0.59027595269382382</v>
      </c>
      <c r="I9" s="2708">
        <v>0.10605387192325265</v>
      </c>
      <c r="J9" s="2708">
        <v>0.93</v>
      </c>
      <c r="K9" s="2708">
        <v>0.24</v>
      </c>
      <c r="L9" s="2708">
        <v>0.55669383003492423</v>
      </c>
      <c r="M9" s="2708">
        <v>0.11421573296409736</v>
      </c>
      <c r="N9" s="2708">
        <v>1.02</v>
      </c>
      <c r="O9" s="2708">
        <v>0.36</v>
      </c>
      <c r="P9" s="2708">
        <v>0.63425988700564928</v>
      </c>
      <c r="Q9" s="2708">
        <v>0.10321111467422377</v>
      </c>
      <c r="R9" s="2708">
        <v>0.84</v>
      </c>
      <c r="S9" s="2708">
        <v>0.2</v>
      </c>
      <c r="T9" s="2708">
        <v>0.51074786324786403</v>
      </c>
      <c r="U9" s="2708">
        <v>9.2707789424770412E-2</v>
      </c>
    </row>
    <row r="10" spans="4:21" ht="23.4" x14ac:dyDescent="0.45">
      <c r="D10" s="6572" t="s">
        <v>1694</v>
      </c>
      <c r="E10" s="6572" t="s">
        <v>1694</v>
      </c>
      <c r="F10" s="2708">
        <v>0.8</v>
      </c>
      <c r="G10" s="2708">
        <v>0.23</v>
      </c>
      <c r="H10" s="2708">
        <v>0.43060446780551898</v>
      </c>
      <c r="I10" s="2708">
        <v>7.3682479750059496E-2</v>
      </c>
      <c r="J10" s="2708">
        <v>0.73</v>
      </c>
      <c r="K10" s="2708">
        <v>0.28000000000000003</v>
      </c>
      <c r="L10" s="2708">
        <v>0.45660069848661211</v>
      </c>
      <c r="M10" s="2708">
        <v>7.8932815251459648E-2</v>
      </c>
      <c r="N10" s="2708">
        <v>0.95</v>
      </c>
      <c r="O10" s="2708">
        <v>0.21</v>
      </c>
      <c r="P10" s="2708">
        <v>0.50336723163841879</v>
      </c>
      <c r="Q10" s="2708">
        <v>9.9537196313268156E-2</v>
      </c>
      <c r="R10" s="2708">
        <v>0.73</v>
      </c>
      <c r="S10" s="2708">
        <v>0.22</v>
      </c>
      <c r="T10" s="2708">
        <v>0.4239102564102567</v>
      </c>
      <c r="U10" s="2708">
        <v>8.0849027201978008E-2</v>
      </c>
    </row>
    <row r="11" spans="4:21" ht="23.4" x14ac:dyDescent="0.45">
      <c r="D11" s="6572" t="s">
        <v>1695</v>
      </c>
      <c r="E11" s="6572" t="s">
        <v>1695</v>
      </c>
      <c r="F11" s="2708">
        <v>1.1599999999999999</v>
      </c>
      <c r="G11" s="2708">
        <v>0.47</v>
      </c>
      <c r="H11" s="2708">
        <v>0.8527201051248352</v>
      </c>
      <c r="I11" s="2708">
        <v>0.10286468745005842</v>
      </c>
      <c r="J11" s="2708">
        <v>1.1399999999999999</v>
      </c>
      <c r="K11" s="2708">
        <v>0.51</v>
      </c>
      <c r="L11" s="2708">
        <v>0.8212223515715944</v>
      </c>
      <c r="M11" s="2708">
        <v>0.10870940568525161</v>
      </c>
      <c r="N11" s="2708">
        <v>1.01</v>
      </c>
      <c r="O11" s="2708">
        <v>0.42</v>
      </c>
      <c r="P11" s="2708">
        <v>0.74769491525423826</v>
      </c>
      <c r="Q11" s="2708">
        <v>9.8507514167279958E-2</v>
      </c>
      <c r="R11" s="2708">
        <v>0.79</v>
      </c>
      <c r="S11" s="2708">
        <v>0.3</v>
      </c>
      <c r="T11" s="2708">
        <v>0.59601495726495735</v>
      </c>
      <c r="U11" s="2708">
        <v>7.1382346194524993E-2</v>
      </c>
    </row>
    <row r="12" spans="4:21" ht="23.4" x14ac:dyDescent="0.45">
      <c r="D12" s="6573" t="s">
        <v>1696</v>
      </c>
      <c r="E12" s="6573" t="s">
        <v>1696</v>
      </c>
      <c r="F12" s="2773">
        <v>1.35</v>
      </c>
      <c r="G12" s="2773">
        <v>0.9</v>
      </c>
      <c r="H12" s="2773">
        <v>1.0239684625492784</v>
      </c>
      <c r="I12" s="2773">
        <v>6.0589377685292586E-2</v>
      </c>
      <c r="J12" s="2773">
        <v>1.1499999999999999</v>
      </c>
      <c r="K12" s="2773">
        <v>0.86</v>
      </c>
      <c r="L12" s="2773">
        <v>1.0188940628637915</v>
      </c>
      <c r="M12" s="2773">
        <v>4.9018922179186193E-2</v>
      </c>
      <c r="N12" s="2773">
        <v>1.1599999999999999</v>
      </c>
      <c r="O12" s="2773">
        <v>0.92</v>
      </c>
      <c r="P12" s="2773">
        <v>1.0418757062146891</v>
      </c>
      <c r="Q12" s="2773">
        <v>4.458565308684577E-2</v>
      </c>
      <c r="R12" s="2773">
        <v>1.28</v>
      </c>
      <c r="S12" s="2773">
        <v>0.9</v>
      </c>
      <c r="T12" s="2773">
        <v>1.0280662393162392</v>
      </c>
      <c r="U12" s="2773">
        <v>5.5293092597030018E-2</v>
      </c>
    </row>
    <row r="13" spans="4:21" ht="23.4" x14ac:dyDescent="0.45">
      <c r="D13" s="6573" t="s">
        <v>1697</v>
      </c>
      <c r="E13" s="6573" t="s">
        <v>1697</v>
      </c>
      <c r="F13" s="2773">
        <v>1.6455301455301456</v>
      </c>
      <c r="G13" s="2773">
        <v>1.1328231757310738</v>
      </c>
      <c r="H13" s="2773">
        <v>1.2853339809871196</v>
      </c>
      <c r="I13" s="2773">
        <v>6.5040260001185846E-2</v>
      </c>
      <c r="J13" s="2773">
        <v>1.4131808606680711</v>
      </c>
      <c r="K13" s="2773">
        <v>0.98</v>
      </c>
      <c r="L13" s="2773">
        <v>1.2857830558292311</v>
      </c>
      <c r="M13" s="2773">
        <v>5.3956262164863218E-2</v>
      </c>
      <c r="N13" s="2773">
        <v>1.4598997493734334</v>
      </c>
      <c r="O13" s="2773">
        <v>1.1643564356435643</v>
      </c>
      <c r="P13" s="2773">
        <v>1.3145727960484208</v>
      </c>
      <c r="Q13" s="2773">
        <v>5.1750142197002032E-2</v>
      </c>
      <c r="R13" s="2773">
        <v>1.5766202301635373</v>
      </c>
      <c r="S13" s="2773">
        <v>0.59</v>
      </c>
      <c r="T13" s="2773">
        <v>1.2846882181755834</v>
      </c>
      <c r="U13" s="2773">
        <v>6.6193403130805836E-2</v>
      </c>
    </row>
    <row r="15" spans="4:21" ht="23.4" x14ac:dyDescent="0.3">
      <c r="D15" s="6585" t="s">
        <v>2082</v>
      </c>
      <c r="E15" s="6586"/>
      <c r="F15" s="6571" t="s">
        <v>1962</v>
      </c>
      <c r="G15" s="6571"/>
      <c r="H15" s="6571"/>
      <c r="J15" s="6571" t="s">
        <v>2013</v>
      </c>
      <c r="K15" s="6571"/>
      <c r="L15" s="6571"/>
      <c r="N15" s="6571" t="s">
        <v>2043</v>
      </c>
      <c r="O15" s="6571"/>
      <c r="P15" s="6571"/>
      <c r="R15" s="6571" t="s">
        <v>2065</v>
      </c>
      <c r="S15" s="6571"/>
      <c r="T15" s="6571"/>
    </row>
    <row r="16" spans="4:21" ht="23.4" x14ac:dyDescent="0.45">
      <c r="D16" s="6581" t="s">
        <v>1702</v>
      </c>
      <c r="E16" s="6582"/>
      <c r="F16" s="2709" t="s">
        <v>1698</v>
      </c>
      <c r="G16" s="2709" t="s">
        <v>1699</v>
      </c>
      <c r="H16" s="2709" t="s">
        <v>1700</v>
      </c>
      <c r="J16" s="2709" t="s">
        <v>1698</v>
      </c>
      <c r="K16" s="2709" t="s">
        <v>1699</v>
      </c>
      <c r="L16" s="2709" t="s">
        <v>1700</v>
      </c>
      <c r="N16" s="2709" t="s">
        <v>1698</v>
      </c>
      <c r="O16" s="2709" t="s">
        <v>1699</v>
      </c>
      <c r="P16" s="2709" t="s">
        <v>1700</v>
      </c>
      <c r="R16" s="2709" t="s">
        <v>1698</v>
      </c>
      <c r="S16" s="2709" t="s">
        <v>1699</v>
      </c>
      <c r="T16" s="2709" t="s">
        <v>1700</v>
      </c>
    </row>
    <row r="17" spans="4:20" ht="23.4" x14ac:dyDescent="0.3">
      <c r="D17" s="6577" t="s">
        <v>432</v>
      </c>
      <c r="E17" s="6578"/>
      <c r="F17" s="2708">
        <v>55.59</v>
      </c>
      <c r="G17" s="2708">
        <v>45.21</v>
      </c>
      <c r="H17" s="2708">
        <v>49.825262172284624</v>
      </c>
      <c r="J17" s="2708"/>
      <c r="K17" s="2708"/>
      <c r="L17" s="2708"/>
      <c r="N17" s="2708"/>
      <c r="O17" s="2708"/>
      <c r="P17" s="2708"/>
      <c r="R17" s="2708"/>
      <c r="S17" s="2708"/>
      <c r="T17" s="2708"/>
    </row>
    <row r="18" spans="4:20" ht="23.4" x14ac:dyDescent="0.3">
      <c r="D18" s="6577" t="s">
        <v>430</v>
      </c>
      <c r="E18" s="6578"/>
      <c r="F18" s="2708">
        <v>19.61</v>
      </c>
      <c r="G18" s="2708">
        <v>13.25</v>
      </c>
      <c r="H18" s="2708">
        <v>16.619307116104881</v>
      </c>
      <c r="J18" s="2708"/>
      <c r="K18" s="2708"/>
      <c r="L18" s="2708"/>
      <c r="N18" s="2708"/>
      <c r="O18" s="2708"/>
      <c r="P18" s="2708"/>
      <c r="R18" s="2708"/>
      <c r="S18" s="2708"/>
      <c r="T18" s="2708"/>
    </row>
    <row r="19" spans="4:20" ht="23.4" x14ac:dyDescent="0.3">
      <c r="D19" s="6577" t="s">
        <v>431</v>
      </c>
      <c r="E19" s="6578"/>
      <c r="F19" s="2708">
        <v>1.65</v>
      </c>
      <c r="G19" s="2708">
        <v>0.41</v>
      </c>
      <c r="H19" s="2708">
        <v>0.94357677902621739</v>
      </c>
      <c r="J19" s="2708"/>
      <c r="K19" s="2708"/>
      <c r="L19" s="2708"/>
      <c r="N19" s="2708"/>
      <c r="O19" s="2708"/>
      <c r="P19" s="2708"/>
      <c r="R19" s="2708"/>
      <c r="S19" s="2708"/>
      <c r="T19" s="2708"/>
    </row>
    <row r="20" spans="4:20" ht="23.4" x14ac:dyDescent="0.3">
      <c r="D20" s="6577" t="s">
        <v>433</v>
      </c>
      <c r="E20" s="6578"/>
      <c r="F20" s="2708">
        <v>10.07</v>
      </c>
      <c r="G20" s="2708">
        <v>3.19</v>
      </c>
      <c r="H20" s="2708">
        <v>6.5086142322097391</v>
      </c>
      <c r="J20" s="2708"/>
      <c r="K20" s="2708"/>
      <c r="L20" s="2708"/>
      <c r="N20" s="2708"/>
      <c r="O20" s="2708"/>
      <c r="P20" s="2708"/>
      <c r="R20" s="2708"/>
      <c r="S20" s="2708"/>
      <c r="T20" s="2708"/>
    </row>
    <row r="21" spans="4:20" ht="27" x14ac:dyDescent="0.3">
      <c r="D21" s="6577" t="s">
        <v>1707</v>
      </c>
      <c r="E21" s="6578"/>
      <c r="F21" s="2708">
        <v>24.72</v>
      </c>
      <c r="G21" s="2708">
        <v>8.2200000000000006</v>
      </c>
      <c r="H21" s="2708">
        <v>18.187415730337094</v>
      </c>
      <c r="J21" s="2708"/>
      <c r="K21" s="2708"/>
      <c r="L21" s="2708"/>
      <c r="N21" s="2708"/>
      <c r="O21" s="2708"/>
      <c r="P21" s="2708"/>
      <c r="R21" s="2708"/>
      <c r="S21" s="2708"/>
      <c r="T21" s="2708"/>
    </row>
    <row r="22" spans="4:20" ht="23.4" x14ac:dyDescent="0.3">
      <c r="D22" s="6577" t="s">
        <v>1703</v>
      </c>
      <c r="E22" s="6578"/>
      <c r="F22" s="2708">
        <v>2.57</v>
      </c>
      <c r="G22" s="2708">
        <v>0</v>
      </c>
      <c r="H22" s="2708">
        <v>1.327865168539325</v>
      </c>
      <c r="J22" s="2708"/>
      <c r="K22" s="2708"/>
      <c r="L22" s="2708"/>
      <c r="N22" s="2708"/>
      <c r="O22" s="2708"/>
      <c r="P22" s="2708"/>
      <c r="R22" s="2708"/>
      <c r="S22" s="2708"/>
      <c r="T22" s="2708"/>
    </row>
    <row r="23" spans="4:20" ht="23.4" x14ac:dyDescent="0.3">
      <c r="D23" s="6577" t="s">
        <v>1704</v>
      </c>
      <c r="E23" s="6578"/>
      <c r="F23" s="2708">
        <v>2.5499999999999998</v>
      </c>
      <c r="G23" s="2708">
        <v>1.21</v>
      </c>
      <c r="H23" s="2708">
        <v>1.813014981273408</v>
      </c>
      <c r="J23" s="2708"/>
      <c r="K23" s="2708"/>
      <c r="L23" s="2708"/>
      <c r="N23" s="2708"/>
      <c r="O23" s="2708"/>
      <c r="P23" s="2708"/>
      <c r="R23" s="2708"/>
      <c r="S23" s="2708"/>
      <c r="T23" s="2708"/>
    </row>
    <row r="24" spans="4:20" ht="23.4" x14ac:dyDescent="0.3">
      <c r="D24" s="6577" t="s">
        <v>1693</v>
      </c>
      <c r="E24" s="6578"/>
      <c r="F24" s="2708">
        <v>0.13</v>
      </c>
      <c r="G24" s="2708">
        <v>0</v>
      </c>
      <c r="H24" s="2708">
        <v>3.0205992509363094E-2</v>
      </c>
      <c r="J24" s="2708"/>
      <c r="K24" s="2708"/>
      <c r="L24" s="2708"/>
      <c r="N24" s="2708"/>
      <c r="O24" s="2708"/>
      <c r="P24" s="2708"/>
      <c r="R24" s="2708"/>
      <c r="S24" s="2708"/>
      <c r="T24" s="2708"/>
    </row>
    <row r="25" spans="4:20" ht="23.4" x14ac:dyDescent="0.3">
      <c r="D25" s="6577" t="s">
        <v>1694</v>
      </c>
      <c r="E25" s="6578"/>
      <c r="F25" s="2708">
        <v>0.06</v>
      </c>
      <c r="G25" s="2708">
        <v>0</v>
      </c>
      <c r="H25" s="2708">
        <v>3.5580524344569291E-4</v>
      </c>
      <c r="J25" s="2708"/>
      <c r="K25" s="2708"/>
      <c r="L25" s="2708"/>
      <c r="N25" s="2708"/>
      <c r="O25" s="2708"/>
      <c r="P25" s="2708"/>
      <c r="R25" s="2708"/>
      <c r="S25" s="2708"/>
      <c r="T25" s="2708"/>
    </row>
    <row r="26" spans="4:20" ht="23.4" x14ac:dyDescent="0.3">
      <c r="D26" s="6577" t="s">
        <v>1695</v>
      </c>
      <c r="E26" s="6578"/>
      <c r="F26" s="2708">
        <v>2.5499999999999998</v>
      </c>
      <c r="G26" s="2708">
        <v>1.21</v>
      </c>
      <c r="H26" s="2708">
        <v>1.813014981273408</v>
      </c>
      <c r="J26" s="2708"/>
      <c r="K26" s="2708"/>
      <c r="L26" s="2708"/>
      <c r="N26" s="2708"/>
      <c r="O26" s="2708"/>
      <c r="P26" s="2708"/>
      <c r="R26" s="2708"/>
      <c r="S26" s="2708"/>
      <c r="T26" s="2708"/>
    </row>
    <row r="27" spans="4:20" ht="23.4" x14ac:dyDescent="0.3">
      <c r="D27" s="6579" t="s">
        <v>1705</v>
      </c>
      <c r="E27" s="6580"/>
      <c r="F27" s="2773">
        <v>3.63</v>
      </c>
      <c r="G27" s="2773">
        <v>2.44</v>
      </c>
      <c r="H27" s="2773">
        <v>3.0100000000000011</v>
      </c>
      <c r="J27" s="2773"/>
      <c r="K27" s="2773"/>
      <c r="L27" s="2773"/>
      <c r="N27" s="2773"/>
      <c r="O27" s="2773"/>
      <c r="P27" s="2773"/>
      <c r="R27" s="2773"/>
      <c r="S27" s="2773"/>
      <c r="T27" s="2773"/>
    </row>
    <row r="29" spans="4:20" ht="23.4" x14ac:dyDescent="0.45">
      <c r="D29" s="6583" t="s">
        <v>1706</v>
      </c>
      <c r="E29" s="6584"/>
      <c r="F29" s="6571" t="s">
        <v>1962</v>
      </c>
      <c r="G29" s="6571"/>
      <c r="H29" s="6571"/>
      <c r="J29" s="6571" t="s">
        <v>2013</v>
      </c>
      <c r="K29" s="6571"/>
      <c r="L29" s="6571"/>
      <c r="N29" s="6571" t="s">
        <v>2043</v>
      </c>
      <c r="O29" s="6571"/>
      <c r="P29" s="6571"/>
      <c r="R29" s="6571" t="s">
        <v>2065</v>
      </c>
      <c r="S29" s="6571"/>
      <c r="T29" s="6571"/>
    </row>
    <row r="30" spans="4:20" ht="23.4" x14ac:dyDescent="0.45">
      <c r="D30" s="6581" t="s">
        <v>1702</v>
      </c>
      <c r="E30" s="6582"/>
      <c r="F30" s="2709" t="s">
        <v>1698</v>
      </c>
      <c r="G30" s="2709" t="s">
        <v>1699</v>
      </c>
      <c r="H30" s="2709" t="s">
        <v>1700</v>
      </c>
      <c r="J30" s="2709" t="s">
        <v>1698</v>
      </c>
      <c r="K30" s="2709" t="s">
        <v>1699</v>
      </c>
      <c r="L30" s="2709" t="s">
        <v>1700</v>
      </c>
      <c r="N30" s="2709" t="s">
        <v>1698</v>
      </c>
      <c r="O30" s="2709" t="s">
        <v>1699</v>
      </c>
      <c r="P30" s="2709" t="s">
        <v>1700</v>
      </c>
      <c r="R30" s="2709" t="s">
        <v>1698</v>
      </c>
      <c r="S30" s="2709" t="s">
        <v>1699</v>
      </c>
      <c r="T30" s="2709" t="s">
        <v>1700</v>
      </c>
    </row>
    <row r="31" spans="4:20" ht="23.4" x14ac:dyDescent="0.3">
      <c r="D31" s="6577" t="s">
        <v>432</v>
      </c>
      <c r="E31" s="6578"/>
      <c r="F31" s="2708">
        <v>55.27</v>
      </c>
      <c r="G31" s="2708">
        <v>37.93</v>
      </c>
      <c r="H31" s="2708">
        <v>48.229892473118248</v>
      </c>
      <c r="J31" s="2708"/>
      <c r="K31" s="2708"/>
      <c r="L31" s="2708"/>
      <c r="N31" s="2708"/>
      <c r="O31" s="2708"/>
      <c r="P31" s="2708"/>
      <c r="R31" s="2708"/>
      <c r="S31" s="2708"/>
      <c r="T31" s="2708"/>
    </row>
    <row r="32" spans="4:20" ht="23.4" x14ac:dyDescent="0.3">
      <c r="D32" s="6577" t="s">
        <v>430</v>
      </c>
      <c r="E32" s="6578"/>
      <c r="F32" s="2708">
        <v>34.6</v>
      </c>
      <c r="G32" s="2708">
        <v>12.68</v>
      </c>
      <c r="H32" s="2708">
        <v>28.92258064516129</v>
      </c>
      <c r="J32" s="2708"/>
      <c r="K32" s="2708"/>
      <c r="L32" s="2708"/>
      <c r="N32" s="2708"/>
      <c r="O32" s="2708"/>
      <c r="P32" s="2708"/>
      <c r="R32" s="2708"/>
      <c r="S32" s="2708"/>
      <c r="T32" s="2708"/>
    </row>
    <row r="33" spans="4:20" ht="23.4" x14ac:dyDescent="0.3">
      <c r="D33" s="6577" t="s">
        <v>431</v>
      </c>
      <c r="E33" s="6578"/>
      <c r="F33" s="2708">
        <v>26.98</v>
      </c>
      <c r="G33" s="2708">
        <v>3.85</v>
      </c>
      <c r="H33" s="2708">
        <v>9.0751182795699012</v>
      </c>
      <c r="J33" s="2708"/>
      <c r="K33" s="2708"/>
      <c r="L33" s="2708"/>
      <c r="N33" s="2708"/>
      <c r="O33" s="2708"/>
      <c r="P33" s="2708"/>
      <c r="R33" s="2708"/>
      <c r="S33" s="2708"/>
      <c r="T33" s="2708"/>
    </row>
    <row r="34" spans="4:20" ht="23.4" x14ac:dyDescent="0.3">
      <c r="D34" s="6577" t="s">
        <v>433</v>
      </c>
      <c r="E34" s="6578"/>
      <c r="F34" s="2708">
        <v>22.5</v>
      </c>
      <c r="G34" s="2708">
        <v>5.33</v>
      </c>
      <c r="H34" s="2708">
        <v>9.2966021505376339</v>
      </c>
      <c r="J34" s="2708"/>
      <c r="K34" s="2708"/>
      <c r="L34" s="2708"/>
      <c r="N34" s="2708"/>
      <c r="O34" s="2708"/>
      <c r="P34" s="2708"/>
      <c r="R34" s="2708"/>
      <c r="S34" s="2708"/>
      <c r="T34" s="2708"/>
    </row>
    <row r="35" spans="4:20" ht="27" x14ac:dyDescent="0.3">
      <c r="D35" s="6577" t="s">
        <v>1707</v>
      </c>
      <c r="E35" s="6578"/>
      <c r="F35" s="2708">
        <v>3.19</v>
      </c>
      <c r="G35" s="2708">
        <v>0.2</v>
      </c>
      <c r="H35" s="2708">
        <v>1.2209677419354843</v>
      </c>
      <c r="J35" s="2708"/>
      <c r="K35" s="2708"/>
      <c r="L35" s="2708"/>
      <c r="N35" s="2708"/>
      <c r="O35" s="2708"/>
      <c r="P35" s="2708"/>
      <c r="R35" s="2708"/>
      <c r="S35" s="2708"/>
      <c r="T35" s="2708"/>
    </row>
    <row r="36" spans="4:20" ht="23.4" x14ac:dyDescent="0.3">
      <c r="D36" s="6577" t="s">
        <v>1703</v>
      </c>
      <c r="E36" s="6578"/>
      <c r="F36" s="2708">
        <v>6.32</v>
      </c>
      <c r="G36" s="2708">
        <v>0</v>
      </c>
      <c r="H36" s="2708">
        <v>1.2809677419354832</v>
      </c>
      <c r="J36" s="2708"/>
      <c r="K36" s="2708"/>
      <c r="L36" s="2708"/>
      <c r="N36" s="2708"/>
      <c r="O36" s="2708"/>
      <c r="P36" s="2708"/>
      <c r="R36" s="2708"/>
      <c r="S36" s="2708"/>
      <c r="T36" s="2708"/>
    </row>
    <row r="37" spans="4:20" ht="23.4" x14ac:dyDescent="0.3">
      <c r="D37" s="6577" t="s">
        <v>1704</v>
      </c>
      <c r="E37" s="6578"/>
      <c r="F37" s="2708">
        <v>0.34</v>
      </c>
      <c r="G37" s="2708">
        <v>0.09</v>
      </c>
      <c r="H37" s="2708">
        <v>0.18750537634408601</v>
      </c>
      <c r="J37" s="2708"/>
      <c r="K37" s="2708"/>
      <c r="L37" s="2708"/>
      <c r="N37" s="2708"/>
      <c r="O37" s="2708"/>
      <c r="P37" s="2708"/>
      <c r="R37" s="2708"/>
      <c r="S37" s="2708"/>
      <c r="T37" s="2708"/>
    </row>
    <row r="38" spans="4:20" ht="23.4" x14ac:dyDescent="0.3">
      <c r="D38" s="6577" t="s">
        <v>1693</v>
      </c>
      <c r="E38" s="6578"/>
      <c r="F38" s="2708">
        <v>0.65</v>
      </c>
      <c r="G38" s="2708">
        <v>0</v>
      </c>
      <c r="H38" s="2708">
        <v>0.12337634408602161</v>
      </c>
      <c r="J38" s="2708"/>
      <c r="K38" s="2708"/>
      <c r="L38" s="2708"/>
      <c r="N38" s="2708"/>
      <c r="O38" s="2708"/>
      <c r="P38" s="2708"/>
      <c r="R38" s="2708"/>
      <c r="S38" s="2708"/>
      <c r="T38" s="2708"/>
    </row>
    <row r="39" spans="4:20" ht="23.4" x14ac:dyDescent="0.3">
      <c r="D39" s="6577" t="s">
        <v>1694</v>
      </c>
      <c r="E39" s="6578"/>
      <c r="F39" s="2708">
        <v>0.04</v>
      </c>
      <c r="G39" s="2708">
        <v>0</v>
      </c>
      <c r="H39" s="2708">
        <v>2.0236559139784958E-3</v>
      </c>
      <c r="J39" s="2708"/>
      <c r="K39" s="2708"/>
      <c r="L39" s="2708"/>
      <c r="N39" s="2708"/>
      <c r="O39" s="2708"/>
      <c r="P39" s="2708"/>
      <c r="R39" s="2708"/>
      <c r="S39" s="2708"/>
      <c r="T39" s="2708"/>
    </row>
    <row r="40" spans="4:20" ht="23.4" x14ac:dyDescent="0.3">
      <c r="D40" s="6577" t="s">
        <v>1695</v>
      </c>
      <c r="E40" s="6578"/>
      <c r="F40" s="2708">
        <v>0.34</v>
      </c>
      <c r="G40" s="2708">
        <v>0.09</v>
      </c>
      <c r="H40" s="2708">
        <v>0.18750537634408601</v>
      </c>
      <c r="J40" s="2708"/>
      <c r="K40" s="2708"/>
      <c r="L40" s="2708"/>
      <c r="N40" s="2708"/>
      <c r="O40" s="2708"/>
      <c r="P40" s="2708"/>
      <c r="R40" s="2708"/>
      <c r="S40" s="2708"/>
      <c r="T40" s="2708"/>
    </row>
    <row r="41" spans="4:20" ht="23.4" x14ac:dyDescent="0.3">
      <c r="D41" s="6579" t="s">
        <v>1705</v>
      </c>
      <c r="E41" s="6580"/>
      <c r="F41" s="2773">
        <v>3.88</v>
      </c>
      <c r="G41" s="2773">
        <v>1.24</v>
      </c>
      <c r="H41" s="2773">
        <v>1.6956559139784944</v>
      </c>
      <c r="J41" s="2773"/>
      <c r="K41" s="2773"/>
      <c r="L41" s="2773"/>
      <c r="N41" s="2773"/>
      <c r="O41" s="2773"/>
      <c r="P41" s="2773"/>
      <c r="R41" s="2773"/>
      <c r="S41" s="2773"/>
      <c r="T41" s="2773"/>
    </row>
  </sheetData>
  <mergeCells count="50"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8:E8"/>
    <mergeCell ref="R2:U2"/>
    <mergeCell ref="R15:T15"/>
    <mergeCell ref="R29:T29"/>
    <mergeCell ref="N2:Q2"/>
    <mergeCell ref="N15:P15"/>
    <mergeCell ref="N29:P29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C000"/>
    <pageSetUpPr fitToPage="1"/>
  </sheetPr>
  <dimension ref="A1:S329"/>
  <sheetViews>
    <sheetView zoomScaleNormal="100" workbookViewId="0">
      <pane xSplit="3" ySplit="4" topLeftCell="D220" activePane="bottomRight" state="frozen"/>
      <selection pane="topRight" activeCell="D1" sqref="D1"/>
      <selection pane="bottomLeft" activeCell="A5" sqref="A5"/>
      <selection pane="bottomRight" activeCell="O288" sqref="O288"/>
    </sheetView>
  </sheetViews>
  <sheetFormatPr defaultColWidth="8.88671875" defaultRowHeight="14.4" x14ac:dyDescent="0.3"/>
  <cols>
    <col min="1" max="1" width="6.6640625" customWidth="1"/>
    <col min="2" max="2" width="23.33203125" customWidth="1"/>
    <col min="3" max="3" width="45.88671875" customWidth="1"/>
    <col min="4" max="4" width="8.44140625" bestFit="1" customWidth="1"/>
    <col min="5" max="5" width="9.6640625" bestFit="1" customWidth="1"/>
    <col min="6" max="6" width="11" customWidth="1"/>
    <col min="7" max="7" width="9.88671875" bestFit="1" customWidth="1"/>
    <col min="8" max="8" width="11" customWidth="1"/>
    <col min="9" max="9" width="13.109375" bestFit="1" customWidth="1"/>
    <col min="10" max="10" width="11" customWidth="1"/>
    <col min="11" max="11" width="11.88671875" bestFit="1" customWidth="1"/>
    <col min="12" max="12" width="12.88671875" bestFit="1" customWidth="1"/>
    <col min="13" max="13" width="11.88671875" bestFit="1" customWidth="1"/>
    <col min="14" max="16" width="9.5546875" bestFit="1" customWidth="1"/>
    <col min="17" max="17" width="7.5546875" customWidth="1"/>
    <col min="18" max="18" width="10" bestFit="1" customWidth="1"/>
  </cols>
  <sheetData>
    <row r="1" spans="1:13" x14ac:dyDescent="0.3">
      <c r="A1" s="2747"/>
      <c r="B1" s="2748"/>
      <c r="C1" s="2747"/>
      <c r="D1" s="2749"/>
      <c r="E1" s="2749"/>
      <c r="F1" s="2747"/>
      <c r="G1" s="2749"/>
      <c r="H1" s="2749"/>
      <c r="I1" s="2749"/>
      <c r="J1" s="2747"/>
      <c r="K1" s="2749"/>
      <c r="L1" s="2749"/>
      <c r="M1" s="2749"/>
    </row>
    <row r="2" spans="1:13" ht="20.25" customHeight="1" x14ac:dyDescent="0.4">
      <c r="A2" s="2747"/>
      <c r="B2" s="6588" t="s">
        <v>1725</v>
      </c>
      <c r="C2" s="6588"/>
      <c r="D2" s="6588"/>
      <c r="E2" s="6588"/>
      <c r="F2" s="6588"/>
      <c r="G2" s="6588"/>
      <c r="H2" s="6588"/>
      <c r="I2" s="6588"/>
      <c r="J2" s="6588"/>
      <c r="K2" s="6588"/>
      <c r="L2" s="6588"/>
      <c r="M2" s="6588"/>
    </row>
    <row r="3" spans="1:13" ht="21" x14ac:dyDescent="0.3">
      <c r="A3" s="2747"/>
      <c r="B3" s="6589" t="s">
        <v>2041</v>
      </c>
      <c r="C3" s="6589"/>
      <c r="D3" s="6589"/>
      <c r="E3" s="6589"/>
      <c r="F3" s="6589"/>
      <c r="G3" s="6589"/>
      <c r="H3" s="6589"/>
      <c r="I3" s="6589"/>
      <c r="J3" s="6589"/>
      <c r="K3" s="6589"/>
      <c r="L3" s="6589"/>
      <c r="M3" s="6589"/>
    </row>
    <row r="4" spans="1:13" x14ac:dyDescent="0.3">
      <c r="A4" s="2747"/>
      <c r="B4" s="5517" t="s">
        <v>1726</v>
      </c>
      <c r="C4" s="5518" t="s">
        <v>1726</v>
      </c>
      <c r="D4" s="5519" t="s">
        <v>1727</v>
      </c>
      <c r="E4" s="5519" t="s">
        <v>1728</v>
      </c>
      <c r="F4" s="5519"/>
      <c r="G4" s="5520" t="s">
        <v>1729</v>
      </c>
      <c r="H4" s="5520"/>
      <c r="I4" s="5519" t="s">
        <v>1055</v>
      </c>
      <c r="J4" s="5519"/>
      <c r="K4" s="5519" t="s">
        <v>59</v>
      </c>
      <c r="L4" s="5519" t="s">
        <v>95</v>
      </c>
      <c r="M4" s="5519" t="s">
        <v>1284</v>
      </c>
    </row>
    <row r="5" spans="1:13" x14ac:dyDescent="0.3">
      <c r="A5" s="2747"/>
      <c r="B5" s="6590" t="s">
        <v>1730</v>
      </c>
      <c r="C5" s="5521">
        <v>45748</v>
      </c>
      <c r="D5" s="5517">
        <v>720</v>
      </c>
      <c r="E5" s="5517">
        <v>720</v>
      </c>
      <c r="F5" s="5517"/>
      <c r="G5" s="5522">
        <v>720</v>
      </c>
      <c r="H5" s="5522"/>
      <c r="I5" s="5517">
        <v>2160</v>
      </c>
      <c r="J5" s="5517"/>
      <c r="K5" s="5517">
        <v>720</v>
      </c>
      <c r="L5" s="5517">
        <v>720</v>
      </c>
      <c r="M5" s="5517">
        <v>720</v>
      </c>
    </row>
    <row r="6" spans="1:13" x14ac:dyDescent="0.3">
      <c r="A6" s="2747"/>
      <c r="B6" s="6590"/>
      <c r="C6" s="5521">
        <v>45778</v>
      </c>
      <c r="D6" s="5517">
        <v>744</v>
      </c>
      <c r="E6" s="5517">
        <v>744</v>
      </c>
      <c r="F6" s="5523"/>
      <c r="G6" s="5517">
        <v>744</v>
      </c>
      <c r="H6" s="5517"/>
      <c r="I6" s="5517">
        <v>2232</v>
      </c>
      <c r="J6" s="5524"/>
      <c r="K6" s="5517">
        <v>744</v>
      </c>
      <c r="L6" s="5517">
        <v>744</v>
      </c>
      <c r="M6" s="5517">
        <v>744</v>
      </c>
    </row>
    <row r="7" spans="1:13" x14ac:dyDescent="0.3">
      <c r="A7" s="2747"/>
      <c r="B7" s="6590"/>
      <c r="C7" s="5521">
        <v>45809</v>
      </c>
      <c r="D7" s="5517">
        <v>720</v>
      </c>
      <c r="E7" s="5517">
        <v>720</v>
      </c>
      <c r="F7" s="5517"/>
      <c r="G7" s="5522">
        <v>720</v>
      </c>
      <c r="H7" s="5522"/>
      <c r="I7" s="5517">
        <v>2160</v>
      </c>
      <c r="J7" s="5517"/>
      <c r="K7" s="5517">
        <v>720</v>
      </c>
      <c r="L7" s="5517">
        <v>720</v>
      </c>
      <c r="M7" s="5517">
        <v>720</v>
      </c>
    </row>
    <row r="8" spans="1:13" x14ac:dyDescent="0.3">
      <c r="A8" s="2747"/>
      <c r="B8" s="6590"/>
      <c r="C8" s="5525" t="s">
        <v>1731</v>
      </c>
      <c r="D8" s="5526">
        <f t="shared" ref="D8:E8" si="0">SUM(D5:D7)</f>
        <v>2184</v>
      </c>
      <c r="E8" s="5526">
        <f t="shared" si="0"/>
        <v>2184</v>
      </c>
      <c r="F8" s="5527"/>
      <c r="G8" s="5526">
        <f>SUM(G5:G7)</f>
        <v>2184</v>
      </c>
      <c r="H8" s="5526"/>
      <c r="I8" s="5526">
        <f>SUM(I5:I7)</f>
        <v>6552</v>
      </c>
      <c r="J8" s="5527"/>
      <c r="K8" s="5526">
        <f t="shared" ref="K8:M8" si="1">SUM(K5:K7)</f>
        <v>2184</v>
      </c>
      <c r="L8" s="5526">
        <f t="shared" si="1"/>
        <v>2184</v>
      </c>
      <c r="M8" s="5526">
        <f t="shared" si="1"/>
        <v>2184</v>
      </c>
    </row>
    <row r="9" spans="1:13" x14ac:dyDescent="0.3">
      <c r="A9" s="2747"/>
      <c r="B9" s="6590"/>
      <c r="C9" s="5521">
        <v>45839</v>
      </c>
      <c r="D9" s="5517">
        <v>744</v>
      </c>
      <c r="E9" s="5517">
        <v>744</v>
      </c>
      <c r="F9" s="5523"/>
      <c r="G9" s="5517">
        <v>744</v>
      </c>
      <c r="H9" s="5517"/>
      <c r="I9" s="5517">
        <v>2232</v>
      </c>
      <c r="J9" s="5524"/>
      <c r="K9" s="5517">
        <v>744</v>
      </c>
      <c r="L9" s="5517">
        <v>744</v>
      </c>
      <c r="M9" s="5517">
        <v>744</v>
      </c>
    </row>
    <row r="10" spans="1:13" x14ac:dyDescent="0.3">
      <c r="A10" s="2747"/>
      <c r="B10" s="6590"/>
      <c r="C10" s="5521">
        <v>45870</v>
      </c>
      <c r="D10" s="5517">
        <v>744</v>
      </c>
      <c r="E10" s="5517">
        <v>744</v>
      </c>
      <c r="F10" s="5523"/>
      <c r="G10" s="5517">
        <v>744</v>
      </c>
      <c r="H10" s="5517"/>
      <c r="I10" s="5517">
        <v>2232</v>
      </c>
      <c r="J10" s="5524"/>
      <c r="K10" s="5517">
        <v>744</v>
      </c>
      <c r="L10" s="5517">
        <v>744</v>
      </c>
      <c r="M10" s="5517">
        <v>744</v>
      </c>
    </row>
    <row r="11" spans="1:13" x14ac:dyDescent="0.3">
      <c r="A11" s="2747"/>
      <c r="B11" s="6590"/>
      <c r="C11" s="5521">
        <v>45901</v>
      </c>
      <c r="D11" s="5528">
        <v>720</v>
      </c>
      <c r="E11" s="5528">
        <v>720</v>
      </c>
      <c r="F11" s="5529"/>
      <c r="G11" s="5528">
        <v>720</v>
      </c>
      <c r="H11" s="5528"/>
      <c r="I11" s="5528">
        <v>2160</v>
      </c>
      <c r="J11" s="5529"/>
      <c r="K11" s="5528">
        <v>720</v>
      </c>
      <c r="L11" s="5528">
        <v>720</v>
      </c>
      <c r="M11" s="5528">
        <v>720</v>
      </c>
    </row>
    <row r="12" spans="1:13" x14ac:dyDescent="0.3">
      <c r="A12" s="2747"/>
      <c r="B12" s="6590"/>
      <c r="C12" s="5525" t="s">
        <v>1732</v>
      </c>
      <c r="D12" s="5530">
        <f>D9+D10+D11</f>
        <v>2208</v>
      </c>
      <c r="E12" s="5530">
        <f t="shared" ref="E12:M12" si="2">E9+E10+E11</f>
        <v>2208</v>
      </c>
      <c r="F12" s="5530"/>
      <c r="G12" s="5530">
        <f t="shared" si="2"/>
        <v>2208</v>
      </c>
      <c r="H12" s="5530"/>
      <c r="I12" s="5530">
        <f t="shared" si="2"/>
        <v>6624</v>
      </c>
      <c r="J12" s="5530"/>
      <c r="K12" s="5530">
        <f t="shared" si="2"/>
        <v>2208</v>
      </c>
      <c r="L12" s="5530">
        <f t="shared" si="2"/>
        <v>2208</v>
      </c>
      <c r="M12" s="5530">
        <f t="shared" si="2"/>
        <v>2208</v>
      </c>
    </row>
    <row r="13" spans="1:13" x14ac:dyDescent="0.3">
      <c r="A13" s="2747"/>
      <c r="B13" s="6590"/>
      <c r="C13" s="5521">
        <v>45931</v>
      </c>
      <c r="D13" s="5529">
        <v>744</v>
      </c>
      <c r="E13" s="5529">
        <v>744</v>
      </c>
      <c r="F13" s="5524"/>
      <c r="G13" s="5531">
        <v>744</v>
      </c>
      <c r="H13" s="5531"/>
      <c r="I13" s="5531">
        <v>2232</v>
      </c>
      <c r="J13" s="5524"/>
      <c r="K13" s="5529">
        <v>744</v>
      </c>
      <c r="L13" s="5529">
        <v>744</v>
      </c>
      <c r="M13" s="5529">
        <v>744</v>
      </c>
    </row>
    <row r="14" spans="1:13" x14ac:dyDescent="0.3">
      <c r="A14" s="2747"/>
      <c r="B14" s="6590"/>
      <c r="C14" s="5521">
        <v>45962</v>
      </c>
      <c r="D14" s="5529">
        <v>720</v>
      </c>
      <c r="E14" s="5529">
        <v>720</v>
      </c>
      <c r="F14" s="5524"/>
      <c r="G14" s="5531">
        <v>720</v>
      </c>
      <c r="H14" s="5531"/>
      <c r="I14" s="5531">
        <v>2160</v>
      </c>
      <c r="J14" s="5524"/>
      <c r="K14" s="5529">
        <v>720</v>
      </c>
      <c r="L14" s="5529">
        <v>720</v>
      </c>
      <c r="M14" s="5529">
        <v>720</v>
      </c>
    </row>
    <row r="15" spans="1:13" x14ac:dyDescent="0.3">
      <c r="A15" s="2747"/>
      <c r="B15" s="6590"/>
      <c r="C15" s="5521">
        <v>45992</v>
      </c>
      <c r="D15" s="5529">
        <v>744</v>
      </c>
      <c r="E15" s="5529">
        <v>744</v>
      </c>
      <c r="F15" s="5532"/>
      <c r="G15" s="5529">
        <v>744</v>
      </c>
      <c r="H15" s="5531"/>
      <c r="I15" s="5531">
        <v>2232</v>
      </c>
      <c r="J15" s="5532"/>
      <c r="K15" s="5529">
        <v>744</v>
      </c>
      <c r="L15" s="5529">
        <v>744</v>
      </c>
      <c r="M15" s="5529">
        <v>744</v>
      </c>
    </row>
    <row r="16" spans="1:13" x14ac:dyDescent="0.3">
      <c r="A16" s="2747"/>
      <c r="B16" s="6590"/>
      <c r="C16" s="5525" t="s">
        <v>1733</v>
      </c>
      <c r="D16" s="5526">
        <f>D13+D14+D15</f>
        <v>2208</v>
      </c>
      <c r="E16" s="5526">
        <f t="shared" ref="E16:M16" si="3">E13+E14+E15</f>
        <v>2208</v>
      </c>
      <c r="F16" s="5526"/>
      <c r="G16" s="5526">
        <f t="shared" si="3"/>
        <v>2208</v>
      </c>
      <c r="H16" s="5526"/>
      <c r="I16" s="5526">
        <f t="shared" si="3"/>
        <v>6624</v>
      </c>
      <c r="J16" s="5526"/>
      <c r="K16" s="5526">
        <f t="shared" si="3"/>
        <v>2208</v>
      </c>
      <c r="L16" s="5526">
        <f t="shared" si="3"/>
        <v>2208</v>
      </c>
      <c r="M16" s="5526">
        <f t="shared" si="3"/>
        <v>2208</v>
      </c>
    </row>
    <row r="17" spans="1:19" x14ac:dyDescent="0.3">
      <c r="A17" s="2747"/>
      <c r="B17" s="6590"/>
      <c r="C17" s="5521">
        <v>46023</v>
      </c>
      <c r="D17" s="5529">
        <v>744</v>
      </c>
      <c r="E17" s="5529">
        <v>744</v>
      </c>
      <c r="F17" s="5532"/>
      <c r="G17" s="5529">
        <v>744</v>
      </c>
      <c r="H17" s="5531"/>
      <c r="I17" s="5531">
        <v>2232</v>
      </c>
      <c r="J17" s="5532"/>
      <c r="K17" s="5529">
        <v>744</v>
      </c>
      <c r="L17" s="5529">
        <v>744</v>
      </c>
      <c r="M17" s="5529">
        <v>744</v>
      </c>
    </row>
    <row r="18" spans="1:19" x14ac:dyDescent="0.3">
      <c r="A18" s="2747"/>
      <c r="B18" s="6590"/>
      <c r="C18" s="5521">
        <v>46054</v>
      </c>
      <c r="D18" s="5531">
        <v>672</v>
      </c>
      <c r="E18" s="5531">
        <v>672</v>
      </c>
      <c r="F18" s="5532"/>
      <c r="G18" s="5531">
        <v>672</v>
      </c>
      <c r="H18" s="5531"/>
      <c r="I18" s="5531">
        <v>2016</v>
      </c>
      <c r="J18" s="5532"/>
      <c r="K18" s="5531">
        <v>672</v>
      </c>
      <c r="L18" s="5531">
        <v>672</v>
      </c>
      <c r="M18" s="5531">
        <v>672</v>
      </c>
    </row>
    <row r="19" spans="1:19" x14ac:dyDescent="0.3">
      <c r="A19" s="2747"/>
      <c r="B19" s="6590"/>
      <c r="C19" s="5521">
        <v>45717</v>
      </c>
      <c r="D19" s="5529">
        <v>744</v>
      </c>
      <c r="E19" s="5529">
        <v>744</v>
      </c>
      <c r="F19" s="5524"/>
      <c r="G19" s="5529">
        <v>744</v>
      </c>
      <c r="H19" s="5531"/>
      <c r="I19" s="5531">
        <v>2232</v>
      </c>
      <c r="J19" s="5524"/>
      <c r="K19" s="5529">
        <v>744</v>
      </c>
      <c r="L19" s="5529">
        <v>744</v>
      </c>
      <c r="M19" s="5529">
        <v>744</v>
      </c>
    </row>
    <row r="20" spans="1:19" x14ac:dyDescent="0.3">
      <c r="A20" s="2747"/>
      <c r="B20" s="6590"/>
      <c r="C20" s="5525" t="s">
        <v>1734</v>
      </c>
      <c r="D20" s="5533">
        <f t="shared" ref="D20:E20" si="4">SUM(D17:D19)</f>
        <v>2160</v>
      </c>
      <c r="E20" s="5533">
        <f t="shared" si="4"/>
        <v>2160</v>
      </c>
      <c r="F20" s="5527"/>
      <c r="G20" s="5533">
        <f>SUM(G17:G19)</f>
        <v>2160</v>
      </c>
      <c r="H20" s="5533"/>
      <c r="I20" s="5533">
        <f>SUM(I17:I19)</f>
        <v>6480</v>
      </c>
      <c r="J20" s="5527"/>
      <c r="K20" s="5533">
        <f t="shared" ref="K20:M20" si="5">SUM(K17:K19)</f>
        <v>2160</v>
      </c>
      <c r="L20" s="5533">
        <f t="shared" si="5"/>
        <v>2160</v>
      </c>
      <c r="M20" s="5533">
        <f t="shared" si="5"/>
        <v>2160</v>
      </c>
    </row>
    <row r="21" spans="1:19" x14ac:dyDescent="0.3">
      <c r="A21" s="2747"/>
      <c r="B21" s="6590"/>
      <c r="C21" s="5525" t="s">
        <v>2041</v>
      </c>
      <c r="D21" s="5533">
        <f t="shared" ref="D21:E21" si="6">D20+D16+D8+D12</f>
        <v>8760</v>
      </c>
      <c r="E21" s="5533">
        <f t="shared" si="6"/>
        <v>8760</v>
      </c>
      <c r="F21" s="5527"/>
      <c r="G21" s="5533">
        <f>G20+G16+G8+G12</f>
        <v>8760</v>
      </c>
      <c r="H21" s="5533"/>
      <c r="I21" s="5533">
        <f>I20+I16+I8+I12</f>
        <v>26280</v>
      </c>
      <c r="J21" s="5527"/>
      <c r="K21" s="5533">
        <f t="shared" ref="K21:M21" si="7">K20+K16+K8+K12</f>
        <v>8760</v>
      </c>
      <c r="L21" s="5533">
        <f t="shared" si="7"/>
        <v>8760</v>
      </c>
      <c r="M21" s="5534">
        <f t="shared" si="7"/>
        <v>8760</v>
      </c>
      <c r="N21" s="5124"/>
    </row>
    <row r="22" spans="1:19" x14ac:dyDescent="0.3">
      <c r="A22" s="2747"/>
      <c r="B22" s="5517"/>
      <c r="C22" s="5518"/>
      <c r="D22" s="5517"/>
      <c r="E22" s="5517"/>
      <c r="F22" s="5535"/>
      <c r="G22" s="5517"/>
      <c r="H22" s="5517"/>
      <c r="I22" s="5517"/>
      <c r="J22" s="5535"/>
      <c r="K22" s="5517"/>
      <c r="L22" s="5517"/>
      <c r="M22" s="5517"/>
    </row>
    <row r="23" spans="1:19" x14ac:dyDescent="0.3">
      <c r="A23" s="2747"/>
      <c r="B23" s="5517"/>
      <c r="C23" s="5521"/>
      <c r="D23" s="5517"/>
      <c r="E23" s="5517"/>
      <c r="F23" s="5535"/>
      <c r="G23" s="5517"/>
      <c r="H23" s="5517"/>
      <c r="I23" s="5517"/>
      <c r="J23" s="5535"/>
      <c r="K23" s="5517"/>
      <c r="L23" s="5517"/>
      <c r="M23" s="5517"/>
      <c r="N23" s="26"/>
      <c r="O23" s="26"/>
    </row>
    <row r="24" spans="1:19" x14ac:dyDescent="0.3">
      <c r="A24" s="2747"/>
      <c r="B24" s="5517" t="s">
        <v>1726</v>
      </c>
      <c r="C24" s="5518" t="s">
        <v>1726</v>
      </c>
      <c r="D24" s="5519" t="s">
        <v>1727</v>
      </c>
      <c r="E24" s="5519" t="s">
        <v>1728</v>
      </c>
      <c r="F24" s="5536"/>
      <c r="G24" s="5519" t="s">
        <v>1729</v>
      </c>
      <c r="H24" s="5519"/>
      <c r="I24" s="5519" t="s">
        <v>1055</v>
      </c>
      <c r="J24" s="5536"/>
      <c r="K24" s="5519" t="s">
        <v>59</v>
      </c>
      <c r="L24" s="5519" t="s">
        <v>95</v>
      </c>
      <c r="M24" s="5519" t="s">
        <v>1284</v>
      </c>
    </row>
    <row r="25" spans="1:19" x14ac:dyDescent="0.3">
      <c r="A25" s="2747"/>
      <c r="B25" s="6590" t="s">
        <v>1735</v>
      </c>
      <c r="C25" s="5521">
        <v>45748</v>
      </c>
      <c r="D25" s="5522">
        <f>+D5-D65-D66</f>
        <v>701</v>
      </c>
      <c r="E25" s="5522">
        <f>+E5-E65-E66</f>
        <v>704</v>
      </c>
      <c r="F25" s="5517"/>
      <c r="G25" s="5522">
        <f>+G5-G65-G66</f>
        <v>714</v>
      </c>
      <c r="H25" s="5522"/>
      <c r="I25" s="5522">
        <f>+I5-I65-I66</f>
        <v>1562.48</v>
      </c>
      <c r="J25" s="5535"/>
      <c r="K25" s="5522">
        <f>+K5-K65-K66</f>
        <v>542.88333333333333</v>
      </c>
      <c r="L25" s="5522">
        <f>+L5-L65-L66</f>
        <v>585.04999999999995</v>
      </c>
      <c r="M25" s="5522">
        <f>+M5-M65-M66</f>
        <v>535.41666666666663</v>
      </c>
      <c r="N25" s="1202"/>
      <c r="O25" s="1202"/>
      <c r="P25" s="1202"/>
    </row>
    <row r="26" spans="1:19" x14ac:dyDescent="0.3">
      <c r="A26" s="2747"/>
      <c r="B26" s="6590"/>
      <c r="C26" s="5521">
        <v>45778</v>
      </c>
      <c r="D26" s="5522">
        <f>+D6-D87-D88</f>
        <v>728</v>
      </c>
      <c r="E26" s="5522">
        <f>+E6-E87-E88</f>
        <v>726</v>
      </c>
      <c r="F26" s="5523"/>
      <c r="G26" s="5522">
        <f>+G6-G87-G88</f>
        <v>715</v>
      </c>
      <c r="H26" s="5522"/>
      <c r="I26" s="5522">
        <f>+I6-I87-I88</f>
        <v>1618.1399999999999</v>
      </c>
      <c r="J26" s="5524"/>
      <c r="K26" s="5522">
        <f>+K6-K87-K88</f>
        <v>599.16666666666663</v>
      </c>
      <c r="L26" s="5522">
        <f>+L6-L87-L88</f>
        <v>663.11666666666667</v>
      </c>
      <c r="M26" s="5522">
        <f>+M6-M87-M88</f>
        <v>629.58333333333337</v>
      </c>
      <c r="N26" s="1202"/>
      <c r="O26" s="1202"/>
      <c r="P26" s="1202"/>
    </row>
    <row r="27" spans="1:19" x14ac:dyDescent="0.3">
      <c r="A27" s="2747"/>
      <c r="B27" s="6590"/>
      <c r="C27" s="5521">
        <v>45809</v>
      </c>
      <c r="D27" s="5537">
        <f>D7-D108-D109</f>
        <v>703</v>
      </c>
      <c r="E27" s="5537">
        <f>E7-E108-E109</f>
        <v>705</v>
      </c>
      <c r="F27" s="5537"/>
      <c r="G27" s="5537">
        <f>G7-G108-G109</f>
        <v>710.67</v>
      </c>
      <c r="H27" s="5537"/>
      <c r="I27" s="5537">
        <f>I7-I108-I109</f>
        <v>1652.77</v>
      </c>
      <c r="J27" s="5537"/>
      <c r="K27" s="5537">
        <f>K7-K108-K109</f>
        <v>606.04999999999995</v>
      </c>
      <c r="L27" s="5537">
        <f>L7-L108-L109</f>
        <v>633.18333333333339</v>
      </c>
      <c r="M27" s="5537">
        <f>M7-M108-M109</f>
        <v>606.41666666666663</v>
      </c>
      <c r="N27" s="5125"/>
      <c r="Q27" s="1202"/>
      <c r="R27" s="1202"/>
      <c r="S27" s="1202"/>
    </row>
    <row r="28" spans="1:19" x14ac:dyDescent="0.3">
      <c r="A28" s="2747"/>
      <c r="B28" s="6590"/>
      <c r="C28" s="5525" t="s">
        <v>1731</v>
      </c>
      <c r="D28" s="5538">
        <f>SUM(D25:D27)</f>
        <v>2132</v>
      </c>
      <c r="E28" s="5538">
        <f>SUM(E25:E27)</f>
        <v>2135</v>
      </c>
      <c r="F28" s="5539"/>
      <c r="G28" s="5538">
        <f>SUM(G25:G27)</f>
        <v>2139.67</v>
      </c>
      <c r="H28" s="5538"/>
      <c r="I28" s="5538">
        <f>SUM(I25:I27)</f>
        <v>4833.3899999999994</v>
      </c>
      <c r="J28" s="5539"/>
      <c r="K28" s="5538">
        <f t="shared" ref="K28:M28" si="8">SUM(K25:K27)</f>
        <v>1748.1</v>
      </c>
      <c r="L28" s="5538">
        <f t="shared" si="8"/>
        <v>1881.35</v>
      </c>
      <c r="M28" s="5538">
        <f t="shared" si="8"/>
        <v>1771.4166666666665</v>
      </c>
      <c r="Q28" s="1202"/>
      <c r="R28" s="1202"/>
      <c r="S28" s="1202"/>
    </row>
    <row r="29" spans="1:19" x14ac:dyDescent="0.3">
      <c r="A29" s="2747"/>
      <c r="B29" s="6590"/>
      <c r="C29" s="5521">
        <v>45839</v>
      </c>
      <c r="D29" s="5537">
        <f>D9-D130-D131</f>
        <v>725.5</v>
      </c>
      <c r="E29" s="5537">
        <f>E9-E130-E131</f>
        <v>728</v>
      </c>
      <c r="F29" s="5537"/>
      <c r="G29" s="5537">
        <f>G9-G130-G131</f>
        <v>744</v>
      </c>
      <c r="H29" s="5537"/>
      <c r="I29" s="5537">
        <f>I9-I130-I131</f>
        <v>1670.6</v>
      </c>
      <c r="J29" s="5537"/>
      <c r="K29" s="5537">
        <f>K9-K130-K131</f>
        <v>635.36666666666667</v>
      </c>
      <c r="L29" s="5537">
        <f>L9-L130-L131</f>
        <v>682.33333333333337</v>
      </c>
      <c r="M29" s="5540">
        <f>M9-M130-M131</f>
        <v>655.08333333333337</v>
      </c>
      <c r="N29" s="26"/>
      <c r="O29" s="26"/>
    </row>
    <row r="30" spans="1:19" x14ac:dyDescent="0.3">
      <c r="A30" s="2747"/>
      <c r="B30" s="6590"/>
      <c r="C30" s="5521">
        <v>45870</v>
      </c>
      <c r="D30" s="5541">
        <f>+D10-D152-D153</f>
        <v>719.83</v>
      </c>
      <c r="E30" s="5541">
        <f>+E10-E152-E153</f>
        <v>738</v>
      </c>
      <c r="F30" s="5541"/>
      <c r="G30" s="5541">
        <f>+G10-G152-G153</f>
        <v>720.58</v>
      </c>
      <c r="H30" s="5541"/>
      <c r="I30" s="5541">
        <f>+I10-I152-I153</f>
        <v>1686.67</v>
      </c>
      <c r="J30" s="5541"/>
      <c r="K30" s="5541">
        <f>+K10-K152-K153</f>
        <v>614.88333333333333</v>
      </c>
      <c r="L30" s="5541">
        <f>+L10-L152-L153</f>
        <v>647.79999999999995</v>
      </c>
      <c r="M30" s="5541">
        <f>+M10-M152-M153</f>
        <v>610.91666666666663</v>
      </c>
    </row>
    <row r="31" spans="1:19" x14ac:dyDescent="0.3">
      <c r="A31" s="2749"/>
      <c r="B31" s="6590"/>
      <c r="C31" s="5521">
        <v>45901</v>
      </c>
      <c r="D31" s="5541">
        <f>D11-D174-D175</f>
        <v>706.5</v>
      </c>
      <c r="E31" s="5541">
        <f>E11-E174-E175</f>
        <v>706.75</v>
      </c>
      <c r="F31" s="5541"/>
      <c r="G31" s="5541">
        <f>G11-G174-G175</f>
        <v>712.17</v>
      </c>
      <c r="H31" s="5541"/>
      <c r="I31" s="5541">
        <f>I11-I174-I175</f>
        <v>1572.5</v>
      </c>
      <c r="J31" s="5541"/>
      <c r="K31" s="5541">
        <f>K11-K174-K175</f>
        <v>615.58333333333337</v>
      </c>
      <c r="L31" s="5541">
        <f>L11-L174-L175</f>
        <v>647.83333333333337</v>
      </c>
      <c r="M31" s="5541">
        <f>M11-M174-M175</f>
        <v>606.91666666666663</v>
      </c>
    </row>
    <row r="32" spans="1:19" x14ac:dyDescent="0.3">
      <c r="A32" s="2747"/>
      <c r="B32" s="6590"/>
      <c r="C32" s="5525" t="s">
        <v>1732</v>
      </c>
      <c r="D32" s="5542">
        <f>SUM(D29:D31)</f>
        <v>2151.83</v>
      </c>
      <c r="E32" s="5542">
        <f t="shared" ref="E32:M32" si="9">SUM(E29:E31)</f>
        <v>2172.75</v>
      </c>
      <c r="F32" s="5542"/>
      <c r="G32" s="5542">
        <f t="shared" si="9"/>
        <v>2176.75</v>
      </c>
      <c r="H32" s="5542"/>
      <c r="I32" s="5542">
        <f t="shared" si="9"/>
        <v>4929.7700000000004</v>
      </c>
      <c r="J32" s="5542"/>
      <c r="K32" s="5542">
        <f t="shared" si="9"/>
        <v>1865.8333333333335</v>
      </c>
      <c r="L32" s="5542">
        <f t="shared" si="9"/>
        <v>1977.9666666666667</v>
      </c>
      <c r="M32" s="5542">
        <f t="shared" si="9"/>
        <v>1872.9166666666665</v>
      </c>
    </row>
    <row r="33" spans="1:19" x14ac:dyDescent="0.3">
      <c r="A33" s="2749"/>
      <c r="B33" s="6590"/>
      <c r="C33" s="5521">
        <v>45931</v>
      </c>
      <c r="D33" s="5537">
        <f>D13-D196-D197</f>
        <v>562</v>
      </c>
      <c r="E33" s="5537">
        <f>E13-E196-E197</f>
        <v>605</v>
      </c>
      <c r="F33" s="5543"/>
      <c r="G33" s="5537">
        <f>G13-G196-G197</f>
        <v>646.33330000000001</v>
      </c>
      <c r="H33" s="5537"/>
      <c r="I33" s="5537">
        <f>I13-I196-I197</f>
        <v>1598.77</v>
      </c>
      <c r="J33" s="5543"/>
      <c r="K33" s="5537">
        <f>K13-K196-K197</f>
        <v>444.16666666666663</v>
      </c>
      <c r="L33" s="5537">
        <f>L13-L196-L197</f>
        <v>452.16666666666674</v>
      </c>
      <c r="M33" s="5537">
        <f>M13-M196-M197</f>
        <v>399.75</v>
      </c>
      <c r="N33" s="5126"/>
      <c r="O33" s="5126"/>
      <c r="P33" s="5126"/>
    </row>
    <row r="34" spans="1:19" x14ac:dyDescent="0.3">
      <c r="A34" s="2747"/>
      <c r="B34" s="6590"/>
      <c r="C34" s="5521">
        <v>45962</v>
      </c>
      <c r="D34" s="5537">
        <f>D14-D218-D219</f>
        <v>688</v>
      </c>
      <c r="E34" s="5537">
        <f>E14-E218-E219</f>
        <v>707</v>
      </c>
      <c r="F34" s="5537"/>
      <c r="G34" s="5537">
        <f>G14-G218-G219</f>
        <v>698.58</v>
      </c>
      <c r="H34" s="5537"/>
      <c r="I34" s="5537">
        <f>I14-I218-I219</f>
        <v>1575.9</v>
      </c>
      <c r="J34" s="5537"/>
      <c r="K34" s="5537">
        <f>K14-K218-K219</f>
        <v>592.85</v>
      </c>
      <c r="L34" s="5537">
        <f>L14-L218-L219</f>
        <v>632.73333333333335</v>
      </c>
      <c r="M34" s="5537">
        <f>M14-M218-M219</f>
        <v>595.16666666666663</v>
      </c>
      <c r="N34" s="5126"/>
      <c r="O34" s="5126"/>
      <c r="P34" s="5126"/>
    </row>
    <row r="35" spans="1:19" x14ac:dyDescent="0.3">
      <c r="A35" s="2747"/>
      <c r="B35" s="6590"/>
      <c r="C35" s="5521">
        <v>45992</v>
      </c>
      <c r="D35" s="5544">
        <f>D15-D241-D242</f>
        <v>728</v>
      </c>
      <c r="E35" s="5544">
        <f>E15-E241-E242</f>
        <v>724</v>
      </c>
      <c r="F35" s="5537"/>
      <c r="G35" s="5537">
        <f>G15-G241-G242</f>
        <v>744</v>
      </c>
      <c r="H35" s="5537"/>
      <c r="I35" s="5537">
        <f>I15-I241-I242</f>
        <v>1605.3</v>
      </c>
      <c r="J35" s="5537"/>
      <c r="K35" s="5537">
        <f>K15-K241-K242</f>
        <v>605.31666666666661</v>
      </c>
      <c r="L35" s="5537">
        <f>L15-L241-L242</f>
        <v>674.7166666666667</v>
      </c>
      <c r="M35" s="5537">
        <f>M15-M241-M242</f>
        <v>655.91666666666663</v>
      </c>
      <c r="N35" s="528"/>
      <c r="O35" s="528"/>
      <c r="P35" s="528"/>
    </row>
    <row r="36" spans="1:19" x14ac:dyDescent="0.3">
      <c r="A36" s="2747"/>
      <c r="B36" s="6590"/>
      <c r="C36" s="5525" t="s">
        <v>1733</v>
      </c>
      <c r="D36" s="5538">
        <f>D33+D35+D34</f>
        <v>1978</v>
      </c>
      <c r="E36" s="5538">
        <f t="shared" ref="E36:M36" si="10">E33+E35+E34</f>
        <v>2036</v>
      </c>
      <c r="F36" s="5538"/>
      <c r="G36" s="5538">
        <f t="shared" si="10"/>
        <v>2088.9133000000002</v>
      </c>
      <c r="H36" s="5538"/>
      <c r="I36" s="5538">
        <f t="shared" si="10"/>
        <v>4779.9699999999993</v>
      </c>
      <c r="J36" s="5538"/>
      <c r="K36" s="5538">
        <f t="shared" si="10"/>
        <v>1642.333333333333</v>
      </c>
      <c r="L36" s="5538">
        <f t="shared" si="10"/>
        <v>1759.6166666666668</v>
      </c>
      <c r="M36" s="5538">
        <f t="shared" si="10"/>
        <v>1650.833333333333</v>
      </c>
      <c r="N36" s="528"/>
      <c r="O36" s="528"/>
      <c r="P36" s="528"/>
    </row>
    <row r="37" spans="1:19" x14ac:dyDescent="0.3">
      <c r="A37" s="2747"/>
      <c r="B37" s="6590"/>
      <c r="C37" s="5521">
        <v>46023</v>
      </c>
      <c r="D37" s="5537">
        <f>D17-D263-D264</f>
        <v>714.75</v>
      </c>
      <c r="E37" s="5537">
        <f>E17-E263-E264</f>
        <v>730.5</v>
      </c>
      <c r="F37" s="5543"/>
      <c r="G37" s="5545">
        <f>G17-G263-G264</f>
        <v>729.92</v>
      </c>
      <c r="H37" s="5537"/>
      <c r="I37" s="5537">
        <f>I17-I263-I264</f>
        <v>1621.8</v>
      </c>
      <c r="J37" s="5537"/>
      <c r="K37" s="5537">
        <f>K17-K263-K264</f>
        <v>618.0333333333333</v>
      </c>
      <c r="L37" s="5537">
        <f>L17-L263-L264</f>
        <v>669.98333333333335</v>
      </c>
      <c r="M37" s="5537">
        <f>M17-M263-M264</f>
        <v>632.25</v>
      </c>
    </row>
    <row r="38" spans="1:19" x14ac:dyDescent="0.3">
      <c r="A38" s="2747"/>
      <c r="B38" s="6590"/>
      <c r="C38" s="5521">
        <v>46054</v>
      </c>
      <c r="D38" s="5537">
        <f>D18-D285-D286</f>
        <v>654</v>
      </c>
      <c r="E38" s="5537">
        <f>E18-E285-E286</f>
        <v>658.5</v>
      </c>
      <c r="F38" s="5537"/>
      <c r="G38" s="5537">
        <f>G18-G285-G286</f>
        <v>661.83</v>
      </c>
      <c r="H38" s="5537"/>
      <c r="I38" s="5537">
        <f>I18-I285-I286</f>
        <v>1390.4299999999998</v>
      </c>
      <c r="J38" s="5537"/>
      <c r="K38" s="5537">
        <f>K18-K285-K286</f>
        <v>576.2166666666667</v>
      </c>
      <c r="L38" s="5537">
        <f>L18-L285-L286</f>
        <v>607.1</v>
      </c>
      <c r="M38" s="5537">
        <f>M18-M285-M286</f>
        <v>579.25</v>
      </c>
      <c r="N38" s="1202"/>
      <c r="O38" s="1202"/>
      <c r="P38" s="1202"/>
      <c r="Q38" s="1202"/>
      <c r="R38" s="1202"/>
      <c r="S38" s="1202"/>
    </row>
    <row r="39" spans="1:19" x14ac:dyDescent="0.3">
      <c r="A39" s="2747"/>
      <c r="B39" s="6590"/>
      <c r="C39" s="5521">
        <v>46082</v>
      </c>
      <c r="D39" s="5537">
        <f>D19-D307-D308</f>
        <v>717</v>
      </c>
      <c r="E39" s="5537">
        <f>E19-E307-E308</f>
        <v>731.5</v>
      </c>
      <c r="F39" s="5543"/>
      <c r="G39" s="5537">
        <f>G19-G307-G308</f>
        <v>719.33</v>
      </c>
      <c r="H39" s="5537"/>
      <c r="I39" s="5537">
        <f>I19-I307-I308</f>
        <v>1718.3899999999999</v>
      </c>
      <c r="J39" s="5543"/>
      <c r="K39" s="5537">
        <f>K19-K307-K308</f>
        <v>607.6</v>
      </c>
      <c r="L39" s="5537">
        <f>L19-L307-L308</f>
        <v>669.41666666666663</v>
      </c>
      <c r="M39" s="5537">
        <f>M19-M307-M308</f>
        <v>626.16666666666663</v>
      </c>
    </row>
    <row r="40" spans="1:19" x14ac:dyDescent="0.3">
      <c r="A40" s="2747"/>
      <c r="B40" s="6590"/>
      <c r="C40" s="5525" t="s">
        <v>1734</v>
      </c>
      <c r="D40" s="5538">
        <f t="shared" ref="D40:E40" si="11">SUM(D37:D39)</f>
        <v>2085.75</v>
      </c>
      <c r="E40" s="5538">
        <f t="shared" si="11"/>
        <v>2120.5</v>
      </c>
      <c r="F40" s="5546"/>
      <c r="G40" s="5538">
        <f>SUM(G37:G39)</f>
        <v>2111.08</v>
      </c>
      <c r="H40" s="5538"/>
      <c r="I40" s="5538">
        <f>SUM(I37:I39)</f>
        <v>4730.619999999999</v>
      </c>
      <c r="J40" s="5546"/>
      <c r="K40" s="5538">
        <f t="shared" ref="K40:M40" si="12">SUM(K37:K39)</f>
        <v>1801.85</v>
      </c>
      <c r="L40" s="5538">
        <f t="shared" si="12"/>
        <v>1946.5</v>
      </c>
      <c r="M40" s="5538">
        <f t="shared" si="12"/>
        <v>1837.6666666666665</v>
      </c>
    </row>
    <row r="41" spans="1:19" x14ac:dyDescent="0.3">
      <c r="A41" s="2747"/>
      <c r="B41" s="6590"/>
      <c r="C41" s="5525" t="s">
        <v>2041</v>
      </c>
      <c r="D41" s="5538">
        <f t="shared" ref="D41:E41" si="13">D40+D36+D32+D28</f>
        <v>8347.58</v>
      </c>
      <c r="E41" s="5538">
        <f t="shared" si="13"/>
        <v>8464.25</v>
      </c>
      <c r="F41" s="5546"/>
      <c r="G41" s="5538">
        <f>G40+G36+G32+G28</f>
        <v>8516.4133000000002</v>
      </c>
      <c r="H41" s="5538"/>
      <c r="I41" s="5538">
        <f>I40+I36+I32+I28</f>
        <v>19273.75</v>
      </c>
      <c r="J41" s="5546"/>
      <c r="K41" s="5538">
        <f t="shared" ref="K41:M41" si="14">K40+K36+K32+K28</f>
        <v>7058.1166666666668</v>
      </c>
      <c r="L41" s="5538">
        <f t="shared" si="14"/>
        <v>7565.4333333333343</v>
      </c>
      <c r="M41" s="5538">
        <f t="shared" si="14"/>
        <v>7132.8333333333321</v>
      </c>
      <c r="N41" s="1202"/>
    </row>
    <row r="42" spans="1:19" x14ac:dyDescent="0.3">
      <c r="A42" s="2747"/>
      <c r="B42" s="5517"/>
      <c r="C42" s="5518"/>
      <c r="D42" s="5547"/>
      <c r="E42" s="5547"/>
      <c r="F42" s="5522"/>
      <c r="G42" s="5522"/>
      <c r="H42" s="5522"/>
      <c r="I42" s="5522"/>
      <c r="J42" s="5522"/>
      <c r="K42" s="5522"/>
      <c r="L42" s="5522"/>
      <c r="M42" s="5522"/>
      <c r="N42" s="26"/>
      <c r="O42" s="26"/>
      <c r="P42" s="26"/>
    </row>
    <row r="43" spans="1:19" x14ac:dyDescent="0.3">
      <c r="A43" s="2747"/>
      <c r="B43" s="5517"/>
      <c r="C43" s="5518"/>
      <c r="D43" s="5522"/>
      <c r="E43" s="5522"/>
      <c r="F43" s="5522"/>
      <c r="G43" s="5522"/>
      <c r="H43" s="5522"/>
      <c r="I43" s="5522"/>
      <c r="J43" s="5522"/>
      <c r="K43" s="5522"/>
      <c r="L43" s="5522"/>
      <c r="M43" s="5522"/>
    </row>
    <row r="44" spans="1:19" x14ac:dyDescent="0.3">
      <c r="A44" s="2747"/>
      <c r="B44" s="5517" t="s">
        <v>1726</v>
      </c>
      <c r="C44" s="5518" t="s">
        <v>1726</v>
      </c>
      <c r="D44" s="5519" t="s">
        <v>1727</v>
      </c>
      <c r="E44" s="5519" t="s">
        <v>1728</v>
      </c>
      <c r="F44" s="5519"/>
      <c r="G44" s="5519" t="s">
        <v>1729</v>
      </c>
      <c r="H44" s="5519"/>
      <c r="I44" s="5519" t="s">
        <v>1055</v>
      </c>
      <c r="J44" s="5519"/>
      <c r="K44" s="5548" t="s">
        <v>59</v>
      </c>
      <c r="L44" s="5548" t="s">
        <v>95</v>
      </c>
      <c r="M44" s="5548" t="s">
        <v>1284</v>
      </c>
    </row>
    <row r="45" spans="1:19" x14ac:dyDescent="0.3">
      <c r="A45" s="2747"/>
      <c r="B45" s="6590" t="s">
        <v>1736</v>
      </c>
      <c r="C45" s="5521">
        <v>45748</v>
      </c>
      <c r="D45" s="5522">
        <f>+D25-SUM(D67:D84)</f>
        <v>599.61</v>
      </c>
      <c r="E45" s="5522">
        <f>+E25-SUM(E67:E84)</f>
        <v>567.35</v>
      </c>
      <c r="F45" s="5522"/>
      <c r="G45" s="5522">
        <f>+G25-SUM(G67:G84)</f>
        <v>640</v>
      </c>
      <c r="H45" s="5522"/>
      <c r="I45" s="5522">
        <f>+I25-SUM(I67:I84)</f>
        <v>1240.03</v>
      </c>
      <c r="J45" s="5522"/>
      <c r="K45" s="5522">
        <f>+K25-SUM(K67:K84)</f>
        <v>468.91666666666663</v>
      </c>
      <c r="L45" s="5522">
        <f>+L25-SUM(L67:L84)</f>
        <v>520.84999999999991</v>
      </c>
      <c r="M45" s="5522">
        <f>+M25-SUM(M67:M84)</f>
        <v>448.58333333333326</v>
      </c>
      <c r="N45" s="1202"/>
      <c r="O45" s="1202"/>
      <c r="P45" s="1202"/>
      <c r="Q45" s="1202"/>
    </row>
    <row r="46" spans="1:19" x14ac:dyDescent="0.3">
      <c r="A46" s="2747"/>
      <c r="B46" s="6590"/>
      <c r="C46" s="5521">
        <v>45778</v>
      </c>
      <c r="D46" s="5522">
        <f>+D26-SUM(D89:D106)</f>
        <v>670.93</v>
      </c>
      <c r="E46" s="5522">
        <f>+E26-SUM(E89:E106)</f>
        <v>622.33000000000004</v>
      </c>
      <c r="F46" s="5522"/>
      <c r="G46" s="5522">
        <f>+G26-SUM(G89:G106)</f>
        <v>715</v>
      </c>
      <c r="H46" s="5522"/>
      <c r="I46" s="5522">
        <f>+I26-SUM(I89:I106)</f>
        <v>1462.5099999999998</v>
      </c>
      <c r="J46" s="5522"/>
      <c r="K46" s="5522">
        <f>+K26-SUM(K89:K106)</f>
        <v>533.16666666666663</v>
      </c>
      <c r="L46" s="5522">
        <f t="shared" ref="L46:M46" si="15">+L26-SUM(L89:L106)</f>
        <v>592.11666666666667</v>
      </c>
      <c r="M46" s="5522">
        <f t="shared" si="15"/>
        <v>511.08333333333337</v>
      </c>
      <c r="N46" s="26"/>
      <c r="P46" s="1202"/>
      <c r="Q46" s="1202"/>
    </row>
    <row r="47" spans="1:19" x14ac:dyDescent="0.3">
      <c r="A47" s="2747"/>
      <c r="B47" s="6590"/>
      <c r="C47" s="5521">
        <v>45809</v>
      </c>
      <c r="D47" s="5537">
        <f>D27-SUM(D110:D127)</f>
        <v>696.93</v>
      </c>
      <c r="E47" s="5537">
        <f>E27-SUM(E110:E127)</f>
        <v>667.97</v>
      </c>
      <c r="F47" s="5537"/>
      <c r="G47" s="5537">
        <f>G27-SUM(G110:G127)</f>
        <v>710.67</v>
      </c>
      <c r="H47" s="5537"/>
      <c r="I47" s="5537">
        <f>I27-SUM(I110:I127)</f>
        <v>1584.08</v>
      </c>
      <c r="J47" s="5537"/>
      <c r="K47" s="5537">
        <f>K27-SUM(K110:K127)</f>
        <v>526.38333333333333</v>
      </c>
      <c r="L47" s="5537">
        <f>L27-SUM(L110:L127)</f>
        <v>568.56666666666672</v>
      </c>
      <c r="M47" s="5537">
        <f>M27-SUM(M110:M127)</f>
        <v>508.91666666666663</v>
      </c>
      <c r="N47" s="26"/>
      <c r="O47" s="26"/>
      <c r="P47" s="26"/>
      <c r="Q47" s="1202"/>
    </row>
    <row r="48" spans="1:19" x14ac:dyDescent="0.3">
      <c r="A48" s="2747"/>
      <c r="B48" s="6590"/>
      <c r="C48" s="5525" t="s">
        <v>1731</v>
      </c>
      <c r="D48" s="5538">
        <f>SUM(D45:D47)</f>
        <v>1967.4699999999998</v>
      </c>
      <c r="E48" s="5538">
        <f t="shared" ref="E48:M48" si="16">SUM(E45:E47)</f>
        <v>1857.65</v>
      </c>
      <c r="F48" s="5538"/>
      <c r="G48" s="5538">
        <f t="shared" si="16"/>
        <v>2065.67</v>
      </c>
      <c r="H48" s="5538"/>
      <c r="I48" s="5538">
        <f t="shared" si="16"/>
        <v>4286.62</v>
      </c>
      <c r="J48" s="5538"/>
      <c r="K48" s="5538">
        <f t="shared" si="16"/>
        <v>1528.4666666666667</v>
      </c>
      <c r="L48" s="5538">
        <f t="shared" si="16"/>
        <v>1681.5333333333333</v>
      </c>
      <c r="M48" s="5538">
        <f t="shared" si="16"/>
        <v>1468.5833333333333</v>
      </c>
      <c r="P48" s="1202"/>
      <c r="Q48" s="1202"/>
    </row>
    <row r="49" spans="1:19" x14ac:dyDescent="0.3">
      <c r="A49" s="2747"/>
      <c r="B49" s="6590"/>
      <c r="C49" s="5521">
        <v>45839</v>
      </c>
      <c r="D49" s="5537">
        <f>D29-SUM(D132:D149)</f>
        <v>718.53</v>
      </c>
      <c r="E49" s="5537">
        <f>E29-SUM(E132:E149)</f>
        <v>708.72</v>
      </c>
      <c r="F49" s="5537"/>
      <c r="G49" s="5537">
        <f>G29-SUM(G132:G149)</f>
        <v>744</v>
      </c>
      <c r="H49" s="5537"/>
      <c r="I49" s="5537">
        <f>I29-SUM(I132:I149)</f>
        <v>1629.31</v>
      </c>
      <c r="J49" s="5537"/>
      <c r="K49" s="5537">
        <f>K29-SUM(K132:K149)</f>
        <v>575.83333333333337</v>
      </c>
      <c r="L49" s="5537">
        <f>L29-SUM(L132:L149)</f>
        <v>627.73333333333335</v>
      </c>
      <c r="M49" s="5537">
        <f>M29-SUM(M132:M149)</f>
        <v>534.66666666666674</v>
      </c>
      <c r="P49" s="1202"/>
      <c r="Q49" s="1202"/>
    </row>
    <row r="50" spans="1:19" x14ac:dyDescent="0.3">
      <c r="A50" s="2747"/>
      <c r="B50" s="6590"/>
      <c r="C50" s="5521">
        <v>45870</v>
      </c>
      <c r="D50" s="5541">
        <f>+D30-SUM(D154:D171)</f>
        <v>692.09</v>
      </c>
      <c r="E50" s="5541">
        <f>+E30-SUM(E154:E171)</f>
        <v>699.05</v>
      </c>
      <c r="F50" s="5541"/>
      <c r="G50" s="5541">
        <f>+G30-SUM(G154:G171)</f>
        <v>720.58</v>
      </c>
      <c r="H50" s="5541"/>
      <c r="I50" s="5541">
        <f>+I30-SUM(I154:I171)</f>
        <v>1573.14</v>
      </c>
      <c r="J50" s="5541"/>
      <c r="K50" s="5541">
        <f>+K30-SUM(K154:K171)</f>
        <v>521.85</v>
      </c>
      <c r="L50" s="5541">
        <f>+L30-SUM(L154:L171)</f>
        <v>573.9</v>
      </c>
      <c r="M50" s="5541">
        <f>+M30-SUM(M154:M171)</f>
        <v>441.5</v>
      </c>
      <c r="P50" s="1202"/>
      <c r="Q50" s="1202"/>
    </row>
    <row r="51" spans="1:19" x14ac:dyDescent="0.3">
      <c r="A51" s="2747"/>
      <c r="B51" s="6590"/>
      <c r="C51" s="5521">
        <v>45901</v>
      </c>
      <c r="D51" s="5541">
        <f>D31-SUM(D176:D193)</f>
        <v>692.24</v>
      </c>
      <c r="E51" s="5541">
        <f>E31-SUM(E176:E193)</f>
        <v>678.58</v>
      </c>
      <c r="F51" s="5541"/>
      <c r="G51" s="5541">
        <f>G31-SUM(G176:G193)</f>
        <v>712.17</v>
      </c>
      <c r="H51" s="5541"/>
      <c r="I51" s="5541">
        <f>I31-SUM(I176:I193)</f>
        <v>1487.45</v>
      </c>
      <c r="J51" s="5541"/>
      <c r="K51" s="5541">
        <f>K31-SUM(K176:K193)</f>
        <v>552.80000000000007</v>
      </c>
      <c r="L51" s="5541">
        <f>L31-SUM(L176:L193)</f>
        <v>574.9666666666667</v>
      </c>
      <c r="M51" s="5541">
        <f>M31-SUM(M176:M193)</f>
        <v>453.66666666666663</v>
      </c>
      <c r="N51" s="26"/>
      <c r="O51" s="26"/>
      <c r="P51" s="26"/>
      <c r="Q51" s="1202"/>
    </row>
    <row r="52" spans="1:19" x14ac:dyDescent="0.3">
      <c r="A52" s="2747"/>
      <c r="B52" s="6590"/>
      <c r="C52" s="5525" t="s">
        <v>1732</v>
      </c>
      <c r="D52" s="5542">
        <f>SUM(D49:D51)</f>
        <v>2102.8599999999997</v>
      </c>
      <c r="E52" s="5542">
        <f t="shared" ref="E52:M52" si="17">SUM(E49:E51)</f>
        <v>2086.35</v>
      </c>
      <c r="F52" s="5542"/>
      <c r="G52" s="5542">
        <f t="shared" si="17"/>
        <v>2176.75</v>
      </c>
      <c r="H52" s="5542"/>
      <c r="I52" s="5542">
        <f t="shared" si="17"/>
        <v>4689.8999999999996</v>
      </c>
      <c r="J52" s="5542"/>
      <c r="K52" s="5542">
        <f t="shared" si="17"/>
        <v>1650.4833333333336</v>
      </c>
      <c r="L52" s="5542">
        <f t="shared" si="17"/>
        <v>1776.6</v>
      </c>
      <c r="M52" s="5542">
        <f t="shared" si="17"/>
        <v>1429.8333333333335</v>
      </c>
      <c r="P52" s="1202"/>
      <c r="Q52" s="1202"/>
    </row>
    <row r="53" spans="1:19" x14ac:dyDescent="0.3">
      <c r="A53" s="2747"/>
      <c r="B53" s="6590"/>
      <c r="C53" s="5521">
        <v>45931</v>
      </c>
      <c r="D53" s="5537">
        <f>D33-SUM(D198:D215)</f>
        <v>529.4</v>
      </c>
      <c r="E53" s="5537">
        <f>E33-SUM(E198:E215)</f>
        <v>562.55999999999995</v>
      </c>
      <c r="F53" s="5543"/>
      <c r="G53" s="5537">
        <f>G33-SUM(G198:G215)</f>
        <v>646.33330000000001</v>
      </c>
      <c r="H53" s="5537"/>
      <c r="I53" s="5537">
        <f>I33-SUM(I198:I215)</f>
        <v>1217.79</v>
      </c>
      <c r="J53" s="5543"/>
      <c r="K53" s="5537">
        <f>K33-SUM(K198:K215)</f>
        <v>387.69999999999993</v>
      </c>
      <c r="L53" s="5537">
        <f>L33-SUM(L198:L215)</f>
        <v>395.40000000000009</v>
      </c>
      <c r="M53" s="5537">
        <f>M33-SUM(M198:M215)</f>
        <v>248.25</v>
      </c>
      <c r="P53" s="1202"/>
      <c r="Q53" s="1202"/>
    </row>
    <row r="54" spans="1:19" x14ac:dyDescent="0.3">
      <c r="A54" s="2747"/>
      <c r="B54" s="6590"/>
      <c r="C54" s="5521">
        <v>45962</v>
      </c>
      <c r="D54" s="5537">
        <f>D34-SUM(D220:D237)</f>
        <v>650.22</v>
      </c>
      <c r="E54" s="5537">
        <f>E34-SUM(E220:E237)</f>
        <v>632.91999999999996</v>
      </c>
      <c r="F54" s="5543"/>
      <c r="G54" s="5537">
        <f>G34-SUM(G220:G237)</f>
        <v>698.58</v>
      </c>
      <c r="H54" s="5537"/>
      <c r="I54" s="5537">
        <f>I34-SUM(I220:I237)</f>
        <v>1508.64</v>
      </c>
      <c r="J54" s="5543"/>
      <c r="K54" s="5537">
        <f>K34-SUM(K220:K237)</f>
        <v>470.26666666666671</v>
      </c>
      <c r="L54" s="5537">
        <f>L34-SUM(L220:L237)</f>
        <v>544.2166666666667</v>
      </c>
      <c r="M54" s="5537">
        <f>M34-SUM(M220:M237)</f>
        <v>465.99999999999994</v>
      </c>
      <c r="P54" s="1202"/>
      <c r="Q54" s="1202"/>
    </row>
    <row r="55" spans="1:19" x14ac:dyDescent="0.3">
      <c r="A55" s="2747"/>
      <c r="B55" s="6590"/>
      <c r="C55" s="5521">
        <v>45992</v>
      </c>
      <c r="D55" s="5537">
        <f>D35-SUM(D243:D260)</f>
        <v>656.12</v>
      </c>
      <c r="E55" s="5537">
        <f>E35-SUM(E243:E260)</f>
        <v>608.5</v>
      </c>
      <c r="F55" s="5537"/>
      <c r="G55" s="5537">
        <f>G35-SUM(G243:G260)</f>
        <v>736.75</v>
      </c>
      <c r="H55" s="5537"/>
      <c r="I55" s="5537">
        <f>I35-SUM(I243:I260)</f>
        <v>1544.87</v>
      </c>
      <c r="J55" s="5537"/>
      <c r="K55" s="5537">
        <f>K35-SUM(K243:K260)</f>
        <v>543.5333333333333</v>
      </c>
      <c r="L55" s="5537">
        <f>L35-SUM(L243:L260)</f>
        <v>603.43333333333339</v>
      </c>
      <c r="M55" s="5537">
        <f>M35-SUM(M243:M260)</f>
        <v>508.41666666666663</v>
      </c>
      <c r="N55" s="1202"/>
      <c r="P55" s="1202"/>
      <c r="Q55" s="1202"/>
    </row>
    <row r="56" spans="1:19" x14ac:dyDescent="0.3">
      <c r="A56" s="2747"/>
      <c r="B56" s="6590"/>
      <c r="C56" s="5525" t="s">
        <v>1733</v>
      </c>
      <c r="D56" s="5538">
        <f>D53+D54+D55</f>
        <v>1835.7399999999998</v>
      </c>
      <c r="E56" s="5538">
        <f t="shared" ref="E56:M56" si="18">E53+E54+E55</f>
        <v>1803.98</v>
      </c>
      <c r="F56" s="5538"/>
      <c r="G56" s="5538">
        <f t="shared" si="18"/>
        <v>2081.6633000000002</v>
      </c>
      <c r="H56" s="5538"/>
      <c r="I56" s="5538">
        <f t="shared" si="18"/>
        <v>4271.3</v>
      </c>
      <c r="J56" s="5538"/>
      <c r="K56" s="5538">
        <f t="shared" si="18"/>
        <v>1401.5</v>
      </c>
      <c r="L56" s="5538">
        <f t="shared" si="18"/>
        <v>1543.0500000000002</v>
      </c>
      <c r="M56" s="5538">
        <f t="shared" si="18"/>
        <v>1222.6666666666665</v>
      </c>
      <c r="N56" s="1202"/>
      <c r="O56" s="1202"/>
      <c r="P56" s="1202"/>
      <c r="Q56" s="1202"/>
    </row>
    <row r="57" spans="1:19" x14ac:dyDescent="0.3">
      <c r="A57" s="2747"/>
      <c r="B57" s="6590"/>
      <c r="C57" s="5521">
        <v>46023</v>
      </c>
      <c r="D57" s="5537">
        <f>D37-SUM(D265:D282)</f>
        <v>698.38</v>
      </c>
      <c r="E57" s="5537">
        <f>E37-SUM(E265:E282)</f>
        <v>674.05</v>
      </c>
      <c r="F57" s="5549"/>
      <c r="G57" s="5537">
        <f>G37-SUM(G265:G282)</f>
        <v>729.92</v>
      </c>
      <c r="H57" s="5537"/>
      <c r="I57" s="5537">
        <f>I37-SUM(I265:I282)</f>
        <v>1502.05</v>
      </c>
      <c r="J57" s="5531"/>
      <c r="K57" s="5537">
        <f>K37-SUM(K265:K282)</f>
        <v>560.76666666666665</v>
      </c>
      <c r="L57" s="5537">
        <f>L37-SUM(L265:L282)</f>
        <v>614.20000000000005</v>
      </c>
      <c r="M57" s="5537">
        <f>M37-SUM(M265:M282)</f>
        <v>528.33333333333326</v>
      </c>
      <c r="O57" s="1520"/>
      <c r="Q57" s="1202"/>
    </row>
    <row r="58" spans="1:19" x14ac:dyDescent="0.3">
      <c r="A58" s="2747"/>
      <c r="B58" s="6590"/>
      <c r="C58" s="5521">
        <v>46054</v>
      </c>
      <c r="D58" s="5537">
        <f>D38-(SUM(D287:D304))</f>
        <v>587.33000000000004</v>
      </c>
      <c r="E58" s="5537">
        <f>E38-(SUM(E287:E304))</f>
        <v>585.09</v>
      </c>
      <c r="F58" s="5537"/>
      <c r="G58" s="5537">
        <f>G38-(SUM(G287:G304))</f>
        <v>661.83</v>
      </c>
      <c r="H58" s="5537"/>
      <c r="I58" s="5537">
        <f>I38-(SUM(I287:I304))</f>
        <v>1309.2499999999998</v>
      </c>
      <c r="J58" s="5531"/>
      <c r="K58" s="5537">
        <f>K38-(SUM(K287:K304))</f>
        <v>511.20000000000005</v>
      </c>
      <c r="L58" s="5537">
        <f>L38-(SUM(L287:L304))</f>
        <v>543</v>
      </c>
      <c r="M58" s="5537">
        <f>M38-(SUM(M287:M304))</f>
        <v>478.66666666666663</v>
      </c>
      <c r="N58" s="1202"/>
      <c r="Q58" s="1202"/>
      <c r="R58" s="1202"/>
      <c r="S58" s="1202"/>
    </row>
    <row r="59" spans="1:19" x14ac:dyDescent="0.3">
      <c r="A59" s="2747"/>
      <c r="B59" s="6590"/>
      <c r="C59" s="5521">
        <v>46082</v>
      </c>
      <c r="D59" s="5537">
        <f>D39-(SUM(D309:D326))</f>
        <v>684.67</v>
      </c>
      <c r="E59" s="5537">
        <f>E39-(SUM(E309:E326))</f>
        <v>662.34</v>
      </c>
      <c r="F59" s="5523"/>
      <c r="G59" s="5537">
        <f>G39-(SUM(G309:G326))</f>
        <v>719.33</v>
      </c>
      <c r="H59" s="5537"/>
      <c r="I59" s="5537">
        <f>I39-(SUM(I309:I326))</f>
        <v>1594.84</v>
      </c>
      <c r="J59" s="5523"/>
      <c r="K59" s="5537">
        <f>K39-(SUM(K309:K326))</f>
        <v>548.7833333333333</v>
      </c>
      <c r="L59" s="5537">
        <f>L39-(SUM(L309:L326))</f>
        <v>598.06666666666661</v>
      </c>
      <c r="M59" s="5537">
        <f>M39-(SUM(M309:M326))</f>
        <v>530.16666666666663</v>
      </c>
      <c r="Q59" s="1202"/>
    </row>
    <row r="60" spans="1:19" x14ac:dyDescent="0.3">
      <c r="A60" s="2747"/>
      <c r="B60" s="6590"/>
      <c r="C60" s="5525" t="s">
        <v>1734</v>
      </c>
      <c r="D60" s="5538">
        <f t="shared" ref="D60:E60" si="19">SUM(D57:D59)</f>
        <v>1970.38</v>
      </c>
      <c r="E60" s="5538">
        <f t="shared" si="19"/>
        <v>1921.48</v>
      </c>
      <c r="F60" s="5546"/>
      <c r="G60" s="5538">
        <f>SUM(G57:G59)</f>
        <v>2111.08</v>
      </c>
      <c r="H60" s="5538"/>
      <c r="I60" s="5538">
        <f>SUM(I57:I59)</f>
        <v>4406.1399999999994</v>
      </c>
      <c r="J60" s="5546"/>
      <c r="K60" s="5538">
        <f t="shared" ref="K60:M60" si="20">SUM(K57:K59)</f>
        <v>1620.75</v>
      </c>
      <c r="L60" s="5538">
        <f t="shared" si="20"/>
        <v>1755.2666666666667</v>
      </c>
      <c r="M60" s="5538">
        <f t="shared" si="20"/>
        <v>1537.1666666666665</v>
      </c>
      <c r="N60" s="1202"/>
      <c r="O60" s="1202"/>
      <c r="P60" s="1202"/>
    </row>
    <row r="61" spans="1:19" x14ac:dyDescent="0.3">
      <c r="A61" s="2747"/>
      <c r="B61" s="6590"/>
      <c r="C61" s="5525" t="s">
        <v>2041</v>
      </c>
      <c r="D61" s="5538">
        <f t="shared" ref="D61:E61" si="21">D60+D56+D48+D52</f>
        <v>7876.45</v>
      </c>
      <c r="E61" s="5538">
        <f t="shared" si="21"/>
        <v>7669.4600000000009</v>
      </c>
      <c r="F61" s="5546"/>
      <c r="G61" s="5538">
        <f>G60+G56+G48+G52</f>
        <v>8435.1633000000002</v>
      </c>
      <c r="H61" s="5538"/>
      <c r="I61" s="5538">
        <f>I60+I56+I48+I52</f>
        <v>17653.96</v>
      </c>
      <c r="J61" s="5546"/>
      <c r="K61" s="5538">
        <f t="shared" ref="K61:M61" si="22">K60+K56+K48+K52</f>
        <v>6201.2000000000007</v>
      </c>
      <c r="L61" s="5538">
        <f t="shared" si="22"/>
        <v>6756.4500000000007</v>
      </c>
      <c r="M61" s="5538">
        <f t="shared" si="22"/>
        <v>5658.25</v>
      </c>
      <c r="N61" s="1202"/>
      <c r="O61" s="1202"/>
      <c r="P61" s="1202"/>
      <c r="Q61" s="1520"/>
      <c r="R61" s="1520"/>
      <c r="S61" s="1520"/>
    </row>
    <row r="62" spans="1:19" x14ac:dyDescent="0.3">
      <c r="A62" s="2747"/>
      <c r="B62" s="5517"/>
      <c r="C62" s="5518"/>
      <c r="D62" s="5541"/>
      <c r="E62" s="5541"/>
      <c r="F62" s="5517"/>
      <c r="G62" s="5517"/>
      <c r="H62" s="5517"/>
      <c r="I62" s="5517"/>
      <c r="J62" s="5517"/>
      <c r="K62" s="5517"/>
      <c r="L62" s="5517"/>
      <c r="M62" s="5517"/>
      <c r="N62" s="1202"/>
      <c r="O62" s="1202"/>
      <c r="P62" s="1202"/>
    </row>
    <row r="63" spans="1:19" x14ac:dyDescent="0.3">
      <c r="A63" s="2747"/>
      <c r="B63" s="5517"/>
      <c r="C63" s="5518"/>
      <c r="D63" s="5517"/>
      <c r="E63" s="5517"/>
      <c r="F63" s="5517"/>
      <c r="G63" s="5517"/>
      <c r="H63" s="5517"/>
      <c r="I63" s="5517"/>
      <c r="J63" s="5517"/>
      <c r="K63" s="5517"/>
      <c r="L63" s="5517"/>
      <c r="M63" s="5517"/>
      <c r="N63" s="1520"/>
      <c r="O63" s="1520"/>
      <c r="P63" s="1520"/>
    </row>
    <row r="64" spans="1:19" ht="15" thickBot="1" x14ac:dyDescent="0.35">
      <c r="A64" s="2747"/>
      <c r="B64" s="5550"/>
      <c r="C64" s="5551" t="s">
        <v>1726</v>
      </c>
      <c r="D64" s="5552" t="s">
        <v>1727</v>
      </c>
      <c r="E64" s="5552" t="s">
        <v>1728</v>
      </c>
      <c r="F64" s="5552"/>
      <c r="G64" s="5552" t="s">
        <v>1729</v>
      </c>
      <c r="H64" s="5552"/>
      <c r="I64" s="5552" t="s">
        <v>1055</v>
      </c>
      <c r="J64" s="5552"/>
      <c r="K64" s="5552" t="s">
        <v>59</v>
      </c>
      <c r="L64" s="5552" t="s">
        <v>95</v>
      </c>
      <c r="M64" s="5552" t="s">
        <v>1284</v>
      </c>
      <c r="N64" s="1202"/>
      <c r="O64" s="1202"/>
      <c r="P64" s="1202"/>
    </row>
    <row r="65" spans="1:16" ht="15" customHeight="1" x14ac:dyDescent="0.3">
      <c r="A65" s="2747"/>
      <c r="B65" s="6591">
        <v>45748</v>
      </c>
      <c r="C65" s="5127" t="s">
        <v>1737</v>
      </c>
      <c r="D65" s="5128">
        <v>19</v>
      </c>
      <c r="E65" s="5128">
        <v>16</v>
      </c>
      <c r="F65" s="5129"/>
      <c r="G65" s="5130">
        <v>6</v>
      </c>
      <c r="H65" s="5130"/>
      <c r="I65" s="5131">
        <v>530.52</v>
      </c>
      <c r="J65" s="5132"/>
      <c r="K65" s="5133">
        <v>177.11666666666667</v>
      </c>
      <c r="L65" s="5133">
        <v>134.94999999999999</v>
      </c>
      <c r="M65" s="5134">
        <v>184.58333333333334</v>
      </c>
      <c r="N65" s="1202"/>
      <c r="O65" s="1202"/>
      <c r="P65" s="1202"/>
    </row>
    <row r="66" spans="1:16" ht="15" customHeight="1" x14ac:dyDescent="0.3">
      <c r="A66" s="2747"/>
      <c r="B66" s="6592"/>
      <c r="C66" s="5553" t="s">
        <v>1738</v>
      </c>
      <c r="D66" s="5554"/>
      <c r="E66" s="5554"/>
      <c r="F66" s="5555"/>
      <c r="G66" s="5556"/>
      <c r="H66" s="5556"/>
      <c r="I66" s="5557">
        <v>67</v>
      </c>
      <c r="J66" s="5558"/>
      <c r="K66" s="5559"/>
      <c r="L66" s="5559"/>
      <c r="M66" s="5135"/>
    </row>
    <row r="67" spans="1:16" ht="15" customHeight="1" x14ac:dyDescent="0.3">
      <c r="A67" s="2747"/>
      <c r="B67" s="6592"/>
      <c r="C67" s="5553" t="s">
        <v>1739</v>
      </c>
      <c r="D67" s="5560">
        <v>1.1100000000000001</v>
      </c>
      <c r="E67" s="5560">
        <v>1.75</v>
      </c>
      <c r="F67" s="5555"/>
      <c r="G67" s="5556">
        <v>74</v>
      </c>
      <c r="H67" s="5556"/>
      <c r="I67" s="5557"/>
      <c r="J67" s="5558"/>
      <c r="K67" s="5559">
        <v>20.25</v>
      </c>
      <c r="L67" s="5559">
        <v>16.416666666666668</v>
      </c>
      <c r="M67" s="5135">
        <v>19.416666666666668</v>
      </c>
    </row>
    <row r="68" spans="1:16" ht="15" customHeight="1" x14ac:dyDescent="0.3">
      <c r="A68" s="2747"/>
      <c r="B68" s="6592"/>
      <c r="C68" s="5553" t="s">
        <v>466</v>
      </c>
      <c r="D68" s="5554"/>
      <c r="E68" s="5554"/>
      <c r="F68" s="5555"/>
      <c r="G68" s="5556"/>
      <c r="H68" s="5556"/>
      <c r="I68" s="5557"/>
      <c r="J68" s="5558"/>
      <c r="K68" s="5559"/>
      <c r="L68" s="5559"/>
      <c r="M68" s="5135"/>
    </row>
    <row r="69" spans="1:16" ht="15" customHeight="1" x14ac:dyDescent="0.3">
      <c r="A69" s="2747"/>
      <c r="B69" s="6592"/>
      <c r="C69" s="5553" t="s">
        <v>1740</v>
      </c>
      <c r="D69" s="5554"/>
      <c r="E69" s="5554"/>
      <c r="F69" s="5555"/>
      <c r="G69" s="5556"/>
      <c r="H69" s="5556"/>
      <c r="I69" s="5557"/>
      <c r="J69" s="5558"/>
      <c r="K69" s="5559"/>
      <c r="L69" s="5559"/>
      <c r="M69" s="5135"/>
    </row>
    <row r="70" spans="1:16" ht="15" customHeight="1" x14ac:dyDescent="0.3">
      <c r="A70" s="2747"/>
      <c r="B70" s="6592"/>
      <c r="C70" s="5553" t="s">
        <v>1741</v>
      </c>
      <c r="D70" s="5560">
        <v>4.08</v>
      </c>
      <c r="E70" s="5560">
        <v>0.5</v>
      </c>
      <c r="F70" s="5555"/>
      <c r="G70" s="5556"/>
      <c r="H70" s="5556"/>
      <c r="I70" s="5557">
        <v>3.6</v>
      </c>
      <c r="J70" s="5558"/>
      <c r="K70" s="5559">
        <v>34.216666666666669</v>
      </c>
      <c r="L70" s="5559">
        <v>21.5</v>
      </c>
      <c r="M70" s="5135">
        <v>22.166666666666668</v>
      </c>
    </row>
    <row r="71" spans="1:16" ht="15" customHeight="1" x14ac:dyDescent="0.3">
      <c r="A71" s="2747"/>
      <c r="B71" s="6592"/>
      <c r="C71" s="5553" t="s">
        <v>1742</v>
      </c>
      <c r="D71" s="5560"/>
      <c r="E71" s="5560"/>
      <c r="F71" s="5555"/>
      <c r="G71" s="5556"/>
      <c r="H71" s="5556"/>
      <c r="I71" s="5557">
        <v>6.6</v>
      </c>
      <c r="J71" s="5558"/>
      <c r="K71" s="5559">
        <v>7.9333333333333336</v>
      </c>
      <c r="L71" s="5559">
        <v>10.050000000000001</v>
      </c>
      <c r="M71" s="5135">
        <v>6.25</v>
      </c>
    </row>
    <row r="72" spans="1:16" ht="15" customHeight="1" x14ac:dyDescent="0.3">
      <c r="A72" s="2747"/>
      <c r="B72" s="6592"/>
      <c r="C72" s="5553" t="s">
        <v>1743</v>
      </c>
      <c r="D72" s="5560">
        <v>95.03</v>
      </c>
      <c r="E72" s="5560">
        <v>128.33000000000001</v>
      </c>
      <c r="F72" s="5555"/>
      <c r="G72" s="5556"/>
      <c r="H72" s="5556"/>
      <c r="I72" s="5557"/>
      <c r="J72" s="5558"/>
      <c r="K72" s="5559"/>
      <c r="L72" s="5559"/>
      <c r="M72" s="5135"/>
    </row>
    <row r="73" spans="1:16" ht="15" customHeight="1" x14ac:dyDescent="0.3">
      <c r="A73" s="2747"/>
      <c r="B73" s="6592"/>
      <c r="C73" s="5553" t="s">
        <v>1744</v>
      </c>
      <c r="D73" s="5560"/>
      <c r="E73" s="5560"/>
      <c r="F73" s="5555"/>
      <c r="G73" s="5556"/>
      <c r="H73" s="5556"/>
      <c r="I73" s="5557"/>
      <c r="J73" s="5558"/>
      <c r="K73" s="5559"/>
      <c r="L73" s="5559"/>
      <c r="M73" s="5135"/>
    </row>
    <row r="74" spans="1:16" ht="27.6" x14ac:dyDescent="0.3">
      <c r="A74" s="2747"/>
      <c r="B74" s="6592"/>
      <c r="C74" s="5553" t="s">
        <v>1750</v>
      </c>
      <c r="D74" s="5560"/>
      <c r="E74" s="5560"/>
      <c r="F74" s="5555"/>
      <c r="G74" s="5556"/>
      <c r="H74" s="5556"/>
      <c r="I74" s="5557">
        <v>284.85000000000002</v>
      </c>
      <c r="J74" s="5558"/>
      <c r="K74" s="5559"/>
      <c r="L74" s="5559"/>
      <c r="M74" s="5135"/>
    </row>
    <row r="75" spans="1:16" ht="15" customHeight="1" x14ac:dyDescent="0.3">
      <c r="A75" s="2747"/>
      <c r="B75" s="6592"/>
      <c r="C75" s="5553" t="s">
        <v>1745</v>
      </c>
      <c r="D75" s="5560"/>
      <c r="E75" s="5560"/>
      <c r="F75" s="5555"/>
      <c r="G75" s="5556"/>
      <c r="H75" s="5556"/>
      <c r="I75" s="5557"/>
      <c r="J75" s="5558"/>
      <c r="K75" s="5559">
        <v>5.25</v>
      </c>
      <c r="L75" s="5559">
        <v>3.8166666666666664</v>
      </c>
      <c r="M75" s="5135">
        <v>9</v>
      </c>
    </row>
    <row r="76" spans="1:16" ht="15" customHeight="1" x14ac:dyDescent="0.3">
      <c r="A76" s="2747"/>
      <c r="B76" s="6592"/>
      <c r="C76" s="5553" t="s">
        <v>1746</v>
      </c>
      <c r="D76" s="5560">
        <v>0.17</v>
      </c>
      <c r="E76" s="5560">
        <v>5.07</v>
      </c>
      <c r="F76" s="5555"/>
      <c r="G76" s="5556"/>
      <c r="H76" s="5556"/>
      <c r="I76" s="5557"/>
      <c r="J76" s="5558"/>
      <c r="K76" s="5559"/>
      <c r="L76" s="5559"/>
      <c r="M76" s="5135"/>
    </row>
    <row r="77" spans="1:16" ht="15" customHeight="1" x14ac:dyDescent="0.3">
      <c r="A77" s="2747"/>
      <c r="B77" s="6592"/>
      <c r="C77" s="5553" t="s">
        <v>1747</v>
      </c>
      <c r="D77" s="5560"/>
      <c r="E77" s="5560"/>
      <c r="F77" s="5555"/>
      <c r="G77" s="5556"/>
      <c r="H77" s="5556"/>
      <c r="I77" s="5557"/>
      <c r="J77" s="5558"/>
      <c r="K77" s="5559"/>
      <c r="L77" s="5559"/>
      <c r="M77" s="5135"/>
    </row>
    <row r="78" spans="1:16" ht="15" customHeight="1" x14ac:dyDescent="0.3">
      <c r="A78" s="2747"/>
      <c r="B78" s="6592"/>
      <c r="C78" s="5553" t="s">
        <v>1748</v>
      </c>
      <c r="D78" s="5555"/>
      <c r="E78" s="5555"/>
      <c r="F78" s="5555"/>
      <c r="G78" s="5556"/>
      <c r="H78" s="5556"/>
      <c r="I78" s="5557"/>
      <c r="J78" s="5558"/>
      <c r="K78" s="5559"/>
      <c r="L78" s="5559"/>
      <c r="M78" s="5135"/>
    </row>
    <row r="79" spans="1:16" ht="15" customHeight="1" x14ac:dyDescent="0.3">
      <c r="A79" s="2747"/>
      <c r="B79" s="6592"/>
      <c r="C79" s="5553" t="s">
        <v>1881</v>
      </c>
      <c r="D79" s="5555"/>
      <c r="E79" s="5555"/>
      <c r="F79" s="5555"/>
      <c r="G79" s="5556"/>
      <c r="H79" s="5556"/>
      <c r="I79" s="5557"/>
      <c r="J79" s="5558"/>
      <c r="K79" s="5559"/>
      <c r="L79" s="5559"/>
      <c r="M79" s="5135"/>
    </row>
    <row r="80" spans="1:16" ht="15" customHeight="1" x14ac:dyDescent="0.3">
      <c r="A80" s="2747"/>
      <c r="B80" s="6592"/>
      <c r="C80" s="5553" t="s">
        <v>82</v>
      </c>
      <c r="D80" s="5555"/>
      <c r="E80" s="5555"/>
      <c r="F80" s="5555"/>
      <c r="G80" s="5556"/>
      <c r="H80" s="5556"/>
      <c r="I80" s="5557"/>
      <c r="J80" s="5558"/>
      <c r="K80" s="5559"/>
      <c r="L80" s="5559"/>
      <c r="M80" s="5135"/>
    </row>
    <row r="81" spans="1:13" ht="15" customHeight="1" x14ac:dyDescent="0.3">
      <c r="A81" s="2747"/>
      <c r="B81" s="6592"/>
      <c r="C81" s="5553" t="s">
        <v>1749</v>
      </c>
      <c r="D81" s="5555"/>
      <c r="E81" s="5555"/>
      <c r="F81" s="5555"/>
      <c r="G81" s="5556"/>
      <c r="H81" s="5556"/>
      <c r="I81" s="5557">
        <v>3</v>
      </c>
      <c r="J81" s="5558"/>
      <c r="K81" s="5559"/>
      <c r="L81" s="5559"/>
      <c r="M81" s="5135"/>
    </row>
    <row r="82" spans="1:13" ht="15" customHeight="1" x14ac:dyDescent="0.3">
      <c r="A82" s="2747"/>
      <c r="B82" s="6592"/>
      <c r="C82" s="5553" t="s">
        <v>100</v>
      </c>
      <c r="D82" s="5561"/>
      <c r="E82" s="5561"/>
      <c r="F82" s="5555"/>
      <c r="G82" s="5556"/>
      <c r="H82" s="5556"/>
      <c r="I82" s="5557">
        <v>15.75</v>
      </c>
      <c r="J82" s="5558"/>
      <c r="K82" s="5559"/>
      <c r="L82" s="5559"/>
      <c r="M82" s="5135"/>
    </row>
    <row r="83" spans="1:13" ht="15" customHeight="1" x14ac:dyDescent="0.3">
      <c r="A83" s="2747"/>
      <c r="B83" s="6592"/>
      <c r="C83" s="5553" t="s">
        <v>58</v>
      </c>
      <c r="D83" s="5561"/>
      <c r="E83" s="5561"/>
      <c r="F83" s="5555"/>
      <c r="G83" s="5556"/>
      <c r="H83" s="5556"/>
      <c r="I83" s="5557">
        <v>6.65</v>
      </c>
      <c r="J83" s="5558"/>
      <c r="K83" s="5559"/>
      <c r="L83" s="5559"/>
      <c r="M83" s="5135"/>
    </row>
    <row r="84" spans="1:13" ht="15" customHeight="1" thickBot="1" x14ac:dyDescent="0.35">
      <c r="A84" s="2747"/>
      <c r="B84" s="6593"/>
      <c r="C84" s="5136" t="s">
        <v>2250</v>
      </c>
      <c r="D84" s="5137">
        <v>1</v>
      </c>
      <c r="E84" s="5137">
        <v>1</v>
      </c>
      <c r="F84" s="5138"/>
      <c r="G84" s="5139"/>
      <c r="H84" s="5139"/>
      <c r="I84" s="5140">
        <v>2</v>
      </c>
      <c r="J84" s="5141"/>
      <c r="K84" s="5142">
        <v>6.3166666666666664</v>
      </c>
      <c r="L84" s="5142">
        <v>12.416666666666666</v>
      </c>
      <c r="M84" s="5143">
        <v>30</v>
      </c>
    </row>
    <row r="85" spans="1:13" ht="15" thickBot="1" x14ac:dyDescent="0.35">
      <c r="A85" s="2747"/>
      <c r="B85" s="5144"/>
      <c r="C85" s="5145"/>
    </row>
    <row r="86" spans="1:13" ht="15" customHeight="1" x14ac:dyDescent="0.3">
      <c r="A86" s="2747"/>
      <c r="B86" s="6594">
        <v>45778</v>
      </c>
      <c r="C86" s="1682"/>
      <c r="D86" s="5146" t="s">
        <v>1727</v>
      </c>
      <c r="E86" s="5146" t="s">
        <v>1728</v>
      </c>
      <c r="F86" s="5147"/>
      <c r="G86" s="5146" t="s">
        <v>1729</v>
      </c>
      <c r="H86" s="5148"/>
      <c r="I86" s="5148" t="s">
        <v>1055</v>
      </c>
      <c r="J86" s="5146"/>
      <c r="K86" s="5146" t="s">
        <v>59</v>
      </c>
      <c r="L86" s="5146" t="s">
        <v>95</v>
      </c>
      <c r="M86" s="5149" t="s">
        <v>1284</v>
      </c>
    </row>
    <row r="87" spans="1:13" ht="15" customHeight="1" x14ac:dyDescent="0.3">
      <c r="A87" s="2747"/>
      <c r="B87" s="6595"/>
      <c r="C87" s="5553" t="s">
        <v>1737</v>
      </c>
      <c r="D87" s="5560">
        <v>16</v>
      </c>
      <c r="E87" s="5560">
        <v>18</v>
      </c>
      <c r="F87" s="5560"/>
      <c r="G87" s="5560">
        <v>29</v>
      </c>
      <c r="H87" s="5560"/>
      <c r="I87" s="5560">
        <v>409.5</v>
      </c>
      <c r="J87" s="5560"/>
      <c r="K87" s="5560">
        <v>144.83333333333334</v>
      </c>
      <c r="L87" s="5560">
        <v>80.88333333333334</v>
      </c>
      <c r="M87" s="5150">
        <v>114.41666666666667</v>
      </c>
    </row>
    <row r="88" spans="1:13" ht="15" customHeight="1" x14ac:dyDescent="0.3">
      <c r="A88" s="2747"/>
      <c r="B88" s="6595"/>
      <c r="C88" s="5553" t="s">
        <v>1738</v>
      </c>
      <c r="D88" s="5560"/>
      <c r="E88" s="5560"/>
      <c r="F88" s="5560"/>
      <c r="G88" s="5560"/>
      <c r="H88" s="5560"/>
      <c r="I88" s="5560">
        <v>204.36</v>
      </c>
      <c r="J88" s="5560"/>
      <c r="K88" s="5560"/>
      <c r="L88" s="5560"/>
      <c r="M88" s="5150"/>
    </row>
    <row r="89" spans="1:13" ht="15" customHeight="1" x14ac:dyDescent="0.3">
      <c r="A89" s="2747"/>
      <c r="B89" s="6595"/>
      <c r="C89" s="5553" t="s">
        <v>1739</v>
      </c>
      <c r="D89" s="5560">
        <v>0.67</v>
      </c>
      <c r="E89" s="5560">
        <v>2</v>
      </c>
      <c r="F89" s="5560"/>
      <c r="G89" s="5560"/>
      <c r="H89" s="5560"/>
      <c r="I89" s="5560"/>
      <c r="J89" s="5560"/>
      <c r="K89" s="5560">
        <v>19.766666666666666</v>
      </c>
      <c r="L89" s="5560">
        <v>17.883333333333333</v>
      </c>
      <c r="M89" s="5150">
        <v>16.833333333333332</v>
      </c>
    </row>
    <row r="90" spans="1:13" ht="15" customHeight="1" x14ac:dyDescent="0.3">
      <c r="A90" s="2747"/>
      <c r="B90" s="6595"/>
      <c r="C90" s="5553" t="s">
        <v>466</v>
      </c>
      <c r="D90" s="5560"/>
      <c r="E90" s="5560"/>
      <c r="F90" s="5560"/>
      <c r="G90" s="5560"/>
      <c r="H90" s="5560"/>
      <c r="I90" s="5560"/>
      <c r="J90" s="5560"/>
      <c r="K90" s="5560"/>
      <c r="L90" s="5560"/>
      <c r="M90" s="5150"/>
    </row>
    <row r="91" spans="1:13" ht="15" customHeight="1" x14ac:dyDescent="0.3">
      <c r="A91" s="2747"/>
      <c r="B91" s="6595"/>
      <c r="C91" s="5553" t="s">
        <v>1740</v>
      </c>
      <c r="D91" s="5560"/>
      <c r="E91" s="5560"/>
      <c r="F91" s="5560"/>
      <c r="G91" s="5560"/>
      <c r="H91" s="5560"/>
      <c r="I91" s="5560"/>
      <c r="J91" s="5560"/>
      <c r="K91" s="5560"/>
      <c r="L91" s="5560"/>
      <c r="M91" s="5150"/>
    </row>
    <row r="92" spans="1:13" ht="15" customHeight="1" x14ac:dyDescent="0.3">
      <c r="A92" s="2747"/>
      <c r="B92" s="6595"/>
      <c r="C92" s="5553" t="s">
        <v>1741</v>
      </c>
      <c r="D92" s="5560">
        <v>3.41</v>
      </c>
      <c r="E92" s="5560">
        <v>1</v>
      </c>
      <c r="F92" s="5560"/>
      <c r="G92" s="5560"/>
      <c r="H92" s="5560"/>
      <c r="I92" s="5560">
        <v>11.25</v>
      </c>
      <c r="J92" s="5560"/>
      <c r="K92" s="5560">
        <v>16.483333333333334</v>
      </c>
      <c r="L92" s="5560">
        <v>21.533333333333335</v>
      </c>
      <c r="M92" s="5150">
        <v>34.166666666666664</v>
      </c>
    </row>
    <row r="93" spans="1:13" ht="15" customHeight="1" x14ac:dyDescent="0.3">
      <c r="A93" s="2747"/>
      <c r="B93" s="6595"/>
      <c r="C93" s="5553" t="s">
        <v>1742</v>
      </c>
      <c r="D93" s="5560"/>
      <c r="E93" s="5560">
        <v>3</v>
      </c>
      <c r="F93" s="5560"/>
      <c r="G93" s="5560"/>
      <c r="H93" s="5560"/>
      <c r="I93" s="5560">
        <v>4.9000000000000004</v>
      </c>
      <c r="J93" s="5560"/>
      <c r="K93" s="5560">
        <v>14.25</v>
      </c>
      <c r="L93" s="5560">
        <v>10.9</v>
      </c>
      <c r="M93" s="5150">
        <v>14.666666666666666</v>
      </c>
    </row>
    <row r="94" spans="1:13" ht="15" customHeight="1" x14ac:dyDescent="0.3">
      <c r="A94" s="2747"/>
      <c r="B94" s="6595"/>
      <c r="C94" s="5553" t="s">
        <v>1743</v>
      </c>
      <c r="D94" s="5560">
        <v>51.49</v>
      </c>
      <c r="E94" s="5560">
        <v>93.67</v>
      </c>
      <c r="F94" s="5560"/>
      <c r="G94" s="5560"/>
      <c r="H94" s="5560"/>
      <c r="I94" s="5560"/>
      <c r="J94" s="5560"/>
      <c r="K94" s="5560"/>
      <c r="L94" s="5560"/>
      <c r="M94" s="5150"/>
    </row>
    <row r="95" spans="1:13" ht="15" customHeight="1" x14ac:dyDescent="0.3">
      <c r="A95" s="2747"/>
      <c r="B95" s="6595"/>
      <c r="C95" s="5553" t="s">
        <v>1744</v>
      </c>
      <c r="D95" s="5560"/>
      <c r="E95" s="5560"/>
      <c r="F95" s="5560"/>
      <c r="G95" s="5560"/>
      <c r="H95" s="5560"/>
      <c r="I95" s="5560"/>
      <c r="J95" s="5560"/>
      <c r="K95" s="5560"/>
      <c r="L95" s="5560"/>
      <c r="M95" s="5150"/>
    </row>
    <row r="96" spans="1:13" ht="27.6" x14ac:dyDescent="0.3">
      <c r="A96" s="2747"/>
      <c r="B96" s="6595"/>
      <c r="C96" s="5553" t="s">
        <v>1750</v>
      </c>
      <c r="D96" s="5560"/>
      <c r="E96" s="5560"/>
      <c r="F96" s="5560"/>
      <c r="G96" s="5560"/>
      <c r="H96" s="5560"/>
      <c r="I96" s="5560">
        <v>114.92</v>
      </c>
      <c r="J96" s="5560"/>
      <c r="K96" s="5560"/>
      <c r="L96" s="5560"/>
      <c r="M96" s="5150"/>
    </row>
    <row r="97" spans="1:13" ht="15" customHeight="1" x14ac:dyDescent="0.3">
      <c r="A97" s="2747"/>
      <c r="B97" s="6595"/>
      <c r="C97" s="5553" t="s">
        <v>1745</v>
      </c>
      <c r="D97" s="5560"/>
      <c r="E97" s="5560"/>
      <c r="F97" s="5560"/>
      <c r="G97" s="5560"/>
      <c r="H97" s="5560"/>
      <c r="I97" s="5560"/>
      <c r="J97" s="5560"/>
      <c r="K97" s="5560">
        <v>1.9833333333333334</v>
      </c>
      <c r="L97" s="5560">
        <v>5.1833333333333336</v>
      </c>
      <c r="M97" s="5150">
        <v>8</v>
      </c>
    </row>
    <row r="98" spans="1:13" ht="15" customHeight="1" x14ac:dyDescent="0.3">
      <c r="A98" s="2747"/>
      <c r="B98" s="6595"/>
      <c r="C98" s="5553" t="s">
        <v>1746</v>
      </c>
      <c r="D98" s="5560"/>
      <c r="E98" s="5560"/>
      <c r="F98" s="5560"/>
      <c r="G98" s="5560"/>
      <c r="H98" s="5560"/>
      <c r="I98" s="5560">
        <v>0.5</v>
      </c>
      <c r="J98" s="5560"/>
      <c r="K98" s="5560"/>
      <c r="L98" s="5560"/>
      <c r="M98" s="5150"/>
    </row>
    <row r="99" spans="1:13" ht="15" customHeight="1" x14ac:dyDescent="0.3">
      <c r="A99" s="2747"/>
      <c r="B99" s="6595"/>
      <c r="C99" s="5553" t="s">
        <v>1747</v>
      </c>
      <c r="D99" s="5560"/>
      <c r="E99" s="5560"/>
      <c r="F99" s="5560"/>
      <c r="G99" s="5560"/>
      <c r="H99" s="5560"/>
      <c r="I99" s="5560"/>
      <c r="J99" s="5560"/>
      <c r="K99" s="5560"/>
      <c r="L99" s="5560"/>
      <c r="M99" s="5150"/>
    </row>
    <row r="100" spans="1:13" ht="15" customHeight="1" x14ac:dyDescent="0.3">
      <c r="A100" s="2747"/>
      <c r="B100" s="6595"/>
      <c r="C100" s="5553" t="s">
        <v>1748</v>
      </c>
      <c r="D100" s="5560"/>
      <c r="E100" s="5560"/>
      <c r="F100" s="5560"/>
      <c r="G100" s="5560"/>
      <c r="H100" s="5560"/>
      <c r="I100" s="5560"/>
      <c r="J100" s="5560"/>
      <c r="K100" s="5560"/>
      <c r="L100" s="5560"/>
      <c r="M100" s="5150"/>
    </row>
    <row r="101" spans="1:13" ht="15" customHeight="1" x14ac:dyDescent="0.3">
      <c r="A101" s="2747"/>
      <c r="B101" s="6595"/>
      <c r="C101" s="5553" t="s">
        <v>1881</v>
      </c>
      <c r="D101" s="5470"/>
      <c r="E101" s="5470"/>
      <c r="F101" s="5470"/>
      <c r="G101" s="5470"/>
      <c r="H101" s="5470"/>
      <c r="I101" s="5470"/>
      <c r="J101" s="5470"/>
      <c r="K101" s="5470"/>
      <c r="L101" s="5470"/>
      <c r="M101" s="5152"/>
    </row>
    <row r="102" spans="1:13" ht="15" customHeight="1" x14ac:dyDescent="0.3">
      <c r="A102" s="2747"/>
      <c r="B102" s="6595"/>
      <c r="C102" s="5553" t="s">
        <v>82</v>
      </c>
      <c r="D102" s="5560"/>
      <c r="E102" s="5560"/>
      <c r="F102" s="5560"/>
      <c r="G102" s="5560"/>
      <c r="H102" s="5560"/>
      <c r="I102" s="5560"/>
      <c r="J102" s="5560"/>
      <c r="K102" s="5560"/>
      <c r="L102" s="5560"/>
      <c r="M102" s="5150"/>
    </row>
    <row r="103" spans="1:13" ht="15" customHeight="1" x14ac:dyDescent="0.3">
      <c r="A103" s="2747"/>
      <c r="B103" s="6595"/>
      <c r="C103" s="5553" t="s">
        <v>1749</v>
      </c>
      <c r="D103" s="5560"/>
      <c r="E103" s="5560"/>
      <c r="F103" s="5560"/>
      <c r="G103" s="5560"/>
      <c r="H103" s="5560"/>
      <c r="I103" s="5560">
        <v>7.06</v>
      </c>
      <c r="J103" s="5560"/>
      <c r="K103" s="5560"/>
      <c r="L103" s="5560"/>
      <c r="M103" s="5150"/>
    </row>
    <row r="104" spans="1:13" ht="15" customHeight="1" x14ac:dyDescent="0.3">
      <c r="A104" s="2747"/>
      <c r="B104" s="6595"/>
      <c r="C104" s="5553" t="s">
        <v>724</v>
      </c>
      <c r="D104" s="5560"/>
      <c r="E104" s="5560"/>
      <c r="F104" s="5560"/>
      <c r="G104" s="5560"/>
      <c r="H104" s="5560"/>
      <c r="I104" s="5560">
        <v>9</v>
      </c>
      <c r="J104" s="5560"/>
      <c r="K104" s="5560"/>
      <c r="L104" s="5560"/>
      <c r="M104" s="5150"/>
    </row>
    <row r="105" spans="1:13" ht="15" customHeight="1" x14ac:dyDescent="0.3">
      <c r="A105" s="2747"/>
      <c r="B105" s="6595"/>
      <c r="C105" s="5553" t="s">
        <v>58</v>
      </c>
      <c r="D105" s="5560"/>
      <c r="E105" s="5560"/>
      <c r="F105" s="5560"/>
      <c r="G105" s="5560"/>
      <c r="H105" s="5560"/>
      <c r="I105" s="5560">
        <v>5.25</v>
      </c>
      <c r="J105" s="5560"/>
      <c r="K105" s="5560"/>
      <c r="L105" s="5560"/>
      <c r="M105" s="5150"/>
    </row>
    <row r="106" spans="1:13" ht="15.75" customHeight="1" thickBot="1" x14ac:dyDescent="0.35">
      <c r="A106" s="2747"/>
      <c r="B106" s="6596"/>
      <c r="C106" s="5136" t="s">
        <v>2250</v>
      </c>
      <c r="D106" s="5153">
        <v>1.5</v>
      </c>
      <c r="E106" s="5153">
        <v>4</v>
      </c>
      <c r="F106" s="5153"/>
      <c r="G106" s="5153"/>
      <c r="H106" s="5153"/>
      <c r="I106" s="5153">
        <v>2.75</v>
      </c>
      <c r="J106" s="5153"/>
      <c r="K106" s="5153">
        <v>13.516666666666667</v>
      </c>
      <c r="L106" s="5153">
        <v>15.5</v>
      </c>
      <c r="M106" s="5154">
        <v>44.833333333333336</v>
      </c>
    </row>
    <row r="107" spans="1:13" ht="15" customHeight="1" x14ac:dyDescent="0.3">
      <c r="A107" s="2747"/>
      <c r="B107" s="6594">
        <v>45809</v>
      </c>
      <c r="C107" s="1682"/>
      <c r="D107" s="5146" t="s">
        <v>1727</v>
      </c>
      <c r="E107" s="5146" t="s">
        <v>1728</v>
      </c>
      <c r="F107" s="5147"/>
      <c r="G107" s="5155" t="s">
        <v>1729</v>
      </c>
      <c r="H107" s="5148"/>
      <c r="I107" s="5148" t="s">
        <v>1055</v>
      </c>
      <c r="J107" s="5146"/>
      <c r="K107" s="5146" t="s">
        <v>59</v>
      </c>
      <c r="L107" s="5146" t="s">
        <v>95</v>
      </c>
      <c r="M107" s="5149" t="s">
        <v>1284</v>
      </c>
    </row>
    <row r="108" spans="1:13" ht="15" customHeight="1" x14ac:dyDescent="0.3">
      <c r="A108" s="2747"/>
      <c r="B108" s="6595"/>
      <c r="C108" s="5562" t="s">
        <v>1737</v>
      </c>
      <c r="D108" s="5557">
        <v>17</v>
      </c>
      <c r="E108" s="5557">
        <v>15</v>
      </c>
      <c r="F108" s="5563"/>
      <c r="G108" s="5557">
        <v>9.33</v>
      </c>
      <c r="H108" s="5557"/>
      <c r="I108" s="5557">
        <v>507.23</v>
      </c>
      <c r="J108" s="5557"/>
      <c r="K108" s="5557">
        <v>113.95</v>
      </c>
      <c r="L108" s="5557">
        <v>86.816666666666663</v>
      </c>
      <c r="M108" s="5156">
        <v>113.58333333333333</v>
      </c>
    </row>
    <row r="109" spans="1:13" ht="15" customHeight="1" x14ac:dyDescent="0.3">
      <c r="A109" s="2747"/>
      <c r="B109" s="6595"/>
      <c r="C109" s="5562" t="s">
        <v>1738</v>
      </c>
      <c r="D109" s="5557"/>
      <c r="E109" s="5557"/>
      <c r="F109" s="5563"/>
      <c r="G109" s="5557"/>
      <c r="H109" s="5557"/>
      <c r="I109" s="5557"/>
      <c r="J109" s="5557"/>
      <c r="K109" s="5557"/>
      <c r="L109" s="5557"/>
      <c r="M109" s="5156"/>
    </row>
    <row r="110" spans="1:13" ht="15" customHeight="1" x14ac:dyDescent="0.3">
      <c r="A110" s="2747"/>
      <c r="B110" s="6595"/>
      <c r="C110" s="5562" t="s">
        <v>1739</v>
      </c>
      <c r="D110" s="5557">
        <v>0.23</v>
      </c>
      <c r="E110" s="5557"/>
      <c r="F110" s="5563"/>
      <c r="G110" s="5557"/>
      <c r="H110" s="5557"/>
      <c r="I110" s="5557"/>
      <c r="J110" s="5557"/>
      <c r="K110" s="5557">
        <v>28.6</v>
      </c>
      <c r="L110" s="5557">
        <v>17.016666666666666</v>
      </c>
      <c r="M110" s="5156">
        <v>12.916666666666666</v>
      </c>
    </row>
    <row r="111" spans="1:13" ht="15" customHeight="1" x14ac:dyDescent="0.3">
      <c r="A111" s="2747"/>
      <c r="B111" s="6595"/>
      <c r="C111" s="5562" t="s">
        <v>466</v>
      </c>
      <c r="D111" s="5557"/>
      <c r="E111" s="5557"/>
      <c r="F111" s="5563"/>
      <c r="G111" s="5557"/>
      <c r="H111" s="5557"/>
      <c r="I111" s="5557"/>
      <c r="J111" s="5557"/>
      <c r="K111" s="5557"/>
      <c r="L111" s="5557"/>
      <c r="M111" s="5156"/>
    </row>
    <row r="112" spans="1:13" ht="15" customHeight="1" x14ac:dyDescent="0.3">
      <c r="A112" s="2747"/>
      <c r="B112" s="6595"/>
      <c r="C112" s="5562" t="s">
        <v>1740</v>
      </c>
      <c r="D112" s="5557"/>
      <c r="E112" s="5557"/>
      <c r="F112" s="5563"/>
      <c r="G112" s="5557"/>
      <c r="H112" s="5557"/>
      <c r="I112" s="5557"/>
      <c r="J112" s="5557"/>
      <c r="K112" s="5557"/>
      <c r="L112" s="5557"/>
      <c r="M112" s="5156"/>
    </row>
    <row r="113" spans="1:13" ht="15" customHeight="1" x14ac:dyDescent="0.3">
      <c r="A113" s="2747"/>
      <c r="B113" s="6595"/>
      <c r="C113" s="5562" t="s">
        <v>1741</v>
      </c>
      <c r="D113" s="5557">
        <v>1.17</v>
      </c>
      <c r="E113" s="5557">
        <v>12</v>
      </c>
      <c r="F113" s="5563"/>
      <c r="G113" s="5557"/>
      <c r="H113" s="5557"/>
      <c r="I113" s="5557">
        <v>14.17</v>
      </c>
      <c r="J113" s="5557"/>
      <c r="K113" s="5557">
        <v>20.333333333333332</v>
      </c>
      <c r="L113" s="5557">
        <v>25.866666666666667</v>
      </c>
      <c r="M113" s="5156">
        <v>42</v>
      </c>
    </row>
    <row r="114" spans="1:13" ht="15" customHeight="1" x14ac:dyDescent="0.3">
      <c r="A114" s="2747"/>
      <c r="B114" s="6595"/>
      <c r="C114" s="5562" t="s">
        <v>1742</v>
      </c>
      <c r="D114" s="5557">
        <v>0.67</v>
      </c>
      <c r="E114" s="5557">
        <v>0.53</v>
      </c>
      <c r="F114" s="5563"/>
      <c r="G114" s="5557"/>
      <c r="H114" s="5557"/>
      <c r="I114" s="5557">
        <v>4.5</v>
      </c>
      <c r="J114" s="5557"/>
      <c r="K114" s="5557">
        <v>9.4666666666666668</v>
      </c>
      <c r="L114" s="5557">
        <v>14.383333333333333</v>
      </c>
      <c r="M114" s="5156">
        <v>15.166666666666666</v>
      </c>
    </row>
    <row r="115" spans="1:13" ht="15" customHeight="1" x14ac:dyDescent="0.3">
      <c r="A115" s="2747"/>
      <c r="B115" s="6595"/>
      <c r="C115" s="5562" t="s">
        <v>1743</v>
      </c>
      <c r="D115" s="5557"/>
      <c r="E115" s="5557">
        <v>10</v>
      </c>
      <c r="F115" s="5563"/>
      <c r="G115" s="5557"/>
      <c r="H115" s="5557"/>
      <c r="I115" s="5557"/>
      <c r="J115" s="5557"/>
      <c r="K115" s="5557"/>
      <c r="L115" s="5557"/>
      <c r="M115" s="5156"/>
    </row>
    <row r="116" spans="1:13" ht="15" customHeight="1" x14ac:dyDescent="0.3">
      <c r="A116" s="2747"/>
      <c r="B116" s="6595"/>
      <c r="C116" s="5562" t="s">
        <v>1744</v>
      </c>
      <c r="D116" s="5557"/>
      <c r="E116" s="5557"/>
      <c r="F116" s="5563"/>
      <c r="G116" s="5557"/>
      <c r="H116" s="5557"/>
      <c r="I116" s="5557"/>
      <c r="J116" s="5557"/>
      <c r="K116" s="5557"/>
      <c r="L116" s="5557"/>
      <c r="M116" s="5156"/>
    </row>
    <row r="117" spans="1:13" ht="27.6" x14ac:dyDescent="0.3">
      <c r="A117" s="2747"/>
      <c r="B117" s="6595"/>
      <c r="C117" s="5553" t="s">
        <v>1750</v>
      </c>
      <c r="D117" s="5557"/>
      <c r="E117" s="5557"/>
      <c r="F117" s="5564"/>
      <c r="G117" s="5557"/>
      <c r="H117" s="5557"/>
      <c r="I117" s="5557">
        <v>42.45</v>
      </c>
      <c r="J117" s="5557"/>
      <c r="K117" s="5557"/>
      <c r="L117" s="5557"/>
      <c r="M117" s="5156"/>
    </row>
    <row r="118" spans="1:13" ht="15" customHeight="1" x14ac:dyDescent="0.3">
      <c r="A118" s="2747"/>
      <c r="B118" s="6595"/>
      <c r="C118" s="5562" t="s">
        <v>1745</v>
      </c>
      <c r="D118" s="5557"/>
      <c r="E118" s="5557"/>
      <c r="F118" s="5563"/>
      <c r="G118" s="5557"/>
      <c r="H118" s="5557"/>
      <c r="I118" s="5557"/>
      <c r="J118" s="5557"/>
      <c r="K118" s="5557">
        <v>0</v>
      </c>
      <c r="L118" s="5557">
        <v>1.2666666666666666</v>
      </c>
      <c r="M118" s="5156">
        <v>3.5833333333333335</v>
      </c>
    </row>
    <row r="119" spans="1:13" ht="15" customHeight="1" x14ac:dyDescent="0.3">
      <c r="A119" s="2747"/>
      <c r="B119" s="6595"/>
      <c r="C119" s="5562" t="s">
        <v>1746</v>
      </c>
      <c r="D119" s="5557"/>
      <c r="E119" s="5557"/>
      <c r="F119" s="5563"/>
      <c r="G119" s="5557"/>
      <c r="H119" s="5557"/>
      <c r="I119" s="5557"/>
      <c r="J119" s="5557"/>
      <c r="K119" s="5557"/>
      <c r="L119" s="5557"/>
      <c r="M119" s="5156"/>
    </row>
    <row r="120" spans="1:13" ht="15" customHeight="1" x14ac:dyDescent="0.3">
      <c r="A120" s="2747"/>
      <c r="B120" s="6595"/>
      <c r="C120" s="5562" t="s">
        <v>1747</v>
      </c>
      <c r="D120" s="5557"/>
      <c r="E120" s="5557"/>
      <c r="F120" s="5563"/>
      <c r="G120" s="5557"/>
      <c r="H120" s="5557"/>
      <c r="I120" s="5557"/>
      <c r="J120" s="5557"/>
      <c r="K120" s="5557"/>
      <c r="L120" s="5557"/>
      <c r="M120" s="5156"/>
    </row>
    <row r="121" spans="1:13" ht="15" customHeight="1" x14ac:dyDescent="0.3">
      <c r="A121" s="2747"/>
      <c r="B121" s="6595"/>
      <c r="C121" s="5553" t="s">
        <v>1748</v>
      </c>
      <c r="D121" s="5557"/>
      <c r="E121" s="5557"/>
      <c r="F121" s="5563"/>
      <c r="G121" s="5557"/>
      <c r="H121" s="5557"/>
      <c r="I121" s="5557"/>
      <c r="J121" s="5557"/>
      <c r="K121" s="5557"/>
      <c r="L121" s="5557"/>
      <c r="M121" s="5156"/>
    </row>
    <row r="122" spans="1:13" ht="15" customHeight="1" x14ac:dyDescent="0.3">
      <c r="A122" s="2747"/>
      <c r="B122" s="6595"/>
      <c r="C122" s="5562" t="s">
        <v>1881</v>
      </c>
      <c r="D122" s="5557"/>
      <c r="E122" s="5557"/>
      <c r="F122" s="5563"/>
      <c r="G122" s="5557"/>
      <c r="H122" s="5557"/>
      <c r="I122" s="5557"/>
      <c r="J122" s="5557"/>
      <c r="K122" s="5557"/>
      <c r="L122" s="5557"/>
      <c r="M122" s="5156"/>
    </row>
    <row r="123" spans="1:13" ht="15" customHeight="1" x14ac:dyDescent="0.3">
      <c r="A123" s="2747"/>
      <c r="B123" s="6595"/>
      <c r="C123" s="2750" t="s">
        <v>82</v>
      </c>
      <c r="D123" s="5557"/>
      <c r="E123" s="5557"/>
      <c r="F123" s="5563"/>
      <c r="G123" s="5557"/>
      <c r="H123" s="5557"/>
      <c r="I123" s="5557"/>
      <c r="J123" s="5557"/>
      <c r="K123" s="5557"/>
      <c r="L123" s="5557"/>
      <c r="M123" s="5156"/>
    </row>
    <row r="124" spans="1:13" ht="15" customHeight="1" x14ac:dyDescent="0.3">
      <c r="A124" s="2747"/>
      <c r="B124" s="6595"/>
      <c r="C124" s="5562" t="s">
        <v>1749</v>
      </c>
      <c r="D124" s="5557"/>
      <c r="E124" s="5557"/>
      <c r="F124" s="5563"/>
      <c r="G124" s="5557"/>
      <c r="H124" s="5557"/>
      <c r="I124" s="5557">
        <v>3.5700000000000003</v>
      </c>
      <c r="J124" s="5557"/>
      <c r="K124" s="5557"/>
      <c r="L124" s="5557"/>
      <c r="M124" s="5156"/>
    </row>
    <row r="125" spans="1:13" ht="15" customHeight="1" x14ac:dyDescent="0.3">
      <c r="A125" s="2747"/>
      <c r="B125" s="6595"/>
      <c r="C125" s="5562" t="s">
        <v>724</v>
      </c>
      <c r="D125" s="5557"/>
      <c r="E125" s="5557"/>
      <c r="F125" s="5563"/>
      <c r="G125" s="5557"/>
      <c r="H125" s="5557"/>
      <c r="I125" s="5557"/>
      <c r="J125" s="5557"/>
      <c r="K125" s="5557"/>
      <c r="L125" s="5557"/>
      <c r="M125" s="5156"/>
    </row>
    <row r="126" spans="1:13" ht="15" customHeight="1" x14ac:dyDescent="0.3">
      <c r="A126" s="2747"/>
      <c r="B126" s="6595"/>
      <c r="C126" s="5562" t="s">
        <v>58</v>
      </c>
      <c r="D126" s="5557"/>
      <c r="E126" s="5557"/>
      <c r="F126" s="5563"/>
      <c r="G126" s="5557"/>
      <c r="H126" s="5557"/>
      <c r="I126" s="5557">
        <v>4</v>
      </c>
      <c r="J126" s="5557"/>
      <c r="K126" s="5557"/>
      <c r="L126" s="5557"/>
      <c r="M126" s="5156"/>
    </row>
    <row r="127" spans="1:13" ht="15.75" customHeight="1" thickBot="1" x14ac:dyDescent="0.35">
      <c r="A127" s="2747"/>
      <c r="B127" s="6596"/>
      <c r="C127" s="5157" t="s">
        <v>2250</v>
      </c>
      <c r="D127" s="5140">
        <v>4</v>
      </c>
      <c r="E127" s="5140">
        <v>14.5</v>
      </c>
      <c r="F127" s="5158"/>
      <c r="G127" s="5158"/>
      <c r="H127" s="5158"/>
      <c r="I127" s="5140"/>
      <c r="J127" s="5158"/>
      <c r="K127" s="5140">
        <v>21.266666666666666</v>
      </c>
      <c r="L127" s="5140">
        <v>6.083333333333333</v>
      </c>
      <c r="M127" s="5159">
        <v>23.833333333333332</v>
      </c>
    </row>
    <row r="128" spans="1:13" ht="15" customHeight="1" x14ac:dyDescent="0.3">
      <c r="A128" s="2747"/>
      <c r="B128" s="6597">
        <v>45839</v>
      </c>
      <c r="C128" s="5160" t="s">
        <v>1726</v>
      </c>
      <c r="D128" s="5161" t="s">
        <v>1726</v>
      </c>
      <c r="E128" s="1101"/>
      <c r="F128" s="1101"/>
      <c r="G128" s="1101"/>
      <c r="H128" s="1101"/>
      <c r="I128" s="1101"/>
      <c r="J128" s="1101"/>
      <c r="K128" s="1101"/>
      <c r="L128" s="5161" t="s">
        <v>1726</v>
      </c>
      <c r="M128" s="5162"/>
    </row>
    <row r="129" spans="1:13" ht="15" customHeight="1" x14ac:dyDescent="0.3">
      <c r="A129" s="2747"/>
      <c r="B129" s="6598"/>
      <c r="C129" s="5565"/>
      <c r="D129" s="5519" t="s">
        <v>1727</v>
      </c>
      <c r="E129" s="5519" t="s">
        <v>1728</v>
      </c>
      <c r="F129" s="5519"/>
      <c r="G129" s="5519" t="s">
        <v>1729</v>
      </c>
      <c r="H129" s="5519"/>
      <c r="I129" s="5519" t="s">
        <v>1055</v>
      </c>
      <c r="J129" s="5519"/>
      <c r="K129" s="5519" t="s">
        <v>59</v>
      </c>
      <c r="L129" s="5519" t="s">
        <v>95</v>
      </c>
      <c r="M129" s="5163" t="s">
        <v>1284</v>
      </c>
    </row>
    <row r="130" spans="1:13" ht="15" customHeight="1" x14ac:dyDescent="0.3">
      <c r="A130" s="2747"/>
      <c r="B130" s="6598"/>
      <c r="C130" s="5562" t="s">
        <v>1737</v>
      </c>
      <c r="D130" s="5557">
        <v>18.5</v>
      </c>
      <c r="E130" s="5557">
        <v>16</v>
      </c>
      <c r="F130" s="5557"/>
      <c r="G130" s="5557"/>
      <c r="H130" s="5557"/>
      <c r="I130" s="5557">
        <v>561.4</v>
      </c>
      <c r="J130" s="5566"/>
      <c r="K130" s="5567">
        <v>108.63333333333334</v>
      </c>
      <c r="L130" s="5567">
        <v>61.666666666666664</v>
      </c>
      <c r="M130" s="5164">
        <v>88.916666666666671</v>
      </c>
    </row>
    <row r="131" spans="1:13" ht="15" customHeight="1" x14ac:dyDescent="0.3">
      <c r="A131" s="2747"/>
      <c r="B131" s="6598"/>
      <c r="C131" s="5562" t="s">
        <v>1738</v>
      </c>
      <c r="D131" s="5557"/>
      <c r="E131" s="5557"/>
      <c r="F131" s="5557"/>
      <c r="G131" s="5557"/>
      <c r="H131" s="5557"/>
      <c r="I131" s="5557"/>
      <c r="J131" s="5566"/>
      <c r="K131" s="5567"/>
      <c r="L131" s="5567"/>
      <c r="M131" s="5164"/>
    </row>
    <row r="132" spans="1:13" ht="15" customHeight="1" x14ac:dyDescent="0.3">
      <c r="A132" s="2747"/>
      <c r="B132" s="6598"/>
      <c r="C132" s="5562" t="s">
        <v>1739</v>
      </c>
      <c r="D132" s="5557"/>
      <c r="E132" s="5557"/>
      <c r="F132" s="5557"/>
      <c r="G132" s="5557"/>
      <c r="H132" s="5557"/>
      <c r="I132" s="5557"/>
      <c r="J132" s="5566"/>
      <c r="K132" s="5567">
        <v>22.916666666666668</v>
      </c>
      <c r="L132" s="5567">
        <v>19.416666666666668</v>
      </c>
      <c r="M132" s="5164">
        <v>13.916666666666666</v>
      </c>
    </row>
    <row r="133" spans="1:13" ht="15" customHeight="1" x14ac:dyDescent="0.3">
      <c r="A133" s="2747"/>
      <c r="B133" s="6598"/>
      <c r="C133" s="5562" t="s">
        <v>466</v>
      </c>
      <c r="D133" s="5557"/>
      <c r="E133" s="5557"/>
      <c r="F133" s="5557"/>
      <c r="G133" s="5557"/>
      <c r="H133" s="5557"/>
      <c r="I133" s="5557"/>
      <c r="J133" s="5566"/>
      <c r="K133" s="5567"/>
      <c r="L133" s="5567"/>
      <c r="M133" s="5164"/>
    </row>
    <row r="134" spans="1:13" ht="15" customHeight="1" x14ac:dyDescent="0.3">
      <c r="A134" s="2747"/>
      <c r="B134" s="6598"/>
      <c r="C134" s="5562" t="s">
        <v>1740</v>
      </c>
      <c r="D134" s="5557"/>
      <c r="E134" s="5557"/>
      <c r="F134" s="5557"/>
      <c r="G134" s="5557"/>
      <c r="H134" s="5557"/>
      <c r="I134" s="5557"/>
      <c r="J134" s="5566"/>
      <c r="K134" s="5567"/>
      <c r="L134" s="5567"/>
      <c r="M134" s="5164"/>
    </row>
    <row r="135" spans="1:13" ht="15" customHeight="1" x14ac:dyDescent="0.3">
      <c r="A135" s="2747"/>
      <c r="B135" s="6598"/>
      <c r="C135" s="5562" t="s">
        <v>1741</v>
      </c>
      <c r="D135" s="5557">
        <v>4.72</v>
      </c>
      <c r="E135" s="5557">
        <v>14.78</v>
      </c>
      <c r="F135" s="5557"/>
      <c r="G135" s="5557"/>
      <c r="H135" s="5557"/>
      <c r="I135" s="5544">
        <v>8.1999999999999993</v>
      </c>
      <c r="J135" s="5566"/>
      <c r="K135" s="5567">
        <v>13.866666666666667</v>
      </c>
      <c r="L135" s="5567">
        <v>16.616666666666667</v>
      </c>
      <c r="M135" s="5164">
        <v>40.833333333333336</v>
      </c>
    </row>
    <row r="136" spans="1:13" ht="15" customHeight="1" x14ac:dyDescent="0.3">
      <c r="A136" s="2747"/>
      <c r="B136" s="6598"/>
      <c r="C136" s="5562" t="s">
        <v>1742</v>
      </c>
      <c r="D136" s="5557"/>
      <c r="E136" s="5557"/>
      <c r="F136" s="5557"/>
      <c r="G136" s="5557"/>
      <c r="H136" s="5557"/>
      <c r="I136" s="5544">
        <v>3.5</v>
      </c>
      <c r="J136" s="5566"/>
      <c r="K136" s="5567">
        <v>8.1333333333333329</v>
      </c>
      <c r="L136" s="5567">
        <v>5.8</v>
      </c>
      <c r="M136" s="5164">
        <v>14.583333333333334</v>
      </c>
    </row>
    <row r="137" spans="1:13" ht="15" customHeight="1" x14ac:dyDescent="0.3">
      <c r="A137" s="2747"/>
      <c r="B137" s="6598"/>
      <c r="C137" s="5562" t="s">
        <v>1743</v>
      </c>
      <c r="D137" s="5557">
        <v>1</v>
      </c>
      <c r="E137" s="5557">
        <v>2.5</v>
      </c>
      <c r="F137" s="5557"/>
      <c r="G137" s="5557"/>
      <c r="H137" s="5557"/>
      <c r="I137" s="5544"/>
      <c r="J137" s="5566"/>
      <c r="K137" s="5568">
        <v>0</v>
      </c>
      <c r="L137" s="5568">
        <v>0</v>
      </c>
      <c r="M137" s="5165">
        <v>1.3333333333333333</v>
      </c>
    </row>
    <row r="138" spans="1:13" ht="15" customHeight="1" x14ac:dyDescent="0.3">
      <c r="A138" s="2747"/>
      <c r="B138" s="6598"/>
      <c r="C138" s="5562" t="s">
        <v>1744</v>
      </c>
      <c r="D138" s="5557"/>
      <c r="E138" s="5557"/>
      <c r="F138" s="5557"/>
      <c r="G138" s="5557"/>
      <c r="H138" s="5557"/>
      <c r="I138" s="5544"/>
      <c r="J138" s="5566"/>
      <c r="K138" s="5568"/>
      <c r="L138" s="5568"/>
      <c r="M138" s="5165"/>
    </row>
    <row r="139" spans="1:13" ht="27.6" x14ac:dyDescent="0.3">
      <c r="A139" s="2747"/>
      <c r="B139" s="6598"/>
      <c r="C139" s="5553" t="s">
        <v>1750</v>
      </c>
      <c r="D139" s="5557"/>
      <c r="E139" s="5557"/>
      <c r="F139" s="5557"/>
      <c r="G139" s="5557"/>
      <c r="H139" s="5557"/>
      <c r="I139" s="5544">
        <v>11.08</v>
      </c>
      <c r="J139" s="5566"/>
      <c r="K139" s="5568"/>
      <c r="L139" s="5568"/>
      <c r="M139" s="5165"/>
    </row>
    <row r="140" spans="1:13" ht="15" customHeight="1" x14ac:dyDescent="0.3">
      <c r="A140" s="2747"/>
      <c r="B140" s="6598"/>
      <c r="C140" s="5562" t="s">
        <v>1745</v>
      </c>
      <c r="D140" s="5557"/>
      <c r="E140" s="5557"/>
      <c r="F140" s="5557"/>
      <c r="G140" s="5557"/>
      <c r="H140" s="5557"/>
      <c r="I140" s="5544"/>
      <c r="J140" s="5566"/>
      <c r="K140" s="5568">
        <v>2.4</v>
      </c>
      <c r="L140" s="5568">
        <v>2.1833333333333331</v>
      </c>
      <c r="M140" s="5165">
        <v>4</v>
      </c>
    </row>
    <row r="141" spans="1:13" ht="15" customHeight="1" x14ac:dyDescent="0.3">
      <c r="A141" s="2747"/>
      <c r="B141" s="6598"/>
      <c r="C141" s="5562" t="s">
        <v>1746</v>
      </c>
      <c r="D141" s="5557">
        <v>0.25</v>
      </c>
      <c r="E141" s="5557"/>
      <c r="F141" s="5557"/>
      <c r="G141" s="5557"/>
      <c r="H141" s="5557"/>
      <c r="I141" s="5544"/>
      <c r="J141" s="5566"/>
      <c r="K141" s="5568"/>
      <c r="L141" s="5568"/>
      <c r="M141" s="5165"/>
    </row>
    <row r="142" spans="1:13" ht="15" customHeight="1" x14ac:dyDescent="0.3">
      <c r="A142" s="2747"/>
      <c r="B142" s="6598"/>
      <c r="C142" s="5562" t="s">
        <v>1747</v>
      </c>
      <c r="D142" s="5557"/>
      <c r="E142" s="5557"/>
      <c r="F142" s="5557"/>
      <c r="G142" s="5557"/>
      <c r="H142" s="5557"/>
      <c r="I142" s="5544"/>
      <c r="J142" s="5566"/>
      <c r="K142" s="5568"/>
      <c r="L142" s="5568"/>
      <c r="M142" s="5165"/>
    </row>
    <row r="143" spans="1:13" ht="15" customHeight="1" x14ac:dyDescent="0.3">
      <c r="A143" s="2747"/>
      <c r="B143" s="6598"/>
      <c r="C143" s="5553" t="s">
        <v>1748</v>
      </c>
      <c r="D143" s="5557"/>
      <c r="E143" s="5557"/>
      <c r="F143" s="5557"/>
      <c r="G143" s="5557"/>
      <c r="H143" s="5557"/>
      <c r="I143" s="5544"/>
      <c r="J143" s="5566"/>
      <c r="K143" s="5568"/>
      <c r="L143" s="5568"/>
      <c r="M143" s="5165"/>
    </row>
    <row r="144" spans="1:13" ht="15" customHeight="1" x14ac:dyDescent="0.3">
      <c r="A144" s="2747"/>
      <c r="B144" s="6598"/>
      <c r="C144" s="5562" t="s">
        <v>1881</v>
      </c>
      <c r="D144" s="5557"/>
      <c r="E144" s="5557"/>
      <c r="F144" s="5557"/>
      <c r="G144" s="5557"/>
      <c r="H144" s="5557"/>
      <c r="I144" s="5544"/>
      <c r="J144" s="5566"/>
      <c r="K144" s="5568"/>
      <c r="L144" s="5568"/>
      <c r="M144" s="5165"/>
    </row>
    <row r="145" spans="1:13" ht="15" customHeight="1" x14ac:dyDescent="0.3">
      <c r="A145" s="2747"/>
      <c r="B145" s="6598"/>
      <c r="C145" s="2750" t="s">
        <v>82</v>
      </c>
      <c r="D145" s="5557">
        <v>1</v>
      </c>
      <c r="E145" s="5557">
        <v>2</v>
      </c>
      <c r="F145" s="5557"/>
      <c r="G145" s="5557"/>
      <c r="H145" s="5557"/>
      <c r="I145" s="5544"/>
      <c r="J145" s="5566"/>
      <c r="K145" s="5568"/>
      <c r="L145" s="5568"/>
      <c r="M145" s="5165"/>
    </row>
    <row r="146" spans="1:13" ht="15" customHeight="1" x14ac:dyDescent="0.3">
      <c r="A146" s="2747"/>
      <c r="B146" s="6598"/>
      <c r="C146" s="5562" t="s">
        <v>1749</v>
      </c>
      <c r="D146" s="5557"/>
      <c r="E146" s="5557"/>
      <c r="F146" s="5557"/>
      <c r="G146" s="5557"/>
      <c r="H146" s="5557"/>
      <c r="I146" s="5544">
        <v>9.3800000000000008</v>
      </c>
      <c r="J146" s="5566"/>
      <c r="K146" s="5568"/>
      <c r="L146" s="5568"/>
      <c r="M146" s="5165"/>
    </row>
    <row r="147" spans="1:13" ht="15" customHeight="1" x14ac:dyDescent="0.3">
      <c r="A147" s="2747"/>
      <c r="B147" s="6598"/>
      <c r="C147" s="5562" t="s">
        <v>724</v>
      </c>
      <c r="D147" s="5557"/>
      <c r="E147" s="5557"/>
      <c r="F147" s="5557"/>
      <c r="G147" s="5557"/>
      <c r="H147" s="5557"/>
      <c r="I147" s="5544"/>
      <c r="J147" s="5566"/>
      <c r="K147" s="5568"/>
      <c r="L147" s="5568"/>
      <c r="M147" s="5165"/>
    </row>
    <row r="148" spans="1:13" ht="15" customHeight="1" x14ac:dyDescent="0.3">
      <c r="A148" s="2747"/>
      <c r="B148" s="6598"/>
      <c r="C148" s="5562" t="s">
        <v>58</v>
      </c>
      <c r="D148" s="5569"/>
      <c r="E148" s="5569"/>
      <c r="F148" s="5569"/>
      <c r="G148" s="5566"/>
      <c r="H148" s="5566"/>
      <c r="I148" s="5570">
        <v>9.1300000000000008</v>
      </c>
      <c r="J148" s="5566"/>
      <c r="K148" s="5568"/>
      <c r="L148" s="5568"/>
      <c r="M148" s="5165"/>
    </row>
    <row r="149" spans="1:13" ht="15.75" customHeight="1" thickBot="1" x14ac:dyDescent="0.35">
      <c r="A149" s="2747"/>
      <c r="B149" s="6599"/>
      <c r="C149" s="5157" t="s">
        <v>2250</v>
      </c>
      <c r="D149" s="5166"/>
      <c r="E149" s="5166"/>
      <c r="F149" s="5166"/>
      <c r="G149" s="5167"/>
      <c r="H149" s="5167"/>
      <c r="I149" s="5168"/>
      <c r="J149" s="5167"/>
      <c r="K149" s="5169">
        <v>12.216666666666667</v>
      </c>
      <c r="L149" s="5169">
        <v>10.583333333333334</v>
      </c>
      <c r="M149" s="5170">
        <v>45.75</v>
      </c>
    </row>
    <row r="150" spans="1:13" ht="15" customHeight="1" x14ac:dyDescent="0.3">
      <c r="B150" s="6600">
        <v>45870</v>
      </c>
      <c r="C150" s="5171" t="s">
        <v>1726</v>
      </c>
      <c r="D150" s="5172" t="s">
        <v>1726</v>
      </c>
      <c r="E150" s="5173"/>
      <c r="F150" s="5173"/>
      <c r="G150" s="5173"/>
      <c r="H150" s="5173"/>
      <c r="I150" s="5173"/>
      <c r="J150" s="5173"/>
      <c r="K150" s="5173"/>
      <c r="L150" s="5172" t="s">
        <v>1726</v>
      </c>
      <c r="M150" s="5172"/>
    </row>
    <row r="151" spans="1:13" ht="15" customHeight="1" x14ac:dyDescent="0.3">
      <c r="B151" s="6587"/>
      <c r="C151" s="5571"/>
      <c r="D151" s="5519" t="s">
        <v>1727</v>
      </c>
      <c r="E151" s="5519" t="s">
        <v>1728</v>
      </c>
      <c r="F151" s="5519"/>
      <c r="G151" s="5519" t="s">
        <v>1729</v>
      </c>
      <c r="H151" s="5519"/>
      <c r="I151" s="5519" t="s">
        <v>1055</v>
      </c>
      <c r="J151" s="5519"/>
      <c r="K151" s="5519" t="s">
        <v>59</v>
      </c>
      <c r="L151" s="5519" t="s">
        <v>95</v>
      </c>
      <c r="M151" s="5519" t="s">
        <v>1284</v>
      </c>
    </row>
    <row r="152" spans="1:13" ht="15" customHeight="1" x14ac:dyDescent="0.3">
      <c r="B152" s="6587"/>
      <c r="C152" s="5562" t="s">
        <v>1737</v>
      </c>
      <c r="D152" s="5568">
        <v>24.17</v>
      </c>
      <c r="E152" s="5568">
        <v>6</v>
      </c>
      <c r="F152" s="5569"/>
      <c r="G152" s="5568">
        <v>23.42</v>
      </c>
      <c r="H152" s="5569"/>
      <c r="I152" s="5568">
        <v>545.33000000000004</v>
      </c>
      <c r="J152" s="5569"/>
      <c r="K152" s="5568">
        <v>129.11666666666667</v>
      </c>
      <c r="L152" s="5568">
        <v>96.2</v>
      </c>
      <c r="M152" s="5568">
        <v>133.08333333333334</v>
      </c>
    </row>
    <row r="153" spans="1:13" ht="15" customHeight="1" x14ac:dyDescent="0.3">
      <c r="B153" s="6587"/>
      <c r="C153" s="5562" t="s">
        <v>1738</v>
      </c>
      <c r="D153" s="5568"/>
      <c r="E153" s="5568"/>
      <c r="F153" s="5569"/>
      <c r="G153" s="5568"/>
      <c r="H153" s="5569"/>
      <c r="I153" s="5568"/>
      <c r="J153" s="5569"/>
      <c r="K153" s="5568"/>
      <c r="L153" s="5568"/>
      <c r="M153" s="5568"/>
    </row>
    <row r="154" spans="1:13" ht="15" customHeight="1" x14ac:dyDescent="0.3">
      <c r="B154" s="6587"/>
      <c r="C154" s="5562" t="s">
        <v>1739</v>
      </c>
      <c r="D154" s="5568"/>
      <c r="E154" s="5568"/>
      <c r="F154" s="5569"/>
      <c r="G154" s="5568"/>
      <c r="H154" s="5569"/>
      <c r="I154" s="5568"/>
      <c r="J154" s="5569"/>
      <c r="K154" s="5568">
        <v>23.05</v>
      </c>
      <c r="L154" s="5568">
        <v>20.483333333333334</v>
      </c>
      <c r="M154" s="5568">
        <v>27.25</v>
      </c>
    </row>
    <row r="155" spans="1:13" ht="15" customHeight="1" x14ac:dyDescent="0.3">
      <c r="B155" s="6587"/>
      <c r="C155" s="5562" t="s">
        <v>466</v>
      </c>
      <c r="D155" s="5568"/>
      <c r="E155" s="5568"/>
      <c r="F155" s="5569"/>
      <c r="G155" s="5568"/>
      <c r="H155" s="5569"/>
      <c r="I155" s="5568"/>
      <c r="J155" s="5569"/>
      <c r="K155" s="5568"/>
      <c r="L155" s="5568"/>
      <c r="M155" s="5568"/>
    </row>
    <row r="156" spans="1:13" ht="15" customHeight="1" x14ac:dyDescent="0.3">
      <c r="B156" s="6587"/>
      <c r="C156" s="5562" t="s">
        <v>1740</v>
      </c>
      <c r="D156" s="5568"/>
      <c r="E156" s="5568"/>
      <c r="F156" s="5569"/>
      <c r="G156" s="5568"/>
      <c r="H156" s="5569"/>
      <c r="I156" s="5568"/>
      <c r="J156" s="5569"/>
      <c r="K156" s="5568"/>
      <c r="L156" s="5568"/>
      <c r="M156" s="5568"/>
    </row>
    <row r="157" spans="1:13" ht="15" customHeight="1" x14ac:dyDescent="0.3">
      <c r="B157" s="6587"/>
      <c r="C157" s="5562" t="s">
        <v>1741</v>
      </c>
      <c r="D157" s="5572">
        <v>6.57</v>
      </c>
      <c r="E157" s="5572">
        <v>9.74</v>
      </c>
      <c r="F157" s="5569"/>
      <c r="G157" s="5568"/>
      <c r="H157" s="5569"/>
      <c r="I157" s="5568">
        <v>16</v>
      </c>
      <c r="J157" s="5569"/>
      <c r="K157" s="5568">
        <v>37.333333333333336</v>
      </c>
      <c r="L157" s="5568">
        <v>29.2</v>
      </c>
      <c r="M157" s="5568">
        <v>22.166666666666668</v>
      </c>
    </row>
    <row r="158" spans="1:13" ht="15" customHeight="1" x14ac:dyDescent="0.3">
      <c r="B158" s="6587"/>
      <c r="C158" s="5562" t="s">
        <v>1742</v>
      </c>
      <c r="D158" s="5572"/>
      <c r="E158" s="5572"/>
      <c r="F158" s="5569"/>
      <c r="G158" s="5568"/>
      <c r="H158" s="5569"/>
      <c r="I158" s="5568"/>
      <c r="J158" s="5569"/>
      <c r="K158" s="5568">
        <v>13.583333333333334</v>
      </c>
      <c r="L158" s="5568">
        <v>9.8333333333333339</v>
      </c>
      <c r="M158" s="5568">
        <v>19.083333333333332</v>
      </c>
    </row>
    <row r="159" spans="1:13" ht="15" customHeight="1" x14ac:dyDescent="0.3">
      <c r="B159" s="6587"/>
      <c r="C159" s="5562" t="s">
        <v>1743</v>
      </c>
      <c r="D159" s="5572">
        <v>2.5</v>
      </c>
      <c r="E159" s="5572">
        <v>9.75</v>
      </c>
      <c r="F159" s="5569"/>
      <c r="G159" s="5569"/>
      <c r="H159" s="5569"/>
      <c r="I159" s="5568"/>
      <c r="J159" s="5569"/>
      <c r="K159" s="5568"/>
      <c r="L159" s="5568"/>
      <c r="M159" s="5568"/>
    </row>
    <row r="160" spans="1:13" ht="15" customHeight="1" x14ac:dyDescent="0.3">
      <c r="B160" s="6587"/>
      <c r="C160" s="5562" t="s">
        <v>1744</v>
      </c>
      <c r="D160" s="5572"/>
      <c r="E160" s="5572"/>
      <c r="F160" s="5569"/>
      <c r="G160" s="5569"/>
      <c r="H160" s="5569"/>
      <c r="I160" s="5568"/>
      <c r="J160" s="5569"/>
      <c r="K160" s="5568"/>
      <c r="L160" s="5568"/>
      <c r="M160" s="5568"/>
    </row>
    <row r="161" spans="2:13" ht="27.6" x14ac:dyDescent="0.3">
      <c r="B161" s="6587"/>
      <c r="C161" s="5553" t="s">
        <v>1750</v>
      </c>
      <c r="D161" s="5572"/>
      <c r="E161" s="5572"/>
      <c r="F161" s="5573"/>
      <c r="G161" s="5569"/>
      <c r="H161" s="5574"/>
      <c r="I161" s="5568">
        <v>91.3</v>
      </c>
      <c r="J161" s="5573"/>
      <c r="K161" s="5568"/>
      <c r="L161" s="5568"/>
      <c r="M161" s="5568"/>
    </row>
    <row r="162" spans="2:13" ht="15" customHeight="1" x14ac:dyDescent="0.3">
      <c r="B162" s="6587"/>
      <c r="C162" s="5562" t="s">
        <v>1745</v>
      </c>
      <c r="D162" s="5572">
        <v>18.670000000000002</v>
      </c>
      <c r="E162" s="5572">
        <v>19.46</v>
      </c>
      <c r="F162" s="5569"/>
      <c r="G162" s="5569"/>
      <c r="H162" s="5569"/>
      <c r="I162" s="5568"/>
      <c r="J162" s="5569"/>
      <c r="K162" s="5568">
        <v>1.1666666666666667</v>
      </c>
      <c r="L162" s="5568">
        <v>1.3</v>
      </c>
      <c r="M162" s="5568">
        <v>3.3333333333333335</v>
      </c>
    </row>
    <row r="163" spans="2:13" ht="15" customHeight="1" x14ac:dyDescent="0.3">
      <c r="B163" s="6587"/>
      <c r="C163" s="5562" t="s">
        <v>1746</v>
      </c>
      <c r="D163" s="5572"/>
      <c r="E163" s="5572"/>
      <c r="F163" s="5569"/>
      <c r="G163" s="5569"/>
      <c r="H163" s="5569"/>
      <c r="I163" s="5568"/>
      <c r="J163" s="5569"/>
      <c r="K163" s="5568"/>
      <c r="L163" s="5568"/>
      <c r="M163" s="5568"/>
    </row>
    <row r="164" spans="2:13" ht="15" customHeight="1" x14ac:dyDescent="0.3">
      <c r="B164" s="6587"/>
      <c r="C164" s="5562" t="s">
        <v>1747</v>
      </c>
      <c r="D164" s="5572"/>
      <c r="E164" s="5572"/>
      <c r="F164" s="5569"/>
      <c r="G164" s="5569"/>
      <c r="H164" s="5569"/>
      <c r="I164" s="5568"/>
      <c r="J164" s="5569"/>
      <c r="K164" s="5568"/>
      <c r="L164" s="5568"/>
      <c r="M164" s="5568"/>
    </row>
    <row r="165" spans="2:13" ht="15" customHeight="1" x14ac:dyDescent="0.3">
      <c r="B165" s="6587"/>
      <c r="C165" s="5553" t="s">
        <v>1748</v>
      </c>
      <c r="D165" s="5572"/>
      <c r="E165" s="5572"/>
      <c r="F165" s="5569"/>
      <c r="G165" s="5569"/>
      <c r="H165" s="5569"/>
      <c r="I165" s="5568"/>
      <c r="J165" s="5569"/>
      <c r="K165" s="5568"/>
      <c r="L165" s="5568"/>
      <c r="M165" s="5568"/>
    </row>
    <row r="166" spans="2:13" ht="15" customHeight="1" x14ac:dyDescent="0.3">
      <c r="B166" s="6587"/>
      <c r="C166" s="5562" t="s">
        <v>1881</v>
      </c>
      <c r="D166" s="5572"/>
      <c r="E166" s="5572"/>
      <c r="F166" s="5569"/>
      <c r="G166" s="5569"/>
      <c r="H166" s="5569"/>
      <c r="I166" s="5568"/>
      <c r="J166" s="5569"/>
      <c r="K166" s="5568"/>
      <c r="L166" s="5568"/>
      <c r="M166" s="5568"/>
    </row>
    <row r="167" spans="2:13" ht="15" customHeight="1" x14ac:dyDescent="0.3">
      <c r="B167" s="6587"/>
      <c r="C167" s="2750" t="s">
        <v>82</v>
      </c>
      <c r="D167" s="5568"/>
      <c r="E167" s="5568"/>
      <c r="F167" s="5569"/>
      <c r="G167" s="5569"/>
      <c r="H167" s="5569"/>
      <c r="I167" s="5568"/>
      <c r="J167" s="5569"/>
      <c r="K167" s="5569"/>
      <c r="L167" s="5569"/>
      <c r="M167" s="5569"/>
    </row>
    <row r="168" spans="2:13" ht="15" customHeight="1" x14ac:dyDescent="0.3">
      <c r="B168" s="6587"/>
      <c r="C168" s="5562" t="s">
        <v>1749</v>
      </c>
      <c r="D168" s="5568"/>
      <c r="E168" s="5568"/>
      <c r="F168" s="5569"/>
      <c r="G168" s="5569"/>
      <c r="H168" s="5569"/>
      <c r="I168" s="5568">
        <v>4.8</v>
      </c>
      <c r="J168" s="5569"/>
      <c r="K168" s="5569"/>
      <c r="L168" s="5569"/>
      <c r="M168" s="5569"/>
    </row>
    <row r="169" spans="2:13" ht="15" customHeight="1" x14ac:dyDescent="0.3">
      <c r="B169" s="6587"/>
      <c r="C169" s="5562" t="s">
        <v>724</v>
      </c>
      <c r="D169" s="5568"/>
      <c r="E169" s="5568"/>
      <c r="F169" s="5569"/>
      <c r="G169" s="5569"/>
      <c r="H169" s="5569"/>
      <c r="I169" s="5568"/>
      <c r="J169" s="5569"/>
      <c r="K169" s="5569"/>
      <c r="L169" s="5569"/>
      <c r="M169" s="5569"/>
    </row>
    <row r="170" spans="2:13" ht="15" customHeight="1" x14ac:dyDescent="0.3">
      <c r="B170" s="6587"/>
      <c r="C170" s="5562" t="s">
        <v>58</v>
      </c>
      <c r="D170" s="5568"/>
      <c r="E170" s="5568"/>
      <c r="F170" s="5569"/>
      <c r="G170" s="5569"/>
      <c r="H170" s="5569"/>
      <c r="I170" s="5568">
        <v>1.43</v>
      </c>
      <c r="J170" s="5569"/>
      <c r="K170" s="5569"/>
      <c r="L170" s="5569"/>
      <c r="M170" s="5569"/>
    </row>
    <row r="171" spans="2:13" ht="15.75" customHeight="1" thickBot="1" x14ac:dyDescent="0.35">
      <c r="B171" s="6587"/>
      <c r="C171" s="5157" t="s">
        <v>2250</v>
      </c>
      <c r="D171" s="5568"/>
      <c r="E171" s="5568"/>
      <c r="F171" s="5569"/>
      <c r="G171" s="5569"/>
      <c r="H171" s="5569"/>
      <c r="I171" s="5568"/>
      <c r="J171" s="5569"/>
      <c r="K171" s="5568">
        <v>17.899999999999999</v>
      </c>
      <c r="L171" s="5568">
        <v>13.083333333333334</v>
      </c>
      <c r="M171" s="5568">
        <v>97.583333333333329</v>
      </c>
    </row>
    <row r="172" spans="2:13" ht="15" customHeight="1" x14ac:dyDescent="0.3">
      <c r="B172" s="6587">
        <v>45901</v>
      </c>
      <c r="C172" s="5518" t="s">
        <v>1726</v>
      </c>
      <c r="D172" s="5575" t="s">
        <v>1726</v>
      </c>
      <c r="E172" s="5470"/>
      <c r="F172" s="5470"/>
      <c r="G172" s="5470"/>
      <c r="H172" s="5470"/>
      <c r="I172" s="5470"/>
      <c r="J172" s="5470"/>
      <c r="K172" s="5470"/>
      <c r="L172" s="5575" t="s">
        <v>1726</v>
      </c>
      <c r="M172" s="5575"/>
    </row>
    <row r="173" spans="2:13" ht="15" customHeight="1" x14ac:dyDescent="0.3">
      <c r="B173" s="6587"/>
      <c r="C173" s="5571"/>
      <c r="D173" s="5519" t="s">
        <v>1727</v>
      </c>
      <c r="E173" s="5519" t="s">
        <v>1728</v>
      </c>
      <c r="F173" s="5519"/>
      <c r="G173" s="5519" t="s">
        <v>1729</v>
      </c>
      <c r="H173" s="5519"/>
      <c r="I173" s="5519" t="s">
        <v>1055</v>
      </c>
      <c r="J173" s="5519"/>
      <c r="K173" s="5519" t="s">
        <v>59</v>
      </c>
      <c r="L173" s="5519" t="s">
        <v>95</v>
      </c>
      <c r="M173" s="5519" t="s">
        <v>1284</v>
      </c>
    </row>
    <row r="174" spans="2:13" ht="15" customHeight="1" x14ac:dyDescent="0.3">
      <c r="B174" s="6587"/>
      <c r="C174" s="5562" t="s">
        <v>1737</v>
      </c>
      <c r="D174" s="5568">
        <v>13.5</v>
      </c>
      <c r="E174" s="5568">
        <v>13.25</v>
      </c>
      <c r="F174" s="5568"/>
      <c r="G174" s="5568">
        <v>7.83</v>
      </c>
      <c r="H174" s="5568"/>
      <c r="I174" s="5568">
        <v>587.5</v>
      </c>
      <c r="J174" s="5568"/>
      <c r="K174" s="5568">
        <v>104.41666666666667</v>
      </c>
      <c r="L174" s="5568">
        <v>72.166666666666671</v>
      </c>
      <c r="M174" s="5568">
        <v>113.08333333333333</v>
      </c>
    </row>
    <row r="175" spans="2:13" ht="15" customHeight="1" x14ac:dyDescent="0.3">
      <c r="B175" s="6587"/>
      <c r="C175" s="5562" t="s">
        <v>1738</v>
      </c>
      <c r="D175" s="5568"/>
      <c r="E175" s="5568"/>
      <c r="F175" s="5568"/>
      <c r="G175" s="5568"/>
      <c r="H175" s="5568"/>
      <c r="I175" s="5568"/>
      <c r="J175" s="5568"/>
      <c r="K175" s="5568"/>
      <c r="L175" s="5568"/>
      <c r="M175" s="5568"/>
    </row>
    <row r="176" spans="2:13" ht="15" customHeight="1" x14ac:dyDescent="0.3">
      <c r="B176" s="6587"/>
      <c r="C176" s="5562" t="s">
        <v>1739</v>
      </c>
      <c r="D176" s="5568">
        <v>1</v>
      </c>
      <c r="E176" s="5568"/>
      <c r="F176" s="5568"/>
      <c r="G176" s="5568"/>
      <c r="H176" s="5568"/>
      <c r="I176" s="5568"/>
      <c r="J176" s="5568"/>
      <c r="K176" s="5568">
        <v>22.6</v>
      </c>
      <c r="L176" s="5568">
        <v>19.933333333333334</v>
      </c>
      <c r="M176" s="5568">
        <v>37.583333333333336</v>
      </c>
    </row>
    <row r="177" spans="2:13" ht="15" customHeight="1" x14ac:dyDescent="0.3">
      <c r="B177" s="6587"/>
      <c r="C177" s="5562" t="s">
        <v>466</v>
      </c>
      <c r="D177" s="5568"/>
      <c r="E177" s="5568"/>
      <c r="F177" s="5568"/>
      <c r="G177" s="5568"/>
      <c r="H177" s="5568"/>
      <c r="I177" s="5568"/>
      <c r="J177" s="5568"/>
      <c r="K177" s="5568"/>
      <c r="L177" s="5568"/>
      <c r="M177" s="5568"/>
    </row>
    <row r="178" spans="2:13" ht="15" customHeight="1" x14ac:dyDescent="0.3">
      <c r="B178" s="6587"/>
      <c r="C178" s="5562" t="s">
        <v>1740</v>
      </c>
      <c r="D178" s="5568"/>
      <c r="E178" s="5568"/>
      <c r="F178" s="5568"/>
      <c r="G178" s="5568"/>
      <c r="H178" s="5568"/>
      <c r="I178" s="5568"/>
      <c r="J178" s="5568"/>
      <c r="K178" s="5568"/>
      <c r="L178" s="5568"/>
      <c r="M178" s="5568"/>
    </row>
    <row r="179" spans="2:13" ht="15" customHeight="1" x14ac:dyDescent="0.3">
      <c r="B179" s="6587"/>
      <c r="C179" s="5562" t="s">
        <v>1741</v>
      </c>
      <c r="D179" s="5568">
        <v>3.42</v>
      </c>
      <c r="E179" s="5568">
        <v>10</v>
      </c>
      <c r="F179" s="5568"/>
      <c r="G179" s="5568"/>
      <c r="H179" s="5568"/>
      <c r="I179" s="5568">
        <v>7.75</v>
      </c>
      <c r="J179" s="5568"/>
      <c r="K179" s="5568">
        <v>11.683333333333334</v>
      </c>
      <c r="L179" s="5568">
        <v>31.25</v>
      </c>
      <c r="M179" s="5568">
        <v>23.666666666666668</v>
      </c>
    </row>
    <row r="180" spans="2:13" ht="15" customHeight="1" x14ac:dyDescent="0.3">
      <c r="B180" s="6587"/>
      <c r="C180" s="5562" t="s">
        <v>1742</v>
      </c>
      <c r="D180" s="5568"/>
      <c r="E180" s="5568"/>
      <c r="F180" s="5568"/>
      <c r="G180" s="5568"/>
      <c r="H180" s="5568"/>
      <c r="I180" s="5568">
        <v>1</v>
      </c>
      <c r="J180" s="5568"/>
      <c r="K180" s="5568">
        <v>10.833333333333334</v>
      </c>
      <c r="L180" s="5568">
        <v>8.2833333333333332</v>
      </c>
      <c r="M180" s="5568">
        <v>12.416666666666666</v>
      </c>
    </row>
    <row r="181" spans="2:13" ht="15" customHeight="1" x14ac:dyDescent="0.3">
      <c r="B181" s="6587"/>
      <c r="C181" s="5562" t="s">
        <v>1743</v>
      </c>
      <c r="D181" s="5568">
        <v>4.5</v>
      </c>
      <c r="E181" s="5568">
        <v>14.5</v>
      </c>
      <c r="F181" s="5568"/>
      <c r="G181" s="5568"/>
      <c r="H181" s="5568"/>
      <c r="I181" s="5568"/>
      <c r="J181" s="5568"/>
      <c r="K181" s="5568"/>
      <c r="L181" s="5568"/>
      <c r="M181" s="5568"/>
    </row>
    <row r="182" spans="2:13" ht="15" customHeight="1" x14ac:dyDescent="0.3">
      <c r="B182" s="6587"/>
      <c r="C182" s="5562" t="s">
        <v>1744</v>
      </c>
      <c r="D182" s="5568"/>
      <c r="E182" s="5568"/>
      <c r="F182" s="5568"/>
      <c r="G182" s="5568"/>
      <c r="H182" s="5568"/>
      <c r="I182" s="5568"/>
      <c r="J182" s="5568"/>
      <c r="K182" s="5568"/>
      <c r="L182" s="5568"/>
      <c r="M182" s="5568"/>
    </row>
    <row r="183" spans="2:13" ht="27.6" x14ac:dyDescent="0.3">
      <c r="B183" s="6587"/>
      <c r="C183" s="5553" t="s">
        <v>1750</v>
      </c>
      <c r="D183" s="5568"/>
      <c r="E183" s="5568"/>
      <c r="F183" s="5568"/>
      <c r="G183" s="5568"/>
      <c r="H183" s="5568"/>
      <c r="I183" s="5568">
        <v>70.900000000000006</v>
      </c>
      <c r="J183" s="5568"/>
      <c r="K183" s="5568"/>
      <c r="L183" s="5568"/>
      <c r="M183" s="5568"/>
    </row>
    <row r="184" spans="2:13" ht="15" customHeight="1" x14ac:dyDescent="0.3">
      <c r="B184" s="6587"/>
      <c r="C184" s="5562" t="s">
        <v>1745</v>
      </c>
      <c r="D184" s="5568">
        <v>4</v>
      </c>
      <c r="E184" s="5568">
        <v>2</v>
      </c>
      <c r="F184" s="5568"/>
      <c r="G184" s="5568"/>
      <c r="H184" s="5568"/>
      <c r="I184" s="5568"/>
      <c r="J184" s="5568"/>
      <c r="K184" s="5568">
        <v>1.1666666666666667</v>
      </c>
      <c r="L184" s="5568">
        <v>1.8</v>
      </c>
      <c r="M184" s="5568">
        <v>6.333333333333333</v>
      </c>
    </row>
    <row r="185" spans="2:13" ht="15" customHeight="1" x14ac:dyDescent="0.3">
      <c r="B185" s="6587"/>
      <c r="C185" s="5562" t="s">
        <v>1746</v>
      </c>
      <c r="D185" s="5568">
        <v>0.17</v>
      </c>
      <c r="E185" s="5568"/>
      <c r="F185" s="5568"/>
      <c r="G185" s="5568"/>
      <c r="H185" s="5568"/>
      <c r="I185" s="5568">
        <v>2.5</v>
      </c>
      <c r="J185" s="5568"/>
      <c r="K185" s="5568"/>
      <c r="L185" s="5568"/>
      <c r="M185" s="5568"/>
    </row>
    <row r="186" spans="2:13" ht="15" customHeight="1" x14ac:dyDescent="0.3">
      <c r="B186" s="6587"/>
      <c r="C186" s="5562" t="s">
        <v>1747</v>
      </c>
      <c r="D186" s="5568"/>
      <c r="E186" s="5568"/>
      <c r="F186" s="5568"/>
      <c r="G186" s="5568"/>
      <c r="H186" s="5568"/>
      <c r="I186" s="5568"/>
      <c r="J186" s="5568"/>
      <c r="K186" s="5568"/>
      <c r="L186" s="5568"/>
      <c r="M186" s="5568"/>
    </row>
    <row r="187" spans="2:13" ht="15" customHeight="1" x14ac:dyDescent="0.3">
      <c r="B187" s="6587"/>
      <c r="C187" s="5553" t="s">
        <v>1748</v>
      </c>
      <c r="D187" s="5568">
        <v>1</v>
      </c>
      <c r="E187" s="5568">
        <v>1.67</v>
      </c>
      <c r="F187" s="5568"/>
      <c r="G187" s="5568"/>
      <c r="H187" s="5568"/>
      <c r="I187" s="5568"/>
      <c r="J187" s="5568"/>
      <c r="K187" s="5568"/>
      <c r="L187" s="5568"/>
      <c r="M187" s="5568"/>
    </row>
    <row r="188" spans="2:13" ht="15" customHeight="1" x14ac:dyDescent="0.3">
      <c r="B188" s="6587"/>
      <c r="C188" s="5562" t="s">
        <v>1881</v>
      </c>
      <c r="D188" s="5568"/>
      <c r="E188" s="5568"/>
      <c r="F188" s="5568"/>
      <c r="G188" s="5568"/>
      <c r="H188" s="5568"/>
      <c r="I188" s="5568"/>
      <c r="J188" s="5568"/>
      <c r="K188" s="5568"/>
      <c r="L188" s="5568"/>
      <c r="M188" s="5568"/>
    </row>
    <row r="189" spans="2:13" ht="15" customHeight="1" x14ac:dyDescent="0.3">
      <c r="B189" s="6587"/>
      <c r="C189" s="2750" t="s">
        <v>82</v>
      </c>
      <c r="D189" s="5568"/>
      <c r="E189" s="5568"/>
      <c r="F189" s="5568"/>
      <c r="G189" s="5568"/>
      <c r="H189" s="5568"/>
      <c r="I189" s="5568"/>
      <c r="J189" s="5568"/>
      <c r="K189" s="5568"/>
      <c r="L189" s="5568"/>
      <c r="M189" s="5568"/>
    </row>
    <row r="190" spans="2:13" ht="15" customHeight="1" x14ac:dyDescent="0.3">
      <c r="B190" s="6587"/>
      <c r="C190" s="5562" t="s">
        <v>1749</v>
      </c>
      <c r="D190" s="5568"/>
      <c r="E190" s="5568"/>
      <c r="F190" s="5568"/>
      <c r="G190" s="5568"/>
      <c r="H190" s="5568"/>
      <c r="I190" s="5568">
        <v>2.9</v>
      </c>
      <c r="J190" s="5568"/>
      <c r="K190" s="5568"/>
      <c r="L190" s="5568"/>
      <c r="M190" s="5568"/>
    </row>
    <row r="191" spans="2:13" ht="15" customHeight="1" x14ac:dyDescent="0.3">
      <c r="B191" s="6587"/>
      <c r="C191" s="5562" t="s">
        <v>724</v>
      </c>
      <c r="D191" s="5568"/>
      <c r="E191" s="5568"/>
      <c r="F191" s="5568"/>
      <c r="G191" s="5568"/>
      <c r="H191" s="5568"/>
      <c r="I191" s="5568"/>
      <c r="J191" s="5568"/>
      <c r="K191" s="5568"/>
      <c r="L191" s="5568"/>
      <c r="M191" s="5568"/>
    </row>
    <row r="192" spans="2:13" ht="15" customHeight="1" x14ac:dyDescent="0.3">
      <c r="B192" s="6587"/>
      <c r="C192" s="5562" t="s">
        <v>58</v>
      </c>
      <c r="D192" s="5568"/>
      <c r="E192" s="5568"/>
      <c r="F192" s="5568"/>
      <c r="G192" s="5568"/>
      <c r="H192" s="5568"/>
      <c r="I192" s="5568"/>
      <c r="J192" s="5568"/>
      <c r="K192" s="5568"/>
      <c r="L192" s="5568"/>
      <c r="M192" s="5568"/>
    </row>
    <row r="193" spans="2:13" ht="16.5" customHeight="1" thickBot="1" x14ac:dyDescent="0.35">
      <c r="B193" s="6587"/>
      <c r="C193" s="5157" t="s">
        <v>2250</v>
      </c>
      <c r="D193" s="5568">
        <v>0.17</v>
      </c>
      <c r="E193" s="5568"/>
      <c r="F193" s="5568"/>
      <c r="G193" s="5568"/>
      <c r="H193" s="5568"/>
      <c r="I193" s="5568"/>
      <c r="J193" s="5568"/>
      <c r="K193" s="5568">
        <v>16.5</v>
      </c>
      <c r="L193" s="5568">
        <v>11.6</v>
      </c>
      <c r="M193" s="5568">
        <v>73.25</v>
      </c>
    </row>
    <row r="194" spans="2:13" ht="15" customHeight="1" x14ac:dyDescent="0.3">
      <c r="B194" s="6587">
        <v>45931</v>
      </c>
      <c r="C194" s="5518" t="s">
        <v>1726</v>
      </c>
      <c r="D194" s="5560" t="s">
        <v>1726</v>
      </c>
      <c r="E194" s="5576"/>
      <c r="F194" s="5576"/>
      <c r="G194" s="5576"/>
      <c r="H194" s="5576"/>
      <c r="I194" s="5576"/>
      <c r="J194" s="5576"/>
      <c r="K194" s="5576"/>
      <c r="L194" s="5560" t="s">
        <v>1726</v>
      </c>
      <c r="M194" s="5560"/>
    </row>
    <row r="195" spans="2:13" ht="15" customHeight="1" x14ac:dyDescent="0.3">
      <c r="B195" s="6587"/>
      <c r="C195" s="5571"/>
      <c r="D195" s="5577" t="s">
        <v>1727</v>
      </c>
      <c r="E195" s="5577" t="s">
        <v>1728</v>
      </c>
      <c r="F195" s="5577"/>
      <c r="G195" s="5577" t="s">
        <v>1729</v>
      </c>
      <c r="H195" s="5577"/>
      <c r="I195" s="5577" t="s">
        <v>1055</v>
      </c>
      <c r="J195" s="5577"/>
      <c r="K195" s="5577" t="s">
        <v>59</v>
      </c>
      <c r="L195" s="5577" t="s">
        <v>95</v>
      </c>
      <c r="M195" s="5577" t="s">
        <v>1284</v>
      </c>
    </row>
    <row r="196" spans="2:13" ht="15" customHeight="1" x14ac:dyDescent="0.3">
      <c r="B196" s="6587"/>
      <c r="C196" s="5562" t="s">
        <v>1737</v>
      </c>
      <c r="D196" s="5568"/>
      <c r="E196" s="5568">
        <v>15</v>
      </c>
      <c r="F196" s="5568"/>
      <c r="G196" s="5568">
        <v>10.666700000000001</v>
      </c>
      <c r="H196" s="5568"/>
      <c r="I196" s="5568">
        <v>354.43</v>
      </c>
      <c r="J196" s="5568"/>
      <c r="K196" s="5568">
        <v>67.833333333333329</v>
      </c>
      <c r="L196" s="5568">
        <v>39.166666666666664</v>
      </c>
      <c r="M196" s="5568">
        <v>45.75</v>
      </c>
    </row>
    <row r="197" spans="2:13" ht="15" customHeight="1" x14ac:dyDescent="0.3">
      <c r="B197" s="6587"/>
      <c r="C197" s="5562" t="s">
        <v>1738</v>
      </c>
      <c r="D197" s="5568">
        <v>182</v>
      </c>
      <c r="E197" s="5568">
        <v>124</v>
      </c>
      <c r="F197" s="5568"/>
      <c r="G197" s="5568">
        <v>87</v>
      </c>
      <c r="H197" s="5568"/>
      <c r="I197" s="5568">
        <v>278.8</v>
      </c>
      <c r="J197" s="5568"/>
      <c r="K197" s="5568">
        <v>232</v>
      </c>
      <c r="L197" s="5568">
        <v>252.66666666666666</v>
      </c>
      <c r="M197" s="5568">
        <v>298.5</v>
      </c>
    </row>
    <row r="198" spans="2:13" ht="15" customHeight="1" x14ac:dyDescent="0.3">
      <c r="B198" s="6587"/>
      <c r="C198" s="5562" t="s">
        <v>1739</v>
      </c>
      <c r="D198" s="5568">
        <v>0.5</v>
      </c>
      <c r="E198" s="5568"/>
      <c r="F198" s="5568"/>
      <c r="G198" s="5568"/>
      <c r="H198" s="5568"/>
      <c r="I198" s="5568"/>
      <c r="J198" s="5568"/>
      <c r="K198" s="5568">
        <v>12.85</v>
      </c>
      <c r="L198" s="5568">
        <v>16.75</v>
      </c>
      <c r="M198" s="5568">
        <v>24.5</v>
      </c>
    </row>
    <row r="199" spans="2:13" ht="15" customHeight="1" x14ac:dyDescent="0.3">
      <c r="B199" s="6587"/>
      <c r="C199" s="5562" t="s">
        <v>466</v>
      </c>
      <c r="D199" s="5568"/>
      <c r="E199" s="5568"/>
      <c r="F199" s="5568"/>
      <c r="G199" s="5568"/>
      <c r="H199" s="5568"/>
      <c r="I199" s="5568"/>
      <c r="J199" s="5568"/>
      <c r="K199" s="5568"/>
      <c r="L199" s="5568"/>
      <c r="M199" s="5568"/>
    </row>
    <row r="200" spans="2:13" ht="15" customHeight="1" x14ac:dyDescent="0.3">
      <c r="B200" s="6587"/>
      <c r="C200" s="5562" t="s">
        <v>1740</v>
      </c>
      <c r="D200" s="5568"/>
      <c r="E200" s="5568"/>
      <c r="F200" s="5568"/>
      <c r="G200" s="5568"/>
      <c r="H200" s="5568"/>
      <c r="I200" s="5568"/>
      <c r="J200" s="5568"/>
      <c r="K200" s="5568"/>
      <c r="L200" s="5568"/>
      <c r="M200" s="5568"/>
    </row>
    <row r="201" spans="2:13" ht="15" customHeight="1" x14ac:dyDescent="0.3">
      <c r="B201" s="6587"/>
      <c r="C201" s="5562" t="s">
        <v>1741</v>
      </c>
      <c r="D201" s="5568">
        <v>6.22</v>
      </c>
      <c r="E201" s="5568">
        <v>15.53</v>
      </c>
      <c r="F201" s="5568"/>
      <c r="G201" s="5568"/>
      <c r="H201" s="5568"/>
      <c r="I201" s="5568">
        <v>8.25</v>
      </c>
      <c r="J201" s="5568"/>
      <c r="K201" s="5568">
        <v>20.5</v>
      </c>
      <c r="L201" s="5568">
        <v>19.166666666666668</v>
      </c>
      <c r="M201" s="5568">
        <v>13</v>
      </c>
    </row>
    <row r="202" spans="2:13" ht="15" customHeight="1" x14ac:dyDescent="0.3">
      <c r="B202" s="6587"/>
      <c r="C202" s="5562" t="s">
        <v>1742</v>
      </c>
      <c r="D202" s="5568">
        <v>1</v>
      </c>
      <c r="E202" s="5568"/>
      <c r="F202" s="5568"/>
      <c r="G202" s="5568"/>
      <c r="H202" s="5568"/>
      <c r="I202" s="5568">
        <v>5.6</v>
      </c>
      <c r="J202" s="5568"/>
      <c r="K202" s="5568">
        <v>12.5</v>
      </c>
      <c r="L202" s="5568">
        <v>12.8</v>
      </c>
      <c r="M202" s="5568">
        <v>49.166666666666664</v>
      </c>
    </row>
    <row r="203" spans="2:13" ht="15" customHeight="1" x14ac:dyDescent="0.3">
      <c r="B203" s="6587"/>
      <c r="C203" s="5562" t="s">
        <v>1743</v>
      </c>
      <c r="D203" s="5568">
        <v>18.75</v>
      </c>
      <c r="E203" s="5568">
        <v>21.75</v>
      </c>
      <c r="F203" s="5568"/>
      <c r="G203" s="5568"/>
      <c r="H203" s="5568"/>
      <c r="I203" s="5568"/>
      <c r="J203" s="5568"/>
      <c r="K203" s="5568"/>
      <c r="L203" s="5568"/>
      <c r="M203" s="5568"/>
    </row>
    <row r="204" spans="2:13" ht="15" customHeight="1" x14ac:dyDescent="0.3">
      <c r="B204" s="6587"/>
      <c r="C204" s="5562" t="s">
        <v>1744</v>
      </c>
      <c r="D204" s="5568"/>
      <c r="E204" s="5568"/>
      <c r="F204" s="5568"/>
      <c r="G204" s="5568"/>
      <c r="H204" s="5568"/>
      <c r="I204" s="5568"/>
      <c r="J204" s="5568"/>
      <c r="K204" s="5568"/>
      <c r="L204" s="5568"/>
      <c r="M204" s="5568"/>
    </row>
    <row r="205" spans="2:13" ht="27.6" x14ac:dyDescent="0.3">
      <c r="B205" s="6587"/>
      <c r="C205" s="5553" t="s">
        <v>1750</v>
      </c>
      <c r="D205" s="5568"/>
      <c r="E205" s="5568"/>
      <c r="F205" s="5568"/>
      <c r="G205" s="5568"/>
      <c r="H205" s="5568"/>
      <c r="I205" s="5568">
        <v>364.3</v>
      </c>
      <c r="J205" s="5568"/>
      <c r="K205" s="5568"/>
      <c r="L205" s="5568"/>
      <c r="M205" s="5568"/>
    </row>
    <row r="206" spans="2:13" ht="15" customHeight="1" x14ac:dyDescent="0.3">
      <c r="B206" s="6587"/>
      <c r="C206" s="5562" t="s">
        <v>1745</v>
      </c>
      <c r="D206" s="5568">
        <v>1</v>
      </c>
      <c r="E206" s="5568"/>
      <c r="F206" s="5568"/>
      <c r="G206" s="5568"/>
      <c r="H206" s="5568"/>
      <c r="I206" s="5568"/>
      <c r="J206" s="5568"/>
      <c r="K206" s="5568">
        <v>0.55000000000000004</v>
      </c>
      <c r="L206" s="5568">
        <v>0.95</v>
      </c>
      <c r="M206" s="5568">
        <v>10.333333333333334</v>
      </c>
    </row>
    <row r="207" spans="2:13" ht="15" customHeight="1" x14ac:dyDescent="0.3">
      <c r="B207" s="6587"/>
      <c r="C207" s="5562" t="s">
        <v>1746</v>
      </c>
      <c r="D207" s="5568"/>
      <c r="E207" s="5568"/>
      <c r="F207" s="5568"/>
      <c r="G207" s="5568"/>
      <c r="H207" s="5568"/>
      <c r="I207" s="5568"/>
      <c r="J207" s="5568"/>
      <c r="K207" s="5568"/>
      <c r="L207" s="5568"/>
      <c r="M207" s="5568"/>
    </row>
    <row r="208" spans="2:13" ht="15" customHeight="1" x14ac:dyDescent="0.3">
      <c r="B208" s="6587"/>
      <c r="C208" s="5562" t="s">
        <v>1747</v>
      </c>
      <c r="D208" s="5568"/>
      <c r="E208" s="5568"/>
      <c r="F208" s="5568"/>
      <c r="G208" s="5568"/>
      <c r="H208" s="5568"/>
      <c r="I208" s="5568"/>
      <c r="J208" s="5568"/>
      <c r="K208" s="5568"/>
      <c r="L208" s="5568"/>
      <c r="M208" s="5568"/>
    </row>
    <row r="209" spans="2:13" ht="15" customHeight="1" x14ac:dyDescent="0.3">
      <c r="B209" s="6587"/>
      <c r="C209" s="5553" t="s">
        <v>1748</v>
      </c>
      <c r="D209" s="5568">
        <v>2.5</v>
      </c>
      <c r="E209" s="5568">
        <v>4.83</v>
      </c>
      <c r="F209" s="5568"/>
      <c r="G209" s="5568"/>
      <c r="H209" s="5568"/>
      <c r="I209" s="5568"/>
      <c r="J209" s="5568"/>
      <c r="K209" s="5568"/>
      <c r="L209" s="5568"/>
      <c r="M209" s="5568"/>
    </row>
    <row r="210" spans="2:13" ht="15" customHeight="1" x14ac:dyDescent="0.3">
      <c r="B210" s="6587"/>
      <c r="C210" s="5562" t="s">
        <v>1881</v>
      </c>
      <c r="D210" s="5568"/>
      <c r="E210" s="5568"/>
      <c r="F210" s="5568"/>
      <c r="G210" s="5568"/>
      <c r="H210" s="5568"/>
      <c r="I210" s="5568"/>
      <c r="J210" s="5568"/>
      <c r="K210" s="5568"/>
      <c r="L210" s="5568"/>
      <c r="M210" s="5568"/>
    </row>
    <row r="211" spans="2:13" ht="15" customHeight="1" x14ac:dyDescent="0.3">
      <c r="B211" s="6587"/>
      <c r="C211" s="2750" t="s">
        <v>82</v>
      </c>
      <c r="D211" s="5568"/>
      <c r="E211" s="5568"/>
      <c r="F211" s="5568"/>
      <c r="G211" s="5568"/>
      <c r="H211" s="5568"/>
      <c r="I211" s="5568"/>
      <c r="J211" s="5568"/>
      <c r="K211" s="5568"/>
      <c r="L211" s="5568"/>
      <c r="M211" s="5568"/>
    </row>
    <row r="212" spans="2:13" ht="15" customHeight="1" x14ac:dyDescent="0.3">
      <c r="B212" s="6587"/>
      <c r="C212" s="5562" t="s">
        <v>1749</v>
      </c>
      <c r="D212" s="5568"/>
      <c r="E212" s="5568"/>
      <c r="F212" s="5568"/>
      <c r="G212" s="5568"/>
      <c r="H212" s="5568"/>
      <c r="I212" s="5568">
        <v>0.33</v>
      </c>
      <c r="J212" s="5568"/>
      <c r="K212" s="5568"/>
      <c r="L212" s="5568"/>
      <c r="M212" s="5568"/>
    </row>
    <row r="213" spans="2:13" ht="15" customHeight="1" x14ac:dyDescent="0.3">
      <c r="B213" s="6587"/>
      <c r="C213" s="5562" t="s">
        <v>724</v>
      </c>
      <c r="D213" s="5568"/>
      <c r="E213" s="5568"/>
      <c r="F213" s="5568"/>
      <c r="G213" s="5568"/>
      <c r="H213" s="5568"/>
      <c r="I213" s="5568"/>
      <c r="J213" s="5568"/>
      <c r="K213" s="5568"/>
      <c r="L213" s="5568"/>
      <c r="M213" s="5568"/>
    </row>
    <row r="214" spans="2:13" ht="15" customHeight="1" x14ac:dyDescent="0.3">
      <c r="B214" s="6587"/>
      <c r="C214" s="5562" t="s">
        <v>58</v>
      </c>
      <c r="D214" s="5568"/>
      <c r="E214" s="5568"/>
      <c r="F214" s="5568"/>
      <c r="G214" s="5568"/>
      <c r="H214" s="5568"/>
      <c r="I214" s="5568">
        <v>2.5</v>
      </c>
      <c r="J214" s="5568"/>
      <c r="K214" s="5568"/>
      <c r="L214" s="5568"/>
      <c r="M214" s="5568"/>
    </row>
    <row r="215" spans="2:13" ht="15.75" customHeight="1" thickBot="1" x14ac:dyDescent="0.35">
      <c r="B215" s="6587"/>
      <c r="C215" s="5157" t="s">
        <v>2250</v>
      </c>
      <c r="D215" s="5568">
        <v>2.63</v>
      </c>
      <c r="E215" s="5568">
        <v>0.33</v>
      </c>
      <c r="F215" s="5568"/>
      <c r="G215" s="5568"/>
      <c r="H215" s="5568"/>
      <c r="I215" s="5568"/>
      <c r="J215" s="5568"/>
      <c r="K215" s="5568">
        <v>10.066666666666666</v>
      </c>
      <c r="L215" s="5568">
        <v>7.1</v>
      </c>
      <c r="M215" s="5568">
        <v>54.5</v>
      </c>
    </row>
    <row r="216" spans="2:13" ht="15" customHeight="1" x14ac:dyDescent="0.3">
      <c r="B216" s="6587">
        <v>45962</v>
      </c>
      <c r="C216" s="5518" t="s">
        <v>1726</v>
      </c>
      <c r="D216" s="5560" t="s">
        <v>1726</v>
      </c>
      <c r="E216" s="5576"/>
      <c r="F216" s="5576"/>
      <c r="G216" s="5576"/>
      <c r="H216" s="5576"/>
      <c r="I216" s="5576"/>
      <c r="J216" s="5576"/>
      <c r="K216" s="5576"/>
      <c r="L216" s="5560" t="s">
        <v>1726</v>
      </c>
      <c r="M216" s="5560"/>
    </row>
    <row r="217" spans="2:13" ht="15" customHeight="1" x14ac:dyDescent="0.3">
      <c r="B217" s="6587"/>
      <c r="C217" s="5571"/>
      <c r="D217" s="5577" t="s">
        <v>1727</v>
      </c>
      <c r="E217" s="5577" t="s">
        <v>1728</v>
      </c>
      <c r="F217" s="5577"/>
      <c r="G217" s="5577" t="s">
        <v>1729</v>
      </c>
      <c r="H217" s="5577"/>
      <c r="I217" s="5577" t="s">
        <v>1055</v>
      </c>
      <c r="J217" s="5577"/>
      <c r="K217" s="5577" t="s">
        <v>59</v>
      </c>
      <c r="L217" s="5577" t="s">
        <v>95</v>
      </c>
      <c r="M217" s="5577" t="s">
        <v>1284</v>
      </c>
    </row>
    <row r="218" spans="2:13" ht="15" customHeight="1" x14ac:dyDescent="0.3">
      <c r="B218" s="6587"/>
      <c r="C218" s="5562" t="s">
        <v>1737</v>
      </c>
      <c r="D218" s="5568">
        <v>32</v>
      </c>
      <c r="E218" s="5568">
        <v>13</v>
      </c>
      <c r="F218" s="5568"/>
      <c r="G218" s="5568">
        <v>21.42</v>
      </c>
      <c r="H218" s="5568"/>
      <c r="I218" s="5568">
        <v>584.1</v>
      </c>
      <c r="J218" s="5568"/>
      <c r="K218" s="5568">
        <v>127.15</v>
      </c>
      <c r="L218" s="5568">
        <v>87.266666666666666</v>
      </c>
      <c r="M218" s="5568">
        <v>124.83333333333333</v>
      </c>
    </row>
    <row r="219" spans="2:13" ht="15" customHeight="1" x14ac:dyDescent="0.3">
      <c r="B219" s="6587"/>
      <c r="C219" s="5562" t="s">
        <v>1738</v>
      </c>
      <c r="D219" s="5568"/>
      <c r="E219" s="5568"/>
      <c r="F219" s="5568"/>
      <c r="G219" s="5568"/>
      <c r="H219" s="5568"/>
      <c r="I219" s="5568"/>
      <c r="J219" s="5568"/>
      <c r="K219" s="5568"/>
      <c r="L219" s="5568"/>
      <c r="M219" s="5568"/>
    </row>
    <row r="220" spans="2:13" ht="15" customHeight="1" x14ac:dyDescent="0.3">
      <c r="B220" s="6587"/>
      <c r="C220" s="5562" t="s">
        <v>1739</v>
      </c>
      <c r="D220" s="5568">
        <v>0.33</v>
      </c>
      <c r="E220" s="5568"/>
      <c r="F220" s="5568"/>
      <c r="G220" s="5568"/>
      <c r="H220" s="5568"/>
      <c r="I220" s="5568"/>
      <c r="J220" s="5568"/>
      <c r="K220" s="5568">
        <v>15.5</v>
      </c>
      <c r="L220" s="5568">
        <v>27.216666666666665</v>
      </c>
      <c r="M220" s="5568">
        <v>22.916666666666668</v>
      </c>
    </row>
    <row r="221" spans="2:13" ht="15" customHeight="1" x14ac:dyDescent="0.3">
      <c r="B221" s="6587"/>
      <c r="C221" s="5562" t="s">
        <v>466</v>
      </c>
      <c r="D221" s="5568"/>
      <c r="E221" s="5568"/>
      <c r="F221" s="5568"/>
      <c r="G221" s="5568"/>
      <c r="H221" s="5568"/>
      <c r="I221" s="5568"/>
      <c r="J221" s="5568"/>
      <c r="K221" s="5568"/>
      <c r="L221" s="5568"/>
      <c r="M221" s="5568"/>
    </row>
    <row r="222" spans="2:13" ht="15" customHeight="1" x14ac:dyDescent="0.3">
      <c r="B222" s="6587"/>
      <c r="C222" s="5562" t="s">
        <v>1740</v>
      </c>
      <c r="D222" s="5568"/>
      <c r="E222" s="5568"/>
      <c r="F222" s="5568"/>
      <c r="G222" s="5568"/>
      <c r="H222" s="5568"/>
      <c r="I222" s="5568"/>
      <c r="J222" s="5568"/>
      <c r="K222" s="5568"/>
      <c r="L222" s="5568"/>
      <c r="M222" s="5568"/>
    </row>
    <row r="223" spans="2:13" ht="15" customHeight="1" x14ac:dyDescent="0.3">
      <c r="B223" s="6587"/>
      <c r="C223" s="5562" t="s">
        <v>1741</v>
      </c>
      <c r="D223" s="5568">
        <v>3</v>
      </c>
      <c r="E223" s="5568">
        <v>7.83</v>
      </c>
      <c r="F223" s="5568"/>
      <c r="G223" s="5568"/>
      <c r="H223" s="5568"/>
      <c r="I223" s="5568">
        <v>5.58</v>
      </c>
      <c r="J223" s="5568"/>
      <c r="K223" s="5568">
        <v>10.866666666666667</v>
      </c>
      <c r="L223" s="5568">
        <v>26.7</v>
      </c>
      <c r="M223" s="5568">
        <v>30.25</v>
      </c>
    </row>
    <row r="224" spans="2:13" ht="15" customHeight="1" x14ac:dyDescent="0.3">
      <c r="B224" s="6587"/>
      <c r="C224" s="5562" t="s">
        <v>1742</v>
      </c>
      <c r="D224" s="5568"/>
      <c r="E224" s="5568"/>
      <c r="F224" s="5568"/>
      <c r="G224" s="5568"/>
      <c r="H224" s="5568"/>
      <c r="I224" s="5568"/>
      <c r="J224" s="5568"/>
      <c r="K224" s="5568">
        <v>10.7</v>
      </c>
      <c r="L224" s="5568">
        <v>25.85</v>
      </c>
      <c r="M224" s="5568">
        <v>7.5</v>
      </c>
    </row>
    <row r="225" spans="2:13" ht="15" customHeight="1" x14ac:dyDescent="0.3">
      <c r="B225" s="6587"/>
      <c r="C225" s="5562" t="s">
        <v>1743</v>
      </c>
      <c r="D225" s="5568">
        <v>27.5</v>
      </c>
      <c r="E225" s="5568">
        <v>61</v>
      </c>
      <c r="F225" s="5568"/>
      <c r="G225" s="5568"/>
      <c r="H225" s="5568"/>
      <c r="I225" s="5568"/>
      <c r="J225" s="5568"/>
      <c r="K225" s="5568"/>
      <c r="L225" s="5568"/>
      <c r="M225" s="5568"/>
    </row>
    <row r="226" spans="2:13" ht="15" customHeight="1" x14ac:dyDescent="0.3">
      <c r="B226" s="6587"/>
      <c r="C226" s="5562" t="s">
        <v>1744</v>
      </c>
      <c r="D226" s="5568"/>
      <c r="E226" s="5568"/>
      <c r="F226" s="5568"/>
      <c r="G226" s="5568"/>
      <c r="H226" s="5568"/>
      <c r="I226" s="5568"/>
      <c r="J226" s="5568"/>
      <c r="K226" s="5568"/>
      <c r="L226" s="5568"/>
      <c r="M226" s="5568"/>
    </row>
    <row r="227" spans="2:13" ht="27.6" x14ac:dyDescent="0.3">
      <c r="B227" s="6587"/>
      <c r="C227" s="5553" t="s">
        <v>1750</v>
      </c>
      <c r="D227" s="5568"/>
      <c r="E227" s="5568"/>
      <c r="F227" s="5568"/>
      <c r="G227" s="5568"/>
      <c r="H227" s="5568"/>
      <c r="I227" s="5568">
        <v>57.85</v>
      </c>
      <c r="J227" s="5568"/>
      <c r="K227" s="5568"/>
      <c r="L227" s="5568"/>
      <c r="M227" s="5568"/>
    </row>
    <row r="228" spans="2:13" ht="15" customHeight="1" x14ac:dyDescent="0.3">
      <c r="B228" s="6587"/>
      <c r="C228" s="5562" t="s">
        <v>1745</v>
      </c>
      <c r="D228" s="5568">
        <v>2.25</v>
      </c>
      <c r="E228" s="5568">
        <v>2.25</v>
      </c>
      <c r="F228" s="5568"/>
      <c r="G228" s="5568"/>
      <c r="H228" s="5568"/>
      <c r="I228" s="5568"/>
      <c r="J228" s="5568"/>
      <c r="K228" s="5568">
        <v>0.25</v>
      </c>
      <c r="L228" s="5568">
        <v>0.2</v>
      </c>
      <c r="M228" s="5568">
        <v>4.5</v>
      </c>
    </row>
    <row r="229" spans="2:13" ht="15" customHeight="1" x14ac:dyDescent="0.3">
      <c r="B229" s="6587"/>
      <c r="C229" s="5562" t="s">
        <v>1746</v>
      </c>
      <c r="D229" s="5568"/>
      <c r="E229" s="5568"/>
      <c r="F229" s="5568"/>
      <c r="G229" s="5568"/>
      <c r="H229" s="5568"/>
      <c r="I229" s="5568"/>
      <c r="J229" s="5568"/>
      <c r="K229" s="5568"/>
      <c r="L229" s="5568"/>
      <c r="M229" s="5568"/>
    </row>
    <row r="230" spans="2:13" ht="15" customHeight="1" x14ac:dyDescent="0.3">
      <c r="B230" s="6587"/>
      <c r="C230" s="5562" t="s">
        <v>1747</v>
      </c>
      <c r="D230" s="5568"/>
      <c r="E230" s="5568"/>
      <c r="F230" s="5568"/>
      <c r="G230" s="5568"/>
      <c r="H230" s="5568"/>
      <c r="I230" s="5568"/>
      <c r="J230" s="5568"/>
      <c r="K230" s="5568"/>
      <c r="L230" s="5568"/>
      <c r="M230" s="5568"/>
    </row>
    <row r="231" spans="2:13" ht="15" customHeight="1" x14ac:dyDescent="0.3">
      <c r="B231" s="6587"/>
      <c r="C231" s="5553" t="s">
        <v>1748</v>
      </c>
      <c r="D231" s="5568">
        <v>3</v>
      </c>
      <c r="E231" s="5568">
        <v>3</v>
      </c>
      <c r="F231" s="5568"/>
      <c r="G231" s="5568"/>
      <c r="H231" s="5568"/>
      <c r="I231" s="5568"/>
      <c r="J231" s="5568"/>
      <c r="K231" s="5568"/>
      <c r="L231" s="5568"/>
      <c r="M231" s="5568"/>
    </row>
    <row r="232" spans="2:13" ht="15" customHeight="1" x14ac:dyDescent="0.3">
      <c r="B232" s="6587"/>
      <c r="C232" s="5562" t="s">
        <v>1881</v>
      </c>
      <c r="D232" s="5568"/>
      <c r="E232" s="5568"/>
      <c r="F232" s="5568"/>
      <c r="G232" s="5568"/>
      <c r="H232" s="5568"/>
      <c r="I232" s="5568"/>
      <c r="J232" s="5568"/>
      <c r="K232" s="5568"/>
      <c r="L232" s="5568"/>
      <c r="M232" s="5568"/>
    </row>
    <row r="233" spans="2:13" ht="15" customHeight="1" x14ac:dyDescent="0.3">
      <c r="B233" s="6587"/>
      <c r="C233" s="2750" t="s">
        <v>82</v>
      </c>
      <c r="D233" s="5568"/>
      <c r="E233" s="5568"/>
      <c r="F233" s="5568"/>
      <c r="G233" s="5568"/>
      <c r="H233" s="5568"/>
      <c r="I233" s="5568"/>
      <c r="J233" s="5568"/>
      <c r="K233" s="5568"/>
      <c r="L233" s="5568"/>
      <c r="M233" s="5568"/>
    </row>
    <row r="234" spans="2:13" ht="15" customHeight="1" x14ac:dyDescent="0.3">
      <c r="B234" s="6587"/>
      <c r="C234" s="5562" t="s">
        <v>1749</v>
      </c>
      <c r="D234" s="5568"/>
      <c r="E234" s="5568"/>
      <c r="F234" s="5568"/>
      <c r="G234" s="5568"/>
      <c r="H234" s="5568"/>
      <c r="I234" s="5568">
        <v>2.5300000000000002</v>
      </c>
      <c r="J234" s="5568"/>
      <c r="K234" s="5568"/>
      <c r="L234" s="5568"/>
      <c r="M234" s="5568"/>
    </row>
    <row r="235" spans="2:13" ht="15" customHeight="1" x14ac:dyDescent="0.3">
      <c r="B235" s="6587"/>
      <c r="C235" s="5562" t="s">
        <v>724</v>
      </c>
      <c r="D235" s="5568"/>
      <c r="E235" s="5568"/>
      <c r="F235" s="5568"/>
      <c r="G235" s="5568"/>
      <c r="H235" s="5568"/>
      <c r="I235" s="5568"/>
      <c r="J235" s="5568"/>
      <c r="K235" s="5568"/>
      <c r="L235" s="5568"/>
      <c r="M235" s="5568"/>
    </row>
    <row r="236" spans="2:13" ht="15" customHeight="1" x14ac:dyDescent="0.3">
      <c r="B236" s="6587"/>
      <c r="C236" s="5562" t="s">
        <v>58</v>
      </c>
      <c r="D236" s="5568"/>
      <c r="E236" s="5568"/>
      <c r="F236" s="5568"/>
      <c r="G236" s="5568"/>
      <c r="H236" s="5568"/>
      <c r="I236" s="5568"/>
      <c r="J236" s="5568"/>
      <c r="K236" s="5568"/>
      <c r="L236" s="5568"/>
      <c r="M236" s="5568"/>
    </row>
    <row r="237" spans="2:13" ht="15.75" customHeight="1" thickBot="1" x14ac:dyDescent="0.35">
      <c r="B237" s="6587"/>
      <c r="C237" s="5157" t="s">
        <v>2250</v>
      </c>
      <c r="D237" s="5568">
        <v>1.7</v>
      </c>
      <c r="E237" s="5568"/>
      <c r="F237" s="5568"/>
      <c r="G237" s="5568"/>
      <c r="H237" s="5568"/>
      <c r="I237" s="5568">
        <v>1.3</v>
      </c>
      <c r="J237" s="5568"/>
      <c r="K237" s="5568">
        <v>85.266666666666666</v>
      </c>
      <c r="L237" s="5568">
        <v>8.5500000000000007</v>
      </c>
      <c r="M237" s="5568">
        <v>64</v>
      </c>
    </row>
    <row r="238" spans="2:13" x14ac:dyDescent="0.3">
      <c r="B238" s="274"/>
      <c r="D238" s="528"/>
      <c r="E238" s="528"/>
      <c r="F238" s="528"/>
      <c r="G238" s="528"/>
      <c r="H238" s="528"/>
      <c r="I238" s="528"/>
      <c r="J238" s="528"/>
      <c r="K238" s="528"/>
      <c r="L238" s="528"/>
      <c r="M238" s="528"/>
    </row>
    <row r="239" spans="2:13" ht="15" customHeight="1" x14ac:dyDescent="0.3">
      <c r="B239" s="6587">
        <v>45992</v>
      </c>
      <c r="C239" s="5518" t="s">
        <v>1726</v>
      </c>
      <c r="D239" s="5575" t="s">
        <v>1726</v>
      </c>
      <c r="E239" s="5470"/>
      <c r="F239" s="5470"/>
      <c r="G239" s="5470"/>
      <c r="H239" s="5470"/>
      <c r="I239" s="5470"/>
      <c r="J239" s="5470"/>
      <c r="K239" s="5470"/>
      <c r="L239" s="5575" t="s">
        <v>1726</v>
      </c>
      <c r="M239" s="5575"/>
    </row>
    <row r="240" spans="2:13" ht="15" customHeight="1" x14ac:dyDescent="0.3">
      <c r="B240" s="6587"/>
      <c r="C240" s="5571"/>
      <c r="D240" s="5519" t="s">
        <v>1727</v>
      </c>
      <c r="E240" s="5519" t="s">
        <v>1728</v>
      </c>
      <c r="F240" s="5519"/>
      <c r="G240" s="5519" t="s">
        <v>1729</v>
      </c>
      <c r="H240" s="5519"/>
      <c r="I240" s="5519" t="s">
        <v>1055</v>
      </c>
      <c r="J240" s="5519"/>
      <c r="K240" s="5519" t="s">
        <v>59</v>
      </c>
      <c r="L240" s="5519" t="s">
        <v>95</v>
      </c>
      <c r="M240" s="5519" t="s">
        <v>1284</v>
      </c>
    </row>
    <row r="241" spans="2:13" ht="15" customHeight="1" x14ac:dyDescent="0.3">
      <c r="B241" s="6587"/>
      <c r="C241" s="5562" t="s">
        <v>1737</v>
      </c>
      <c r="D241" s="5572">
        <v>16</v>
      </c>
      <c r="E241" s="5572">
        <v>20</v>
      </c>
      <c r="F241" s="5572"/>
      <c r="G241" s="5572"/>
      <c r="H241" s="5572"/>
      <c r="I241" s="5572">
        <v>626.70000000000005</v>
      </c>
      <c r="J241" s="5572"/>
      <c r="K241" s="5572">
        <v>138.68333333333334</v>
      </c>
      <c r="L241" s="5572">
        <v>69.283333333333331</v>
      </c>
      <c r="M241" s="5572">
        <v>88.083333333333329</v>
      </c>
    </row>
    <row r="242" spans="2:13" ht="15" customHeight="1" x14ac:dyDescent="0.3">
      <c r="B242" s="6587"/>
      <c r="C242" s="5562" t="s">
        <v>1738</v>
      </c>
      <c r="D242" s="5572"/>
      <c r="E242" s="5572"/>
      <c r="F242" s="5572"/>
      <c r="G242" s="5572"/>
      <c r="H242" s="5572"/>
      <c r="I242" s="5572"/>
      <c r="J242" s="5572"/>
      <c r="K242" s="5572"/>
      <c r="L242" s="5572"/>
      <c r="M242" s="5572"/>
    </row>
    <row r="243" spans="2:13" ht="15" customHeight="1" x14ac:dyDescent="0.3">
      <c r="B243" s="6587"/>
      <c r="C243" s="5562" t="s">
        <v>1739</v>
      </c>
      <c r="D243" s="5572"/>
      <c r="E243" s="5572"/>
      <c r="F243" s="5572"/>
      <c r="G243" s="5572"/>
      <c r="H243" s="5572"/>
      <c r="I243" s="5572"/>
      <c r="J243" s="5572"/>
      <c r="K243" s="5572">
        <v>14.466666666666667</v>
      </c>
      <c r="L243" s="5572">
        <v>16.95</v>
      </c>
      <c r="M243" s="5572">
        <v>38.833333333333336</v>
      </c>
    </row>
    <row r="244" spans="2:13" ht="15" customHeight="1" x14ac:dyDescent="0.3">
      <c r="B244" s="6587"/>
      <c r="C244" s="5562" t="s">
        <v>466</v>
      </c>
      <c r="D244" s="5572"/>
      <c r="E244" s="5572"/>
      <c r="F244" s="5572"/>
      <c r="G244" s="5572"/>
      <c r="H244" s="5572"/>
      <c r="I244" s="5572"/>
      <c r="J244" s="5572"/>
      <c r="K244" s="5572"/>
      <c r="L244" s="5572"/>
      <c r="M244" s="5572"/>
    </row>
    <row r="245" spans="2:13" ht="15" customHeight="1" x14ac:dyDescent="0.3">
      <c r="B245" s="6587"/>
      <c r="C245" s="5562" t="s">
        <v>1740</v>
      </c>
      <c r="D245" s="5572"/>
      <c r="E245" s="5572"/>
      <c r="F245" s="5572"/>
      <c r="G245" s="5572"/>
      <c r="H245" s="5572"/>
      <c r="I245" s="5572"/>
      <c r="J245" s="5572"/>
      <c r="K245" s="5572"/>
      <c r="L245" s="5572"/>
      <c r="M245" s="5572"/>
    </row>
    <row r="246" spans="2:13" ht="15" customHeight="1" x14ac:dyDescent="0.3">
      <c r="B246" s="6587"/>
      <c r="C246" s="5562" t="s">
        <v>1741</v>
      </c>
      <c r="D246" s="5572"/>
      <c r="E246" s="5572">
        <v>0.5</v>
      </c>
      <c r="F246" s="5572"/>
      <c r="G246" s="5572">
        <v>7.25</v>
      </c>
      <c r="H246" s="5572"/>
      <c r="I246" s="5572">
        <v>6.15</v>
      </c>
      <c r="J246" s="5572"/>
      <c r="K246" s="5572">
        <v>26.016666666666666</v>
      </c>
      <c r="L246" s="5572">
        <v>36.06666666666667</v>
      </c>
      <c r="M246" s="5572">
        <v>28.5</v>
      </c>
    </row>
    <row r="247" spans="2:13" ht="15" customHeight="1" x14ac:dyDescent="0.3">
      <c r="B247" s="6587"/>
      <c r="C247" s="5562" t="s">
        <v>1742</v>
      </c>
      <c r="D247" s="5572">
        <v>0.13</v>
      </c>
      <c r="E247" s="5572"/>
      <c r="F247" s="5572"/>
      <c r="G247" s="5572"/>
      <c r="H247" s="5572"/>
      <c r="I247" s="5572">
        <v>6.6999999999999993</v>
      </c>
      <c r="J247" s="5572"/>
      <c r="K247" s="5572">
        <v>8.9166666666666661</v>
      </c>
      <c r="L247" s="5572">
        <v>11.883333333333333</v>
      </c>
      <c r="M247" s="5572">
        <v>14.333333333333334</v>
      </c>
    </row>
    <row r="248" spans="2:13" ht="15" customHeight="1" x14ac:dyDescent="0.3">
      <c r="B248" s="6587"/>
      <c r="C248" s="5562" t="s">
        <v>1743</v>
      </c>
      <c r="D248" s="5572">
        <v>68.75</v>
      </c>
      <c r="E248" s="5572">
        <v>115</v>
      </c>
      <c r="F248" s="5572"/>
      <c r="G248" s="5572"/>
      <c r="H248" s="5572"/>
      <c r="I248" s="5572"/>
      <c r="J248" s="5572"/>
      <c r="K248" s="5572"/>
      <c r="L248" s="5572"/>
      <c r="M248" s="5572"/>
    </row>
    <row r="249" spans="2:13" ht="15" customHeight="1" x14ac:dyDescent="0.3">
      <c r="B249" s="6587"/>
      <c r="C249" s="5562" t="s">
        <v>1744</v>
      </c>
      <c r="D249" s="5572"/>
      <c r="E249" s="5572"/>
      <c r="F249" s="5572"/>
      <c r="G249" s="5572"/>
      <c r="H249" s="5572"/>
      <c r="I249" s="5572"/>
      <c r="J249" s="5572"/>
      <c r="K249" s="5572"/>
      <c r="L249" s="5572"/>
      <c r="M249" s="5572"/>
    </row>
    <row r="250" spans="2:13" ht="27.6" x14ac:dyDescent="0.3">
      <c r="B250" s="6587"/>
      <c r="C250" s="5553" t="s">
        <v>1750</v>
      </c>
      <c r="D250" s="5572"/>
      <c r="E250" s="5572"/>
      <c r="F250" s="5572"/>
      <c r="G250" s="5572"/>
      <c r="H250" s="5572"/>
      <c r="I250" s="5572">
        <v>44.4</v>
      </c>
      <c r="J250" s="5572"/>
      <c r="K250" s="5572"/>
      <c r="L250" s="5572"/>
      <c r="M250" s="5572"/>
    </row>
    <row r="251" spans="2:13" ht="15" customHeight="1" x14ac:dyDescent="0.3">
      <c r="B251" s="6587"/>
      <c r="C251" s="5562" t="s">
        <v>1745</v>
      </c>
      <c r="D251" s="5572"/>
      <c r="E251" s="5572"/>
      <c r="F251" s="5572"/>
      <c r="G251" s="5572"/>
      <c r="H251" s="5572"/>
      <c r="I251" s="5572"/>
      <c r="J251" s="5572"/>
      <c r="K251" s="5572">
        <v>0.16666666666666666</v>
      </c>
      <c r="L251" s="5572">
        <v>0.2</v>
      </c>
      <c r="M251" s="5572">
        <v>4.25</v>
      </c>
    </row>
    <row r="252" spans="2:13" ht="15" customHeight="1" x14ac:dyDescent="0.3">
      <c r="B252" s="6587"/>
      <c r="C252" s="5562" t="s">
        <v>1746</v>
      </c>
      <c r="D252" s="5572"/>
      <c r="E252" s="5572"/>
      <c r="F252" s="5572"/>
      <c r="G252" s="5572"/>
      <c r="H252" s="5572"/>
      <c r="I252" s="5572"/>
      <c r="J252" s="5572"/>
      <c r="K252" s="5572"/>
      <c r="L252" s="5572"/>
      <c r="M252" s="5572"/>
    </row>
    <row r="253" spans="2:13" ht="15" customHeight="1" x14ac:dyDescent="0.3">
      <c r="B253" s="6587"/>
      <c r="C253" s="5562" t="s">
        <v>1747</v>
      </c>
      <c r="D253" s="5572"/>
      <c r="E253" s="5572"/>
      <c r="F253" s="5572"/>
      <c r="G253" s="5572"/>
      <c r="H253" s="5572"/>
      <c r="I253" s="5572"/>
      <c r="J253" s="5572"/>
      <c r="K253" s="5572"/>
      <c r="L253" s="5572"/>
      <c r="M253" s="5572"/>
    </row>
    <row r="254" spans="2:13" ht="15" customHeight="1" x14ac:dyDescent="0.3">
      <c r="B254" s="6587"/>
      <c r="C254" s="5553" t="s">
        <v>1748</v>
      </c>
      <c r="D254" s="5572"/>
      <c r="E254" s="5572"/>
      <c r="F254" s="5572"/>
      <c r="G254" s="5572"/>
      <c r="H254" s="5572"/>
      <c r="I254" s="5572"/>
      <c r="J254" s="5572"/>
      <c r="K254" s="5572"/>
      <c r="L254" s="5572"/>
      <c r="M254" s="5572"/>
    </row>
    <row r="255" spans="2:13" ht="15" customHeight="1" x14ac:dyDescent="0.3">
      <c r="B255" s="6587"/>
      <c r="C255" s="5562" t="s">
        <v>1881</v>
      </c>
      <c r="D255" s="5572"/>
      <c r="E255" s="5572"/>
      <c r="F255" s="5572"/>
      <c r="G255" s="5572"/>
      <c r="H255" s="5572"/>
      <c r="I255" s="5572"/>
      <c r="J255" s="5572"/>
      <c r="K255" s="5572"/>
      <c r="L255" s="5572"/>
      <c r="M255" s="5572"/>
    </row>
    <row r="256" spans="2:13" ht="15" customHeight="1" x14ac:dyDescent="0.3">
      <c r="B256" s="6587"/>
      <c r="C256" s="2750" t="s">
        <v>82</v>
      </c>
      <c r="D256" s="5572"/>
      <c r="E256" s="5572"/>
      <c r="F256" s="5572"/>
      <c r="G256" s="5572"/>
      <c r="H256" s="5572"/>
      <c r="I256" s="5572"/>
      <c r="J256" s="5572"/>
      <c r="K256" s="5572"/>
      <c r="L256" s="5572"/>
      <c r="M256" s="5572"/>
    </row>
    <row r="257" spans="2:15" ht="15" customHeight="1" x14ac:dyDescent="0.3">
      <c r="B257" s="6587"/>
      <c r="C257" s="5562" t="s">
        <v>1749</v>
      </c>
      <c r="D257" s="5572"/>
      <c r="E257" s="5572"/>
      <c r="F257" s="5572"/>
      <c r="G257" s="5572"/>
      <c r="H257" s="5572"/>
      <c r="I257" s="5572">
        <v>3.18</v>
      </c>
      <c r="J257" s="5572"/>
      <c r="K257" s="5572"/>
      <c r="L257" s="5572"/>
      <c r="M257" s="5572"/>
    </row>
    <row r="258" spans="2:15" ht="15" customHeight="1" x14ac:dyDescent="0.3">
      <c r="B258" s="6587"/>
      <c r="C258" s="5562" t="s">
        <v>724</v>
      </c>
      <c r="D258" s="5572"/>
      <c r="E258" s="5572"/>
      <c r="F258" s="5572"/>
      <c r="G258" s="5572"/>
      <c r="H258" s="5572"/>
      <c r="I258" s="5572"/>
      <c r="J258" s="5572"/>
      <c r="K258" s="5572"/>
      <c r="L258" s="5572"/>
      <c r="M258" s="5572"/>
    </row>
    <row r="259" spans="2:15" ht="15" customHeight="1" x14ac:dyDescent="0.3">
      <c r="B259" s="6587"/>
      <c r="C259" s="5562" t="s">
        <v>58</v>
      </c>
      <c r="D259" s="5572"/>
      <c r="E259" s="5572"/>
      <c r="F259" s="5572"/>
      <c r="G259" s="5572"/>
      <c r="H259" s="5572"/>
      <c r="I259" s="5572"/>
      <c r="J259" s="5572"/>
      <c r="K259" s="5572"/>
      <c r="L259" s="5572"/>
      <c r="M259" s="5572"/>
    </row>
    <row r="260" spans="2:15" ht="15.75" customHeight="1" thickBot="1" x14ac:dyDescent="0.35">
      <c r="B260" s="6587"/>
      <c r="C260" s="5157" t="s">
        <v>2250</v>
      </c>
      <c r="D260" s="5572">
        <v>3</v>
      </c>
      <c r="E260" s="5572"/>
      <c r="F260" s="5572"/>
      <c r="G260" s="5572"/>
      <c r="H260" s="5572"/>
      <c r="I260" s="5572"/>
      <c r="J260" s="5572"/>
      <c r="K260" s="5572">
        <v>12.216666666666667</v>
      </c>
      <c r="L260" s="5572">
        <v>6.1833333333333336</v>
      </c>
      <c r="M260" s="5572">
        <v>61.583333333333336</v>
      </c>
    </row>
    <row r="261" spans="2:15" ht="15" customHeight="1" x14ac:dyDescent="0.3">
      <c r="B261" s="6587">
        <v>46023</v>
      </c>
      <c r="C261" s="5518" t="s">
        <v>1726</v>
      </c>
      <c r="D261" s="5575"/>
      <c r="E261" s="5470"/>
      <c r="F261" s="5470"/>
      <c r="G261" s="5470"/>
      <c r="H261" s="5470"/>
      <c r="I261" s="5470"/>
      <c r="J261" s="5470"/>
      <c r="K261" s="5470"/>
      <c r="L261" s="5575"/>
      <c r="M261" s="5575"/>
    </row>
    <row r="262" spans="2:15" ht="15" customHeight="1" x14ac:dyDescent="0.3">
      <c r="B262" s="6587"/>
      <c r="C262" s="5571"/>
      <c r="D262" s="5519" t="s">
        <v>1727</v>
      </c>
      <c r="E262" s="5519" t="s">
        <v>1728</v>
      </c>
      <c r="F262" s="5519"/>
      <c r="G262" s="5519" t="s">
        <v>1729</v>
      </c>
      <c r="H262" s="5519"/>
      <c r="I262" s="5519" t="s">
        <v>1055</v>
      </c>
      <c r="J262" s="5519"/>
      <c r="K262" s="5519" t="s">
        <v>59</v>
      </c>
      <c r="L262" s="5519" t="s">
        <v>95</v>
      </c>
      <c r="M262" s="5519" t="s">
        <v>1284</v>
      </c>
    </row>
    <row r="263" spans="2:15" ht="15" customHeight="1" x14ac:dyDescent="0.3">
      <c r="B263" s="6587"/>
      <c r="C263" s="5562" t="s">
        <v>1737</v>
      </c>
      <c r="D263" s="5572">
        <v>29.25</v>
      </c>
      <c r="E263" s="5572">
        <v>13.5</v>
      </c>
      <c r="F263" s="5572"/>
      <c r="G263" s="5572">
        <v>14.08</v>
      </c>
      <c r="H263" s="5572"/>
      <c r="I263" s="5572">
        <v>610.20000000000005</v>
      </c>
      <c r="J263" s="5572"/>
      <c r="K263" s="5572">
        <v>125.96666666666667</v>
      </c>
      <c r="L263" s="5572">
        <v>74.016666666666666</v>
      </c>
      <c r="M263" s="5572">
        <v>111.75</v>
      </c>
    </row>
    <row r="264" spans="2:15" ht="15" customHeight="1" x14ac:dyDescent="0.3">
      <c r="B264" s="6587"/>
      <c r="C264" s="5562" t="s">
        <v>1738</v>
      </c>
      <c r="D264" s="5572"/>
      <c r="E264" s="5572"/>
      <c r="F264" s="5572"/>
      <c r="G264" s="5572"/>
      <c r="H264" s="5572"/>
      <c r="I264" s="5572"/>
      <c r="J264" s="5572"/>
      <c r="K264" s="5572"/>
      <c r="L264" s="5572"/>
      <c r="M264" s="5572"/>
    </row>
    <row r="265" spans="2:15" ht="15" customHeight="1" x14ac:dyDescent="0.3">
      <c r="B265" s="6587"/>
      <c r="C265" s="5562" t="s">
        <v>1739</v>
      </c>
      <c r="D265" s="5572"/>
      <c r="E265" s="5572">
        <v>1.17</v>
      </c>
      <c r="F265" s="5572"/>
      <c r="G265" s="5572"/>
      <c r="H265" s="5572"/>
      <c r="I265" s="5572">
        <v>19.55</v>
      </c>
      <c r="J265" s="5572"/>
      <c r="K265" s="5572">
        <v>11.95</v>
      </c>
      <c r="L265" s="5572">
        <v>14.866666666666667</v>
      </c>
      <c r="M265" s="5572">
        <v>13.083333333333334</v>
      </c>
    </row>
    <row r="266" spans="2:15" ht="15" customHeight="1" x14ac:dyDescent="0.3">
      <c r="B266" s="6587"/>
      <c r="C266" s="5562" t="s">
        <v>466</v>
      </c>
      <c r="D266" s="5572"/>
      <c r="E266" s="5572"/>
      <c r="F266" s="5572"/>
      <c r="G266" s="5572"/>
      <c r="H266" s="5572"/>
      <c r="I266" s="5572"/>
      <c r="J266" s="5572"/>
      <c r="K266" s="5572"/>
      <c r="L266" s="5572"/>
      <c r="M266" s="5572"/>
    </row>
    <row r="267" spans="2:15" ht="15" customHeight="1" x14ac:dyDescent="0.3">
      <c r="B267" s="6587"/>
      <c r="C267" s="5562" t="s">
        <v>1740</v>
      </c>
      <c r="D267" s="5572"/>
      <c r="E267" s="5572"/>
      <c r="F267" s="5572"/>
      <c r="G267" s="5572"/>
      <c r="H267" s="5572"/>
      <c r="I267" s="5572"/>
      <c r="J267" s="5572"/>
      <c r="K267" s="5572"/>
      <c r="L267" s="5572"/>
      <c r="M267" s="5572"/>
    </row>
    <row r="268" spans="2:15" ht="15" customHeight="1" x14ac:dyDescent="0.3">
      <c r="B268" s="6587"/>
      <c r="C268" s="5562" t="s">
        <v>1741</v>
      </c>
      <c r="D268" s="5572"/>
      <c r="E268" s="5572">
        <v>21.08</v>
      </c>
      <c r="F268" s="5572"/>
      <c r="G268" s="5572"/>
      <c r="H268" s="5572"/>
      <c r="I268" s="5572">
        <v>16.95</v>
      </c>
      <c r="J268" s="5572"/>
      <c r="K268" s="5572">
        <v>22.016666666666666</v>
      </c>
      <c r="L268" s="5572">
        <v>22.916666666666668</v>
      </c>
      <c r="M268" s="5572">
        <v>32.833333333333336</v>
      </c>
      <c r="O268" s="26"/>
    </row>
    <row r="269" spans="2:15" ht="15" customHeight="1" x14ac:dyDescent="0.3">
      <c r="B269" s="6587"/>
      <c r="C269" s="5562" t="s">
        <v>1742</v>
      </c>
      <c r="D269" s="5572"/>
      <c r="E269" s="5572">
        <v>0.37</v>
      </c>
      <c r="F269" s="5572"/>
      <c r="G269" s="5572"/>
      <c r="H269" s="5572"/>
      <c r="I269" s="5572">
        <v>3.5</v>
      </c>
      <c r="J269" s="5572"/>
      <c r="K269" s="5572">
        <v>13.3</v>
      </c>
      <c r="L269" s="5572">
        <v>11.416666666666666</v>
      </c>
      <c r="M269" s="5572">
        <v>8.5833333333333339</v>
      </c>
    </row>
    <row r="270" spans="2:15" ht="15" customHeight="1" x14ac:dyDescent="0.3">
      <c r="B270" s="6587"/>
      <c r="C270" s="5562" t="s">
        <v>1743</v>
      </c>
      <c r="D270" s="5572">
        <v>16</v>
      </c>
      <c r="E270" s="5572">
        <v>32.25</v>
      </c>
      <c r="F270" s="5572"/>
      <c r="G270" s="5572"/>
      <c r="H270" s="5572"/>
      <c r="I270" s="5572"/>
      <c r="J270" s="5572"/>
      <c r="K270" s="5572"/>
      <c r="L270" s="5572"/>
      <c r="M270" s="5572"/>
    </row>
    <row r="271" spans="2:15" ht="15" customHeight="1" x14ac:dyDescent="0.3">
      <c r="B271" s="6587"/>
      <c r="C271" s="5562" t="s">
        <v>1744</v>
      </c>
      <c r="D271" s="5572"/>
      <c r="E271" s="5572"/>
      <c r="F271" s="5572"/>
      <c r="G271" s="5572"/>
      <c r="H271" s="5572"/>
      <c r="I271" s="5572"/>
      <c r="J271" s="5572"/>
      <c r="K271" s="5572"/>
      <c r="L271" s="5572"/>
      <c r="M271" s="5572"/>
    </row>
    <row r="272" spans="2:15" ht="27.6" x14ac:dyDescent="0.3">
      <c r="B272" s="6587"/>
      <c r="C272" s="5553" t="s">
        <v>1750</v>
      </c>
      <c r="D272" s="5572"/>
      <c r="E272" s="5572"/>
      <c r="F272" s="5572"/>
      <c r="G272" s="5572"/>
      <c r="H272" s="5572"/>
      <c r="I272" s="5572">
        <v>64.8</v>
      </c>
      <c r="J272" s="5572"/>
      <c r="K272" s="5572"/>
      <c r="L272" s="5572"/>
      <c r="M272" s="5572"/>
    </row>
    <row r="273" spans="2:13" ht="15" customHeight="1" x14ac:dyDescent="0.3">
      <c r="B273" s="6587"/>
      <c r="C273" s="5562" t="s">
        <v>1745</v>
      </c>
      <c r="D273" s="5572"/>
      <c r="E273" s="5572">
        <v>1.58</v>
      </c>
      <c r="F273" s="5572"/>
      <c r="G273" s="5572"/>
      <c r="H273" s="5572"/>
      <c r="I273" s="5572"/>
      <c r="J273" s="5572"/>
      <c r="K273" s="5572">
        <v>8.3333333333333329E-2</v>
      </c>
      <c r="L273" s="5572">
        <v>0.96666666666666667</v>
      </c>
      <c r="M273" s="5572">
        <v>6.083333333333333</v>
      </c>
    </row>
    <row r="274" spans="2:13" ht="15" customHeight="1" x14ac:dyDescent="0.3">
      <c r="B274" s="6587"/>
      <c r="C274" s="5562" t="s">
        <v>1746</v>
      </c>
      <c r="D274" s="5572">
        <v>0.37</v>
      </c>
      <c r="E274" s="5572"/>
      <c r="F274" s="5572"/>
      <c r="G274" s="5572"/>
      <c r="H274" s="5572"/>
      <c r="I274" s="5572"/>
      <c r="J274" s="5572"/>
      <c r="K274" s="5572"/>
      <c r="L274" s="5572"/>
      <c r="M274" s="5572"/>
    </row>
    <row r="275" spans="2:13" ht="15" customHeight="1" x14ac:dyDescent="0.3">
      <c r="B275" s="6587"/>
      <c r="C275" s="5562" t="s">
        <v>1747</v>
      </c>
      <c r="D275" s="5572"/>
      <c r="E275" s="5572"/>
      <c r="F275" s="5572"/>
      <c r="G275" s="5572"/>
      <c r="H275" s="5572"/>
      <c r="I275" s="5572"/>
      <c r="J275" s="5572"/>
      <c r="K275" s="5572"/>
      <c r="L275" s="5572"/>
      <c r="M275" s="5572"/>
    </row>
    <row r="276" spans="2:13" ht="15" customHeight="1" x14ac:dyDescent="0.3">
      <c r="B276" s="6587"/>
      <c r="C276" s="5553" t="s">
        <v>1748</v>
      </c>
      <c r="D276" s="5572"/>
      <c r="E276" s="5572"/>
      <c r="F276" s="5572"/>
      <c r="G276" s="5572"/>
      <c r="H276" s="5572"/>
      <c r="I276" s="5572"/>
      <c r="J276" s="5572"/>
      <c r="K276" s="5572"/>
      <c r="L276" s="5572"/>
      <c r="M276" s="5572"/>
    </row>
    <row r="277" spans="2:13" ht="15" customHeight="1" x14ac:dyDescent="0.3">
      <c r="B277" s="6587"/>
      <c r="C277" s="5562" t="s">
        <v>1881</v>
      </c>
      <c r="D277" s="5572"/>
      <c r="E277" s="5572"/>
      <c r="F277" s="5572"/>
      <c r="G277" s="5572"/>
      <c r="H277" s="5572"/>
      <c r="I277" s="5572"/>
      <c r="J277" s="5572"/>
      <c r="K277" s="5572"/>
      <c r="L277" s="5572"/>
      <c r="M277" s="5572"/>
    </row>
    <row r="278" spans="2:13" ht="15" customHeight="1" x14ac:dyDescent="0.3">
      <c r="B278" s="6587"/>
      <c r="C278" s="2750" t="s">
        <v>82</v>
      </c>
      <c r="D278" s="5572"/>
      <c r="E278" s="5572"/>
      <c r="F278" s="5572"/>
      <c r="G278" s="5572"/>
      <c r="H278" s="5572"/>
      <c r="I278" s="5572"/>
      <c r="J278" s="5572"/>
      <c r="K278" s="5572"/>
      <c r="L278" s="5572"/>
      <c r="M278" s="5572"/>
    </row>
    <row r="279" spans="2:13" ht="15" customHeight="1" x14ac:dyDescent="0.3">
      <c r="B279" s="6587"/>
      <c r="C279" s="5562" t="s">
        <v>1749</v>
      </c>
      <c r="D279" s="5572"/>
      <c r="E279" s="5572"/>
      <c r="F279" s="5572"/>
      <c r="G279" s="5572"/>
      <c r="H279" s="5572"/>
      <c r="I279" s="5572">
        <v>1.55</v>
      </c>
      <c r="J279" s="5572"/>
      <c r="K279" s="5572"/>
      <c r="L279" s="5572"/>
      <c r="M279" s="5572"/>
    </row>
    <row r="280" spans="2:13" ht="15" customHeight="1" x14ac:dyDescent="0.3">
      <c r="B280" s="6587"/>
      <c r="C280" s="5562" t="s">
        <v>724</v>
      </c>
      <c r="D280" s="5572"/>
      <c r="E280" s="5572"/>
      <c r="F280" s="5572"/>
      <c r="G280" s="5572"/>
      <c r="H280" s="5572"/>
      <c r="I280" s="5572">
        <v>10.4</v>
      </c>
      <c r="J280" s="5572"/>
      <c r="K280" s="5572"/>
      <c r="L280" s="5572"/>
      <c r="M280" s="5572"/>
    </row>
    <row r="281" spans="2:13" ht="15" customHeight="1" x14ac:dyDescent="0.3">
      <c r="B281" s="6587"/>
      <c r="C281" s="5562" t="s">
        <v>58</v>
      </c>
      <c r="D281" s="5572"/>
      <c r="E281" s="5572"/>
      <c r="F281" s="5572"/>
      <c r="G281" s="5572"/>
      <c r="H281" s="5572"/>
      <c r="I281" s="5572">
        <v>3</v>
      </c>
      <c r="J281" s="5572"/>
      <c r="K281" s="5572"/>
      <c r="L281" s="5572"/>
      <c r="M281" s="5572"/>
    </row>
    <row r="282" spans="2:13" ht="15.75" customHeight="1" thickBot="1" x14ac:dyDescent="0.35">
      <c r="B282" s="6587"/>
      <c r="C282" s="5157" t="s">
        <v>2250</v>
      </c>
      <c r="D282" s="5572"/>
      <c r="E282" s="5572"/>
      <c r="F282" s="5572"/>
      <c r="G282" s="5572"/>
      <c r="H282" s="5572"/>
      <c r="I282" s="5572"/>
      <c r="J282" s="5572"/>
      <c r="K282" s="5572">
        <v>9.9166666666666661</v>
      </c>
      <c r="L282" s="5572">
        <v>5.6166666666666671</v>
      </c>
      <c r="M282" s="5572">
        <v>43.333333333333336</v>
      </c>
    </row>
    <row r="283" spans="2:13" ht="15" customHeight="1" x14ac:dyDescent="0.3">
      <c r="B283" s="6587">
        <v>46054</v>
      </c>
      <c r="C283" s="5518" t="s">
        <v>1726</v>
      </c>
      <c r="D283" s="5575" t="s">
        <v>1726</v>
      </c>
      <c r="E283" s="5470"/>
      <c r="F283" s="5470"/>
      <c r="G283" s="5470"/>
      <c r="H283" s="5470"/>
      <c r="I283" s="5470"/>
      <c r="J283" s="5470"/>
      <c r="K283" s="5470"/>
      <c r="L283" s="5575" t="s">
        <v>1726</v>
      </c>
      <c r="M283" s="5575"/>
    </row>
    <row r="284" spans="2:13" ht="15" customHeight="1" x14ac:dyDescent="0.3">
      <c r="B284" s="6587"/>
      <c r="C284" s="5571"/>
      <c r="D284" s="5519" t="s">
        <v>1727</v>
      </c>
      <c r="E284" s="5519" t="s">
        <v>1728</v>
      </c>
      <c r="F284" s="5519"/>
      <c r="G284" s="5519" t="s">
        <v>1729</v>
      </c>
      <c r="H284" s="5519"/>
      <c r="I284" s="5519" t="s">
        <v>1055</v>
      </c>
      <c r="J284" s="5519"/>
      <c r="K284" s="5519" t="s">
        <v>59</v>
      </c>
      <c r="L284" s="5519" t="s">
        <v>95</v>
      </c>
      <c r="M284" s="5519" t="s">
        <v>1284</v>
      </c>
    </row>
    <row r="285" spans="2:13" ht="15" customHeight="1" x14ac:dyDescent="0.3">
      <c r="B285" s="6587"/>
      <c r="C285" s="5562" t="s">
        <v>1737</v>
      </c>
      <c r="D285" s="5568">
        <v>18</v>
      </c>
      <c r="E285" s="5568">
        <v>13.5</v>
      </c>
      <c r="F285" s="5568"/>
      <c r="G285" s="5568">
        <v>10.17</v>
      </c>
      <c r="H285" s="5568"/>
      <c r="I285" s="5568">
        <v>625.57000000000005</v>
      </c>
      <c r="J285" s="5568"/>
      <c r="K285" s="5568">
        <v>95.783333333333331</v>
      </c>
      <c r="L285" s="5568">
        <v>64.900000000000006</v>
      </c>
      <c r="M285" s="5568">
        <v>92.75</v>
      </c>
    </row>
    <row r="286" spans="2:13" ht="15" customHeight="1" x14ac:dyDescent="0.3">
      <c r="B286" s="6587"/>
      <c r="C286" s="5562" t="s">
        <v>1738</v>
      </c>
      <c r="D286" s="5568"/>
      <c r="E286" s="5568"/>
      <c r="F286" s="5568"/>
      <c r="G286" s="5568"/>
      <c r="H286" s="5568"/>
      <c r="I286" s="5568"/>
      <c r="J286" s="5568"/>
      <c r="K286" s="5568"/>
      <c r="L286" s="5568"/>
      <c r="M286" s="5568"/>
    </row>
    <row r="287" spans="2:13" ht="15" customHeight="1" x14ac:dyDescent="0.3">
      <c r="B287" s="6587"/>
      <c r="C287" s="5562" t="s">
        <v>1739</v>
      </c>
      <c r="D287" s="5568"/>
      <c r="E287" s="5568"/>
      <c r="F287" s="5568"/>
      <c r="G287" s="5568"/>
      <c r="H287" s="5568"/>
      <c r="I287" s="5568"/>
      <c r="J287" s="5568"/>
      <c r="K287" s="5568">
        <v>17.566666666666666</v>
      </c>
      <c r="L287" s="5568">
        <v>9.75</v>
      </c>
      <c r="M287" s="5568">
        <v>19.166666666666668</v>
      </c>
    </row>
    <row r="288" spans="2:13" ht="15" customHeight="1" x14ac:dyDescent="0.3">
      <c r="B288" s="6587"/>
      <c r="C288" s="5562" t="s">
        <v>466</v>
      </c>
      <c r="D288" s="5568"/>
      <c r="E288" s="5568"/>
      <c r="F288" s="5568"/>
      <c r="G288" s="5568"/>
      <c r="H288" s="5568"/>
      <c r="I288" s="5568"/>
      <c r="J288" s="5568"/>
      <c r="K288" s="5568"/>
      <c r="L288" s="5568"/>
      <c r="M288" s="5568"/>
    </row>
    <row r="289" spans="2:13" ht="15" customHeight="1" x14ac:dyDescent="0.3">
      <c r="B289" s="6587"/>
      <c r="C289" s="5562" t="s">
        <v>1740</v>
      </c>
      <c r="D289" s="5568"/>
      <c r="E289" s="5568"/>
      <c r="F289" s="5568"/>
      <c r="G289" s="5568"/>
      <c r="H289" s="5568"/>
      <c r="I289" s="5568"/>
      <c r="J289" s="5568"/>
      <c r="K289" s="5568"/>
      <c r="L289" s="5568"/>
      <c r="M289" s="5568"/>
    </row>
    <row r="290" spans="2:13" ht="15" customHeight="1" x14ac:dyDescent="0.3">
      <c r="B290" s="6587"/>
      <c r="C290" s="5562" t="s">
        <v>1741</v>
      </c>
      <c r="D290" s="5568">
        <v>1</v>
      </c>
      <c r="E290" s="5568">
        <v>0.57999999999999996</v>
      </c>
      <c r="F290" s="5568"/>
      <c r="G290" s="5568"/>
      <c r="H290" s="5568"/>
      <c r="I290" s="5568">
        <v>11.38</v>
      </c>
      <c r="J290" s="5568"/>
      <c r="K290" s="5568">
        <v>30.9</v>
      </c>
      <c r="L290" s="5568">
        <v>25.8</v>
      </c>
      <c r="M290" s="5568">
        <v>30.083333333333332</v>
      </c>
    </row>
    <row r="291" spans="2:13" ht="15" customHeight="1" x14ac:dyDescent="0.3">
      <c r="B291" s="6587"/>
      <c r="C291" s="5562" t="s">
        <v>1742</v>
      </c>
      <c r="D291" s="5568">
        <v>0.5</v>
      </c>
      <c r="E291" s="5568"/>
      <c r="F291" s="5568"/>
      <c r="G291" s="5568"/>
      <c r="H291" s="5568"/>
      <c r="I291" s="5568">
        <v>3.4</v>
      </c>
      <c r="J291" s="5568"/>
      <c r="K291" s="5568">
        <v>5.6833333333333336</v>
      </c>
      <c r="L291" s="5568">
        <v>19.383333333333333</v>
      </c>
      <c r="M291" s="5568">
        <v>8.8333333333333339</v>
      </c>
    </row>
    <row r="292" spans="2:13" ht="15" customHeight="1" x14ac:dyDescent="0.3">
      <c r="B292" s="6587"/>
      <c r="C292" s="5562" t="s">
        <v>1743</v>
      </c>
      <c r="D292" s="5568">
        <v>53.25</v>
      </c>
      <c r="E292" s="5568">
        <v>61</v>
      </c>
      <c r="F292" s="5568"/>
      <c r="G292" s="5568"/>
      <c r="H292" s="5568"/>
      <c r="I292" s="5568"/>
      <c r="J292" s="5568"/>
      <c r="K292" s="5568"/>
      <c r="L292" s="5568"/>
      <c r="M292" s="5568"/>
    </row>
    <row r="293" spans="2:13" ht="15" customHeight="1" x14ac:dyDescent="0.3">
      <c r="B293" s="6587"/>
      <c r="C293" s="5562" t="s">
        <v>1744</v>
      </c>
      <c r="D293" s="5568"/>
      <c r="E293" s="5568"/>
      <c r="F293" s="5568"/>
      <c r="G293" s="5568"/>
      <c r="H293" s="5568"/>
      <c r="I293" s="5568"/>
      <c r="J293" s="5568"/>
      <c r="K293" s="5568"/>
      <c r="L293" s="5568"/>
      <c r="M293" s="5568"/>
    </row>
    <row r="294" spans="2:13" ht="28.5" customHeight="1" x14ac:dyDescent="0.3">
      <c r="B294" s="6587"/>
      <c r="C294" s="5553" t="s">
        <v>1750</v>
      </c>
      <c r="D294" s="5568"/>
      <c r="E294" s="5568"/>
      <c r="F294" s="5568"/>
      <c r="G294" s="5568"/>
      <c r="H294" s="5568"/>
      <c r="I294" s="5568">
        <v>64.23</v>
      </c>
      <c r="J294" s="5568"/>
      <c r="K294" s="5568"/>
      <c r="L294" s="5568"/>
      <c r="M294" s="5568"/>
    </row>
    <row r="295" spans="2:13" ht="15" customHeight="1" x14ac:dyDescent="0.3">
      <c r="B295" s="6587"/>
      <c r="C295" s="5562" t="s">
        <v>1745</v>
      </c>
      <c r="D295" s="5568">
        <v>2.42</v>
      </c>
      <c r="E295" s="5568">
        <v>3.08</v>
      </c>
      <c r="F295" s="5568"/>
      <c r="G295" s="5568"/>
      <c r="H295" s="5568"/>
      <c r="I295" s="5568"/>
      <c r="J295" s="5568"/>
      <c r="K295" s="5568">
        <v>5.166666666666667</v>
      </c>
      <c r="L295" s="5568">
        <v>2.6</v>
      </c>
      <c r="M295" s="5568">
        <v>17</v>
      </c>
    </row>
    <row r="296" spans="2:13" ht="15" customHeight="1" x14ac:dyDescent="0.3">
      <c r="B296" s="6587"/>
      <c r="C296" s="5562" t="s">
        <v>1746</v>
      </c>
      <c r="D296" s="5568">
        <v>0.25</v>
      </c>
      <c r="E296" s="5568"/>
      <c r="F296" s="5568"/>
      <c r="G296" s="5568"/>
      <c r="H296" s="5568"/>
      <c r="I296" s="5568"/>
      <c r="J296" s="5568"/>
      <c r="K296" s="5568"/>
      <c r="L296" s="5568"/>
      <c r="M296" s="5568"/>
    </row>
    <row r="297" spans="2:13" ht="15" customHeight="1" x14ac:dyDescent="0.3">
      <c r="B297" s="6587"/>
      <c r="C297" s="5562" t="s">
        <v>1747</v>
      </c>
      <c r="D297" s="5568"/>
      <c r="E297" s="5568"/>
      <c r="F297" s="5568"/>
      <c r="G297" s="5568"/>
      <c r="H297" s="5568"/>
      <c r="I297" s="5568"/>
      <c r="J297" s="5568"/>
      <c r="K297" s="5568"/>
      <c r="L297" s="5568"/>
      <c r="M297" s="5568"/>
    </row>
    <row r="298" spans="2:13" ht="15" customHeight="1" x14ac:dyDescent="0.3">
      <c r="B298" s="6587"/>
      <c r="C298" s="5553" t="s">
        <v>1748</v>
      </c>
      <c r="D298" s="5568"/>
      <c r="E298" s="5568"/>
      <c r="F298" s="5568"/>
      <c r="G298" s="5568"/>
      <c r="H298" s="5568"/>
      <c r="I298" s="5568"/>
      <c r="J298" s="5568"/>
      <c r="K298" s="5568"/>
      <c r="L298" s="5568"/>
      <c r="M298" s="5568"/>
    </row>
    <row r="299" spans="2:13" ht="15" customHeight="1" x14ac:dyDescent="0.3">
      <c r="B299" s="6587"/>
      <c r="C299" s="5562" t="s">
        <v>1881</v>
      </c>
      <c r="D299" s="5568"/>
      <c r="E299" s="5568"/>
      <c r="F299" s="5568"/>
      <c r="G299" s="5568"/>
      <c r="H299" s="5568"/>
      <c r="I299" s="5568"/>
      <c r="J299" s="5568"/>
      <c r="K299" s="5568"/>
      <c r="L299" s="5568"/>
      <c r="M299" s="5568"/>
    </row>
    <row r="300" spans="2:13" ht="15" customHeight="1" x14ac:dyDescent="0.3">
      <c r="B300" s="6587"/>
      <c r="C300" s="2750" t="s">
        <v>82</v>
      </c>
      <c r="D300" s="5568">
        <v>9.25</v>
      </c>
      <c r="E300" s="5568">
        <v>8.75</v>
      </c>
      <c r="F300" s="5568"/>
      <c r="G300" s="5568"/>
      <c r="H300" s="5568"/>
      <c r="I300" s="5568"/>
      <c r="J300" s="5568"/>
      <c r="K300" s="5568"/>
      <c r="L300" s="5568"/>
      <c r="M300" s="5568"/>
    </row>
    <row r="301" spans="2:13" ht="15" customHeight="1" x14ac:dyDescent="0.3">
      <c r="B301" s="6587"/>
      <c r="C301" s="5562" t="s">
        <v>1749</v>
      </c>
      <c r="D301" s="5568"/>
      <c r="E301" s="5568"/>
      <c r="F301" s="5568"/>
      <c r="G301" s="5568"/>
      <c r="H301" s="5568"/>
      <c r="I301" s="5568">
        <v>2.17</v>
      </c>
      <c r="J301" s="5568"/>
      <c r="K301" s="5568"/>
      <c r="L301" s="5568"/>
      <c r="M301" s="5568"/>
    </row>
    <row r="302" spans="2:13" ht="15" customHeight="1" x14ac:dyDescent="0.3">
      <c r="B302" s="6587"/>
      <c r="C302" s="5562" t="s">
        <v>724</v>
      </c>
      <c r="D302" s="5568"/>
      <c r="E302" s="5568"/>
      <c r="F302" s="5568"/>
      <c r="G302" s="5568"/>
      <c r="H302" s="5568"/>
      <c r="I302" s="5568"/>
      <c r="J302" s="5568"/>
      <c r="K302" s="5568"/>
      <c r="L302" s="5568"/>
      <c r="M302" s="5568"/>
    </row>
    <row r="303" spans="2:13" ht="15" customHeight="1" x14ac:dyDescent="0.3">
      <c r="B303" s="6587"/>
      <c r="C303" s="5562" t="s">
        <v>58</v>
      </c>
      <c r="D303" s="5568"/>
      <c r="E303" s="5568"/>
      <c r="F303" s="5568"/>
      <c r="G303" s="5568"/>
      <c r="H303" s="5568"/>
      <c r="I303" s="5568"/>
      <c r="J303" s="5568"/>
      <c r="K303" s="5568"/>
      <c r="L303" s="5568"/>
      <c r="M303" s="5568"/>
    </row>
    <row r="304" spans="2:13" ht="15" customHeight="1" x14ac:dyDescent="0.3">
      <c r="B304" s="6587"/>
      <c r="C304" s="5578" t="s">
        <v>2250</v>
      </c>
      <c r="D304" s="5568"/>
      <c r="E304" s="5568"/>
      <c r="F304" s="5568"/>
      <c r="G304" s="5568"/>
      <c r="H304" s="5568"/>
      <c r="I304" s="5568"/>
      <c r="J304" s="5568"/>
      <c r="K304" s="5568">
        <v>5.7</v>
      </c>
      <c r="L304" s="5568">
        <v>6.5666666666666664</v>
      </c>
      <c r="M304" s="5568">
        <v>25.5</v>
      </c>
    </row>
    <row r="305" spans="2:13" ht="15" customHeight="1" x14ac:dyDescent="0.3">
      <c r="B305" s="6587">
        <v>46082</v>
      </c>
      <c r="C305" s="5518" t="s">
        <v>1726</v>
      </c>
      <c r="D305" s="5575" t="s">
        <v>1726</v>
      </c>
      <c r="E305" s="5470"/>
      <c r="F305" s="5470"/>
      <c r="G305" s="5470"/>
      <c r="H305" s="5470"/>
      <c r="I305" s="5470"/>
      <c r="J305" s="5470"/>
      <c r="K305" s="5470"/>
      <c r="L305" s="5575" t="s">
        <v>1726</v>
      </c>
      <c r="M305" s="5575"/>
    </row>
    <row r="306" spans="2:13" ht="15" customHeight="1" x14ac:dyDescent="0.3">
      <c r="B306" s="6587"/>
      <c r="C306" s="5571"/>
      <c r="D306" s="5519" t="s">
        <v>1727</v>
      </c>
      <c r="E306" s="5519" t="s">
        <v>1728</v>
      </c>
      <c r="F306" s="5519"/>
      <c r="G306" s="5519" t="s">
        <v>1729</v>
      </c>
      <c r="H306" s="5519"/>
      <c r="I306" s="5519" t="s">
        <v>1055</v>
      </c>
      <c r="J306" s="5519"/>
      <c r="K306" s="5519" t="s">
        <v>59</v>
      </c>
      <c r="L306" s="5519" t="s">
        <v>95</v>
      </c>
      <c r="M306" s="5519" t="s">
        <v>1284</v>
      </c>
    </row>
    <row r="307" spans="2:13" ht="15" customHeight="1" x14ac:dyDescent="0.3">
      <c r="B307" s="6587"/>
      <c r="C307" s="5562" t="s">
        <v>1737</v>
      </c>
      <c r="D307" s="5572">
        <v>27</v>
      </c>
      <c r="E307" s="5572">
        <v>12.5</v>
      </c>
      <c r="F307" s="5572"/>
      <c r="G307" s="5572">
        <v>24.67</v>
      </c>
      <c r="H307" s="5572"/>
      <c r="I307" s="5572">
        <v>513.61</v>
      </c>
      <c r="J307" s="5572"/>
      <c r="K307" s="5572">
        <v>136.4</v>
      </c>
      <c r="L307" s="5572">
        <v>74.583333333333329</v>
      </c>
      <c r="M307" s="5572">
        <v>117.83333333333333</v>
      </c>
    </row>
    <row r="308" spans="2:13" ht="15" customHeight="1" x14ac:dyDescent="0.3">
      <c r="B308" s="6587"/>
      <c r="C308" s="5562" t="s">
        <v>1738</v>
      </c>
      <c r="D308" s="5572"/>
      <c r="E308" s="5572"/>
      <c r="F308" s="5572"/>
      <c r="G308" s="5572"/>
      <c r="H308" s="5572"/>
      <c r="I308" s="5572"/>
      <c r="J308" s="5572"/>
      <c r="K308" s="5572"/>
      <c r="L308" s="5572"/>
      <c r="M308" s="5572"/>
    </row>
    <row r="309" spans="2:13" ht="15" customHeight="1" x14ac:dyDescent="0.3">
      <c r="B309" s="6587"/>
      <c r="C309" s="5562" t="s">
        <v>1739</v>
      </c>
      <c r="D309" s="5572">
        <v>0.67</v>
      </c>
      <c r="E309" s="5572"/>
      <c r="F309" s="5572"/>
      <c r="G309" s="5572"/>
      <c r="H309" s="5572"/>
      <c r="I309" s="5572"/>
      <c r="J309" s="5572"/>
      <c r="K309" s="5572">
        <v>12.983333333333333</v>
      </c>
      <c r="L309" s="5572">
        <v>16.649999999999999</v>
      </c>
      <c r="M309" s="5572">
        <v>12.666666666666666</v>
      </c>
    </row>
    <row r="310" spans="2:13" ht="15" customHeight="1" x14ac:dyDescent="0.3">
      <c r="B310" s="6587"/>
      <c r="C310" s="5562" t="s">
        <v>466</v>
      </c>
      <c r="D310" s="5572"/>
      <c r="E310" s="5572"/>
      <c r="F310" s="5572"/>
      <c r="G310" s="5572"/>
      <c r="H310" s="5572"/>
      <c r="I310" s="5572"/>
      <c r="J310" s="5572"/>
      <c r="K310" s="5572"/>
      <c r="L310" s="5572"/>
      <c r="M310" s="5572"/>
    </row>
    <row r="311" spans="2:13" ht="15" customHeight="1" x14ac:dyDescent="0.3">
      <c r="B311" s="6587"/>
      <c r="C311" s="5562" t="s">
        <v>1740</v>
      </c>
      <c r="D311" s="5572"/>
      <c r="E311" s="5572"/>
      <c r="F311" s="5572"/>
      <c r="G311" s="5572"/>
      <c r="H311" s="5572"/>
      <c r="I311" s="5572"/>
      <c r="J311" s="5572"/>
      <c r="K311" s="5572"/>
      <c r="L311" s="5572"/>
      <c r="M311" s="5572"/>
    </row>
    <row r="312" spans="2:13" ht="15" customHeight="1" x14ac:dyDescent="0.3">
      <c r="B312" s="6587"/>
      <c r="C312" s="5562" t="s">
        <v>1741</v>
      </c>
      <c r="D312" s="5572">
        <v>3.91</v>
      </c>
      <c r="E312" s="5572">
        <v>13.69</v>
      </c>
      <c r="F312" s="5572"/>
      <c r="G312" s="5572"/>
      <c r="H312" s="5572"/>
      <c r="I312" s="5572"/>
      <c r="J312" s="5572"/>
      <c r="K312" s="5572">
        <v>22.233333333333334</v>
      </c>
      <c r="L312" s="5572">
        <v>25.65</v>
      </c>
      <c r="M312" s="5572">
        <v>46.583333333333336</v>
      </c>
    </row>
    <row r="313" spans="2:13" ht="15" customHeight="1" x14ac:dyDescent="0.3">
      <c r="B313" s="6587"/>
      <c r="C313" s="5562" t="s">
        <v>1742</v>
      </c>
      <c r="D313" s="5572">
        <v>1</v>
      </c>
      <c r="E313" s="5572">
        <v>0.67</v>
      </c>
      <c r="F313" s="5572"/>
      <c r="G313" s="5572"/>
      <c r="H313" s="5572"/>
      <c r="I313" s="5572"/>
      <c r="J313" s="5572"/>
      <c r="K313" s="5572">
        <v>10.983333333333333</v>
      </c>
      <c r="L313" s="5572">
        <v>14.566666666666666</v>
      </c>
      <c r="M313" s="5572">
        <v>8</v>
      </c>
    </row>
    <row r="314" spans="2:13" ht="15" customHeight="1" x14ac:dyDescent="0.3">
      <c r="B314" s="6587"/>
      <c r="C314" s="5562" t="s">
        <v>1743</v>
      </c>
      <c r="D314" s="5572">
        <v>16</v>
      </c>
      <c r="E314" s="5572">
        <v>42.98</v>
      </c>
      <c r="F314" s="5572"/>
      <c r="G314" s="5572"/>
      <c r="H314" s="5572"/>
      <c r="I314" s="5572"/>
      <c r="J314" s="5572"/>
      <c r="K314" s="5572"/>
      <c r="L314" s="5572"/>
      <c r="M314" s="5572"/>
    </row>
    <row r="315" spans="2:13" ht="15" customHeight="1" x14ac:dyDescent="0.3">
      <c r="B315" s="6587"/>
      <c r="C315" s="5562" t="s">
        <v>1744</v>
      </c>
      <c r="D315" s="5572"/>
      <c r="E315" s="5572"/>
      <c r="F315" s="5572"/>
      <c r="G315" s="5572"/>
      <c r="H315" s="5572"/>
      <c r="I315" s="5572"/>
      <c r="J315" s="5572"/>
      <c r="K315" s="5572"/>
      <c r="L315" s="5572"/>
      <c r="M315" s="5572"/>
    </row>
    <row r="316" spans="2:13" ht="28.5" customHeight="1" x14ac:dyDescent="0.3">
      <c r="B316" s="6587"/>
      <c r="C316" s="5553" t="s">
        <v>1750</v>
      </c>
      <c r="D316" s="5572"/>
      <c r="E316" s="5572"/>
      <c r="F316" s="5572"/>
      <c r="G316" s="5572"/>
      <c r="H316" s="5572"/>
      <c r="I316" s="5572">
        <v>121.35</v>
      </c>
      <c r="J316" s="5572"/>
      <c r="K316" s="5572"/>
      <c r="L316" s="5572"/>
      <c r="M316" s="5572"/>
    </row>
    <row r="317" spans="2:13" ht="15" customHeight="1" x14ac:dyDescent="0.3">
      <c r="B317" s="6587"/>
      <c r="C317" s="5562" t="s">
        <v>1745</v>
      </c>
      <c r="D317" s="5572"/>
      <c r="E317" s="5572"/>
      <c r="F317" s="5572"/>
      <c r="G317" s="5572"/>
      <c r="H317" s="5572"/>
      <c r="I317" s="5572"/>
      <c r="J317" s="5572"/>
      <c r="K317" s="5572">
        <v>4.166666666666667</v>
      </c>
      <c r="L317" s="5572">
        <v>4.45</v>
      </c>
      <c r="M317" s="5572">
        <v>9.1666666666666661</v>
      </c>
    </row>
    <row r="318" spans="2:13" ht="15" customHeight="1" x14ac:dyDescent="0.3">
      <c r="B318" s="6587"/>
      <c r="C318" s="5562" t="s">
        <v>1746</v>
      </c>
      <c r="D318" s="5572"/>
      <c r="E318" s="5572"/>
      <c r="F318" s="5572"/>
      <c r="G318" s="5572"/>
      <c r="H318" s="5572"/>
      <c r="I318" s="5572"/>
      <c r="J318" s="5572"/>
      <c r="K318" s="5572"/>
      <c r="L318" s="5572"/>
      <c r="M318" s="5572"/>
    </row>
    <row r="319" spans="2:13" ht="15" customHeight="1" x14ac:dyDescent="0.3">
      <c r="B319" s="6587"/>
      <c r="C319" s="5562" t="s">
        <v>1747</v>
      </c>
      <c r="D319" s="5572"/>
      <c r="E319" s="5572"/>
      <c r="F319" s="5572"/>
      <c r="G319" s="5572"/>
      <c r="H319" s="5572"/>
      <c r="I319" s="5572"/>
      <c r="J319" s="5572"/>
      <c r="K319" s="5572"/>
      <c r="L319" s="5572"/>
      <c r="M319" s="5572"/>
    </row>
    <row r="320" spans="2:13" ht="15" customHeight="1" x14ac:dyDescent="0.3">
      <c r="B320" s="6587"/>
      <c r="C320" s="5553" t="s">
        <v>1748</v>
      </c>
      <c r="D320" s="5572"/>
      <c r="E320" s="5572"/>
      <c r="F320" s="5572"/>
      <c r="G320" s="5572"/>
      <c r="H320" s="5572"/>
      <c r="I320" s="5572"/>
      <c r="J320" s="5572"/>
      <c r="K320" s="5572"/>
      <c r="L320" s="5572"/>
      <c r="M320" s="5572"/>
    </row>
    <row r="321" spans="2:13" ht="15" customHeight="1" x14ac:dyDescent="0.3">
      <c r="B321" s="6587"/>
      <c r="C321" s="5562" t="s">
        <v>1881</v>
      </c>
      <c r="D321" s="5572"/>
      <c r="E321" s="5572"/>
      <c r="F321" s="5572"/>
      <c r="G321" s="5572"/>
      <c r="H321" s="5572"/>
      <c r="I321" s="5572"/>
      <c r="J321" s="5572"/>
      <c r="K321" s="5572"/>
      <c r="L321" s="5572"/>
      <c r="M321" s="5572"/>
    </row>
    <row r="322" spans="2:13" ht="15" customHeight="1" x14ac:dyDescent="0.3">
      <c r="B322" s="6587"/>
      <c r="C322" s="2750" t="s">
        <v>82</v>
      </c>
      <c r="D322" s="5572"/>
      <c r="E322" s="5572"/>
      <c r="F322" s="5572"/>
      <c r="G322" s="5572"/>
      <c r="H322" s="5572"/>
      <c r="I322" s="5572"/>
      <c r="J322" s="5572"/>
      <c r="K322" s="5572"/>
      <c r="L322" s="5572"/>
      <c r="M322" s="5572"/>
    </row>
    <row r="323" spans="2:13" ht="15" customHeight="1" x14ac:dyDescent="0.3">
      <c r="B323" s="6587"/>
      <c r="C323" s="5562" t="s">
        <v>1749</v>
      </c>
      <c r="D323" s="5572"/>
      <c r="E323" s="5572"/>
      <c r="F323" s="5572"/>
      <c r="G323" s="5572"/>
      <c r="H323" s="5572"/>
      <c r="I323" s="5572">
        <v>2.2000000000000002</v>
      </c>
      <c r="J323" s="5572"/>
      <c r="K323" s="5572"/>
      <c r="L323" s="5572"/>
      <c r="M323" s="5572"/>
    </row>
    <row r="324" spans="2:13" ht="15" customHeight="1" x14ac:dyDescent="0.3">
      <c r="B324" s="6587"/>
      <c r="C324" s="5562" t="s">
        <v>724</v>
      </c>
      <c r="D324" s="5572"/>
      <c r="E324" s="5572"/>
      <c r="F324" s="5572"/>
      <c r="G324" s="5572"/>
      <c r="H324" s="5572"/>
      <c r="I324" s="5572"/>
      <c r="J324" s="5572"/>
      <c r="K324" s="5572"/>
      <c r="L324" s="5572"/>
      <c r="M324" s="5572"/>
    </row>
    <row r="325" spans="2:13" ht="15" customHeight="1" x14ac:dyDescent="0.3">
      <c r="B325" s="6587"/>
      <c r="C325" s="5562" t="s">
        <v>58</v>
      </c>
      <c r="D325" s="5572"/>
      <c r="E325" s="5572"/>
      <c r="F325" s="5572"/>
      <c r="G325" s="5572"/>
      <c r="H325" s="5572"/>
      <c r="I325" s="5572"/>
      <c r="J325" s="5572"/>
      <c r="K325" s="5572"/>
      <c r="L325" s="5572"/>
      <c r="M325" s="5572"/>
    </row>
    <row r="326" spans="2:13" ht="15" customHeight="1" x14ac:dyDescent="0.3">
      <c r="B326" s="6587"/>
      <c r="C326" s="5578" t="s">
        <v>2250</v>
      </c>
      <c r="D326" s="5572">
        <v>10.75</v>
      </c>
      <c r="E326" s="5572">
        <v>11.82</v>
      </c>
      <c r="F326" s="5572"/>
      <c r="G326" s="5572"/>
      <c r="H326" s="5572"/>
      <c r="I326" s="5572"/>
      <c r="J326" s="5572"/>
      <c r="K326" s="5572">
        <v>8.4499999999999993</v>
      </c>
      <c r="L326" s="5572">
        <v>10.033333333333333</v>
      </c>
      <c r="M326" s="5572">
        <v>19.583333333333332</v>
      </c>
    </row>
    <row r="327" spans="2:13" ht="15" customHeight="1" x14ac:dyDescent="0.3">
      <c r="B327" s="274"/>
    </row>
    <row r="328" spans="2:13" ht="15" customHeight="1" x14ac:dyDescent="0.3"/>
    <row r="329" spans="2:13" ht="15" customHeight="1" x14ac:dyDescent="0.3"/>
  </sheetData>
  <mergeCells count="17">
    <mergeCell ref="B216:B237"/>
    <mergeCell ref="B239:B260"/>
    <mergeCell ref="B261:B282"/>
    <mergeCell ref="B283:B304"/>
    <mergeCell ref="B305:B326"/>
    <mergeCell ref="B194:B215"/>
    <mergeCell ref="B2:M2"/>
    <mergeCell ref="B3:M3"/>
    <mergeCell ref="B5:B21"/>
    <mergeCell ref="B25:B41"/>
    <mergeCell ref="B45:B61"/>
    <mergeCell ref="B65:B84"/>
    <mergeCell ref="B86:B106"/>
    <mergeCell ref="B107:B127"/>
    <mergeCell ref="B128:B149"/>
    <mergeCell ref="B150:B171"/>
    <mergeCell ref="B172:B193"/>
  </mergeCells>
  <pageMargins left="0.7" right="0.7" top="0.75" bottom="0.75" header="0.3" footer="0.3"/>
  <pageSetup scale="66" fitToHeight="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B0F0"/>
  </sheetPr>
  <dimension ref="C4:M42"/>
  <sheetViews>
    <sheetView topLeftCell="G11" workbookViewId="0">
      <selection activeCell="L44" sqref="L44"/>
    </sheetView>
  </sheetViews>
  <sheetFormatPr defaultColWidth="9.109375" defaultRowHeight="14.4" x14ac:dyDescent="0.3"/>
  <cols>
    <col min="1" max="1" width="0" hidden="1" customWidth="1"/>
    <col min="3" max="3" width="12.6640625" bestFit="1" customWidth="1"/>
    <col min="4" max="4" width="24.5546875" bestFit="1" customWidth="1"/>
    <col min="5" max="5" width="48.44140625" customWidth="1"/>
    <col min="6" max="6" width="22.33203125" style="275" bestFit="1" customWidth="1"/>
    <col min="7" max="7" width="27.5546875" customWidth="1"/>
    <col min="8" max="8" width="70.33203125" customWidth="1"/>
    <col min="9" max="9" width="27.6640625" style="275" bestFit="1" customWidth="1"/>
    <col min="10" max="10" width="27.6640625" bestFit="1" customWidth="1"/>
    <col min="11" max="11" width="46.5546875" customWidth="1"/>
    <col min="12" max="12" width="27.6640625" bestFit="1" customWidth="1"/>
    <col min="13" max="13" width="18.109375" bestFit="1" customWidth="1"/>
  </cols>
  <sheetData>
    <row r="4" spans="3:11" ht="20.399999999999999" x14ac:dyDescent="0.3">
      <c r="C4" s="6601" t="s">
        <v>1872</v>
      </c>
      <c r="D4" s="6601" t="s">
        <v>1873</v>
      </c>
      <c r="E4" s="5027"/>
      <c r="F4" s="6602" t="s">
        <v>2151</v>
      </c>
      <c r="G4" s="6603"/>
      <c r="H4" s="6604"/>
      <c r="I4" s="6603"/>
      <c r="J4" s="6603"/>
      <c r="K4" s="6605"/>
    </row>
    <row r="5" spans="3:11" ht="20.399999999999999" x14ac:dyDescent="0.3">
      <c r="C5" s="6601"/>
      <c r="D5" s="6601"/>
      <c r="E5" s="5027" t="s">
        <v>1877</v>
      </c>
      <c r="F5" s="5027" t="s">
        <v>2178</v>
      </c>
      <c r="G5" s="5027" t="s">
        <v>1874</v>
      </c>
      <c r="H5" s="5027" t="s">
        <v>2177</v>
      </c>
      <c r="I5" s="5027" t="s">
        <v>2178</v>
      </c>
      <c r="J5" s="5027" t="s">
        <v>1874</v>
      </c>
      <c r="K5" s="5027" t="s">
        <v>1878</v>
      </c>
    </row>
    <row r="6" spans="3:11" ht="102" x14ac:dyDescent="0.3">
      <c r="C6" s="5028">
        <v>1</v>
      </c>
      <c r="D6" s="5029" t="s">
        <v>1054</v>
      </c>
      <c r="E6" s="5022" t="s">
        <v>2152</v>
      </c>
      <c r="F6" s="5030" t="s">
        <v>2110</v>
      </c>
      <c r="G6" s="5030" t="s">
        <v>2168</v>
      </c>
      <c r="H6" s="5047" t="s">
        <v>2215</v>
      </c>
      <c r="I6" s="5031" t="s">
        <v>2204</v>
      </c>
      <c r="J6" s="5028">
        <v>4</v>
      </c>
      <c r="K6" s="5031"/>
    </row>
    <row r="7" spans="3:11" ht="102" x14ac:dyDescent="0.35">
      <c r="C7" s="6606">
        <v>2</v>
      </c>
      <c r="D7" s="5032" t="s">
        <v>1875</v>
      </c>
      <c r="E7" s="5023" t="s">
        <v>2153</v>
      </c>
      <c r="F7" s="5030" t="s">
        <v>2110</v>
      </c>
      <c r="G7" s="5033" t="s">
        <v>2167</v>
      </c>
      <c r="H7" s="5040" t="s">
        <v>2235</v>
      </c>
      <c r="I7" s="5054" t="s">
        <v>2234</v>
      </c>
      <c r="J7" s="5033">
        <v>8</v>
      </c>
      <c r="K7" s="5034"/>
    </row>
    <row r="8" spans="3:11" ht="61.2" x14ac:dyDescent="0.35">
      <c r="C8" s="6606"/>
      <c r="D8" s="5032" t="s">
        <v>1876</v>
      </c>
      <c r="E8" s="5023" t="s">
        <v>2154</v>
      </c>
      <c r="F8" s="5030" t="s">
        <v>2110</v>
      </c>
      <c r="G8" s="5033" t="s">
        <v>2167</v>
      </c>
      <c r="H8" s="5040" t="s">
        <v>2236</v>
      </c>
      <c r="I8" s="5049" t="s">
        <v>2227</v>
      </c>
      <c r="J8" s="5033">
        <v>6</v>
      </c>
      <c r="K8" s="5034"/>
    </row>
    <row r="9" spans="3:11" ht="27" customHeight="1" x14ac:dyDescent="0.35">
      <c r="C9" s="5035">
        <v>3</v>
      </c>
      <c r="D9" s="5032" t="s">
        <v>1879</v>
      </c>
      <c r="E9" s="5022" t="s">
        <v>2155</v>
      </c>
      <c r="F9" s="5030" t="s">
        <v>2166</v>
      </c>
      <c r="G9" s="5033" t="s">
        <v>2169</v>
      </c>
      <c r="H9" s="5048" t="s">
        <v>2180</v>
      </c>
      <c r="I9" s="5033" t="s">
        <v>2179</v>
      </c>
      <c r="J9" s="5033">
        <v>80</v>
      </c>
      <c r="K9" s="5041"/>
    </row>
    <row r="10" spans="3:11" ht="20.399999999999999" x14ac:dyDescent="0.35">
      <c r="C10" s="6607">
        <v>4</v>
      </c>
      <c r="D10" s="5036" t="s">
        <v>1055</v>
      </c>
      <c r="E10" s="5037"/>
      <c r="F10" s="5030"/>
      <c r="G10" s="5033"/>
      <c r="H10" s="5033"/>
      <c r="I10" s="5038"/>
      <c r="J10" s="5028"/>
      <c r="K10" s="5034"/>
    </row>
    <row r="11" spans="3:11" ht="40.799999999999997" x14ac:dyDescent="0.3">
      <c r="C11" s="6608"/>
      <c r="D11" s="6611" t="s">
        <v>57</v>
      </c>
      <c r="E11" s="5022" t="s">
        <v>2156</v>
      </c>
      <c r="F11" s="6615" t="s">
        <v>2110</v>
      </c>
      <c r="G11" s="6613" t="s">
        <v>2170</v>
      </c>
      <c r="H11" s="5033"/>
      <c r="I11" s="5031"/>
      <c r="J11" s="5028"/>
      <c r="K11" s="5040" t="s">
        <v>2205</v>
      </c>
    </row>
    <row r="12" spans="3:11" ht="163.19999999999999" x14ac:dyDescent="0.3">
      <c r="C12" s="6608"/>
      <c r="D12" s="6610"/>
      <c r="E12" s="5022" t="s">
        <v>2157</v>
      </c>
      <c r="F12" s="6616"/>
      <c r="G12" s="6608"/>
      <c r="H12" s="5040" t="s">
        <v>2214</v>
      </c>
      <c r="I12" s="5049" t="s">
        <v>2207</v>
      </c>
      <c r="J12" s="5033" t="s">
        <v>2206</v>
      </c>
      <c r="K12" s="5031"/>
    </row>
    <row r="13" spans="3:11" ht="40.799999999999997" x14ac:dyDescent="0.3">
      <c r="C13" s="6608"/>
      <c r="D13" s="6610"/>
      <c r="E13" s="5022" t="s">
        <v>2158</v>
      </c>
      <c r="F13" s="6617"/>
      <c r="G13" s="6614"/>
      <c r="H13" s="5033"/>
      <c r="I13" s="5031"/>
      <c r="J13" s="5028"/>
      <c r="K13" s="5040" t="s">
        <v>2205</v>
      </c>
    </row>
    <row r="14" spans="3:11" ht="20.399999999999999" x14ac:dyDescent="0.3">
      <c r="C14" s="6608"/>
      <c r="D14" s="6612"/>
      <c r="E14" s="5022" t="s">
        <v>2159</v>
      </c>
      <c r="F14" s="5030" t="s">
        <v>2110</v>
      </c>
      <c r="G14" s="5033" t="s">
        <v>2171</v>
      </c>
      <c r="H14" s="5049" t="s">
        <v>2208</v>
      </c>
      <c r="I14" s="5049" t="s">
        <v>2209</v>
      </c>
      <c r="J14" s="5049" t="s">
        <v>2210</v>
      </c>
      <c r="K14" s="5049"/>
    </row>
    <row r="15" spans="3:11" ht="40.799999999999997" x14ac:dyDescent="0.3">
      <c r="C15" s="6608"/>
      <c r="D15" s="6609" t="s">
        <v>2162</v>
      </c>
      <c r="E15" s="5039" t="s">
        <v>2160</v>
      </c>
      <c r="F15" s="6615" t="s">
        <v>2110</v>
      </c>
      <c r="G15" s="6618" t="s">
        <v>2172</v>
      </c>
      <c r="H15" s="5025"/>
      <c r="I15" s="5031"/>
      <c r="J15" s="5028"/>
      <c r="K15" s="5050" t="s">
        <v>2211</v>
      </c>
    </row>
    <row r="16" spans="3:11" ht="102" x14ac:dyDescent="0.3">
      <c r="C16" s="6608"/>
      <c r="D16" s="6610"/>
      <c r="E16" s="5039" t="s">
        <v>2161</v>
      </c>
      <c r="F16" s="6617"/>
      <c r="G16" s="6618"/>
      <c r="H16" s="5022" t="s">
        <v>2212</v>
      </c>
      <c r="I16" s="5049" t="s">
        <v>2227</v>
      </c>
      <c r="J16" s="5033">
        <v>6</v>
      </c>
      <c r="K16" s="5040" t="s">
        <v>2213</v>
      </c>
    </row>
    <row r="17" spans="3:13" ht="42.75" customHeight="1" x14ac:dyDescent="0.35">
      <c r="C17" s="5028">
        <v>5</v>
      </c>
      <c r="D17" s="5029" t="s">
        <v>59</v>
      </c>
      <c r="E17" s="5040" t="s">
        <v>2163</v>
      </c>
      <c r="F17" s="5030" t="s">
        <v>2110</v>
      </c>
      <c r="G17" s="5025" t="s">
        <v>2172</v>
      </c>
      <c r="H17" s="5022" t="s">
        <v>2216</v>
      </c>
      <c r="I17" s="5033" t="s">
        <v>2220</v>
      </c>
      <c r="J17" s="5033" t="s">
        <v>2217</v>
      </c>
      <c r="K17" s="5034"/>
    </row>
    <row r="18" spans="3:13" ht="40.799999999999997" x14ac:dyDescent="0.35">
      <c r="C18" s="5028">
        <v>6</v>
      </c>
      <c r="D18" s="5029" t="s">
        <v>95</v>
      </c>
      <c r="E18" s="5040" t="s">
        <v>2163</v>
      </c>
      <c r="F18" s="5030" t="s">
        <v>2110</v>
      </c>
      <c r="G18" s="5025" t="s">
        <v>2172</v>
      </c>
      <c r="H18" s="5022" t="s">
        <v>2218</v>
      </c>
      <c r="I18" s="5033" t="s">
        <v>2221</v>
      </c>
      <c r="J18" s="5033" t="s">
        <v>2219</v>
      </c>
      <c r="K18" s="5034"/>
    </row>
    <row r="19" spans="3:13" ht="81.599999999999994" x14ac:dyDescent="0.35">
      <c r="C19" s="5028">
        <v>7</v>
      </c>
      <c r="D19" s="5029" t="s">
        <v>1284</v>
      </c>
      <c r="E19" s="5040" t="s">
        <v>2222</v>
      </c>
      <c r="F19" s="5030" t="s">
        <v>2110</v>
      </c>
      <c r="G19" s="5025" t="s">
        <v>2173</v>
      </c>
      <c r="H19" s="5022" t="s">
        <v>2224</v>
      </c>
      <c r="I19" s="5033" t="s">
        <v>2226</v>
      </c>
      <c r="J19" s="5033" t="s">
        <v>2225</v>
      </c>
      <c r="K19" s="5052"/>
    </row>
    <row r="20" spans="3:13" ht="61.2" x14ac:dyDescent="0.3">
      <c r="C20" s="5028">
        <v>8</v>
      </c>
      <c r="D20" s="5029" t="s">
        <v>724</v>
      </c>
      <c r="E20" s="5024" t="s">
        <v>2164</v>
      </c>
      <c r="F20" s="5030" t="s">
        <v>2110</v>
      </c>
      <c r="G20" s="5026" t="s">
        <v>2174</v>
      </c>
      <c r="H20" s="5026"/>
      <c r="I20" s="5028"/>
      <c r="J20" s="5028"/>
      <c r="K20" s="5051" t="s">
        <v>2223</v>
      </c>
    </row>
    <row r="21" spans="3:13" ht="20.399999999999999" x14ac:dyDescent="0.3">
      <c r="C21" s="6629">
        <v>9</v>
      </c>
      <c r="D21" s="6630" t="s">
        <v>1880</v>
      </c>
      <c r="E21" s="6631" t="s">
        <v>2165</v>
      </c>
      <c r="F21" s="6632" t="s">
        <v>2110</v>
      </c>
      <c r="G21" s="6629" t="s">
        <v>2175</v>
      </c>
      <c r="H21" s="5053" t="s">
        <v>2231</v>
      </c>
      <c r="I21" s="6615" t="s">
        <v>2230</v>
      </c>
      <c r="J21" s="6615" t="s">
        <v>2228</v>
      </c>
      <c r="K21" s="6626" t="s">
        <v>2229</v>
      </c>
    </row>
    <row r="22" spans="3:13" ht="20.399999999999999" x14ac:dyDescent="0.3">
      <c r="C22" s="6629"/>
      <c r="D22" s="6630"/>
      <c r="E22" s="6631"/>
      <c r="F22" s="6632"/>
      <c r="G22" s="6629"/>
      <c r="H22" s="5053" t="s">
        <v>2232</v>
      </c>
      <c r="I22" s="6616"/>
      <c r="J22" s="6616"/>
      <c r="K22" s="6627"/>
    </row>
    <row r="23" spans="3:13" ht="40.799999999999997" x14ac:dyDescent="0.3">
      <c r="C23" s="6629"/>
      <c r="D23" s="6630"/>
      <c r="E23" s="6631"/>
      <c r="F23" s="6632"/>
      <c r="G23" s="6629"/>
      <c r="H23" s="5053" t="s">
        <v>2233</v>
      </c>
      <c r="I23" s="6617"/>
      <c r="J23" s="6617"/>
      <c r="K23" s="6628"/>
    </row>
    <row r="25" spans="3:13" ht="20.399999999999999" hidden="1" x14ac:dyDescent="0.3">
      <c r="E25" s="6619" t="s">
        <v>1872</v>
      </c>
      <c r="F25" s="6619" t="s">
        <v>1873</v>
      </c>
      <c r="G25" s="5042"/>
      <c r="H25" s="6620" t="s">
        <v>2151</v>
      </c>
      <c r="I25" s="6604"/>
      <c r="J25" s="6604"/>
      <c r="K25" s="6604"/>
      <c r="L25" s="6604"/>
      <c r="M25" s="6621"/>
    </row>
    <row r="26" spans="3:13" ht="20.399999999999999" hidden="1" x14ac:dyDescent="0.3">
      <c r="E26" s="6619"/>
      <c r="F26" s="6619"/>
      <c r="G26" s="5042" t="s">
        <v>1877</v>
      </c>
      <c r="H26" s="5042" t="s">
        <v>2176</v>
      </c>
      <c r="I26" s="5042" t="s">
        <v>1874</v>
      </c>
      <c r="J26" s="5042" t="s">
        <v>2177</v>
      </c>
      <c r="K26" s="5042" t="s">
        <v>2178</v>
      </c>
      <c r="L26" s="5042" t="s">
        <v>1874</v>
      </c>
      <c r="M26" s="5042" t="s">
        <v>1878</v>
      </c>
    </row>
    <row r="27" spans="3:13" ht="28.8" hidden="1" x14ac:dyDescent="0.3">
      <c r="E27" s="6613">
        <v>1</v>
      </c>
      <c r="F27" s="6622" t="s">
        <v>1054</v>
      </c>
      <c r="G27" s="6624" t="s">
        <v>2152</v>
      </c>
      <c r="H27" s="6615" t="s">
        <v>2135</v>
      </c>
      <c r="I27" s="6615" t="s">
        <v>2181</v>
      </c>
      <c r="J27" s="5043" t="s">
        <v>2182</v>
      </c>
      <c r="K27" s="5044" t="s">
        <v>2183</v>
      </c>
      <c r="L27" s="5033">
        <v>2</v>
      </c>
      <c r="M27" s="5042" t="s">
        <v>2184</v>
      </c>
    </row>
    <row r="28" spans="3:13" ht="57.6" hidden="1" x14ac:dyDescent="0.3">
      <c r="E28" s="6608"/>
      <c r="F28" s="6623"/>
      <c r="G28" s="6625"/>
      <c r="H28" s="6616"/>
      <c r="I28" s="6616"/>
      <c r="J28" s="5043" t="s">
        <v>2185</v>
      </c>
      <c r="K28" s="5044" t="s">
        <v>2186</v>
      </c>
      <c r="L28" s="5033">
        <v>3</v>
      </c>
      <c r="M28" s="5042" t="s">
        <v>2184</v>
      </c>
    </row>
    <row r="29" spans="3:13" ht="57.6" hidden="1" x14ac:dyDescent="0.3">
      <c r="E29" s="6608"/>
      <c r="F29" s="6623"/>
      <c r="G29" s="6625"/>
      <c r="H29" s="6616"/>
      <c r="I29" s="6616"/>
      <c r="J29" s="5043" t="s">
        <v>2187</v>
      </c>
      <c r="K29" s="5044" t="s">
        <v>2188</v>
      </c>
      <c r="L29" s="5033">
        <v>3</v>
      </c>
      <c r="M29" s="5042" t="s">
        <v>2184</v>
      </c>
    </row>
    <row r="30" spans="3:13" ht="20.399999999999999" hidden="1" x14ac:dyDescent="0.3">
      <c r="E30" s="6608"/>
      <c r="F30" s="6623"/>
      <c r="G30" s="6625"/>
      <c r="H30" s="6616"/>
      <c r="I30" s="6616"/>
      <c r="J30" s="5043" t="s">
        <v>2189</v>
      </c>
      <c r="K30" s="5044" t="s">
        <v>2190</v>
      </c>
      <c r="L30" s="5045">
        <v>4</v>
      </c>
      <c r="M30" s="5042" t="s">
        <v>2184</v>
      </c>
    </row>
    <row r="31" spans="3:13" ht="43.2" hidden="1" x14ac:dyDescent="0.3">
      <c r="E31" s="6608"/>
      <c r="F31" s="6623"/>
      <c r="G31" s="6625"/>
      <c r="H31" s="6616"/>
      <c r="I31" s="6616"/>
      <c r="J31" s="5043" t="s">
        <v>2191</v>
      </c>
      <c r="K31" s="5044" t="s">
        <v>2190</v>
      </c>
      <c r="L31" s="5045">
        <v>4</v>
      </c>
      <c r="M31" s="5042" t="s">
        <v>2184</v>
      </c>
    </row>
    <row r="32" spans="3:13" ht="28.8" hidden="1" x14ac:dyDescent="0.3">
      <c r="E32" s="6608"/>
      <c r="F32" s="6623"/>
      <c r="G32" s="6625"/>
      <c r="H32" s="6616"/>
      <c r="I32" s="6616"/>
      <c r="J32" s="5043" t="s">
        <v>2192</v>
      </c>
      <c r="K32" s="5044" t="s">
        <v>2190</v>
      </c>
      <c r="L32" s="5045">
        <v>4</v>
      </c>
      <c r="M32" s="5042" t="s">
        <v>2184</v>
      </c>
    </row>
    <row r="33" spans="5:13" ht="20.399999999999999" hidden="1" x14ac:dyDescent="0.3">
      <c r="E33" s="6608"/>
      <c r="F33" s="6623"/>
      <c r="G33" s="6625"/>
      <c r="H33" s="6616"/>
      <c r="I33" s="6616"/>
      <c r="J33" s="5043" t="s">
        <v>2193</v>
      </c>
      <c r="K33" s="5044" t="s">
        <v>2194</v>
      </c>
      <c r="L33" s="5045">
        <v>2</v>
      </c>
      <c r="M33" s="5042" t="s">
        <v>2184</v>
      </c>
    </row>
    <row r="34" spans="5:13" ht="20.399999999999999" hidden="1" x14ac:dyDescent="0.3">
      <c r="E34" s="6608"/>
      <c r="F34" s="6623"/>
      <c r="G34" s="6625"/>
      <c r="H34" s="6616"/>
      <c r="I34" s="6616"/>
      <c r="J34" s="5043" t="s">
        <v>2195</v>
      </c>
      <c r="K34" s="5044" t="s">
        <v>2190</v>
      </c>
      <c r="L34" s="5045">
        <v>4</v>
      </c>
      <c r="M34" s="5042" t="s">
        <v>2184</v>
      </c>
    </row>
    <row r="35" spans="5:13" ht="28.8" hidden="1" x14ac:dyDescent="0.3">
      <c r="E35" s="6608"/>
      <c r="F35" s="6623"/>
      <c r="G35" s="6625"/>
      <c r="H35" s="6616"/>
      <c r="I35" s="6616"/>
      <c r="J35" s="5043" t="s">
        <v>2196</v>
      </c>
      <c r="K35" s="5044" t="s">
        <v>2194</v>
      </c>
      <c r="L35" s="5045">
        <v>2</v>
      </c>
      <c r="M35" s="5042" t="s">
        <v>2184</v>
      </c>
    </row>
    <row r="36" spans="5:13" ht="28.8" hidden="1" x14ac:dyDescent="0.3">
      <c r="E36" s="6608"/>
      <c r="F36" s="6623"/>
      <c r="G36" s="6625"/>
      <c r="H36" s="6616"/>
      <c r="I36" s="6616"/>
      <c r="J36" s="5043" t="s">
        <v>2197</v>
      </c>
      <c r="K36" s="5044" t="s">
        <v>2190</v>
      </c>
      <c r="L36" s="5045">
        <v>3</v>
      </c>
      <c r="M36" s="5042" t="s">
        <v>2184</v>
      </c>
    </row>
    <row r="37" spans="5:13" ht="28.8" hidden="1" x14ac:dyDescent="0.3">
      <c r="E37" s="6608"/>
      <c r="F37" s="6623"/>
      <c r="G37" s="6625"/>
      <c r="H37" s="6616"/>
      <c r="I37" s="6616"/>
      <c r="J37" s="5043" t="s">
        <v>2198</v>
      </c>
      <c r="K37" s="5044" t="s">
        <v>2188</v>
      </c>
      <c r="L37" s="5045">
        <v>3</v>
      </c>
      <c r="M37" s="5042" t="s">
        <v>2184</v>
      </c>
    </row>
    <row r="38" spans="5:13" ht="28.8" hidden="1" x14ac:dyDescent="0.3">
      <c r="E38" s="6608"/>
      <c r="F38" s="6623"/>
      <c r="G38" s="6625"/>
      <c r="H38" s="6616"/>
      <c r="I38" s="6616"/>
      <c r="J38" s="5043" t="s">
        <v>2199</v>
      </c>
      <c r="K38" s="5044" t="s">
        <v>2200</v>
      </c>
      <c r="L38" s="5046">
        <v>3</v>
      </c>
      <c r="M38" s="5042" t="s">
        <v>2184</v>
      </c>
    </row>
    <row r="39" spans="5:13" ht="43.2" hidden="1" x14ac:dyDescent="0.3">
      <c r="E39" s="6608"/>
      <c r="F39" s="6623"/>
      <c r="G39" s="6625"/>
      <c r="H39" s="6616"/>
      <c r="I39" s="6616"/>
      <c r="J39" s="5043" t="s">
        <v>2201</v>
      </c>
      <c r="K39" s="5044" t="s">
        <v>2190</v>
      </c>
      <c r="L39" s="5046">
        <v>4</v>
      </c>
      <c r="M39" s="5042" t="s">
        <v>2184</v>
      </c>
    </row>
    <row r="40" spans="5:13" ht="28.8" hidden="1" x14ac:dyDescent="0.3">
      <c r="E40" s="6608"/>
      <c r="F40" s="6623"/>
      <c r="G40" s="6625"/>
      <c r="H40" s="6616"/>
      <c r="I40" s="6616"/>
      <c r="J40" s="5043" t="s">
        <v>2202</v>
      </c>
      <c r="K40" s="5044" t="s">
        <v>2203</v>
      </c>
      <c r="L40" s="5046">
        <v>2</v>
      </c>
      <c r="M40" s="5042" t="s">
        <v>2184</v>
      </c>
    </row>
    <row r="41" spans="5:13" hidden="1" x14ac:dyDescent="0.3"/>
    <row r="42" spans="5:13" hidden="1" x14ac:dyDescent="0.3"/>
  </sheetData>
  <mergeCells count="27">
    <mergeCell ref="K21:K23"/>
    <mergeCell ref="C21:C23"/>
    <mergeCell ref="D21:D23"/>
    <mergeCell ref="E21:E23"/>
    <mergeCell ref="F21:F23"/>
    <mergeCell ref="G21:G23"/>
    <mergeCell ref="I21:I23"/>
    <mergeCell ref="J21:J23"/>
    <mergeCell ref="E25:E26"/>
    <mergeCell ref="F25:F26"/>
    <mergeCell ref="H25:M25"/>
    <mergeCell ref="E27:E40"/>
    <mergeCell ref="F27:F40"/>
    <mergeCell ref="G27:G40"/>
    <mergeCell ref="H27:H40"/>
    <mergeCell ref="I27:I40"/>
    <mergeCell ref="C4:C5"/>
    <mergeCell ref="D4:D5"/>
    <mergeCell ref="F4:K4"/>
    <mergeCell ref="C7:C8"/>
    <mergeCell ref="C10:C16"/>
    <mergeCell ref="D15:D16"/>
    <mergeCell ref="D11:D14"/>
    <mergeCell ref="G11:G13"/>
    <mergeCell ref="F11:F13"/>
    <mergeCell ref="G15:G16"/>
    <mergeCell ref="F15:F16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70C0"/>
  </sheetPr>
  <dimension ref="A1:N17"/>
  <sheetViews>
    <sheetView workbookViewId="0">
      <selection activeCell="G16" sqref="G16"/>
    </sheetView>
  </sheetViews>
  <sheetFormatPr defaultColWidth="9.109375" defaultRowHeight="14.4" x14ac:dyDescent="0.3"/>
  <cols>
    <col min="1" max="1" width="4.109375" customWidth="1"/>
    <col min="2" max="2" width="19.33203125" bestFit="1" customWidth="1"/>
    <col min="8" max="8" width="9.5546875" bestFit="1" customWidth="1"/>
  </cols>
  <sheetData>
    <row r="1" spans="1:14" x14ac:dyDescent="0.3">
      <c r="A1" s="6633" t="s">
        <v>1948</v>
      </c>
      <c r="B1" s="6634" t="s">
        <v>1949</v>
      </c>
      <c r="C1" s="6634" t="s">
        <v>1950</v>
      </c>
      <c r="D1" s="6634"/>
      <c r="E1" s="6634"/>
      <c r="F1" s="6634"/>
      <c r="G1" s="6634"/>
      <c r="H1" s="6634"/>
      <c r="I1" s="6634"/>
      <c r="J1" s="6634"/>
      <c r="K1" s="6634"/>
      <c r="L1" s="6634"/>
      <c r="M1" s="6634"/>
      <c r="N1" s="6634"/>
    </row>
    <row r="2" spans="1:14" x14ac:dyDescent="0.3">
      <c r="A2" s="6633"/>
      <c r="B2" s="6634"/>
      <c r="C2" s="5670" t="s">
        <v>2083</v>
      </c>
      <c r="D2" s="5670" t="s">
        <v>2084</v>
      </c>
      <c r="E2" s="5671" t="s">
        <v>2085</v>
      </c>
      <c r="F2" s="5671" t="s">
        <v>2086</v>
      </c>
      <c r="G2" s="5671" t="s">
        <v>2087</v>
      </c>
      <c r="H2" s="5671" t="s">
        <v>2088</v>
      </c>
      <c r="I2" s="5671" t="s">
        <v>2089</v>
      </c>
      <c r="J2" s="5672" t="s">
        <v>2354</v>
      </c>
      <c r="K2" s="5671" t="s">
        <v>2090</v>
      </c>
      <c r="L2" s="5671" t="s">
        <v>2091</v>
      </c>
      <c r="M2" s="5671" t="s">
        <v>2092</v>
      </c>
      <c r="N2" s="5671" t="s">
        <v>2093</v>
      </c>
    </row>
    <row r="3" spans="1:14" x14ac:dyDescent="0.3">
      <c r="A3" s="5470">
        <v>1</v>
      </c>
      <c r="B3" s="5470" t="s">
        <v>722</v>
      </c>
      <c r="C3" s="5673">
        <v>3.4061755654009866</v>
      </c>
      <c r="D3" s="5673">
        <v>1.4886028448516302</v>
      </c>
      <c r="E3" s="5673">
        <v>1.976069302904462</v>
      </c>
      <c r="F3" s="5673">
        <v>2.0696832793244555</v>
      </c>
      <c r="G3" s="5673">
        <v>1.887779278767449</v>
      </c>
      <c r="H3" s="5673">
        <v>2.1551442161456844</v>
      </c>
      <c r="I3" s="5673">
        <v>3.4590543579555919</v>
      </c>
      <c r="J3" s="5673">
        <v>1.703665327535272</v>
      </c>
      <c r="K3" s="5673">
        <v>1.6105339961171679</v>
      </c>
      <c r="L3" s="5673">
        <v>1.98193793384697</v>
      </c>
      <c r="M3" s="5673">
        <v>2.5349158991654774</v>
      </c>
      <c r="N3" s="5673">
        <v>1.7531354667550987</v>
      </c>
    </row>
    <row r="4" spans="1:14" x14ac:dyDescent="0.3">
      <c r="A4" s="5470">
        <v>2</v>
      </c>
      <c r="B4" s="5470" t="s">
        <v>377</v>
      </c>
      <c r="C4" s="5673">
        <v>0.20866598264980693</v>
      </c>
      <c r="D4" s="5673">
        <v>0.24815333970030173</v>
      </c>
      <c r="E4" s="5673">
        <v>0.1959550788783947</v>
      </c>
      <c r="F4" s="5673">
        <v>0.43494216713579487</v>
      </c>
      <c r="G4" s="5673">
        <v>3.035321036440382</v>
      </c>
      <c r="H4" s="5673">
        <v>1.7237513830908058</v>
      </c>
      <c r="I4" s="5673">
        <v>0.30174033627044489</v>
      </c>
      <c r="J4" s="5673">
        <v>0.32751553363369384</v>
      </c>
      <c r="K4" s="5673">
        <v>0.35132857256455069</v>
      </c>
      <c r="L4" s="5673">
        <v>0.30207733493534217</v>
      </c>
      <c r="M4" s="5673">
        <v>0.42814143838174179</v>
      </c>
      <c r="N4" s="5673">
        <v>0.3069089364043352</v>
      </c>
    </row>
    <row r="5" spans="1:14" x14ac:dyDescent="0.3">
      <c r="A5" s="5470">
        <v>3</v>
      </c>
      <c r="B5" s="5470" t="s">
        <v>1951</v>
      </c>
      <c r="C5" s="5673">
        <v>0</v>
      </c>
      <c r="D5" s="5673">
        <v>0.95481325907081704</v>
      </c>
      <c r="E5" s="5673">
        <v>0</v>
      </c>
      <c r="F5" s="5673">
        <v>0.81859718838454321</v>
      </c>
      <c r="G5" s="5673">
        <v>0.86064362998219857</v>
      </c>
      <c r="H5" s="5673">
        <v>0</v>
      </c>
      <c r="I5" s="5673">
        <v>0</v>
      </c>
      <c r="J5" s="5673">
        <v>0.89109027372310479</v>
      </c>
      <c r="K5" s="5673">
        <v>0</v>
      </c>
      <c r="L5" s="5673">
        <v>0</v>
      </c>
      <c r="M5" s="5673">
        <v>0</v>
      </c>
      <c r="N5" s="5673">
        <v>0</v>
      </c>
    </row>
    <row r="6" spans="1:14" x14ac:dyDescent="0.3">
      <c r="A6" s="5470">
        <v>4</v>
      </c>
      <c r="B6" s="5470" t="s">
        <v>1952</v>
      </c>
      <c r="C6" s="5673">
        <v>8.3932031095242471E-2</v>
      </c>
      <c r="D6" s="5673">
        <v>4.369543353138549E-2</v>
      </c>
      <c r="E6" s="5673">
        <v>0.50430719687167547</v>
      </c>
      <c r="F6" s="5673">
        <v>0.59947142260172981</v>
      </c>
      <c r="G6" s="5673">
        <v>0.12320207389077566</v>
      </c>
      <c r="H6" s="5673">
        <v>7.9364064766119902E-2</v>
      </c>
      <c r="I6" s="5673">
        <v>0.78539628685107776</v>
      </c>
      <c r="J6" s="5673">
        <v>3.2452876227658148E-2</v>
      </c>
      <c r="K6" s="5673">
        <v>0.19674917329806074</v>
      </c>
      <c r="L6" s="5673">
        <v>0.38461545207786119</v>
      </c>
      <c r="M6" s="5673">
        <v>0.26933994897738572</v>
      </c>
      <c r="N6" s="5673">
        <v>0.3959210744486818</v>
      </c>
    </row>
    <row r="7" spans="1:14" x14ac:dyDescent="0.3">
      <c r="A7" s="5470">
        <v>5</v>
      </c>
      <c r="B7" s="5470" t="s">
        <v>1953</v>
      </c>
      <c r="C7" s="5673">
        <v>7.1408900505853301E-2</v>
      </c>
      <c r="D7" s="5673">
        <v>0.41851078675257358</v>
      </c>
      <c r="E7" s="5673">
        <v>0.3041061541881</v>
      </c>
      <c r="F7" s="5673">
        <v>0.3869935408360558</v>
      </c>
      <c r="G7" s="5673">
        <v>0.36682597731494943</v>
      </c>
      <c r="H7" s="5673">
        <v>0.4110945066743466</v>
      </c>
      <c r="I7" s="5673">
        <v>0.88683780906480558</v>
      </c>
      <c r="J7" s="5673">
        <v>0.64017839592780079</v>
      </c>
      <c r="K7" s="5673">
        <v>0.62689489566369672</v>
      </c>
      <c r="L7" s="5673">
        <v>0.32303282510476655</v>
      </c>
      <c r="M7" s="5673">
        <v>0.39816376241334062</v>
      </c>
      <c r="N7" s="5673">
        <v>0.30536671640966134</v>
      </c>
    </row>
    <row r="8" spans="1:14" x14ac:dyDescent="0.3">
      <c r="A8" s="5470">
        <v>6</v>
      </c>
      <c r="B8" s="5470" t="s">
        <v>1954</v>
      </c>
      <c r="C8" s="5673">
        <v>4.3661421317344438</v>
      </c>
      <c r="D8" s="5673">
        <v>4.3029919116963473</v>
      </c>
      <c r="E8" s="5673">
        <v>3.6463875984276224</v>
      </c>
      <c r="F8" s="5673">
        <v>3.2596463009831989</v>
      </c>
      <c r="G8" s="5673">
        <v>4.7249485525269233</v>
      </c>
      <c r="H8" s="5673">
        <v>3.5908034931032811</v>
      </c>
      <c r="I8" s="5673">
        <v>2.5609008878298671</v>
      </c>
      <c r="J8" s="5673">
        <v>4.0445529886449787</v>
      </c>
      <c r="K8" s="5673">
        <v>3.1544539500352013</v>
      </c>
      <c r="L8" s="5673">
        <v>3.7417330637982515</v>
      </c>
      <c r="M8" s="5673">
        <v>3.9095722532105328</v>
      </c>
      <c r="N8" s="5673">
        <v>2.6400953407395127</v>
      </c>
    </row>
    <row r="9" spans="1:14" x14ac:dyDescent="0.3">
      <c r="A9" s="5470">
        <v>7</v>
      </c>
      <c r="B9" s="5470" t="s">
        <v>1955</v>
      </c>
      <c r="C9" s="5673">
        <v>0.56947146784425329</v>
      </c>
      <c r="D9" s="5673">
        <v>0.58313952957682202</v>
      </c>
      <c r="E9" s="5673">
        <v>0.59101166960357854</v>
      </c>
      <c r="F9" s="5673">
        <v>0.57126032279174643</v>
      </c>
      <c r="G9" s="5673">
        <v>0.65951394868298674</v>
      </c>
      <c r="H9" s="5673">
        <v>0.73092819389280006</v>
      </c>
      <c r="I9" s="5673">
        <v>0.59725441264278667</v>
      </c>
      <c r="J9" s="5673">
        <v>0.60649664926667302</v>
      </c>
      <c r="K9" s="5673">
        <v>0.60600109231327204</v>
      </c>
      <c r="L9" s="5673">
        <v>0.58651390283581906</v>
      </c>
      <c r="M9" s="5673">
        <v>0.58253983439270118</v>
      </c>
      <c r="N9" s="5673">
        <v>0.57167515337423314</v>
      </c>
    </row>
    <row r="10" spans="1:14" x14ac:dyDescent="0.3">
      <c r="A10" s="5470">
        <v>8</v>
      </c>
      <c r="B10" s="5470" t="s">
        <v>1956</v>
      </c>
      <c r="C10" s="5673">
        <v>2.0893302637491122</v>
      </c>
      <c r="D10" s="5673">
        <v>1.8307187560746798</v>
      </c>
      <c r="E10" s="5673">
        <v>1.2298903689829246</v>
      </c>
      <c r="F10" s="5673">
        <v>1.410723206471604</v>
      </c>
      <c r="G10" s="5673">
        <v>1.422423775676392</v>
      </c>
      <c r="H10" s="5673">
        <v>1.7843322591879105</v>
      </c>
      <c r="I10" s="5673">
        <v>1.5149858538735834</v>
      </c>
      <c r="J10" s="5673">
        <v>1.5008002762503159</v>
      </c>
      <c r="K10" s="5673">
        <v>1.5268809335864995</v>
      </c>
      <c r="L10" s="5673">
        <v>1.4546653979223585</v>
      </c>
      <c r="M10" s="5673">
        <v>1.251991125091884</v>
      </c>
      <c r="N10" s="5673">
        <v>1.3553819225667383</v>
      </c>
    </row>
    <row r="11" spans="1:14" x14ac:dyDescent="0.3">
      <c r="A11" s="5470">
        <v>9</v>
      </c>
      <c r="B11" s="5470" t="s">
        <v>1957</v>
      </c>
      <c r="C11" s="5673">
        <v>7.7303275243142955E-2</v>
      </c>
      <c r="D11" s="5673">
        <v>0</v>
      </c>
      <c r="E11" s="5673">
        <v>1.6430276069713663E-2</v>
      </c>
      <c r="F11" s="5673">
        <v>0.16763646111755012</v>
      </c>
      <c r="G11" s="5673">
        <v>0</v>
      </c>
      <c r="H11" s="5673">
        <v>0</v>
      </c>
      <c r="I11" s="5673">
        <v>0</v>
      </c>
      <c r="J11" s="5673">
        <v>0</v>
      </c>
      <c r="K11" s="5673">
        <v>0</v>
      </c>
      <c r="L11" s="5673">
        <v>0</v>
      </c>
      <c r="M11" s="5673">
        <v>0.22983417650365373</v>
      </c>
      <c r="N11" s="5673">
        <v>0</v>
      </c>
    </row>
    <row r="12" spans="1:14" x14ac:dyDescent="0.3">
      <c r="A12" s="5470">
        <v>10</v>
      </c>
      <c r="B12" s="5470" t="s">
        <v>1958</v>
      </c>
      <c r="C12" s="5673">
        <v>5.3629147199930428E-2</v>
      </c>
      <c r="D12" s="5673">
        <v>0.2528587969810428</v>
      </c>
      <c r="E12" s="5673">
        <v>8.5470296114650471E-2</v>
      </c>
      <c r="F12" s="5673">
        <v>5.5428089347241603E-2</v>
      </c>
      <c r="G12" s="5673">
        <v>0</v>
      </c>
      <c r="H12" s="5673">
        <v>1.4388552636799253E-2</v>
      </c>
      <c r="I12" s="5673">
        <v>9.0767350628623719E-2</v>
      </c>
      <c r="J12" s="5673">
        <v>2.2755357251788653E-2</v>
      </c>
      <c r="K12" s="5673">
        <v>0.14484073987156784</v>
      </c>
      <c r="L12" s="5673">
        <v>3.4350813648063777E-2</v>
      </c>
      <c r="M12" s="5673">
        <v>0.10349807584208932</v>
      </c>
      <c r="N12" s="5673">
        <v>3.3151218703365938E-2</v>
      </c>
    </row>
    <row r="13" spans="1:14" x14ac:dyDescent="0.3">
      <c r="A13" s="5470">
        <v>11</v>
      </c>
      <c r="B13" s="5470" t="s">
        <v>1959</v>
      </c>
      <c r="C13" s="5673">
        <v>6.4683515559699867E-2</v>
      </c>
      <c r="D13" s="5673">
        <v>9.4659353104742258E-2</v>
      </c>
      <c r="E13" s="5673">
        <v>4.8633617166352434E-3</v>
      </c>
      <c r="F13" s="5673">
        <v>5.8976117826083528E-3</v>
      </c>
      <c r="G13" s="5673">
        <v>2.6933646436973161E-3</v>
      </c>
      <c r="H13" s="5673">
        <v>2.0454315022900896E-3</v>
      </c>
      <c r="I13" s="5673">
        <v>1.1607078085501756E-3</v>
      </c>
      <c r="J13" s="5673">
        <v>0</v>
      </c>
      <c r="K13" s="5673">
        <v>3.4134789751029378E-3</v>
      </c>
      <c r="L13" s="5673">
        <v>2.4556341455927943E-3</v>
      </c>
      <c r="M13" s="5673">
        <v>2.3219613438837721E-3</v>
      </c>
      <c r="N13" s="5673">
        <v>1.1901011440888743E-3</v>
      </c>
    </row>
    <row r="14" spans="1:14" x14ac:dyDescent="0.3">
      <c r="A14" s="5470">
        <v>12</v>
      </c>
      <c r="B14" s="5470" t="s">
        <v>1960</v>
      </c>
      <c r="C14" s="5673">
        <v>1.5460655048628593E-4</v>
      </c>
      <c r="D14" s="5673">
        <v>3.8021788554669998E-2</v>
      </c>
      <c r="E14" s="5673">
        <v>2.4645414104570492E-2</v>
      </c>
      <c r="F14" s="5673">
        <v>2.7595777057659403E-2</v>
      </c>
      <c r="G14" s="5673">
        <v>4.0232134365228663E-2</v>
      </c>
      <c r="H14" s="5673">
        <v>0.10579818115293568</v>
      </c>
      <c r="I14" s="5673">
        <v>1.3894451481855565</v>
      </c>
      <c r="J14" s="5673">
        <v>0</v>
      </c>
      <c r="K14" s="5673">
        <v>0</v>
      </c>
      <c r="L14" s="5673">
        <v>9.7172951189886295E-2</v>
      </c>
      <c r="M14" s="5673">
        <v>1.0809875902624638E-2</v>
      </c>
      <c r="N14" s="5673">
        <v>5.6831371248549166E-2</v>
      </c>
    </row>
    <row r="15" spans="1:14" x14ac:dyDescent="0.3">
      <c r="A15" s="5470">
        <v>13</v>
      </c>
      <c r="B15" s="5470" t="s">
        <v>82</v>
      </c>
      <c r="C15" s="5673">
        <v>0</v>
      </c>
      <c r="D15" s="5673">
        <v>1.2677591933670839E-2</v>
      </c>
      <c r="E15" s="5673">
        <v>0</v>
      </c>
      <c r="F15" s="5673">
        <v>0</v>
      </c>
      <c r="G15" s="5673">
        <v>4.2083822557770567E-3</v>
      </c>
      <c r="H15" s="5673">
        <v>0</v>
      </c>
      <c r="I15" s="5673">
        <v>5.5803260026450743E-3</v>
      </c>
      <c r="J15" s="5673">
        <v>1.0251390837552616</v>
      </c>
      <c r="K15" s="5673">
        <v>0.34698611140742003</v>
      </c>
      <c r="L15" s="5673">
        <v>4.3850609742728469E-3</v>
      </c>
      <c r="M15" s="5673">
        <v>5.4049379513123191E-3</v>
      </c>
      <c r="N15" s="5673">
        <v>0</v>
      </c>
    </row>
    <row r="16" spans="1:14" x14ac:dyDescent="0.3">
      <c r="A16" s="5470">
        <v>14</v>
      </c>
      <c r="B16" s="5470" t="s">
        <v>466</v>
      </c>
      <c r="C16" s="5673">
        <v>0</v>
      </c>
      <c r="D16" s="5673">
        <v>0</v>
      </c>
      <c r="E16" s="5673">
        <v>0</v>
      </c>
      <c r="F16" s="5673">
        <v>7.8845077307598301E-3</v>
      </c>
      <c r="G16" s="5673">
        <v>4.2210074025443873E-3</v>
      </c>
      <c r="H16" s="5673">
        <v>0</v>
      </c>
      <c r="I16" s="5673">
        <v>5.5803260026450743E-3</v>
      </c>
      <c r="J16" s="5673">
        <v>0</v>
      </c>
      <c r="K16" s="5673">
        <v>0</v>
      </c>
      <c r="L16" s="5673">
        <v>0</v>
      </c>
      <c r="M16" s="5673">
        <v>0</v>
      </c>
      <c r="N16" s="5673">
        <v>0</v>
      </c>
    </row>
    <row r="17" spans="1:14" x14ac:dyDescent="0.3">
      <c r="A17" s="5470"/>
      <c r="B17" s="5674" t="s">
        <v>1961</v>
      </c>
      <c r="C17" s="5675">
        <f>SUM(C3:C16)</f>
        <v>10.990896887532958</v>
      </c>
      <c r="D17" s="5675">
        <f>SUM(D3:D16)</f>
        <v>10.268843391828682</v>
      </c>
      <c r="E17" s="5675">
        <f t="shared" ref="E17:I17" si="0">SUM(E3:E16)</f>
        <v>8.5791367178623297</v>
      </c>
      <c r="F17" s="5675">
        <f t="shared" si="0"/>
        <v>9.8157598755649449</v>
      </c>
      <c r="G17" s="5675">
        <f t="shared" si="0"/>
        <v>13.132013161949303</v>
      </c>
      <c r="H17" s="5675">
        <f t="shared" si="0"/>
        <v>10.597650282152975</v>
      </c>
      <c r="I17" s="5675">
        <f t="shared" si="0"/>
        <v>11.598703803116178</v>
      </c>
      <c r="J17" s="5675">
        <f>SUM(J3:J16)</f>
        <v>10.794646762216546</v>
      </c>
      <c r="K17" s="5675">
        <f>SUM(K3:K16)</f>
        <v>8.5680829438325379</v>
      </c>
      <c r="L17" s="5675">
        <f>SUM(L3:L16)</f>
        <v>8.9129403704791859</v>
      </c>
      <c r="M17" s="5675">
        <f>SUM(M3:M16)</f>
        <v>9.7265332891766256</v>
      </c>
      <c r="N17" s="5675">
        <f>SUM(N3:N16)</f>
        <v>7.4196573017942642</v>
      </c>
    </row>
  </sheetData>
  <mergeCells count="3">
    <mergeCell ref="A1:A2"/>
    <mergeCell ref="B1:B2"/>
    <mergeCell ref="C1:N1"/>
  </mergeCells>
  <pageMargins left="0.7" right="0.7" top="0.75" bottom="0.75" header="0.3" footer="0.3"/>
  <pageSetup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B2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28" sqref="D28"/>
    </sheetView>
  </sheetViews>
  <sheetFormatPr defaultColWidth="8.88671875" defaultRowHeight="15" x14ac:dyDescent="0.3"/>
  <cols>
    <col min="1" max="1" width="83.88671875" style="5820" customWidth="1"/>
    <col min="2" max="2" width="12.109375" style="5820" customWidth="1"/>
    <col min="3" max="16384" width="8.88671875" style="5820"/>
  </cols>
  <sheetData>
    <row r="1" spans="1:2" ht="15.6" x14ac:dyDescent="0.3">
      <c r="A1" s="5819" t="s">
        <v>2367</v>
      </c>
    </row>
    <row r="2" spans="1:2" ht="15.6" x14ac:dyDescent="0.3">
      <c r="A2" s="5819"/>
    </row>
    <row r="3" spans="1:2" ht="36.75" customHeight="1" x14ac:dyDescent="0.3">
      <c r="A3" s="5821" t="s">
        <v>2368</v>
      </c>
      <c r="B3" s="5822" t="s">
        <v>2041</v>
      </c>
    </row>
    <row r="4" spans="1:2" ht="15.6" x14ac:dyDescent="0.3">
      <c r="A4" s="5823" t="s">
        <v>2369</v>
      </c>
      <c r="B4" s="5824"/>
    </row>
    <row r="5" spans="1:2" x14ac:dyDescent="0.3">
      <c r="A5" s="5821" t="s">
        <v>2370</v>
      </c>
      <c r="B5" s="5825">
        <v>54325</v>
      </c>
    </row>
    <row r="6" spans="1:2" x14ac:dyDescent="0.3">
      <c r="A6" s="5821" t="s">
        <v>2371</v>
      </c>
      <c r="B6" s="5825">
        <v>1866115.8800000001</v>
      </c>
    </row>
    <row r="7" spans="1:2" x14ac:dyDescent="0.3">
      <c r="A7" s="5821" t="s">
        <v>2372</v>
      </c>
      <c r="B7" s="5825">
        <v>59400</v>
      </c>
    </row>
    <row r="8" spans="1:2" x14ac:dyDescent="0.3">
      <c r="A8" s="5826" t="s">
        <v>2373</v>
      </c>
      <c r="B8" s="5827">
        <f t="shared" ref="B8" si="0">+B5+B6-B7</f>
        <v>1861040.8800000001</v>
      </c>
    </row>
    <row r="9" spans="1:2" ht="15.6" x14ac:dyDescent="0.3">
      <c r="A9" s="5823" t="s">
        <v>2374</v>
      </c>
      <c r="B9" s="5824"/>
    </row>
    <row r="10" spans="1:2" x14ac:dyDescent="0.3">
      <c r="A10" s="5821" t="s">
        <v>2370</v>
      </c>
      <c r="B10" s="5825">
        <v>10457</v>
      </c>
    </row>
    <row r="11" spans="1:2" x14ac:dyDescent="0.3">
      <c r="A11" s="5821" t="s">
        <v>2371</v>
      </c>
      <c r="B11" s="5828">
        <v>436167.24894736841</v>
      </c>
    </row>
    <row r="12" spans="1:2" x14ac:dyDescent="0.3">
      <c r="A12" s="5821" t="s">
        <v>2372</v>
      </c>
      <c r="B12" s="5825">
        <v>12060</v>
      </c>
    </row>
    <row r="13" spans="1:2" x14ac:dyDescent="0.3">
      <c r="A13" s="5826" t="s">
        <v>2373</v>
      </c>
      <c r="B13" s="5829">
        <f t="shared" ref="B13" si="1">+B10+B11-B12</f>
        <v>434564.24894736841</v>
      </c>
    </row>
    <row r="14" spans="1:2" ht="15.6" x14ac:dyDescent="0.3">
      <c r="A14" s="5823" t="s">
        <v>25</v>
      </c>
      <c r="B14" s="5824"/>
    </row>
    <row r="15" spans="1:2" x14ac:dyDescent="0.3">
      <c r="A15" s="5821" t="s">
        <v>2370</v>
      </c>
      <c r="B15" s="5830">
        <v>76700</v>
      </c>
    </row>
    <row r="16" spans="1:2" ht="30" x14ac:dyDescent="0.3">
      <c r="A16" s="5831" t="s">
        <v>2375</v>
      </c>
      <c r="B16" s="5832">
        <v>100352.1</v>
      </c>
    </row>
    <row r="17" spans="1:2" x14ac:dyDescent="0.3">
      <c r="A17" s="5821" t="s">
        <v>2372</v>
      </c>
      <c r="B17" s="5832">
        <v>29935.786234353967</v>
      </c>
    </row>
    <row r="18" spans="1:2" x14ac:dyDescent="0.3">
      <c r="A18" s="5826" t="s">
        <v>2376</v>
      </c>
      <c r="B18" s="5829">
        <f t="shared" ref="B18" si="2">+B15+B16-B17</f>
        <v>147116.31376564605</v>
      </c>
    </row>
    <row r="19" spans="1:2" x14ac:dyDescent="0.3">
      <c r="A19" s="5821" t="s">
        <v>2377</v>
      </c>
      <c r="B19" s="5833">
        <v>1.4662774982078253</v>
      </c>
    </row>
    <row r="20" spans="1:2" x14ac:dyDescent="0.3">
      <c r="A20" s="5826" t="s">
        <v>2378</v>
      </c>
      <c r="B20" s="5829">
        <f t="shared" ref="B20" si="3">B18*(100-B19)/100</f>
        <v>144959.18036070754</v>
      </c>
    </row>
    <row r="21" spans="1:2" x14ac:dyDescent="0.3">
      <c r="A21" s="5821" t="s">
        <v>2379</v>
      </c>
      <c r="B21" s="5833">
        <v>69.7</v>
      </c>
    </row>
    <row r="22" spans="1:2" ht="29.25" customHeight="1" x14ac:dyDescent="0.3">
      <c r="A22" s="5834" t="s">
        <v>2380</v>
      </c>
      <c r="B22" s="5829">
        <f t="shared" ref="B22" si="4">B20/(B21/100)</f>
        <v>207975.86852325327</v>
      </c>
    </row>
    <row r="23" spans="1:2" ht="29.25" customHeight="1" x14ac:dyDescent="0.3">
      <c r="A23" s="5835" t="s">
        <v>2381</v>
      </c>
      <c r="B23" s="5828">
        <v>9.3269428660514908</v>
      </c>
    </row>
    <row r="24" spans="1:2" x14ac:dyDescent="0.3">
      <c r="A24" s="5821" t="s">
        <v>2382</v>
      </c>
      <c r="B24" s="5830">
        <v>3</v>
      </c>
    </row>
    <row r="25" spans="1:2" ht="55.2" customHeight="1" x14ac:dyDescent="0.3">
      <c r="A25" s="5834" t="s">
        <v>2383</v>
      </c>
      <c r="B25" s="5836">
        <f>(B22/((100-B23)/100))/((100-B24)/100)</f>
        <v>236462.86852653933</v>
      </c>
    </row>
    <row r="26" spans="1:2" x14ac:dyDescent="0.3">
      <c r="A26" s="5826" t="s">
        <v>2384</v>
      </c>
      <c r="B26" s="5836">
        <f t="shared" ref="B26" si="5">B8+B13+B25</f>
        <v>2532067.9974739077</v>
      </c>
    </row>
    <row r="27" spans="1:2" x14ac:dyDescent="0.3">
      <c r="A27" s="5821" t="s">
        <v>2385</v>
      </c>
      <c r="B27" s="5830">
        <v>2900019.3999999994</v>
      </c>
    </row>
    <row r="28" spans="1:2" ht="15.6" x14ac:dyDescent="0.3">
      <c r="A28" s="5837" t="s">
        <v>2386</v>
      </c>
      <c r="B28" s="5838">
        <f t="shared" ref="B28" si="6">B26/B27</f>
        <v>0.87312105480187763</v>
      </c>
    </row>
  </sheetData>
  <pageMargins left="0.7" right="0.7" top="0.75" bottom="0.75" header="0.3" footer="0.3"/>
  <pageSetup paperSize="9" scale="78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5" tint="0.59999389629810485"/>
  </sheetPr>
  <dimension ref="D5:Q23"/>
  <sheetViews>
    <sheetView workbookViewId="0">
      <selection activeCell="M21" sqref="M21"/>
    </sheetView>
  </sheetViews>
  <sheetFormatPr defaultRowHeight="14.4" x14ac:dyDescent="0.3"/>
  <cols>
    <col min="4" max="4" width="22.44140625" bestFit="1" customWidth="1"/>
    <col min="17" max="17" width="11.88671875" customWidth="1"/>
  </cols>
  <sheetData>
    <row r="5" spans="4:17" ht="23.4" x14ac:dyDescent="0.4">
      <c r="D5" s="6635" t="s">
        <v>2389</v>
      </c>
      <c r="E5" s="6636"/>
      <c r="F5" s="6636"/>
      <c r="G5" s="6636"/>
      <c r="H5" s="6636"/>
      <c r="I5" s="6636"/>
      <c r="J5" s="6636"/>
      <c r="K5" s="6636"/>
      <c r="L5" s="6636"/>
      <c r="M5" s="6636"/>
      <c r="N5" s="6636"/>
      <c r="O5" s="6636"/>
      <c r="P5" s="6636"/>
      <c r="Q5" s="6636"/>
    </row>
    <row r="6" spans="4:17" ht="15" thickBot="1" x14ac:dyDescent="0.35">
      <c r="D6" s="2707"/>
      <c r="E6" s="2707"/>
      <c r="F6" s="2707"/>
      <c r="G6" s="2707"/>
      <c r="H6" s="2707"/>
      <c r="I6" s="2707"/>
      <c r="J6" s="2707"/>
      <c r="K6" s="2707"/>
      <c r="L6" s="2707"/>
      <c r="M6" s="2707"/>
      <c r="N6" s="2707"/>
      <c r="O6" s="2707"/>
      <c r="P6" s="2707"/>
      <c r="Q6" s="2707"/>
    </row>
    <row r="7" spans="4:17" ht="16.2" thickBot="1" x14ac:dyDescent="0.35">
      <c r="D7" s="5858" t="s">
        <v>2387</v>
      </c>
      <c r="E7" s="5859">
        <v>45748</v>
      </c>
      <c r="F7" s="5859">
        <v>45778</v>
      </c>
      <c r="G7" s="5859">
        <v>45809</v>
      </c>
      <c r="H7" s="5859">
        <v>45839</v>
      </c>
      <c r="I7" s="5859">
        <v>45870</v>
      </c>
      <c r="J7" s="5859">
        <v>45901</v>
      </c>
      <c r="K7" s="5859">
        <v>45931</v>
      </c>
      <c r="L7" s="5859">
        <v>45962</v>
      </c>
      <c r="M7" s="5859">
        <v>45992</v>
      </c>
      <c r="N7" s="5859">
        <v>46023</v>
      </c>
      <c r="O7" s="5859">
        <v>46054</v>
      </c>
      <c r="P7" s="5859">
        <v>46082</v>
      </c>
      <c r="Q7" s="5860" t="s">
        <v>2388</v>
      </c>
    </row>
    <row r="8" spans="4:17" x14ac:dyDescent="0.3">
      <c r="D8" s="5841" t="s">
        <v>1682</v>
      </c>
      <c r="E8" s="5842">
        <v>33696</v>
      </c>
      <c r="F8" s="5843">
        <v>37482</v>
      </c>
      <c r="G8" s="5843">
        <v>34290</v>
      </c>
      <c r="H8" s="5843">
        <v>34942</v>
      </c>
      <c r="I8" s="5843">
        <v>32826</v>
      </c>
      <c r="J8" s="5843">
        <v>30223</v>
      </c>
      <c r="K8" s="5843">
        <v>30016</v>
      </c>
      <c r="L8" s="5843">
        <v>25400</v>
      </c>
      <c r="M8" s="5843">
        <v>28174</v>
      </c>
      <c r="N8" s="5843">
        <v>29101</v>
      </c>
      <c r="O8" s="5843">
        <v>21964</v>
      </c>
      <c r="P8" s="5844">
        <v>26862</v>
      </c>
      <c r="Q8" s="5861">
        <f t="shared" ref="Q8:Q23" si="0">SUM(E8:P8)</f>
        <v>364976</v>
      </c>
    </row>
    <row r="9" spans="4:17" x14ac:dyDescent="0.3">
      <c r="D9" s="5845" t="s">
        <v>1683</v>
      </c>
      <c r="E9" s="5846">
        <v>90732</v>
      </c>
      <c r="F9" s="5847">
        <v>61567</v>
      </c>
      <c r="G9" s="5847">
        <v>66403</v>
      </c>
      <c r="H9" s="5847">
        <v>60275</v>
      </c>
      <c r="I9" s="5847">
        <v>64717</v>
      </c>
      <c r="J9" s="5847">
        <v>64779</v>
      </c>
      <c r="K9" s="5847">
        <v>71408</v>
      </c>
      <c r="L9" s="5847">
        <v>52872</v>
      </c>
      <c r="M9" s="5847">
        <v>60446</v>
      </c>
      <c r="N9" s="5847">
        <v>57484</v>
      </c>
      <c r="O9" s="5847">
        <v>62719</v>
      </c>
      <c r="P9" s="5848">
        <v>60395</v>
      </c>
      <c r="Q9" s="5862">
        <f t="shared" si="0"/>
        <v>773797</v>
      </c>
    </row>
    <row r="10" spans="4:17" x14ac:dyDescent="0.3">
      <c r="D10" s="5845" t="s">
        <v>1684</v>
      </c>
      <c r="E10" s="5846">
        <v>93877</v>
      </c>
      <c r="F10" s="5847">
        <v>66416</v>
      </c>
      <c r="G10" s="5847">
        <v>70582</v>
      </c>
      <c r="H10" s="5847">
        <v>64899</v>
      </c>
      <c r="I10" s="5847">
        <v>69719</v>
      </c>
      <c r="J10" s="5847">
        <v>65810</v>
      </c>
      <c r="K10" s="5847">
        <v>69987</v>
      </c>
      <c r="L10" s="5847">
        <v>54527</v>
      </c>
      <c r="M10" s="5847">
        <v>63860</v>
      </c>
      <c r="N10" s="5847">
        <v>58911</v>
      </c>
      <c r="O10" s="5847">
        <v>62932</v>
      </c>
      <c r="P10" s="5848">
        <v>60310</v>
      </c>
      <c r="Q10" s="5862">
        <f t="shared" si="0"/>
        <v>801830</v>
      </c>
    </row>
    <row r="11" spans="4:17" x14ac:dyDescent="0.3">
      <c r="D11" s="5845" t="s">
        <v>1685</v>
      </c>
      <c r="E11" s="5846">
        <v>66468</v>
      </c>
      <c r="F11" s="5847">
        <v>77519</v>
      </c>
      <c r="G11" s="5847">
        <v>70901</v>
      </c>
      <c r="H11" s="5847">
        <v>76172</v>
      </c>
      <c r="I11" s="5847">
        <v>74630</v>
      </c>
      <c r="J11" s="5847">
        <v>70093</v>
      </c>
      <c r="K11" s="5847">
        <v>73798</v>
      </c>
      <c r="L11" s="5847">
        <v>61958</v>
      </c>
      <c r="M11" s="5847">
        <v>70052</v>
      </c>
      <c r="N11" s="5847">
        <v>71459</v>
      </c>
      <c r="O11" s="5847">
        <v>60239</v>
      </c>
      <c r="P11" s="5848">
        <v>66902</v>
      </c>
      <c r="Q11" s="5862">
        <f t="shared" si="0"/>
        <v>840191</v>
      </c>
    </row>
    <row r="12" spans="4:17" x14ac:dyDescent="0.3">
      <c r="D12" s="5845" t="s">
        <v>15</v>
      </c>
      <c r="E12" s="5846">
        <v>156576</v>
      </c>
      <c r="F12" s="5847">
        <v>174526</v>
      </c>
      <c r="G12" s="5847">
        <v>185588</v>
      </c>
      <c r="H12" s="5847">
        <v>191100</v>
      </c>
      <c r="I12" s="5847">
        <v>182327</v>
      </c>
      <c r="J12" s="5847">
        <v>165742</v>
      </c>
      <c r="K12" s="5847">
        <v>152337</v>
      </c>
      <c r="L12" s="5847">
        <v>177797</v>
      </c>
      <c r="M12" s="5847">
        <v>170949</v>
      </c>
      <c r="N12" s="5847">
        <v>166337</v>
      </c>
      <c r="O12" s="5847">
        <v>139572</v>
      </c>
      <c r="P12" s="5848">
        <v>176718</v>
      </c>
      <c r="Q12" s="5862">
        <f t="shared" si="0"/>
        <v>2039569</v>
      </c>
    </row>
    <row r="13" spans="4:17" x14ac:dyDescent="0.3">
      <c r="D13" s="5845" t="s">
        <v>1686</v>
      </c>
      <c r="E13" s="5846">
        <v>8659</v>
      </c>
      <c r="F13" s="5847">
        <v>4320</v>
      </c>
      <c r="G13" s="5847">
        <v>410</v>
      </c>
      <c r="H13" s="5847">
        <v>725</v>
      </c>
      <c r="I13" s="5847">
        <v>702</v>
      </c>
      <c r="J13" s="5847">
        <v>0</v>
      </c>
      <c r="K13" s="5847">
        <v>0</v>
      </c>
      <c r="L13" s="5847">
        <v>0</v>
      </c>
      <c r="M13" s="5847">
        <v>11</v>
      </c>
      <c r="N13" s="5847">
        <v>7</v>
      </c>
      <c r="O13" s="5847">
        <v>0</v>
      </c>
      <c r="P13" s="5848">
        <v>0</v>
      </c>
      <c r="Q13" s="5862">
        <f t="shared" si="0"/>
        <v>14834</v>
      </c>
    </row>
    <row r="14" spans="4:17" x14ac:dyDescent="0.3">
      <c r="D14" s="5845" t="s">
        <v>1687</v>
      </c>
      <c r="E14" s="5846">
        <v>9599</v>
      </c>
      <c r="F14" s="5847">
        <v>10424</v>
      </c>
      <c r="G14" s="5847">
        <v>10441</v>
      </c>
      <c r="H14" s="5847">
        <v>10199</v>
      </c>
      <c r="I14" s="5847">
        <v>9730</v>
      </c>
      <c r="J14" s="5847">
        <v>9462</v>
      </c>
      <c r="K14" s="5847">
        <v>8403</v>
      </c>
      <c r="L14" s="5847">
        <v>9418</v>
      </c>
      <c r="M14" s="5847">
        <v>9345</v>
      </c>
      <c r="N14" s="5847">
        <v>9207</v>
      </c>
      <c r="O14" s="5847">
        <v>8079</v>
      </c>
      <c r="P14" s="5848">
        <v>10384</v>
      </c>
      <c r="Q14" s="5862">
        <f t="shared" si="0"/>
        <v>114691</v>
      </c>
    </row>
    <row r="15" spans="4:17" x14ac:dyDescent="0.3">
      <c r="D15" s="5845" t="s">
        <v>57</v>
      </c>
      <c r="E15" s="5846">
        <v>146572</v>
      </c>
      <c r="F15" s="5847">
        <v>142140</v>
      </c>
      <c r="G15" s="5847">
        <v>127977</v>
      </c>
      <c r="H15" s="5847">
        <v>132686</v>
      </c>
      <c r="I15" s="5847">
        <v>130340</v>
      </c>
      <c r="J15" s="5847">
        <v>126535</v>
      </c>
      <c r="K15" s="5847">
        <v>108834</v>
      </c>
      <c r="L15" s="5847">
        <v>132236</v>
      </c>
      <c r="M15" s="5847">
        <v>125291</v>
      </c>
      <c r="N15" s="5847">
        <v>121701</v>
      </c>
      <c r="O15" s="5847">
        <v>101843</v>
      </c>
      <c r="P15" s="5848">
        <v>152771</v>
      </c>
      <c r="Q15" s="5862">
        <f t="shared" si="0"/>
        <v>1548926</v>
      </c>
    </row>
    <row r="16" spans="4:17" x14ac:dyDescent="0.3">
      <c r="D16" s="5845" t="s">
        <v>58</v>
      </c>
      <c r="E16" s="5846">
        <v>93467</v>
      </c>
      <c r="F16" s="5847">
        <v>114430</v>
      </c>
      <c r="G16" s="5847">
        <v>111943</v>
      </c>
      <c r="H16" s="5847">
        <v>113372</v>
      </c>
      <c r="I16" s="5847">
        <v>110463</v>
      </c>
      <c r="J16" s="5847">
        <v>106039</v>
      </c>
      <c r="K16" s="5847">
        <v>97936</v>
      </c>
      <c r="L16" s="5847">
        <v>99602</v>
      </c>
      <c r="M16" s="5847">
        <v>95985</v>
      </c>
      <c r="N16" s="5847">
        <v>101579</v>
      </c>
      <c r="O16" s="5847">
        <v>69366</v>
      </c>
      <c r="P16" s="5848">
        <v>105367</v>
      </c>
      <c r="Q16" s="5862">
        <f t="shared" si="0"/>
        <v>1219549</v>
      </c>
    </row>
    <row r="17" spans="4:17" x14ac:dyDescent="0.3">
      <c r="D17" s="5845" t="s">
        <v>1284</v>
      </c>
      <c r="E17" s="5846">
        <v>46212</v>
      </c>
      <c r="F17" s="5847">
        <v>56152</v>
      </c>
      <c r="G17" s="5847">
        <v>66472</v>
      </c>
      <c r="H17" s="5847">
        <v>71613</v>
      </c>
      <c r="I17" s="5847">
        <v>58393</v>
      </c>
      <c r="J17" s="5847">
        <v>57088</v>
      </c>
      <c r="K17" s="5847">
        <v>54885</v>
      </c>
      <c r="L17" s="5847">
        <v>63561</v>
      </c>
      <c r="M17" s="5847">
        <v>67884</v>
      </c>
      <c r="N17" s="5847">
        <v>57705</v>
      </c>
      <c r="O17" s="5847">
        <v>51515</v>
      </c>
      <c r="P17" s="5848">
        <v>70202</v>
      </c>
      <c r="Q17" s="5862">
        <f t="shared" si="0"/>
        <v>721682</v>
      </c>
    </row>
    <row r="18" spans="4:17" x14ac:dyDescent="0.3">
      <c r="D18" s="5845" t="s">
        <v>59</v>
      </c>
      <c r="E18" s="5846">
        <v>44579</v>
      </c>
      <c r="F18" s="5847">
        <v>44874</v>
      </c>
      <c r="G18" s="5847">
        <v>44300</v>
      </c>
      <c r="H18" s="5847">
        <v>47238</v>
      </c>
      <c r="I18" s="5847">
        <v>45248</v>
      </c>
      <c r="J18" s="5847">
        <v>46103</v>
      </c>
      <c r="K18" s="5847">
        <v>46696</v>
      </c>
      <c r="L18" s="5847">
        <v>41235</v>
      </c>
      <c r="M18" s="5847">
        <v>45696</v>
      </c>
      <c r="N18" s="5847">
        <v>43665</v>
      </c>
      <c r="O18" s="5847">
        <v>38064</v>
      </c>
      <c r="P18" s="5848">
        <v>44907</v>
      </c>
      <c r="Q18" s="5862">
        <f t="shared" si="0"/>
        <v>532605</v>
      </c>
    </row>
    <row r="19" spans="4:17" x14ac:dyDescent="0.3">
      <c r="D19" s="5845" t="s">
        <v>1688</v>
      </c>
      <c r="E19" s="5846">
        <v>39928</v>
      </c>
      <c r="F19" s="5847">
        <v>54543</v>
      </c>
      <c r="G19" s="5847">
        <v>59559</v>
      </c>
      <c r="H19" s="5847">
        <v>63986</v>
      </c>
      <c r="I19" s="5849">
        <v>54652</v>
      </c>
      <c r="J19" s="5847">
        <v>51863</v>
      </c>
      <c r="K19" s="5849">
        <v>47108</v>
      </c>
      <c r="L19" s="5847">
        <v>38590</v>
      </c>
      <c r="M19" s="5847">
        <v>52189</v>
      </c>
      <c r="N19" s="5847">
        <v>48767</v>
      </c>
      <c r="O19" s="5847">
        <v>34366</v>
      </c>
      <c r="P19" s="5848">
        <v>43375</v>
      </c>
      <c r="Q19" s="5862">
        <f t="shared" si="0"/>
        <v>588926</v>
      </c>
    </row>
    <row r="20" spans="4:17" x14ac:dyDescent="0.3">
      <c r="D20" s="5845" t="s">
        <v>1689</v>
      </c>
      <c r="E20" s="5846">
        <v>499370</v>
      </c>
      <c r="F20" s="5847">
        <v>451714</v>
      </c>
      <c r="G20" s="5847">
        <v>464550</v>
      </c>
      <c r="H20" s="5847">
        <v>394916</v>
      </c>
      <c r="I20" s="5847">
        <v>357704</v>
      </c>
      <c r="J20" s="5847">
        <v>321693</v>
      </c>
      <c r="K20" s="5847">
        <v>299827</v>
      </c>
      <c r="L20" s="5847">
        <v>319574</v>
      </c>
      <c r="M20" s="5847">
        <v>326366</v>
      </c>
      <c r="N20" s="5847">
        <v>340521</v>
      </c>
      <c r="O20" s="5847">
        <v>338304</v>
      </c>
      <c r="P20" s="5848">
        <v>471092</v>
      </c>
      <c r="Q20" s="5862">
        <f t="shared" si="0"/>
        <v>4585631</v>
      </c>
    </row>
    <row r="21" spans="4:17" x14ac:dyDescent="0.3">
      <c r="D21" s="5845" t="s">
        <v>1690</v>
      </c>
      <c r="E21" s="5846">
        <v>7499</v>
      </c>
      <c r="F21" s="5847">
        <v>8226</v>
      </c>
      <c r="G21" s="5847">
        <v>7734</v>
      </c>
      <c r="H21" s="5847">
        <v>7728</v>
      </c>
      <c r="I21" s="5847">
        <v>7665</v>
      </c>
      <c r="J21" s="5847">
        <v>7624</v>
      </c>
      <c r="K21" s="5847">
        <v>7755</v>
      </c>
      <c r="L21" s="5847">
        <v>6009</v>
      </c>
      <c r="M21" s="5847">
        <v>7864</v>
      </c>
      <c r="N21" s="5847">
        <v>7477</v>
      </c>
      <c r="O21" s="5847">
        <v>5053</v>
      </c>
      <c r="P21" s="5848">
        <v>6632</v>
      </c>
      <c r="Q21" s="5862">
        <f t="shared" si="0"/>
        <v>87266</v>
      </c>
    </row>
    <row r="22" spans="4:17" ht="15" thickBot="1" x14ac:dyDescent="0.35">
      <c r="D22" s="5850" t="s">
        <v>1691</v>
      </c>
      <c r="E22" s="5851">
        <v>10126</v>
      </c>
      <c r="F22" s="5852">
        <v>8056</v>
      </c>
      <c r="G22" s="5852">
        <v>8863</v>
      </c>
      <c r="H22" s="5852">
        <v>9392</v>
      </c>
      <c r="I22" s="5852">
        <v>10648</v>
      </c>
      <c r="J22" s="5852">
        <v>9683</v>
      </c>
      <c r="K22" s="5852">
        <v>10193</v>
      </c>
      <c r="L22" s="5852">
        <v>8841</v>
      </c>
      <c r="M22" s="5852">
        <v>9182</v>
      </c>
      <c r="N22" s="5852">
        <v>9351</v>
      </c>
      <c r="O22" s="5852">
        <v>7970</v>
      </c>
      <c r="P22" s="5853">
        <v>9614</v>
      </c>
      <c r="Q22" s="5863">
        <f t="shared" si="0"/>
        <v>111919</v>
      </c>
    </row>
    <row r="23" spans="4:17" ht="15" thickBot="1" x14ac:dyDescent="0.35">
      <c r="D23" s="5854" t="s">
        <v>1692</v>
      </c>
      <c r="E23" s="5855">
        <f t="shared" ref="E23:P23" si="1">SUM(E8:E22)</f>
        <v>1347360</v>
      </c>
      <c r="F23" s="5855">
        <f t="shared" si="1"/>
        <v>1312389</v>
      </c>
      <c r="G23" s="5855">
        <f t="shared" si="1"/>
        <v>1330013</v>
      </c>
      <c r="H23" s="5855">
        <f t="shared" si="1"/>
        <v>1279243</v>
      </c>
      <c r="I23" s="5855">
        <f t="shared" si="1"/>
        <v>1209764</v>
      </c>
      <c r="J23" s="5855">
        <f t="shared" si="1"/>
        <v>1132737</v>
      </c>
      <c r="K23" s="5855">
        <f t="shared" si="1"/>
        <v>1079183</v>
      </c>
      <c r="L23" s="5855">
        <f t="shared" si="1"/>
        <v>1091620</v>
      </c>
      <c r="M23" s="5855">
        <f t="shared" si="1"/>
        <v>1133294</v>
      </c>
      <c r="N23" s="5855">
        <f t="shared" si="1"/>
        <v>1123272</v>
      </c>
      <c r="O23" s="5856">
        <f t="shared" si="1"/>
        <v>1001986</v>
      </c>
      <c r="P23" s="5857">
        <f t="shared" si="1"/>
        <v>1305531</v>
      </c>
      <c r="Q23" s="5864">
        <f t="shared" si="0"/>
        <v>14346392</v>
      </c>
    </row>
  </sheetData>
  <mergeCells count="1">
    <mergeCell ref="D5:Q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29</vt:i4>
      </vt:variant>
    </vt:vector>
  </HeadingPairs>
  <TitlesOfParts>
    <vt:vector size="67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 Iron ore sinter pellet</vt:lpstr>
      <vt:lpstr>Special steel </vt:lpstr>
      <vt:lpstr>Slag Analysis</vt:lpstr>
      <vt:lpstr>Delay Analysis </vt:lpstr>
      <vt:lpstr>Capital Repair</vt:lpstr>
      <vt:lpstr>Shopwise Refractory consumption</vt:lpstr>
      <vt:lpstr>CHM</vt:lpstr>
      <vt:lpstr>Sheet2</vt:lpstr>
      <vt:lpstr>Make up water</vt:lpstr>
      <vt:lpstr>'150x150 saleable grades'!Print_Area</vt:lpstr>
      <vt:lpstr>'B-FCE'!Print_Area</vt:lpstr>
      <vt:lpstr>BM!Print_Area</vt:lpstr>
      <vt:lpstr>CHM!Print_Area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'Quality Iron ore sinter pellet'!Print_Area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WRM!Print_Area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2026-06-27T23:25:49Z</dcterms:modified>
</cp:coreProperties>
</file>